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19396" windowHeight="12196" tabRatio="600" firstSheet="0" activeTab="0" autoFilterDateGrouping="1"/>
  </bookViews>
  <sheets>
    <sheet xmlns:r="http://schemas.openxmlformats.org/officeDocument/2006/relationships" name="Dashboard" sheetId="1" state="visible" r:id="rId1"/>
    <sheet xmlns:r="http://schemas.openxmlformats.org/officeDocument/2006/relationships" name="Inputs" sheetId="2" state="visible" r:id="rId2"/>
    <sheet xmlns:r="http://schemas.openxmlformats.org/officeDocument/2006/relationships" name="Model_Data" sheetId="3" state="visible" r:id="rId3"/>
    <sheet xmlns:r="http://schemas.openxmlformats.org/officeDocument/2006/relationships" name="Chart_Data" sheetId="4" state="visible" r:id="rId4"/>
    <sheet xmlns:r="http://schemas.openxmlformats.org/officeDocument/2006/relationships" name="Scenario_Data" sheetId="5" state="visible" r:id="rId5"/>
    <sheet xmlns:r="http://schemas.openxmlformats.org/officeDocument/2006/relationships" name="PRF_Results" sheetId="6" state="visible" r:id="rId6"/>
    <sheet xmlns:r="http://schemas.openxmlformats.org/officeDocument/2006/relationships" name="Formula_Guide" sheetId="7" state="visible" r:id="rId7"/>
    <sheet xmlns:r="http://schemas.openxmlformats.org/officeDocument/2006/relationships" name="Topography_Formulas" sheetId="8" state="visible" r:id="rId8"/>
    <sheet xmlns:r="http://schemas.openxmlformats.org/officeDocument/2006/relationships" name="Checks" sheetId="9" state="visible" r:id="rId9"/>
    <sheet xmlns:r="http://schemas.openxmlformats.org/officeDocument/2006/relationships" name="Graph_Guide" sheetId="10" state="visible" r:id="rId10"/>
    <sheet xmlns:r="http://schemas.openxmlformats.org/officeDocument/2006/relationships" name="Dashboard_Live_Data" sheetId="11" state="visible" r:id="rId11"/>
    <sheet xmlns:r="http://schemas.openxmlformats.org/officeDocument/2006/relationships" name="Native_Chart_Data" sheetId="12" state="visible" r:id="rId12"/>
    <sheet xmlns:r="http://schemas.openxmlformats.org/officeDocument/2006/relationships" name="Subsurface_Model" sheetId="13" state="visible" r:id="rId13"/>
    <sheet xmlns:r="http://schemas.openxmlformats.org/officeDocument/2006/relationships" name="Subsurface_Assumptions" sheetId="14" state="visible" r:id="rId14"/>
    <sheet xmlns:r="http://schemas.openxmlformats.org/officeDocument/2006/relationships" name="Subsurface_Graphs" sheetId="15" state="visible" r:id="rId15"/>
  </sheets>
  <definedNames>
    <definedName name="_xlnm._FilterDatabase" localSheetId="12" hidden="1">'Subsurface_Model'!$A$1:$N$242</definedName>
  </definedNames>
  <calcPr calcId="191029" fullCalcOnLoad="1" forceFullCalc="1"/>
</workbook>
</file>

<file path=xl/styles.xml><?xml version="1.0" encoding="utf-8"?>
<styleSheet xmlns="http://schemas.openxmlformats.org/spreadsheetml/2006/main">
  <numFmts count="1">
    <numFmt numFmtId="164" formatCode="0.000"/>
  </numFmts>
  <fonts count="20">
    <font>
      <name val="Carlito"/>
      <sz val="11"/>
    </font>
    <font>
      <name val="Calibri"/>
      <b val="1"/>
      <color rgb="FFFFFFFF"/>
      <sz val="16"/>
    </font>
    <font>
      <name val="Calibri"/>
      <i val="1"/>
      <color rgb="FF344054"/>
      <sz val="10"/>
    </font>
    <font>
      <name val="Calibri"/>
      <color rgb="FF344054"/>
      <sz val="10"/>
    </font>
    <font>
      <name val="Calibri"/>
      <b val="1"/>
      <color rgb="FF0B2545"/>
      <sz val="10"/>
    </font>
    <font>
      <name val="Calibri"/>
      <b val="1"/>
      <color rgb="FF0B2545"/>
      <sz val="12"/>
    </font>
    <font>
      <name val="Calibri"/>
      <color rgb="FF0B2545"/>
      <sz val="10"/>
    </font>
    <font>
      <name val="Consolas"/>
      <color rgb="FF0B2545"/>
      <sz val="9"/>
    </font>
    <font>
      <name val="Carlito"/>
      <b val="1"/>
      <color rgb="FFFFFFFF"/>
      <sz val="11"/>
    </font>
    <font>
      <name val="Carlito"/>
      <b val="1"/>
      <color rgb="FF0B1F3A"/>
      <sz val="11"/>
    </font>
    <font>
      <name val="Carlito"/>
      <color rgb="FF203040"/>
      <sz val="11"/>
    </font>
    <font>
      <name val="Aptos"/>
      <b val="1"/>
      <color rgb="FF203040"/>
      <sz val="11"/>
    </font>
    <font>
      <name val="Aptos"/>
      <i val="1"/>
      <color rgb="FF203040"/>
      <sz val="11"/>
    </font>
    <font>
      <name val="Aptos"/>
      <color rgb="FF203040"/>
      <sz val="11"/>
    </font>
    <font>
      <name val="Aptos"/>
      <b val="1"/>
      <color rgb="FFFFFFFF"/>
      <sz val="11"/>
    </font>
    <font>
      <name val="Aptos"/>
      <b val="1"/>
      <color rgb="FF0B1F3A"/>
      <sz val="11"/>
    </font>
    <font>
      <b val="1"/>
      <color rgb="00FFFFFF"/>
    </font>
    <font>
      <b val="1"/>
      <color rgb="00FFFFFF"/>
      <sz val="14"/>
    </font>
    <font>
      <b val="1"/>
      <color rgb="001F2937"/>
    </font>
    <font>
      <b val="1"/>
      <color rgb="001F2937"/>
      <sz val="14"/>
    </font>
  </fonts>
  <fills count="15">
    <fill>
      <patternFill/>
    </fill>
    <fill>
      <patternFill patternType="gray125"/>
    </fill>
    <fill>
      <patternFill patternType="solid">
        <fgColor rgb="FF0B2545"/>
      </patternFill>
    </fill>
    <fill>
      <patternFill patternType="solid">
        <fgColor rgb="FFF2F4F7"/>
      </patternFill>
    </fill>
    <fill>
      <patternFill patternType="solid">
        <fgColor rgb="FFFFF2CC"/>
      </patternFill>
    </fill>
    <fill>
      <patternFill patternType="solid">
        <fgColor rgb="FFFCEFD9"/>
      </patternFill>
    </fill>
    <fill>
      <patternFill patternType="solid">
        <fgColor rgb="FFEAF2FB"/>
      </patternFill>
    </fill>
    <fill>
      <patternFill patternType="solid">
        <fgColor rgb="FF0B1F3A"/>
      </patternFill>
    </fill>
    <fill>
      <patternFill patternType="solid">
        <fgColor rgb="FFD9EAF7"/>
      </patternFill>
    </fill>
    <fill>
      <patternFill patternType="solid">
        <fgColor rgb="FFEDF6FF"/>
      </patternFill>
    </fill>
    <fill>
      <patternFill patternType="solid">
        <fgColor rgb="FFFFF4D6"/>
      </patternFill>
    </fill>
    <fill>
      <patternFill patternType="solid">
        <fgColor rgb="FFE8F7EF"/>
      </patternFill>
    </fill>
    <fill>
      <patternFill patternType="solid">
        <fgColor rgb="001F4E79"/>
      </patternFill>
    </fill>
    <fill>
      <patternFill patternType="solid">
        <fgColor rgb="001F2937"/>
      </patternFill>
    </fill>
    <fill>
      <patternFill patternType="solid">
        <fgColor rgb="00D9EAF7"/>
      </patternFill>
    </fill>
  </fills>
  <borders count="14">
    <border>
      <left/>
      <right/>
      <top/>
      <bottom/>
      <diagonal/>
    </border>
    <border>
      <left style="thin">
        <color rgb="FFD0D5DD"/>
      </left>
      <right style="thin">
        <color rgb="FFD0D5DD"/>
      </right>
      <top style="thin">
        <color rgb="FFD0D5DD"/>
      </top>
      <bottom style="thin">
        <color rgb="FFD0D5DD"/>
      </bottom>
      <diagonal/>
    </border>
    <border>
      <left style="thin">
        <color rgb="FFD0D5DD"/>
      </left>
      <right/>
      <top style="thin">
        <color rgb="FFD0D5DD"/>
      </top>
      <bottom style="thin">
        <color rgb="FFD0D5DD"/>
      </bottom>
      <diagonal/>
    </border>
    <border>
      <left/>
      <right/>
      <top style="thin">
        <color rgb="FFD0D5DD"/>
      </top>
      <bottom style="thin">
        <color rgb="FFD0D5DD"/>
      </bottom>
      <diagonal/>
    </border>
    <border>
      <left/>
      <right style="thin">
        <color rgb="FFD0D5DD"/>
      </right>
      <top style="thin">
        <color rgb="FFD0D5DD"/>
      </top>
      <bottom style="thin">
        <color rgb="FFD0D5DD"/>
      </bottom>
      <diagonal/>
    </border>
    <border>
      <left style="thin">
        <color rgb="FFD9E2EC"/>
      </left>
      <right style="thin">
        <color rgb="FFD9E2EC"/>
      </right>
      <top style="thin">
        <color rgb="FFD9E2EC"/>
      </top>
      <bottom style="thin">
        <color rgb="FFD9E2EC"/>
      </bottom>
      <diagonal/>
    </border>
    <border>
      <left style="thin">
        <color rgb="FFD9E2EC"/>
      </left>
      <right/>
      <top style="thin">
        <color rgb="FFD9E2EC"/>
      </top>
      <bottom style="thin">
        <color rgb="FFD9E2EC"/>
      </bottom>
      <diagonal/>
    </border>
    <border>
      <left/>
      <right/>
      <top style="thin">
        <color rgb="FFD9E2EC"/>
      </top>
      <bottom style="thin">
        <color rgb="FFD9E2EC"/>
      </bottom>
      <diagonal/>
    </border>
    <border>
      <left/>
      <right style="thin">
        <color rgb="FFD9E2EC"/>
      </right>
      <top style="thin">
        <color rgb="FFD9E2EC"/>
      </top>
      <bottom style="thin">
        <color rgb="FFD9E2EC"/>
      </bottom>
      <diagonal/>
    </border>
    <border>
      <left/>
      <right/>
      <top style="thin">
        <color rgb="FFD9E2EC"/>
      </top>
      <bottom/>
      <diagonal/>
    </border>
    <border>
      <left/>
      <right style="thin">
        <color rgb="FFD9E2EC"/>
      </right>
      <top style="thin">
        <color rgb="FFD9E2EC"/>
      </top>
      <bottom/>
      <diagonal/>
    </border>
    <border>
      <left/>
      <right/>
      <top style="thin">
        <color rgb="FFD0D5DD"/>
      </top>
      <bottom/>
      <diagonal/>
    </border>
    <border>
      <left/>
      <right style="thin">
        <color rgb="FFD0D5DD"/>
      </right>
      <top style="thin">
        <color rgb="FFD0D5DD"/>
      </top>
      <bottom/>
      <diagonal/>
    </border>
    <border>
      <left style="thin">
        <color rgb="00D4DAE3"/>
      </left>
      <right style="thin">
        <color rgb="00D4DAE3"/>
      </right>
      <top style="thin">
        <color rgb="00D4DAE3"/>
      </top>
      <bottom style="thin">
        <color rgb="00D4DAE3"/>
      </bottom>
    </border>
  </borders>
  <cellStyleXfs count="1">
    <xf numFmtId="0" fontId="0" fillId="0" borderId="0"/>
  </cellStyleXfs>
  <cellXfs count="53">
    <xf numFmtId="0" fontId="0" fillId="0" borderId="0" pivotButton="0" quotePrefix="0" xfId="0"/>
    <xf numFmtId="0" fontId="3" fillId="0" borderId="1" applyAlignment="1" pivotButton="0" quotePrefix="0" xfId="0">
      <alignment vertical="center" wrapText="1"/>
    </xf>
    <xf numFmtId="0" fontId="4" fillId="3" borderId="1" applyAlignment="1" pivotButton="0" quotePrefix="0" xfId="0">
      <alignment horizontal="center" vertical="center" wrapText="1"/>
    </xf>
    <xf numFmtId="2" fontId="4" fillId="4" borderId="1" applyAlignment="1" pivotButton="0" quotePrefix="0" xfId="0">
      <alignment horizontal="right" vertical="center" wrapText="1"/>
    </xf>
    <xf numFmtId="1" fontId="4" fillId="4" borderId="1" applyAlignment="1" pivotButton="0" quotePrefix="0" xfId="0">
      <alignment horizontal="right" vertical="center" wrapText="1"/>
    </xf>
    <xf numFmtId="0" fontId="3" fillId="5" borderId="2" applyAlignment="1" pivotButton="0" quotePrefix="0" xfId="0">
      <alignment wrapText="1"/>
    </xf>
    <xf numFmtId="0" fontId="4" fillId="6" borderId="1" applyAlignment="1" pivotButton="0" quotePrefix="0" xfId="0">
      <alignment horizontal="center" vertical="center" wrapText="1"/>
    </xf>
    <xf numFmtId="2" fontId="6" fillId="6" borderId="1" applyAlignment="1" pivotButton="0" quotePrefix="0" xfId="0">
      <alignment horizontal="right" vertical="center" wrapText="1"/>
    </xf>
    <xf numFmtId="0" fontId="4" fillId="4" borderId="1" applyAlignment="1" pivotButton="0" quotePrefix="0" xfId="0">
      <alignment horizontal="center" vertical="center" wrapText="1"/>
    </xf>
    <xf numFmtId="164" fontId="3" fillId="0" borderId="1" applyAlignment="1" pivotButton="0" quotePrefix="0" xfId="0">
      <alignment vertical="center" wrapText="1"/>
    </xf>
    <xf numFmtId="164" fontId="0" fillId="0" borderId="0" pivotButton="0" quotePrefix="0" xfId="0"/>
    <xf numFmtId="164" fontId="4" fillId="6" borderId="1" applyAlignment="1" pivotButton="0" quotePrefix="0" xfId="0">
      <alignment horizontal="right" vertical="center" wrapText="1"/>
    </xf>
    <xf numFmtId="0" fontId="7" fillId="0" borderId="1" applyAlignment="1" pivotButton="0" quotePrefix="0" xfId="0">
      <alignment vertical="center" wrapText="1"/>
    </xf>
    <xf numFmtId="0" fontId="8" fillId="7" borderId="0" applyAlignment="1" pivotButton="0" quotePrefix="0" xfId="0">
      <alignment horizontal="center" vertical="center" wrapText="1"/>
    </xf>
    <xf numFmtId="0" fontId="9" fillId="8" borderId="5" applyAlignment="1" pivotButton="0" quotePrefix="0" xfId="0">
      <alignment horizontal="center" vertical="center" wrapText="1"/>
    </xf>
    <xf numFmtId="0" fontId="10" fillId="0" borderId="5" applyAlignment="1" pivotButton="0" quotePrefix="0" xfId="0">
      <alignment vertical="top" wrapText="1"/>
    </xf>
    <xf numFmtId="0" fontId="9" fillId="9" borderId="5" applyAlignment="1" pivotButton="0" quotePrefix="0" xfId="0">
      <alignment vertical="top" wrapText="1"/>
    </xf>
    <xf numFmtId="0" fontId="13" fillId="0" borderId="0" pivotButton="0" quotePrefix="0" xfId="0"/>
    <xf numFmtId="0" fontId="11" fillId="9" borderId="5" applyAlignment="1" pivotButton="0" quotePrefix="0" xfId="0">
      <alignment vertical="top" wrapText="1"/>
    </xf>
    <xf numFmtId="0" fontId="13" fillId="0" borderId="5" applyAlignment="1" pivotButton="0" quotePrefix="0" xfId="0">
      <alignment vertical="top" wrapText="1"/>
    </xf>
    <xf numFmtId="0" fontId="11" fillId="11" borderId="5" applyAlignment="1" pivotButton="0" quotePrefix="0" xfId="0">
      <alignment vertical="top" wrapText="1"/>
    </xf>
    <xf numFmtId="164" fontId="11" fillId="11" borderId="5" applyAlignment="1" pivotButton="0" quotePrefix="0" xfId="0">
      <alignment vertical="top" wrapText="1"/>
    </xf>
    <xf numFmtId="0" fontId="15" fillId="8" borderId="5" applyAlignment="1" pivotButton="0" quotePrefix="0" xfId="0">
      <alignment horizontal="center" vertical="center" wrapText="1"/>
    </xf>
    <xf numFmtId="0" fontId="1" fillId="2" borderId="0" applyAlignment="1" pivotButton="0" quotePrefix="0" xfId="0">
      <alignment horizontal="center" vertical="center"/>
    </xf>
    <xf numFmtId="0" fontId="3" fillId="3" borderId="0" applyAlignment="1" pivotButton="0" quotePrefix="0" xfId="0">
      <alignment wrapText="1"/>
    </xf>
    <xf numFmtId="0" fontId="5" fillId="6" borderId="2" applyAlignment="1" pivotButton="0" quotePrefix="0" xfId="0">
      <alignment horizontal="left" vertical="center"/>
    </xf>
    <xf numFmtId="0" fontId="5" fillId="6" borderId="3" applyAlignment="1" pivotButton="0" quotePrefix="0" xfId="0">
      <alignment horizontal="left" vertical="center"/>
    </xf>
    <xf numFmtId="0" fontId="5" fillId="6" borderId="4" applyAlignment="1" pivotButton="0" quotePrefix="0" xfId="0">
      <alignment horizontal="left" vertical="center"/>
    </xf>
    <xf numFmtId="0" fontId="3" fillId="5" borderId="2" applyAlignment="1" pivotButton="0" quotePrefix="0" xfId="0">
      <alignment wrapText="1"/>
    </xf>
    <xf numFmtId="0" fontId="3" fillId="5" borderId="3" applyAlignment="1" pivotButton="0" quotePrefix="0" xfId="0">
      <alignment wrapText="1"/>
    </xf>
    <xf numFmtId="0" fontId="3" fillId="5" borderId="4" applyAlignment="1" pivotButton="0" quotePrefix="0" xfId="0">
      <alignment wrapText="1"/>
    </xf>
    <xf numFmtId="0" fontId="8" fillId="7" borderId="0" applyAlignment="1" pivotButton="0" quotePrefix="0" xfId="0">
      <alignment horizontal="center" vertical="center" wrapText="1"/>
    </xf>
    <xf numFmtId="0" fontId="9" fillId="8" borderId="5" applyAlignment="1" pivotButton="0" quotePrefix="0" xfId="0">
      <alignment horizontal="center" vertical="center" wrapText="1"/>
    </xf>
    <xf numFmtId="0" fontId="10" fillId="0" borderId="5" applyAlignment="1" pivotButton="0" quotePrefix="0" xfId="0">
      <alignment vertical="top" wrapText="1"/>
    </xf>
    <xf numFmtId="0" fontId="2" fillId="3" borderId="0" applyAlignment="1" pivotButton="0" quotePrefix="0" xfId="0">
      <alignment wrapText="1"/>
    </xf>
    <xf numFmtId="0" fontId="14" fillId="7" borderId="0" applyAlignment="1" pivotButton="0" quotePrefix="0" xfId="0">
      <alignment horizontal="center" vertical="center" wrapText="1"/>
    </xf>
    <xf numFmtId="0" fontId="12" fillId="10" borderId="6" applyAlignment="1" pivotButton="0" quotePrefix="0" xfId="0">
      <alignment wrapText="1"/>
    </xf>
    <xf numFmtId="0" fontId="12" fillId="10" borderId="7" applyAlignment="1" pivotButton="0" quotePrefix="0" xfId="0">
      <alignment wrapText="1"/>
    </xf>
    <xf numFmtId="0" fontId="12" fillId="10" borderId="8" applyAlignment="1" pivotButton="0" quotePrefix="0" xfId="0">
      <alignment wrapText="1"/>
    </xf>
    <xf numFmtId="0" fontId="5" fillId="6" borderId="1" applyAlignment="1" pivotButton="0" quotePrefix="0" xfId="0">
      <alignment horizontal="left" vertical="center"/>
    </xf>
    <xf numFmtId="0" fontId="0" fillId="0" borderId="3" pivotButton="0" quotePrefix="0" xfId="0"/>
    <xf numFmtId="0" fontId="0" fillId="0" borderId="4" pivotButton="0" quotePrefix="0" xfId="0"/>
    <xf numFmtId="0" fontId="3" fillId="5" borderId="1" applyAlignment="1" pivotButton="0" quotePrefix="0" xfId="0">
      <alignment wrapText="1"/>
    </xf>
    <xf numFmtId="0" fontId="0" fillId="0" borderId="7" pivotButton="0" quotePrefix="0" xfId="0"/>
    <xf numFmtId="0" fontId="0" fillId="0" borderId="8" pivotButton="0" quotePrefix="0" xfId="0"/>
    <xf numFmtId="0" fontId="12" fillId="10" borderId="5" applyAlignment="1" pivotButton="0" quotePrefix="0" xfId="0">
      <alignment wrapText="1"/>
    </xf>
    <xf numFmtId="0" fontId="16" fillId="12" borderId="13" applyAlignment="1" pivotButton="0" quotePrefix="0" xfId="0">
      <alignment vertical="top" wrapText="1"/>
    </xf>
    <xf numFmtId="164" fontId="0" fillId="0" borderId="13" applyAlignment="1" pivotButton="0" quotePrefix="0" xfId="0">
      <alignment vertical="top" wrapText="1"/>
    </xf>
    <xf numFmtId="0" fontId="17" fillId="13" borderId="0" pivotButton="0" quotePrefix="0" xfId="0"/>
    <xf numFmtId="0" fontId="18" fillId="14" borderId="13" applyAlignment="1" pivotButton="0" quotePrefix="0" xfId="0">
      <alignment vertical="top" wrapText="1"/>
    </xf>
    <xf numFmtId="0" fontId="0" fillId="0" borderId="13" applyAlignment="1" pivotButton="0" quotePrefix="0" xfId="0">
      <alignment vertical="top" wrapText="1"/>
    </xf>
    <xf numFmtId="0" fontId="19" fillId="0" borderId="0" pivotButton="0" quotePrefix="0" xfId="0"/>
    <xf numFmtId="0" fontId="0" fillId="0" borderId="0" applyAlignment="1" pivotButton="0" quotePrefix="0" xfId="0">
      <alignment wrapText="1"/>
    </xf>
  </cellXfs>
  <cellStyles count="1">
    <cellStyle name="Normal" xfId="0" builtinId="0"/>
  </cellStyles>
  <dxfs count="2">
    <dxf>
      <font>
        <b val="1"/>
        <color rgb="FF0B2545"/>
      </font>
      <fill>
        <patternFill>
          <bgColor rgb="FFFCEFD9"/>
        </patternFill>
      </fill>
    </dxf>
    <dxf>
      <font>
        <b val="1"/>
        <color rgb="FF0B2545"/>
      </font>
      <fill>
        <patternFill>
          <bgColor rgb="FFDFF4E6"/>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Surface Height: Generated Topography Reference Floor, Target, and Nadir</a:t>
            </a:r>
          </a:p>
        </rich>
      </tx>
      <overlay val="0"/>
    </title>
    <plotArea>
      <layout/>
      <scatterChart>
        <scatterStyle val="lineMarker"/>
        <varyColors val="0"/>
        <ser>
          <idx val="0"/>
          <order val="0"/>
          <tx>
            <v>Reference floor = generated topography</v>
          </tx>
          <spPr>
            <a:ln xmlns:a="http://schemas.openxmlformats.org/drawingml/2006/main" w="19050">
              <a:solidFill>
                <a:srgbClr val="57606F"/>
              </a:solidFill>
              <a:prstDash val="dash"/>
            </a:ln>
          </spPr>
          <marker>
            <symbol val="none"/>
            <spPr>
              <a:ln xmlns:a="http://schemas.openxmlformats.org/drawingml/2006/main">
                <a:prstDash val="solid"/>
              </a:ln>
            </spPr>
          </marker>
          <xVal>
            <numRef>
              <f>Native_Chart_Data!$A$3:$A$243</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Native_Chart_Data!$B$3:$B$243</f>
              <numCache>
                <formatCode>General</formatCode>
                <ptCount val="241"/>
                <pt idx="0">
                  <v>119.426385705041</v>
                </pt>
                <pt idx="1">
                  <v>110.6960649372351</v>
                </pt>
                <pt idx="2">
                  <v>112.9921942484935</v>
                </pt>
                <pt idx="3">
                  <v>134.3858310571132</v>
                </pt>
                <pt idx="4">
                  <v>120.0695290678096</v>
                </pt>
                <pt idx="5">
                  <v>138.9015142544575</v>
                </pt>
                <pt idx="6">
                  <v>137.4660472548416</v>
                </pt>
                <pt idx="7">
                  <v>141.4558244940937</v>
                </pt>
                <pt idx="8">
                  <v>167.115238934812</v>
                </pt>
                <pt idx="9">
                  <v>160.5794310344608</v>
                </pt>
                <pt idx="10">
                  <v>176.1097635943437</v>
                </pt>
                <pt idx="11">
                  <v>194.4095358082685</v>
                </pt>
                <pt idx="12">
                  <v>196.396297455627</v>
                </pt>
                <pt idx="13">
                  <v>215.0450449749406</v>
                </pt>
                <pt idx="14">
                  <v>220.2786366784253</v>
                </pt>
                <pt idx="15">
                  <v>228.4857118671839</v>
                </pt>
                <pt idx="16">
                  <v>241.2439232793892</v>
                </pt>
                <pt idx="17">
                  <v>261.3961473371179</v>
                </pt>
                <pt idx="18">
                  <v>251.9673282751754</v>
                </pt>
                <pt idx="19">
                  <v>249.7278681271985</v>
                </pt>
                <pt idx="20">
                  <v>273.7150409905238</v>
                </pt>
                <pt idx="21">
                  <v>258.9174842564</v>
                </pt>
                <pt idx="22">
                  <v>268.7927966209265</v>
                </pt>
                <pt idx="23">
                  <v>265.4824606971452</v>
                </pt>
                <pt idx="24">
                  <v>253.6370227527636</v>
                </pt>
                <pt idx="25">
                  <v>262.7548434852893</v>
                </pt>
                <pt idx="26">
                  <v>253.9148101975453</v>
                </pt>
                <pt idx="27">
                  <v>253.748238320312</v>
                </pt>
                <pt idx="28">
                  <v>237.4046951101087</v>
                </pt>
                <pt idx="29">
                  <v>230.0353420074885</v>
                </pt>
                <pt idx="30">
                  <v>208.8220272535724</v>
                </pt>
                <pt idx="31">
                  <v>201.6642296015629</v>
                </pt>
                <pt idx="32">
                  <v>200.1167225823432</v>
                </pt>
                <pt idx="33">
                  <v>210.8483953416035</v>
                </pt>
                <pt idx="34">
                  <v>180.5581841932563</v>
                </pt>
                <pt idx="35">
                  <v>181.7291755177202</v>
                </pt>
                <pt idx="36">
                  <v>170.6281729970239</v>
                </pt>
                <pt idx="37">
                  <v>171.3855791373828</v>
                </pt>
                <pt idx="38">
                  <v>176.6662419277824</v>
                </pt>
                <pt idx="39">
                  <v>191.2465178874161</v>
                </pt>
                <pt idx="40">
                  <v>197.6655729751738</v>
                </pt>
                <pt idx="41">
                  <v>200.9817873532742</v>
                </pt>
                <pt idx="42">
                  <v>184.5442092413606</v>
                </pt>
                <pt idx="43">
                  <v>211.6343099261097</v>
                </pt>
                <pt idx="44">
                  <v>202.9365801484949</v>
                </pt>
                <pt idx="45">
                  <v>239.1871485288169</v>
                </pt>
                <pt idx="46">
                  <v>236.1887203554129</v>
                </pt>
                <pt idx="47">
                  <v>264.8535608975177</v>
                </pt>
                <pt idx="48">
                  <v>273.2461044321223</v>
                </pt>
                <pt idx="49">
                  <v>284.9525044866856</v>
                </pt>
                <pt idx="50">
                  <v>280.7134400393696</v>
                </pt>
                <pt idx="51">
                  <v>316.3148780494805</v>
                </pt>
                <pt idx="52">
                  <v>319.4152549266454</v>
                </pt>
                <pt idx="53">
                  <v>328.4448057508986</v>
                </pt>
                <pt idx="54">
                  <v>342.0571204684842</v>
                </pt>
                <pt idx="55">
                  <v>350.9183412247295</v>
                </pt>
                <pt idx="56">
                  <v>340.916814065535</v>
                </pt>
                <pt idx="57">
                  <v>355.1521998700699</v>
                </pt>
                <pt idx="58">
                  <v>353.2610093246909</v>
                </pt>
                <pt idx="59">
                  <v>338.6571544092517</v>
                </pt>
                <pt idx="60">
                  <v>336.9764483808808</v>
                </pt>
                <pt idx="61">
                  <v>326.2473250327614</v>
                </pt>
                <pt idx="62">
                  <v>331.8773601234619</v>
                </pt>
                <pt idx="63">
                  <v>310.2424726216749</v>
                </pt>
                <pt idx="64">
                  <v>313.2831784265769</v>
                </pt>
                <pt idx="65">
                  <v>296.8437612591667</v>
                </pt>
                <pt idx="66">
                  <v>289.342268541003</v>
                </pt>
                <pt idx="67">
                  <v>290.5597784751114</v>
                </pt>
                <pt idx="68">
                  <v>271.7435298342176</v>
                </pt>
                <pt idx="69">
                  <v>271.7227708541989</v>
                </pt>
                <pt idx="70">
                  <v>260.2713841318971</v>
                </pt>
                <pt idx="71">
                  <v>276.4936352896954</v>
                </pt>
                <pt idx="72">
                  <v>268.5791759815676</v>
                </pt>
                <pt idx="73">
                  <v>273.9345988471122</v>
                </pt>
                <pt idx="74">
                  <v>279.55588840773</v>
                </pt>
                <pt idx="75">
                  <v>286.69936407981</v>
                </pt>
                <pt idx="76">
                  <v>316.6082081776694</v>
                </pt>
                <pt idx="77">
                  <v>332.4494775976942</v>
                </pt>
                <pt idx="78">
                  <v>317.9181288017518</v>
                </pt>
                <pt idx="79">
                  <v>343.3798658737078</v>
                </pt>
                <pt idx="80">
                  <v>338.1583070998273</v>
                </pt>
                <pt idx="81">
                  <v>363.814542334925</v>
                </pt>
                <pt idx="82">
                  <v>371.186419883424</v>
                </pt>
                <pt idx="83">
                  <v>365.6884368087795</v>
                </pt>
                <pt idx="84">
                  <v>392.0220541536099</v>
                </pt>
                <pt idx="85">
                  <v>397.0709705715657</v>
                </pt>
                <pt idx="86">
                  <v>381.3731024685083</v>
                </pt>
                <pt idx="87">
                  <v>387.1431058674635</v>
                </pt>
                <pt idx="88">
                  <v>413.2956148642764</v>
                </pt>
                <pt idx="89">
                  <v>405.1793484681727</v>
                </pt>
                <pt idx="90">
                  <v>416.6302400609162</v>
                </pt>
                <pt idx="91">
                  <v>425.3137375368846</v>
                </pt>
                <pt idx="92">
                  <v>420.9575928892744</v>
                </pt>
                <pt idx="93">
                  <v>418.7700178970381</v>
                </pt>
                <pt idx="94">
                  <v>432.8844458250974</v>
                </pt>
                <pt idx="95">
                  <v>448.8683161255995</v>
                </pt>
                <pt idx="96">
                  <v>437.9918993100179</v>
                </pt>
                <pt idx="97">
                  <v>458.9108914727526</v>
                </pt>
                <pt idx="98">
                  <v>462.5412492823468</v>
                </pt>
                <pt idx="99">
                  <v>470.1016319483541</v>
                </pt>
                <pt idx="100">
                  <v>471.5144848831216</v>
                </pt>
                <pt idx="101">
                  <v>470.5815738170562</v>
                </pt>
                <pt idx="102">
                  <v>480.618285675218</v>
                </pt>
                <pt idx="103">
                  <v>460.6206107904381</v>
                </pt>
                <pt idx="104">
                  <v>475.6659223963138</v>
                </pt>
                <pt idx="105">
                  <v>470.2640951439132</v>
                </pt>
                <pt idx="106">
                  <v>442.9570814542643</v>
                </pt>
                <pt idx="107">
                  <v>455.8100478474453</v>
                </pt>
                <pt idx="108">
                  <v>447.753442721982</v>
                </pt>
                <pt idx="109">
                  <v>437.2320321691246</v>
                </pt>
                <pt idx="110">
                  <v>426.4950993655156</v>
                </pt>
                <pt idx="111">
                  <v>423.3056803950691</v>
                </pt>
                <pt idx="112">
                  <v>426.0147467563443</v>
                </pt>
                <pt idx="113">
                  <v>404.9650488224043</v>
                </pt>
                <pt idx="114">
                  <v>420.1474189559781</v>
                </pt>
                <pt idx="115">
                  <v>420.9762420978345</v>
                </pt>
                <pt idx="116">
                  <v>435.9830082671363</v>
                </pt>
                <pt idx="117">
                  <v>431.1058067229253</v>
                </pt>
                <pt idx="118">
                  <v>440.9944102420088</v>
                </pt>
                <pt idx="119">
                  <v>474.2327866718329</v>
                </pt>
                <pt idx="120">
                  <v>480.4480285892225</v>
                </pt>
                <pt idx="121">
                  <v>482.7451811280071</v>
                </pt>
                <pt idx="122">
                  <v>497.5816531469721</v>
                </pt>
                <pt idx="123">
                  <v>516.864115303311</v>
                </pt>
                <pt idx="124">
                  <v>534.5064840723982</v>
                </pt>
                <pt idx="125">
                  <v>549.7308148692482</v>
                </pt>
                <pt idx="126">
                  <v>536.8431041026677</v>
                </pt>
                <pt idx="127">
                  <v>562.9190196746022</v>
                </pt>
                <pt idx="128">
                  <v>561.6697690574489</v>
                </pt>
                <pt idx="129">
                  <v>568.643638224831</v>
                </pt>
                <pt idx="130">
                  <v>548.8146920903409</v>
                </pt>
                <pt idx="131">
                  <v>539.5212853164131</v>
                </pt>
                <pt idx="132">
                  <v>533.6920620973987</v>
                </pt>
                <pt idx="133">
                  <v>524.4263848132822</v>
                </pt>
                <pt idx="134">
                  <v>534.4078318791427</v>
                </pt>
                <pt idx="135">
                  <v>503.483802248403</v>
                </pt>
                <pt idx="136">
                  <v>497.2264534493298</v>
                </pt>
                <pt idx="137">
                  <v>479.6019721372586</v>
                </pt>
                <pt idx="138">
                  <v>481.2258795743999</v>
                </pt>
                <pt idx="139">
                  <v>478.279373718722</v>
                </pt>
                <pt idx="140">
                  <v>454.2022007690483</v>
                </pt>
                <pt idx="141">
                  <v>437.9381023255097</v>
                </pt>
                <pt idx="142">
                  <v>444.9386077034492</v>
                </pt>
                <pt idx="143">
                  <v>434.4446789557209</v>
                </pt>
                <pt idx="144">
                  <v>422.8387186345762</v>
                </pt>
                <pt idx="145">
                  <v>434.1242349583912</v>
                </pt>
                <pt idx="146">
                  <v>428.8351991704085</v>
                </pt>
                <pt idx="147">
                  <v>408.8461924087269</v>
                </pt>
                <pt idx="148">
                  <v>412.5510006804454</v>
                </pt>
                <pt idx="149">
                  <v>415.5675277705944</v>
                </pt>
                <pt idx="150">
                  <v>399.3459317049312</v>
                </pt>
                <pt idx="151">
                  <v>395.616361037493</v>
                </pt>
                <pt idx="152">
                  <v>400.308917557895</v>
                </pt>
                <pt idx="153">
                  <v>406.2017834650269</v>
                </pt>
                <pt idx="154">
                  <v>402.8973585502039</v>
                </pt>
                <pt idx="155">
                  <v>412.5967385351173</v>
                </pt>
                <pt idx="156">
                  <v>417.3671248555892</v>
                </pt>
                <pt idx="157">
                  <v>414.0307836021328</v>
                </pt>
                <pt idx="158">
                  <v>429.3392633910821</v>
                </pt>
                <pt idx="159">
                  <v>436.6642525095558</v>
                </pt>
                <pt idx="160">
                  <v>439.0113020884787</v>
                </pt>
                <pt idx="161">
                  <v>441.7637232897853</v>
                </pt>
                <pt idx="162">
                  <v>441.2537143317768</v>
                </pt>
                <pt idx="163">
                  <v>444.1394266764314</v>
                </pt>
                <pt idx="164">
                  <v>447.7794532624074</v>
                </pt>
                <pt idx="165">
                  <v>442.5092715341821</v>
                </pt>
                <pt idx="166">
                  <v>438.1289491107309</v>
                </pt>
                <pt idx="167">
                  <v>431.2131008039683</v>
                </pt>
                <pt idx="168">
                  <v>441.2625072507224</v>
                </pt>
                <pt idx="169">
                  <v>415.4369773441946</v>
                </pt>
                <pt idx="170">
                  <v>418.8320748478185</v>
                </pt>
                <pt idx="171">
                  <v>390.1569109362468</v>
                </pt>
                <pt idx="172">
                  <v>387.3749410179922</v>
                </pt>
                <pt idx="173">
                  <v>383.4871392298647</v>
                </pt>
                <pt idx="174">
                  <v>346.2287328646241</v>
                </pt>
                <pt idx="175">
                  <v>337.0351401858358</v>
                </pt>
                <pt idx="176">
                  <v>312.1836981889862</v>
                </pt>
                <pt idx="177">
                  <v>310.4659866511931</v>
                </pt>
                <pt idx="178">
                  <v>283.981710186696</v>
                </pt>
                <pt idx="179">
                  <v>263.5246591496981</v>
                </pt>
                <pt idx="180">
                  <v>258.3810354027646</v>
                </pt>
                <pt idx="181">
                  <v>239.9861394624414</v>
                </pt>
                <pt idx="182">
                  <v>239.5805230601625</v>
                </pt>
                <pt idx="183">
                  <v>216.5615747337968</v>
                </pt>
                <pt idx="184">
                  <v>222.437703421877</v>
                </pt>
                <pt idx="185">
                  <v>227.9718019768222</v>
                </pt>
                <pt idx="186">
                  <v>226.0841822180854</v>
                </pt>
                <pt idx="187">
                  <v>226.2394249125868</v>
                </pt>
                <pt idx="188">
                  <v>243.2704274883201</v>
                </pt>
                <pt idx="189">
                  <v>248.8414359782273</v>
                </pt>
                <pt idx="190">
                  <v>242.0089081204231</v>
                </pt>
                <pt idx="191">
                  <v>242.6378827008608</v>
                </pt>
                <pt idx="192">
                  <v>251.8480330414438</v>
                </pt>
                <pt idx="193">
                  <v>274.3131350022337</v>
                </pt>
                <pt idx="194">
                  <v>277.2699134824556</v>
                </pt>
                <pt idx="195">
                  <v>280.6842863692354</v>
                </pt>
                <pt idx="196">
                  <v>282.3717678695042</v>
                </pt>
                <pt idx="197">
                  <v>311.181919337271</v>
                </pt>
                <pt idx="198">
                  <v>302.8435496777789</v>
                </pt>
                <pt idx="199">
                  <v>298.9294049077882</v>
                </pt>
                <pt idx="200">
                  <v>304.8211728122678</v>
                </pt>
                <pt idx="201">
                  <v>300.6975060151263</v>
                </pt>
                <pt idx="202">
                  <v>276.5571077382654</v>
                </pt>
                <pt idx="203">
                  <v>269.2155410168153</v>
                </pt>
                <pt idx="204">
                  <v>271.1262021129023</v>
                </pt>
                <pt idx="205">
                  <v>259.7768551367322</v>
                </pt>
                <pt idx="206">
                  <v>247.2629698422237</v>
                </pt>
                <pt idx="207">
                  <v>225.3552826031468</v>
                </pt>
                <pt idx="208">
                  <v>208.8401598483281</v>
                </pt>
                <pt idx="209">
                  <v>178.9629634022754</v>
                </pt>
                <pt idx="210">
                  <v>165.2657325139355</v>
                </pt>
                <pt idx="211">
                  <v>168.7818798773847</v>
                </pt>
                <pt idx="212">
                  <v>147.2236511039814</v>
                </pt>
                <pt idx="213">
                  <v>125.2640973672651</v>
                </pt>
                <pt idx="214">
                  <v>119.0748447164613</v>
                </pt>
                <pt idx="215">
                  <v>107.7527102272833</v>
                </pt>
                <pt idx="216">
                  <v>124.997153734733</v>
                </pt>
                <pt idx="217">
                  <v>114.2648488800617</v>
                </pt>
                <pt idx="218">
                  <v>109.5440236905922</v>
                </pt>
                <pt idx="219">
                  <v>115.8187403149098</v>
                </pt>
                <pt idx="220">
                  <v>115.2352516171991</v>
                </pt>
                <pt idx="221">
                  <v>136.9862007623851</v>
                </pt>
                <pt idx="222">
                  <v>137.0828963277931</v>
                </pt>
                <pt idx="223">
                  <v>159.6183131652743</v>
                </pt>
                <pt idx="224">
                  <v>166.9931224443313</v>
                </pt>
                <pt idx="225">
                  <v>164.0684238718555</v>
                </pt>
                <pt idx="226">
                  <v>183.5232809151917</v>
                </pt>
                <pt idx="227">
                  <v>181.0418671910583</v>
                </pt>
                <pt idx="228">
                  <v>181.5418421561524</v>
                </pt>
                <pt idx="229">
                  <v>176.6795228662295</v>
                </pt>
                <pt idx="230">
                  <v>188.5060598638298</v>
                </pt>
                <pt idx="231">
                  <v>182.552269274569</v>
                </pt>
                <pt idx="232">
                  <v>186.9039056313416</v>
                </pt>
                <pt idx="233">
                  <v>190.0706248495408</v>
                </pt>
                <pt idx="234">
                  <v>200.6845452715871</v>
                </pt>
                <pt idx="235">
                  <v>178.2777126906697</v>
                </pt>
                <pt idx="236">
                  <v>194.5277817938577</v>
                </pt>
                <pt idx="237">
                  <v>188.3322187595174</v>
                </pt>
                <pt idx="238">
                  <v>193.7406778273125</v>
                </pt>
                <pt idx="239">
                  <v>168.9790164233354</v>
                </pt>
                <pt idx="240">
                  <v>179.3490111941471</v>
                </pt>
              </numCache>
            </numRef>
          </yVal>
          <smooth val="0"/>
        </ser>
        <ser>
          <idx val="1"/>
          <order val="1"/>
          <tx>
            <v>Off-nadir target terrain</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Native_Chart_Data!$C$3:$C$243</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Native_Chart_Data!$D$3:$D$243</f>
              <numCache>
                <formatCode>General</formatCode>
                <ptCount val="241"/>
                <pt idx="0">
                  <v>119.426385705041</v>
                </pt>
                <pt idx="1">
                  <v>110.6960649372351</v>
                </pt>
                <pt idx="2">
                  <v>112.9921942484935</v>
                </pt>
                <pt idx="3">
                  <v>134.3858310571132</v>
                </pt>
                <pt idx="4">
                  <v>120.0695290678096</v>
                </pt>
                <pt idx="5">
                  <v>138.9015142544575</v>
                </pt>
                <pt idx="6">
                  <v>137.4660472548416</v>
                </pt>
                <pt idx="7">
                  <v>141.4558244940937</v>
                </pt>
                <pt idx="8">
                  <v>167.115238934812</v>
                </pt>
                <pt idx="9">
                  <v>160.5794310344608</v>
                </pt>
                <pt idx="10">
                  <v>176.1097635943437</v>
                </pt>
                <pt idx="11">
                  <v>194.4095358082685</v>
                </pt>
                <pt idx="12">
                  <v>196.396297455627</v>
                </pt>
                <pt idx="13">
                  <v>215.0450449749406</v>
                </pt>
                <pt idx="14">
                  <v>220.2786366784253</v>
                </pt>
                <pt idx="15">
                  <v>228.4857118671839</v>
                </pt>
                <pt idx="16">
                  <v>241.2439232793892</v>
                </pt>
                <pt idx="17">
                  <v>261.3961473371179</v>
                </pt>
                <pt idx="18">
                  <v>251.9673282751754</v>
                </pt>
                <pt idx="19">
                  <v>249.7278681271985</v>
                </pt>
                <pt idx="20">
                  <v>273.7150409905238</v>
                </pt>
                <pt idx="21">
                  <v>258.9174842564</v>
                </pt>
                <pt idx="22">
                  <v>268.7927966209265</v>
                </pt>
                <pt idx="23">
                  <v>265.4824606971452</v>
                </pt>
                <pt idx="24">
                  <v>253.6370227527636</v>
                </pt>
                <pt idx="25">
                  <v>262.7548434852893</v>
                </pt>
                <pt idx="26">
                  <v>253.9148101975453</v>
                </pt>
                <pt idx="27">
                  <v>253.748238320312</v>
                </pt>
                <pt idx="28">
                  <v>237.4046951101087</v>
                </pt>
                <pt idx="29">
                  <v>230.0353420074885</v>
                </pt>
                <pt idx="30">
                  <v>208.8220272535724</v>
                </pt>
                <pt idx="31">
                  <v>201.6642296015629</v>
                </pt>
                <pt idx="32">
                  <v>200.1167225823432</v>
                </pt>
                <pt idx="33">
                  <v>210.8483953416035</v>
                </pt>
                <pt idx="34">
                  <v>180.5581841932563</v>
                </pt>
                <pt idx="35">
                  <v>181.7291755177202</v>
                </pt>
                <pt idx="36">
                  <v>170.6281729970239</v>
                </pt>
                <pt idx="37">
                  <v>171.3855791373828</v>
                </pt>
                <pt idx="38">
                  <v>176.6662419277824</v>
                </pt>
                <pt idx="39">
                  <v>191.2465178874161</v>
                </pt>
                <pt idx="40">
                  <v>197.6655729751738</v>
                </pt>
                <pt idx="41">
                  <v>200.9817873532742</v>
                </pt>
                <pt idx="42">
                  <v>184.5442092413606</v>
                </pt>
                <pt idx="43">
                  <v>211.6343099261097</v>
                </pt>
                <pt idx="44">
                  <v>202.9365801484949</v>
                </pt>
                <pt idx="45">
                  <v>239.1871485288169</v>
                </pt>
                <pt idx="46">
                  <v>236.1887203554129</v>
                </pt>
                <pt idx="47">
                  <v>264.8535608975177</v>
                </pt>
                <pt idx="48">
                  <v>273.2461044321223</v>
                </pt>
                <pt idx="49">
                  <v>284.9525044866856</v>
                </pt>
                <pt idx="50">
                  <v>280.7134400393696</v>
                </pt>
                <pt idx="51">
                  <v>316.3148780494805</v>
                </pt>
                <pt idx="52">
                  <v>319.4152549266454</v>
                </pt>
                <pt idx="53">
                  <v>328.4448057508986</v>
                </pt>
                <pt idx="54">
                  <v>342.0571204684842</v>
                </pt>
                <pt idx="55">
                  <v>350.9183412247295</v>
                </pt>
                <pt idx="56">
                  <v>340.916814065535</v>
                </pt>
                <pt idx="57">
                  <v>355.1521998700699</v>
                </pt>
                <pt idx="58">
                  <v>353.2610093246909</v>
                </pt>
                <pt idx="59">
                  <v>338.6571544092517</v>
                </pt>
                <pt idx="60">
                  <v>336.9764483808808</v>
                </pt>
                <pt idx="61">
                  <v>326.2473250327614</v>
                </pt>
                <pt idx="62">
                  <v>331.8773601234619</v>
                </pt>
                <pt idx="63">
                  <v>310.2424726216749</v>
                </pt>
                <pt idx="64">
                  <v>313.2831784265769</v>
                </pt>
                <pt idx="65">
                  <v>296.8437612591667</v>
                </pt>
                <pt idx="66">
                  <v>289.342268541003</v>
                </pt>
                <pt idx="67">
                  <v>290.5597784751114</v>
                </pt>
                <pt idx="68">
                  <v>271.7435298342176</v>
                </pt>
                <pt idx="69">
                  <v>271.7227708541989</v>
                </pt>
                <pt idx="70">
                  <v>260.2713841318971</v>
                </pt>
                <pt idx="71">
                  <v>276.4936352896954</v>
                </pt>
                <pt idx="72">
                  <v>268.5791759815676</v>
                </pt>
                <pt idx="73">
                  <v>273.9345988471122</v>
                </pt>
                <pt idx="74">
                  <v>279.55588840773</v>
                </pt>
                <pt idx="75">
                  <v>286.69936407981</v>
                </pt>
                <pt idx="76">
                  <v>316.6082081776694</v>
                </pt>
                <pt idx="77">
                  <v>332.4494775976942</v>
                </pt>
                <pt idx="78">
                  <v>317.9181288017518</v>
                </pt>
                <pt idx="79">
                  <v>343.3798658737078</v>
                </pt>
                <pt idx="80">
                  <v>338.1583070998273</v>
                </pt>
                <pt idx="81">
                  <v>363.814542334925</v>
                </pt>
                <pt idx="82">
                  <v>371.186419883424</v>
                </pt>
                <pt idx="83">
                  <v>365.6884368087795</v>
                </pt>
                <pt idx="84">
                  <v>392.0220541536099</v>
                </pt>
                <pt idx="85">
                  <v>397.0709705715657</v>
                </pt>
                <pt idx="86">
                  <v>381.3731024685083</v>
                </pt>
                <pt idx="87">
                  <v>387.1431058674635</v>
                </pt>
                <pt idx="88">
                  <v>413.2956148642764</v>
                </pt>
                <pt idx="89">
                  <v>405.1793484681727</v>
                </pt>
                <pt idx="90">
                  <v>416.6302400609162</v>
                </pt>
                <pt idx="91">
                  <v>425.3137375368846</v>
                </pt>
                <pt idx="92">
                  <v>420.9575928892744</v>
                </pt>
                <pt idx="93">
                  <v>418.7700178970381</v>
                </pt>
                <pt idx="94">
                  <v>432.8844458250974</v>
                </pt>
                <pt idx="95">
                  <v>448.8683161255995</v>
                </pt>
                <pt idx="96">
                  <v>437.9918993100179</v>
                </pt>
                <pt idx="97">
                  <v>458.9108914727526</v>
                </pt>
                <pt idx="98">
                  <v>462.5412492823468</v>
                </pt>
                <pt idx="99">
                  <v>470.1016319483541</v>
                </pt>
                <pt idx="100">
                  <v>471.5144848831216</v>
                </pt>
                <pt idx="101">
                  <v>470.5815738170562</v>
                </pt>
                <pt idx="102">
                  <v>480.618285675218</v>
                </pt>
                <pt idx="103">
                  <v>460.6206107904381</v>
                </pt>
                <pt idx="104">
                  <v>475.6659223963138</v>
                </pt>
                <pt idx="105">
                  <v>470.2640951439132</v>
                </pt>
                <pt idx="106">
                  <v>442.9570814542643</v>
                </pt>
                <pt idx="107">
                  <v>455.8100478474453</v>
                </pt>
                <pt idx="108">
                  <v>447.753442721982</v>
                </pt>
                <pt idx="109">
                  <v>437.2320321691246</v>
                </pt>
                <pt idx="110">
                  <v>426.4950993655156</v>
                </pt>
                <pt idx="111">
                  <v>423.3056803950691</v>
                </pt>
                <pt idx="112">
                  <v>426.0147467563443</v>
                </pt>
                <pt idx="113">
                  <v>404.9650488224043</v>
                </pt>
                <pt idx="114">
                  <v>420.1474189559781</v>
                </pt>
                <pt idx="115">
                  <v>420.9762420978345</v>
                </pt>
                <pt idx="116">
                  <v>435.9830082671363</v>
                </pt>
                <pt idx="117">
                  <v>431.1058067229253</v>
                </pt>
                <pt idx="118">
                  <v>440.9944102420088</v>
                </pt>
                <pt idx="119">
                  <v>474.2327866718329</v>
                </pt>
                <pt idx="120">
                  <v>480.4480285892225</v>
                </pt>
                <pt idx="121">
                  <v>482.7451811280071</v>
                </pt>
                <pt idx="122">
                  <v>497.5816531469721</v>
                </pt>
                <pt idx="123">
                  <v>516.864115303311</v>
                </pt>
                <pt idx="124">
                  <v>534.5064840723982</v>
                </pt>
                <pt idx="125">
                  <v>549.7308148692482</v>
                </pt>
                <pt idx="126">
                  <v>536.8431041026677</v>
                </pt>
                <pt idx="127">
                  <v>562.9190196746022</v>
                </pt>
                <pt idx="128">
                  <v>561.6697690574489</v>
                </pt>
                <pt idx="129">
                  <v>568.643638224831</v>
                </pt>
                <pt idx="130">
                  <v>548.8146920903409</v>
                </pt>
                <pt idx="131">
                  <v>539.5212853164131</v>
                </pt>
                <pt idx="132">
                  <v>533.6920620973987</v>
                </pt>
                <pt idx="133">
                  <v>524.4263848132822</v>
                </pt>
                <pt idx="134">
                  <v>534.4078318791427</v>
                </pt>
                <pt idx="135">
                  <v>503.483802248403</v>
                </pt>
                <pt idx="136">
                  <v>497.2264534493298</v>
                </pt>
                <pt idx="137">
                  <v>479.6019721372586</v>
                </pt>
                <pt idx="138">
                  <v>481.2258795743999</v>
                </pt>
                <pt idx="139">
                  <v>478.279373718722</v>
                </pt>
                <pt idx="140">
                  <v>454.2022007690483</v>
                </pt>
                <pt idx="141">
                  <v>437.9381023255097</v>
                </pt>
                <pt idx="142">
                  <v>444.9386077034492</v>
                </pt>
                <pt idx="143">
                  <v>434.4446789557209</v>
                </pt>
                <pt idx="144">
                  <v>422.8387186345762</v>
                </pt>
                <pt idx="145">
                  <v>434.1242349583912</v>
                </pt>
                <pt idx="146">
                  <v>428.8351991704085</v>
                </pt>
                <pt idx="147">
                  <v>408.8461924087269</v>
                </pt>
                <pt idx="148">
                  <v>412.5510006804454</v>
                </pt>
                <pt idx="149">
                  <v>415.5675277705944</v>
                </pt>
                <pt idx="150">
                  <v>399.3459317049312</v>
                </pt>
                <pt idx="151">
                  <v>395.616361037493</v>
                </pt>
                <pt idx="152">
                  <v>400.308917557895</v>
                </pt>
                <pt idx="153">
                  <v>406.2017834650269</v>
                </pt>
                <pt idx="154">
                  <v>402.8973585502039</v>
                </pt>
                <pt idx="155">
                  <v>412.5967385351173</v>
                </pt>
                <pt idx="156">
                  <v>417.3671248555892</v>
                </pt>
                <pt idx="157">
                  <v>414.0307836021328</v>
                </pt>
                <pt idx="158">
                  <v>429.3392633910821</v>
                </pt>
                <pt idx="159">
                  <v>436.6642525095558</v>
                </pt>
                <pt idx="160">
                  <v>439.0113020884787</v>
                </pt>
                <pt idx="161">
                  <v>441.7637232897853</v>
                </pt>
                <pt idx="162">
                  <v>441.2537143317768</v>
                </pt>
                <pt idx="163">
                  <v>444.1394266764314</v>
                </pt>
                <pt idx="164">
                  <v>447.7794532624074</v>
                </pt>
                <pt idx="165">
                  <v>442.5092715341821</v>
                </pt>
                <pt idx="166">
                  <v>438.1289491107309</v>
                </pt>
                <pt idx="167">
                  <v>431.2131008039683</v>
                </pt>
                <pt idx="168">
                  <v>441.2625072507224</v>
                </pt>
                <pt idx="169">
                  <v>415.4369773441946</v>
                </pt>
                <pt idx="170">
                  <v>418.8320748478185</v>
                </pt>
                <pt idx="171">
                  <v>390.1569109362468</v>
                </pt>
                <pt idx="172">
                  <v>387.3749410179922</v>
                </pt>
                <pt idx="173">
                  <v>383.4871392298647</v>
                </pt>
                <pt idx="174">
                  <v>346.2287328646241</v>
                </pt>
                <pt idx="175">
                  <v>337.0351401858358</v>
                </pt>
                <pt idx="176">
                  <v>312.1836981889862</v>
                </pt>
                <pt idx="177">
                  <v>310.4659866511931</v>
                </pt>
                <pt idx="178">
                  <v>283.981710186696</v>
                </pt>
                <pt idx="179">
                  <v>263.5246591496981</v>
                </pt>
                <pt idx="180">
                  <v>258.3810354027646</v>
                </pt>
                <pt idx="181">
                  <v>239.9861394624414</v>
                </pt>
                <pt idx="182">
                  <v>239.5805230601625</v>
                </pt>
                <pt idx="183">
                  <v>216.5615747337968</v>
                </pt>
                <pt idx="184">
                  <v>222.437703421877</v>
                </pt>
                <pt idx="185">
                  <v>227.9718019768222</v>
                </pt>
                <pt idx="186">
                  <v>226.0841822180854</v>
                </pt>
                <pt idx="187">
                  <v>226.2394249125868</v>
                </pt>
                <pt idx="188">
                  <v>243.2704274883201</v>
                </pt>
                <pt idx="189">
                  <v>248.8414359782273</v>
                </pt>
                <pt idx="190">
                  <v>242.0089081204231</v>
                </pt>
                <pt idx="191">
                  <v>242.6378827008608</v>
                </pt>
                <pt idx="192">
                  <v>251.8480330414438</v>
                </pt>
                <pt idx="193">
                  <v>274.3131350022337</v>
                </pt>
                <pt idx="194">
                  <v>277.2699134824556</v>
                </pt>
                <pt idx="195">
                  <v>280.6842863692354</v>
                </pt>
                <pt idx="196">
                  <v>282.3717678695042</v>
                </pt>
                <pt idx="197">
                  <v>311.181919337271</v>
                </pt>
                <pt idx="198">
                  <v>302.8435496777789</v>
                </pt>
                <pt idx="199">
                  <v>298.9294049077882</v>
                </pt>
                <pt idx="200">
                  <v>304.8211728122678</v>
                </pt>
                <pt idx="201">
                  <v>300.6975060151263</v>
                </pt>
                <pt idx="202">
                  <v>276.5571077382654</v>
                </pt>
                <pt idx="203">
                  <v>269.2155410168153</v>
                </pt>
                <pt idx="204">
                  <v>271.1262021129023</v>
                </pt>
                <pt idx="205">
                  <v>259.7768551367322</v>
                </pt>
                <pt idx="206">
                  <v>247.2629698422237</v>
                </pt>
                <pt idx="207">
                  <v>225.3552826031468</v>
                </pt>
                <pt idx="208">
                  <v>208.8401598483281</v>
                </pt>
                <pt idx="209">
                  <v>178.9629634022754</v>
                </pt>
                <pt idx="210">
                  <v>165.2657325139355</v>
                </pt>
                <pt idx="211">
                  <v>168.7818798773847</v>
                </pt>
                <pt idx="212">
                  <v>147.2236511039814</v>
                </pt>
                <pt idx="213">
                  <v>125.2640973672651</v>
                </pt>
                <pt idx="214">
                  <v>119.0748447164613</v>
                </pt>
                <pt idx="215">
                  <v>107.7527102272833</v>
                </pt>
                <pt idx="216">
                  <v>124.997153734733</v>
                </pt>
                <pt idx="217">
                  <v>114.2648488800617</v>
                </pt>
                <pt idx="218">
                  <v>109.5440236905922</v>
                </pt>
                <pt idx="219">
                  <v>115.8187403149098</v>
                </pt>
                <pt idx="220">
                  <v>115.2352516171991</v>
                </pt>
                <pt idx="221">
                  <v>136.9862007623851</v>
                </pt>
                <pt idx="222">
                  <v>137.0828963277931</v>
                </pt>
                <pt idx="223">
                  <v>159.6183131652743</v>
                </pt>
                <pt idx="224">
                  <v>166.9931224443313</v>
                </pt>
                <pt idx="225">
                  <v>164.0684238718555</v>
                </pt>
                <pt idx="226">
                  <v>183.5232809151917</v>
                </pt>
                <pt idx="227">
                  <v>181.0418671910583</v>
                </pt>
                <pt idx="228">
                  <v>181.5418421561524</v>
                </pt>
                <pt idx="229">
                  <v>176.6795228662295</v>
                </pt>
                <pt idx="230">
                  <v>188.5060598638298</v>
                </pt>
                <pt idx="231">
                  <v>182.552269274569</v>
                </pt>
                <pt idx="232">
                  <v>186.9039056313416</v>
                </pt>
                <pt idx="233">
                  <v>190.0706248495408</v>
                </pt>
                <pt idx="234">
                  <v>200.6845452715871</v>
                </pt>
                <pt idx="235">
                  <v>178.2777126906697</v>
                </pt>
                <pt idx="236">
                  <v>194.5277817938577</v>
                </pt>
                <pt idx="237">
                  <v>188.3322187595174</v>
                </pt>
                <pt idx="238">
                  <v>193.7406778273125</v>
                </pt>
                <pt idx="239">
                  <v>168.9790164233354</v>
                </pt>
                <pt idx="240">
                  <v>179.3490111941471</v>
                </pt>
              </numCache>
            </numRef>
          </yVal>
          <smooth val="0"/>
        </ser>
        <ser>
          <idx val="2"/>
          <order val="2"/>
          <tx>
            <v>Nadir terrain</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Native_Chart_Data!$E$3:$E$243</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Native_Chart_Data!$F$3:$F$243</f>
              <numCache>
                <formatCode>General</formatCode>
                <ptCount val="241"/>
                <pt idx="0">
                  <v>2.764279037689313</v>
                </pt>
                <pt idx="1">
                  <v>19.64511700640947</v>
                </pt>
                <pt idx="2">
                  <v>7.970448353767724</v>
                </pt>
                <pt idx="3">
                  <v>21.74731356664842</v>
                </pt>
                <pt idx="4">
                  <v>31.86691354901535</v>
                </pt>
                <pt idx="5">
                  <v>34.58634748797326</v>
                </pt>
                <pt idx="6">
                  <v>55.44088303799376</v>
                </pt>
                <pt idx="7">
                  <v>57.32564727891993</v>
                </pt>
                <pt idx="8">
                  <v>61.55956835196879</v>
                </pt>
                <pt idx="9">
                  <v>38.49658216595124</v>
                </pt>
                <pt idx="10">
                  <v>46.51195593176057</v>
                </pt>
                <pt idx="11">
                  <v>49.77469341509185</v>
                </pt>
                <pt idx="12">
                  <v>37.91568406723211</v>
                </pt>
                <pt idx="13">
                  <v>49.30569233360873</v>
                </pt>
                <pt idx="14">
                  <v>54.96182668326468</v>
                </pt>
                <pt idx="15">
                  <v>41.91353942684466</v>
                </pt>
                <pt idx="16">
                  <v>44.0092440465048</v>
                </pt>
                <pt idx="17">
                  <v>32.49161928310632</v>
                </pt>
                <pt idx="18">
                  <v>39.10881658677256</v>
                </pt>
                <pt idx="19">
                  <v>47.99583170220943</v>
                </pt>
                <pt idx="20">
                  <v>29.03441966438908</v>
                </pt>
                <pt idx="21">
                  <v>51.90461728837901</v>
                </pt>
                <pt idx="22">
                  <v>39.64300304421553</v>
                </pt>
                <pt idx="23">
                  <v>40.32936018728046</v>
                </pt>
                <pt idx="24">
                  <v>55.67705400563339</v>
                </pt>
                <pt idx="25">
                  <v>53.97495918560951</v>
                </pt>
                <pt idx="26">
                  <v>61.21344274775934</v>
                </pt>
                <pt idx="27">
                  <v>57.529820703344</v>
                </pt>
                <pt idx="28">
                  <v>49.53962065283257</v>
                </pt>
                <pt idx="29">
                  <v>36.88291850821592</v>
                </pt>
                <pt idx="30">
                  <v>46.59917835352822</v>
                </pt>
                <pt idx="31">
                  <v>27.91531821493412</v>
                </pt>
                <pt idx="32">
                  <v>18.82539201019003</v>
                </pt>
                <pt idx="33">
                  <v>22.55480739682735</v>
                </pt>
                <pt idx="34">
                  <v>3.69479063881065</v>
                </pt>
                <pt idx="35">
                  <v>9.477549494288523</v>
                </pt>
                <pt idx="36">
                  <v>-8.691303525994272</v>
                </pt>
                <pt idx="37">
                  <v>-15.79255541476989</v>
                </pt>
                <pt idx="38">
                  <v>-17.88626699668162</v>
                </pt>
                <pt idx="39">
                  <v>-15.04297747430343</v>
                </pt>
                <pt idx="40">
                  <v>-31.23171106427489</v>
                </pt>
                <pt idx="41">
                  <v>-33.24115132609855</v>
                </pt>
                <pt idx="42">
                  <v>-32.02020136507765</v>
                </pt>
                <pt idx="43">
                  <v>-34.29538414795402</v>
                </pt>
                <pt idx="44">
                  <v>-21.15737906152213</v>
                </pt>
                <pt idx="45">
                  <v>-18.69341167436205</v>
                </pt>
                <pt idx="46">
                  <v>-25.83766278531854</v>
                </pt>
                <pt idx="47">
                  <v>-21.54803532318482</v>
                </pt>
                <pt idx="48">
                  <v>-2.286662206392558</v>
                </pt>
                <pt idx="49">
                  <v>-0.6339718611461809</v>
                </pt>
                <pt idx="50">
                  <v>-9.708529731781153</v>
                </pt>
                <pt idx="51">
                  <v>-9.859650826872929</v>
                </pt>
                <pt idx="52">
                  <v>0.233219012771956</v>
                </pt>
                <pt idx="53">
                  <v>8.500195567439437</v>
                </pt>
                <pt idx="54">
                  <v>12.88497261730699</v>
                </pt>
                <pt idx="55">
                  <v>14.19690676536596</v>
                </pt>
                <pt idx="56">
                  <v>5.730826646134426</v>
                </pt>
                <pt idx="57">
                  <v>9.295817115602365</v>
                </pt>
                <pt idx="58">
                  <v>-13.18958267522941</v>
                </pt>
                <pt idx="59">
                  <v>-7.467318037700602</v>
                </pt>
                <pt idx="60">
                  <v>-17.51801383367201</v>
                </pt>
                <pt idx="61">
                  <v>-36.16787829777626</v>
                </pt>
                <pt idx="62">
                  <v>-22.86382175599607</v>
                </pt>
                <pt idx="63">
                  <v>-29.73137452027505</v>
                </pt>
                <pt idx="64">
                  <v>-53.01751827704016</v>
                </pt>
                <pt idx="65">
                  <v>-63.02108594889231</v>
                </pt>
                <pt idx="66">
                  <v>-69.67153928411518</v>
                </pt>
                <pt idx="67">
                  <v>-78.11942002863731</v>
                </pt>
                <pt idx="68">
                  <v>-82.17349441978894</v>
                </pt>
                <pt idx="69">
                  <v>-104.3181370193013</v>
                </pt>
                <pt idx="70">
                  <v>-97.5529758835811</v>
                </pt>
                <pt idx="71">
                  <v>-113.6158285193004</v>
                </pt>
                <pt idx="72">
                  <v>-111.4885369071169</v>
                </pt>
                <pt idx="73">
                  <v>-125.6516279464796</v>
                </pt>
                <pt idx="74">
                  <v>-132.5457898426781</v>
                </pt>
                <pt idx="75">
                  <v>-138.29494668429</v>
                </pt>
                <pt idx="76">
                  <v>-144.0992283446906</v>
                </pt>
                <pt idx="77">
                  <v>-156.9345481530768</v>
                </pt>
                <pt idx="78">
                  <v>-142.377949921966</v>
                </pt>
                <pt idx="79">
                  <v>-140.5508651158499</v>
                </pt>
                <pt idx="80">
                  <v>-146.3282218712658</v>
                </pt>
                <pt idx="81">
                  <v>-140.0483381286437</v>
                </pt>
                <pt idx="82">
                  <v>-144.8835230998442</v>
                </pt>
                <pt idx="83">
                  <v>-136.6636656046221</v>
                </pt>
                <pt idx="84">
                  <v>-149.1225987749559</v>
                </pt>
                <pt idx="85">
                  <v>-139.0731304771746</v>
                </pt>
                <pt idx="86">
                  <v>-125.708748998396</v>
                </pt>
                <pt idx="87">
                  <v>-123.8686135723571</v>
                </pt>
                <pt idx="88">
                  <v>-97.48037396441562</v>
                </pt>
                <pt idx="89">
                  <v>-109.3171297207138</v>
                </pt>
                <pt idx="90">
                  <v>-90.49530902944495</v>
                </pt>
                <pt idx="91">
                  <v>-86.65248482679937</v>
                </pt>
                <pt idx="92">
                  <v>-84.36597258140502</v>
                </pt>
                <pt idx="93">
                  <v>-61.03205493353448</v>
                </pt>
                <pt idx="94">
                  <v>-64.09243482429542</v>
                </pt>
                <pt idx="95">
                  <v>-70.18392228131138</v>
                </pt>
                <pt idx="96">
                  <v>-47.55794552962975</v>
                </pt>
                <pt idx="97">
                  <v>-48.06780811544866</v>
                </pt>
                <pt idx="98">
                  <v>-43.28983557333215</v>
                </pt>
                <pt idx="99">
                  <v>-52.09631463655199</v>
                </pt>
                <pt idx="100">
                  <v>-49.42313152111188</v>
                </pt>
                <pt idx="101">
                  <v>-32.2775579750835</v>
                </pt>
                <pt idx="102">
                  <v>-47.4214748383975</v>
                </pt>
                <pt idx="103">
                  <v>-61.84832289166857</v>
                </pt>
                <pt idx="104">
                  <v>-39.34099577037003</v>
                </pt>
                <pt idx="105">
                  <v>-43.22381145165265</v>
                </pt>
                <pt idx="106">
                  <v>-48.04634011268098</v>
                </pt>
                <pt idx="107">
                  <v>-59.46630365560559</v>
                </pt>
                <pt idx="108">
                  <v>-61.09864536071647</v>
                </pt>
                <pt idx="109">
                  <v>-63.59054434613801</v>
                </pt>
                <pt idx="110">
                  <v>-73.64560445817172</v>
                </pt>
                <pt idx="111">
                  <v>-73.08935088189128</v>
                </pt>
                <pt idx="112">
                  <v>-74.23673097551541</v>
                </pt>
                <pt idx="113">
                  <v>-78.64906809360804</v>
                </pt>
                <pt idx="114">
                  <v>-67.68197739460362</v>
                </pt>
                <pt idx="115">
                  <v>-49.83449295863612</v>
                </pt>
                <pt idx="116">
                  <v>-59.60727995622125</v>
                </pt>
                <pt idx="117">
                  <v>-34.15455011761312</v>
                </pt>
                <pt idx="118">
                  <v>-38.26579288799343</v>
                </pt>
                <pt idx="119">
                  <v>-15.94982819545798</v>
                </pt>
                <pt idx="120">
                  <v>-4.948127387128106</v>
                </pt>
                <pt idx="121">
                  <v>2.259569132321303</v>
                </pt>
                <pt idx="122">
                  <v>43.07644622126787</v>
                </pt>
                <pt idx="123">
                  <v>46.8149548284789</v>
                </pt>
                <pt idx="124">
                  <v>65.55817790320465</v>
                </pt>
                <pt idx="125">
                  <v>70.90088362648228</v>
                </pt>
                <pt idx="126">
                  <v>82.12086586426281</v>
                </pt>
                <pt idx="127">
                  <v>98.61636326587373</v>
                </pt>
                <pt idx="128">
                  <v>96.36311355528144</v>
                </pt>
                <pt idx="129">
                  <v>82.51998590748882</v>
                </pt>
                <pt idx="130">
                  <v>98.94976350623145</v>
                </pt>
                <pt idx="131">
                  <v>97.11441747768893</v>
                </pt>
                <pt idx="132">
                  <v>70.34255347941284</v>
                </pt>
                <pt idx="133">
                  <v>77.64795080795966</v>
                </pt>
                <pt idx="134">
                  <v>66.91550989907311</v>
                </pt>
                <pt idx="135">
                  <v>56.20203743694557</v>
                </pt>
                <pt idx="136">
                  <v>45.99320506201067</v>
                </pt>
                <pt idx="137">
                  <v>35.42120810065494</v>
                </pt>
                <pt idx="138">
                  <v>29.62814972124355</v>
                </pt>
                <pt idx="139">
                  <v>5.649927018638348</v>
                </pt>
                <pt idx="140">
                  <v>-8.569441618173812</v>
                </pt>
                <pt idx="141">
                  <v>4.936290407774814</v>
                </pt>
                <pt idx="142">
                  <v>1.940367838437304</v>
                </pt>
                <pt idx="143">
                  <v>4.044824683821267</v>
                </pt>
                <pt idx="144">
                  <v>7.073891806129688</v>
                </pt>
                <pt idx="145">
                  <v>-5.687454175445142</v>
                </pt>
                <pt idx="146">
                  <v>-3.618490966575764</v>
                </pt>
                <pt idx="147">
                  <v>0.04576132524433074</v>
                </pt>
                <pt idx="148">
                  <v>17.14805919414721</v>
                </pt>
                <pt idx="149">
                  <v>27.32542795072857</v>
                </pt>
                <pt idx="150">
                  <v>45.36290563914056</v>
                </pt>
                <pt idx="151">
                  <v>49.09017964195046</v>
                </pt>
                <pt idx="152">
                  <v>69.72018804418229</v>
                </pt>
                <pt idx="153">
                  <v>71.50919840907298</v>
                </pt>
                <pt idx="154">
                  <v>58.58618709398458</v>
                </pt>
                <pt idx="155">
                  <v>65.71226511619231</v>
                </pt>
                <pt idx="156">
                  <v>70.50298613715029</v>
                </pt>
                <pt idx="157">
                  <v>84.15381309689964</v>
                </pt>
                <pt idx="158">
                  <v>87.79516149602648</v>
                </pt>
                <pt idx="159">
                  <v>80.08578782325549</v>
                </pt>
                <pt idx="160">
                  <v>74.3316686390942</v>
                </pt>
                <pt idx="161">
                  <v>77.08298836787891</v>
                </pt>
                <pt idx="162">
                  <v>84.60608058368931</v>
                </pt>
                <pt idx="163">
                  <v>83.65167434978589</v>
                </pt>
                <pt idx="164">
                  <v>73.3658982637227</v>
                </pt>
                <pt idx="165">
                  <v>73.86322008676284</v>
                </pt>
                <pt idx="166">
                  <v>61.78154835850567</v>
                </pt>
                <pt idx="167">
                  <v>70.98866885242666</v>
                </pt>
                <pt idx="168">
                  <v>75.46815017056922</v>
                </pt>
                <pt idx="169">
                  <v>80.28816273423639</v>
                </pt>
                <pt idx="170">
                  <v>61.49854851819155</v>
                </pt>
                <pt idx="171">
                  <v>67.90188044896082</v>
                </pt>
                <pt idx="172">
                  <v>65.03267186217182</v>
                </pt>
                <pt idx="173">
                  <v>69.51659821200863</v>
                </pt>
                <pt idx="174">
                  <v>64.45446968061479</v>
                </pt>
                <pt idx="175">
                  <v>45.78588130375909</v>
                </pt>
                <pt idx="176">
                  <v>58.94439177362671</v>
                </pt>
                <pt idx="177">
                  <v>53.72705851492565</v>
                </pt>
                <pt idx="178">
                  <v>29.3621575955436</v>
                </pt>
                <pt idx="179">
                  <v>20.44582998899722</v>
                </pt>
                <pt idx="180">
                  <v>11.87911851420792</v>
                </pt>
                <pt idx="181">
                  <v>4.284803604386866</v>
                </pt>
                <pt idx="182">
                  <v>18.69232906138116</v>
                </pt>
                <pt idx="183">
                  <v>18.57980727911043</v>
                </pt>
                <pt idx="184">
                  <v>-1.358831660336268</v>
                </pt>
                <pt idx="185">
                  <v>5.846843018322446</v>
                </pt>
                <pt idx="186">
                  <v>-3.610290991247414</v>
                </pt>
                <pt idx="187">
                  <v>2.819381892846678</v>
                </pt>
                <pt idx="188">
                  <v>9.901578194152449</v>
                </pt>
                <pt idx="189">
                  <v>22.30619072538792</v>
                </pt>
                <pt idx="190">
                  <v>28.92396994213728</v>
                </pt>
                <pt idx="191">
                  <v>32.22761625647836</v>
                </pt>
                <pt idx="192">
                  <v>45.422536466318</v>
                </pt>
                <pt idx="193">
                  <v>44.98219479969489</v>
                </pt>
                <pt idx="194">
                  <v>58.36098804305038</v>
                </pt>
                <pt idx="195">
                  <v>56.08108474403666</v>
                </pt>
                <pt idx="196">
                  <v>74.89136844725374</v>
                </pt>
                <pt idx="197">
                  <v>81.22943665181958</v>
                </pt>
                <pt idx="198">
                  <v>82.75771702731363</v>
                </pt>
                <pt idx="199">
                  <v>76.31271490051972</v>
                </pt>
                <pt idx="200">
                  <v>66.26609020115302</v>
                </pt>
                <pt idx="201">
                  <v>60.15220516620921</v>
                </pt>
                <pt idx="202">
                  <v>52.60933898915909</v>
                </pt>
                <pt idx="203">
                  <v>58.38095189793533</v>
                </pt>
                <pt idx="204">
                  <v>34.52124211278962</v>
                </pt>
                <pt idx="205">
                  <v>40.25127636090155</v>
                </pt>
                <pt idx="206">
                  <v>33.32797910139238</v>
                </pt>
                <pt idx="207">
                  <v>20.5229483315575</v>
                </pt>
                <pt idx="208">
                  <v>7.051899638145716</v>
                </pt>
                <pt idx="209">
                  <v>-3.283716108943903</v>
                </pt>
                <pt idx="210">
                  <v>-4.7462079682678</v>
                </pt>
                <pt idx="211">
                  <v>-4.954776418919145</v>
                </pt>
                <pt idx="212">
                  <v>-0.04819256513620118</v>
                </pt>
                <pt idx="213">
                  <v>-12.32376640540756</v>
                </pt>
                <pt idx="214">
                  <v>5.624733438492097</v>
                </pt>
                <pt idx="215">
                  <v>4.725819493947934</v>
                </pt>
                <pt idx="216">
                  <v>-9.076914728959792</v>
                </pt>
                <pt idx="217">
                  <v>-2.040872790044316</v>
                </pt>
                <pt idx="218">
                  <v>10.43102720072224</v>
                </pt>
                <pt idx="219">
                  <v>-2.269930409454258</v>
                </pt>
                <pt idx="220">
                  <v>8.17258837755962</v>
                </pt>
                <pt idx="221">
                  <v>7.175411887720236</v>
                </pt>
                <pt idx="222">
                  <v>11.52523773866463</v>
                </pt>
                <pt idx="223">
                  <v>-4.550946531916537</v>
                </pt>
                <pt idx="224">
                  <v>-7.850949021571967</v>
                </pt>
                <pt idx="225">
                  <v>6.588346931965201</v>
                </pt>
                <pt idx="226">
                  <v>4.508396540761183</v>
                </pt>
                <pt idx="227">
                  <v>-0.1280560890739677</v>
                </pt>
                <pt idx="228">
                  <v>-7.852837825142384</v>
                </pt>
                <pt idx="229">
                  <v>-10.88592803052483</v>
                </pt>
                <pt idx="230">
                  <v>-2.739157825135949</v>
                </pt>
                <pt idx="231">
                  <v>-6.538094280084824</v>
                </pt>
                <pt idx="232">
                  <v>-4.357290177669684</v>
                </pt>
                <pt idx="233">
                  <v>21.715435034758</v>
                </pt>
                <pt idx="234">
                  <v>18.4135707545088</v>
                </pt>
                <pt idx="235">
                  <v>25.96877622316748</v>
                </pt>
                <pt idx="236">
                  <v>30.07018211325375</v>
                </pt>
                <pt idx="237">
                  <v>28.42529751808166</v>
                </pt>
                <pt idx="238">
                  <v>25.68701520498163</v>
                </pt>
                <pt idx="239">
                  <v>45.68157707931567</v>
                </pt>
                <pt idx="240">
                  <v>31.89413090916895</v>
                </pt>
              </numCache>
            </numRef>
          </yVal>
          <smooth val="0"/>
        </ser>
        <dLbls>
          <showLegendKey val="0"/>
          <showVal val="0"/>
          <showCatName val="0"/>
          <showSerName val="0"/>
          <showPercent val="0"/>
          <showBubbleSize val="0"/>
        </dLbls>
        <axId val="700002"/>
        <axId val="700003"/>
      </scatterChart>
      <valAx>
        <axId val="700002"/>
        <scaling>
          <orientation val="minMax"/>
          <max val="100"/>
          <min val="-1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03"/>
        <crosses val="min"/>
        <crossBetween val="midCat"/>
        <majorUnit val="50"/>
      </valAx>
      <valAx>
        <axId val="700003"/>
        <scaling>
          <orientation val="minMax"/>
          <max val="800"/>
          <min val="-40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Surface height (m)</a:t>
                </a:r>
              </a:p>
            </rich>
          </tx>
          <overlay val="0"/>
        </title>
        <numFmt formatCode="General" sourceLinked="0"/>
        <majorTickMark val="none"/>
        <minorTickMark val="none"/>
        <tickLblPos val="nextTo"/>
        <crossAx val="700002"/>
        <crosses val="min"/>
        <crossBetween val="midCat"/>
        <majorUnit val="2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Apparent Depth: Spacecraft Motion Distortion by Run</a:t>
            </a:r>
          </a:p>
        </rich>
      </tx>
      <overlay val="0"/>
    </title>
    <plotArea>
      <layout/>
      <scatterChart>
        <scatterStyle val="lineMarker"/>
        <varyColors val="0"/>
        <ser>
          <idx val="0"/>
          <order val="0"/>
          <tx>
            <v>Custom 400 km / 120 km pass</v>
          </tx>
          <spPr>
            <a:ln xmlns:a="http://schemas.openxmlformats.org/drawingml/2006/main" w="19050">
              <a:solidFill>
                <a:srgbClr val="0E74CA"/>
              </a:solidFill>
              <a:prstDash val="solid"/>
            </a:ln>
          </spPr>
          <marker>
            <symbol val="none"/>
            <spPr>
              <a:ln xmlns:a="http://schemas.openxmlformats.org/drawingml/2006/main">
                <a:prstDash val="solid"/>
              </a:ln>
            </spPr>
          </marker>
          <xVal>
            <numRef>
              <f>Native_Chart_Data!$A$248:$A$488</f>
              <numCache>
                <formatCode>General</formatCode>
                <ptCount val="241"/>
                <pt idx="0">
                  <v>-1</v>
                </pt>
                <pt idx="1">
                  <v>-0.992</v>
                </pt>
                <pt idx="2">
                  <v>-0.983</v>
                </pt>
                <pt idx="3">
                  <v>-0.975</v>
                </pt>
                <pt idx="4">
                  <v>-0.967</v>
                </pt>
                <pt idx="5">
                  <v>-0.958</v>
                </pt>
                <pt idx="6">
                  <v>-0.95</v>
                </pt>
                <pt idx="7">
                  <v>-0.9419999999999999</v>
                </pt>
                <pt idx="8">
                  <v>-0.9330000000000001</v>
                </pt>
                <pt idx="9">
                  <v>-0.925</v>
                </pt>
                <pt idx="10">
                  <v>-0.917</v>
                </pt>
                <pt idx="11">
                  <v>-0.908</v>
                </pt>
                <pt idx="12">
                  <v>-0.9</v>
                </pt>
                <pt idx="13">
                  <v>-0.892</v>
                </pt>
                <pt idx="14">
                  <v>-0.883</v>
                </pt>
                <pt idx="15">
                  <v>-0.875</v>
                </pt>
                <pt idx="16">
                  <v>-0.867</v>
                </pt>
                <pt idx="17">
                  <v>-0.858</v>
                </pt>
                <pt idx="18">
                  <v>-0.85</v>
                </pt>
                <pt idx="19">
                  <v>-0.842</v>
                </pt>
                <pt idx="20">
                  <v>-0.833</v>
                </pt>
                <pt idx="21">
                  <v>-0.825</v>
                </pt>
                <pt idx="22">
                  <v>-0.8169999999999999</v>
                </pt>
                <pt idx="23">
                  <v>-0.8080000000000001</v>
                </pt>
                <pt idx="24">
                  <v>-0.8</v>
                </pt>
                <pt idx="25">
                  <v>-0.792</v>
                </pt>
                <pt idx="26">
                  <v>-0.783</v>
                </pt>
                <pt idx="27">
                  <v>-0.775</v>
                </pt>
                <pt idx="28">
                  <v>-0.767</v>
                </pt>
                <pt idx="29">
                  <v>-0.758</v>
                </pt>
                <pt idx="30">
                  <v>-0.75</v>
                </pt>
                <pt idx="31">
                  <v>-0.742</v>
                </pt>
                <pt idx="32">
                  <v>-0.733</v>
                </pt>
                <pt idx="33">
                  <v>-0.725</v>
                </pt>
                <pt idx="34">
                  <v>-0.717</v>
                </pt>
                <pt idx="35">
                  <v>-0.708</v>
                </pt>
                <pt idx="36">
                  <v>-0.7</v>
                </pt>
                <pt idx="37">
                  <v>-0.6919999999999999</v>
                </pt>
                <pt idx="38">
                  <v>-0.6830000000000001</v>
                </pt>
                <pt idx="39">
                  <v>-0.675</v>
                </pt>
                <pt idx="40">
                  <v>-0.667</v>
                </pt>
                <pt idx="41">
                  <v>-0.658</v>
                </pt>
                <pt idx="42">
                  <v>-0.65</v>
                </pt>
                <pt idx="43">
                  <v>-0.642</v>
                </pt>
                <pt idx="44">
                  <v>-0.633</v>
                </pt>
                <pt idx="45">
                  <v>-0.625</v>
                </pt>
                <pt idx="46">
                  <v>-0.617</v>
                </pt>
                <pt idx="47">
                  <v>-0.608</v>
                </pt>
                <pt idx="48">
                  <v>-0.6</v>
                </pt>
                <pt idx="49">
                  <v>-0.592</v>
                </pt>
                <pt idx="50">
                  <v>-0.583</v>
                </pt>
                <pt idx="51">
                  <v>-0.575</v>
                </pt>
                <pt idx="52">
                  <v>-0.5669999999999999</v>
                </pt>
                <pt idx="53">
                  <v>-0.5580000000000001</v>
                </pt>
                <pt idx="54">
                  <v>-0.55</v>
                </pt>
                <pt idx="55">
                  <v>-0.542</v>
                </pt>
                <pt idx="56">
                  <v>-0.533</v>
                </pt>
                <pt idx="57">
                  <v>-0.525</v>
                </pt>
                <pt idx="58">
                  <v>-0.517</v>
                </pt>
                <pt idx="59">
                  <v>-0.508</v>
                </pt>
                <pt idx="60">
                  <v>-0.5</v>
                </pt>
                <pt idx="61">
                  <v>-0.492</v>
                </pt>
                <pt idx="62">
                  <v>-0.483</v>
                </pt>
                <pt idx="63">
                  <v>-0.475</v>
                </pt>
                <pt idx="64">
                  <v>-0.467</v>
                </pt>
                <pt idx="65">
                  <v>-0.458</v>
                </pt>
                <pt idx="66">
                  <v>-0.45</v>
                </pt>
                <pt idx="67">
                  <v>-0.442</v>
                </pt>
                <pt idx="68">
                  <v>-0.433</v>
                </pt>
                <pt idx="69">
                  <v>-0.425</v>
                </pt>
                <pt idx="70">
                  <v>-0.417</v>
                </pt>
                <pt idx="71">
                  <v>-0.408</v>
                </pt>
                <pt idx="72">
                  <v>-0.4</v>
                </pt>
                <pt idx="73">
                  <v>-0.392</v>
                </pt>
                <pt idx="74">
                  <v>-0.383</v>
                </pt>
                <pt idx="75">
                  <v>-0.375</v>
                </pt>
                <pt idx="76">
                  <v>-0.367</v>
                </pt>
                <pt idx="77">
                  <v>-0.358</v>
                </pt>
                <pt idx="78">
                  <v>-0.35</v>
                </pt>
                <pt idx="79">
                  <v>-0.342</v>
                </pt>
                <pt idx="80">
                  <v>-0.333</v>
                </pt>
                <pt idx="81">
                  <v>-0.325</v>
                </pt>
                <pt idx="82">
                  <v>-0.317</v>
                </pt>
                <pt idx="83">
                  <v>-0.308</v>
                </pt>
                <pt idx="84">
                  <v>-0.3</v>
                </pt>
                <pt idx="85">
                  <v>-0.292</v>
                </pt>
                <pt idx="86">
                  <v>-0.283</v>
                </pt>
                <pt idx="87">
                  <v>-0.275</v>
                </pt>
                <pt idx="88">
                  <v>-0.267</v>
                </pt>
                <pt idx="89">
                  <v>-0.258</v>
                </pt>
                <pt idx="90">
                  <v>-0.25</v>
                </pt>
                <pt idx="91">
                  <v>-0.242</v>
                </pt>
                <pt idx="92">
                  <v>-0.233</v>
                </pt>
                <pt idx="93">
                  <v>-0.225</v>
                </pt>
                <pt idx="94">
                  <v>-0.217</v>
                </pt>
                <pt idx="95">
                  <v>-0.208</v>
                </pt>
                <pt idx="96">
                  <v>-0.2</v>
                </pt>
                <pt idx="97">
                  <v>-0.192</v>
                </pt>
                <pt idx="98">
                  <v>-0.183</v>
                </pt>
                <pt idx="99">
                  <v>-0.175</v>
                </pt>
                <pt idx="100">
                  <v>-0.167</v>
                </pt>
                <pt idx="101">
                  <v>-0.158</v>
                </pt>
                <pt idx="102">
                  <v>-0.15</v>
                </pt>
                <pt idx="103">
                  <v>-0.142</v>
                </pt>
                <pt idx="104">
                  <v>-0.133</v>
                </pt>
                <pt idx="105">
                  <v>-0.125</v>
                </pt>
                <pt idx="106">
                  <v>-0.117</v>
                </pt>
                <pt idx="107">
                  <v>-0.108</v>
                </pt>
                <pt idx="108">
                  <v>-0.1</v>
                </pt>
                <pt idx="109">
                  <v>-0.092</v>
                </pt>
                <pt idx="110">
                  <v>-0.083</v>
                </pt>
                <pt idx="111">
                  <v>-0.075</v>
                </pt>
                <pt idx="112">
                  <v>-0.067</v>
                </pt>
                <pt idx="113">
                  <v>-0.058</v>
                </pt>
                <pt idx="114">
                  <v>-0.05</v>
                </pt>
                <pt idx="115">
                  <v>-0.042</v>
                </pt>
                <pt idx="116">
                  <v>-0.033</v>
                </pt>
                <pt idx="117">
                  <v>-0.025</v>
                </pt>
                <pt idx="118">
                  <v>-0.017</v>
                </pt>
                <pt idx="119">
                  <v>-0.008</v>
                </pt>
                <pt idx="120">
                  <v>0</v>
                </pt>
                <pt idx="121">
                  <v>0.008</v>
                </pt>
                <pt idx="122">
                  <v>0.017</v>
                </pt>
                <pt idx="123">
                  <v>0.025</v>
                </pt>
                <pt idx="124">
                  <v>0.033</v>
                </pt>
                <pt idx="125">
                  <v>0.042</v>
                </pt>
                <pt idx="126">
                  <v>0.05</v>
                </pt>
                <pt idx="127">
                  <v>0.058</v>
                </pt>
                <pt idx="128">
                  <v>0.067</v>
                </pt>
                <pt idx="129">
                  <v>0.075</v>
                </pt>
                <pt idx="130">
                  <v>0.083</v>
                </pt>
                <pt idx="131">
                  <v>0.092</v>
                </pt>
                <pt idx="132">
                  <v>0.1</v>
                </pt>
                <pt idx="133">
                  <v>0.108</v>
                </pt>
                <pt idx="134">
                  <v>0.117</v>
                </pt>
                <pt idx="135">
                  <v>0.125</v>
                </pt>
                <pt idx="136">
                  <v>0.133</v>
                </pt>
                <pt idx="137">
                  <v>0.142</v>
                </pt>
                <pt idx="138">
                  <v>0.15</v>
                </pt>
                <pt idx="139">
                  <v>0.158</v>
                </pt>
                <pt idx="140">
                  <v>0.167</v>
                </pt>
                <pt idx="141">
                  <v>0.175</v>
                </pt>
                <pt idx="142">
                  <v>0.183</v>
                </pt>
                <pt idx="143">
                  <v>0.192</v>
                </pt>
                <pt idx="144">
                  <v>0.2</v>
                </pt>
                <pt idx="145">
                  <v>0.208</v>
                </pt>
                <pt idx="146">
                  <v>0.217</v>
                </pt>
                <pt idx="147">
                  <v>0.225</v>
                </pt>
                <pt idx="148">
                  <v>0.233</v>
                </pt>
                <pt idx="149">
                  <v>0.242</v>
                </pt>
                <pt idx="150">
                  <v>0.25</v>
                </pt>
                <pt idx="151">
                  <v>0.258</v>
                </pt>
                <pt idx="152">
                  <v>0.267</v>
                </pt>
                <pt idx="153">
                  <v>0.275</v>
                </pt>
                <pt idx="154">
                  <v>0.283</v>
                </pt>
                <pt idx="155">
                  <v>0.292</v>
                </pt>
                <pt idx="156">
                  <v>0.3</v>
                </pt>
                <pt idx="157">
                  <v>0.308</v>
                </pt>
                <pt idx="158">
                  <v>0.317</v>
                </pt>
                <pt idx="159">
                  <v>0.325</v>
                </pt>
                <pt idx="160">
                  <v>0.333</v>
                </pt>
                <pt idx="161">
                  <v>0.342</v>
                </pt>
                <pt idx="162">
                  <v>0.35</v>
                </pt>
                <pt idx="163">
                  <v>0.358</v>
                </pt>
                <pt idx="164">
                  <v>0.367</v>
                </pt>
                <pt idx="165">
                  <v>0.375</v>
                </pt>
                <pt idx="166">
                  <v>0.383</v>
                </pt>
                <pt idx="167">
                  <v>0.392</v>
                </pt>
                <pt idx="168">
                  <v>0.4</v>
                </pt>
                <pt idx="169">
                  <v>0.408</v>
                </pt>
                <pt idx="170">
                  <v>0.417</v>
                </pt>
                <pt idx="171">
                  <v>0.425</v>
                </pt>
                <pt idx="172">
                  <v>0.433</v>
                </pt>
                <pt idx="173">
                  <v>0.442</v>
                </pt>
                <pt idx="174">
                  <v>0.45</v>
                </pt>
                <pt idx="175">
                  <v>0.458</v>
                </pt>
                <pt idx="176">
                  <v>0.467</v>
                </pt>
                <pt idx="177">
                  <v>0.475</v>
                </pt>
                <pt idx="178">
                  <v>0.483</v>
                </pt>
                <pt idx="179">
                  <v>0.492</v>
                </pt>
                <pt idx="180">
                  <v>0.5</v>
                </pt>
                <pt idx="181">
                  <v>0.508</v>
                </pt>
                <pt idx="182">
                  <v>0.517</v>
                </pt>
                <pt idx="183">
                  <v>0.525</v>
                </pt>
                <pt idx="184">
                  <v>0.533</v>
                </pt>
                <pt idx="185">
                  <v>0.542</v>
                </pt>
                <pt idx="186">
                  <v>0.55</v>
                </pt>
                <pt idx="187">
                  <v>0.5580000000000001</v>
                </pt>
                <pt idx="188">
                  <v>0.5669999999999999</v>
                </pt>
                <pt idx="189">
                  <v>0.575</v>
                </pt>
                <pt idx="190">
                  <v>0.583</v>
                </pt>
                <pt idx="191">
                  <v>0.592</v>
                </pt>
                <pt idx="192">
                  <v>0.6</v>
                </pt>
                <pt idx="193">
                  <v>0.608</v>
                </pt>
                <pt idx="194">
                  <v>0.617</v>
                </pt>
                <pt idx="195">
                  <v>0.625</v>
                </pt>
                <pt idx="196">
                  <v>0.633</v>
                </pt>
                <pt idx="197">
                  <v>0.642</v>
                </pt>
                <pt idx="198">
                  <v>0.65</v>
                </pt>
                <pt idx="199">
                  <v>0.658</v>
                </pt>
                <pt idx="200">
                  <v>0.667</v>
                </pt>
                <pt idx="201">
                  <v>0.675</v>
                </pt>
                <pt idx="202">
                  <v>0.6830000000000001</v>
                </pt>
                <pt idx="203">
                  <v>0.6919999999999999</v>
                </pt>
                <pt idx="204">
                  <v>0.7</v>
                </pt>
                <pt idx="205">
                  <v>0.708</v>
                </pt>
                <pt idx="206">
                  <v>0.717</v>
                </pt>
                <pt idx="207">
                  <v>0.725</v>
                </pt>
                <pt idx="208">
                  <v>0.733</v>
                </pt>
                <pt idx="209">
                  <v>0.742</v>
                </pt>
                <pt idx="210">
                  <v>0.75</v>
                </pt>
                <pt idx="211">
                  <v>0.758</v>
                </pt>
                <pt idx="212">
                  <v>0.767</v>
                </pt>
                <pt idx="213">
                  <v>0.775</v>
                </pt>
                <pt idx="214">
                  <v>0.783</v>
                </pt>
                <pt idx="215">
                  <v>0.792</v>
                </pt>
                <pt idx="216">
                  <v>0.8</v>
                </pt>
                <pt idx="217">
                  <v>0.8080000000000001</v>
                </pt>
                <pt idx="218">
                  <v>0.8169999999999999</v>
                </pt>
                <pt idx="219">
                  <v>0.825</v>
                </pt>
                <pt idx="220">
                  <v>0.833</v>
                </pt>
                <pt idx="221">
                  <v>0.842</v>
                </pt>
                <pt idx="222">
                  <v>0.85</v>
                </pt>
                <pt idx="223">
                  <v>0.858</v>
                </pt>
                <pt idx="224">
                  <v>0.867</v>
                </pt>
                <pt idx="225">
                  <v>0.875</v>
                </pt>
                <pt idx="226">
                  <v>0.883</v>
                </pt>
                <pt idx="227">
                  <v>0.892</v>
                </pt>
                <pt idx="228">
                  <v>0.9</v>
                </pt>
                <pt idx="229">
                  <v>0.908</v>
                </pt>
                <pt idx="230">
                  <v>0.917</v>
                </pt>
                <pt idx="231">
                  <v>0.925</v>
                </pt>
                <pt idx="232">
                  <v>0.9330000000000001</v>
                </pt>
                <pt idx="233">
                  <v>0.9419999999999999</v>
                </pt>
                <pt idx="234">
                  <v>0.95</v>
                </pt>
                <pt idx="235">
                  <v>0.958</v>
                </pt>
                <pt idx="236">
                  <v>0.967</v>
                </pt>
                <pt idx="237">
                  <v>0.975</v>
                </pt>
                <pt idx="238">
                  <v>0.983</v>
                </pt>
                <pt idx="239">
                  <v>0.992</v>
                </pt>
                <pt idx="240">
                  <v>1</v>
                </pt>
              </numCache>
            </numRef>
          </xVal>
          <yVal>
            <numRef>
              <f>Native_Chart_Data!$B$248:$B$488</f>
              <numCache>
                <formatCode>General</formatCode>
                <ptCount val="241"/>
                <pt idx="0">
                  <v>-28.60683575205121</v>
                </pt>
                <pt idx="1">
                  <v>-27.78286314959087</v>
                </pt>
                <pt idx="2">
                  <v>-26.87743448522451</v>
                </pt>
                <pt idx="3">
                  <v>-26.09146951146931</v>
                </pt>
                <pt idx="4">
                  <v>-25.32298739184625</v>
                </pt>
                <pt idx="5">
                  <v>-24.47902381513677</v>
                </pt>
                <pt idx="6">
                  <v>-23.74684466008694</v>
                </pt>
                <pt idx="7">
                  <v>-23.03135332022248</v>
                </pt>
                <pt idx="8">
                  <v>-22.24605982589537</v>
                </pt>
                <pt idx="9">
                  <v>-21.56519744727166</v>
                </pt>
                <pt idx="10">
                  <v>-20.90024248669988</v>
                </pt>
                <pt idx="11">
                  <v>-20.17087555141279</v>
                </pt>
                <pt idx="12">
                  <v>-19.53890712421207</v>
                </pt>
                <pt idx="13">
                  <v>-18.92208078858994</v>
                </pt>
                <pt idx="14">
                  <v>-18.24594987093087</v>
                </pt>
                <pt idx="15">
                  <v>-17.6605001139551</v>
                </pt>
                <pt idx="16">
                  <v>-17.08944261679972</v>
                </pt>
                <pt idx="17">
                  <v>-16.46391163953194</v>
                </pt>
                <pt idx="18">
                  <v>-15.92265412907363</v>
                </pt>
                <pt idx="19">
                  <v>-15.39505495210642</v>
                </pt>
                <pt idx="20">
                  <v>-14.81754376156414</v>
                </pt>
                <pt idx="21">
                  <v>-14.31820222048145</v>
                </pt>
                <pt idx="22">
                  <v>-13.83180140237528</v>
                </pt>
                <pt idx="23">
                  <v>-13.29978720888084</v>
                </pt>
                <pt idx="24">
                  <v>-12.84013677697476</v>
                </pt>
                <pt idx="25">
                  <v>-12.39272618006999</v>
                </pt>
                <pt idx="26">
                  <v>-11.90374496671757</v>
                </pt>
                <pt idx="27">
                  <v>-11.48161345618246</v>
                </pt>
                <pt idx="28">
                  <v>-11.0710380019982</v>
                </pt>
                <pt idx="29">
                  <v>-10.62268592348209</v>
                </pt>
                <pt idx="30">
                  <v>-10.23595503838396</v>
                </pt>
                <pt idx="31">
                  <v>-9.860113936746529</v>
                </pt>
                <pt idx="32">
                  <v>-9.450048673227229</v>
                </pt>
                <pt idx="33">
                  <v>-9.096655219469085</v>
                </pt>
                <pt idx="34">
                  <v>-8.753503156986426</v>
                </pt>
                <pt idx="35">
                  <v>-8.379445258978194</v>
                </pt>
                <pt idx="36">
                  <v>-8.057382321536807</v>
                </pt>
                <pt idx="37">
                  <v>-7.744930637363723</v>
                </pt>
                <pt idx="38">
                  <v>-7.404664824446172</v>
                </pt>
                <pt idx="39">
                  <v>-7.111982920109767</v>
                </pt>
                <pt idx="40">
                  <v>-6.828300748499714</v>
                </pt>
                <pt idx="41">
                  <v>-6.51967719021377</v>
                </pt>
                <pt idx="42">
                  <v>-6.254485391421895</v>
                </pt>
                <pt idx="43">
                  <v>-5.997700776976217</v>
                </pt>
                <pt idx="44">
                  <v>-5.718636339065142</v>
                </pt>
                <pt idx="45">
                  <v>-5.479103372775171</v>
                </pt>
                <pt idx="46">
                  <v>-5.247404357237883</v>
                </pt>
                <pt idx="47">
                  <v>-4.995883813084447</v>
                </pt>
                <pt idx="48">
                  <v>-4.780239127223922</v>
                </pt>
                <pt idx="49">
                  <v>-4.571874809995052</v>
                </pt>
                <pt idx="50">
                  <v>-4.345952012872885</v>
                </pt>
                <pt idx="51">
                  <v>-4.152486814658005</v>
                </pt>
                <pt idx="52">
                  <v>-3.965768378529674</v>
                </pt>
                <pt idx="53">
                  <v>-3.763567414630188</v>
                </pt>
                <pt idx="54">
                  <v>-3.590635671074324</v>
                </pt>
                <pt idx="55">
                  <v>-3.423937371721422</v>
                </pt>
                <pt idx="56">
                  <v>-3.243653659340225</v>
                </pt>
                <pt idx="57">
                  <v>-3.089673071670859</v>
                </pt>
                <pt idx="58">
                  <v>-2.941433207470027</v>
                </pt>
                <pt idx="59">
                  <v>-2.781334565247334</v>
                </pt>
                <pt idx="60">
                  <v>-2.644787506822922</v>
                </pt>
                <pt idx="61">
                  <v>-2.513509340354176</v>
                </pt>
                <pt idx="62">
                  <v>-2.371937016364882</v>
                </pt>
                <pt idx="63">
                  <v>-2.251371436165755</v>
                </pt>
                <pt idx="64">
                  <v>-2.13562408544135</v>
                </pt>
                <pt idx="65">
                  <v>-2.010993750804801</v>
                </pt>
                <pt idx="66">
                  <v>-1.905024041508568</v>
                </pt>
                <pt idx="67">
                  <v>-1.803443336009423</v>
                </pt>
                <pt idx="68">
                  <v>-1.694246029607257</v>
                </pt>
                <pt idx="69">
                  <v>-1.601553853415453</v>
                </pt>
                <pt idx="70">
                  <v>-1.512843152252799</v>
                </pt>
                <pt idx="71">
                  <v>-1.417646187861919</v>
                </pt>
                <pt idx="72">
                  <v>-1.336981274958362</v>
                </pt>
                <pt idx="73">
                  <v>-1.259912249236322</v>
                </pt>
                <pt idx="74">
                  <v>-1.177360076066975</v>
                </pt>
                <pt idx="75">
                  <v>-1.107540974471704</v>
                </pt>
                <pt idx="76">
                  <v>-1.040954345966043</v>
                </pt>
                <pt idx="77">
                  <v>-0.9697693759256936</v>
                </pt>
                <pt idx="78">
                  <v>-0.9096841644008009</v>
                </pt>
                <pt idx="79">
                  <v>-0.8524904108952569</v>
                </pt>
                <pt idx="80">
                  <v>-0.791473780832689</v>
                </pt>
                <pt idx="81">
                  <v>-0.7400807499819848</v>
                </pt>
                <pt idx="82">
                  <v>-0.6912607618419315</v>
                </pt>
                <pt idx="83">
                  <v>-0.6392930692547907</v>
                </pt>
                <pt idx="84">
                  <v>-0.5956213488765343</v>
                </pt>
                <pt idx="85">
                  <v>-0.554227051803764</v>
                </pt>
                <pt idx="86">
                  <v>-0.5102690384285324</v>
                </pt>
                <pt idx="87">
                  <v>-0.4734191912100414</v>
                </pt>
                <pt idx="88">
                  <v>-0.4385741250238198</v>
                </pt>
                <pt idx="89">
                  <v>-0.4016673031354685</v>
                </pt>
                <pt idx="90">
                  <v>-0.3708118751720804</v>
                </pt>
                <pt idx="91">
                  <v>-0.3417117286797975</v>
                </pt>
                <pt idx="92">
                  <v>-0.3109789747541072</v>
                </pt>
                <pt idx="93">
                  <v>-0.2853629991561775</v>
                </pt>
                <pt idx="94">
                  <v>-0.2612761018814354</v>
                </pt>
                <pt idx="95">
                  <v>-0.235922191114355</v>
                </pt>
                <pt idx="96">
                  <v>-0.2148636522076686</v>
                </pt>
                <pt idx="97">
                  <v>-0.1951314257202057</v>
                </pt>
                <pt idx="98">
                  <v>-0.1744435194766538</v>
                </pt>
                <pt idx="99">
                  <v>-0.1573337744011951</v>
                </pt>
                <pt idx="100">
                  <v>-0.1413711323606321</v>
                </pt>
                <pt idx="101">
                  <v>-0.1247192180723005</v>
                </pt>
                <pt idx="102">
                  <v>-0.1110233672866343</v>
                </pt>
                <pt idx="103">
                  <v>-0.09831908205035234</v>
                </pt>
                <pt idx="104">
                  <v>-0.08515635971855318</v>
                </pt>
                <pt idx="105">
                  <v>-0.07441357867173792</v>
                </pt>
                <pt idx="106">
                  <v>-0.06453059099612801</v>
                </pt>
                <pt idx="107">
                  <v>-0.05439381022904399</v>
                </pt>
                <pt idx="108">
                  <v>-0.04621763118234412</v>
                </pt>
                <pt idx="109">
                  <v>-0.03879332262363278</v>
                </pt>
                <pt idx="110">
                  <v>-0.0313030724098553</v>
                </pt>
                <pt idx="111">
                  <v>-0.02538162771395491</v>
                </pt>
                <pt idx="112">
                  <v>-0.02012804017840608</v>
                </pt>
                <pt idx="113">
                  <v>-0.01498897683529776</v>
                </pt>
                <pt idx="114">
                  <v>-0.0110851852361975</v>
                </pt>
                <pt idx="115">
                  <v>-0.007789207541122778</v>
                </pt>
                <pt idx="116">
                  <v>-0.00479024185108301</v>
                </pt>
                <pt idx="117">
                  <v>-0.002741960690059386</v>
                </pt>
                <pt idx="118">
                  <v>-0.001265452661527888</v>
                </pt>
                <pt idx="119">
                  <v>-0.0002798786321136504</v>
                </pt>
                <pt idx="120">
                  <v>0</v>
                </pt>
                <pt idx="121">
                  <v>-0.0002798786321136504</v>
                </pt>
                <pt idx="122">
                  <v>-0.001265452661527888</v>
                </pt>
                <pt idx="123">
                  <v>-0.002741960690059386</v>
                </pt>
                <pt idx="124">
                  <v>-0.00479024185108301</v>
                </pt>
                <pt idx="125">
                  <v>-0.007789207541122778</v>
                </pt>
                <pt idx="126">
                  <v>-0.0110851852361975</v>
                </pt>
                <pt idx="127">
                  <v>-0.01498897683529776</v>
                </pt>
                <pt idx="128">
                  <v>-0.02012804017840608</v>
                </pt>
                <pt idx="129">
                  <v>-0.02538162771395491</v>
                </pt>
                <pt idx="130">
                  <v>-0.0313030724098553</v>
                </pt>
                <pt idx="131">
                  <v>-0.03879332262363278</v>
                </pt>
                <pt idx="132">
                  <v>-0.04621763118234412</v>
                </pt>
                <pt idx="133">
                  <v>-0.05439381022904399</v>
                </pt>
                <pt idx="134">
                  <v>-0.06453059099612801</v>
                </pt>
                <pt idx="135">
                  <v>-0.07441357867173792</v>
                </pt>
                <pt idx="136">
                  <v>-0.08515635971855318</v>
                </pt>
                <pt idx="137">
                  <v>-0.09831908205035234</v>
                </pt>
                <pt idx="138">
                  <v>-0.1110233672866343</v>
                </pt>
                <pt idx="139">
                  <v>-0.1247192180723005</v>
                </pt>
                <pt idx="140">
                  <v>-0.1413711323606321</v>
                </pt>
                <pt idx="141">
                  <v>-0.1573337744011951</v>
                </pt>
                <pt idx="142">
                  <v>-0.1744435194766538</v>
                </pt>
                <pt idx="143">
                  <v>-0.1951314257202057</v>
                </pt>
                <pt idx="144">
                  <v>-0.2148636522076686</v>
                </pt>
                <pt idx="145">
                  <v>-0.235922191114355</v>
                </pt>
                <pt idx="146">
                  <v>-0.2612761018814354</v>
                </pt>
                <pt idx="147">
                  <v>-0.2853629991561775</v>
                </pt>
                <pt idx="148">
                  <v>-0.3109789747541072</v>
                </pt>
                <pt idx="149">
                  <v>-0.3417117286797975</v>
                </pt>
                <pt idx="150">
                  <v>-0.3708118751720804</v>
                </pt>
                <pt idx="151">
                  <v>-0.4016673031354685</v>
                </pt>
                <pt idx="152">
                  <v>-0.4385741250238198</v>
                </pt>
                <pt idx="153">
                  <v>-0.4734191912100414</v>
                </pt>
                <pt idx="154">
                  <v>-0.5102690384285324</v>
                </pt>
                <pt idx="155">
                  <v>-0.554227051803764</v>
                </pt>
                <pt idx="156">
                  <v>-0.5956213488765343</v>
                </pt>
                <pt idx="157">
                  <v>-0.6392930692547907</v>
                </pt>
                <pt idx="158">
                  <v>-0.6912607618419315</v>
                </pt>
                <pt idx="159">
                  <v>-0.7400807499819848</v>
                </pt>
                <pt idx="160">
                  <v>-0.791473780832689</v>
                </pt>
                <pt idx="161">
                  <v>-0.8524904108952569</v>
                </pt>
                <pt idx="162">
                  <v>-0.9096841644008009</v>
                </pt>
                <pt idx="163">
                  <v>-0.9697693759256936</v>
                </pt>
                <pt idx="164">
                  <v>-1.040954345966043</v>
                </pt>
                <pt idx="165">
                  <v>-1.107540974471704</v>
                </pt>
                <pt idx="166">
                  <v>-1.177360076066975</v>
                </pt>
                <pt idx="167">
                  <v>-1.259912249236322</v>
                </pt>
                <pt idx="168">
                  <v>-1.336981274958362</v>
                </pt>
                <pt idx="169">
                  <v>-1.417646187861919</v>
                </pt>
                <pt idx="170">
                  <v>-1.512843152252799</v>
                </pt>
                <pt idx="171">
                  <v>-1.601553853415453</v>
                </pt>
                <pt idx="172">
                  <v>-1.694246029607257</v>
                </pt>
                <pt idx="173">
                  <v>-1.803443336009423</v>
                </pt>
                <pt idx="174">
                  <v>-1.905024041508568</v>
                </pt>
                <pt idx="175">
                  <v>-2.010993750804801</v>
                </pt>
                <pt idx="176">
                  <v>-2.13562408544135</v>
                </pt>
                <pt idx="177">
                  <v>-2.251371436165755</v>
                </pt>
                <pt idx="178">
                  <v>-2.371937016364882</v>
                </pt>
                <pt idx="179">
                  <v>-2.513509340354176</v>
                </pt>
                <pt idx="180">
                  <v>-2.644787506822922</v>
                </pt>
                <pt idx="181">
                  <v>-2.781334565247334</v>
                </pt>
                <pt idx="182">
                  <v>-2.941433207470027</v>
                </pt>
                <pt idx="183">
                  <v>-3.089673071670859</v>
                </pt>
                <pt idx="184">
                  <v>-3.243653659340225</v>
                </pt>
                <pt idx="185">
                  <v>-3.423937371721422</v>
                </pt>
                <pt idx="186">
                  <v>-3.590635671074324</v>
                </pt>
                <pt idx="187">
                  <v>-3.763567414630188</v>
                </pt>
                <pt idx="188">
                  <v>-3.965768378529674</v>
                </pt>
                <pt idx="189">
                  <v>-4.152486814658005</v>
                </pt>
                <pt idx="190">
                  <v>-4.345952012872885</v>
                </pt>
                <pt idx="191">
                  <v>-4.571874809995052</v>
                </pt>
                <pt idx="192">
                  <v>-4.780239127223922</v>
                </pt>
                <pt idx="193">
                  <v>-4.995883813084447</v>
                </pt>
                <pt idx="194">
                  <v>-5.247404357237883</v>
                </pt>
                <pt idx="195">
                  <v>-5.479103372775171</v>
                </pt>
                <pt idx="196">
                  <v>-5.718636339065142</v>
                </pt>
                <pt idx="197">
                  <v>-5.997700776976217</v>
                </pt>
                <pt idx="198">
                  <v>-6.254485391421895</v>
                </pt>
                <pt idx="199">
                  <v>-6.51967719021377</v>
                </pt>
                <pt idx="200">
                  <v>-6.828300748499714</v>
                </pt>
                <pt idx="201">
                  <v>-7.111982920109767</v>
                </pt>
                <pt idx="202">
                  <v>-7.404664824446172</v>
                </pt>
                <pt idx="203">
                  <v>-7.744930637363723</v>
                </pt>
                <pt idx="204">
                  <v>-8.057382321536807</v>
                </pt>
                <pt idx="205">
                  <v>-8.379445258978194</v>
                </pt>
                <pt idx="206">
                  <v>-8.753503156986426</v>
                </pt>
                <pt idx="207">
                  <v>-9.096655219469085</v>
                </pt>
                <pt idx="208">
                  <v>-9.450048673227229</v>
                </pt>
                <pt idx="209">
                  <v>-9.860113936746529</v>
                </pt>
                <pt idx="210">
                  <v>-10.23595503838396</v>
                </pt>
                <pt idx="211">
                  <v>-10.62268592348209</v>
                </pt>
                <pt idx="212">
                  <v>-11.0710380019982</v>
                </pt>
                <pt idx="213">
                  <v>-11.48161345618246</v>
                </pt>
                <pt idx="214">
                  <v>-11.90374496671757</v>
                </pt>
                <pt idx="215">
                  <v>-12.39272618006999</v>
                </pt>
                <pt idx="216">
                  <v>-12.84013677697476</v>
                </pt>
                <pt idx="217">
                  <v>-13.29978720888084</v>
                </pt>
                <pt idx="218">
                  <v>-13.83180140237528</v>
                </pt>
                <pt idx="219">
                  <v>-14.31820222048145</v>
                </pt>
                <pt idx="220">
                  <v>-14.81754376156414</v>
                </pt>
                <pt idx="221">
                  <v>-15.39505495210642</v>
                </pt>
                <pt idx="222">
                  <v>-15.92265412907363</v>
                </pt>
                <pt idx="223">
                  <v>-16.46391163953194</v>
                </pt>
                <pt idx="224">
                  <v>-17.08944261679972</v>
                </pt>
                <pt idx="225">
                  <v>-17.6605001139551</v>
                </pt>
                <pt idx="226">
                  <v>-18.24594987093087</v>
                </pt>
                <pt idx="227">
                  <v>-18.92208078858994</v>
                </pt>
                <pt idx="228">
                  <v>-19.53890712421207</v>
                </pt>
                <pt idx="229">
                  <v>-20.17087555141279</v>
                </pt>
                <pt idx="230">
                  <v>-20.90024248669988</v>
                </pt>
                <pt idx="231">
                  <v>-21.56519744727166</v>
                </pt>
                <pt idx="232">
                  <v>-22.24605982589537</v>
                </pt>
                <pt idx="233">
                  <v>-23.03135332022248</v>
                </pt>
                <pt idx="234">
                  <v>-23.74684466008694</v>
                </pt>
                <pt idx="235">
                  <v>-24.47902381513677</v>
                </pt>
                <pt idx="236">
                  <v>-25.32298739184625</v>
                </pt>
                <pt idx="237">
                  <v>-26.09146951146931</v>
                </pt>
                <pt idx="238">
                  <v>-26.87743448522451</v>
                </pt>
                <pt idx="239">
                  <v>-27.78286314959087</v>
                </pt>
                <pt idx="240">
                  <v>-28.60683575205121</v>
                </pt>
              </numCache>
            </numRef>
          </yVal>
          <smooth val="0"/>
        </ser>
        <ser>
          <idx val="1"/>
          <order val="1"/>
          <tx>
            <v>Paper low-altitude 35 km / 800 km pass</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Native_Chart_Data!$C$248:$C$488</f>
              <numCache>
                <formatCode>General</formatCode>
                <ptCount val="241"/>
                <pt idx="0">
                  <v>-1</v>
                </pt>
                <pt idx="1">
                  <v>-0.992</v>
                </pt>
                <pt idx="2">
                  <v>-0.983</v>
                </pt>
                <pt idx="3">
                  <v>-0.975</v>
                </pt>
                <pt idx="4">
                  <v>-0.967</v>
                </pt>
                <pt idx="5">
                  <v>-0.958</v>
                </pt>
                <pt idx="6">
                  <v>-0.95</v>
                </pt>
                <pt idx="7">
                  <v>-0.9419999999999999</v>
                </pt>
                <pt idx="8">
                  <v>-0.9330000000000001</v>
                </pt>
                <pt idx="9">
                  <v>-0.925</v>
                </pt>
                <pt idx="10">
                  <v>-0.917</v>
                </pt>
                <pt idx="11">
                  <v>-0.908</v>
                </pt>
                <pt idx="12">
                  <v>-0.9</v>
                </pt>
                <pt idx="13">
                  <v>-0.892</v>
                </pt>
                <pt idx="14">
                  <v>-0.883</v>
                </pt>
                <pt idx="15">
                  <v>-0.875</v>
                </pt>
                <pt idx="16">
                  <v>-0.867</v>
                </pt>
                <pt idx="17">
                  <v>-0.858</v>
                </pt>
                <pt idx="18">
                  <v>-0.85</v>
                </pt>
                <pt idx="19">
                  <v>-0.842</v>
                </pt>
                <pt idx="20">
                  <v>-0.833</v>
                </pt>
                <pt idx="21">
                  <v>-0.825</v>
                </pt>
                <pt idx="22">
                  <v>-0.8169999999999999</v>
                </pt>
                <pt idx="23">
                  <v>-0.8080000000000001</v>
                </pt>
                <pt idx="24">
                  <v>-0.8</v>
                </pt>
                <pt idx="25">
                  <v>-0.792</v>
                </pt>
                <pt idx="26">
                  <v>-0.783</v>
                </pt>
                <pt idx="27">
                  <v>-0.775</v>
                </pt>
                <pt idx="28">
                  <v>-0.767</v>
                </pt>
                <pt idx="29">
                  <v>-0.758</v>
                </pt>
                <pt idx="30">
                  <v>-0.75</v>
                </pt>
                <pt idx="31">
                  <v>-0.742</v>
                </pt>
                <pt idx="32">
                  <v>-0.733</v>
                </pt>
                <pt idx="33">
                  <v>-0.725</v>
                </pt>
                <pt idx="34">
                  <v>-0.717</v>
                </pt>
                <pt idx="35">
                  <v>-0.708</v>
                </pt>
                <pt idx="36">
                  <v>-0.7</v>
                </pt>
                <pt idx="37">
                  <v>-0.6919999999999999</v>
                </pt>
                <pt idx="38">
                  <v>-0.6830000000000001</v>
                </pt>
                <pt idx="39">
                  <v>-0.675</v>
                </pt>
                <pt idx="40">
                  <v>-0.667</v>
                </pt>
                <pt idx="41">
                  <v>-0.658</v>
                </pt>
                <pt idx="42">
                  <v>-0.65</v>
                </pt>
                <pt idx="43">
                  <v>-0.642</v>
                </pt>
                <pt idx="44">
                  <v>-0.633</v>
                </pt>
                <pt idx="45">
                  <v>-0.625</v>
                </pt>
                <pt idx="46">
                  <v>-0.617</v>
                </pt>
                <pt idx="47">
                  <v>-0.608</v>
                </pt>
                <pt idx="48">
                  <v>-0.6</v>
                </pt>
                <pt idx="49">
                  <v>-0.592</v>
                </pt>
                <pt idx="50">
                  <v>-0.583</v>
                </pt>
                <pt idx="51">
                  <v>-0.575</v>
                </pt>
                <pt idx="52">
                  <v>-0.5669999999999999</v>
                </pt>
                <pt idx="53">
                  <v>-0.5580000000000001</v>
                </pt>
                <pt idx="54">
                  <v>-0.55</v>
                </pt>
                <pt idx="55">
                  <v>-0.542</v>
                </pt>
                <pt idx="56">
                  <v>-0.533</v>
                </pt>
                <pt idx="57">
                  <v>-0.525</v>
                </pt>
                <pt idx="58">
                  <v>-0.517</v>
                </pt>
                <pt idx="59">
                  <v>-0.508</v>
                </pt>
                <pt idx="60">
                  <v>-0.5</v>
                </pt>
                <pt idx="61">
                  <v>-0.492</v>
                </pt>
                <pt idx="62">
                  <v>-0.483</v>
                </pt>
                <pt idx="63">
                  <v>-0.475</v>
                </pt>
                <pt idx="64">
                  <v>-0.467</v>
                </pt>
                <pt idx="65">
                  <v>-0.458</v>
                </pt>
                <pt idx="66">
                  <v>-0.45</v>
                </pt>
                <pt idx="67">
                  <v>-0.442</v>
                </pt>
                <pt idx="68">
                  <v>-0.433</v>
                </pt>
                <pt idx="69">
                  <v>-0.425</v>
                </pt>
                <pt idx="70">
                  <v>-0.417</v>
                </pt>
                <pt idx="71">
                  <v>-0.408</v>
                </pt>
                <pt idx="72">
                  <v>-0.4</v>
                </pt>
                <pt idx="73">
                  <v>-0.392</v>
                </pt>
                <pt idx="74">
                  <v>-0.383</v>
                </pt>
                <pt idx="75">
                  <v>-0.375</v>
                </pt>
                <pt idx="76">
                  <v>-0.367</v>
                </pt>
                <pt idx="77">
                  <v>-0.358</v>
                </pt>
                <pt idx="78">
                  <v>-0.35</v>
                </pt>
                <pt idx="79">
                  <v>-0.342</v>
                </pt>
                <pt idx="80">
                  <v>-0.333</v>
                </pt>
                <pt idx="81">
                  <v>-0.325</v>
                </pt>
                <pt idx="82">
                  <v>-0.317</v>
                </pt>
                <pt idx="83">
                  <v>-0.308</v>
                </pt>
                <pt idx="84">
                  <v>-0.3</v>
                </pt>
                <pt idx="85">
                  <v>-0.292</v>
                </pt>
                <pt idx="86">
                  <v>-0.283</v>
                </pt>
                <pt idx="87">
                  <v>-0.275</v>
                </pt>
                <pt idx="88">
                  <v>-0.267</v>
                </pt>
                <pt idx="89">
                  <v>-0.258</v>
                </pt>
                <pt idx="90">
                  <v>-0.25</v>
                </pt>
                <pt idx="91">
                  <v>-0.242</v>
                </pt>
                <pt idx="92">
                  <v>-0.233</v>
                </pt>
                <pt idx="93">
                  <v>-0.225</v>
                </pt>
                <pt idx="94">
                  <v>-0.217</v>
                </pt>
                <pt idx="95">
                  <v>-0.208</v>
                </pt>
                <pt idx="96">
                  <v>-0.2</v>
                </pt>
                <pt idx="97">
                  <v>-0.192</v>
                </pt>
                <pt idx="98">
                  <v>-0.183</v>
                </pt>
                <pt idx="99">
                  <v>-0.175</v>
                </pt>
                <pt idx="100">
                  <v>-0.167</v>
                </pt>
                <pt idx="101">
                  <v>-0.158</v>
                </pt>
                <pt idx="102">
                  <v>-0.15</v>
                </pt>
                <pt idx="103">
                  <v>-0.142</v>
                </pt>
                <pt idx="104">
                  <v>-0.133</v>
                </pt>
                <pt idx="105">
                  <v>-0.125</v>
                </pt>
                <pt idx="106">
                  <v>-0.117</v>
                </pt>
                <pt idx="107">
                  <v>-0.108</v>
                </pt>
                <pt idx="108">
                  <v>-0.1</v>
                </pt>
                <pt idx="109">
                  <v>-0.092</v>
                </pt>
                <pt idx="110">
                  <v>-0.083</v>
                </pt>
                <pt idx="111">
                  <v>-0.075</v>
                </pt>
                <pt idx="112">
                  <v>-0.067</v>
                </pt>
                <pt idx="113">
                  <v>-0.058</v>
                </pt>
                <pt idx="114">
                  <v>-0.05</v>
                </pt>
                <pt idx="115">
                  <v>-0.042</v>
                </pt>
                <pt idx="116">
                  <v>-0.033</v>
                </pt>
                <pt idx="117">
                  <v>-0.025</v>
                </pt>
                <pt idx="118">
                  <v>-0.017</v>
                </pt>
                <pt idx="119">
                  <v>-0.008</v>
                </pt>
                <pt idx="120">
                  <v>0</v>
                </pt>
                <pt idx="121">
                  <v>0.008</v>
                </pt>
                <pt idx="122">
                  <v>0.017</v>
                </pt>
                <pt idx="123">
                  <v>0.025</v>
                </pt>
                <pt idx="124">
                  <v>0.033</v>
                </pt>
                <pt idx="125">
                  <v>0.042</v>
                </pt>
                <pt idx="126">
                  <v>0.05</v>
                </pt>
                <pt idx="127">
                  <v>0.058</v>
                </pt>
                <pt idx="128">
                  <v>0.067</v>
                </pt>
                <pt idx="129">
                  <v>0.075</v>
                </pt>
                <pt idx="130">
                  <v>0.083</v>
                </pt>
                <pt idx="131">
                  <v>0.092</v>
                </pt>
                <pt idx="132">
                  <v>0.1</v>
                </pt>
                <pt idx="133">
                  <v>0.108</v>
                </pt>
                <pt idx="134">
                  <v>0.117</v>
                </pt>
                <pt idx="135">
                  <v>0.125</v>
                </pt>
                <pt idx="136">
                  <v>0.133</v>
                </pt>
                <pt idx="137">
                  <v>0.142</v>
                </pt>
                <pt idx="138">
                  <v>0.15</v>
                </pt>
                <pt idx="139">
                  <v>0.158</v>
                </pt>
                <pt idx="140">
                  <v>0.167</v>
                </pt>
                <pt idx="141">
                  <v>0.175</v>
                </pt>
                <pt idx="142">
                  <v>0.183</v>
                </pt>
                <pt idx="143">
                  <v>0.192</v>
                </pt>
                <pt idx="144">
                  <v>0.2</v>
                </pt>
                <pt idx="145">
                  <v>0.208</v>
                </pt>
                <pt idx="146">
                  <v>0.217</v>
                </pt>
                <pt idx="147">
                  <v>0.225</v>
                </pt>
                <pt idx="148">
                  <v>0.233</v>
                </pt>
                <pt idx="149">
                  <v>0.242</v>
                </pt>
                <pt idx="150">
                  <v>0.25</v>
                </pt>
                <pt idx="151">
                  <v>0.258</v>
                </pt>
                <pt idx="152">
                  <v>0.267</v>
                </pt>
                <pt idx="153">
                  <v>0.275</v>
                </pt>
                <pt idx="154">
                  <v>0.283</v>
                </pt>
                <pt idx="155">
                  <v>0.292</v>
                </pt>
                <pt idx="156">
                  <v>0.3</v>
                </pt>
                <pt idx="157">
                  <v>0.308</v>
                </pt>
                <pt idx="158">
                  <v>0.317</v>
                </pt>
                <pt idx="159">
                  <v>0.325</v>
                </pt>
                <pt idx="160">
                  <v>0.333</v>
                </pt>
                <pt idx="161">
                  <v>0.342</v>
                </pt>
                <pt idx="162">
                  <v>0.35</v>
                </pt>
                <pt idx="163">
                  <v>0.358</v>
                </pt>
                <pt idx="164">
                  <v>0.367</v>
                </pt>
                <pt idx="165">
                  <v>0.375</v>
                </pt>
                <pt idx="166">
                  <v>0.383</v>
                </pt>
                <pt idx="167">
                  <v>0.392</v>
                </pt>
                <pt idx="168">
                  <v>0.4</v>
                </pt>
                <pt idx="169">
                  <v>0.408</v>
                </pt>
                <pt idx="170">
                  <v>0.417</v>
                </pt>
                <pt idx="171">
                  <v>0.425</v>
                </pt>
                <pt idx="172">
                  <v>0.433</v>
                </pt>
                <pt idx="173">
                  <v>0.442</v>
                </pt>
                <pt idx="174">
                  <v>0.45</v>
                </pt>
                <pt idx="175">
                  <v>0.458</v>
                </pt>
                <pt idx="176">
                  <v>0.467</v>
                </pt>
                <pt idx="177">
                  <v>0.475</v>
                </pt>
                <pt idx="178">
                  <v>0.483</v>
                </pt>
                <pt idx="179">
                  <v>0.492</v>
                </pt>
                <pt idx="180">
                  <v>0.5</v>
                </pt>
                <pt idx="181">
                  <v>0.508</v>
                </pt>
                <pt idx="182">
                  <v>0.517</v>
                </pt>
                <pt idx="183">
                  <v>0.525</v>
                </pt>
                <pt idx="184">
                  <v>0.533</v>
                </pt>
                <pt idx="185">
                  <v>0.542</v>
                </pt>
                <pt idx="186">
                  <v>0.55</v>
                </pt>
                <pt idx="187">
                  <v>0.5580000000000001</v>
                </pt>
                <pt idx="188">
                  <v>0.5669999999999999</v>
                </pt>
                <pt idx="189">
                  <v>0.575</v>
                </pt>
                <pt idx="190">
                  <v>0.583</v>
                </pt>
                <pt idx="191">
                  <v>0.592</v>
                </pt>
                <pt idx="192">
                  <v>0.6</v>
                </pt>
                <pt idx="193">
                  <v>0.608</v>
                </pt>
                <pt idx="194">
                  <v>0.617</v>
                </pt>
                <pt idx="195">
                  <v>0.625</v>
                </pt>
                <pt idx="196">
                  <v>0.633</v>
                </pt>
                <pt idx="197">
                  <v>0.642</v>
                </pt>
                <pt idx="198">
                  <v>0.65</v>
                </pt>
                <pt idx="199">
                  <v>0.658</v>
                </pt>
                <pt idx="200">
                  <v>0.667</v>
                </pt>
                <pt idx="201">
                  <v>0.675</v>
                </pt>
                <pt idx="202">
                  <v>0.6830000000000001</v>
                </pt>
                <pt idx="203">
                  <v>0.6919999999999999</v>
                </pt>
                <pt idx="204">
                  <v>0.7</v>
                </pt>
                <pt idx="205">
                  <v>0.708</v>
                </pt>
                <pt idx="206">
                  <v>0.717</v>
                </pt>
                <pt idx="207">
                  <v>0.725</v>
                </pt>
                <pt idx="208">
                  <v>0.733</v>
                </pt>
                <pt idx="209">
                  <v>0.742</v>
                </pt>
                <pt idx="210">
                  <v>0.75</v>
                </pt>
                <pt idx="211">
                  <v>0.758</v>
                </pt>
                <pt idx="212">
                  <v>0.767</v>
                </pt>
                <pt idx="213">
                  <v>0.775</v>
                </pt>
                <pt idx="214">
                  <v>0.783</v>
                </pt>
                <pt idx="215">
                  <v>0.792</v>
                </pt>
                <pt idx="216">
                  <v>0.8</v>
                </pt>
                <pt idx="217">
                  <v>0.8080000000000001</v>
                </pt>
                <pt idx="218">
                  <v>0.8169999999999999</v>
                </pt>
                <pt idx="219">
                  <v>0.825</v>
                </pt>
                <pt idx="220">
                  <v>0.833</v>
                </pt>
                <pt idx="221">
                  <v>0.842</v>
                </pt>
                <pt idx="222">
                  <v>0.85</v>
                </pt>
                <pt idx="223">
                  <v>0.858</v>
                </pt>
                <pt idx="224">
                  <v>0.867</v>
                </pt>
                <pt idx="225">
                  <v>0.875</v>
                </pt>
                <pt idx="226">
                  <v>0.883</v>
                </pt>
                <pt idx="227">
                  <v>0.892</v>
                </pt>
                <pt idx="228">
                  <v>0.9</v>
                </pt>
                <pt idx="229">
                  <v>0.908</v>
                </pt>
                <pt idx="230">
                  <v>0.917</v>
                </pt>
                <pt idx="231">
                  <v>0.925</v>
                </pt>
                <pt idx="232">
                  <v>0.9330000000000001</v>
                </pt>
                <pt idx="233">
                  <v>0.9419999999999999</v>
                </pt>
                <pt idx="234">
                  <v>0.95</v>
                </pt>
                <pt idx="235">
                  <v>0.958</v>
                </pt>
                <pt idx="236">
                  <v>0.967</v>
                </pt>
                <pt idx="237">
                  <v>0.975</v>
                </pt>
                <pt idx="238">
                  <v>0.983</v>
                </pt>
                <pt idx="239">
                  <v>0.992</v>
                </pt>
                <pt idx="240">
                  <v>1</v>
                </pt>
              </numCache>
            </numRef>
          </xVal>
          <yVal>
            <numRef>
              <f>Native_Chart_Data!$D$248:$D$488</f>
              <numCache>
                <formatCode>General</formatCode>
                <ptCount val="241"/>
                <pt idx="0">
                  <v>-95550.6968246352</v>
                </pt>
                <pt idx="1">
                  <v>-94429.87293064831</v>
                </pt>
                <pt idx="2">
                  <v>-93169.45002082347</v>
                </pt>
                <pt idx="3">
                  <v>-92049.59969520803</v>
                </pt>
                <pt idx="4">
                  <v>-90930.31855627525</v>
                </pt>
                <pt idx="5">
                  <v>-89671.89852079703</v>
                </pt>
                <pt idx="6">
                  <v>-88554.07088364325</v>
                </pt>
                <pt idx="7">
                  <v>-87437.04511505857</v>
                </pt>
                <pt idx="8">
                  <v>-86181.44608297395</v>
                </pt>
                <pt idx="9">
                  <v>-85066.38324979196</v>
                </pt>
                <pt idx="10">
                  <v>-83952.36924737085</v>
                </pt>
                <pt idx="11">
                  <v>-82700.4595564772</v>
                </pt>
                <pt idx="12">
                  <v>-81588.94913418307</v>
                </pt>
                <pt idx="13">
                  <v>-80478.7496070101</v>
                </pt>
                <pt idx="14">
                  <v>-79231.45069310423</v>
                </pt>
                <pt idx="15">
                  <v>-78124.32838336958</v>
                </pt>
                <pt idx="16">
                  <v>-77018.79498984448</v>
                </pt>
                <pt idx="17">
                  <v>-75777.08439083702</v>
                </pt>
                <pt idx="18">
                  <v>-74675.23669418608</v>
                </pt>
                <pt idx="19">
                  <v>-73575.27277737434</v>
                </pt>
                <pt idx="20">
                  <v>-72340.18724720042</v>
                </pt>
                <pt idx="21">
                  <v>-71244.55426280205</v>
                </pt>
                <pt idx="22">
                  <v>-70151.11767949266</v>
                </pt>
                <pt idx="23">
                  <v>-68923.75640485117</v>
                </pt>
                <pt idx="24">
                  <v>-67835.33471918713</v>
                </pt>
                <pt idx="25">
                  <v>-66749.44075526144</v>
                </pt>
                <pt idx="26">
                  <v>-65530.96866610383</v>
                </pt>
                <pt idx="27">
                  <v>-64450.81432177829</v>
                </pt>
                <pt idx="28">
                  <v>-63373.53868446994</v>
                </pt>
                <pt idx="29">
                  <v>-62165.18984686676</v>
                </pt>
                <pt idx="30">
                  <v>-61094.42138070978</v>
                </pt>
                <pt idx="31">
                  <v>-60026.90325623649</v>
                </pt>
                <pt idx="32">
                  <v>-58829.98433378036</v>
                </pt>
                <pt idx="33">
                  <v>-57769.78587117032</v>
                </pt>
                <pt idx="34">
                  <v>-56713.23103390145</v>
                </pt>
                <pt idx="35">
                  <v>-55529.12480120811</v>
                </pt>
                <pt idx="36">
                  <v>-54480.74919119819</v>
                </pt>
                <pt idx="37">
                  <v>-53436.43314820457</v>
                </pt>
                <pt idx="38">
                  <v>-52266.60203742246</v>
                </pt>
                <pt idx="39">
                  <v>-51231.37401091366</v>
                </pt>
                <pt idx="40">
                  <v>-50200.64516336976</v>
                </pt>
                <pt idx="41">
                  <v>-49046.63482196539</v>
                </pt>
                <pt idx="42">
                  <v>-48025.95415281111</v>
                </pt>
                <pt idx="43">
                  <v>-47010.23695345008</v>
                </pt>
                <pt idx="44">
                  <v>-45873.67978905515</v>
                </pt>
                <pt idx="45">
                  <v>-44869.02443589146</v>
                </pt>
                <pt idx="46">
                  <v>-43869.82251963826</v>
                </pt>
                <pt idx="47">
                  <v>-42752.44120550476</v>
                </pt>
                <pt idx="48">
                  <v>-41765.37041018438</v>
                </pt>
                <pt idx="49">
                  <v>-40784.26967339727</v>
                </pt>
                <pt idx="50">
                  <v>-39687.88058628065</v>
                </pt>
                <pt idx="51">
                  <v>-38720.0379034832</v>
                </pt>
                <pt idx="52">
                  <v>-37758.70950600904</v>
                </pt>
                <pt idx="53">
                  <v>-36685.22606722001</v>
                </pt>
                <pt idx="54">
                  <v>-35738.34229905622</v>
                </pt>
                <pt idx="55">
                  <v>-34798.54556291022</v>
                </pt>
                <pt idx="56">
                  <v>-33749.98145308542</v>
                </pt>
                <pt idx="57">
                  <v>-32825.87746268808</v>
                </pt>
                <pt idx="58">
                  <v>-31909.46264160071</v>
                </pt>
                <pt idx="59">
                  <v>-30887.93486067957</v>
                </pt>
                <pt idx="60">
                  <v>-29988.52423995399</v>
                </pt>
                <pt idx="61">
                  <v>-29097.43513552073</v>
                </pt>
                <pt idx="62">
                  <v>-28105.16688147812</v>
                </pt>
                <pt idx="63">
                  <v>-27232.45845031329</v>
                </pt>
                <pt idx="64">
                  <v>-26368.73485292532</v>
                </pt>
                <pt idx="65">
                  <v>-25408.05819572629</v>
                </pt>
                <pt idx="66">
                  <v>-24564.15831269111</v>
                </pt>
                <pt idx="67">
                  <v>-23729.93824807742</v>
                </pt>
                <pt idx="68">
                  <v>-22803.29657807221</v>
                </pt>
                <pt idx="69">
                  <v>-21990.41124452041</v>
                </pt>
                <pt idx="70">
                  <v>-21187.9330077644</v>
                </pt>
                <pt idx="71">
                  <v>-20297.88323737295</v>
                </pt>
                <pt idx="72">
                  <v>-19518.31997454776</v>
                </pt>
                <pt idx="73">
                  <v>-18749.92392848191</v>
                </pt>
                <pt idx="74">
                  <v>-17899.13841594477</v>
                </pt>
                <pt idx="75">
                  <v>-17155.30788033462</v>
                </pt>
                <pt idx="76">
                  <v>-16423.43797402611</v>
                </pt>
                <pt idx="77">
                  <v>-15614.70610330964</v>
                </pt>
                <pt idx="78">
                  <v>-14909.12336191417</v>
                </pt>
                <pt idx="79">
                  <v>-14216.32826550211</v>
                </pt>
                <pt idx="80">
                  <v>-13452.55752473721</v>
                </pt>
                <pt idx="81">
                  <v>-12787.84280136824</v>
                </pt>
                <pt idx="82">
                  <v>-12136.77640752552</v>
                </pt>
                <pt idx="83">
                  <v>-11420.99258852187</v>
                </pt>
                <pt idx="84">
                  <v>-10799.87103264331</v>
                </pt>
                <pt idx="85">
                  <v>-10193.29173629807</v>
                </pt>
                <pt idx="86">
                  <v>-9528.637373909565</v>
                </pt>
                <pt idx="87">
                  <v>-8953.936813090862</v>
                </pt>
                <pt idx="88">
                  <v>-8394.704215810816</v>
                </pt>
                <pt idx="89">
                  <v>-7784.433251420131</v>
                </pt>
                <pt idx="90">
                  <v>-7259.077562381237</v>
                </pt>
                <pt idx="91">
                  <v>-6750.143530491609</v>
                </pt>
                <pt idx="92">
                  <v>-6197.607639351329</v>
                </pt>
                <pt idx="93">
                  <v>-5724.600396393598</v>
                </pt>
                <pt idx="94">
                  <v>-5268.987544536823</v>
                </pt>
                <pt idx="95">
                  <v>-4777.603842826582</v>
                </pt>
                <pt idx="96">
                  <v>-4359.990199988479</v>
                </pt>
                <pt idx="97">
                  <v>-3960.742176330219</v>
                </pt>
                <pt idx="98">
                  <v>-3533.91911827782</v>
                </pt>
                <pt idx="99">
                  <v>-3174.698779983293</v>
                </pt>
                <pt idx="100">
                  <v>-2834.767181946718</v>
                </pt>
                <pt idx="101">
                  <v>-2475.736579407454</v>
                </pt>
                <pt idx="102">
                  <v>-2177.667184311747</v>
                </pt>
                <pt idx="103">
                  <v>-1899.657019259637</v>
                </pt>
                <pt idx="104">
                  <v>-1611.097851974435</v>
                </pt>
                <pt idx="105">
                  <v>-1376.257653004077</v>
                </pt>
                <pt idx="106">
                  <v>-1161.866242575867</v>
                </pt>
                <pt idx="107">
                  <v>-945.0864313584152</v>
                </pt>
                <pt idx="108">
                  <v>-773.9404461593731</v>
                </pt>
                <pt idx="109">
                  <v>-622.7876519774909</v>
                </pt>
                <pt idx="110">
                  <v>-476.0772849904715</v>
                </pt>
                <pt idx="111">
                  <v>-365.6858715468552</v>
                </pt>
                <pt idx="112">
                  <v>-273.206191505149</v>
                </pt>
                <pt idx="113">
                  <v>-189.1353146787869</v>
                </pt>
                <pt idx="114">
                  <v>-130.5838257490177</v>
                </pt>
                <pt idx="115">
                  <v>-85.53253798029891</v>
                </pt>
                <pt idx="116">
                  <v>-48.70715008078969</v>
                </pt>
                <pt idx="117">
                  <v>-26.20922916708696</v>
                </pt>
                <pt idx="118">
                  <v>-11.50117377239167</v>
                </pt>
                <pt idx="119">
                  <v>-2.451540094020856</v>
                </pt>
                <pt idx="120">
                  <v>0</v>
                </pt>
                <pt idx="121">
                  <v>-2.451540094020856</v>
                </pt>
                <pt idx="122">
                  <v>-11.50117377239167</v>
                </pt>
                <pt idx="123">
                  <v>-26.20922916708696</v>
                </pt>
                <pt idx="124">
                  <v>-48.70715008078969</v>
                </pt>
                <pt idx="125">
                  <v>-85.53253798029891</v>
                </pt>
                <pt idx="126">
                  <v>-130.5838257490177</v>
                </pt>
                <pt idx="127">
                  <v>-189.1353146787869</v>
                </pt>
                <pt idx="128">
                  <v>-273.206191505149</v>
                </pt>
                <pt idx="129">
                  <v>-365.6858715468552</v>
                </pt>
                <pt idx="130">
                  <v>-476.0772849904715</v>
                </pt>
                <pt idx="131">
                  <v>-622.7876519774909</v>
                </pt>
                <pt idx="132">
                  <v>-773.9404461593822</v>
                </pt>
                <pt idx="133">
                  <v>-945.0864313584188</v>
                </pt>
                <pt idx="134">
                  <v>-1161.866242575867</v>
                </pt>
                <pt idx="135">
                  <v>-1376.257653004077</v>
                </pt>
                <pt idx="136">
                  <v>-1611.097851974435</v>
                </pt>
                <pt idx="137">
                  <v>-1899.657019259626</v>
                </pt>
                <pt idx="138">
                  <v>-2177.66718431174</v>
                </pt>
                <pt idx="139">
                  <v>-2475.736579407454</v>
                </pt>
                <pt idx="140">
                  <v>-2834.767181946718</v>
                </pt>
                <pt idx="141">
                  <v>-3174.698779983293</v>
                </pt>
                <pt idx="142">
                  <v>-3533.91911827782</v>
                </pt>
                <pt idx="143">
                  <v>-3960.742176330219</v>
                </pt>
                <pt idx="144">
                  <v>-4359.990199988479</v>
                </pt>
                <pt idx="145">
                  <v>-4777.603842826582</v>
                </pt>
                <pt idx="146">
                  <v>-5268.987544536823</v>
                </pt>
                <pt idx="147">
                  <v>-5724.600396393605</v>
                </pt>
                <pt idx="148">
                  <v>-6197.607639351343</v>
                </pt>
                <pt idx="149">
                  <v>-6750.143530491609</v>
                </pt>
                <pt idx="150">
                  <v>-7259.077562381237</v>
                </pt>
                <pt idx="151">
                  <v>-7784.433251420131</v>
                </pt>
                <pt idx="152">
                  <v>-8394.704215810802</v>
                </pt>
                <pt idx="153">
                  <v>-8953.936813088847</v>
                </pt>
                <pt idx="154">
                  <v>-9528.637373909558</v>
                </pt>
                <pt idx="155">
                  <v>-10193.29173629809</v>
                </pt>
                <pt idx="156">
                  <v>-10799.87103264331</v>
                </pt>
                <pt idx="157">
                  <v>-11420.99258852187</v>
                </pt>
                <pt idx="158">
                  <v>-12136.77640752552</v>
                </pt>
                <pt idx="159">
                  <v>-12787.84280136824</v>
                </pt>
                <pt idx="160">
                  <v>-13452.55752473719</v>
                </pt>
                <pt idx="161">
                  <v>-14216.32826550213</v>
                </pt>
                <pt idx="162">
                  <v>-14909.12336191417</v>
                </pt>
                <pt idx="163">
                  <v>-15614.70610330965</v>
                </pt>
                <pt idx="164">
                  <v>-16423.43797402758</v>
                </pt>
                <pt idx="165">
                  <v>-17155.30788033462</v>
                </pt>
                <pt idx="166">
                  <v>-17899.1384159448</v>
                </pt>
                <pt idx="167">
                  <v>-18749.92392848187</v>
                </pt>
                <pt idx="168">
                  <v>-19518.31997454776</v>
                </pt>
                <pt idx="169">
                  <v>-20297.88323737291</v>
                </pt>
                <pt idx="170">
                  <v>-21187.93300776442</v>
                </pt>
                <pt idx="171">
                  <v>-21990.4112445204</v>
                </pt>
                <pt idx="172">
                  <v>-22803.29657807222</v>
                </pt>
                <pt idx="173">
                  <v>-23729.93824807741</v>
                </pt>
                <pt idx="174">
                  <v>-24564.15831269131</v>
                </pt>
                <pt idx="175">
                  <v>-25408.05819572626</v>
                </pt>
                <pt idx="176">
                  <v>-26368.73485292534</v>
                </pt>
                <pt idx="177">
                  <v>-27232.45845031329</v>
                </pt>
                <pt idx="178">
                  <v>-28105.16688147593</v>
                </pt>
                <pt idx="179">
                  <v>-29097.4351355207</v>
                </pt>
                <pt idx="180">
                  <v>-29988.52423995399</v>
                </pt>
                <pt idx="181">
                  <v>-30887.93486067958</v>
                </pt>
                <pt idx="182">
                  <v>-31909.46264160069</v>
                </pt>
                <pt idx="183">
                  <v>-32825.87746268808</v>
                </pt>
                <pt idx="184">
                  <v>-33749.98145308635</v>
                </pt>
                <pt idx="185">
                  <v>-34798.54556291025</v>
                </pt>
                <pt idx="186">
                  <v>-35738.34229905622</v>
                </pt>
                <pt idx="187">
                  <v>-36685.22606722002</v>
                </pt>
                <pt idx="188">
                  <v>-37758.70950600899</v>
                </pt>
                <pt idx="189">
                  <v>-38720.0379034832</v>
                </pt>
                <pt idx="190">
                  <v>-39687.88058628062</v>
                </pt>
                <pt idx="191">
                  <v>-40784.26967339731</v>
                </pt>
                <pt idx="192">
                  <v>-41765.37041018438</v>
                </pt>
                <pt idx="193">
                  <v>-42752.44120550565</v>
                </pt>
                <pt idx="194">
                  <v>-43869.82251963906</v>
                </pt>
                <pt idx="195">
                  <v>-44869.02443589146</v>
                </pt>
                <pt idx="196">
                  <v>-45873.67978905518</v>
                </pt>
                <pt idx="197">
                  <v>-47010.23695345006</v>
                </pt>
                <pt idx="198">
                  <v>-48025.95415281111</v>
                </pt>
                <pt idx="199">
                  <v>-49046.63482196606</v>
                </pt>
                <pt idx="200">
                  <v>-50200.64516336979</v>
                </pt>
                <pt idx="201">
                  <v>-51231.37401091366</v>
                </pt>
                <pt idx="202">
                  <v>-52266.60203742246</v>
                </pt>
                <pt idx="203">
                  <v>-53436.43314820457</v>
                </pt>
                <pt idx="204">
                  <v>-54480.74919119819</v>
                </pt>
                <pt idx="205">
                  <v>-55529.12480120808</v>
                </pt>
                <pt idx="206">
                  <v>-56713.23103390152</v>
                </pt>
                <pt idx="207">
                  <v>-57769.78587117032</v>
                </pt>
                <pt idx="208">
                  <v>-58829.98433378038</v>
                </pt>
                <pt idx="209">
                  <v>-60026.90325623647</v>
                </pt>
                <pt idx="210">
                  <v>-61094.42138070978</v>
                </pt>
                <pt idx="211">
                  <v>-62165.18984686682</v>
                </pt>
                <pt idx="212">
                  <v>-63373.53868446988</v>
                </pt>
                <pt idx="213">
                  <v>-64450.81432177829</v>
                </pt>
                <pt idx="214">
                  <v>-65530.96866610306</v>
                </pt>
                <pt idx="215">
                  <v>-66749.44075526152</v>
                </pt>
                <pt idx="216">
                  <v>-67835.33471918713</v>
                </pt>
                <pt idx="217">
                  <v>-68923.75640485117</v>
                </pt>
                <pt idx="218">
                  <v>-70151.11767949266</v>
                </pt>
                <pt idx="219">
                  <v>-71244.55426280205</v>
                </pt>
                <pt idx="220">
                  <v>-72340.18724720035</v>
                </pt>
                <pt idx="221">
                  <v>-73575.27277737437</v>
                </pt>
                <pt idx="222">
                  <v>-74675.23669418608</v>
                </pt>
                <pt idx="223">
                  <v>-75777.08439083706</v>
                </pt>
                <pt idx="224">
                  <v>-77018.79498984448</v>
                </pt>
                <pt idx="225">
                  <v>-78124.32838336958</v>
                </pt>
                <pt idx="226">
                  <v>-79231.45069310427</v>
                </pt>
                <pt idx="227">
                  <v>-80478.74960701005</v>
                </pt>
                <pt idx="228">
                  <v>-81588.94913418307</v>
                </pt>
                <pt idx="229">
                  <v>-82700.45955647714</v>
                </pt>
                <pt idx="230">
                  <v>-83952.36924737085</v>
                </pt>
                <pt idx="231">
                  <v>-85066.38324979196</v>
                </pt>
                <pt idx="232">
                  <v>-86181.44608297395</v>
                </pt>
                <pt idx="233">
                  <v>-87437.04511505857</v>
                </pt>
                <pt idx="234">
                  <v>-88554.07088364325</v>
                </pt>
                <pt idx="235">
                  <v>-89671.89852079697</v>
                </pt>
                <pt idx="236">
                  <v>-90930.31855627532</v>
                </pt>
                <pt idx="237">
                  <v>-92049.59969520803</v>
                </pt>
                <pt idx="238">
                  <v>-93169.45002082353</v>
                </pt>
                <pt idx="239">
                  <v>-94429.87293064826</v>
                </pt>
                <pt idx="240">
                  <v>-95550.6968246352</v>
                </pt>
              </numCache>
            </numRef>
          </yVal>
          <smooth val="0"/>
        </ser>
        <ser>
          <idx val="2"/>
          <order val="2"/>
          <tx>
            <v>Paper ice-ocean 35 km / 1600 km pass</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Native_Chart_Data!$E$248:$E$488</f>
              <numCache>
                <formatCode>General</formatCode>
                <ptCount val="241"/>
                <pt idx="0">
                  <v>-1</v>
                </pt>
                <pt idx="1">
                  <v>-0.992</v>
                </pt>
                <pt idx="2">
                  <v>-0.983</v>
                </pt>
                <pt idx="3">
                  <v>-0.975</v>
                </pt>
                <pt idx="4">
                  <v>-0.967</v>
                </pt>
                <pt idx="5">
                  <v>-0.958</v>
                </pt>
                <pt idx="6">
                  <v>-0.95</v>
                </pt>
                <pt idx="7">
                  <v>-0.9419999999999999</v>
                </pt>
                <pt idx="8">
                  <v>-0.9330000000000001</v>
                </pt>
                <pt idx="9">
                  <v>-0.925</v>
                </pt>
                <pt idx="10">
                  <v>-0.917</v>
                </pt>
                <pt idx="11">
                  <v>-0.908</v>
                </pt>
                <pt idx="12">
                  <v>-0.9</v>
                </pt>
                <pt idx="13">
                  <v>-0.892</v>
                </pt>
                <pt idx="14">
                  <v>-0.883</v>
                </pt>
                <pt idx="15">
                  <v>-0.875</v>
                </pt>
                <pt idx="16">
                  <v>-0.867</v>
                </pt>
                <pt idx="17">
                  <v>-0.858</v>
                </pt>
                <pt idx="18">
                  <v>-0.85</v>
                </pt>
                <pt idx="19">
                  <v>-0.842</v>
                </pt>
                <pt idx="20">
                  <v>-0.833</v>
                </pt>
                <pt idx="21">
                  <v>-0.825</v>
                </pt>
                <pt idx="22">
                  <v>-0.8169999999999999</v>
                </pt>
                <pt idx="23">
                  <v>-0.8080000000000001</v>
                </pt>
                <pt idx="24">
                  <v>-0.8</v>
                </pt>
                <pt idx="25">
                  <v>-0.792</v>
                </pt>
                <pt idx="26">
                  <v>-0.783</v>
                </pt>
                <pt idx="27">
                  <v>-0.775</v>
                </pt>
                <pt idx="28">
                  <v>-0.767</v>
                </pt>
                <pt idx="29">
                  <v>-0.758</v>
                </pt>
                <pt idx="30">
                  <v>-0.75</v>
                </pt>
                <pt idx="31">
                  <v>-0.742</v>
                </pt>
                <pt idx="32">
                  <v>-0.733</v>
                </pt>
                <pt idx="33">
                  <v>-0.725</v>
                </pt>
                <pt idx="34">
                  <v>-0.717</v>
                </pt>
                <pt idx="35">
                  <v>-0.708</v>
                </pt>
                <pt idx="36">
                  <v>-0.7</v>
                </pt>
                <pt idx="37">
                  <v>-0.6919999999999999</v>
                </pt>
                <pt idx="38">
                  <v>-0.6830000000000001</v>
                </pt>
                <pt idx="39">
                  <v>-0.675</v>
                </pt>
                <pt idx="40">
                  <v>-0.667</v>
                </pt>
                <pt idx="41">
                  <v>-0.658</v>
                </pt>
                <pt idx="42">
                  <v>-0.65</v>
                </pt>
                <pt idx="43">
                  <v>-0.642</v>
                </pt>
                <pt idx="44">
                  <v>-0.633</v>
                </pt>
                <pt idx="45">
                  <v>-0.625</v>
                </pt>
                <pt idx="46">
                  <v>-0.617</v>
                </pt>
                <pt idx="47">
                  <v>-0.608</v>
                </pt>
                <pt idx="48">
                  <v>-0.6</v>
                </pt>
                <pt idx="49">
                  <v>-0.592</v>
                </pt>
                <pt idx="50">
                  <v>-0.583</v>
                </pt>
                <pt idx="51">
                  <v>-0.575</v>
                </pt>
                <pt idx="52">
                  <v>-0.5669999999999999</v>
                </pt>
                <pt idx="53">
                  <v>-0.5580000000000001</v>
                </pt>
                <pt idx="54">
                  <v>-0.55</v>
                </pt>
                <pt idx="55">
                  <v>-0.542</v>
                </pt>
                <pt idx="56">
                  <v>-0.533</v>
                </pt>
                <pt idx="57">
                  <v>-0.525</v>
                </pt>
                <pt idx="58">
                  <v>-0.517</v>
                </pt>
                <pt idx="59">
                  <v>-0.508</v>
                </pt>
                <pt idx="60">
                  <v>-0.5</v>
                </pt>
                <pt idx="61">
                  <v>-0.492</v>
                </pt>
                <pt idx="62">
                  <v>-0.483</v>
                </pt>
                <pt idx="63">
                  <v>-0.475</v>
                </pt>
                <pt idx="64">
                  <v>-0.467</v>
                </pt>
                <pt idx="65">
                  <v>-0.458</v>
                </pt>
                <pt idx="66">
                  <v>-0.45</v>
                </pt>
                <pt idx="67">
                  <v>-0.442</v>
                </pt>
                <pt idx="68">
                  <v>-0.433</v>
                </pt>
                <pt idx="69">
                  <v>-0.425</v>
                </pt>
                <pt idx="70">
                  <v>-0.417</v>
                </pt>
                <pt idx="71">
                  <v>-0.408</v>
                </pt>
                <pt idx="72">
                  <v>-0.4</v>
                </pt>
                <pt idx="73">
                  <v>-0.392</v>
                </pt>
                <pt idx="74">
                  <v>-0.383</v>
                </pt>
                <pt idx="75">
                  <v>-0.375</v>
                </pt>
                <pt idx="76">
                  <v>-0.367</v>
                </pt>
                <pt idx="77">
                  <v>-0.358</v>
                </pt>
                <pt idx="78">
                  <v>-0.35</v>
                </pt>
                <pt idx="79">
                  <v>-0.342</v>
                </pt>
                <pt idx="80">
                  <v>-0.333</v>
                </pt>
                <pt idx="81">
                  <v>-0.325</v>
                </pt>
                <pt idx="82">
                  <v>-0.317</v>
                </pt>
                <pt idx="83">
                  <v>-0.308</v>
                </pt>
                <pt idx="84">
                  <v>-0.3</v>
                </pt>
                <pt idx="85">
                  <v>-0.292</v>
                </pt>
                <pt idx="86">
                  <v>-0.283</v>
                </pt>
                <pt idx="87">
                  <v>-0.275</v>
                </pt>
                <pt idx="88">
                  <v>-0.267</v>
                </pt>
                <pt idx="89">
                  <v>-0.258</v>
                </pt>
                <pt idx="90">
                  <v>-0.25</v>
                </pt>
                <pt idx="91">
                  <v>-0.242</v>
                </pt>
                <pt idx="92">
                  <v>-0.233</v>
                </pt>
                <pt idx="93">
                  <v>-0.225</v>
                </pt>
                <pt idx="94">
                  <v>-0.217</v>
                </pt>
                <pt idx="95">
                  <v>-0.208</v>
                </pt>
                <pt idx="96">
                  <v>-0.2</v>
                </pt>
                <pt idx="97">
                  <v>-0.192</v>
                </pt>
                <pt idx="98">
                  <v>-0.183</v>
                </pt>
                <pt idx="99">
                  <v>-0.175</v>
                </pt>
                <pt idx="100">
                  <v>-0.167</v>
                </pt>
                <pt idx="101">
                  <v>-0.158</v>
                </pt>
                <pt idx="102">
                  <v>-0.15</v>
                </pt>
                <pt idx="103">
                  <v>-0.142</v>
                </pt>
                <pt idx="104">
                  <v>-0.133</v>
                </pt>
                <pt idx="105">
                  <v>-0.125</v>
                </pt>
                <pt idx="106">
                  <v>-0.117</v>
                </pt>
                <pt idx="107">
                  <v>-0.108</v>
                </pt>
                <pt idx="108">
                  <v>-0.1</v>
                </pt>
                <pt idx="109">
                  <v>-0.092</v>
                </pt>
                <pt idx="110">
                  <v>-0.083</v>
                </pt>
                <pt idx="111">
                  <v>-0.075</v>
                </pt>
                <pt idx="112">
                  <v>-0.067</v>
                </pt>
                <pt idx="113">
                  <v>-0.058</v>
                </pt>
                <pt idx="114">
                  <v>-0.05</v>
                </pt>
                <pt idx="115">
                  <v>-0.042</v>
                </pt>
                <pt idx="116">
                  <v>-0.033</v>
                </pt>
                <pt idx="117">
                  <v>-0.025</v>
                </pt>
                <pt idx="118">
                  <v>-0.017</v>
                </pt>
                <pt idx="119">
                  <v>-0.008</v>
                </pt>
                <pt idx="120">
                  <v>0</v>
                </pt>
                <pt idx="121">
                  <v>0.008</v>
                </pt>
                <pt idx="122">
                  <v>0.017</v>
                </pt>
                <pt idx="123">
                  <v>0.025</v>
                </pt>
                <pt idx="124">
                  <v>0.033</v>
                </pt>
                <pt idx="125">
                  <v>0.042</v>
                </pt>
                <pt idx="126">
                  <v>0.05</v>
                </pt>
                <pt idx="127">
                  <v>0.058</v>
                </pt>
                <pt idx="128">
                  <v>0.067</v>
                </pt>
                <pt idx="129">
                  <v>0.075</v>
                </pt>
                <pt idx="130">
                  <v>0.083</v>
                </pt>
                <pt idx="131">
                  <v>0.092</v>
                </pt>
                <pt idx="132">
                  <v>0.1</v>
                </pt>
                <pt idx="133">
                  <v>0.108</v>
                </pt>
                <pt idx="134">
                  <v>0.117</v>
                </pt>
                <pt idx="135">
                  <v>0.125</v>
                </pt>
                <pt idx="136">
                  <v>0.133</v>
                </pt>
                <pt idx="137">
                  <v>0.142</v>
                </pt>
                <pt idx="138">
                  <v>0.15</v>
                </pt>
                <pt idx="139">
                  <v>0.158</v>
                </pt>
                <pt idx="140">
                  <v>0.167</v>
                </pt>
                <pt idx="141">
                  <v>0.175</v>
                </pt>
                <pt idx="142">
                  <v>0.183</v>
                </pt>
                <pt idx="143">
                  <v>0.192</v>
                </pt>
                <pt idx="144">
                  <v>0.2</v>
                </pt>
                <pt idx="145">
                  <v>0.208</v>
                </pt>
                <pt idx="146">
                  <v>0.217</v>
                </pt>
                <pt idx="147">
                  <v>0.225</v>
                </pt>
                <pt idx="148">
                  <v>0.233</v>
                </pt>
                <pt idx="149">
                  <v>0.242</v>
                </pt>
                <pt idx="150">
                  <v>0.25</v>
                </pt>
                <pt idx="151">
                  <v>0.258</v>
                </pt>
                <pt idx="152">
                  <v>0.267</v>
                </pt>
                <pt idx="153">
                  <v>0.275</v>
                </pt>
                <pt idx="154">
                  <v>0.283</v>
                </pt>
                <pt idx="155">
                  <v>0.292</v>
                </pt>
                <pt idx="156">
                  <v>0.3</v>
                </pt>
                <pt idx="157">
                  <v>0.308</v>
                </pt>
                <pt idx="158">
                  <v>0.317</v>
                </pt>
                <pt idx="159">
                  <v>0.325</v>
                </pt>
                <pt idx="160">
                  <v>0.333</v>
                </pt>
                <pt idx="161">
                  <v>0.342</v>
                </pt>
                <pt idx="162">
                  <v>0.35</v>
                </pt>
                <pt idx="163">
                  <v>0.358</v>
                </pt>
                <pt idx="164">
                  <v>0.367</v>
                </pt>
                <pt idx="165">
                  <v>0.375</v>
                </pt>
                <pt idx="166">
                  <v>0.383</v>
                </pt>
                <pt idx="167">
                  <v>0.392</v>
                </pt>
                <pt idx="168">
                  <v>0.4</v>
                </pt>
                <pt idx="169">
                  <v>0.408</v>
                </pt>
                <pt idx="170">
                  <v>0.417</v>
                </pt>
                <pt idx="171">
                  <v>0.425</v>
                </pt>
                <pt idx="172">
                  <v>0.433</v>
                </pt>
                <pt idx="173">
                  <v>0.442</v>
                </pt>
                <pt idx="174">
                  <v>0.45</v>
                </pt>
                <pt idx="175">
                  <v>0.458</v>
                </pt>
                <pt idx="176">
                  <v>0.467</v>
                </pt>
                <pt idx="177">
                  <v>0.475</v>
                </pt>
                <pt idx="178">
                  <v>0.483</v>
                </pt>
                <pt idx="179">
                  <v>0.492</v>
                </pt>
                <pt idx="180">
                  <v>0.5</v>
                </pt>
                <pt idx="181">
                  <v>0.508</v>
                </pt>
                <pt idx="182">
                  <v>0.517</v>
                </pt>
                <pt idx="183">
                  <v>0.525</v>
                </pt>
                <pt idx="184">
                  <v>0.533</v>
                </pt>
                <pt idx="185">
                  <v>0.542</v>
                </pt>
                <pt idx="186">
                  <v>0.55</v>
                </pt>
                <pt idx="187">
                  <v>0.5580000000000001</v>
                </pt>
                <pt idx="188">
                  <v>0.5669999999999999</v>
                </pt>
                <pt idx="189">
                  <v>0.575</v>
                </pt>
                <pt idx="190">
                  <v>0.583</v>
                </pt>
                <pt idx="191">
                  <v>0.592</v>
                </pt>
                <pt idx="192">
                  <v>0.6</v>
                </pt>
                <pt idx="193">
                  <v>0.608</v>
                </pt>
                <pt idx="194">
                  <v>0.617</v>
                </pt>
                <pt idx="195">
                  <v>0.625</v>
                </pt>
                <pt idx="196">
                  <v>0.633</v>
                </pt>
                <pt idx="197">
                  <v>0.642</v>
                </pt>
                <pt idx="198">
                  <v>0.65</v>
                </pt>
                <pt idx="199">
                  <v>0.658</v>
                </pt>
                <pt idx="200">
                  <v>0.667</v>
                </pt>
                <pt idx="201">
                  <v>0.675</v>
                </pt>
                <pt idx="202">
                  <v>0.6830000000000001</v>
                </pt>
                <pt idx="203">
                  <v>0.6919999999999999</v>
                </pt>
                <pt idx="204">
                  <v>0.7</v>
                </pt>
                <pt idx="205">
                  <v>0.708</v>
                </pt>
                <pt idx="206">
                  <v>0.717</v>
                </pt>
                <pt idx="207">
                  <v>0.725</v>
                </pt>
                <pt idx="208">
                  <v>0.733</v>
                </pt>
                <pt idx="209">
                  <v>0.742</v>
                </pt>
                <pt idx="210">
                  <v>0.75</v>
                </pt>
                <pt idx="211">
                  <v>0.758</v>
                </pt>
                <pt idx="212">
                  <v>0.767</v>
                </pt>
                <pt idx="213">
                  <v>0.775</v>
                </pt>
                <pt idx="214">
                  <v>0.783</v>
                </pt>
                <pt idx="215">
                  <v>0.792</v>
                </pt>
                <pt idx="216">
                  <v>0.8</v>
                </pt>
                <pt idx="217">
                  <v>0.8080000000000001</v>
                </pt>
                <pt idx="218">
                  <v>0.8169999999999999</v>
                </pt>
                <pt idx="219">
                  <v>0.825</v>
                </pt>
                <pt idx="220">
                  <v>0.833</v>
                </pt>
                <pt idx="221">
                  <v>0.842</v>
                </pt>
                <pt idx="222">
                  <v>0.85</v>
                </pt>
                <pt idx="223">
                  <v>0.858</v>
                </pt>
                <pt idx="224">
                  <v>0.867</v>
                </pt>
                <pt idx="225">
                  <v>0.875</v>
                </pt>
                <pt idx="226">
                  <v>0.883</v>
                </pt>
                <pt idx="227">
                  <v>0.892</v>
                </pt>
                <pt idx="228">
                  <v>0.9</v>
                </pt>
                <pt idx="229">
                  <v>0.908</v>
                </pt>
                <pt idx="230">
                  <v>0.917</v>
                </pt>
                <pt idx="231">
                  <v>0.925</v>
                </pt>
                <pt idx="232">
                  <v>0.9330000000000001</v>
                </pt>
                <pt idx="233">
                  <v>0.9419999999999999</v>
                </pt>
                <pt idx="234">
                  <v>0.95</v>
                </pt>
                <pt idx="235">
                  <v>0.958</v>
                </pt>
                <pt idx="236">
                  <v>0.967</v>
                </pt>
                <pt idx="237">
                  <v>0.975</v>
                </pt>
                <pt idx="238">
                  <v>0.983</v>
                </pt>
                <pt idx="239">
                  <v>0.992</v>
                </pt>
                <pt idx="240">
                  <v>1</v>
                </pt>
              </numCache>
            </numRef>
          </xVal>
          <yVal>
            <numRef>
              <f>Native_Chart_Data!$F$248:$F$488</f>
              <numCache>
                <formatCode>General</formatCode>
                <ptCount val="241"/>
                <pt idx="0">
                  <v>-192178.9131334473</v>
                </pt>
                <pt idx="1">
                  <v>-190472.5531477004</v>
                </pt>
                <pt idx="2">
                  <v>-188542.3489149387</v>
                </pt>
                <pt idx="3">
                  <v>-186817.3387345333</v>
                </pt>
                <pt idx="4">
                  <v>-185083.7019914568</v>
                </pt>
                <pt idx="5">
                  <v>-183123.1739756341</v>
                </pt>
                <pt idx="6">
                  <v>-181371.5420033857</v>
                </pt>
                <pt idx="7">
                  <v>-179611.6066396228</v>
                </pt>
                <pt idx="8">
                  <v>-177621.8913343613</v>
                </pt>
                <pt idx="9">
                  <v>-175844.6807689939</v>
                </pt>
                <pt idx="10">
                  <v>-174059.5218997983</v>
                </pt>
                <pt idx="11">
                  <v>-172041.8680372654</v>
                </pt>
                <pt idx="12">
                  <v>-170240.2247177474</v>
                </pt>
                <pt idx="13">
                  <v>-168431.0228830833</v>
                </pt>
                <pt idx="14">
                  <v>-166386.8012256961</v>
                </pt>
                <pt idx="15">
                  <v>-164561.9825993106</v>
                </pt>
                <pt idx="16">
                  <v>-162730.0329870773</v>
                </pt>
                <pt idx="17">
                  <v>-160660.7470162979</v>
                </pt>
                <pt idx="18">
                  <v>-158814.1319245927</v>
                </pt>
                <pt idx="19">
                  <v>-156960.8544311165</v>
                </pt>
                <pt idx="20">
                  <v>-154868.1520014535</v>
                </pt>
                <pt idx="21">
                  <v>-153001.2513449043</v>
                </pt>
                <pt idx="22">
                  <v>-151128.2015336879</v>
                </pt>
                <pt idx="23">
                  <v>-149013.8875605664</v>
                </pt>
                <pt idx="24">
                  <v>-147128.3559028736</v>
                </pt>
                <pt idx="25">
                  <v>-145237.2369222694</v>
                </pt>
                <pt idx="26">
                  <v>-143103.2871715021</v>
                </pt>
                <pt idx="27">
                  <v>-141200.9353430962</v>
                </pt>
                <pt idx="28">
                  <v>-139293.610861677</v>
                </pt>
                <pt idx="29">
                  <v>-137142.1869054523</v>
                </pt>
                <pt idx="30">
                  <v>-135224.9956625739</v>
                </pt>
                <pt idx="31">
                  <v>-133303.5038770739</v>
                </pt>
                <pt idx="32">
                  <v>-131136.9692760912</v>
                </pt>
                <pt idx="33">
                  <v>-129207.1040662871</v>
                </pt>
                <pt idx="34">
                  <v>-127273.6728305979</v>
                </pt>
                <pt idx="35">
                  <v>-125094.6105936719</v>
                </pt>
                <pt idx="36">
                  <v>-123154.4374700891</v>
                </pt>
                <pt idx="37">
                  <v>-121211.5005842751</v>
                </pt>
                <pt idx="38">
                  <v>-119022.7319446883</v>
                </pt>
                <pt idx="39">
                  <v>-117074.8346595702</v>
                </pt>
                <pt idx="40">
                  <v>-115125.0493446168</v>
                </pt>
                <pt idx="41">
                  <v>-112929.653875967</v>
                </pt>
                <pt idx="42">
                  <v>-110976.8521675513</v>
                </pt>
                <pt idx="43">
                  <v>-109023.1177338429</v>
                </pt>
                <pt idx="44">
                  <v>-106824.4548063117</v>
                </pt>
                <pt idx="45">
                  <v>-104869.8238721658</v>
                </pt>
                <pt idx="46">
                  <v>-102915.301566795</v>
                </pt>
                <pt idx="47">
                  <v>-100717.033116844</v>
                </pt>
                <pt idx="48">
                  <v>-98763.92423983713</v>
                </pt>
                <pt idx="49">
                  <v>-96812.05822906003</v>
                </pt>
                <pt idx="50">
                  <v>-94618.1727807392</v>
                </pt>
                <pt idx="51">
                  <v>-92670.23504071141</v>
                </pt>
                <pt idx="52">
                  <v>-90724.77444856224</v>
                </pt>
                <pt idx="53">
                  <v>-88539.61228230709</v>
                </pt>
                <pt idx="54">
                  <v>-86600.81524649766</v>
                </pt>
                <pt idx="55">
                  <v>-84665.83712834844</v>
                </pt>
                <pt idx="56">
                  <v>-82494.11644292489</v>
                </pt>
                <pt idx="57">
                  <v>-80568.77368118369</v>
                </pt>
                <pt idx="58">
                  <v>-78648.70676173814</v>
                </pt>
                <pt idx="59">
                  <v>-76495.55061689255</v>
                </pt>
                <pt idx="60">
                  <v>-74588.34383380503</v>
                </pt>
                <pt idx="61">
                  <v>-72687.99278310628</v>
                </pt>
                <pt idx="62">
                  <v>-70558.9565452948</v>
                </pt>
                <pt idx="63">
                  <v>-68674.96006151366</v>
                </pt>
                <pt idx="64">
                  <v>-66799.53002109205</v>
                </pt>
                <pt idx="65">
                  <v>-64700.62896395361</v>
                </pt>
                <pt idx="66">
                  <v>-62845.33421508742</v>
                </pt>
                <pt idx="67">
                  <v>-61000.45522179082</v>
                </pt>
                <pt idx="68">
                  <v>-58938.19185999589</v>
                </pt>
                <pt idx="69">
                  <v>-57117.53151668291</v>
                </pt>
                <pt idx="70">
                  <v>-55309.28240772686</v>
                </pt>
                <pt idx="71">
                  <v>-53290.67307252447</v>
                </pt>
                <pt idx="72">
                  <v>-51511.04432508859</v>
                </pt>
                <pt idx="73">
                  <v>-49745.97565061512</v>
                </pt>
                <pt idx="74">
                  <v>-47778.57575572333</v>
                </pt>
                <pt idx="75">
                  <v>-46046.86225919663</v>
                </pt>
                <pt idx="76">
                  <v>-44332.01768741841</v>
                </pt>
                <pt idx="77">
                  <v>-42423.94509695141</v>
                </pt>
                <pt idx="78">
                  <v>-40747.53704950534</v>
                </pt>
                <pt idx="79">
                  <v>-39090.47273823067</v>
                </pt>
                <pt idx="80">
                  <v>-37250.42865196269</v>
                </pt>
                <pt idx="81">
                  <v>-35637.24050020533</v>
                </pt>
                <pt idx="82">
                  <v>-34046.04194794646</v>
                </pt>
                <pt idx="83">
                  <v>-32283.3287901734</v>
                </pt>
                <pt idx="84">
                  <v>-30741.8141453946</v>
                </pt>
                <pt idx="85">
                  <v>-29225.110156037</v>
                </pt>
                <pt idx="86">
                  <v>-27549.64613181504</v>
                </pt>
                <pt idx="87">
                  <v>-26088.8096816492</v>
                </pt>
                <pt idx="88">
                  <v>-24655.78332287312</v>
                </pt>
                <pt idx="89">
                  <v>-23078.11364463285</v>
                </pt>
                <pt idx="90">
                  <v>-21707.52020829931</v>
                </pt>
                <pt idx="91">
                  <v>-20367.91707237235</v>
                </pt>
                <pt idx="92">
                  <v>-18899.22242547247</v>
                </pt>
                <pt idx="93">
                  <v>-17629.00388090192</v>
                </pt>
                <pt idx="94">
                  <v>-16393.13860799077</v>
                </pt>
                <pt idx="95">
                  <v>-15045.24223012434</v>
                </pt>
                <pt idx="96">
                  <v>-13886.10379726935</v>
                </pt>
                <pt idx="97">
                  <v>-12764.86656531011</v>
                </pt>
                <pt idx="98">
                  <v>-11550.2420277225</v>
                </pt>
                <pt idx="99">
                  <v>-10513.46974524825</v>
                </pt>
                <pt idx="100">
                  <v>-9518.334244312478</v>
                </pt>
                <pt idx="101">
                  <v>-8450.11460672399</v>
                </pt>
                <pt idx="102">
                  <v>-7547.582671763485</v>
                </pt>
                <pt idx="103">
                  <v>-6690.610806332428</v>
                </pt>
                <pt idx="104">
                  <v>-5782.586392976991</v>
                </pt>
                <pt idx="105">
                  <v>-5026.741503405137</v>
                </pt>
                <pt idx="106">
                  <v>-4320.543295968455</v>
                </pt>
                <pt idx="107">
                  <v>-3587.063067524843</v>
                </pt>
                <pt idx="108">
                  <v>-2990.752108016131</v>
                </pt>
                <pt idx="109">
                  <v>-2448.174221919682</v>
                </pt>
                <pt idx="110">
                  <v>-1903.505948859045</v>
                </pt>
                <pt idx="111">
                  <v>-1478.964224442476</v>
                </pt>
                <pt idx="112">
                  <v>-1111.366579203488</v>
                </pt>
                <pt idx="113">
                  <v>-766.3118882481267</v>
                </pt>
                <pt idx="114">
                  <v>-520.010223424264</v>
                </pt>
                <pt idx="115">
                  <v>-328.8502755227419</v>
                </pt>
                <pt idx="116">
                  <v>-175.284770540442</v>
                </pt>
                <pt idx="117">
                  <v>-86.79473246431189</v>
                </pt>
                <pt idx="118">
                  <v>-34.56744155919023</v>
                </pt>
                <pt idx="119">
                  <v>-6.701675417179104</v>
                </pt>
                <pt idx="120">
                  <v>0</v>
                </pt>
                <pt idx="121">
                  <v>-6.701675417179104</v>
                </pt>
                <pt idx="122">
                  <v>-34.56744155918659</v>
                </pt>
                <pt idx="123">
                  <v>-86.79473246430734</v>
                </pt>
                <pt idx="124">
                  <v>-175.284770540442</v>
                </pt>
                <pt idx="125">
                  <v>-328.8502755227419</v>
                </pt>
                <pt idx="126">
                  <v>-520.010223424264</v>
                </pt>
                <pt idx="127">
                  <v>-766.3118882481267</v>
                </pt>
                <pt idx="128">
                  <v>-1111.366579203488</v>
                </pt>
                <pt idx="129">
                  <v>-1478.964224442476</v>
                </pt>
                <pt idx="130">
                  <v>-1903.505948859045</v>
                </pt>
                <pt idx="131">
                  <v>-2448.174221919682</v>
                </pt>
                <pt idx="132">
                  <v>-2990.752108016142</v>
                </pt>
                <pt idx="133">
                  <v>-3587.063067524861</v>
                </pt>
                <pt idx="134">
                  <v>-4320.543295968455</v>
                </pt>
                <pt idx="135">
                  <v>-5026.741503405137</v>
                </pt>
                <pt idx="136">
                  <v>-5782.586392976991</v>
                </pt>
                <pt idx="137">
                  <v>-6690.610806334415</v>
                </pt>
                <pt idx="138">
                  <v>-7547.58267176729</v>
                </pt>
                <pt idx="139">
                  <v>-8450.11460672399</v>
                </pt>
                <pt idx="140">
                  <v>-9518.334244312478</v>
                </pt>
                <pt idx="141">
                  <v>-10513.46974524825</v>
                </pt>
                <pt idx="142">
                  <v>-11550.2420277225</v>
                </pt>
                <pt idx="143">
                  <v>-12764.86656531011</v>
                </pt>
                <pt idx="144">
                  <v>-13886.10379726935</v>
                </pt>
                <pt idx="145">
                  <v>-15045.24223012434</v>
                </pt>
                <pt idx="146">
                  <v>-16393.13860799077</v>
                </pt>
                <pt idx="147">
                  <v>-17629.00388090196</v>
                </pt>
                <pt idx="148">
                  <v>-18899.2224254725</v>
                </pt>
                <pt idx="149">
                  <v>-20367.91707237235</v>
                </pt>
                <pt idx="150">
                  <v>-21707.52020829931</v>
                </pt>
                <pt idx="151">
                  <v>-23078.11364463285</v>
                </pt>
                <pt idx="152">
                  <v>-24655.78332287309</v>
                </pt>
                <pt idx="153">
                  <v>-26088.80968164916</v>
                </pt>
                <pt idx="154">
                  <v>-27549.646131815</v>
                </pt>
                <pt idx="155">
                  <v>-29225.11015603603</v>
                </pt>
                <pt idx="156">
                  <v>-30741.8141453946</v>
                </pt>
                <pt idx="157">
                  <v>-32283.3287901734</v>
                </pt>
                <pt idx="158">
                  <v>-34046.04194794646</v>
                </pt>
                <pt idx="159">
                  <v>-35637.24050020533</v>
                </pt>
                <pt idx="160">
                  <v>-37250.42865196265</v>
                </pt>
                <pt idx="161">
                  <v>-39090.47273823073</v>
                </pt>
                <pt idx="162">
                  <v>-40747.53704950534</v>
                </pt>
                <pt idx="163">
                  <v>-42423.94509695144</v>
                </pt>
                <pt idx="164">
                  <v>-44332.01768741835</v>
                </pt>
                <pt idx="165">
                  <v>-46046.86225919663</v>
                </pt>
                <pt idx="166">
                  <v>-47778.5757557234</v>
                </pt>
                <pt idx="167">
                  <v>-49745.97565061507</v>
                </pt>
                <pt idx="168">
                  <v>-51511.04432508859</v>
                </pt>
                <pt idx="169">
                  <v>-53290.67307252441</v>
                </pt>
                <pt idx="170">
                  <v>-55309.2824077269</v>
                </pt>
                <pt idx="171">
                  <v>-57117.5315166829</v>
                </pt>
                <pt idx="172">
                  <v>-58938.1918599959</v>
                </pt>
                <pt idx="173">
                  <v>-61000.45522179079</v>
                </pt>
                <pt idx="174">
                  <v>-62845.33421508745</v>
                </pt>
                <pt idx="175">
                  <v>-64700.62896395409</v>
                </pt>
                <pt idx="176">
                  <v>-66799.5300210921</v>
                </pt>
                <pt idx="177">
                  <v>-68674.96006151366</v>
                </pt>
                <pt idx="178">
                  <v>-70558.95654529486</v>
                </pt>
                <pt idx="179">
                  <v>-72687.99278310622</v>
                </pt>
                <pt idx="180">
                  <v>-74588.34383380503</v>
                </pt>
                <pt idx="181">
                  <v>-76495.55061689264</v>
                </pt>
                <pt idx="182">
                  <v>-78648.70676173811</v>
                </pt>
                <pt idx="183">
                  <v>-80568.77368118369</v>
                </pt>
                <pt idx="184">
                  <v>-82494.11644292518</v>
                </pt>
                <pt idx="185">
                  <v>-84665.8371283485</v>
                </pt>
                <pt idx="186">
                  <v>-86600.81524649766</v>
                </pt>
                <pt idx="187">
                  <v>-88539.61228230715</v>
                </pt>
                <pt idx="188">
                  <v>-90724.77444856253</v>
                </pt>
                <pt idx="189">
                  <v>-92670.23504071141</v>
                </pt>
                <pt idx="190">
                  <v>-94618.17278073911</v>
                </pt>
                <pt idx="191">
                  <v>-96812.05822906029</v>
                </pt>
                <pt idx="192">
                  <v>-98763.92423983713</v>
                </pt>
                <pt idx="193">
                  <v>-100717.0331168441</v>
                </pt>
                <pt idx="194">
                  <v>-102915.3015667945</v>
                </pt>
                <pt idx="195">
                  <v>-104869.8238721658</v>
                </pt>
                <pt idx="196">
                  <v>-106824.4548063119</v>
                </pt>
                <pt idx="197">
                  <v>-109023.117733842</v>
                </pt>
                <pt idx="198">
                  <v>-110976.8521675513</v>
                </pt>
                <pt idx="199">
                  <v>-112929.6538759666</v>
                </pt>
                <pt idx="200">
                  <v>-115125.0493446169</v>
                </pt>
                <pt idx="201">
                  <v>-117074.8346595702</v>
                </pt>
                <pt idx="202">
                  <v>-119022.7319446883</v>
                </pt>
                <pt idx="203">
                  <v>-121211.5005842751</v>
                </pt>
                <pt idx="204">
                  <v>-123154.4374700891</v>
                </pt>
                <pt idx="205">
                  <v>-125094.6105936725</v>
                </pt>
                <pt idx="206">
                  <v>-127273.6728305982</v>
                </pt>
                <pt idx="207">
                  <v>-129207.1040662871</v>
                </pt>
                <pt idx="208">
                  <v>-131136.9692760912</v>
                </pt>
                <pt idx="209">
                  <v>-133303.5038770739</v>
                </pt>
                <pt idx="210">
                  <v>-135224.9956625739</v>
                </pt>
                <pt idx="211">
                  <v>-137142.1869054522</v>
                </pt>
                <pt idx="212">
                  <v>-139293.6108616769</v>
                </pt>
                <pt idx="213">
                  <v>-141200.9353430962</v>
                </pt>
                <pt idx="214">
                  <v>-143103.287171502</v>
                </pt>
                <pt idx="215">
                  <v>-145237.2369222694</v>
                </pt>
                <pt idx="216">
                  <v>-147128.3559028736</v>
                </pt>
                <pt idx="217">
                  <v>-149013.8875605664</v>
                </pt>
                <pt idx="218">
                  <v>-151128.2015336879</v>
                </pt>
                <pt idx="219">
                  <v>-153001.2513449043</v>
                </pt>
                <pt idx="220">
                  <v>-154868.1520014535</v>
                </pt>
                <pt idx="221">
                  <v>-156960.8544311166</v>
                </pt>
                <pt idx="222">
                  <v>-158814.1319245927</v>
                </pt>
                <pt idx="223">
                  <v>-160660.747016298</v>
                </pt>
                <pt idx="224">
                  <v>-162730.0329870773</v>
                </pt>
                <pt idx="225">
                  <v>-164561.9825993106</v>
                </pt>
                <pt idx="226">
                  <v>-166386.8012256964</v>
                </pt>
                <pt idx="227">
                  <v>-168431.0228830834</v>
                </pt>
                <pt idx="228">
                  <v>-170240.2247177474</v>
                </pt>
                <pt idx="229">
                  <v>-172041.8680372655</v>
                </pt>
                <pt idx="230">
                  <v>-174059.5218997984</v>
                </pt>
                <pt idx="231">
                  <v>-175844.6807689939</v>
                </pt>
                <pt idx="232">
                  <v>-177621.8913343613</v>
                </pt>
                <pt idx="233">
                  <v>-179611.6066396228</v>
                </pt>
                <pt idx="234">
                  <v>-181371.5420033857</v>
                </pt>
                <pt idx="235">
                  <v>-183123.173975634</v>
                </pt>
                <pt idx="236">
                  <v>-185083.7019914571</v>
                </pt>
                <pt idx="237">
                  <v>-186817.3387345333</v>
                </pt>
                <pt idx="238">
                  <v>-188542.3489149385</v>
                </pt>
                <pt idx="239">
                  <v>-190472.5531477006</v>
                </pt>
                <pt idx="240">
                  <v>-192178.9131334473</v>
                </pt>
              </numCache>
            </numRef>
          </yVal>
          <smooth val="0"/>
        </ser>
        <ser>
          <idx val="3"/>
          <order val="3"/>
          <tx>
            <v>Operating 25 km / 1600 km pass</v>
          </tx>
          <spPr>
            <a:ln xmlns:a="http://schemas.openxmlformats.org/drawingml/2006/main" w="19050">
              <a:solidFill>
                <a:srgbClr val="7C3AED"/>
              </a:solidFill>
              <a:prstDash val="solid"/>
            </a:ln>
          </spPr>
          <marker>
            <symbol val="none"/>
            <spPr>
              <a:ln xmlns:a="http://schemas.openxmlformats.org/drawingml/2006/main">
                <a:prstDash val="solid"/>
              </a:ln>
            </spPr>
          </marker>
          <xVal>
            <numRef>
              <f>Native_Chart_Data!$G$248:$G$488</f>
              <numCache>
                <formatCode>General</formatCode>
                <ptCount val="241"/>
                <pt idx="0">
                  <v>-1</v>
                </pt>
                <pt idx="1">
                  <v>-0.992</v>
                </pt>
                <pt idx="2">
                  <v>-0.983</v>
                </pt>
                <pt idx="3">
                  <v>-0.975</v>
                </pt>
                <pt idx="4">
                  <v>-0.967</v>
                </pt>
                <pt idx="5">
                  <v>-0.958</v>
                </pt>
                <pt idx="6">
                  <v>-0.95</v>
                </pt>
                <pt idx="7">
                  <v>-0.9419999999999999</v>
                </pt>
                <pt idx="8">
                  <v>-0.9330000000000001</v>
                </pt>
                <pt idx="9">
                  <v>-0.925</v>
                </pt>
                <pt idx="10">
                  <v>-0.917</v>
                </pt>
                <pt idx="11">
                  <v>-0.908</v>
                </pt>
                <pt idx="12">
                  <v>-0.9</v>
                </pt>
                <pt idx="13">
                  <v>-0.892</v>
                </pt>
                <pt idx="14">
                  <v>-0.883</v>
                </pt>
                <pt idx="15">
                  <v>-0.875</v>
                </pt>
                <pt idx="16">
                  <v>-0.867</v>
                </pt>
                <pt idx="17">
                  <v>-0.858</v>
                </pt>
                <pt idx="18">
                  <v>-0.85</v>
                </pt>
                <pt idx="19">
                  <v>-0.842</v>
                </pt>
                <pt idx="20">
                  <v>-0.833</v>
                </pt>
                <pt idx="21">
                  <v>-0.825</v>
                </pt>
                <pt idx="22">
                  <v>-0.8169999999999999</v>
                </pt>
                <pt idx="23">
                  <v>-0.8080000000000001</v>
                </pt>
                <pt idx="24">
                  <v>-0.8</v>
                </pt>
                <pt idx="25">
                  <v>-0.792</v>
                </pt>
                <pt idx="26">
                  <v>-0.783</v>
                </pt>
                <pt idx="27">
                  <v>-0.775</v>
                </pt>
                <pt idx="28">
                  <v>-0.767</v>
                </pt>
                <pt idx="29">
                  <v>-0.758</v>
                </pt>
                <pt idx="30">
                  <v>-0.75</v>
                </pt>
                <pt idx="31">
                  <v>-0.742</v>
                </pt>
                <pt idx="32">
                  <v>-0.733</v>
                </pt>
                <pt idx="33">
                  <v>-0.725</v>
                </pt>
                <pt idx="34">
                  <v>-0.717</v>
                </pt>
                <pt idx="35">
                  <v>-0.708</v>
                </pt>
                <pt idx="36">
                  <v>-0.7</v>
                </pt>
                <pt idx="37">
                  <v>-0.6919999999999999</v>
                </pt>
                <pt idx="38">
                  <v>-0.6830000000000001</v>
                </pt>
                <pt idx="39">
                  <v>-0.675</v>
                </pt>
                <pt idx="40">
                  <v>-0.667</v>
                </pt>
                <pt idx="41">
                  <v>-0.658</v>
                </pt>
                <pt idx="42">
                  <v>-0.65</v>
                </pt>
                <pt idx="43">
                  <v>-0.642</v>
                </pt>
                <pt idx="44">
                  <v>-0.633</v>
                </pt>
                <pt idx="45">
                  <v>-0.625</v>
                </pt>
                <pt idx="46">
                  <v>-0.617</v>
                </pt>
                <pt idx="47">
                  <v>-0.608</v>
                </pt>
                <pt idx="48">
                  <v>-0.6</v>
                </pt>
                <pt idx="49">
                  <v>-0.592</v>
                </pt>
                <pt idx="50">
                  <v>-0.583</v>
                </pt>
                <pt idx="51">
                  <v>-0.575</v>
                </pt>
                <pt idx="52">
                  <v>-0.5669999999999999</v>
                </pt>
                <pt idx="53">
                  <v>-0.5580000000000001</v>
                </pt>
                <pt idx="54">
                  <v>-0.55</v>
                </pt>
                <pt idx="55">
                  <v>-0.542</v>
                </pt>
                <pt idx="56">
                  <v>-0.533</v>
                </pt>
                <pt idx="57">
                  <v>-0.525</v>
                </pt>
                <pt idx="58">
                  <v>-0.517</v>
                </pt>
                <pt idx="59">
                  <v>-0.508</v>
                </pt>
                <pt idx="60">
                  <v>-0.5</v>
                </pt>
                <pt idx="61">
                  <v>-0.492</v>
                </pt>
                <pt idx="62">
                  <v>-0.483</v>
                </pt>
                <pt idx="63">
                  <v>-0.475</v>
                </pt>
                <pt idx="64">
                  <v>-0.467</v>
                </pt>
                <pt idx="65">
                  <v>-0.458</v>
                </pt>
                <pt idx="66">
                  <v>-0.45</v>
                </pt>
                <pt idx="67">
                  <v>-0.442</v>
                </pt>
                <pt idx="68">
                  <v>-0.433</v>
                </pt>
                <pt idx="69">
                  <v>-0.425</v>
                </pt>
                <pt idx="70">
                  <v>-0.417</v>
                </pt>
                <pt idx="71">
                  <v>-0.408</v>
                </pt>
                <pt idx="72">
                  <v>-0.4</v>
                </pt>
                <pt idx="73">
                  <v>-0.392</v>
                </pt>
                <pt idx="74">
                  <v>-0.383</v>
                </pt>
                <pt idx="75">
                  <v>-0.375</v>
                </pt>
                <pt idx="76">
                  <v>-0.367</v>
                </pt>
                <pt idx="77">
                  <v>-0.358</v>
                </pt>
                <pt idx="78">
                  <v>-0.35</v>
                </pt>
                <pt idx="79">
                  <v>-0.342</v>
                </pt>
                <pt idx="80">
                  <v>-0.333</v>
                </pt>
                <pt idx="81">
                  <v>-0.325</v>
                </pt>
                <pt idx="82">
                  <v>-0.317</v>
                </pt>
                <pt idx="83">
                  <v>-0.308</v>
                </pt>
                <pt idx="84">
                  <v>-0.3</v>
                </pt>
                <pt idx="85">
                  <v>-0.292</v>
                </pt>
                <pt idx="86">
                  <v>-0.283</v>
                </pt>
                <pt idx="87">
                  <v>-0.275</v>
                </pt>
                <pt idx="88">
                  <v>-0.267</v>
                </pt>
                <pt idx="89">
                  <v>-0.258</v>
                </pt>
                <pt idx="90">
                  <v>-0.25</v>
                </pt>
                <pt idx="91">
                  <v>-0.242</v>
                </pt>
                <pt idx="92">
                  <v>-0.233</v>
                </pt>
                <pt idx="93">
                  <v>-0.225</v>
                </pt>
                <pt idx="94">
                  <v>-0.217</v>
                </pt>
                <pt idx="95">
                  <v>-0.208</v>
                </pt>
                <pt idx="96">
                  <v>-0.2</v>
                </pt>
                <pt idx="97">
                  <v>-0.192</v>
                </pt>
                <pt idx="98">
                  <v>-0.183</v>
                </pt>
                <pt idx="99">
                  <v>-0.175</v>
                </pt>
                <pt idx="100">
                  <v>-0.167</v>
                </pt>
                <pt idx="101">
                  <v>-0.158</v>
                </pt>
                <pt idx="102">
                  <v>-0.15</v>
                </pt>
                <pt idx="103">
                  <v>-0.142</v>
                </pt>
                <pt idx="104">
                  <v>-0.133</v>
                </pt>
                <pt idx="105">
                  <v>-0.125</v>
                </pt>
                <pt idx="106">
                  <v>-0.117</v>
                </pt>
                <pt idx="107">
                  <v>-0.108</v>
                </pt>
                <pt idx="108">
                  <v>-0.1</v>
                </pt>
                <pt idx="109">
                  <v>-0.092</v>
                </pt>
                <pt idx="110">
                  <v>-0.083</v>
                </pt>
                <pt idx="111">
                  <v>-0.075</v>
                </pt>
                <pt idx="112">
                  <v>-0.067</v>
                </pt>
                <pt idx="113">
                  <v>-0.058</v>
                </pt>
                <pt idx="114">
                  <v>-0.05</v>
                </pt>
                <pt idx="115">
                  <v>-0.042</v>
                </pt>
                <pt idx="116">
                  <v>-0.033</v>
                </pt>
                <pt idx="117">
                  <v>-0.025</v>
                </pt>
                <pt idx="118">
                  <v>-0.017</v>
                </pt>
                <pt idx="119">
                  <v>-0.008</v>
                </pt>
                <pt idx="120">
                  <v>0</v>
                </pt>
                <pt idx="121">
                  <v>0.008</v>
                </pt>
                <pt idx="122">
                  <v>0.017</v>
                </pt>
                <pt idx="123">
                  <v>0.025</v>
                </pt>
                <pt idx="124">
                  <v>0.033</v>
                </pt>
                <pt idx="125">
                  <v>0.042</v>
                </pt>
                <pt idx="126">
                  <v>0.05</v>
                </pt>
                <pt idx="127">
                  <v>0.058</v>
                </pt>
                <pt idx="128">
                  <v>0.067</v>
                </pt>
                <pt idx="129">
                  <v>0.075</v>
                </pt>
                <pt idx="130">
                  <v>0.083</v>
                </pt>
                <pt idx="131">
                  <v>0.092</v>
                </pt>
                <pt idx="132">
                  <v>0.1</v>
                </pt>
                <pt idx="133">
                  <v>0.108</v>
                </pt>
                <pt idx="134">
                  <v>0.117</v>
                </pt>
                <pt idx="135">
                  <v>0.125</v>
                </pt>
                <pt idx="136">
                  <v>0.133</v>
                </pt>
                <pt idx="137">
                  <v>0.142</v>
                </pt>
                <pt idx="138">
                  <v>0.15</v>
                </pt>
                <pt idx="139">
                  <v>0.158</v>
                </pt>
                <pt idx="140">
                  <v>0.167</v>
                </pt>
                <pt idx="141">
                  <v>0.175</v>
                </pt>
                <pt idx="142">
                  <v>0.183</v>
                </pt>
                <pt idx="143">
                  <v>0.192</v>
                </pt>
                <pt idx="144">
                  <v>0.2</v>
                </pt>
                <pt idx="145">
                  <v>0.208</v>
                </pt>
                <pt idx="146">
                  <v>0.217</v>
                </pt>
                <pt idx="147">
                  <v>0.225</v>
                </pt>
                <pt idx="148">
                  <v>0.233</v>
                </pt>
                <pt idx="149">
                  <v>0.242</v>
                </pt>
                <pt idx="150">
                  <v>0.25</v>
                </pt>
                <pt idx="151">
                  <v>0.258</v>
                </pt>
                <pt idx="152">
                  <v>0.267</v>
                </pt>
                <pt idx="153">
                  <v>0.275</v>
                </pt>
                <pt idx="154">
                  <v>0.283</v>
                </pt>
                <pt idx="155">
                  <v>0.292</v>
                </pt>
                <pt idx="156">
                  <v>0.3</v>
                </pt>
                <pt idx="157">
                  <v>0.308</v>
                </pt>
                <pt idx="158">
                  <v>0.317</v>
                </pt>
                <pt idx="159">
                  <v>0.325</v>
                </pt>
                <pt idx="160">
                  <v>0.333</v>
                </pt>
                <pt idx="161">
                  <v>0.342</v>
                </pt>
                <pt idx="162">
                  <v>0.35</v>
                </pt>
                <pt idx="163">
                  <v>0.358</v>
                </pt>
                <pt idx="164">
                  <v>0.367</v>
                </pt>
                <pt idx="165">
                  <v>0.375</v>
                </pt>
                <pt idx="166">
                  <v>0.383</v>
                </pt>
                <pt idx="167">
                  <v>0.392</v>
                </pt>
                <pt idx="168">
                  <v>0.4</v>
                </pt>
                <pt idx="169">
                  <v>0.408</v>
                </pt>
                <pt idx="170">
                  <v>0.417</v>
                </pt>
                <pt idx="171">
                  <v>0.425</v>
                </pt>
                <pt idx="172">
                  <v>0.433</v>
                </pt>
                <pt idx="173">
                  <v>0.442</v>
                </pt>
                <pt idx="174">
                  <v>0.45</v>
                </pt>
                <pt idx="175">
                  <v>0.458</v>
                </pt>
                <pt idx="176">
                  <v>0.467</v>
                </pt>
                <pt idx="177">
                  <v>0.475</v>
                </pt>
                <pt idx="178">
                  <v>0.483</v>
                </pt>
                <pt idx="179">
                  <v>0.492</v>
                </pt>
                <pt idx="180">
                  <v>0.5</v>
                </pt>
                <pt idx="181">
                  <v>0.508</v>
                </pt>
                <pt idx="182">
                  <v>0.517</v>
                </pt>
                <pt idx="183">
                  <v>0.525</v>
                </pt>
                <pt idx="184">
                  <v>0.533</v>
                </pt>
                <pt idx="185">
                  <v>0.542</v>
                </pt>
                <pt idx="186">
                  <v>0.55</v>
                </pt>
                <pt idx="187">
                  <v>0.5580000000000001</v>
                </pt>
                <pt idx="188">
                  <v>0.5669999999999999</v>
                </pt>
                <pt idx="189">
                  <v>0.575</v>
                </pt>
                <pt idx="190">
                  <v>0.583</v>
                </pt>
                <pt idx="191">
                  <v>0.592</v>
                </pt>
                <pt idx="192">
                  <v>0.6</v>
                </pt>
                <pt idx="193">
                  <v>0.608</v>
                </pt>
                <pt idx="194">
                  <v>0.617</v>
                </pt>
                <pt idx="195">
                  <v>0.625</v>
                </pt>
                <pt idx="196">
                  <v>0.633</v>
                </pt>
                <pt idx="197">
                  <v>0.642</v>
                </pt>
                <pt idx="198">
                  <v>0.65</v>
                </pt>
                <pt idx="199">
                  <v>0.658</v>
                </pt>
                <pt idx="200">
                  <v>0.667</v>
                </pt>
                <pt idx="201">
                  <v>0.675</v>
                </pt>
                <pt idx="202">
                  <v>0.6830000000000001</v>
                </pt>
                <pt idx="203">
                  <v>0.6919999999999999</v>
                </pt>
                <pt idx="204">
                  <v>0.7</v>
                </pt>
                <pt idx="205">
                  <v>0.708</v>
                </pt>
                <pt idx="206">
                  <v>0.717</v>
                </pt>
                <pt idx="207">
                  <v>0.725</v>
                </pt>
                <pt idx="208">
                  <v>0.733</v>
                </pt>
                <pt idx="209">
                  <v>0.742</v>
                </pt>
                <pt idx="210">
                  <v>0.75</v>
                </pt>
                <pt idx="211">
                  <v>0.758</v>
                </pt>
                <pt idx="212">
                  <v>0.767</v>
                </pt>
                <pt idx="213">
                  <v>0.775</v>
                </pt>
                <pt idx="214">
                  <v>0.783</v>
                </pt>
                <pt idx="215">
                  <v>0.792</v>
                </pt>
                <pt idx="216">
                  <v>0.8</v>
                </pt>
                <pt idx="217">
                  <v>0.8080000000000001</v>
                </pt>
                <pt idx="218">
                  <v>0.8169999999999999</v>
                </pt>
                <pt idx="219">
                  <v>0.825</v>
                </pt>
                <pt idx="220">
                  <v>0.833</v>
                </pt>
                <pt idx="221">
                  <v>0.842</v>
                </pt>
                <pt idx="222">
                  <v>0.85</v>
                </pt>
                <pt idx="223">
                  <v>0.858</v>
                </pt>
                <pt idx="224">
                  <v>0.867</v>
                </pt>
                <pt idx="225">
                  <v>0.875</v>
                </pt>
                <pt idx="226">
                  <v>0.883</v>
                </pt>
                <pt idx="227">
                  <v>0.892</v>
                </pt>
                <pt idx="228">
                  <v>0.9</v>
                </pt>
                <pt idx="229">
                  <v>0.908</v>
                </pt>
                <pt idx="230">
                  <v>0.917</v>
                </pt>
                <pt idx="231">
                  <v>0.925</v>
                </pt>
                <pt idx="232">
                  <v>0.9330000000000001</v>
                </pt>
                <pt idx="233">
                  <v>0.9419999999999999</v>
                </pt>
                <pt idx="234">
                  <v>0.95</v>
                </pt>
                <pt idx="235">
                  <v>0.958</v>
                </pt>
                <pt idx="236">
                  <v>0.967</v>
                </pt>
                <pt idx="237">
                  <v>0.975</v>
                </pt>
                <pt idx="238">
                  <v>0.983</v>
                </pt>
                <pt idx="239">
                  <v>0.992</v>
                </pt>
                <pt idx="240">
                  <v>1</v>
                </pt>
              </numCache>
            </numRef>
          </xVal>
          <yVal>
            <numRef>
              <f>Native_Chart_Data!$H$248:$H$488</f>
              <numCache>
                <formatCode>General</formatCode>
                <ptCount val="241"/>
                <pt idx="0">
                  <v>-196175.9400728935</v>
                </pt>
                <pt idx="1">
                  <v>-194464.7383706524</v>
                </pt>
                <pt idx="2">
                  <v>-192528.7589427015</v>
                </pt>
                <pt idx="3">
                  <v>-190798.3181820776</v>
                </pt>
                <pt idx="4">
                  <v>-189058.9662057007</v>
                </pt>
                <pt idx="5">
                  <v>-187091.6621591745</v>
                </pt>
                <pt idx="6">
                  <v>-185333.6935937139</v>
                </pt>
                <pt idx="7">
                  <v>-183567.1213135333</v>
                </pt>
                <pt idx="8">
                  <v>-181569.5740504033</v>
                </pt>
                <pt idx="9">
                  <v>-179785.0711008741</v>
                </pt>
                <pt idx="10">
                  <v>-177992.3030914759</v>
                </pt>
                <pt idx="11">
                  <v>-175965.7035718355</v>
                </pt>
                <pt idx="12">
                  <v>-174155.7599109689</v>
                </pt>
                <pt idx="13">
                  <v>-172337.9237806311</v>
                </pt>
                <pt idx="14">
                  <v>-170283.5823050194</v>
                </pt>
                <pt idx="15">
                  <v>-168449.4008262297</v>
                </pt>
                <pt idx="16">
                  <v>-166607.7364499004</v>
                </pt>
                <pt idx="17">
                  <v>-164527.0933707742</v>
                </pt>
                <pt idx="18">
                  <v>-162669.9960054315</v>
                </pt>
                <pt idx="19">
                  <v>-160805.8656278071</v>
                </pt>
                <pt idx="20">
                  <v>-158700.5030658679</v>
                </pt>
                <pt idx="21">
                  <v>-156821.9415170548</v>
                </pt>
                <pt idx="22">
                  <v>-154936.8407941876</v>
                </pt>
                <pt idx="23">
                  <v>-152808.4954369969</v>
                </pt>
                <pt idx="24">
                  <v>-150910.062898851</v>
                </pt>
                <pt idx="25">
                  <v>-149005.6329474778</v>
                </pt>
                <pt idx="26">
                  <v>-146856.2100081471</v>
                </pt>
                <pt idx="27">
                  <v>-144939.6539396716</v>
                </pt>
                <pt idx="28">
                  <v>-143017.6944627409</v>
                </pt>
                <pt idx="29">
                  <v>-140849.2828749542</v>
                </pt>
                <pt idx="30">
                  <v>-138916.5188951826</v>
                </pt>
                <pt idx="31">
                  <v>-136979.0024493342</v>
                </pt>
                <pt idx="32">
                  <v>-134793.891371038</v>
                </pt>
                <pt idx="33">
                  <v>-132847.0183380536</v>
                </pt>
                <pt idx="34">
                  <v>-130896.105803573</v>
                </pt>
                <pt idx="35">
                  <v>-128696.8024946256</v>
                </pt>
                <pt idx="36">
                  <v>-126738.1188236044</v>
                </pt>
                <pt idx="37">
                  <v>-124776.1761289193</v>
                </pt>
                <pt idx="38">
                  <v>-122565.4252570747</v>
                </pt>
                <pt idx="39">
                  <v>-120597.4465214828</v>
                </pt>
                <pt idx="40">
                  <v>-118627.0626618838</v>
                </pt>
                <pt idx="41">
                  <v>-116407.8670758182</v>
                </pt>
                <pt idx="42">
                  <v>-114433.3449203098</v>
                </pt>
                <pt idx="43">
                  <v>-112457.3512933723</v>
                </pt>
                <pt idx="44">
                  <v>-110232.994280058</v>
                </pt>
                <pt idx="45">
                  <v>-108254.9366526784</v>
                </pt>
                <pt idx="46">
                  <v>-106276.4277099805</v>
                </pt>
                <pt idx="47">
                  <v>-104050.4967255258</v>
                </pt>
                <pt idx="48">
                  <v>-102072.1894095076</v>
                </pt>
                <pt idx="49">
                  <v>-100094.5445946968</v>
                </pt>
                <pt idx="50">
                  <v>-97870.95642178808</v>
                </pt>
                <pt idx="51">
                  <v>-95895.98581265062</v>
                </pt>
                <pt idx="52">
                  <v>-93922.89271885809</v>
                </pt>
                <pt idx="53">
                  <v>-91705.91995911699</v>
                </pt>
                <pt idx="54">
                  <v>-89738.19699014083</v>
                </pt>
                <pt idx="55">
                  <v>-87773.67562430885</v>
                </pt>
                <pt idx="56">
                  <v>-85567.97437946271</v>
                </pt>
                <pt idx="57">
                  <v>-83611.75944718669</v>
                </pt>
                <pt idx="58">
                  <v>-81660.18743462116</v>
                </pt>
                <pt idx="59">
                  <v>-79470.82596585053</v>
                </pt>
                <pt idx="60">
                  <v>-77530.75464681152</v>
                </pt>
                <pt idx="61">
                  <v>-75596.89314596457</v>
                </pt>
                <pt idx="62">
                  <v>-73429.38122625276</v>
                </pt>
                <pt idx="63">
                  <v>-71510.49050705163</v>
                </pt>
                <pt idx="64">
                  <v>-69599.51053278937</v>
                </pt>
                <pt idx="65">
                  <v>-67459.82912343887</v>
                </pt>
                <pt idx="66">
                  <v>-65567.58378946671</v>
                </pt>
                <pt idx="67">
                  <v>-63685.09256436476</v>
                </pt>
                <pt idx="68">
                  <v>-61579.72335626039</v>
                </pt>
                <pt idx="69">
                  <v>-59720.04210248677</v>
                </pt>
                <pt idx="70">
                  <v>-57872.10897282464</v>
                </pt>
                <pt idx="71">
                  <v>-55808.06323941442</v>
                </pt>
                <pt idx="72">
                  <v>-53987.34398363595</v>
                </pt>
                <pt idx="73">
                  <v>-52180.52535474439</v>
                </pt>
                <pt idx="74">
                  <v>-50165.37147333971</v>
                </pt>
                <pt idx="75">
                  <v>-48390.51527485564</v>
                </pt>
                <pt idx="76">
                  <v>-46631.87794663328</v>
                </pt>
                <pt idx="77">
                  <v>-44673.76686765761</v>
                </pt>
                <pt idx="78">
                  <v>-42952.19979250127</v>
                </pt>
                <pt idx="79">
                  <v>-41249.34202215516</v>
                </pt>
                <pt idx="80">
                  <v>-39357.02991700129</v>
                </pt>
                <pt idx="81">
                  <v>-37696.722160192</v>
                </pt>
                <pt idx="82">
                  <v>-36057.79176290192</v>
                </pt>
                <pt idx="83">
                  <v>-34240.65908349385</v>
                </pt>
                <pt idx="84">
                  <v>-32650.14068270584</v>
                </pt>
                <pt idx="85">
                  <v>-31083.84952937526</v>
                </pt>
                <pt idx="86">
                  <v>-29351.91580166448</v>
                </pt>
                <pt idx="87">
                  <v>-27840.28839250612</v>
                </pt>
                <pt idx="88">
                  <v>-26355.92282022885</v>
                </pt>
                <pt idx="89">
                  <v>-24719.85672730935</v>
                </pt>
                <pt idx="90">
                  <v>-23296.80105835728</v>
                </pt>
                <pt idx="91">
                  <v>-21904.22804430117</v>
                </pt>
                <pt idx="92">
                  <v>-20375.35282685111</v>
                </pt>
                <pt idx="93">
                  <v>-19051.1322716483</v>
                </pt>
                <pt idx="94">
                  <v>-17760.80185039583</v>
                </pt>
                <pt idx="95">
                  <v>-16351.09691409997</v>
                </pt>
                <pt idx="96">
                  <v>-15136.55814203358</v>
                </pt>
                <pt idx="97">
                  <v>-13959.5036406426</v>
                </pt>
                <pt idx="98">
                  <v>-12681.60471469578</v>
                </pt>
                <pt idx="99">
                  <v>-11588.17818289464</v>
                </pt>
                <pt idx="100">
                  <v>-10536.01753124872</v>
                </pt>
                <pt idx="101">
                  <v>-9403.219768093775</v>
                </pt>
                <pt idx="102">
                  <v>-8442.924503822665</v>
                </pt>
                <pt idx="103">
                  <v>-7527.867382246135</v>
                </pt>
                <pt idx="104">
                  <v>-6554.136414658264</v>
                </pt>
                <pt idx="105">
                  <v>-5739.591971731104</v>
                </pt>
                <pt idx="106">
                  <v>-4974.451853438622</v>
                </pt>
                <pt idx="107">
                  <v>-4174.431723955735</v>
                </pt>
                <pt idx="108">
                  <v>-3518.849415947065</v>
                </pt>
                <pt idx="109">
                  <v>-2916.999533156915</v>
                </pt>
                <pt idx="110">
                  <v>-2305.872585452667</v>
                </pt>
                <pt idx="111">
                  <v>-1822.767807815286</v>
                </pt>
                <pt idx="112">
                  <v>-1397.552072156148</v>
                </pt>
                <pt idx="113">
                  <v>-989.6747178815604</v>
                </pt>
                <pt idx="114">
                  <v>-690.4618564313296</v>
                </pt>
                <pt idx="115">
                  <v>-450.6876101131584</v>
                </pt>
                <pt idx="116">
                  <v>-249.9312263693864</v>
                </pt>
                <pt idx="117">
                  <v>-128.3739092290234</v>
                </pt>
                <pt idx="118">
                  <v>-52.8905544385043</v>
                </pt>
                <pt idx="119">
                  <v>-10.54136055730396</v>
                </pt>
                <pt idx="120">
                  <v>0</v>
                </pt>
                <pt idx="121">
                  <v>-10.54136055730396</v>
                </pt>
                <pt idx="122">
                  <v>-52.89055443850248</v>
                </pt>
                <pt idx="123">
                  <v>-128.3739092290198</v>
                </pt>
                <pt idx="124">
                  <v>-249.9312263693864</v>
                </pt>
                <pt idx="125">
                  <v>-450.6876101131584</v>
                </pt>
                <pt idx="126">
                  <v>-690.4618564313296</v>
                </pt>
                <pt idx="127">
                  <v>-989.6747178815604</v>
                </pt>
                <pt idx="128">
                  <v>-1397.552072156148</v>
                </pt>
                <pt idx="129">
                  <v>-1822.767807815286</v>
                </pt>
                <pt idx="130">
                  <v>-2305.872585452667</v>
                </pt>
                <pt idx="131">
                  <v>-2916.999533156915</v>
                </pt>
                <pt idx="132">
                  <v>-3518.849415947079</v>
                </pt>
                <pt idx="133">
                  <v>-4174.431723955749</v>
                </pt>
                <pt idx="134">
                  <v>-4974.451853438622</v>
                </pt>
                <pt idx="135">
                  <v>-5739.591971731104</v>
                </pt>
                <pt idx="136">
                  <v>-6554.136414658264</v>
                </pt>
                <pt idx="137">
                  <v>-7527.867382244032</v>
                </pt>
                <pt idx="138">
                  <v>-8442.924503822644</v>
                </pt>
                <pt idx="139">
                  <v>-9403.219768093775</v>
                </pt>
                <pt idx="140">
                  <v>-10536.01753124872</v>
                </pt>
                <pt idx="141">
                  <v>-11588.17818289464</v>
                </pt>
                <pt idx="142">
                  <v>-12681.60471469578</v>
                </pt>
                <pt idx="143">
                  <v>-13959.5036406426</v>
                </pt>
                <pt idx="144">
                  <v>-15136.55814203358</v>
                </pt>
                <pt idx="145">
                  <v>-16351.09691409997</v>
                </pt>
                <pt idx="146">
                  <v>-17760.80185039583</v>
                </pt>
                <pt idx="147">
                  <v>-19051.13227164834</v>
                </pt>
                <pt idx="148">
                  <v>-20375.35282685116</v>
                </pt>
                <pt idx="149">
                  <v>-21904.22804430117</v>
                </pt>
                <pt idx="150">
                  <v>-23296.80105835728</v>
                </pt>
                <pt idx="151">
                  <v>-24719.85672730935</v>
                </pt>
                <pt idx="152">
                  <v>-26355.92282022882</v>
                </pt>
                <pt idx="153">
                  <v>-27840.28839250606</v>
                </pt>
                <pt idx="154">
                  <v>-29351.91580166442</v>
                </pt>
                <pt idx="155">
                  <v>-31083.84952937637</v>
                </pt>
                <pt idx="156">
                  <v>-32650.14068270584</v>
                </pt>
                <pt idx="157">
                  <v>-34240.65908349385</v>
                </pt>
                <pt idx="158">
                  <v>-36057.79176290192</v>
                </pt>
                <pt idx="159">
                  <v>-37696.722160192</v>
                </pt>
                <pt idx="160">
                  <v>-39357.02991700124</v>
                </pt>
                <pt idx="161">
                  <v>-41249.34202215604</v>
                </pt>
                <pt idx="162">
                  <v>-42952.19979250127</v>
                </pt>
                <pt idx="163">
                  <v>-44673.76686765764</v>
                </pt>
                <pt idx="164">
                  <v>-46631.87794663398</v>
                </pt>
                <pt idx="165">
                  <v>-48390.51527485564</v>
                </pt>
                <pt idx="166">
                  <v>-50165.37147334049</v>
                </pt>
                <pt idx="167">
                  <v>-52180.52535474431</v>
                </pt>
                <pt idx="168">
                  <v>-53987.34398363595</v>
                </pt>
                <pt idx="169">
                  <v>-55808.06323941368</v>
                </pt>
                <pt idx="170">
                  <v>-57872.10897282533</v>
                </pt>
                <pt idx="171">
                  <v>-59720.04210248674</v>
                </pt>
                <pt idx="172">
                  <v>-61579.72335626042</v>
                </pt>
                <pt idx="173">
                  <v>-63685.09256436417</v>
                </pt>
                <pt idx="174">
                  <v>-65567.58378946672</v>
                </pt>
                <pt idx="175">
                  <v>-67459.8291234388</v>
                </pt>
                <pt idx="176">
                  <v>-69599.51053278941</v>
                </pt>
                <pt idx="177">
                  <v>-71510.49050705163</v>
                </pt>
                <pt idx="178">
                  <v>-73429.38122625335</v>
                </pt>
                <pt idx="179">
                  <v>-75596.89314596399</v>
                </pt>
                <pt idx="180">
                  <v>-77530.75464681152</v>
                </pt>
                <pt idx="181">
                  <v>-79470.82596585111</v>
                </pt>
                <pt idx="182">
                  <v>-81660.1874346211</v>
                </pt>
                <pt idx="183">
                  <v>-83611.75944718669</v>
                </pt>
                <pt idx="184">
                  <v>-85567.97437946207</v>
                </pt>
                <pt idx="185">
                  <v>-87773.67562430893</v>
                </pt>
                <pt idx="186">
                  <v>-89738.19699014083</v>
                </pt>
                <pt idx="187">
                  <v>-91705.91995911617</v>
                </pt>
                <pt idx="188">
                  <v>-93922.89271885797</v>
                </pt>
                <pt idx="189">
                  <v>-95895.98581265062</v>
                </pt>
                <pt idx="190">
                  <v>-97870.95642178803</v>
                </pt>
                <pt idx="191">
                  <v>-100094.5445946979</v>
                </pt>
                <pt idx="192">
                  <v>-102072.1894095076</v>
                </pt>
                <pt idx="193">
                  <v>-104050.4967255254</v>
                </pt>
                <pt idx="194">
                  <v>-106276.4277099808</v>
                </pt>
                <pt idx="195">
                  <v>-108254.9366526784</v>
                </pt>
                <pt idx="196">
                  <v>-110232.9942800576</v>
                </pt>
                <pt idx="197">
                  <v>-112457.3512933722</v>
                </pt>
                <pt idx="198">
                  <v>-114433.3449203098</v>
                </pt>
                <pt idx="199">
                  <v>-116407.8670758184</v>
                </pt>
                <pt idx="200">
                  <v>-118627.0626618836</v>
                </pt>
                <pt idx="201">
                  <v>-120597.4465214828</v>
                </pt>
                <pt idx="202">
                  <v>-122565.4252570747</v>
                </pt>
                <pt idx="203">
                  <v>-124776.1761289193</v>
                </pt>
                <pt idx="204">
                  <v>-126738.1188236044</v>
                </pt>
                <pt idx="205">
                  <v>-128696.8024946254</v>
                </pt>
                <pt idx="206">
                  <v>-130896.1058035729</v>
                </pt>
                <pt idx="207">
                  <v>-132847.0183380536</v>
                </pt>
                <pt idx="208">
                  <v>-134793.8913710381</v>
                </pt>
                <pt idx="209">
                  <v>-136979.0024493344</v>
                </pt>
                <pt idx="210">
                  <v>-138916.5188951826</v>
                </pt>
                <pt idx="211">
                  <v>-140849.282874954</v>
                </pt>
                <pt idx="212">
                  <v>-143017.6944627408</v>
                </pt>
                <pt idx="213">
                  <v>-144939.6539396716</v>
                </pt>
                <pt idx="214">
                  <v>-146856.2100081469</v>
                </pt>
                <pt idx="215">
                  <v>-149005.6329474774</v>
                </pt>
                <pt idx="216">
                  <v>-150910.062898851</v>
                </pt>
                <pt idx="217">
                  <v>-152808.4954369969</v>
                </pt>
                <pt idx="218">
                  <v>-154936.8407941876</v>
                </pt>
                <pt idx="219">
                  <v>-156821.9415170548</v>
                </pt>
                <pt idx="220">
                  <v>-158700.503065868</v>
                </pt>
                <pt idx="221">
                  <v>-160805.8656278072</v>
                </pt>
                <pt idx="222">
                  <v>-162669.9960054315</v>
                </pt>
                <pt idx="223">
                  <v>-164527.0933707741</v>
                </pt>
                <pt idx="224">
                  <v>-166607.7364499003</v>
                </pt>
                <pt idx="225">
                  <v>-168449.4008262297</v>
                </pt>
                <pt idx="226">
                  <v>-170283.5823050193</v>
                </pt>
                <pt idx="227">
                  <v>-172337.923780631</v>
                </pt>
                <pt idx="228">
                  <v>-174155.7599109689</v>
                </pt>
                <pt idx="229">
                  <v>-175965.7035718357</v>
                </pt>
                <pt idx="230">
                  <v>-177992.3030914759</v>
                </pt>
                <pt idx="231">
                  <v>-179785.0711008741</v>
                </pt>
                <pt idx="232">
                  <v>-181569.5740504033</v>
                </pt>
                <pt idx="233">
                  <v>-183567.1213135333</v>
                </pt>
                <pt idx="234">
                  <v>-185333.6935937139</v>
                </pt>
                <pt idx="235">
                  <v>-187091.6621591744</v>
                </pt>
                <pt idx="236">
                  <v>-189058.9662057004</v>
                </pt>
                <pt idx="237">
                  <v>-190798.3181820776</v>
                </pt>
                <pt idx="238">
                  <v>-192528.7589427018</v>
                </pt>
                <pt idx="239">
                  <v>-194464.7383706524</v>
                </pt>
                <pt idx="240">
                  <v>-196175.9400728935</v>
                </pt>
              </numCache>
            </numRef>
          </yVal>
          <smooth val="0"/>
        </ser>
        <dLbls>
          <showLegendKey val="0"/>
          <showVal val="0"/>
          <showCatName val="0"/>
          <showSerName val="0"/>
          <showPercent val="0"/>
          <showBubbleSize val="0"/>
        </dLbls>
        <axId val="700004"/>
        <axId val="700005"/>
      </scatterChart>
      <valAx>
        <axId val="700004"/>
        <scaling>
          <orientation val="minMax"/>
          <max val="2"/>
          <min val="-2"/>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Normalized pass position (-1 to +1)</a:t>
                </a:r>
              </a:p>
            </rich>
          </tx>
          <overlay val="0"/>
        </title>
        <numFmt formatCode="General" sourceLinked="0"/>
        <majorTickMark val="none"/>
        <minorTickMark val="none"/>
        <tickLblPos val="nextTo"/>
        <crossAx val="700005"/>
        <crosses val="min"/>
        <crossBetween val="midCat"/>
        <majorUnit val="1"/>
      </valAx>
      <valAx>
        <axId val="700005"/>
        <scaling>
          <orientation val="minMax"/>
          <max val="50000"/>
          <min val="-25000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Error (meters)</a:t>
                </a:r>
              </a:p>
            </rich>
          </tx>
          <overlay val="0"/>
        </title>
        <numFmt formatCode="General" sourceLinked="0"/>
        <majorTickMark val="none"/>
        <minorTickMark val="none"/>
        <tickLblPos val="nextTo"/>
        <crossAx val="700004"/>
        <crosses val="min"/>
        <crossBetween val="midCat"/>
        <majorUnit val="500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Terrain Baseline: Total Radar Elevation Error</a:t>
            </a:r>
          </a:p>
        </rich>
      </tx>
      <overlay val="0"/>
    </title>
    <plotArea>
      <layout/>
      <scatterChart>
        <scatterStyle val="lineMarker"/>
        <varyColors val="0"/>
        <ser>
          <idx val="0"/>
          <order val="0"/>
          <tx>
            <v>Total radar elevation error - custom parabolic</v>
          </tx>
          <spPr>
            <a:ln xmlns:a="http://schemas.openxmlformats.org/drawingml/2006/main" w="19050">
              <a:solidFill>
                <a:srgbClr val="DC581C"/>
              </a:solidFill>
              <a:prstDash val="solid"/>
            </a:ln>
          </spPr>
          <marker>
            <symbol val="none"/>
            <spPr>
              <a:ln xmlns:a="http://schemas.openxmlformats.org/drawingml/2006/main">
                <a:prstDash val="solid"/>
              </a:ln>
            </spPr>
          </marker>
          <xVal>
            <numRef>
              <f>Native_Chart_Data!$A$493:$A$733</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Native_Chart_Data!$B$493:$B$733</f>
              <numCache>
                <formatCode>General</formatCode>
                <ptCount val="241"/>
                <pt idx="0">
                  <v>-5.159813914773508</v>
                </pt>
                <pt idx="1">
                  <v>-21.83533178979366</v>
                </pt>
                <pt idx="2">
                  <v>-10.1755490948848</v>
                </pt>
                <pt idx="3">
                  <v>-24.33397914678592</v>
                </pt>
                <pt idx="4">
                  <v>-34.14594309585588</v>
                </pt>
                <pt idx="5">
                  <v>-37.18620756396368</v>
                </pt>
                <pt idx="6">
                  <v>-57.97778339698746</v>
                </pt>
                <pt idx="7">
                  <v>-59.89935707954884</v>
                </pt>
                <pt idx="8">
                  <v>-64.55713040328685</v>
                </pt>
                <pt idx="9">
                  <v>-41.33568476798443</v>
                </pt>
                <pt idx="10">
                  <v>-49.58095040517583</v>
                </pt>
                <pt idx="11">
                  <v>-53.11367179601942</v>
                </pt>
                <pt idx="12">
                  <v>-41.23963182688874</v>
                </pt>
                <pt idx="13">
                  <v>-52.89202961017506</v>
                </pt>
                <pt idx="14">
                  <v>-58.58124540527393</v>
                </pt>
                <pt idx="15">
                  <v>-45.61208712836554</v>
                </pt>
                <pt idx="16">
                  <v>-47.85601796566243</v>
                </pt>
                <pt idx="17">
                  <v>-36.59718199640741</v>
                </pt>
                <pt idx="18">
                  <v>-43.00623256223966</v>
                </pt>
                <pt idx="19">
                  <v>-51.79967795698167</v>
                </pt>
                <pt idx="20">
                  <v>-33.13988446377812</v>
                </pt>
                <pt idx="21">
                  <v>-55.72800260954079</v>
                </pt>
                <pt idx="22">
                  <v>-43.55059818784699</v>
                </pt>
                <pt idx="23">
                  <v>-44.12840969169716</v>
                </pt>
                <pt idx="24">
                  <v>-59.24933487502835</v>
                </pt>
                <pt idx="25">
                  <v>-57.61708752121564</v>
                </pt>
                <pt idx="26">
                  <v>-64.67682483280376</v>
                </pt>
                <pt idx="27">
                  <v>-60.9353736942775</v>
                </pt>
                <pt idx="28">
                  <v>-52.67423416471991</v>
                </pt>
                <pt idx="29">
                  <v>-39.87080279850994</v>
                </pt>
                <pt idx="30">
                  <v>-49.26702037465444</v>
                </pt>
                <pt idx="31">
                  <v>-30.44926148092549</v>
                </pt>
                <pt idx="32">
                  <v>-21.29823305713009</v>
                </pt>
                <pt idx="33">
                  <v>-25.11690437512837</v>
                </pt>
                <pt idx="34">
                  <v>-5.851868406506469</v>
                </pt>
                <pt idx="35">
                  <v>-11.61199298434587</v>
                </pt>
                <pt idx="36">
                  <v>6.721315243257379</v>
                </pt>
                <pt idx="37">
                  <v>13.84761035036362</v>
                </pt>
                <pt idx="38">
                  <v>15.91581281489027</v>
                </pt>
                <pt idx="39">
                  <v>12.9466902854939</v>
                </pt>
                <pt idx="40">
                  <v>29.10269437590242</v>
                </pt>
                <pt idx="41">
                  <v>31.11424964805272</v>
                </pt>
                <pt idx="42">
                  <v>30.10167325091712</v>
                </pt>
                <pt idx="43">
                  <v>32.13399470662858</v>
                </pt>
                <pt idx="44">
                  <v>19.12172334847037</v>
                </pt>
                <pt idx="45">
                  <v>16.33682565185896</v>
                </pt>
                <pt idx="46">
                  <v>23.55247975077813</v>
                </pt>
                <pt idx="47">
                  <v>19.03166123894414</v>
                </pt>
                <pt idx="48">
                  <v>-0.2623218193104435</v>
                </pt>
                <pt idx="49">
                  <v>-1.975732873976369</v>
                </pt>
                <pt idx="50">
                  <v>7.184875005316087</v>
                </pt>
                <pt idx="51">
                  <v>7.068156756689859</v>
                </pt>
                <pt idx="52">
                  <v>-2.999835813461118</v>
                </pt>
                <pt idx="53">
                  <v>-11.29209622370604</v>
                </pt>
                <pt idx="54">
                  <v>-15.73827559166062</v>
                </pt>
                <pt idx="55">
                  <v>-17.06917876670684</v>
                </pt>
                <pt idx="56">
                  <v>-8.468507015690818</v>
                </pt>
                <pt idx="57">
                  <v>-12.09386866815316</v>
                </pt>
                <pt idx="58">
                  <v>10.45938600042638</v>
                </pt>
                <pt idx="59">
                  <v>4.900052542946412</v>
                </pt>
                <pt idx="60">
                  <v>15.01244253972823</v>
                </pt>
                <pt idx="61">
                  <v>33.78877449254139</v>
                </pt>
                <pt idx="62">
                  <v>20.490290570502</v>
                </pt>
                <pt idx="63">
                  <v>27.55558811212802</v>
                </pt>
                <pt idx="64">
                  <v>50.86297851600432</v>
                </pt>
                <pt idx="65">
                  <v>61.01934725720247</v>
                </pt>
                <pt idx="66">
                  <v>67.75840286430258</v>
                </pt>
                <pt idx="67">
                  <v>76.23568800360908</v>
                </pt>
                <pt idx="68">
                  <v>80.44622831250399</v>
                </pt>
                <pt idx="69">
                  <v>102.6247584194219</v>
                </pt>
                <pt idx="70">
                  <v>95.9627285030823</v>
                </pt>
                <pt idx="71">
                  <v>111.959443364968</v>
                </pt>
                <pt idx="72">
                  <v>109.9110637934084</v>
                </pt>
                <pt idx="73">
                  <v>124.0741273746912</v>
                </pt>
                <pt idx="74">
                  <v>130.9673287407926</v>
                </pt>
                <pt idx="75">
                  <v>136.707680459905</v>
                </pt>
                <pt idx="76">
                  <v>142.3803481479948</v>
                </pt>
                <pt idx="77">
                  <v>155.1646138783244</v>
                </pt>
                <pt idx="78">
                  <v>140.7181723569108</v>
                </pt>
                <pt idx="79">
                  <v>138.7925823795582</v>
                </pt>
                <pt idx="80">
                  <v>144.6299048878972</v>
                </pt>
                <pt idx="81">
                  <v>138.2559120216306</v>
                </pt>
                <pt idx="82">
                  <v>143.0894233868169</v>
                </pt>
                <pt idx="83">
                  <v>134.9294543629348</v>
                </pt>
                <pt idx="84">
                  <v>147.2981342830377</v>
                </pt>
                <pt idx="85">
                  <v>137.2593918384372</v>
                </pt>
                <pt idx="86">
                  <v>123.9987589254881</v>
                </pt>
                <pt idx="87">
                  <v>122.1642571318593</v>
                </pt>
                <pt idx="88">
                  <v>95.69343337780924</v>
                </pt>
                <pt idx="89">
                  <v>107.596366340638</v>
                </pt>
                <pt idx="90">
                  <v>88.75678859821301</v>
                </pt>
                <pt idx="91">
                  <v>84.90823497062411</v>
                </pt>
                <pt idx="92">
                  <v>82.66882036124099</v>
                </pt>
                <pt idx="93">
                  <v>59.37178148615698</v>
                </pt>
                <pt idx="94">
                  <v>62.40409195271275</v>
                </pt>
                <pt idx="95">
                  <v>68.46106537271447</v>
                </pt>
                <pt idx="96">
                  <v>45.90303877387475</v>
                </pt>
                <pt idx="97">
                  <v>46.36006761282579</v>
                </pt>
                <pt idx="98">
                  <v>41.59395285736048</v>
                </pt>
                <pt idx="99">
                  <v>50.3973368399773</v>
                </pt>
                <pt idx="100">
                  <v>47.74262749334355</v>
                </pt>
                <pt idx="101">
                  <v>30.62277815696842</v>
                </pt>
                <pt idx="102">
                  <v>45.75306376780679</v>
                </pt>
                <pt idx="103">
                  <v>60.26909079725334</v>
                </pt>
                <pt idx="104">
                  <v>37.72928503169089</v>
                </pt>
                <pt idx="105">
                  <v>41.64822705623317</v>
                </pt>
                <pt idx="106">
                  <v>46.5780342922273</v>
                </pt>
                <pt idx="107">
                  <v>57.97037664669824</v>
                </pt>
                <pt idx="108">
                  <v>59.64286286593574</v>
                </pt>
                <pt idx="109">
                  <v>62.18129300695398</v>
                </pt>
                <pt idx="110">
                  <v>72.28193903621099</v>
                </pt>
                <pt idx="111">
                  <v>71.74572140012543</v>
                </pt>
                <pt idx="112">
                  <v>72.8933434872161</v>
                </pt>
                <pt idx="113">
                  <v>77.37954858602365</v>
                </pt>
                <pt idx="114">
                  <v>66.37148842226225</v>
                </pt>
                <pt idx="115">
                  <v>48.52707596926308</v>
                </pt>
                <pt idx="116">
                  <v>58.25800243476237</v>
                </pt>
                <pt idx="117">
                  <v>32.8240715860631</v>
                </pt>
                <pt idx="118">
                  <v>36.90745807012206</v>
                </pt>
                <pt idx="119">
                  <v>14.49073206608045</v>
                </pt>
                <pt idx="120">
                  <v>3.470473001669973</v>
                </pt>
                <pt idx="121">
                  <v>-3.744887298194101</v>
                </pt>
                <pt idx="122">
                  <v>-44.60929521056897</v>
                </pt>
                <pt idx="123">
                  <v>-48.41044167320268</v>
                </pt>
                <pt idx="124">
                  <v>-67.2127716143965</v>
                </pt>
                <pt idx="125">
                  <v>-72.60871904794737</v>
                </pt>
                <pt idx="126">
                  <v>-83.79582951419684</v>
                </pt>
                <pt idx="127">
                  <v>-100.3817455304483</v>
                </pt>
                <pt idx="128">
                  <v>-98.13487225669684</v>
                </pt>
                <pt idx="129">
                  <v>-84.32559173978757</v>
                </pt>
                <pt idx="130">
                  <v>-100.7050658008189</v>
                </pt>
                <pt idx="131">
                  <v>-98.853802750613</v>
                </pt>
                <pt idx="132">
                  <v>-72.07812022820997</v>
                </pt>
                <pt idx="133">
                  <v>-79.36936471450957</v>
                </pt>
                <pt idx="134">
                  <v>-68.68735869698332</v>
                </pt>
                <pt idx="135">
                  <v>-57.88906159607785</v>
                </pt>
                <pt idx="136">
                  <v>-47.67806039653578</v>
                </pt>
                <pt idx="137">
                  <v>-37.06559531772615</v>
                </pt>
                <pt idx="138">
                  <v>-31.29867251468414</v>
                </pt>
                <pt idx="139">
                  <v>-7.331808066710664</v>
                </pt>
                <pt idx="140">
                  <v>6.950709341010338</v>
                </pt>
                <pt idx="141">
                  <v>-6.518900351173727</v>
                </pt>
                <pt idx="142">
                  <v>-3.571639906141741</v>
                </pt>
                <pt idx="143">
                  <v>-5.661420832986096</v>
                </pt>
                <pt idx="144">
                  <v>-8.671483580595464</v>
                </pt>
                <pt idx="145">
                  <v>4.021249498760881</v>
                </pt>
                <pt idx="146">
                  <v>1.945957887868531</v>
                </pt>
                <pt idx="147">
                  <v>-1.666650323524323</v>
                </pt>
                <pt idx="148">
                  <v>-18.81128421623464</v>
                </pt>
                <pt idx="149">
                  <v>-29.02966639904383</v>
                </pt>
                <pt idx="150">
                  <v>-47.02923022419986</v>
                </pt>
                <pt idx="151">
                  <v>-50.77028983950106</v>
                </pt>
                <pt idx="152">
                  <v>-71.45092295981351</v>
                </pt>
                <pt idx="153">
                  <v>-73.29754339504791</v>
                </pt>
                <pt idx="154">
                  <v>-60.39278368996094</v>
                </pt>
                <pt idx="155">
                  <v>-67.59699500577472</v>
                </pt>
                <pt idx="156">
                  <v>-72.44552854447926</v>
                </pt>
                <pt idx="157">
                  <v>-86.11751503190482</v>
                </pt>
                <pt idx="158">
                  <v>-89.87063812898208</v>
                </pt>
                <pt idx="159">
                  <v>-82.23751612797241</v>
                </pt>
                <pt idx="160">
                  <v>-76.53704728675359</v>
                </pt>
                <pt idx="161">
                  <v>-79.34560005519478</v>
                </pt>
                <pt idx="162">
                  <v>-86.91047035433752</v>
                </pt>
                <pt idx="163">
                  <v>-86.01689250798682</v>
                </pt>
                <pt idx="164">
                  <v>-75.79770446387516</v>
                </pt>
                <pt idx="165">
                  <v>-76.31405067890728</v>
                </pt>
                <pt idx="166">
                  <v>-64.25633636231674</v>
                </pt>
                <pt idx="167">
                  <v>-73.4728540128869</v>
                </pt>
                <pt idx="168">
                  <v>-78.06097148341985</v>
                </pt>
                <pt idx="169">
                  <v>-82.77777036732385</v>
                </pt>
                <pt idx="170">
                  <v>-64.0586008488292</v>
                </pt>
                <pt idx="171">
                  <v>-70.33405513005249</v>
                </pt>
                <pt idx="172">
                  <v>-67.49562383687334</v>
                </pt>
                <pt idx="173">
                  <v>-72.00336103907381</v>
                </pt>
                <pt idx="174">
                  <v>-66.74406286520434</v>
                </pt>
                <pt idx="175">
                  <v>-48.0588729619767</v>
                </pt>
                <pt idx="176">
                  <v>-61.09136424796961</v>
                </pt>
                <pt idx="177">
                  <v>-55.9044136699622</v>
                </pt>
                <pt idx="178">
                  <v>-31.39290658082129</v>
                </pt>
                <pt idx="179">
                  <v>-22.36724131943237</v>
                </pt>
                <pt idx="180">
                  <v>-13.79992443180913</v>
                </pt>
                <pt idx="181">
                  <v>-6.103628143161473</v>
                </pt>
                <pt idx="182">
                  <v>-20.54342009994792</v>
                </pt>
                <pt idx="183">
                  <v>-20.28539462774293</v>
                </pt>
                <pt idx="184">
                  <v>-0.4268979216300863</v>
                </pt>
                <pt idx="185">
                  <v>-7.712229584059514</v>
                </pt>
                <pt idx="186">
                  <v>1.724927204509129</v>
                </pt>
                <pt idx="187">
                  <v>-4.742014780555934</v>
                </pt>
                <pt idx="188">
                  <v>-12.00827060495973</v>
                </pt>
                <pt idx="189">
                  <v>-24.50186317950082</v>
                </pt>
                <pt idx="190">
                  <v>-31.09945778927886</v>
                </pt>
                <pt idx="191">
                  <v>-34.44955577121655</v>
                </pt>
                <pt idx="192">
                  <v>-47.77178417863914</v>
                </pt>
                <pt idx="193">
                  <v>-47.58850500560911</v>
                </pt>
                <pt idx="194">
                  <v>-61.04391279282535</v>
                </pt>
                <pt idx="195">
                  <v>-58.84680272570924</v>
                </pt>
                <pt idx="196">
                  <v>-77.72439146435559</v>
                </pt>
                <pt idx="197">
                  <v>-84.40826877550307</v>
                </pt>
                <pt idx="198">
                  <v>-85.90700470954434</v>
                </pt>
                <pt idx="199">
                  <v>-79.47691436006437</v>
                </pt>
                <pt idx="200">
                  <v>-69.55012271575345</v>
                </pt>
                <pt idx="201">
                  <v>-63.44908989814266</v>
                </pt>
                <pt idx="202">
                  <v>-55.69468625089738</v>
                </pt>
                <pt idx="203">
                  <v>-61.43683973487688</v>
                </pt>
                <pt idx="204">
                  <v>-37.65230230192819</v>
                </pt>
                <pt idx="205">
                  <v>-43.30298834836995</v>
                </pt>
                <pt idx="206">
                  <v>-36.28244299194577</v>
                </pt>
                <pt idx="207">
                  <v>-23.26142117274836</v>
                </pt>
                <pt idx="208">
                  <v>-9.632591257818831</v>
                </pt>
                <pt idx="209">
                  <v>1.035142800626886</v>
                </pt>
                <pt idx="210">
                  <v>2.635051893500531</v>
                </pt>
                <pt idx="211">
                  <v>2.762829766127794</v>
                </pt>
                <pt idx="212">
                  <v>-1.895271667048434</v>
                </pt>
                <pt idx="213">
                  <v>10.64312566206969</v>
                </pt>
                <pt idx="214">
                  <v>-7.248372089744151</v>
                </pt>
                <pt idx="215">
                  <v>-6.218848981770151</v>
                </pt>
                <pt idx="216">
                  <v>7.316979239027631</v>
                </pt>
                <pt idx="217">
                  <v>0.4063477295445352</v>
                </pt>
                <pt idx="218">
                  <v>-12.02291335515622</v>
                </pt>
                <pt idx="219">
                  <v>0.5602533864366706</v>
                </pt>
                <pt idx="220">
                  <v>-9.900340218045059</v>
                </pt>
                <pt idx="221">
                  <v>-9.261408253939592</v>
                </pt>
                <pt idx="222">
                  <v>-13.64503521568463</v>
                </pt>
                <pt idx="223">
                  <v>2.044556285263553</v>
                </pt>
                <pt idx="224">
                  <v>5.188627805772796</v>
                </pt>
                <pt idx="225">
                  <v>-9.243742269108679</v>
                </pt>
                <pt idx="226">
                  <v>-7.523615352549314</v>
                </pt>
                <pt idx="227">
                  <v>-2.890955997517267</v>
                </pt>
                <pt idx="228">
                  <v>4.780407983842736</v>
                </pt>
                <pt idx="229">
                  <v>7.851592639476451</v>
                </pt>
                <pt idx="230">
                  <v>-0.5459606868673177</v>
                </pt>
                <pt idx="231">
                  <v>3.310332055403848</v>
                </pt>
                <pt idx="232">
                  <v>1.004616212667287</v>
                </pt>
                <pt idx="233">
                  <v>-25.17407105003247</v>
                </pt>
                <pt idx="234">
                  <v>-22.11771875703303</v>
                </pt>
                <pt idx="235">
                  <v>-29.30596986523128</v>
                </pt>
                <pt idx="236">
                  <v>-33.7631620783506</v>
                </pt>
                <pt idx="237">
                  <v>-32.05079854149554</v>
                </pt>
                <pt idx="238">
                  <v>-29.46870143821081</v>
                </pt>
                <pt idx="239">
                  <v>-49.02543943363386</v>
                </pt>
                <pt idx="240">
                  <v>-35.49215422910294</v>
                </pt>
              </numCache>
            </numRef>
          </yVal>
          <smooth val="0"/>
        </ser>
        <dLbls>
          <showLegendKey val="0"/>
          <showVal val="0"/>
          <showCatName val="0"/>
          <showSerName val="0"/>
          <showPercent val="0"/>
          <showBubbleSize val="0"/>
        </dLbls>
        <axId val="700006"/>
        <axId val="700007"/>
      </scatterChart>
      <valAx>
        <axId val="700006"/>
        <scaling>
          <orientation val="minMax"/>
          <max val="100"/>
          <min val="-1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07"/>
        <crosses val="min"/>
        <crossBetween val="midCat"/>
        <majorUnit val="50"/>
      </valAx>
      <valAx>
        <axId val="700007"/>
        <scaling>
          <orientation val="minMax"/>
          <max val="200"/>
          <min val="-15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Error (meters)</a:t>
                </a:r>
              </a:p>
            </rich>
          </tx>
          <overlay val="0"/>
        </title>
        <numFmt formatCode="General" sourceLinked="0"/>
        <majorTickMark val="none"/>
        <minorTickMark val="none"/>
        <tickLblPos val="nextTo"/>
        <crossAx val="700006"/>
        <crosses val="min"/>
        <crossBetween val="midCat"/>
        <majorUnit val="50"/>
      </valAx>
    </plotArea>
    <plotVisOnly val="1"/>
    <dispBlanksAs val="gap"/>
  </chart>
  <spPr>
    <a:solidFill xmlns:a="http://schemas.openxmlformats.org/drawingml/2006/main">
      <a:srgbClr val="FFFFFF"/>
    </a:solidFill>
    <a:ln xmlns:a="http://schemas.openxmlformats.org/drawingml/2006/main">
      <a:prstDash val="solid"/>
    </a:ln>
  </spPr>
</chartSpace>
</file>

<file path=xl/charts/chart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Doppler: Flat Geometry vs Topography</a:t>
            </a:r>
          </a:p>
        </rich>
      </tx>
      <overlay val="0"/>
    </title>
    <plotArea>
      <layout/>
      <scatterChart>
        <scatterStyle val="lineMarker"/>
        <varyColors val="0"/>
        <ser>
          <idx val="0"/>
          <order val="0"/>
          <tx>
            <v>Flat VHF Doppler (Hz)</v>
          </tx>
          <spPr>
            <a:ln xmlns:a="http://schemas.openxmlformats.org/drawingml/2006/main" w="19050">
              <a:solidFill>
                <a:srgbClr val="0E74CA"/>
              </a:solidFill>
              <a:prstDash val="solid"/>
            </a:ln>
          </spPr>
          <marker>
            <symbol val="none"/>
            <spPr>
              <a:ln xmlns:a="http://schemas.openxmlformats.org/drawingml/2006/main">
                <a:prstDash val="solid"/>
              </a:ln>
            </spPr>
          </marker>
          <xVal>
            <numRef>
              <f>Native_Chart_Data!$A$738:$A$978</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Native_Chart_Data!$B$738:$B$978</f>
              <numCache>
                <formatCode>General</formatCode>
                <ptCount val="241"/>
                <pt idx="0">
                  <v>502.8982336069021</v>
                </pt>
                <pt idx="1">
                  <v>500.8630129198536</v>
                </pt>
                <pt idx="2">
                  <v>496.7909104278988</v>
                </pt>
                <pt idx="3">
                  <v>492.7154965813315</v>
                </pt>
                <pt idx="4">
                  <v>488.6367932379471</v>
                </pt>
                <pt idx="5">
                  <v>484.554822402788</v>
                </pt>
                <pt idx="6">
                  <v>480.4696062107723</v>
                </pt>
                <pt idx="7">
                  <v>476.3811669553434</v>
                </pt>
                <pt idx="8">
                  <v>472.2895270569097</v>
                </pt>
                <pt idx="9">
                  <v>468.1947090801259</v>
                </pt>
                <pt idx="10">
                  <v>464.0967357390764</v>
                </pt>
                <pt idx="11">
                  <v>459.9956298745383</v>
                </pt>
                <pt idx="12">
                  <v>455.8914144732626</v>
                </pt>
                <pt idx="13">
                  <v>451.7841126563326</v>
                </pt>
                <pt idx="14">
                  <v>447.6737476930793</v>
                </pt>
                <pt idx="15">
                  <v>443.5603429712501</v>
                </pt>
                <pt idx="16">
                  <v>439.4439220161985</v>
                </pt>
                <pt idx="17">
                  <v>435.3245085102571</v>
                </pt>
                <pt idx="18">
                  <v>431.2021262460803</v>
                </pt>
                <pt idx="19">
                  <v>427.0767991610228</v>
                </pt>
                <pt idx="20">
                  <v>422.9485513214968</v>
                </pt>
                <pt idx="21">
                  <v>418.8174069217894</v>
                </pt>
                <pt idx="22">
                  <v>414.6833903003426</v>
                </pt>
                <pt idx="23">
                  <v>410.5465259111043</v>
                </pt>
                <pt idx="24">
                  <v>406.4068383446283</v>
                </pt>
                <pt idx="25">
                  <v>402.2643523236184</v>
                </pt>
                <pt idx="26">
                  <v>398.1190926891031</v>
                </pt>
                <pt idx="27">
                  <v>393.9710844109868</v>
                </pt>
                <pt idx="28">
                  <v>389.8203525829558</v>
                </pt>
                <pt idx="29">
                  <v>385.6669224382131</v>
                </pt>
                <pt idx="30">
                  <v>381.5108193193737</v>
                </pt>
                <pt idx="31">
                  <v>377.3520686901975</v>
                </pt>
                <pt idx="32">
                  <v>373.1906961457753</v>
                </pt>
                <pt idx="33">
                  <v>369.0267273985228</v>
                </pt>
                <pt idx="34">
                  <v>364.8601882793628</v>
                </pt>
                <pt idx="35">
                  <v>360.6911047401809</v>
                </pt>
                <pt idx="36">
                  <v>356.5195028526432</v>
                </pt>
                <pt idx="37">
                  <v>352.3454087967366</v>
                </pt>
                <pt idx="38">
                  <v>348.1688488831423</v>
                </pt>
                <pt idx="39">
                  <v>343.989849524587</v>
                </pt>
                <pt idx="40">
                  <v>339.8084372499397</v>
                </pt>
                <pt idx="41">
                  <v>335.6246387103965</v>
                </pt>
                <pt idx="42">
                  <v>331.4384806597445</v>
                </pt>
                <pt idx="43">
                  <v>327.2499899624563</v>
                </pt>
                <pt idx="44">
                  <v>323.0591935966004</v>
                </pt>
                <pt idx="45">
                  <v>318.8661186490208</v>
                </pt>
                <pt idx="46">
                  <v>314.6707923143367</v>
                </pt>
                <pt idx="47">
                  <v>310.4732418857566</v>
                </pt>
                <pt idx="48">
                  <v>306.2734947710851</v>
                </pt>
                <pt idx="49">
                  <v>302.0715784808999</v>
                </pt>
                <pt idx="50">
                  <v>297.8675206210937</v>
                </pt>
                <pt idx="51">
                  <v>293.6613489122465</v>
                </pt>
                <pt idx="52">
                  <v>289.4530911666152</v>
                </pt>
                <pt idx="53">
                  <v>285.2427752939548</v>
                </pt>
                <pt idx="54">
                  <v>281.0304293043373</v>
                </pt>
                <pt idx="55">
                  <v>276.816081312063</v>
                </pt>
                <pt idx="56">
                  <v>272.599759519926</v>
                </pt>
                <pt idx="57">
                  <v>268.3814922220336</v>
                </pt>
                <pt idx="58">
                  <v>264.1613078166301</v>
                </pt>
                <pt idx="59">
                  <v>259.939234788817</v>
                </pt>
                <pt idx="60">
                  <v>255.715301705095</v>
                </pt>
                <pt idx="61">
                  <v>251.4895372385581</v>
                </pt>
                <pt idx="62">
                  <v>247.261970144973</v>
                </pt>
                <pt idx="63">
                  <v>243.0326292542304</v>
                </pt>
                <pt idx="64">
                  <v>238.80154350054</v>
                </pt>
                <pt idx="65">
                  <v>234.5687418896887</v>
                </pt>
                <pt idx="66">
                  <v>230.3342535144111</v>
                </pt>
                <pt idx="67">
                  <v>226.0981075584823</v>
                </pt>
                <pt idx="68">
                  <v>221.8603332677048</v>
                </pt>
                <pt idx="69">
                  <v>217.6209599799222</v>
                </pt>
                <pt idx="70">
                  <v>213.3800171111943</v>
                </pt>
                <pt idx="71">
                  <v>209.137534148249</v>
                </pt>
                <pt idx="72">
                  <v>204.89354065312</v>
                </pt>
                <pt idx="73">
                  <v>200.6480662669674</v>
                </pt>
                <pt idx="74">
                  <v>196.4011407017097</v>
                </pt>
                <pt idx="75">
                  <v>192.1527937345672</v>
                </pt>
                <pt idx="76">
                  <v>187.9030552198856</v>
                </pt>
                <pt idx="77">
                  <v>183.6519550712183</v>
                </pt>
                <pt idx="78">
                  <v>179.3995232830639</v>
                </pt>
                <pt idx="79">
                  <v>175.1457899012166</v>
                </pt>
                <pt idx="80">
                  <v>170.8907850389551</v>
                </pt>
                <pt idx="81">
                  <v>166.6345388791342</v>
                </pt>
                <pt idx="82">
                  <v>162.3770816552678</v>
                </pt>
                <pt idx="83">
                  <v>158.1184436692638</v>
                </pt>
                <pt idx="84">
                  <v>153.8586552778725</v>
                </pt>
                <pt idx="85">
                  <v>149.5977468964156</v>
                </pt>
                <pt idx="86">
                  <v>145.3357489860537</v>
                </pt>
                <pt idx="87">
                  <v>141.0726920732486</v>
                </pt>
                <pt idx="88">
                  <v>136.8086067365766</v>
                </pt>
                <pt idx="89">
                  <v>132.5435235945406</v>
                </pt>
                <pt idx="90">
                  <v>128.2774733243059</v>
                </pt>
                <pt idx="91">
                  <v>124.0104866564252</v>
                </pt>
                <pt idx="92">
                  <v>119.7425943531016</v>
                </pt>
                <pt idx="93">
                  <v>115.4738272234681</v>
                </pt>
                <pt idx="94">
                  <v>111.2042161348654</v>
                </pt>
                <pt idx="95">
                  <v>106.9337919834652</v>
                </pt>
                <pt idx="96">
                  <v>102.6625857094587</v>
                </pt>
                <pt idx="97">
                  <v>98.39062828850729</v>
                </pt>
                <pt idx="98">
                  <v>94.1179507391098</v>
                </pt>
                <pt idx="99">
                  <v>89.8445841135981</v>
                </pt>
                <pt idx="100">
                  <v>85.57055949704591</v>
                </pt>
                <pt idx="101">
                  <v>81.29590801454469</v>
                </pt>
                <pt idx="102">
                  <v>77.0206608074659</v>
                </pt>
                <pt idx="103">
                  <v>72.74484905628924</v>
                </pt>
                <pt idx="104">
                  <v>68.46850397168964</v>
                </pt>
                <pt idx="105">
                  <v>64.19165678507852</v>
                </pt>
                <pt idx="106">
                  <v>59.91433876615702</v>
                </pt>
                <pt idx="107">
                  <v>55.63658118935564</v>
                </pt>
                <pt idx="108">
                  <v>51.35841535866348</v>
                </pt>
                <pt idx="109">
                  <v>47.07987260953814</v>
                </pt>
                <pt idx="110">
                  <v>42.80098427389021</v>
                </pt>
                <pt idx="111">
                  <v>38.52178171227933</v>
                </pt>
                <pt idx="112">
                  <v>34.24229631555136</v>
                </pt>
                <pt idx="113">
                  <v>29.96255946854944</v>
                </pt>
                <pt idx="114">
                  <v>25.68260257039583</v>
                </pt>
                <pt idx="115">
                  <v>21.40245704222252</v>
                </pt>
                <pt idx="116">
                  <v>17.12215430170545</v>
                </pt>
                <pt idx="117">
                  <v>12.84172578953076</v>
                </pt>
                <pt idx="118">
                  <v>8.561202941109514</v>
                </pt>
                <pt idx="119">
                  <v>4.280617193035141</v>
                </pt>
                <pt idx="120">
                  <v>0</v>
                </pt>
                <pt idx="121">
                  <v>-4.280617193035141</v>
                </pt>
                <pt idx="122">
                  <v>-8.561202941109514</v>
                </pt>
                <pt idx="123">
                  <v>-12.84172578953076</v>
                </pt>
                <pt idx="124">
                  <v>-17.12215430170545</v>
                </pt>
                <pt idx="125">
                  <v>-21.40245704222252</v>
                </pt>
                <pt idx="126">
                  <v>-25.68260257039583</v>
                </pt>
                <pt idx="127">
                  <v>-29.96255946854944</v>
                </pt>
                <pt idx="128">
                  <v>-34.24229631555136</v>
                </pt>
                <pt idx="129">
                  <v>-38.52178171227933</v>
                </pt>
                <pt idx="130">
                  <v>-42.80098427389021</v>
                </pt>
                <pt idx="131">
                  <v>-47.07987260953814</v>
                </pt>
                <pt idx="132">
                  <v>-51.35841535866348</v>
                </pt>
                <pt idx="133">
                  <v>-55.63658118935564</v>
                </pt>
                <pt idx="134">
                  <v>-59.91433876615702</v>
                </pt>
                <pt idx="135">
                  <v>-64.19165678507852</v>
                </pt>
                <pt idx="136">
                  <v>-68.46850397168964</v>
                </pt>
                <pt idx="137">
                  <v>-72.74484905628924</v>
                </pt>
                <pt idx="138">
                  <v>-77.0206608074659</v>
                </pt>
                <pt idx="139">
                  <v>-81.29590801454469</v>
                </pt>
                <pt idx="140">
                  <v>-85.57055949704591</v>
                </pt>
                <pt idx="141">
                  <v>-89.8445841135981</v>
                </pt>
                <pt idx="142">
                  <v>-94.1179507391098</v>
                </pt>
                <pt idx="143">
                  <v>-98.39062828850729</v>
                </pt>
                <pt idx="144">
                  <v>-102.6625857094587</v>
                </pt>
                <pt idx="145">
                  <v>-106.9337919834652</v>
                </pt>
                <pt idx="146">
                  <v>-111.2042161348654</v>
                </pt>
                <pt idx="147">
                  <v>-115.4738272234681</v>
                </pt>
                <pt idx="148">
                  <v>-119.7425943531016</v>
                </pt>
                <pt idx="149">
                  <v>-124.0104866564252</v>
                </pt>
                <pt idx="150">
                  <v>-128.2774733243059</v>
                </pt>
                <pt idx="151">
                  <v>-132.5435235945406</v>
                </pt>
                <pt idx="152">
                  <v>-136.8086067365766</v>
                </pt>
                <pt idx="153">
                  <v>-141.0726920732486</v>
                </pt>
                <pt idx="154">
                  <v>-145.3357489860537</v>
                </pt>
                <pt idx="155">
                  <v>-149.5977468964156</v>
                </pt>
                <pt idx="156">
                  <v>-153.8586552778725</v>
                </pt>
                <pt idx="157">
                  <v>-158.1184436692638</v>
                </pt>
                <pt idx="158">
                  <v>-162.3770816552678</v>
                </pt>
                <pt idx="159">
                  <v>-166.6345388791342</v>
                </pt>
                <pt idx="160">
                  <v>-170.8907850389551</v>
                </pt>
                <pt idx="161">
                  <v>-175.1457899012166</v>
                </pt>
                <pt idx="162">
                  <v>-179.3995232830639</v>
                </pt>
                <pt idx="163">
                  <v>-183.6519550712183</v>
                </pt>
                <pt idx="164">
                  <v>-187.9030552198856</v>
                </pt>
                <pt idx="165">
                  <v>-192.1527937345672</v>
                </pt>
                <pt idx="166">
                  <v>-196.4011407017097</v>
                </pt>
                <pt idx="167">
                  <v>-200.6480662669674</v>
                </pt>
                <pt idx="168">
                  <v>-204.89354065312</v>
                </pt>
                <pt idx="169">
                  <v>-209.137534148249</v>
                </pt>
                <pt idx="170">
                  <v>-213.3800171111943</v>
                </pt>
                <pt idx="171">
                  <v>-217.6209599799222</v>
                </pt>
                <pt idx="172">
                  <v>-221.8603332677048</v>
                </pt>
                <pt idx="173">
                  <v>-226.0981075584823</v>
                </pt>
                <pt idx="174">
                  <v>-230.3342535144111</v>
                </pt>
                <pt idx="175">
                  <v>-234.5687418896887</v>
                </pt>
                <pt idx="176">
                  <v>-238.80154350054</v>
                </pt>
                <pt idx="177">
                  <v>-243.0326292542304</v>
                </pt>
                <pt idx="178">
                  <v>-247.261970144973</v>
                </pt>
                <pt idx="179">
                  <v>-251.4895372385581</v>
                </pt>
                <pt idx="180">
                  <v>-255.715301705095</v>
                </pt>
                <pt idx="181">
                  <v>-259.939234788817</v>
                </pt>
                <pt idx="182">
                  <v>-264.1613078166301</v>
                </pt>
                <pt idx="183">
                  <v>-268.3814922220336</v>
                </pt>
                <pt idx="184">
                  <v>-272.599759519926</v>
                </pt>
                <pt idx="185">
                  <v>-276.816081312063</v>
                </pt>
                <pt idx="186">
                  <v>-281.0304293043373</v>
                </pt>
                <pt idx="187">
                  <v>-285.2427752939548</v>
                </pt>
                <pt idx="188">
                  <v>-289.4530911666152</v>
                </pt>
                <pt idx="189">
                  <v>-293.6613489122465</v>
                </pt>
                <pt idx="190">
                  <v>-297.8675206210937</v>
                </pt>
                <pt idx="191">
                  <v>-302.0715784808999</v>
                </pt>
                <pt idx="192">
                  <v>-306.2734947710851</v>
                </pt>
                <pt idx="193">
                  <v>-310.4732418857566</v>
                </pt>
                <pt idx="194">
                  <v>-314.6707923143367</v>
                </pt>
                <pt idx="195">
                  <v>-318.8661186490208</v>
                </pt>
                <pt idx="196">
                  <v>-323.0591935966004</v>
                </pt>
                <pt idx="197">
                  <v>-327.2499899624563</v>
                </pt>
                <pt idx="198">
                  <v>-331.4384806597445</v>
                </pt>
                <pt idx="199">
                  <v>-335.6246387103965</v>
                </pt>
                <pt idx="200">
                  <v>-339.8084372499397</v>
                </pt>
                <pt idx="201">
                  <v>-343.989849524587</v>
                </pt>
                <pt idx="202">
                  <v>-348.1688488831423</v>
                </pt>
                <pt idx="203">
                  <v>-352.3454087967366</v>
                </pt>
                <pt idx="204">
                  <v>-356.5195028526432</v>
                </pt>
                <pt idx="205">
                  <v>-360.6911047401809</v>
                </pt>
                <pt idx="206">
                  <v>-364.8601882793628</v>
                </pt>
                <pt idx="207">
                  <v>-369.0267273985228</v>
                </pt>
                <pt idx="208">
                  <v>-373.1906961457753</v>
                </pt>
                <pt idx="209">
                  <v>-377.3520686901975</v>
                </pt>
                <pt idx="210">
                  <v>-381.5108193193737</v>
                </pt>
                <pt idx="211">
                  <v>-385.6669224382131</v>
                </pt>
                <pt idx="212">
                  <v>-389.8203525829558</v>
                </pt>
                <pt idx="213">
                  <v>-393.9710844109868</v>
                </pt>
                <pt idx="214">
                  <v>-398.1190926891031</v>
                </pt>
                <pt idx="215">
                  <v>-402.2643523236184</v>
                </pt>
                <pt idx="216">
                  <v>-406.4068383446283</v>
                </pt>
                <pt idx="217">
                  <v>-410.5465259111043</v>
                </pt>
                <pt idx="218">
                  <v>-414.6833903003426</v>
                </pt>
                <pt idx="219">
                  <v>-418.8174069217894</v>
                </pt>
                <pt idx="220">
                  <v>-422.9485513214968</v>
                </pt>
                <pt idx="221">
                  <v>-427.0767991610228</v>
                </pt>
                <pt idx="222">
                  <v>-431.2021262460803</v>
                </pt>
                <pt idx="223">
                  <v>-435.3245085102571</v>
                </pt>
                <pt idx="224">
                  <v>-439.4439220161985</v>
                </pt>
                <pt idx="225">
                  <v>-443.5603429712501</v>
                </pt>
                <pt idx="226">
                  <v>-447.6737476930793</v>
                </pt>
                <pt idx="227">
                  <v>-451.7841126563326</v>
                </pt>
                <pt idx="228">
                  <v>-455.8914144732626</v>
                </pt>
                <pt idx="229">
                  <v>-459.9956298745383</v>
                </pt>
                <pt idx="230">
                  <v>-464.0967357390764</v>
                </pt>
                <pt idx="231">
                  <v>-468.1947090801259</v>
                </pt>
                <pt idx="232">
                  <v>-472.2895270569097</v>
                </pt>
                <pt idx="233">
                  <v>-476.3811669553434</v>
                </pt>
                <pt idx="234">
                  <v>-480.4696062107723</v>
                </pt>
                <pt idx="235">
                  <v>-484.554822402788</v>
                </pt>
                <pt idx="236">
                  <v>-488.6367932379471</v>
                </pt>
                <pt idx="237">
                  <v>-492.7154965813315</v>
                </pt>
                <pt idx="238">
                  <v>-496.7909104278988</v>
                </pt>
                <pt idx="239">
                  <v>-500.8630129198536</v>
                </pt>
                <pt idx="240">
                  <v>-502.8982336069021</v>
                </pt>
              </numCache>
            </numRef>
          </yVal>
          <smooth val="0"/>
        </ser>
        <ser>
          <idx val="1"/>
          <order val="1"/>
          <tx>
            <v>Topo VHF Doppler (Hz)</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Native_Chart_Data!$C$738:$C$978</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Native_Chart_Data!$D$738:$D$978</f>
              <numCache>
                <formatCode>General</formatCode>
                <ptCount val="241"/>
                <pt idx="0">
                  <v>475.6182314496982</v>
                </pt>
                <pt idx="1">
                  <v>490.87300120691</v>
                </pt>
                <pt idx="2">
                  <v>534.0602149449296</v>
                </pt>
                <pt idx="3">
                  <v>503.9209462031067</v>
                </pt>
                <pt idx="4">
                  <v>495.8407751602863</v>
                </pt>
                <pt idx="5">
                  <v>511.9766582025477</v>
                </pt>
                <pt idx="6">
                  <v>484.5983430347587</v>
                </pt>
                <pt idx="7">
                  <v>523.0828149356057</v>
                </pt>
                <pt idx="8">
                  <v>502.4626690393234</v>
                </pt>
                <pt idx="9">
                  <v>482.4716566599818</v>
                </pt>
                <pt idx="10">
                  <v>517.4251021308919</v>
                </pt>
                <pt idx="11">
                  <v>492.0461587946193</v>
                </pt>
                <pt idx="12">
                  <v>488.5124549069587</v>
                </pt>
                <pt idx="13">
                  <v>489.5231018730556</v>
                </pt>
                <pt idx="14">
                  <v>468.999278040701</v>
                </pt>
                <pt idx="15">
                  <v>476.7410332173313</v>
                </pt>
                <pt idx="16">
                  <v>491.4493947492701</v>
                </pt>
                <pt idx="17">
                  <v>452.4009292133996</v>
                </pt>
                <pt idx="18">
                  <v>413.0156258438547</v>
                </pt>
                <pt idx="19">
                  <v>461.5402613873812</v>
                </pt>
                <pt idx="20">
                  <v>437.6206746219395</v>
                </pt>
                <pt idx="21">
                  <v>411.2584073795915</v>
                </pt>
                <pt idx="22">
                  <v>425.2262899123707</v>
                </pt>
                <pt idx="23">
                  <v>386.8337905608314</v>
                </pt>
                <pt idx="24">
                  <v>402.2937246757465</v>
                </pt>
                <pt idx="25">
                  <v>402.8830502902565</v>
                </pt>
                <pt idx="26">
                  <v>384.0870449766044</v>
                </pt>
                <pt idx="27">
                  <v>368.0809299880821</v>
                </pt>
                <pt idx="28">
                  <v>352.5479884035121</v>
                </pt>
                <pt idx="29">
                  <v>340.6814882529943</v>
                </pt>
                <pt idx="30">
                  <v>336.8433451087185</v>
                </pt>
                <pt idx="31">
                  <v>363.7355827749161</v>
                </pt>
                <pt idx="32">
                  <v>387.8403153901672</v>
                </pt>
                <pt idx="33">
                  <v>338.2382872227936</v>
                </pt>
                <pt idx="34">
                  <v>318.9536821423644</v>
                </pt>
                <pt idx="35">
                  <v>345.1024300021345</v>
                </pt>
                <pt idx="36">
                  <v>340.2729461251511</v>
                </pt>
                <pt idx="37">
                  <v>362.0055736474569</v>
                </pt>
                <pt idx="38">
                  <v>379.704203484107</v>
                </pt>
                <pt idx="39">
                  <v>377.3350791899247</v>
                </pt>
                <pt idx="40">
                  <v>355.3358852125712</v>
                </pt>
                <pt idx="41">
                  <v>314.9672384550286</v>
                </pt>
                <pt idx="42">
                  <v>348.4273363549619</v>
                </pt>
                <pt idx="43">
                  <v>356.4903792555924</v>
                </pt>
                <pt idx="44">
                  <v>366.8314208311131</v>
                </pt>
                <pt idx="45">
                  <v>371.6702992657702</v>
                </pt>
                <pt idx="46">
                  <v>355.4813912054669</v>
                </pt>
                <pt idx="47">
                  <v>369.3429748225753</v>
                </pt>
                <pt idx="48">
                  <v>338.2824754723515</v>
                </pt>
                <pt idx="49">
                  <v>314.0598423313349</v>
                </pt>
                <pt idx="50">
                  <v>347.7564553854791</v>
                </pt>
                <pt idx="51">
                  <v>355.1955134131276</v>
                </pt>
                <pt idx="52">
                  <v>308.8603249510925</v>
                </pt>
                <pt idx="53">
                  <v>321.3310622830249</v>
                </pt>
                <pt idx="54">
                  <v>316.859491910418</v>
                </pt>
                <pt idx="55">
                  <v>275.1765872350006</v>
                </pt>
                <pt idx="56">
                  <v>279.4926860705345</v>
                </pt>
                <pt idx="57">
                  <v>288.1441785482821</v>
                </pt>
                <pt idx="58">
                  <v>238.138492771759</v>
                </pt>
                <pt idx="59">
                  <v>234.2433378880742</v>
                </pt>
                <pt idx="60">
                  <v>236.1606334059616</v>
                </pt>
                <pt idx="61">
                  <v>243.5422602002291</v>
                </pt>
                <pt idx="62">
                  <v>221.9795141225404</v>
                </pt>
                <pt idx="63">
                  <v>213.6323248183544</v>
                </pt>
                <pt idx="64">
                  <v>217.6420816668724</v>
                </pt>
                <pt idx="65">
                  <v>196.6495314187341</v>
                </pt>
                <pt idx="66">
                  <v>220.4686917265462</v>
                </pt>
                <pt idx="67">
                  <v>198.2375181276439</v>
                </pt>
                <pt idx="68">
                  <v>192.0256865545525</v>
                </pt>
                <pt idx="69">
                  <v>199.484756819129</v>
                </pt>
                <pt idx="70">
                  <v>221.0725897208249</v>
                </pt>
                <pt idx="71">
                  <v>222.4504399345278</v>
                </pt>
                <pt idx="72">
                  <v>200.9252976770767</v>
                </pt>
                <pt idx="73">
                  <v>218.2092253678093</v>
                </pt>
                <pt idx="74">
                  <v>216.8091400298181</v>
                </pt>
                <pt idx="75">
                  <v>251.2118348146942</v>
                </pt>
                <pt idx="76">
                  <v>260.8109679679728</v>
                </pt>
                <pt idx="77">
                  <v>185.8423922803922</v>
                </pt>
                <pt idx="78">
                  <v>196.9067869861647</v>
                </pt>
                <pt idx="79">
                  <v>207.4684121088467</v>
                </pt>
                <pt idx="80">
                  <v>203.531637983815</v>
                </pt>
                <pt idx="81">
                  <v>219.3262669654359</v>
                </pt>
                <pt idx="82">
                  <v>165.4684565979551</v>
                </pt>
                <pt idx="83">
                  <v>191.4068748553291</v>
                </pt>
                <pt idx="84">
                  <v>203.9434654629986</v>
                </pt>
                <pt idx="85">
                  <v>132.7425832706467</v>
                </pt>
                <pt idx="86">
                  <v>129.6261769766716</v>
                </pt>
                <pt idx="87">
                  <v>192.0255910846208</v>
                </pt>
                <pt idx="88">
                  <v>165.6403437944391</v>
                </pt>
                <pt idx="89">
                  <v>137.9563961577333</v>
                </pt>
                <pt idx="90">
                  <v>160.4549174724525</v>
                </pt>
                <pt idx="91">
                  <v>131.0004403195308</v>
                </pt>
                <pt idx="92">
                  <v>109.4070051834024</v>
                </pt>
                <pt idx="93">
                  <v>134.5708868784641</v>
                </pt>
                <pt idx="94">
                  <v>159.2613597626041</v>
                </pt>
                <pt idx="95">
                  <v>115.1592153447382</v>
                </pt>
                <pt idx="96">
                  <v>118.7548925145165</v>
                </pt>
                <pt idx="97">
                  <v>137.6040267078679</v>
                </pt>
                <pt idx="98">
                  <v>112.0371558296938</v>
                </pt>
                <pt idx="99">
                  <v>104.226366975945</v>
                </pt>
                <pt idx="100">
                  <v>86.40918325254461</v>
                </pt>
                <pt idx="101">
                  <v>95.88133801335061</v>
                </pt>
                <pt idx="102">
                  <v>61.20399632281988</v>
                </pt>
                <pt idx="103">
                  <v>64.91178834112361</v>
                </pt>
                <pt idx="104">
                  <v>83.90391525563246</v>
                </pt>
                <pt idx="105">
                  <v>12.08695914692726</v>
                </pt>
                <pt idx="106">
                  <v>36.91531491022033</v>
                </pt>
                <pt idx="107">
                  <v>63.33079653877576</v>
                </pt>
                <pt idx="108">
                  <v>21.7722713448893</v>
                </pt>
                <pt idx="109">
                  <v>13.21391055571439</v>
                </pt>
                <pt idx="110">
                  <v>20.62381640726016</v>
                </pt>
                <pt idx="111">
                  <v>37.7856622314539</v>
                </pt>
                <pt idx="112">
                  <v>5.015861757965467</v>
                </pt>
                <pt idx="113">
                  <v>20.62747261352342</v>
                </pt>
                <pt idx="114">
                  <v>51.23987584029237</v>
                </pt>
                <pt idx="115">
                  <v>46.6773382615429</v>
                </pt>
                <pt idx="116">
                  <v>33.29255923435994</v>
                </pt>
                <pt idx="117">
                  <v>20.84547727499739</v>
                </pt>
                <pt idx="118">
                  <v>77.35858270280005</v>
                </pt>
                <pt idx="119">
                  <v>67.21549524045258</v>
                </pt>
                <pt idx="120">
                  <v>13.57787587148778</v>
                </pt>
                <pt idx="121">
                  <v>23.04487073324708</v>
                </pt>
                <pt idx="122">
                  <v>45.85282185325923</v>
                </pt>
                <pt idx="123">
                  <v>46.04321213610092</v>
                </pt>
                <pt idx="124">
                  <v>35.28480728100476</v>
                </pt>
                <pt idx="125">
                  <v>-17.69645689573736</v>
                </pt>
                <pt idx="126">
                  <v>-4.673549830840784</v>
                </pt>
                <pt idx="127">
                  <v>9.605232376725326</v>
                </pt>
                <pt idx="128">
                  <v>-25.14726434355907</v>
                </pt>
                <pt idx="129">
                  <v>-59.06357460871732</v>
                </pt>
                <pt idx="130">
                  <v>-89.29079603231003</v>
                </pt>
                <pt idx="131">
                  <v>-71.24450372502906</v>
                </pt>
                <pt idx="132">
                  <v>-75.48150197753785</v>
                </pt>
                <pt idx="133">
                  <v>-54.54940081717723</v>
                </pt>
                <pt idx="134">
                  <v>-93.36744727406767</v>
                </pt>
                <pt idx="135">
                  <v>-123.5426727313097</v>
                </pt>
                <pt idx="136">
                  <v>-106.6112130421971</v>
                </pt>
                <pt idx="137">
                  <v>-98.32283519044722</v>
                </pt>
                <pt idx="138">
                  <v>-79.19680840677756</v>
                </pt>
                <pt idx="139">
                  <v>-124.4509292770999</v>
                </pt>
                <pt idx="140">
                  <v>-149.9577599586701</v>
                </pt>
                <pt idx="141">
                  <v>-104.686396683428</v>
                </pt>
                <pt idx="142">
                  <v>-99.76180605999616</v>
                </pt>
                <pt idx="143">
                  <v>-133.6965623294418</v>
                </pt>
                <pt idx="144">
                  <v>-103.2546697492762</v>
                </pt>
                <pt idx="145">
                  <v>-97.45932921296117</v>
                </pt>
                <pt idx="146">
                  <v>-151.5765791288686</v>
                </pt>
                <pt idx="147">
                  <v>-141.51365191683</v>
                </pt>
                <pt idx="148">
                  <v>-109.1218168940941</v>
                </pt>
                <pt idx="149">
                  <v>-145.1435563179984</v>
                </pt>
                <pt idx="150">
                  <v>-160.1607348960897</v>
                </pt>
                <pt idx="151">
                  <v>-131.1058027587023</v>
                </pt>
                <pt idx="152">
                  <v>-120.0451065140442</v>
                </pt>
                <pt idx="153">
                  <v>-137.0525651741445</v>
                </pt>
                <pt idx="154">
                  <v>-135.2580367196424</v>
                </pt>
                <pt idx="155">
                  <v>-126.6636341058984</v>
                </pt>
                <pt idx="156">
                  <v>-151.6905384432903</v>
                </pt>
                <pt idx="157">
                  <v>-139.1757167734795</v>
                </pt>
                <pt idx="158">
                  <v>-126.4643735949903</v>
                </pt>
                <pt idx="159">
                  <v>-151.3671201868419</v>
                </pt>
                <pt idx="160">
                  <v>-162.9090452027413</v>
                </pt>
                <pt idx="161">
                  <v>-171.7163481087482</v>
                </pt>
                <pt idx="162">
                  <v>-175.7625682178514</v>
                </pt>
                <pt idx="163">
                  <v>-173.414639069415</v>
                </pt>
                <pt idx="164">
                  <v>-190.6482833417613</v>
                </pt>
                <pt idx="165">
                  <v>-207.6623712630862</v>
                </pt>
                <pt idx="166">
                  <v>-214.5283811793888</v>
                </pt>
                <pt idx="167">
                  <v>-195.8232265374136</v>
                </pt>
                <pt idx="168">
                  <v>-230.1440141449348</v>
                </pt>
                <pt idx="169">
                  <v>-244.9737956213539</v>
                </pt>
                <pt idx="170">
                  <v>-253.7362306406976</v>
                </pt>
                <pt idx="171">
                  <v>-267.7970135381656</v>
                </pt>
                <pt idx="172">
                  <v>-232.6193090314518</v>
                </pt>
                <pt idx="173">
                  <v>-291.6546665396709</v>
                </pt>
                <pt idx="174">
                  <v>-304.3154181147656</v>
                </pt>
                <pt idx="175">
                  <v>-288.8126042343174</v>
                </pt>
                <pt idx="176">
                  <v>-281.1591707508342</v>
                </pt>
                <pt idx="177">
                  <v>-287.9698524754531</v>
                </pt>
                <pt idx="178">
                  <v>-321.958584028016</v>
                </pt>
                <pt idx="179">
                  <v>-292.2747079845067</v>
                </pt>
                <pt idx="180">
                  <v>-293.2127943380692</v>
                </pt>
                <pt idx="181">
                  <v>-289.9085107305837</v>
                </pt>
                <pt idx="182">
                  <v>-301.4594318781747</v>
                </pt>
                <pt idx="183">
                  <v>-295.7054253127353</v>
                </pt>
                <pt idx="184">
                  <v>-254.599074678481</v>
                </pt>
                <pt idx="185">
                  <v>-271.1411299657811</v>
                </pt>
                <pt idx="186">
                  <v>-283.8938267223057</v>
                </pt>
                <pt idx="187">
                  <v>-258.0989086600312</v>
                </pt>
                <pt idx="188">
                  <v>-253.7267367678396</v>
                </pt>
                <pt idx="189">
                  <v>-295.7898525990458</v>
                </pt>
                <pt idx="190">
                  <v>-307.8352331618589</v>
                </pt>
                <pt idx="191">
                  <v>-286.6069943915136</v>
                </pt>
                <pt idx="192">
                  <v>-256.2080841948045</v>
                </pt>
                <pt idx="193">
                  <v>-270.3321164401132</v>
                </pt>
                <pt idx="194">
                  <v>-304.7320025682893</v>
                </pt>
                <pt idx="195">
                  <v>-310.9433088574406</v>
                </pt>
                <pt idx="196">
                  <v>-274.9239634749756</v>
                </pt>
                <pt idx="197">
                  <v>-295.00116253339</v>
                </pt>
                <pt idx="198">
                  <v>-351.0190914843406</v>
                </pt>
                <pt idx="199">
                  <v>-332.6760334270148</v>
                </pt>
                <pt idx="200">
                  <v>-337.1917719139674</v>
                </pt>
                <pt idx="201">
                  <v>-388.8944572384389</v>
                </pt>
                <pt idx="202">
                  <v>-398.1543978484297</v>
                </pt>
                <pt idx="203">
                  <v>-361.1079984811113</v>
                </pt>
                <pt idx="204">
                  <v>-371.6147189016738</v>
                </pt>
                <pt idx="205">
                  <v>-398.5897222955828</v>
                </pt>
                <pt idx="206">
                  <v>-419.4335216990112</v>
                </pt>
                <pt idx="207">
                  <v>-429.9051877553211</v>
                </pt>
                <pt idx="208">
                  <v>-446.6345676146375</v>
                </pt>
                <pt idx="209">
                  <v>-446.3198955533699</v>
                </pt>
                <pt idx="210">
                  <v>-397.7099503103091</v>
                </pt>
                <pt idx="211">
                  <v>-414.2659457460468</v>
                </pt>
                <pt idx="212">
                  <v>-458.6307151440451</v>
                </pt>
                <pt idx="213">
                  <v>-438.4974537015296</v>
                </pt>
                <pt idx="214">
                  <v>-425.8371341042221</v>
                </pt>
                <pt idx="215">
                  <v>-393.0067328362384</v>
                </pt>
                <pt idx="216">
                  <v>-396.2138094164402</v>
                </pt>
                <pt idx="217">
                  <v>-435.0026550449911</v>
                </pt>
                <pt idx="218">
                  <v>-412.3174071446556</v>
                </pt>
                <pt idx="219">
                  <v>-409.9288273368984</v>
                </pt>
                <pt idx="220">
                  <v>-389.6827255546668</v>
                </pt>
                <pt idx="221">
                  <v>-392.7478406424598</v>
                </pt>
                <pt idx="222">
                  <v>-395.6633766101731</v>
                </pt>
                <pt idx="223">
                  <v>-388.336184705895</v>
                </pt>
                <pt idx="224">
                  <v>-432.5621530304488</v>
                </pt>
                <pt idx="225">
                  <v>-417.6767255714367</v>
                </pt>
                <pt idx="226">
                  <v>-421.0980251814362</v>
                </pt>
                <pt idx="227">
                  <v>-455.0459523180507</v>
                </pt>
                <pt idx="228">
                  <v>-462.8956826801186</v>
                </pt>
                <pt idx="229">
                  <v>-449.1931834153547</v>
                </pt>
                <pt idx="230">
                  <v>-455.0098244195397</v>
                </pt>
                <pt idx="231">
                  <v>-470.8662445768823</v>
                </pt>
                <pt idx="232">
                  <v>-460.6295562019113</v>
                </pt>
                <pt idx="233">
                  <v>-454.8945019910207</v>
                </pt>
                <pt idx="234">
                  <v>-499.1439578678182</v>
                </pt>
                <pt idx="235">
                  <v>-494.387775107225</v>
                </pt>
                <pt idx="236">
                  <v>-473.0108753379682</v>
                </pt>
                <pt idx="237">
                  <v>-494.116792956811</v>
                </pt>
                <pt idx="238">
                  <v>-527.305412295209</v>
                </pt>
                <pt idx="239">
                  <v>-523.5958188716722</v>
                </pt>
                <pt idx="240">
                  <v>-470.5275654303477</v>
                </pt>
              </numCache>
            </numRef>
          </yVal>
          <smooth val="0"/>
        </ser>
        <ser>
          <idx val="2"/>
          <order val="2"/>
          <tx>
            <v>Flat HF Doppler (Hz)</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Native_Chart_Data!$E$738:$E$978</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Native_Chart_Data!$F$738:$F$978</f>
              <numCache>
                <formatCode>General</formatCode>
                <ptCount val="241"/>
                <pt idx="0">
                  <v>75.51024528632163</v>
                </pt>
                <pt idx="1">
                  <v>75.20465659457263</v>
                </pt>
                <pt idx="2">
                  <v>74.59322979397881</v>
                </pt>
                <pt idx="3">
                  <v>73.98130579299273</v>
                </pt>
                <pt idx="4">
                  <v>73.36888787356564</v>
                </pt>
                <pt idx="5">
                  <v>72.75597933975796</v>
                </pt>
                <pt idx="6">
                  <v>72.14258351513098</v>
                </pt>
                <pt idx="7">
                  <v>71.52870374704855</v>
                </pt>
                <pt idx="8">
                  <v>70.9143434019384</v>
                </pt>
                <pt idx="9">
                  <v>70.29950586788678</v>
                </pt>
                <pt idx="10">
                  <v>69.68419455541688</v>
                </pt>
                <pt idx="11">
                  <v>69.06841289407483</v>
                </pt>
                <pt idx="12">
                  <v>68.45216433532471</v>
                </pt>
                <pt idx="13">
                  <v>67.83545235080069</v>
                </pt>
                <pt idx="14">
                  <v>67.21828043439631</v>
                </pt>
                <pt idx="15">
                  <v>66.6006520977853</v>
                </pt>
                <pt idx="16">
                  <v>65.98257087330308</v>
                </pt>
                <pt idx="17">
                  <v>65.36404031685544</v>
                </pt>
                <pt idx="18">
                  <v>64.74506400091296</v>
                </pt>
                <pt idx="19">
                  <v>64.1256455196731</v>
                </pt>
                <pt idx="20">
                  <v>63.50578848671123</v>
                </pt>
                <pt idx="21">
                  <v>62.88549653480322</v>
                </pt>
                <pt idx="22">
                  <v>62.26477331836976</v>
                </pt>
                <pt idx="23">
                  <v>61.64362250917482</v>
                </pt>
                <pt idx="24">
                  <v>61.02204779949375</v>
                </pt>
                <pt idx="25">
                  <v>60.40005290144421</v>
                </pt>
                <pt idx="26">
                  <v>59.77764154491039</v>
                </pt>
                <pt idx="27">
                  <v>59.15481747912715</v>
                </pt>
                <pt idx="28">
                  <v>58.53158447191529</v>
                </pt>
                <pt idx="29">
                  <v>57.90794631204401</v>
                </pt>
                <pt idx="30">
                  <v>57.28390680471077</v>
                </pt>
                <pt idx="31">
                  <v>56.65946977330293</v>
                </pt>
                <pt idx="32">
                  <v>56.03463906092723</v>
                </pt>
                <pt idx="33">
                  <v>55.40941852830673</v>
                </pt>
                <pt idx="34">
                  <v>54.78381205395838</v>
                </pt>
                <pt idx="35">
                  <v>54.1578235345617</v>
                </pt>
                <pt idx="36">
                  <v>53.53145688478126</v>
                </pt>
                <pt idx="37">
                  <v>52.90471603554604</v>
                </pt>
                <pt idx="38">
                  <v>52.27760493740877</v>
                </pt>
                <pt idx="39">
                  <v>51.65012755624431</v>
                </pt>
                <pt idx="40">
                  <v>51.02228787536633</v>
                </pt>
                <pt idx="41">
                  <v>50.39408989645594</v>
                </pt>
                <pt idx="42">
                  <v>49.76553763659828</v>
                </pt>
                <pt idx="43">
                  <v>49.13663512949795</v>
                </pt>
                <pt idx="44">
                  <v>48.50738642591597</v>
                </pt>
                <pt idx="45">
                  <v>47.87779559294607</v>
                </pt>
                <pt idx="46">
                  <v>47.24786671386438</v>
                </pt>
                <pt idx="47">
                  <v>46.61760388675024</v>
                </pt>
                <pt idx="48">
                  <v>45.98701122688966</v>
                </pt>
                <pt idx="49">
                  <v>45.35609286499999</v>
                </pt>
                <pt idx="50">
                  <v>44.72485294611017</v>
                </pt>
                <pt idx="51">
                  <v>44.09329563246944</v>
                </pt>
                <pt idx="52">
                  <v>43.46142510009238</v>
                </pt>
                <pt idx="53">
                  <v>42.82924553963285</v>
                </pt>
                <pt idx="54">
                  <v>42.1967611568074</v>
                </pt>
                <pt idx="55">
                  <v>41.56397617298244</v>
                </pt>
                <pt idx="56">
                  <v>40.93089482281172</v>
                </pt>
                <pt idx="57">
                  <v>40.29752135465969</v>
                </pt>
                <pt idx="58">
                  <v>39.66386003252705</v>
                </pt>
                <pt idx="59">
                  <v>39.02991513345601</v>
                </pt>
                <pt idx="60">
                  <v>38.39569094671097</v>
                </pt>
                <pt idx="61">
                  <v>37.76119177756128</v>
                </pt>
                <pt idx="62">
                  <v>37.12642194368964</v>
                </pt>
                <pt idx="63">
                  <v>36.49138577390848</v>
                </pt>
                <pt idx="64">
                  <v>35.8560876126937</v>
                </pt>
                <pt idx="65">
                  <v>35.22053181526857</v>
                </pt>
                <pt idx="66">
                  <v>34.58472274991158</v>
                </pt>
                <pt idx="67">
                  <v>33.94866479857092</v>
                </pt>
                <pt idx="68">
                  <v>33.31236235250824</v>
                </pt>
                <pt idx="69">
                  <v>32.67581981680514</v>
                </pt>
                <pt idx="70">
                  <v>32.03904160828744</v>
                </pt>
                <pt idx="71">
                  <v>31.40203215439174</v>
                </pt>
                <pt idx="72">
                  <v>30.76479589386187</v>
                </pt>
                <pt idx="73">
                  <v>30.12733727732243</v>
                </pt>
                <pt idx="74">
                  <v>29.48966076602247</v>
                </pt>
                <pt idx="75">
                  <v>28.8517708310161</v>
                </pt>
                <pt idx="76">
                  <v>28.21367195493778</v>
                </pt>
                <pt idx="77">
                  <v>27.57536862931205</v>
                </pt>
                <pt idx="78">
                  <v>26.9368653578174</v>
                </pt>
                <pt idx="79">
                  <v>26.29816665183433</v>
                </pt>
                <pt idx="80">
                  <v>25.65927703287614</v>
                </pt>
                <pt idx="81">
                  <v>25.02020103290304</v>
                </pt>
                <pt idx="82">
                  <v>24.38094319148166</v>
                </pt>
                <pt idx="83">
                  <v>23.74150805844802</v>
                </pt>
                <pt idx="84">
                  <v>23.10190019187274</v>
                </pt>
                <pt idx="85">
                  <v>22.46212415862097</v>
                </pt>
                <pt idx="86">
                  <v>21.82218453244049</v>
                </pt>
                <pt idx="87">
                  <v>21.18208589688418</v>
                </pt>
                <pt idx="88">
                  <v>20.54183284332982</v>
                </pt>
                <pt idx="89">
                  <v>19.90142996915024</v>
                </pt>
                <pt idx="90">
                  <v>19.26088188052641</v>
                </pt>
                <pt idx="91">
                  <v>18.62019319165544</v>
                </pt>
                <pt idx="92">
                  <v>17.97936852148673</v>
                </pt>
                <pt idx="93">
                  <v>17.33841249601623</v>
                </pt>
                <pt idx="94">
                  <v>16.69732974997979</v>
                </pt>
                <pt idx="95">
                  <v>16.05612492244222</v>
                </pt>
                <pt idx="96">
                  <v>15.41480265907788</v>
                </pt>
                <pt idx="97">
                  <v>14.77336761088698</v>
                </pt>
                <pt idx="98">
                  <v>14.13182443530177</v>
                </pt>
                <pt idx="99">
                  <v>13.49017779483455</v>
                </pt>
                <pt idx="100">
                  <v>12.8484323569138</v>
                </pt>
                <pt idx="101">
                  <v>12.20659279497668</v>
                </pt>
                <pt idx="102">
                  <v>11.56466378490479</v>
                </pt>
                <pt idx="103">
                  <v>10.92265000845184</v>
                </pt>
                <pt idx="104">
                  <v>10.28055615190535</v>
                </pt>
                <pt idx="105">
                  <v>9.638386904666445</v>
                </pt>
                <pt idx="106">
                  <v>8.996146961885438</v>
                </pt>
                <pt idx="107">
                  <v>8.353841019422768</v>
                </pt>
                <pt idx="108">
                  <v>7.711473777577099</v>
                </pt>
                <pt idx="109">
                  <v>7.069049941372094</v>
                </pt>
                <pt idx="110">
                  <v>6.426574215298831</v>
                </pt>
                <pt idx="111">
                  <v>5.784051308150051</v>
                </pt>
                <pt idx="112">
                  <v>5.14148593326597</v>
                </pt>
                <pt idx="113">
                  <v>4.498882803085502</v>
                </pt>
                <pt idx="114">
                  <v>3.856246632191566</v>
                </pt>
                <pt idx="115">
                  <v>3.213582138471851</v>
                </pt>
                <pt idx="116">
                  <v>2.570894039295113</v>
                </pt>
                <pt idx="117">
                  <v>1.928187055485099</v>
                </pt>
                <pt idx="118">
                  <v>1.285465907073501</v>
                </pt>
                <pt idx="119">
                  <v>0.6427353142695408</v>
                </pt>
                <pt idx="120">
                  <v>0</v>
                </pt>
                <pt idx="121">
                  <v>-0.6427353142695408</v>
                </pt>
                <pt idx="122">
                  <v>-1.285465907073501</v>
                </pt>
                <pt idx="123">
                  <v>-1.928187055485099</v>
                </pt>
                <pt idx="124">
                  <v>-2.570894039295113</v>
                </pt>
                <pt idx="125">
                  <v>-3.213582138471851</v>
                </pt>
                <pt idx="126">
                  <v>-3.856246632191566</v>
                </pt>
                <pt idx="127">
                  <v>-4.498882803085502</v>
                </pt>
                <pt idx="128">
                  <v>-5.14148593326597</v>
                </pt>
                <pt idx="129">
                  <v>-5.784051308150051</v>
                </pt>
                <pt idx="130">
                  <v>-6.426574215298831</v>
                </pt>
                <pt idx="131">
                  <v>-7.069049941372094</v>
                </pt>
                <pt idx="132">
                  <v>-7.711473777577099</v>
                </pt>
                <pt idx="133">
                  <v>-8.353841019422768</v>
                </pt>
                <pt idx="134">
                  <v>-8.996146961885438</v>
                </pt>
                <pt idx="135">
                  <v>-9.638386904666445</v>
                </pt>
                <pt idx="136">
                  <v>-10.28055615190535</v>
                </pt>
                <pt idx="137">
                  <v>-10.92265000845184</v>
                </pt>
                <pt idx="138">
                  <v>-11.56466378490479</v>
                </pt>
                <pt idx="139">
                  <v>-12.20659279497668</v>
                </pt>
                <pt idx="140">
                  <v>-12.8484323569138</v>
                </pt>
                <pt idx="141">
                  <v>-13.49017779483455</v>
                </pt>
                <pt idx="142">
                  <v>-14.13182443530177</v>
                </pt>
                <pt idx="143">
                  <v>-14.77336761088698</v>
                </pt>
                <pt idx="144">
                  <v>-15.41480265907788</v>
                </pt>
                <pt idx="145">
                  <v>-16.05612492244222</v>
                </pt>
                <pt idx="146">
                  <v>-16.69732974997979</v>
                </pt>
                <pt idx="147">
                  <v>-17.33841249601623</v>
                </pt>
                <pt idx="148">
                  <v>-17.97936852148673</v>
                </pt>
                <pt idx="149">
                  <v>-18.62019319165544</v>
                </pt>
                <pt idx="150">
                  <v>-19.26088188052641</v>
                </pt>
                <pt idx="151">
                  <v>-19.90142996915024</v>
                </pt>
                <pt idx="152">
                  <v>-20.54183284332982</v>
                </pt>
                <pt idx="153">
                  <v>-21.18208589688418</v>
                </pt>
                <pt idx="154">
                  <v>-21.82218453244049</v>
                </pt>
                <pt idx="155">
                  <v>-22.46212415862097</v>
                </pt>
                <pt idx="156">
                  <v>-23.10190019187274</v>
                </pt>
                <pt idx="157">
                  <v>-23.74150805844802</v>
                </pt>
                <pt idx="158">
                  <v>-24.38094319148166</v>
                </pt>
                <pt idx="159">
                  <v>-25.02020103290304</v>
                </pt>
                <pt idx="160">
                  <v>-25.65927703287614</v>
                </pt>
                <pt idx="161">
                  <v>-26.29816665183433</v>
                </pt>
                <pt idx="162">
                  <v>-26.9368653578174</v>
                </pt>
                <pt idx="163">
                  <v>-27.57536862931205</v>
                </pt>
                <pt idx="164">
                  <v>-28.21367195493778</v>
                </pt>
                <pt idx="165">
                  <v>-28.8517708310161</v>
                </pt>
                <pt idx="166">
                  <v>-29.48966076602247</v>
                </pt>
                <pt idx="167">
                  <v>-30.12733727732243</v>
                </pt>
                <pt idx="168">
                  <v>-30.76479589386187</v>
                </pt>
                <pt idx="169">
                  <v>-31.40203215439174</v>
                </pt>
                <pt idx="170">
                  <v>-32.03904160828744</v>
                </pt>
                <pt idx="171">
                  <v>-32.67581981680514</v>
                </pt>
                <pt idx="172">
                  <v>-33.31236235250824</v>
                </pt>
                <pt idx="173">
                  <v>-33.94866479857092</v>
                </pt>
                <pt idx="174">
                  <v>-34.58472274991158</v>
                </pt>
                <pt idx="175">
                  <v>-35.22053181526857</v>
                </pt>
                <pt idx="176">
                  <v>-35.8560876126937</v>
                </pt>
                <pt idx="177">
                  <v>-36.49138577390848</v>
                </pt>
                <pt idx="178">
                  <v>-37.12642194368964</v>
                </pt>
                <pt idx="179">
                  <v>-37.76119177756128</v>
                </pt>
                <pt idx="180">
                  <v>-38.39569094671097</v>
                </pt>
                <pt idx="181">
                  <v>-39.02991513345601</v>
                </pt>
                <pt idx="182">
                  <v>-39.66386003252705</v>
                </pt>
                <pt idx="183">
                  <v>-40.29752135465969</v>
                </pt>
                <pt idx="184">
                  <v>-40.93089482281172</v>
                </pt>
                <pt idx="185">
                  <v>-41.56397617298244</v>
                </pt>
                <pt idx="186">
                  <v>-42.1967611568074</v>
                </pt>
                <pt idx="187">
                  <v>-42.82924553963285</v>
                </pt>
                <pt idx="188">
                  <v>-43.46142510009238</v>
                </pt>
                <pt idx="189">
                  <v>-44.09329563246944</v>
                </pt>
                <pt idx="190">
                  <v>-44.72485294611017</v>
                </pt>
                <pt idx="191">
                  <v>-45.35609286499999</v>
                </pt>
                <pt idx="192">
                  <v>-45.98701122688966</v>
                </pt>
                <pt idx="193">
                  <v>-46.61760388675024</v>
                </pt>
                <pt idx="194">
                  <v>-47.24786671386438</v>
                </pt>
                <pt idx="195">
                  <v>-47.87779559294607</v>
                </pt>
                <pt idx="196">
                  <v>-48.50738642591597</v>
                </pt>
                <pt idx="197">
                  <v>-49.13663512949795</v>
                </pt>
                <pt idx="198">
                  <v>-49.76553763659828</v>
                </pt>
                <pt idx="199">
                  <v>-50.39408989645594</v>
                </pt>
                <pt idx="200">
                  <v>-51.02228787536633</v>
                </pt>
                <pt idx="201">
                  <v>-51.65012755624431</v>
                </pt>
                <pt idx="202">
                  <v>-52.27760493740877</v>
                </pt>
                <pt idx="203">
                  <v>-52.90471603554604</v>
                </pt>
                <pt idx="204">
                  <v>-53.53145688478126</v>
                </pt>
                <pt idx="205">
                  <v>-54.1578235345617</v>
                </pt>
                <pt idx="206">
                  <v>-54.78381205395838</v>
                </pt>
                <pt idx="207">
                  <v>-55.40941852830673</v>
                </pt>
                <pt idx="208">
                  <v>-56.03463906092723</v>
                </pt>
                <pt idx="209">
                  <v>-56.65946977330293</v>
                </pt>
                <pt idx="210">
                  <v>-57.28390680471077</v>
                </pt>
                <pt idx="211">
                  <v>-57.90794631204401</v>
                </pt>
                <pt idx="212">
                  <v>-58.53158447191529</v>
                </pt>
                <pt idx="213">
                  <v>-59.15481747912715</v>
                </pt>
                <pt idx="214">
                  <v>-59.77764154491039</v>
                </pt>
                <pt idx="215">
                  <v>-60.40005290144421</v>
                </pt>
                <pt idx="216">
                  <v>-61.02204779949375</v>
                </pt>
                <pt idx="217">
                  <v>-61.64362250917482</v>
                </pt>
                <pt idx="218">
                  <v>-62.26477331836976</v>
                </pt>
                <pt idx="219">
                  <v>-62.88549653480322</v>
                </pt>
                <pt idx="220">
                  <v>-63.50578848671123</v>
                </pt>
                <pt idx="221">
                  <v>-64.1256455196731</v>
                </pt>
                <pt idx="222">
                  <v>-64.74506400091296</v>
                </pt>
                <pt idx="223">
                  <v>-65.36404031685544</v>
                </pt>
                <pt idx="224">
                  <v>-65.98257087330308</v>
                </pt>
                <pt idx="225">
                  <v>-66.6006520977853</v>
                </pt>
                <pt idx="226">
                  <v>-67.21828043439631</v>
                </pt>
                <pt idx="227">
                  <v>-67.83545235080069</v>
                </pt>
                <pt idx="228">
                  <v>-68.45216433532471</v>
                </pt>
                <pt idx="229">
                  <v>-69.06841289407483</v>
                </pt>
                <pt idx="230">
                  <v>-69.68419455541688</v>
                </pt>
                <pt idx="231">
                  <v>-70.29950586788678</v>
                </pt>
                <pt idx="232">
                  <v>-70.9143434019384</v>
                </pt>
                <pt idx="233">
                  <v>-71.52870374704855</v>
                </pt>
                <pt idx="234">
                  <v>-72.14258351513098</v>
                </pt>
                <pt idx="235">
                  <v>-72.75597933975796</v>
                </pt>
                <pt idx="236">
                  <v>-73.36888787356564</v>
                </pt>
                <pt idx="237">
                  <v>-73.98130579299273</v>
                </pt>
                <pt idx="238">
                  <v>-74.59322979397881</v>
                </pt>
                <pt idx="239">
                  <v>-75.20465659457263</v>
                </pt>
                <pt idx="240">
                  <v>-75.51024528632163</v>
                </pt>
              </numCache>
            </numRef>
          </yVal>
          <smooth val="0"/>
        </ser>
        <ser>
          <idx val="3"/>
          <order val="3"/>
          <tx>
            <v>Topo HF Doppler (Hz)</v>
          </tx>
          <spPr>
            <a:ln xmlns:a="http://schemas.openxmlformats.org/drawingml/2006/main" w="19050">
              <a:solidFill>
                <a:srgbClr val="06B6D4"/>
              </a:solidFill>
              <a:prstDash val="solid"/>
            </a:ln>
          </spPr>
          <marker>
            <symbol val="none"/>
            <spPr>
              <a:ln xmlns:a="http://schemas.openxmlformats.org/drawingml/2006/main">
                <a:prstDash val="solid"/>
              </a:ln>
            </spPr>
          </marker>
          <xVal>
            <numRef>
              <f>Native_Chart_Data!$G$738:$G$978</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Native_Chart_Data!$H$738:$H$978</f>
              <numCache>
                <formatCode>General</formatCode>
                <ptCount val="241"/>
                <pt idx="0">
                  <v>71.41414886632106</v>
                </pt>
                <pt idx="1">
                  <v>73.70465483587238</v>
                </pt>
                <pt idx="2">
                  <v>80.18922146320266</v>
                </pt>
                <pt idx="3">
                  <v>75.66380573620222</v>
                </pt>
                <pt idx="4">
                  <v>74.45056684088384</v>
                </pt>
                <pt idx="5">
                  <v>76.87337210248465</v>
                </pt>
                <pt idx="6">
                  <v>72.762513969183</v>
                </pt>
                <pt idx="7">
                  <v>78.54096320354441</v>
                </pt>
                <pt idx="8">
                  <v>75.44484520109961</v>
                </pt>
                <pt idx="9">
                  <v>72.44319169068797</v>
                </pt>
                <pt idx="10">
                  <v>77.69145677641021</v>
                </pt>
                <pt idx="11">
                  <v>73.88080462381672</v>
                </pt>
                <pt idx="12">
                  <v>73.35021845449832</v>
                </pt>
                <pt idx="13">
                  <v>73.50196724820655</v>
                </pt>
                <pt idx="14">
                  <v>70.42031201812328</v>
                </pt>
                <pt idx="15">
                  <v>71.58273772032001</v>
                </pt>
                <pt idx="16">
                  <v>73.79120041280333</v>
                </pt>
                <pt idx="17">
                  <v>67.92806744945942</v>
                </pt>
                <pt idx="18">
                  <v>62.01435823481302</v>
                </pt>
                <pt idx="19">
                  <v>69.30033954765484</v>
                </pt>
                <pt idx="20">
                  <v>65.70881000329423</v>
                </pt>
                <pt idx="21">
                  <v>61.75051161855729</v>
                </pt>
                <pt idx="22">
                  <v>63.84779127813375</v>
                </pt>
                <pt idx="23">
                  <v>58.08315173586058</v>
                </pt>
                <pt idx="24">
                  <v>60.4044631645265</v>
                </pt>
                <pt idx="25">
                  <v>60.49295049403251</v>
                </pt>
                <pt idx="26">
                  <v>57.67072747396463</v>
                </pt>
                <pt idx="27">
                  <v>55.26740690511743</v>
                </pt>
                <pt idx="28">
                  <v>52.93513339392074</v>
                </pt>
                <pt idx="29">
                  <v>51.15337661456371</v>
                </pt>
                <pt idx="30">
                  <v>50.57707884515293</v>
                </pt>
                <pt idx="31">
                  <v>54.61495236860603</v>
                </pt>
                <pt idx="32">
                  <v>58.2342815901152</v>
                </pt>
                <pt idx="33">
                  <v>50.78652961303207</v>
                </pt>
                <pt idx="34">
                  <v>47.89094326461929</v>
                </pt>
                <pt idx="35">
                  <v>51.81718168200218</v>
                </pt>
                <pt idx="36">
                  <v>51.09203395272539</v>
                </pt>
                <pt idx="37">
                  <v>54.3551912383569</v>
                </pt>
                <pt idx="38">
                  <v>57.01264316578183</v>
                </pt>
                <pt idx="39">
                  <v>56.656918797286</v>
                </pt>
                <pt idx="40">
                  <v>53.35373651840408</v>
                </pt>
                <pt idx="41">
                  <v>47.29237814640069</v>
                </pt>
                <pt idx="42">
                  <v>52.3164168701144</v>
                </pt>
                <pt idx="43">
                  <v>53.52708397231117</v>
                </pt>
                <pt idx="44">
                  <v>55.07979291758455</v>
                </pt>
                <pt idx="45">
                  <v>55.80635124110663</v>
                </pt>
                <pt idx="46">
                  <v>53.37558426508513</v>
                </pt>
                <pt idx="47">
                  <v>55.45690312651282</v>
                </pt>
                <pt idx="48">
                  <v>50.79316448533807</v>
                </pt>
                <pt idx="49">
                  <v>47.15613248218243</v>
                </pt>
                <pt idx="50">
                  <v>52.21568399181368</v>
                </pt>
                <pt idx="51">
                  <v>53.33265967164079</v>
                </pt>
                <pt idx="52">
                  <v>46.3754241668307</v>
                </pt>
                <pt idx="53">
                  <v>48.24790724970345</v>
                </pt>
                <pt idx="54">
                  <v>47.57650028684955</v>
                </pt>
                <pt idx="55">
                  <v>41.31780589114124</v>
                </pt>
                <pt idx="56">
                  <v>41.96586877935955</v>
                </pt>
                <pt idx="57">
                  <v>43.26489167391623</v>
                </pt>
                <pt idx="58">
                  <v>35.75653044621007</v>
                </pt>
                <pt idx="59">
                  <v>35.17167235556669</v>
                </pt>
                <pt idx="60">
                  <v>35.4595545654597</v>
                </pt>
                <pt idx="61">
                  <v>36.56790693697133</v>
                </pt>
                <pt idx="62">
                  <v>33.33025737575682</v>
                </pt>
                <pt idx="63">
                  <v>32.07692564840156</v>
                </pt>
                <pt idx="64">
                  <v>32.67899124127214</v>
                </pt>
                <pt idx="65">
                  <v>29.5269566694796</v>
                </pt>
                <pt idx="66">
                  <v>33.10340716614809</v>
                </pt>
                <pt idx="67">
                  <v>29.76539311225884</v>
                </pt>
                <pt idx="68">
                  <v>28.83268566885173</v>
                </pt>
                <pt idx="69">
                  <v>29.95266618905841</v>
                </pt>
                <pt idx="70">
                  <v>33.1940825406644</v>
                </pt>
                <pt idx="71">
                  <v>33.40096695713631</v>
                </pt>
                <pt idx="72">
                  <v>30.16896361517669</v>
                </pt>
                <pt idx="73">
                  <v>32.76414795312451</v>
                </pt>
                <pt idx="74">
                  <v>32.55392492940211</v>
                </pt>
                <pt idx="75">
                  <v>37.71949471692105</v>
                </pt>
                <pt idx="76">
                  <v>39.16080600119712</v>
                </pt>
                <pt idx="77">
                  <v>27.904263105164</v>
                </pt>
                <pt idx="78">
                  <v>29.56558363155626</v>
                </pt>
                <pt idx="79">
                  <v>31.15141322955656</v>
                </pt>
                <pt idx="80">
                  <v>30.56030600357583</v>
                </pt>
                <pt idx="81">
                  <v>32.93187191673213</v>
                </pt>
                <pt idx="82">
                  <v>24.84511360329656</v>
                </pt>
                <pt idx="83">
                  <v>28.73977099929866</v>
                </pt>
                <pt idx="84">
                  <v>30.6221419614112</v>
                </pt>
                <pt idx="85">
                  <v>19.93131880940642</v>
                </pt>
                <pt idx="86">
                  <v>19.46338993643717</v>
                </pt>
                <pt idx="87">
                  <v>28.83267133402715</v>
                </pt>
                <pt idx="88">
                  <v>24.87092249165752</v>
                </pt>
                <pt idx="89">
                  <v>20.71417359725725</v>
                </pt>
                <pt idx="90">
                  <v>24.0923299508187</v>
                </pt>
                <pt idx="91">
                  <v>19.66973578371333</v>
                </pt>
                <pt idx="92">
                  <v>16.42747825576612</v>
                </pt>
                <pt idx="93">
                  <v>20.20583887064025</v>
                </pt>
                <pt idx="94">
                  <v>23.91311708147209</v>
                </pt>
                <pt idx="95">
                  <v>17.29117347518591</v>
                </pt>
                <pt idx="96">
                  <v>17.8310649421196</v>
                </pt>
                <pt idx="97">
                  <v>20.66126527145164</v>
                </pt>
                <pt idx="98">
                  <v>16.8223957702243</v>
                </pt>
                <pt idx="99">
                  <v>15.64960465104279</v>
                </pt>
                <pt idx="100">
                  <v>12.97435183972141</v>
                </pt>
                <pt idx="101">
                  <v>14.3965972993019</v>
                </pt>
                <pt idx="102">
                  <v>9.189789237660642</v>
                </pt>
                <pt idx="103">
                  <v>9.746514765934476</v>
                </pt>
                <pt idx="104">
                  <v>12.59818547381869</v>
                </pt>
                <pt idx="105">
                  <v>1.814858730769858</v>
                </pt>
                <pt idx="106">
                  <v>5.54284007660966</v>
                </pt>
                <pt idx="107">
                  <v>9.50912860942579</v>
                </pt>
                <pt idx="108">
                  <v>3.269109811544941</v>
                </pt>
                <pt idx="109">
                  <v>1.98407065401117</v>
                </pt>
                <pt idx="110">
                  <v>3.096669130219244</v>
                </pt>
                <pt idx="111">
                  <v>5.67352285757566</v>
                </pt>
                <pt idx="112">
                  <v>0.7531323960909111</v>
                </pt>
                <pt idx="113">
                  <v>3.097218110138652</v>
                </pt>
                <pt idx="114">
                  <v>7.693675051094951</v>
                </pt>
                <pt idx="115">
                  <v>7.008609348580015</v>
                </pt>
                <pt idx="116">
                  <v>4.998882767921914</v>
                </pt>
                <pt idx="117">
                  <v>3.129951542792401</v>
                </pt>
                <pt idx="118">
                  <v>11.61540280822824</v>
                </pt>
                <pt idx="119">
                  <v>10.09241670277066</v>
                </pt>
                <pt idx="120">
                  <v>2.038720100823991</v>
                </pt>
                <pt idx="121">
                  <v>3.46019080078785</v>
                </pt>
                <pt idx="122">
                  <v>6.88480808607496</v>
                </pt>
                <pt idx="123">
                  <v>6.91339521563077</v>
                </pt>
                <pt idx="124">
                  <v>5.298019111261977</v>
                </pt>
                <pt idx="125">
                  <v>-2.657125660020624</v>
                </pt>
                <pt idx="126">
                  <v>-0.7017342088349526</v>
                </pt>
                <pt idx="127">
                  <v>1.442227083592391</v>
                </pt>
                <pt idx="128">
                  <v>-3.775865517050912</v>
                </pt>
                <pt idx="129">
                  <v>-8.868404595903502</v>
                </pt>
                <pt idx="130">
                  <v>-13.40702643127778</v>
                </pt>
                <pt idx="131">
                  <v>-10.69737293168605</v>
                </pt>
                <pt idx="132">
                  <v>-11.33355885548616</v>
                </pt>
                <pt idx="133">
                  <v>-8.190600723299886</v>
                </pt>
                <pt idx="134">
                  <v>-14.01913622733749</v>
                </pt>
                <pt idx="135">
                  <v>-18.54995086055702</v>
                </pt>
                <pt idx="136">
                  <v>-16.00768964597554</v>
                </pt>
                <pt idx="137">
                  <v>-14.76318846703412</v>
                </pt>
                <pt idx="138">
                  <v>-11.89141267369033</v>
                </pt>
                <pt idx="139">
                  <v>-18.68632571728227</v>
                </pt>
                <pt idx="140">
                  <v>-22.51618017397449</v>
                </pt>
                <pt idx="141">
                  <v>-15.7186781806949</v>
                </pt>
                <pt idx="142">
                  <v>-14.97925015915858</v>
                </pt>
                <pt idx="143">
                  <v>-20.0745589083246</v>
                </pt>
                <pt idx="144">
                  <v>-15.50370416655799</v>
                </pt>
                <pt idx="145">
                  <v>-14.63353291485904</v>
                </pt>
                <pt idx="146">
                  <v>-22.75924611544574</v>
                </pt>
                <pt idx="147">
                  <v>-21.24829608360811</v>
                </pt>
                <pt idx="148">
                  <v>-16.38465719130542</v>
                </pt>
                <pt idx="149">
                  <v>-21.79332677447424</v>
                </pt>
                <pt idx="150">
                  <v>-24.04815839280626</v>
                </pt>
                <pt idx="151">
                  <v>-19.68555596977513</v>
                </pt>
                <pt idx="152">
                  <v>-18.0247907678745</v>
                </pt>
                <pt idx="153">
                  <v>-20.57846323936105</v>
                </pt>
                <pt idx="154">
                  <v>-20.30901452246883</v>
                </pt>
                <pt idx="155">
                  <v>-19.01856367956432</v>
                </pt>
                <pt idx="156">
                  <v>-22.77635712361716</v>
                </pt>
                <pt idx="157">
                  <v>-20.89725477079272</v>
                </pt>
                <pt idx="158">
                  <v>-18.98864468393248</v>
                </pt>
                <pt idx="159">
                  <v>-22.72779582385014</v>
                </pt>
                <pt idx="160">
                  <v>-24.4608175980092</v>
                </pt>
                <pt idx="161">
                  <v>-25.783235451764</v>
                </pt>
                <pt idx="162">
                  <v>-26.39077600868639</v>
                </pt>
                <pt idx="163">
                  <v>-26.03823409450676</v>
                </pt>
                <pt idx="164">
                  <v>-28.62586836963383</v>
                </pt>
                <pt idx="165">
                  <v>-31.18053622568863</v>
                </pt>
                <pt idx="166">
                  <v>-32.21146864555388</v>
                </pt>
                <pt idx="167">
                  <v>-29.40288686747952</v>
                </pt>
                <pt idx="168">
                  <v>-34.55615828002024</v>
                </pt>
                <pt idx="169">
                  <v>-36.78285219539849</v>
                </pt>
                <pt idx="170">
                  <v>-38.09853312923388</v>
                </pt>
                <pt idx="171">
                  <v>-40.20976179251736</v>
                </pt>
                <pt idx="172">
                  <v>-34.92782417889668</v>
                </pt>
                <pt idx="173">
                  <v>-43.79199197292355</v>
                </pt>
                <pt idx="174">
                  <v>-45.69300572293778</v>
                </pt>
                <pt idx="175">
                  <v>-43.36525589103865</v>
                </pt>
                <pt idx="176">
                  <v>-42.21609170432946</v>
                </pt>
                <pt idx="177">
                  <v>-43.23871658790587</v>
                </pt>
                <pt idx="178">
                  <v>-48.34212973393635</v>
                </pt>
                <pt idx="179">
                  <v>-43.88509128896497</v>
                </pt>
                <pt idx="180">
                  <v>-44.02594509580619</v>
                </pt>
                <pt idx="181">
                  <v>-43.52980641600356</v>
                </pt>
                <pt idx="182">
                  <v>-45.26417896068689</v>
                </pt>
                <pt idx="183">
                  <v>-44.40021401092122</v>
                </pt>
                <pt idx="184">
                  <v>-38.22808929106321</v>
                </pt>
                <pt idx="185">
                  <v>-40.71188137624342</v>
                </pt>
                <pt idx="186">
                  <v>-42.62670070905491</v>
                </pt>
                <pt idx="187">
                  <v>-38.75358988889357</v>
                </pt>
                <pt idx="188">
                  <v>-38.09710762279875</v>
                </pt>
                <pt idx="189">
                  <v>-44.41289078063752</v>
                </pt>
                <pt idx="190">
                  <v>-46.2215064807596</v>
                </pt>
                <pt idx="191">
                  <v>-43.03408324196901</v>
                </pt>
                <pt idx="192">
                  <v>-38.46968231153222</v>
                </pt>
                <pt idx="193">
                  <v>-40.59040787389087</v>
                </pt>
                <pt idx="194">
                  <v>-45.75555594118459</v>
                </pt>
                <pt idx="195">
                  <v>-46.68818451312922</v>
                </pt>
                <pt idx="196">
                  <v>-41.27987439564199</v>
                </pt>
                <pt idx="197">
                  <v>-44.29446884885736</v>
                </pt>
                <pt idx="198">
                  <v>-52.70556929194304</v>
                </pt>
                <pt idx="199">
                  <v>-49.95135637042264</v>
                </pt>
                <pt idx="200">
                  <v>-50.62939518227739</v>
                </pt>
                <pt idx="201">
                  <v>-58.39256114691275</v>
                </pt>
                <pt idx="202">
                  <v>-59.78294261988434</v>
                </pt>
                <pt idx="203">
                  <v>-54.22042019235906</v>
                </pt>
                <pt idx="204">
                  <v>-55.79800584109216</v>
                </pt>
                <pt idx="205">
                  <v>-59.84830665098841</v>
                </pt>
                <pt idx="206">
                  <v>-62.9780062611128</v>
                </pt>
                <pt idx="207">
                  <v>-64.55032849178995</v>
                </pt>
                <pt idx="208">
                  <v>-67.06224738958521</v>
                </pt>
                <pt idx="209">
                  <v>-67.01499933233782</v>
                </pt>
                <pt idx="210">
                  <v>-59.71620875530166</v>
                </pt>
                <pt idx="211">
                  <v>-62.20209395586289</v>
                </pt>
                <pt idx="212">
                  <v>-68.86347074234912</v>
                </pt>
                <pt idx="213">
                  <v>-65.84045851374319</v>
                </pt>
                <pt idx="214">
                  <v>-63.93950962525857</v>
                </pt>
                <pt idx="215">
                  <v>-59.01001994538114</v>
                </pt>
                <pt idx="216">
                  <v>-59.49156297544148</v>
                </pt>
                <pt idx="217">
                  <v>-65.31571397071939</v>
                </pt>
                <pt idx="218">
                  <v>-61.90952059229063</v>
                </pt>
                <pt idx="219">
                  <v>-61.55087497551028</v>
                </pt>
                <pt idx="220">
                  <v>-58.51091975295298</v>
                </pt>
                <pt idx="221">
                  <v>-58.97114724361258</v>
                </pt>
                <pt idx="222">
                  <v>-59.40891540693291</v>
                </pt>
                <pt idx="223">
                  <v>-58.30873644232658</v>
                </pt>
                <pt idx="224">
                  <v>-64.94927222679412</v>
                </pt>
                <pt idx="225">
                  <v>-62.71422305877428</v>
                </pt>
                <pt idx="226">
                  <v>-63.22793170892437</v>
                </pt>
                <pt idx="227">
                  <v>-68.32521806577338</v>
                </pt>
                <pt idx="228">
                  <v>-69.50385625827607</v>
                </pt>
                <pt idx="229">
                  <v>-67.44642393623946</v>
                </pt>
                <pt idx="230">
                  <v>-68.31979345638734</v>
                </pt>
                <pt idx="231">
                  <v>-70.70063732385621</v>
                </pt>
                <pt idx="232">
                  <v>-69.16359702731403</v>
                </pt>
                <pt idx="233">
                  <v>-68.30247777642954</v>
                </pt>
                <pt idx="234">
                  <v>-74.94654022039313</v>
                </pt>
                <pt idx="235">
                  <v>-74.2323986647485</v>
                </pt>
                <pt idx="236">
                  <v>-71.02265395464988</v>
                </pt>
                <pt idx="237">
                  <v>-74.19171065417582</v>
                </pt>
                <pt idx="238">
                  <v>-79.17498683111246</v>
                </pt>
                <pt idx="239">
                  <v>-78.61799082157242</v>
                </pt>
                <pt idx="240">
                  <v>-70.64978459915132</v>
                </pt>
              </numCache>
            </numRef>
          </yVal>
          <smooth val="0"/>
        </ser>
        <dLbls>
          <showLegendKey val="0"/>
          <showVal val="0"/>
          <showCatName val="0"/>
          <showSerName val="0"/>
          <showPercent val="0"/>
          <showBubbleSize val="0"/>
        </dLbls>
        <axId val="700008"/>
        <axId val="700009"/>
      </scatterChart>
      <valAx>
        <axId val="700008"/>
        <scaling>
          <orientation val="minMax"/>
          <max val="100"/>
          <min val="-1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09"/>
        <crosses val="min"/>
        <crossBetween val="midCat"/>
        <majorUnit val="50"/>
      </valAx>
      <valAx>
        <axId val="700009"/>
        <scaling>
          <orientation val="minMax"/>
          <max val="800"/>
          <min val="-80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Doppler shift (Hz)</a:t>
                </a:r>
              </a:p>
            </rich>
          </tx>
          <overlay val="0"/>
        </title>
        <numFmt formatCode="General" sourceLinked="0"/>
        <majorTickMark val="none"/>
        <minorTickMark val="none"/>
        <tickLblPos val="nextTo"/>
        <crossAx val="700008"/>
        <crosses val="min"/>
        <crossBetween val="midCat"/>
        <majorUnit val="2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5.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Nadir Radar Delay by Flyby: Without Topography</a:t>
            </a:r>
          </a:p>
        </rich>
      </tx>
      <overlay val="0"/>
    </title>
    <plotArea>
      <layout/>
      <scatterChart>
        <scatterStyle val="lineMarker"/>
        <varyColors val="0"/>
        <ser>
          <idx val="0"/>
          <order val="0"/>
          <tx>
            <v>Custom 400 km / 120 km pass</v>
          </tx>
          <spPr>
            <a:ln xmlns:a="http://schemas.openxmlformats.org/drawingml/2006/main" w="19050">
              <a:solidFill>
                <a:srgbClr val="0E74CA"/>
              </a:solidFill>
              <a:prstDash val="solid"/>
            </a:ln>
          </spPr>
          <marker>
            <symbol val="none"/>
            <spPr>
              <a:ln xmlns:a="http://schemas.openxmlformats.org/drawingml/2006/main">
                <a:prstDash val="solid"/>
              </a:ln>
            </spPr>
          </marker>
          <xVal>
            <numRef>
              <f>Native_Chart_Data!$A$983:$A$1223</f>
              <numCache>
                <formatCode>General</formatCode>
                <ptCount val="241"/>
                <pt idx="0">
                  <v>-60</v>
                </pt>
                <pt idx="1">
                  <v>-59.52</v>
                </pt>
                <pt idx="2">
                  <v>-58.98</v>
                </pt>
                <pt idx="3">
                  <v>-58.5</v>
                </pt>
                <pt idx="4">
                  <v>-58.02</v>
                </pt>
                <pt idx="5">
                  <v>-57.48</v>
                </pt>
                <pt idx="6">
                  <v>-57</v>
                </pt>
                <pt idx="7">
                  <v>-56.52</v>
                </pt>
                <pt idx="8">
                  <v>-55.98</v>
                </pt>
                <pt idx="9">
                  <v>-55.5</v>
                </pt>
                <pt idx="10">
                  <v>-55.02</v>
                </pt>
                <pt idx="11">
                  <v>-54.48</v>
                </pt>
                <pt idx="12">
                  <v>-54</v>
                </pt>
                <pt idx="13">
                  <v>-53.52</v>
                </pt>
                <pt idx="14">
                  <v>-52.98</v>
                </pt>
                <pt idx="15">
                  <v>-52.5</v>
                </pt>
                <pt idx="16">
                  <v>-52.02</v>
                </pt>
                <pt idx="17">
                  <v>-51.48</v>
                </pt>
                <pt idx="18">
                  <v>-51</v>
                </pt>
                <pt idx="19">
                  <v>-50.52</v>
                </pt>
                <pt idx="20">
                  <v>-49.98</v>
                </pt>
                <pt idx="21">
                  <v>-49.5</v>
                </pt>
                <pt idx="22">
                  <v>-49.02</v>
                </pt>
                <pt idx="23">
                  <v>-48.48</v>
                </pt>
                <pt idx="24">
                  <v>-48</v>
                </pt>
                <pt idx="25">
                  <v>-47.52</v>
                </pt>
                <pt idx="26">
                  <v>-46.98</v>
                </pt>
                <pt idx="27">
                  <v>-46.5</v>
                </pt>
                <pt idx="28">
                  <v>-46.02</v>
                </pt>
                <pt idx="29">
                  <v>-45.48</v>
                </pt>
                <pt idx="30">
                  <v>-45</v>
                </pt>
                <pt idx="31">
                  <v>-44.52</v>
                </pt>
                <pt idx="32">
                  <v>-43.98</v>
                </pt>
                <pt idx="33">
                  <v>-43.5</v>
                </pt>
                <pt idx="34">
                  <v>-43.02</v>
                </pt>
                <pt idx="35">
                  <v>-42.48</v>
                </pt>
                <pt idx="36">
                  <v>-42</v>
                </pt>
                <pt idx="37">
                  <v>-41.52</v>
                </pt>
                <pt idx="38">
                  <v>-40.98</v>
                </pt>
                <pt idx="39">
                  <v>-40.5</v>
                </pt>
                <pt idx="40">
                  <v>-40.02</v>
                </pt>
                <pt idx="41">
                  <v>-39.48</v>
                </pt>
                <pt idx="42">
                  <v>-39</v>
                </pt>
                <pt idx="43">
                  <v>-38.52</v>
                </pt>
                <pt idx="44">
                  <v>-37.98</v>
                </pt>
                <pt idx="45">
                  <v>-37.5</v>
                </pt>
                <pt idx="46">
                  <v>-37.02</v>
                </pt>
                <pt idx="47">
                  <v>-36.48</v>
                </pt>
                <pt idx="48">
                  <v>-36</v>
                </pt>
                <pt idx="49">
                  <v>-35.52</v>
                </pt>
                <pt idx="50">
                  <v>-34.98</v>
                </pt>
                <pt idx="51">
                  <v>-34.5</v>
                </pt>
                <pt idx="52">
                  <v>-34.02</v>
                </pt>
                <pt idx="53">
                  <v>-33.48</v>
                </pt>
                <pt idx="54">
                  <v>-33</v>
                </pt>
                <pt idx="55">
                  <v>-32.52</v>
                </pt>
                <pt idx="56">
                  <v>-31.98</v>
                </pt>
                <pt idx="57">
                  <v>-31.5</v>
                </pt>
                <pt idx="58">
                  <v>-31.02</v>
                </pt>
                <pt idx="59">
                  <v>-30.48</v>
                </pt>
                <pt idx="60">
                  <v>-30</v>
                </pt>
                <pt idx="61">
                  <v>-29.52</v>
                </pt>
                <pt idx="62">
                  <v>-28.98</v>
                </pt>
                <pt idx="63">
                  <v>-28.5</v>
                </pt>
                <pt idx="64">
                  <v>-28.02</v>
                </pt>
                <pt idx="65">
                  <v>-27.48</v>
                </pt>
                <pt idx="66">
                  <v>-27</v>
                </pt>
                <pt idx="67">
                  <v>-26.52</v>
                </pt>
                <pt idx="68">
                  <v>-25.98</v>
                </pt>
                <pt idx="69">
                  <v>-25.5</v>
                </pt>
                <pt idx="70">
                  <v>-25.02</v>
                </pt>
                <pt idx="71">
                  <v>-24.48</v>
                </pt>
                <pt idx="72">
                  <v>-24</v>
                </pt>
                <pt idx="73">
                  <v>-23.52</v>
                </pt>
                <pt idx="74">
                  <v>-22.98</v>
                </pt>
                <pt idx="75">
                  <v>-22.5</v>
                </pt>
                <pt idx="76">
                  <v>-22.02</v>
                </pt>
                <pt idx="77">
                  <v>-21.48</v>
                </pt>
                <pt idx="78">
                  <v>-21</v>
                </pt>
                <pt idx="79">
                  <v>-20.52</v>
                </pt>
                <pt idx="80">
                  <v>-19.98</v>
                </pt>
                <pt idx="81">
                  <v>-19.5</v>
                </pt>
                <pt idx="82">
                  <v>-19.02</v>
                </pt>
                <pt idx="83">
                  <v>-18.48</v>
                </pt>
                <pt idx="84">
                  <v>-18</v>
                </pt>
                <pt idx="85">
                  <v>-17.52</v>
                </pt>
                <pt idx="86">
                  <v>-16.98</v>
                </pt>
                <pt idx="87">
                  <v>-16.5</v>
                </pt>
                <pt idx="88">
                  <v>-16.02</v>
                </pt>
                <pt idx="89">
                  <v>-15.48</v>
                </pt>
                <pt idx="90">
                  <v>-15</v>
                </pt>
                <pt idx="91">
                  <v>-14.52</v>
                </pt>
                <pt idx="92">
                  <v>-13.98</v>
                </pt>
                <pt idx="93">
                  <v>-13.5</v>
                </pt>
                <pt idx="94">
                  <v>-13.02</v>
                </pt>
                <pt idx="95">
                  <v>-12.48</v>
                </pt>
                <pt idx="96">
                  <v>-12</v>
                </pt>
                <pt idx="97">
                  <v>-11.52</v>
                </pt>
                <pt idx="98">
                  <v>-10.98</v>
                </pt>
                <pt idx="99">
                  <v>-10.5</v>
                </pt>
                <pt idx="100">
                  <v>-10.02</v>
                </pt>
                <pt idx="101">
                  <v>-9.480000000000004</v>
                </pt>
                <pt idx="102">
                  <v>-9</v>
                </pt>
                <pt idx="103">
                  <v>-8.520000000000003</v>
                </pt>
                <pt idx="104">
                  <v>-7.980000000000004</v>
                </pt>
                <pt idx="105">
                  <v>-7.5</v>
                </pt>
                <pt idx="106">
                  <v>-7.019999999999996</v>
                </pt>
                <pt idx="107">
                  <v>-6.479999999999997</v>
                </pt>
                <pt idx="108">
                  <v>-6</v>
                </pt>
                <pt idx="109">
                  <v>-5.519999999999996</v>
                </pt>
                <pt idx="110">
                  <v>-4.979999999999997</v>
                </pt>
                <pt idx="111">
                  <v>-4.5</v>
                </pt>
                <pt idx="112">
                  <v>-4.019999999999996</v>
                </pt>
                <pt idx="113">
                  <v>-3.480000000000004</v>
                </pt>
                <pt idx="114">
                  <v>-3</v>
                </pt>
                <pt idx="115">
                  <v>-2.520000000000003</v>
                </pt>
                <pt idx="116">
                  <v>-1.980000000000004</v>
                </pt>
                <pt idx="117">
                  <v>-1.5</v>
                </pt>
                <pt idx="118">
                  <v>-1.020000000000003</v>
                </pt>
                <pt idx="119">
                  <v>-0.480000000000004</v>
                </pt>
                <pt idx="120">
                  <v>0</v>
                </pt>
                <pt idx="121">
                  <v>0.480000000000004</v>
                </pt>
                <pt idx="122">
                  <v>1.019999999999996</v>
                </pt>
                <pt idx="123">
                  <v>1.499999999999993</v>
                </pt>
                <pt idx="124">
                  <v>1.979999999999997</v>
                </pt>
                <pt idx="125">
                  <v>2.520000000000003</v>
                </pt>
                <pt idx="126">
                  <v>3</v>
                </pt>
                <pt idx="127">
                  <v>3.480000000000004</v>
                </pt>
                <pt idx="128">
                  <v>4.019999999999996</v>
                </pt>
                <pt idx="129">
                  <v>4.5</v>
                </pt>
                <pt idx="130">
                  <v>4.980000000000004</v>
                </pt>
                <pt idx="131">
                  <v>5.52000000000001</v>
                </pt>
                <pt idx="132">
                  <v>6</v>
                </pt>
                <pt idx="133">
                  <v>6.480000000000004</v>
                </pt>
                <pt idx="134">
                  <v>7.019999999999996</v>
                </pt>
                <pt idx="135">
                  <v>7.5</v>
                </pt>
                <pt idx="136">
                  <v>7.980000000000004</v>
                </pt>
                <pt idx="137">
                  <v>8.519999999999996</v>
                </pt>
                <pt idx="138">
                  <v>9</v>
                </pt>
                <pt idx="139">
                  <v>9.47999999999999</v>
                </pt>
                <pt idx="140">
                  <v>10.02</v>
                </pt>
                <pt idx="141">
                  <v>10.5</v>
                </pt>
                <pt idx="142">
                  <v>10.98</v>
                </pt>
                <pt idx="143">
                  <v>11.52</v>
                </pt>
                <pt idx="144">
                  <v>12</v>
                </pt>
                <pt idx="145">
                  <v>12.48</v>
                </pt>
                <pt idx="146">
                  <v>13.02000000000001</v>
                </pt>
                <pt idx="147">
                  <v>13.5</v>
                </pt>
                <pt idx="148">
                  <v>13.98</v>
                </pt>
                <pt idx="149">
                  <v>14.52</v>
                </pt>
                <pt idx="150">
                  <v>15</v>
                </pt>
                <pt idx="151">
                  <v>15.48</v>
                </pt>
                <pt idx="152">
                  <v>16.02</v>
                </pt>
                <pt idx="153">
                  <v>16.5</v>
                </pt>
                <pt idx="154">
                  <v>16.97999999999999</v>
                </pt>
                <pt idx="155">
                  <v>17.52</v>
                </pt>
                <pt idx="156">
                  <v>18</v>
                </pt>
                <pt idx="157">
                  <v>18.48</v>
                </pt>
                <pt idx="158">
                  <v>19.02</v>
                </pt>
                <pt idx="159">
                  <v>19.5</v>
                </pt>
                <pt idx="160">
                  <v>19.98</v>
                </pt>
                <pt idx="161">
                  <v>20.52000000000001</v>
                </pt>
                <pt idx="162">
                  <v>21</v>
                </pt>
                <pt idx="163">
                  <v>21.48</v>
                </pt>
                <pt idx="164">
                  <v>22.02</v>
                </pt>
                <pt idx="165">
                  <v>22.5</v>
                </pt>
                <pt idx="166">
                  <v>22.98</v>
                </pt>
                <pt idx="167">
                  <v>23.52</v>
                </pt>
                <pt idx="168">
                  <v>24</v>
                </pt>
                <pt idx="169">
                  <v>24.47999999999999</v>
                </pt>
                <pt idx="170">
                  <v>25.02</v>
                </pt>
                <pt idx="171">
                  <v>25.5</v>
                </pt>
                <pt idx="172">
                  <v>25.98</v>
                </pt>
                <pt idx="173">
                  <v>26.52</v>
                </pt>
                <pt idx="174">
                  <v>27</v>
                </pt>
                <pt idx="175">
                  <v>27.48</v>
                </pt>
                <pt idx="176">
                  <v>28.02000000000001</v>
                </pt>
                <pt idx="177">
                  <v>28.5</v>
                </pt>
                <pt idx="178">
                  <v>28.98</v>
                </pt>
                <pt idx="179">
                  <v>29.52</v>
                </pt>
                <pt idx="180">
                  <v>30</v>
                </pt>
                <pt idx="181">
                  <v>30.48</v>
                </pt>
                <pt idx="182">
                  <v>31.02</v>
                </pt>
                <pt idx="183">
                  <v>31.5</v>
                </pt>
                <pt idx="184">
                  <v>31.97999999999999</v>
                </pt>
                <pt idx="185">
                  <v>32.52</v>
                </pt>
                <pt idx="186">
                  <v>33</v>
                </pt>
                <pt idx="187">
                  <v>33.48</v>
                </pt>
                <pt idx="188">
                  <v>34.02</v>
                </pt>
                <pt idx="189">
                  <v>34.5</v>
                </pt>
                <pt idx="190">
                  <v>34.98</v>
                </pt>
                <pt idx="191">
                  <v>35.52000000000001</v>
                </pt>
                <pt idx="192">
                  <v>36</v>
                </pt>
                <pt idx="193">
                  <v>36.48</v>
                </pt>
                <pt idx="194">
                  <v>37.02</v>
                </pt>
                <pt idx="195">
                  <v>37.5</v>
                </pt>
                <pt idx="196">
                  <v>37.98</v>
                </pt>
                <pt idx="197">
                  <v>38.52</v>
                </pt>
                <pt idx="198">
                  <v>39</v>
                </pt>
                <pt idx="199">
                  <v>39.47999999999999</v>
                </pt>
                <pt idx="200">
                  <v>40.02</v>
                </pt>
                <pt idx="201">
                  <v>40.5</v>
                </pt>
                <pt idx="202">
                  <v>40.98</v>
                </pt>
                <pt idx="203">
                  <v>41.52</v>
                </pt>
                <pt idx="204">
                  <v>42</v>
                </pt>
                <pt idx="205">
                  <v>42.48</v>
                </pt>
                <pt idx="206">
                  <v>43.02000000000001</v>
                </pt>
                <pt idx="207">
                  <v>43.5</v>
                </pt>
                <pt idx="208">
                  <v>43.98</v>
                </pt>
                <pt idx="209">
                  <v>44.52</v>
                </pt>
                <pt idx="210">
                  <v>45</v>
                </pt>
                <pt idx="211">
                  <v>45.48</v>
                </pt>
                <pt idx="212">
                  <v>46.02</v>
                </pt>
                <pt idx="213">
                  <v>46.5</v>
                </pt>
                <pt idx="214">
                  <v>46.97999999999999</v>
                </pt>
                <pt idx="215">
                  <v>47.52</v>
                </pt>
                <pt idx="216">
                  <v>48</v>
                </pt>
                <pt idx="217">
                  <v>48.48</v>
                </pt>
                <pt idx="218">
                  <v>49.02</v>
                </pt>
                <pt idx="219">
                  <v>49.5</v>
                </pt>
                <pt idx="220">
                  <v>49.98</v>
                </pt>
                <pt idx="221">
                  <v>50.52000000000001</v>
                </pt>
                <pt idx="222">
                  <v>51</v>
                </pt>
                <pt idx="223">
                  <v>51.48</v>
                </pt>
                <pt idx="224">
                  <v>52.02</v>
                </pt>
                <pt idx="225">
                  <v>52.5</v>
                </pt>
                <pt idx="226">
                  <v>52.98</v>
                </pt>
                <pt idx="227">
                  <v>53.52</v>
                </pt>
                <pt idx="228">
                  <v>54</v>
                </pt>
                <pt idx="229">
                  <v>54.47999999999999</v>
                </pt>
                <pt idx="230">
                  <v>55.02</v>
                </pt>
                <pt idx="231">
                  <v>55.5</v>
                </pt>
                <pt idx="232">
                  <v>55.98</v>
                </pt>
                <pt idx="233">
                  <v>56.52</v>
                </pt>
                <pt idx="234">
                  <v>57</v>
                </pt>
                <pt idx="235">
                  <v>57.48</v>
                </pt>
                <pt idx="236">
                  <v>58.02000000000001</v>
                </pt>
                <pt idx="237">
                  <v>58.5</v>
                </pt>
                <pt idx="238">
                  <v>58.98</v>
                </pt>
                <pt idx="239">
                  <v>59.52</v>
                </pt>
                <pt idx="240">
                  <v>60</v>
                </pt>
              </numCache>
            </numRef>
          </xVal>
          <yVal>
            <numRef>
              <f>Native_Chart_Data!$B$983:$B$1223</f>
              <numCache>
                <formatCode>General</formatCode>
                <ptCount val="241"/>
                <pt idx="0">
                  <v>2695.197889201068</v>
                </pt>
                <pt idx="1">
                  <v>2694.772635007383</v>
                </pt>
                <pt idx="2">
                  <v>2694.298306864011</v>
                </pt>
                <pt idx="3">
                  <v>2693.880311025036</v>
                </pt>
                <pt idx="4">
                  <v>2693.465730882396</v>
                </pt>
                <pt idx="5">
                  <v>2693.003411046452</v>
                </pt>
                <pt idx="6">
                  <v>2692.596089258523</v>
                </pt>
                <pt idx="7">
                  <v>2692.19218316693</v>
                </pt>
                <pt idx="8">
                  <v>2691.741871638412</v>
                </pt>
                <pt idx="9">
                  <v>2691.34522390153</v>
                </pt>
                <pt idx="10">
                  <v>2690.951991860983</v>
                </pt>
                <pt idx="11">
                  <v>2690.513688639892</v>
                </pt>
                <pt idx="12">
                  <v>2690.127714954057</v>
                </pt>
                <pt idx="13">
                  <v>2689.745156964556</v>
                </pt>
                <pt idx="14">
                  <v>2689.318862050893</v>
                </pt>
                <pt idx="15">
                  <v>2688.943562416103</v>
                </pt>
                <pt idx="16">
                  <v>2688.571678477649</v>
                </pt>
                <pt idx="17">
                  <v>2688.157391871413</v>
                </pt>
                <pt idx="18">
                  <v>2687.79276628767</v>
                </pt>
                <pt idx="19">
                  <v>2687.431556400261</v>
                </pt>
                <pt idx="20">
                  <v>2687.029278101453</v>
                </pt>
                <pt idx="21">
                  <v>2686.675326568756</v>
                </pt>
                <pt idx="22">
                  <v>2686.324790732394</v>
                </pt>
                <pt idx="23">
                  <v>2685.934520741012</v>
                </pt>
                <pt idx="24">
                  <v>2685.591243259362</v>
                </pt>
                <pt idx="25">
                  <v>2685.251381474046</v>
                </pt>
                <pt idx="26">
                  <v>2684.873119790092</v>
                </pt>
                <pt idx="27">
                  <v>2684.540516359488</v>
                </pt>
                <pt idx="28">
                  <v>2684.211328625219</v>
                </pt>
                <pt idx="29">
                  <v>2683.845075248691</v>
                </pt>
                <pt idx="30">
                  <v>2683.523145869133</v>
                </pt>
                <pt idx="31">
                  <v>2683.20463218591</v>
                </pt>
                <pt idx="32">
                  <v>2682.85038711681</v>
                </pt>
                <pt idx="33">
                  <v>2682.539131788299</v>
                </pt>
                <pt idx="34">
                  <v>2682.231292156122</v>
                </pt>
                <pt idx="35">
                  <v>2681.889055394449</v>
                </pt>
                <pt idx="36">
                  <v>2681.588474116984</v>
                </pt>
                <pt idx="37">
                  <v>2681.291308535854</v>
                </pt>
                <pt idx="38">
                  <v>2680.961080081608</v>
                </pt>
                <pt idx="39">
                  <v>2680.671172855189</v>
                </pt>
                <pt idx="40">
                  <v>2680.384681325105</v>
                </pt>
                <pt idx="41">
                  <v>2680.066461178286</v>
                </pt>
                <pt idx="42">
                  <v>2679.787228002914</v>
                </pt>
                <pt idx="43">
                  <v>2679.511410523876</v>
                </pt>
                <pt idx="44">
                  <v>2679.205198684485</v>
                </pt>
                <pt idx="45">
                  <v>2678.936639560159</v>
                </pt>
                <pt idx="46">
                  <v>2678.671496132168</v>
                </pt>
                <pt idx="47">
                  <v>2678.377292600203</v>
                </pt>
                <pt idx="48">
                  <v>2678.119407526923</v>
                </pt>
                <pt idx="49">
                  <v>2677.864938149979</v>
                </pt>
                <pt idx="50">
                  <v>2677.582742925441</v>
                </pt>
                <pt idx="51">
                  <v>2677.335531903208</v>
                </pt>
                <pt idx="52">
                  <v>2677.091736577309</v>
                </pt>
                <pt idx="53">
                  <v>2676.821549660199</v>
                </pt>
                <pt idx="54">
                  <v>2676.585012689012</v>
                </pt>
                <pt idx="55">
                  <v>2676.35189141416</v>
                </pt>
                <pt idx="56">
                  <v>2676.093712804476</v>
                </pt>
                <pt idx="57">
                  <v>2675.867849884336</v>
                </pt>
                <pt idx="58">
                  <v>2675.64540266053</v>
                </pt>
                <pt idx="59">
                  <v>2675.399232358273</v>
                </pt>
                <pt idx="60">
                  <v>2675.184043489179</v>
                </pt>
                <pt idx="61">
                  <v>2674.97227031642</v>
                </pt>
                <pt idx="62">
                  <v>2674.738108321591</v>
                </pt>
                <pt idx="63">
                  <v>2674.533593503543</v>
                </pt>
                <pt idx="64">
                  <v>2674.33249438183</v>
                </pt>
                <pt idx="65">
                  <v>2674.110340694428</v>
                </pt>
                <pt idx="66">
                  <v>2673.916499927426</v>
                </pt>
                <pt idx="67">
                  <v>2673.72607485676</v>
                </pt>
                <pt idx="68">
                  <v>2673.515929476785</v>
                </pt>
                <pt idx="69">
                  <v>2673.33276276083</v>
                </pt>
                <pt idx="70">
                  <v>2673.153011741209</v>
                </pt>
                <pt idx="71">
                  <v>2672.954874668662</v>
                </pt>
                <pt idx="72">
                  <v>2672.782382003753</v>
                </pt>
                <pt idx="73">
                  <v>2672.613305035179</v>
                </pt>
                <pt idx="74">
                  <v>2672.427176270058</v>
                </pt>
                <pt idx="75">
                  <v>2672.265357656196</v>
                </pt>
                <pt idx="76">
                  <v>2672.106954738668</v>
                </pt>
                <pt idx="77">
                  <v>2671.932834280975</v>
                </pt>
                <pt idx="78">
                  <v>2671.781689718158</v>
                </pt>
                <pt idx="79">
                  <v>2671.633960851677</v>
                </pt>
                <pt idx="80">
                  <v>2671.471848701411</v>
                </pt>
                <pt idx="81">
                  <v>2671.331378189641</v>
                </pt>
                <pt idx="82">
                  <v>2671.194323374206</v>
                </pt>
                <pt idx="83">
                  <v>2671.044219531367</v>
                </pt>
                <pt idx="84">
                  <v>2670.914423070643</v>
                </pt>
                <pt idx="85">
                  <v>2670.788042306254</v>
                </pt>
                <pt idx="86">
                  <v>2670.649946770843</v>
                </pt>
                <pt idx="87">
                  <v>2670.530824361165</v>
                </pt>
                <pt idx="88">
                  <v>2670.415117647823</v>
                </pt>
                <pt idx="89">
                  <v>2670.289030419838</v>
                </pt>
                <pt idx="90">
                  <v>2670.180582061207</v>
                </pt>
                <pt idx="91">
                  <v>2670.075549398911</v>
                </pt>
                <pt idx="92">
                  <v>2669.961470478353</v>
                </pt>
                <pt idx="93">
                  <v>2669.863696170769</v>
                </pt>
                <pt idx="94">
                  <v>2669.769337559519</v>
                </pt>
                <pt idx="95">
                  <v>2669.667266946388</v>
                </pt>
                <pt idx="96">
                  <v>2669.580166689851</v>
                </pt>
                <pt idx="97">
                  <v>2669.496482129647</v>
                </pt>
                <pt idx="98">
                  <v>2669.406419823944</v>
                </pt>
                <pt idx="99">
                  <v>2669.329993618452</v>
                </pt>
                <pt idx="100">
                  <v>2669.256983109295</v>
                </pt>
                <pt idx="101">
                  <v>2669.178929111019</v>
                </pt>
                <pt idx="102">
                  <v>2669.113176956573</v>
                </pt>
                <pt idx="103">
                  <v>2669.050840498462</v>
                </pt>
                <pt idx="104">
                  <v>2668.984794807613</v>
                </pt>
                <pt idx="105">
                  <v>2668.929716704214</v>
                </pt>
                <pt idx="106">
                  <v>2668.878054297149</v>
                </pt>
                <pt idx="107">
                  <v>2668.824016913728</v>
                </pt>
                <pt idx="108">
                  <v>2668.779612861375</v>
                </pt>
                <pt idx="109">
                  <v>2668.738624505357</v>
                </pt>
                <pt idx="110">
                  <v>2668.696595429362</v>
                </pt>
                <pt idx="111">
                  <v>2668.662865428056</v>
                </pt>
                <pt idx="112">
                  <v>2668.632551123084</v>
                </pt>
                <pt idx="113">
                  <v>2668.602530354516</v>
                </pt>
                <pt idx="114">
                  <v>2668.579474404256</v>
                </pt>
                <pt idx="115">
                  <v>2668.559834150331</v>
                </pt>
                <pt idx="116">
                  <v>2668.54182168919</v>
                </pt>
                <pt idx="117">
                  <v>2668.529439789977</v>
                </pt>
                <pt idx="118">
                  <v>2668.520473587097</v>
                </pt>
                <pt idx="119">
                  <v>2668.514469433384</v>
                </pt>
                <pt idx="120">
                  <v>2668.512761585217</v>
                </pt>
                <pt idx="121">
                  <v>2668.514469433384</v>
                </pt>
                <pt idx="122">
                  <v>2668.520473587097</v>
                </pt>
                <pt idx="123">
                  <v>2668.529439789977</v>
                </pt>
                <pt idx="124">
                  <v>2668.54182168919</v>
                </pt>
                <pt idx="125">
                  <v>2668.559834150331</v>
                </pt>
                <pt idx="126">
                  <v>2668.579474404256</v>
                </pt>
                <pt idx="127">
                  <v>2668.602530354516</v>
                </pt>
                <pt idx="128">
                  <v>2668.632551123084</v>
                </pt>
                <pt idx="129">
                  <v>2668.662865428056</v>
                </pt>
                <pt idx="130">
                  <v>2668.696595429362</v>
                </pt>
                <pt idx="131">
                  <v>2668.738624505357</v>
                </pt>
                <pt idx="132">
                  <v>2668.779612861375</v>
                </pt>
                <pt idx="133">
                  <v>2668.824016913728</v>
                </pt>
                <pt idx="134">
                  <v>2668.878054297149</v>
                </pt>
                <pt idx="135">
                  <v>2668.929716704214</v>
                </pt>
                <pt idx="136">
                  <v>2668.984794807613</v>
                </pt>
                <pt idx="137">
                  <v>2669.050840498462</v>
                </pt>
                <pt idx="138">
                  <v>2669.113176956573</v>
                </pt>
                <pt idx="139">
                  <v>2669.178929111019</v>
                </pt>
                <pt idx="140">
                  <v>2669.256983109295</v>
                </pt>
                <pt idx="141">
                  <v>2669.329993618452</v>
                </pt>
                <pt idx="142">
                  <v>2669.406419823944</v>
                </pt>
                <pt idx="143">
                  <v>2669.496482129647</v>
                </pt>
                <pt idx="144">
                  <v>2669.580166689851</v>
                </pt>
                <pt idx="145">
                  <v>2669.667266946388</v>
                </pt>
                <pt idx="146">
                  <v>2669.769337559519</v>
                </pt>
                <pt idx="147">
                  <v>2669.863696170769</v>
                </pt>
                <pt idx="148">
                  <v>2669.961470478353</v>
                </pt>
                <pt idx="149">
                  <v>2670.075549398911</v>
                </pt>
                <pt idx="150">
                  <v>2670.180582061207</v>
                </pt>
                <pt idx="151">
                  <v>2670.289030419838</v>
                </pt>
                <pt idx="152">
                  <v>2670.415117647823</v>
                </pt>
                <pt idx="153">
                  <v>2670.530824361165</v>
                </pt>
                <pt idx="154">
                  <v>2670.649946770843</v>
                </pt>
                <pt idx="155">
                  <v>2670.788042306254</v>
                </pt>
                <pt idx="156">
                  <v>2670.914423070643</v>
                </pt>
                <pt idx="157">
                  <v>2671.044219531367</v>
                </pt>
                <pt idx="158">
                  <v>2671.194323374206</v>
                </pt>
                <pt idx="159">
                  <v>2671.331378189641</v>
                </pt>
                <pt idx="160">
                  <v>2671.471848701411</v>
                </pt>
                <pt idx="161">
                  <v>2671.633960851677</v>
                </pt>
                <pt idx="162">
                  <v>2671.781689718158</v>
                </pt>
                <pt idx="163">
                  <v>2671.932834280975</v>
                </pt>
                <pt idx="164">
                  <v>2672.106954738668</v>
                </pt>
                <pt idx="165">
                  <v>2672.265357656196</v>
                </pt>
                <pt idx="166">
                  <v>2672.427176270058</v>
                </pt>
                <pt idx="167">
                  <v>2672.613305035179</v>
                </pt>
                <pt idx="168">
                  <v>2672.782382003753</v>
                </pt>
                <pt idx="169">
                  <v>2672.954874668662</v>
                </pt>
                <pt idx="170">
                  <v>2673.153011741209</v>
                </pt>
                <pt idx="171">
                  <v>2673.33276276083</v>
                </pt>
                <pt idx="172">
                  <v>2673.515929476785</v>
                </pt>
                <pt idx="173">
                  <v>2673.72607485676</v>
                </pt>
                <pt idx="174">
                  <v>2673.916499927426</v>
                </pt>
                <pt idx="175">
                  <v>2674.110340694428</v>
                </pt>
                <pt idx="176">
                  <v>2674.33249438183</v>
                </pt>
                <pt idx="177">
                  <v>2674.533593503543</v>
                </pt>
                <pt idx="178">
                  <v>2674.738108321591</v>
                </pt>
                <pt idx="179">
                  <v>2674.97227031642</v>
                </pt>
                <pt idx="180">
                  <v>2675.184043489179</v>
                </pt>
                <pt idx="181">
                  <v>2675.399232358273</v>
                </pt>
                <pt idx="182">
                  <v>2675.64540266053</v>
                </pt>
                <pt idx="183">
                  <v>2675.867849884336</v>
                </pt>
                <pt idx="184">
                  <v>2676.093712804476</v>
                </pt>
                <pt idx="185">
                  <v>2676.35189141416</v>
                </pt>
                <pt idx="186">
                  <v>2676.585012689012</v>
                </pt>
                <pt idx="187">
                  <v>2676.821549660199</v>
                </pt>
                <pt idx="188">
                  <v>2677.091736577309</v>
                </pt>
                <pt idx="189">
                  <v>2677.335531903208</v>
                </pt>
                <pt idx="190">
                  <v>2677.582742925441</v>
                </pt>
                <pt idx="191">
                  <v>2677.864938149979</v>
                </pt>
                <pt idx="192">
                  <v>2678.119407526923</v>
                </pt>
                <pt idx="193">
                  <v>2678.377292600203</v>
                </pt>
                <pt idx="194">
                  <v>2678.671496132168</v>
                </pt>
                <pt idx="195">
                  <v>2678.936639560159</v>
                </pt>
                <pt idx="196">
                  <v>2679.205198684485</v>
                </pt>
                <pt idx="197">
                  <v>2679.511410523876</v>
                </pt>
                <pt idx="198">
                  <v>2679.787228002914</v>
                </pt>
                <pt idx="199">
                  <v>2680.066461178286</v>
                </pt>
                <pt idx="200">
                  <v>2680.384681325105</v>
                </pt>
                <pt idx="201">
                  <v>2680.671172855189</v>
                </pt>
                <pt idx="202">
                  <v>2680.961080081608</v>
                </pt>
                <pt idx="203">
                  <v>2681.291308535854</v>
                </pt>
                <pt idx="204">
                  <v>2681.588474116984</v>
                </pt>
                <pt idx="205">
                  <v>2681.889055394449</v>
                </pt>
                <pt idx="206">
                  <v>2682.231292156122</v>
                </pt>
                <pt idx="207">
                  <v>2682.539131788299</v>
                </pt>
                <pt idx="208">
                  <v>2682.85038711681</v>
                </pt>
                <pt idx="209">
                  <v>2683.20463218591</v>
                </pt>
                <pt idx="210">
                  <v>2683.523145869133</v>
                </pt>
                <pt idx="211">
                  <v>2683.845075248691</v>
                </pt>
                <pt idx="212">
                  <v>2684.211328625219</v>
                </pt>
                <pt idx="213">
                  <v>2684.540516359488</v>
                </pt>
                <pt idx="214">
                  <v>2684.873119790092</v>
                </pt>
                <pt idx="215">
                  <v>2685.251381474046</v>
                </pt>
                <pt idx="216">
                  <v>2685.591243259362</v>
                </pt>
                <pt idx="217">
                  <v>2685.934520741012</v>
                </pt>
                <pt idx="218">
                  <v>2686.324790732394</v>
                </pt>
                <pt idx="219">
                  <v>2686.675326568756</v>
                </pt>
                <pt idx="220">
                  <v>2687.029278101453</v>
                </pt>
                <pt idx="221">
                  <v>2687.431556400261</v>
                </pt>
                <pt idx="222">
                  <v>2687.79276628767</v>
                </pt>
                <pt idx="223">
                  <v>2688.157391871413</v>
                </pt>
                <pt idx="224">
                  <v>2688.571678477649</v>
                </pt>
                <pt idx="225">
                  <v>2688.943562416103</v>
                </pt>
                <pt idx="226">
                  <v>2689.318862050893</v>
                </pt>
                <pt idx="227">
                  <v>2689.745156964556</v>
                </pt>
                <pt idx="228">
                  <v>2690.127714954057</v>
                </pt>
                <pt idx="229">
                  <v>2690.513688639892</v>
                </pt>
                <pt idx="230">
                  <v>2690.951991860983</v>
                </pt>
                <pt idx="231">
                  <v>2691.34522390153</v>
                </pt>
                <pt idx="232">
                  <v>2691.741871638412</v>
                </pt>
                <pt idx="233">
                  <v>2692.19218316693</v>
                </pt>
                <pt idx="234">
                  <v>2692.596089258523</v>
                </pt>
                <pt idx="235">
                  <v>2693.003411046452</v>
                </pt>
                <pt idx="236">
                  <v>2693.465730882396</v>
                </pt>
                <pt idx="237">
                  <v>2693.880311025036</v>
                </pt>
                <pt idx="238">
                  <v>2694.298306864011</v>
                </pt>
                <pt idx="239">
                  <v>2694.772635007383</v>
                </pt>
                <pt idx="240">
                  <v>2695.197889201068</v>
                </pt>
              </numCache>
            </numRef>
          </yVal>
          <smooth val="0"/>
        </ser>
        <ser>
          <idx val="1"/>
          <order val="1"/>
          <tx>
            <v>Paper low-altitude 35 km / 800 km pass</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Native_Chart_Data!$C$983:$C$1223</f>
              <numCache>
                <formatCode>General</formatCode>
                <ptCount val="241"/>
                <pt idx="0">
                  <v>-400</v>
                </pt>
                <pt idx="1">
                  <v>-396.8</v>
                </pt>
                <pt idx="2">
                  <v>-393.2</v>
                </pt>
                <pt idx="3">
                  <v>-390</v>
                </pt>
                <pt idx="4">
                  <v>-386.8</v>
                </pt>
                <pt idx="5">
                  <v>-383.2</v>
                </pt>
                <pt idx="6">
                  <v>-380</v>
                </pt>
                <pt idx="7">
                  <v>-376.8</v>
                </pt>
                <pt idx="8">
                  <v>-373.2</v>
                </pt>
                <pt idx="9">
                  <v>-370</v>
                </pt>
                <pt idx="10">
                  <v>-366.8</v>
                </pt>
                <pt idx="11">
                  <v>-363.2</v>
                </pt>
                <pt idx="12">
                  <v>-360</v>
                </pt>
                <pt idx="13">
                  <v>-356.8</v>
                </pt>
                <pt idx="14">
                  <v>-353.2</v>
                </pt>
                <pt idx="15">
                  <v>-350</v>
                </pt>
                <pt idx="16">
                  <v>-346.8</v>
                </pt>
                <pt idx="17">
                  <v>-343.2</v>
                </pt>
                <pt idx="18">
                  <v>-340</v>
                </pt>
                <pt idx="19">
                  <v>-336.8</v>
                </pt>
                <pt idx="20">
                  <v>-333.2</v>
                </pt>
                <pt idx="21">
                  <v>-330</v>
                </pt>
                <pt idx="22">
                  <v>-326.8</v>
                </pt>
                <pt idx="23">
                  <v>-323.2</v>
                </pt>
                <pt idx="24">
                  <v>-320</v>
                </pt>
                <pt idx="25">
                  <v>-316.8</v>
                </pt>
                <pt idx="26">
                  <v>-313.2</v>
                </pt>
                <pt idx="27">
                  <v>-310</v>
                </pt>
                <pt idx="28">
                  <v>-306.8</v>
                </pt>
                <pt idx="29">
                  <v>-303.2</v>
                </pt>
                <pt idx="30">
                  <v>-300</v>
                </pt>
                <pt idx="31">
                  <v>-296.8</v>
                </pt>
                <pt idx="32">
                  <v>-293.2</v>
                </pt>
                <pt idx="33">
                  <v>-290</v>
                </pt>
                <pt idx="34">
                  <v>-286.8</v>
                </pt>
                <pt idx="35">
                  <v>-283.2</v>
                </pt>
                <pt idx="36">
                  <v>-280</v>
                </pt>
                <pt idx="37">
                  <v>-276.8</v>
                </pt>
                <pt idx="38">
                  <v>-273.2</v>
                </pt>
                <pt idx="39">
                  <v>-270</v>
                </pt>
                <pt idx="40">
                  <v>-266.8</v>
                </pt>
                <pt idx="41">
                  <v>-263.2</v>
                </pt>
                <pt idx="42">
                  <v>-260</v>
                </pt>
                <pt idx="43">
                  <v>-256.8</v>
                </pt>
                <pt idx="44">
                  <v>-253.2</v>
                </pt>
                <pt idx="45">
                  <v>-250</v>
                </pt>
                <pt idx="46">
                  <v>-246.8</v>
                </pt>
                <pt idx="47">
                  <v>-243.2</v>
                </pt>
                <pt idx="48">
                  <v>-240</v>
                </pt>
                <pt idx="49">
                  <v>-236.8</v>
                </pt>
                <pt idx="50">
                  <v>-233.2</v>
                </pt>
                <pt idx="51">
                  <v>-230</v>
                </pt>
                <pt idx="52">
                  <v>-226.8</v>
                </pt>
                <pt idx="53">
                  <v>-223.2</v>
                </pt>
                <pt idx="54">
                  <v>-220</v>
                </pt>
                <pt idx="55">
                  <v>-216.8</v>
                </pt>
                <pt idx="56">
                  <v>-213.2</v>
                </pt>
                <pt idx="57">
                  <v>-210</v>
                </pt>
                <pt idx="58">
                  <v>-206.8</v>
                </pt>
                <pt idx="59">
                  <v>-203.2</v>
                </pt>
                <pt idx="60">
                  <v>-200</v>
                </pt>
                <pt idx="61">
                  <v>-196.8</v>
                </pt>
                <pt idx="62">
                  <v>-193.2</v>
                </pt>
                <pt idx="63">
                  <v>-190</v>
                </pt>
                <pt idx="64">
                  <v>-186.8</v>
                </pt>
                <pt idx="65">
                  <v>-183.2</v>
                </pt>
                <pt idx="66">
                  <v>-180</v>
                </pt>
                <pt idx="67">
                  <v>-176.8</v>
                </pt>
                <pt idx="68">
                  <v>-173.2</v>
                </pt>
                <pt idx="69">
                  <v>-170</v>
                </pt>
                <pt idx="70">
                  <v>-166.8</v>
                </pt>
                <pt idx="71">
                  <v>-163.2</v>
                </pt>
                <pt idx="72">
                  <v>-160</v>
                </pt>
                <pt idx="73">
                  <v>-156.8</v>
                </pt>
                <pt idx="74">
                  <v>-153.2</v>
                </pt>
                <pt idx="75">
                  <v>-150</v>
                </pt>
                <pt idx="76">
                  <v>-146.8</v>
                </pt>
                <pt idx="77">
                  <v>-143.2</v>
                </pt>
                <pt idx="78">
                  <v>-140</v>
                </pt>
                <pt idx="79">
                  <v>-136.8</v>
                </pt>
                <pt idx="80">
                  <v>-133.2</v>
                </pt>
                <pt idx="81">
                  <v>-130</v>
                </pt>
                <pt idx="82">
                  <v>-126.8</v>
                </pt>
                <pt idx="83">
                  <v>-123.2</v>
                </pt>
                <pt idx="84">
                  <v>-120</v>
                </pt>
                <pt idx="85">
                  <v>-116.8</v>
                </pt>
                <pt idx="86">
                  <v>-113.2</v>
                </pt>
                <pt idx="87">
                  <v>-110</v>
                </pt>
                <pt idx="88">
                  <v>-106.8</v>
                </pt>
                <pt idx="89">
                  <v>-103.2</v>
                </pt>
                <pt idx="90">
                  <v>-100</v>
                </pt>
                <pt idx="91">
                  <v>-96.80000000000001</v>
                </pt>
                <pt idx="92">
                  <v>-93.19999999999999</v>
                </pt>
                <pt idx="93">
                  <v>-90</v>
                </pt>
                <pt idx="94">
                  <v>-86.80000000000001</v>
                </pt>
                <pt idx="95">
                  <v>-83.19999999999999</v>
                </pt>
                <pt idx="96">
                  <v>-80</v>
                </pt>
                <pt idx="97">
                  <v>-76.79999999999995</v>
                </pt>
                <pt idx="98">
                  <v>-73.20000000000005</v>
                </pt>
                <pt idx="99">
                  <v>-70</v>
                </pt>
                <pt idx="100">
                  <v>-66.80000000000001</v>
                </pt>
                <pt idx="101">
                  <v>-63.19999999999999</v>
                </pt>
                <pt idx="102">
                  <v>-60</v>
                </pt>
                <pt idx="103">
                  <v>-56.80000000000001</v>
                </pt>
                <pt idx="104">
                  <v>-53.19999999999999</v>
                </pt>
                <pt idx="105">
                  <v>-50</v>
                </pt>
                <pt idx="106">
                  <v>-46.80000000000001</v>
                </pt>
                <pt idx="107">
                  <v>-43.19999999999999</v>
                </pt>
                <pt idx="108">
                  <v>-40</v>
                </pt>
                <pt idx="109">
                  <v>-36.80000000000001</v>
                </pt>
                <pt idx="110">
                  <v>-33.19999999999999</v>
                </pt>
                <pt idx="111">
                  <v>-30</v>
                </pt>
                <pt idx="112">
                  <v>-26.79999999999995</v>
                </pt>
                <pt idx="113">
                  <v>-23.20000000000005</v>
                </pt>
                <pt idx="114">
                  <v>-20</v>
                </pt>
                <pt idx="115">
                  <v>-16.80000000000001</v>
                </pt>
                <pt idx="116">
                  <v>-13.19999999999999</v>
                </pt>
                <pt idx="117">
                  <v>-10</v>
                </pt>
                <pt idx="118">
                  <v>-6.800000000000011</v>
                </pt>
                <pt idx="119">
                  <v>-3.199999999999989</v>
                </pt>
                <pt idx="120">
                  <v>0</v>
                </pt>
                <pt idx="121">
                  <v>3.199999999999989</v>
                </pt>
                <pt idx="122">
                  <v>6.799999999999955</v>
                </pt>
                <pt idx="123">
                  <v>9.999999999999943</v>
                </pt>
                <pt idx="124">
                  <v>13.19999999999999</v>
                </pt>
                <pt idx="125">
                  <v>16.80000000000001</v>
                </pt>
                <pt idx="126">
                  <v>20</v>
                </pt>
                <pt idx="127">
                  <v>23.20000000000005</v>
                </pt>
                <pt idx="128">
                  <v>26.79999999999995</v>
                </pt>
                <pt idx="129">
                  <v>30</v>
                </pt>
                <pt idx="130">
                  <v>33.19999999999999</v>
                </pt>
                <pt idx="131">
                  <v>36.80000000000001</v>
                </pt>
                <pt idx="132">
                  <v>40.00000000000006</v>
                </pt>
                <pt idx="133">
                  <v>43.20000000000005</v>
                </pt>
                <pt idx="134">
                  <v>46.80000000000001</v>
                </pt>
                <pt idx="135">
                  <v>50</v>
                </pt>
                <pt idx="136">
                  <v>53.19999999999999</v>
                </pt>
                <pt idx="137">
                  <v>56.79999999999995</v>
                </pt>
                <pt idx="138">
                  <v>59.99999999999994</v>
                </pt>
                <pt idx="139">
                  <v>63.19999999999999</v>
                </pt>
                <pt idx="140">
                  <v>66.80000000000001</v>
                </pt>
                <pt idx="141">
                  <v>70</v>
                </pt>
                <pt idx="142">
                  <v>73.20000000000005</v>
                </pt>
                <pt idx="143">
                  <v>76.79999999999995</v>
                </pt>
                <pt idx="144">
                  <v>80</v>
                </pt>
                <pt idx="145">
                  <v>83.19999999999999</v>
                </pt>
                <pt idx="146">
                  <v>86.80000000000001</v>
                </pt>
                <pt idx="147">
                  <v>90.00000000000006</v>
                </pt>
                <pt idx="148">
                  <v>93.20000000000005</v>
                </pt>
                <pt idx="149">
                  <v>96.80000000000001</v>
                </pt>
                <pt idx="150">
                  <v>100</v>
                </pt>
                <pt idx="151">
                  <v>103.2</v>
                </pt>
                <pt idx="152">
                  <v>106.8</v>
                </pt>
                <pt idx="153">
                  <v>109.9999999999999</v>
                </pt>
                <pt idx="154">
                  <v>113.1999999999999</v>
                </pt>
                <pt idx="155">
                  <v>116.8000000000001</v>
                </pt>
                <pt idx="156">
                  <v>120</v>
                </pt>
                <pt idx="157">
                  <v>123.2</v>
                </pt>
                <pt idx="158">
                  <v>126.8</v>
                </pt>
                <pt idx="159">
                  <v>130</v>
                </pt>
                <pt idx="160">
                  <v>133.1999999999999</v>
                </pt>
                <pt idx="161">
                  <v>136.8000000000001</v>
                </pt>
                <pt idx="162">
                  <v>140</v>
                </pt>
                <pt idx="163">
                  <v>143.2</v>
                </pt>
                <pt idx="164">
                  <v>146.8</v>
                </pt>
                <pt idx="165">
                  <v>150</v>
                </pt>
                <pt idx="166">
                  <v>153.2</v>
                </pt>
                <pt idx="167">
                  <v>156.8</v>
                </pt>
                <pt idx="168">
                  <v>160</v>
                </pt>
                <pt idx="169">
                  <v>163.1999999999999</v>
                </pt>
                <pt idx="170">
                  <v>166.8000000000001</v>
                </pt>
                <pt idx="171">
                  <v>170</v>
                </pt>
                <pt idx="172">
                  <v>173.2</v>
                </pt>
                <pt idx="173">
                  <v>176.8</v>
                </pt>
                <pt idx="174">
                  <v>180</v>
                </pt>
                <pt idx="175">
                  <v>183.1999999999999</v>
                </pt>
                <pt idx="176">
                  <v>186.8000000000001</v>
                </pt>
                <pt idx="177">
                  <v>190</v>
                </pt>
                <pt idx="178">
                  <v>193.2</v>
                </pt>
                <pt idx="179">
                  <v>196.8</v>
                </pt>
                <pt idx="180">
                  <v>200</v>
                </pt>
                <pt idx="181">
                  <v>203.2</v>
                </pt>
                <pt idx="182">
                  <v>206.8</v>
                </pt>
                <pt idx="183">
                  <v>210</v>
                </pt>
                <pt idx="184">
                  <v>213.1999999999999</v>
                </pt>
                <pt idx="185">
                  <v>216.8000000000001</v>
                </pt>
                <pt idx="186">
                  <v>220</v>
                </pt>
                <pt idx="187">
                  <v>223.2</v>
                </pt>
                <pt idx="188">
                  <v>226.8</v>
                </pt>
                <pt idx="189">
                  <v>230</v>
                </pt>
                <pt idx="190">
                  <v>233.1999999999999</v>
                </pt>
                <pt idx="191">
                  <v>236.8000000000001</v>
                </pt>
                <pt idx="192">
                  <v>240</v>
                </pt>
                <pt idx="193">
                  <v>243.2</v>
                </pt>
                <pt idx="194">
                  <v>246.8</v>
                </pt>
                <pt idx="195">
                  <v>250</v>
                </pt>
                <pt idx="196">
                  <v>253.2</v>
                </pt>
                <pt idx="197">
                  <v>256.8</v>
                </pt>
                <pt idx="198">
                  <v>260</v>
                </pt>
                <pt idx="199">
                  <v>263.1999999999999</v>
                </pt>
                <pt idx="200">
                  <v>266.8000000000001</v>
                </pt>
                <pt idx="201">
                  <v>270</v>
                </pt>
                <pt idx="202">
                  <v>273.2</v>
                </pt>
                <pt idx="203">
                  <v>276.8</v>
                </pt>
                <pt idx="204">
                  <v>280</v>
                </pt>
                <pt idx="205">
                  <v>283.1999999999999</v>
                </pt>
                <pt idx="206">
                  <v>286.8000000000001</v>
                </pt>
                <pt idx="207">
                  <v>290</v>
                </pt>
                <pt idx="208">
                  <v>293.2</v>
                </pt>
                <pt idx="209">
                  <v>296.8</v>
                </pt>
                <pt idx="210">
                  <v>300</v>
                </pt>
                <pt idx="211">
                  <v>303.2</v>
                </pt>
                <pt idx="212">
                  <v>306.8</v>
                </pt>
                <pt idx="213">
                  <v>310</v>
                </pt>
                <pt idx="214">
                  <v>313.1999999999999</v>
                </pt>
                <pt idx="215">
                  <v>316.8000000000001</v>
                </pt>
                <pt idx="216">
                  <v>320</v>
                </pt>
                <pt idx="217">
                  <v>323.2</v>
                </pt>
                <pt idx="218">
                  <v>326.8</v>
                </pt>
                <pt idx="219">
                  <v>330</v>
                </pt>
                <pt idx="220">
                  <v>333.1999999999999</v>
                </pt>
                <pt idx="221">
                  <v>336.8000000000001</v>
                </pt>
                <pt idx="222">
                  <v>340</v>
                </pt>
                <pt idx="223">
                  <v>343.2</v>
                </pt>
                <pt idx="224">
                  <v>346.8</v>
                </pt>
                <pt idx="225">
                  <v>350</v>
                </pt>
                <pt idx="226">
                  <v>353.2</v>
                </pt>
                <pt idx="227">
                  <v>356.8</v>
                </pt>
                <pt idx="228">
                  <v>360</v>
                </pt>
                <pt idx="229">
                  <v>363.1999999999999</v>
                </pt>
                <pt idx="230">
                  <v>366.8000000000001</v>
                </pt>
                <pt idx="231">
                  <v>370</v>
                </pt>
                <pt idx="232">
                  <v>373.2</v>
                </pt>
                <pt idx="233">
                  <v>376.8</v>
                </pt>
                <pt idx="234">
                  <v>380</v>
                </pt>
                <pt idx="235">
                  <v>383.1999999999999</v>
                </pt>
                <pt idx="236">
                  <v>386.8000000000001</v>
                </pt>
                <pt idx="237">
                  <v>390</v>
                </pt>
                <pt idx="238">
                  <v>393.2</v>
                </pt>
                <pt idx="239">
                  <v>396.8</v>
                </pt>
                <pt idx="240">
                  <v>400</v>
                </pt>
              </numCache>
            </numRef>
          </xVal>
          <yVal>
            <numRef>
              <f>Native_Chart_Data!$D$983:$D$1223</f>
              <numCache>
                <formatCode>General</formatCode>
                <ptCount val="241"/>
                <pt idx="0">
                  <v>2668.512761585217</v>
                </pt>
                <pt idx="1">
                  <v>2629.708316411349</v>
                </pt>
                <pt idx="2">
                  <v>2586.425873328674</v>
                </pt>
                <pt idx="3">
                  <v>2548.283753022232</v>
                </pt>
                <pt idx="4">
                  <v>2510.453315006343</v>
                </pt>
                <pt idx="5">
                  <v>2468.266629976395</v>
                </pt>
                <pt idx="6">
                  <v>2431.098516827931</v>
                </pt>
                <pt idx="7">
                  <v>2394.242085970021</v>
                </pt>
                <pt idx="8">
                  <v>2353.1511589928</v>
                </pt>
                <pt idx="9">
                  <v>2316.957053002314</v>
                </pt>
                <pt idx="10">
                  <v>2281.074629302383</v>
                </pt>
                <pt idx="11">
                  <v>2241.079460377885</v>
                </pt>
                <pt idx="12">
                  <v>2205.85936154538</v>
                </pt>
                <pt idx="13">
                  <v>2170.950945003427</v>
                </pt>
                <pt idx="14">
                  <v>2132.051534131656</v>
                </pt>
                <pt idx="15">
                  <v>2097.805442457128</v>
                </pt>
                <pt idx="16">
                  <v>2063.871033073153</v>
                </pt>
                <pt idx="17">
                  <v>2026.067380254109</v>
                </pt>
                <pt idx="18">
                  <v>1992.79529573756</v>
                </pt>
                <pt idx="19">
                  <v>1959.834893511564</v>
                </pt>
                <pt idx="20">
                  <v>1923.126998745246</v>
                </pt>
                <pt idx="21">
                  <v>1890.828921386674</v>
                </pt>
                <pt idx="22">
                  <v>1858.842526318657</v>
                </pt>
                <pt idx="23">
                  <v>1823.230389605065</v>
                </pt>
                <pt idx="24">
                  <v>1791.906319404473</v>
                </pt>
                <pt idx="25">
                  <v>1760.893931494434</v>
                </pt>
                <pt idx="26">
                  <v>1726.377552833568</v>
                </pt>
                <pt idx="27">
                  <v>1696.027489790954</v>
                </pt>
                <pt idx="28">
                  <v>1665.989109038894</v>
                </pt>
                <pt idx="29">
                  <v>1632.568488430753</v>
                </pt>
                <pt idx="30">
                  <v>1603.192432546118</v>
                </pt>
                <pt idx="31">
                  <v>1574.128058952037</v>
                </pt>
                <pt idx="32">
                  <v>1541.803196396622</v>
                </pt>
                <pt idx="33">
                  <v>1513.401147669966</v>
                </pt>
                <pt idx="34">
                  <v>1485.310781233862</v>
                </pt>
                <pt idx="35">
                  <v>1454.081676731174</v>
                </pt>
                <pt idx="36">
                  <v>1426.653635162496</v>
                </pt>
                <pt idx="37">
                  <v>1399.537275884371</v>
                </pt>
                <pt idx="38">
                  <v>1369.403929434409</v>
                </pt>
                <pt idx="39">
                  <v>1342.94989502371</v>
                </pt>
                <pt idx="40">
                  <v>1316.807542903565</v>
                </pt>
                <pt idx="41">
                  <v>1287.769954506328</v>
                </pt>
                <pt idx="42">
                  <v>1262.289927253607</v>
                </pt>
                <pt idx="43">
                  <v>1237.12158229144</v>
                </pt>
                <pt idx="44">
                  <v>1209.179751946929</v>
                </pt>
                <pt idx="45">
                  <v>1184.673731852187</v>
                </pt>
                <pt idx="46">
                  <v>1160.479394047998</v>
                </pt>
                <pt idx="47">
                  <v>1133.633321756213</v>
                </pt>
                <pt idx="48">
                  <v>1110.10130881945</v>
                </pt>
                <pt idx="49">
                  <v>1086.88097817324</v>
                </pt>
                <pt idx="50">
                  <v>1061.130663934181</v>
                </pt>
                <pt idx="51">
                  <v>1038.572658155396</v>
                </pt>
                <pt idx="52">
                  <v>1016.326334667165</v>
                </pt>
                <pt idx="53">
                  <v>991.6717784808318</v>
                </pt>
                <pt idx="54">
                  <v>970.0877798600259</v>
                </pt>
                <pt idx="55">
                  <v>948.8154635297731</v>
                </pt>
                <pt idx="56">
                  <v>925.2566653961659</v>
                </pt>
                <pt idx="57">
                  <v>904.6466739333382</v>
                </pt>
                <pt idx="58">
                  <v>884.3483647610641</v>
                </pt>
                <pt idx="59">
                  <v>861.8853246801826</v>
                </pt>
                <pt idx="60">
                  <v>842.2493403753339</v>
                </pt>
                <pt idx="61">
                  <v>822.9250383610386</v>
                </pt>
                <pt idx="62">
                  <v>801.5577563328827</v>
                </pt>
                <pt idx="63">
                  <v>782.8957791860126</v>
                </pt>
                <pt idx="64">
                  <v>764.545484329696</v>
                </pt>
                <pt idx="65">
                  <v>744.2739603542661</v>
                </pt>
                <pt idx="66">
                  <v>726.5859903653746</v>
                </pt>
                <pt idx="67">
                  <v>709.2097026670363</v>
                </pt>
                <pt idx="68">
                  <v>690.0339367443328</v>
                </pt>
                <pt idx="69">
                  <v>673.3199739134199</v>
                </pt>
                <pt idx="70">
                  <v>656.9176933730602</v>
                </pt>
                <pt idx="71">
                  <v>638.8376855030822</v>
                </pt>
                <pt idx="72">
                  <v>623.097729830148</v>
                </pt>
                <pt idx="73">
                  <v>607.6694564477671</v>
                </pt>
                <pt idx="74">
                  <v>590.685206630515</v>
                </pt>
                <pt idx="75">
                  <v>575.9192581155594</v>
                </pt>
                <pt idx="76">
                  <v>561.464991891157</v>
                </pt>
                <pt idx="77">
                  <v>545.576500126631</v>
                </pt>
                <pt idx="78">
                  <v>531.7845587696538</v>
                </pt>
                <pt idx="79">
                  <v>518.3042997032301</v>
                </pt>
                <pt idx="80">
                  <v>503.51156599143</v>
                </pt>
                <pt idx="81">
                  <v>490.6936317924316</v>
                </pt>
                <pt idx="82">
                  <v>478.1873798839861</v>
                </pt>
                <pt idx="83">
                  <v>464.4904042249124</v>
                </pt>
                <pt idx="84">
                  <v>452.6464771838923</v>
                </pt>
                <pt idx="85">
                  <v>441.1142324334257</v>
                </pt>
                <pt idx="86">
                  <v>428.5130148270775</v>
                </pt>
                <pt idx="87">
                  <v>417.6430949440363</v>
                </pt>
                <pt idx="88">
                  <v>407.0848573515482</v>
                </pt>
                <pt idx="89">
                  <v>395.5793977979259</v>
                </pt>
                <pt idx="90">
                  <v>385.6834850728633</v>
                </pt>
                <pt idx="91">
                  <v>376.0992546383538</v>
                </pt>
                <pt idx="92">
                  <v>365.6895531374575</v>
                </pt>
                <pt idx="93">
                  <v>356.7676475703735</v>
                </pt>
                <pt idx="94">
                  <v>348.1574242938427</v>
                </pt>
                <pt idx="95">
                  <v>338.8434808456722</v>
                </pt>
                <pt idx="96">
                  <v>330.8955824365668</v>
                </pt>
                <pt idx="97">
                  <v>323.2593663180145</v>
                </pt>
                <pt idx="98">
                  <v>315.0411809225702</v>
                </pt>
                <pt idx="99">
                  <v>308.0672896714433</v>
                </pt>
                <pt idx="100">
                  <v>301.4050807108696</v>
                </pt>
                <pt idx="101">
                  <v>294.2826533681511</v>
                </pt>
                <pt idx="102">
                  <v>288.2827692750029</v>
                </pt>
                <pt idx="103">
                  <v>282.5945674724079</v>
                </pt>
                <pt idx="104">
                  <v>276.5678981824153</v>
                </pt>
                <pt idx="105">
                  <v>271.5420212472457</v>
                </pt>
                <pt idx="106">
                  <v>266.8278266026293</v>
                </pt>
                <pt idx="107">
                  <v>261.8969153653625</v>
                </pt>
                <pt idx="108">
                  <v>257.8450455881715</v>
                </pt>
                <pt idx="109">
                  <v>254.1048581015337</v>
                </pt>
                <pt idx="110">
                  <v>250.269704916993</v>
                </pt>
                <pt idx="111">
                  <v>247.1918422977805</v>
                </pt>
                <pt idx="112">
                  <v>244.4256619691213</v>
                </pt>
                <pt idx="113">
                  <v>241.6862668373066</v>
                </pt>
                <pt idx="114">
                  <v>239.5824113760727</v>
                </pt>
                <pt idx="115">
                  <v>237.7902382053921</v>
                </pt>
                <pt idx="116">
                  <v>236.1466011263032</v>
                </pt>
                <pt idx="117">
                  <v>235.016752823048</v>
                </pt>
                <pt idx="118">
                  <v>234.198586810346</v>
                </pt>
                <pt idx="119">
                  <v>233.650707783983</v>
                </pt>
                <pt idx="120">
                  <v>233.4948666387064</v>
                </pt>
                <pt idx="121">
                  <v>233.650707783983</v>
                </pt>
                <pt idx="122">
                  <v>234.198586810346</v>
                </pt>
                <pt idx="123">
                  <v>235.016752823048</v>
                </pt>
                <pt idx="124">
                  <v>236.1466011263032</v>
                </pt>
                <pt idx="125">
                  <v>237.7902382053921</v>
                </pt>
                <pt idx="126">
                  <v>239.5824113760727</v>
                </pt>
                <pt idx="127">
                  <v>241.6862668373066</v>
                </pt>
                <pt idx="128">
                  <v>244.4256619691213</v>
                </pt>
                <pt idx="129">
                  <v>247.1918422977805</v>
                </pt>
                <pt idx="130">
                  <v>250.269704916993</v>
                </pt>
                <pt idx="131">
                  <v>254.1048581015337</v>
                </pt>
                <pt idx="132">
                  <v>257.8450455881716</v>
                </pt>
                <pt idx="133">
                  <v>261.8969153653626</v>
                </pt>
                <pt idx="134">
                  <v>266.8278266026293</v>
                </pt>
                <pt idx="135">
                  <v>271.5420212472457</v>
                </pt>
                <pt idx="136">
                  <v>276.5678981824153</v>
                </pt>
                <pt idx="137">
                  <v>282.5945674724078</v>
                </pt>
                <pt idx="138">
                  <v>288.2827692750028</v>
                </pt>
                <pt idx="139">
                  <v>294.2826533681511</v>
                </pt>
                <pt idx="140">
                  <v>301.4050807108696</v>
                </pt>
                <pt idx="141">
                  <v>308.0672896714433</v>
                </pt>
                <pt idx="142">
                  <v>315.0411809225702</v>
                </pt>
                <pt idx="143">
                  <v>323.2593663180145</v>
                </pt>
                <pt idx="144">
                  <v>330.8955824365668</v>
                </pt>
                <pt idx="145">
                  <v>338.8434808456722</v>
                </pt>
                <pt idx="146">
                  <v>348.1574242938427</v>
                </pt>
                <pt idx="147">
                  <v>356.7676475703736</v>
                </pt>
                <pt idx="148">
                  <v>365.6895531374577</v>
                </pt>
                <pt idx="149">
                  <v>376.0992546383538</v>
                </pt>
                <pt idx="150">
                  <v>385.6834850728633</v>
                </pt>
                <pt idx="151">
                  <v>395.5793977979259</v>
                </pt>
                <pt idx="152">
                  <v>407.0848573515481</v>
                </pt>
                <pt idx="153">
                  <v>417.6430949440361</v>
                </pt>
                <pt idx="154">
                  <v>428.5130148270773</v>
                </pt>
                <pt idx="155">
                  <v>441.114232433426</v>
                </pt>
                <pt idx="156">
                  <v>452.6464771838923</v>
                </pt>
                <pt idx="157">
                  <v>464.4904042249124</v>
                </pt>
                <pt idx="158">
                  <v>478.1873798839861</v>
                </pt>
                <pt idx="159">
                  <v>490.6936317924316</v>
                </pt>
                <pt idx="160">
                  <v>503.5115659914297</v>
                </pt>
                <pt idx="161">
                  <v>518.3042997032304</v>
                </pt>
                <pt idx="162">
                  <v>531.7845587696538</v>
                </pt>
                <pt idx="163">
                  <v>545.5765001266311</v>
                </pt>
                <pt idx="164">
                  <v>561.4649918911567</v>
                </pt>
                <pt idx="165">
                  <v>575.9192581155594</v>
                </pt>
                <pt idx="166">
                  <v>590.6852066305153</v>
                </pt>
                <pt idx="167">
                  <v>607.6694564477666</v>
                </pt>
                <pt idx="168">
                  <v>623.097729830148</v>
                </pt>
                <pt idx="169">
                  <v>638.8376855030817</v>
                </pt>
                <pt idx="170">
                  <v>656.9176933730604</v>
                </pt>
                <pt idx="171">
                  <v>673.3199739134197</v>
                </pt>
                <pt idx="172">
                  <v>690.0339367443329</v>
                </pt>
                <pt idx="173">
                  <v>709.2097026670361</v>
                </pt>
                <pt idx="174">
                  <v>726.5859903653748</v>
                </pt>
                <pt idx="175">
                  <v>744.2739603542658</v>
                </pt>
                <pt idx="176">
                  <v>764.5454843296961</v>
                </pt>
                <pt idx="177">
                  <v>782.8957791860126</v>
                </pt>
                <pt idx="178">
                  <v>801.5577563328829</v>
                </pt>
                <pt idx="179">
                  <v>822.9250383610382</v>
                </pt>
                <pt idx="180">
                  <v>842.2493403753339</v>
                </pt>
                <pt idx="181">
                  <v>861.8853246801829</v>
                </pt>
                <pt idx="182">
                  <v>884.3483647610641</v>
                </pt>
                <pt idx="183">
                  <v>904.6466739333382</v>
                </pt>
                <pt idx="184">
                  <v>925.256665396165</v>
                </pt>
                <pt idx="185">
                  <v>948.8154635297733</v>
                </pt>
                <pt idx="186">
                  <v>970.0877798600259</v>
                </pt>
                <pt idx="187">
                  <v>991.671778480832</v>
                </pt>
                <pt idx="188">
                  <v>1016.326334667165</v>
                </pt>
                <pt idx="189">
                  <v>1038.572658155396</v>
                </pt>
                <pt idx="190">
                  <v>1061.13066393418</v>
                </pt>
                <pt idx="191">
                  <v>1086.880978173241</v>
                </pt>
                <pt idx="192">
                  <v>1110.10130881945</v>
                </pt>
                <pt idx="193">
                  <v>1133.633321756213</v>
                </pt>
                <pt idx="194">
                  <v>1160.479394047998</v>
                </pt>
                <pt idx="195">
                  <v>1184.673731852187</v>
                </pt>
                <pt idx="196">
                  <v>1209.179751946929</v>
                </pt>
                <pt idx="197">
                  <v>1237.12158229144</v>
                </pt>
                <pt idx="198">
                  <v>1262.289927253607</v>
                </pt>
                <pt idx="199">
                  <v>1287.769954506326</v>
                </pt>
                <pt idx="200">
                  <v>1316.807542903565</v>
                </pt>
                <pt idx="201">
                  <v>1342.94989502371</v>
                </pt>
                <pt idx="202">
                  <v>1369.403929434409</v>
                </pt>
                <pt idx="203">
                  <v>1399.537275884371</v>
                </pt>
                <pt idx="204">
                  <v>1426.653635162496</v>
                </pt>
                <pt idx="205">
                  <v>1454.081676731173</v>
                </pt>
                <pt idx="206">
                  <v>1485.310781233863</v>
                </pt>
                <pt idx="207">
                  <v>1513.401147669966</v>
                </pt>
                <pt idx="208">
                  <v>1541.803196396622</v>
                </pt>
                <pt idx="209">
                  <v>1574.128058952037</v>
                </pt>
                <pt idx="210">
                  <v>1603.192432546118</v>
                </pt>
                <pt idx="211">
                  <v>1632.568488430754</v>
                </pt>
                <pt idx="212">
                  <v>1665.989109038893</v>
                </pt>
                <pt idx="213">
                  <v>1696.027489790954</v>
                </pt>
                <pt idx="214">
                  <v>1726.377552833566</v>
                </pt>
                <pt idx="215">
                  <v>1760.893931494435</v>
                </pt>
                <pt idx="216">
                  <v>1791.906319404473</v>
                </pt>
                <pt idx="217">
                  <v>1823.230389605065</v>
                </pt>
                <pt idx="218">
                  <v>1858.842526318657</v>
                </pt>
                <pt idx="219">
                  <v>1890.828921386674</v>
                </pt>
                <pt idx="220">
                  <v>1923.126998745245</v>
                </pt>
                <pt idx="221">
                  <v>1959.834893511565</v>
                </pt>
                <pt idx="222">
                  <v>1992.79529573756</v>
                </pt>
                <pt idx="223">
                  <v>2026.067380254109</v>
                </pt>
                <pt idx="224">
                  <v>2063.871033073153</v>
                </pt>
                <pt idx="225">
                  <v>2097.805442457128</v>
                </pt>
                <pt idx="226">
                  <v>2132.051534131657</v>
                </pt>
                <pt idx="227">
                  <v>2170.950945003426</v>
                </pt>
                <pt idx="228">
                  <v>2205.85936154538</v>
                </pt>
                <pt idx="229">
                  <v>2241.079460377885</v>
                </pt>
                <pt idx="230">
                  <v>2281.074629302383</v>
                </pt>
                <pt idx="231">
                  <v>2316.957053002314</v>
                </pt>
                <pt idx="232">
                  <v>2353.1511589928</v>
                </pt>
                <pt idx="233">
                  <v>2394.242085970021</v>
                </pt>
                <pt idx="234">
                  <v>2431.098516827931</v>
                </pt>
                <pt idx="235">
                  <v>2468.266629976394</v>
                </pt>
                <pt idx="236">
                  <v>2510.453315006344</v>
                </pt>
                <pt idx="237">
                  <v>2548.283753022232</v>
                </pt>
                <pt idx="238">
                  <v>2586.425873328675</v>
                </pt>
                <pt idx="239">
                  <v>2629.708316411348</v>
                </pt>
                <pt idx="240">
                  <v>2668.512761585217</v>
                </pt>
              </numCache>
            </numRef>
          </yVal>
          <smooth val="0"/>
        </ser>
        <ser>
          <idx val="2"/>
          <order val="2"/>
          <tx>
            <v>Paper ice-ocean 35 km / 1600 km pass</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Native_Chart_Data!$E$983:$E$1223</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Native_Chart_Data!$F$983:$F$1223</f>
              <numCache>
                <formatCode>General</formatCode>
                <ptCount val="241"/>
                <pt idx="0">
                  <v>6671.281903963041</v>
                </pt>
                <pt idx="1">
                  <v>6568.689329736241</v>
                </pt>
                <pt idx="2">
                  <v>6454.2576651478</v>
                </pt>
                <pt idx="3">
                  <v>6353.416168995152</v>
                </pt>
                <pt idx="4">
                  <v>6253.398709583282</v>
                </pt>
                <pt idx="5">
                  <v>6141.864049161637</v>
                </pt>
                <pt idx="6">
                  <v>6043.597667823918</v>
                </pt>
                <pt idx="7">
                  <v>5946.155323226975</v>
                </pt>
                <pt idx="8">
                  <v>5837.51766697213</v>
                </pt>
                <pt idx="9">
                  <v>5741.82640044934</v>
                </pt>
                <pt idx="10">
                  <v>5646.959170667329</v>
                </pt>
                <pt idx="11">
                  <v>5541.218518579276</v>
                </pt>
                <pt idx="12">
                  <v>5448.102366871419</v>
                </pt>
                <pt idx="13">
                  <v>5355.810251904337</v>
                </pt>
                <pt idx="14">
                  <v>5252.966603983079</v>
                </pt>
                <pt idx="15">
                  <v>5162.42556709015</v>
                </pt>
                <pt idx="16">
                  <v>5072.708566937998</v>
                </pt>
                <pt idx="17">
                  <v>4972.761923183538</v>
                </pt>
                <pt idx="18">
                  <v>4884.796001105537</v>
                </pt>
                <pt idx="19">
                  <v>4797.654115768317</v>
                </pt>
                <pt idx="20">
                  <v>4700.604476180652</v>
                </pt>
                <pt idx="21">
                  <v>4615.213668917581</v>
                </pt>
                <pt idx="22">
                  <v>4530.646898395288</v>
                </pt>
                <pt idx="23">
                  <v>4436.494262974422</v>
                </pt>
                <pt idx="24">
                  <v>4353.678570526281</v>
                </pt>
                <pt idx="25">
                  <v>4271.686914818919</v>
                </pt>
                <pt idx="26">
                  <v>4180.431283564847</v>
                </pt>
                <pt idx="27">
                  <v>4100.190705931635</v>
                </pt>
                <pt idx="28">
                  <v>4020.774165039202</v>
                </pt>
                <pt idx="29">
                  <v>3932.415537951925</v>
                </pt>
                <pt idx="30">
                  <v>3854.750075133645</v>
                </pt>
                <pt idx="31">
                  <v>3777.908649056141</v>
                </pt>
                <pt idx="32">
                  <v>3692.447026135661</v>
                </pt>
                <pt idx="33">
                  <v>3617.356678132311</v>
                </pt>
                <pt idx="34">
                  <v>3543.090366869735</v>
                </pt>
                <pt idx="35">
                  <v>3460.525748116051</v>
                </pt>
                <pt idx="36">
                  <v>3388.01051492763</v>
                </pt>
                <pt idx="37">
                  <v>3316.319318479985</v>
                </pt>
                <pt idx="38">
                  <v>3236.651703893099</v>
                </pt>
                <pt idx="39">
                  <v>3166.711585519607</v>
                </pt>
                <pt idx="40">
                  <v>3097.595503886892</v>
                </pt>
                <pt idx="41">
                  <v>3020.824893466801</v>
                </pt>
                <pt idx="42">
                  <v>2953.459889908238</v>
                </pt>
                <pt idx="43">
                  <v>2886.918923090454</v>
                </pt>
                <pt idx="44">
                  <v>2813.045316837157</v>
                </pt>
                <pt idx="45">
                  <v>2748.255428093525</v>
                </pt>
                <pt idx="46">
                  <v>2684.28957609067</v>
                </pt>
                <pt idx="47">
                  <v>2613.312974004169</v>
                </pt>
                <pt idx="48">
                  <v>2551.098200075467</v>
                </pt>
                <pt idx="49">
                  <v>2489.707462887542</v>
                </pt>
                <pt idx="50">
                  <v>2421.627864967837</v>
                </pt>
                <pt idx="51">
                  <v>2361.988205854064</v>
                </pt>
                <pt idx="52">
                  <v>2303.172583481069</v>
                </pt>
                <pt idx="53">
                  <v>2237.989989728161</v>
                </pt>
                <pt idx="54">
                  <v>2180.925445429318</v>
                </pt>
                <pt idx="55">
                  <v>2124.684937871252</v>
                </pt>
                <pt idx="56">
                  <v>2062.399348285139</v>
                </pt>
                <pt idx="57">
                  <v>2007.909918801226</v>
                </pt>
                <pt idx="58">
                  <v>1954.24452605809</v>
                </pt>
                <pt idx="59">
                  <v>1894.855940638774</v>
                </pt>
                <pt idx="60">
                  <v>1842.94162596979</v>
                </pt>
                <pt idx="61">
                  <v>1791.851348041584</v>
                </pt>
                <pt idx="62">
                  <v>1735.359766789063</v>
                </pt>
                <pt idx="63">
                  <v>1686.020566935009</v>
                </pt>
                <pt idx="64">
                  <v>1637.505403821734</v>
                </pt>
                <pt idx="65">
                  <v>1583.910826736008</v>
                </pt>
                <pt idx="66">
                  <v>1537.146741696884</v>
                </pt>
                <pt idx="67">
                  <v>1491.206693398537</v>
                </pt>
                <pt idx="68">
                  <v>1440.509120479609</v>
                </pt>
                <pt idx="69">
                  <v>1396.320150255415</v>
                </pt>
                <pt idx="70">
                  <v>1352.955216771998</v>
                </pt>
                <pt idx="71">
                  <v>1305.154648019864</v>
                </pt>
                <pt idx="72">
                  <v>1263.5407926106</v>
                </pt>
                <pt idx="73">
                  <v>1222.750973942113</v>
                </pt>
                <pt idx="74">
                  <v>1177.847409356775</v>
                </pt>
                <pt idx="75">
                  <v>1138.808668762441</v>
                </pt>
                <pt idx="76">
                  <v>1100.593964908884</v>
                </pt>
                <pt idx="77">
                  <v>1058.587404490342</v>
                </pt>
                <pt idx="78">
                  <v>1022.123778710937</v>
                </pt>
                <pt idx="79">
                  <v>986.4841896723101</v>
                </pt>
                <pt idx="80">
                  <v>947.3746334205645</v>
                </pt>
                <pt idx="81">
                  <v>913.4861224560894</v>
                </pt>
                <pt idx="82">
                  <v>880.421648232391</v>
                </pt>
                <pt idx="83">
                  <v>844.2090961474427</v>
                </pt>
                <pt idx="84">
                  <v>812.8956999978966</v>
                </pt>
                <pt idx="85">
                  <v>782.4063405891286</v>
                </pt>
                <pt idx="86">
                  <v>749.090792670975</v>
                </pt>
                <pt idx="87">
                  <v>720.3525113363593</v>
                </pt>
                <pt idx="88">
                  <v>692.4382667425209</v>
                </pt>
                <pt idx="89">
                  <v>662.0197229911632</v>
                </pt>
                <pt idx="90">
                  <v>635.8565564714773</v>
                </pt>
                <pt idx="91">
                  <v>610.5174266925688</v>
                </pt>
                <pt idx="92">
                  <v>582.9958871080072</v>
                </pt>
                <pt idx="93">
                  <v>559.4078354032508</v>
                </pt>
                <pt idx="94">
                  <v>536.6438204392722</v>
                </pt>
                <pt idx="95">
                  <v>512.0192850215063</v>
                </pt>
                <pt idx="96">
                  <v>491.0063481316799</v>
                </pt>
                <pt idx="97">
                  <v>470.8174479826305</v>
                </pt>
                <pt idx="98">
                  <v>449.0899167316613</v>
                </pt>
                <pt idx="99">
                  <v>430.6520946567642</v>
                </pt>
                <pt idx="100">
                  <v>413.0383093226449</v>
                </pt>
                <pt idx="101">
                  <v>394.2077822384711</v>
                </pt>
                <pt idx="102">
                  <v>378.345074978504</v>
                </pt>
                <pt idx="103">
                  <v>363.3064044593144</v>
                </pt>
                <pt idx="104">
                  <v>347.3728815419365</v>
                </pt>
                <pt idx="105">
                  <v>334.0852890968991</v>
                </pt>
                <pt idx="106">
                  <v>321.6217333926393</v>
                </pt>
                <pt idx="107">
                  <v>308.5852146420575</v>
                </pt>
                <pt idx="108">
                  <v>297.8727370119498</v>
                </pt>
                <pt idx="109">
                  <v>287.9842961226196</v>
                </pt>
                <pt idx="110">
                  <v>277.8447815388337</v>
                </pt>
                <pt idx="111">
                  <v>269.7074187236558</v>
                </pt>
                <pt idx="112">
                  <v>262.3940926492553</v>
                </pt>
                <pt idx="113">
                  <v>255.1515822322656</v>
                </pt>
                <pt idx="114">
                  <v>249.5893342320173</v>
                </pt>
                <pt idx="115">
                  <v>244.8511229725466</v>
                </pt>
                <pt idx="116">
                  <v>240.5056167223526</v>
                </pt>
                <pt idx="117">
                  <v>237.5184835370341</v>
                </pt>
                <pt idx="118">
                  <v>235.3553870924932</v>
                </pt>
                <pt idx="119">
                  <v>233.9068850090952</v>
                </pt>
                <pt idx="120">
                  <v>233.4948666387064</v>
                </pt>
                <pt idx="121">
                  <v>233.9068850090952</v>
                </pt>
                <pt idx="122">
                  <v>235.3553870924931</v>
                </pt>
                <pt idx="123">
                  <v>237.5184835370341</v>
                </pt>
                <pt idx="124">
                  <v>240.5056167223526</v>
                </pt>
                <pt idx="125">
                  <v>244.8511229725466</v>
                </pt>
                <pt idx="126">
                  <v>249.5893342320173</v>
                </pt>
                <pt idx="127">
                  <v>255.1515822322656</v>
                </pt>
                <pt idx="128">
                  <v>262.3940926492553</v>
                </pt>
                <pt idx="129">
                  <v>269.7074187236558</v>
                </pt>
                <pt idx="130">
                  <v>277.8447815388337</v>
                </pt>
                <pt idx="131">
                  <v>287.9842961226196</v>
                </pt>
                <pt idx="132">
                  <v>297.87273701195</v>
                </pt>
                <pt idx="133">
                  <v>308.5852146420577</v>
                </pt>
                <pt idx="134">
                  <v>321.6217333926393</v>
                </pt>
                <pt idx="135">
                  <v>334.0852890968991</v>
                </pt>
                <pt idx="136">
                  <v>347.3728815419365</v>
                </pt>
                <pt idx="137">
                  <v>363.3064044593141</v>
                </pt>
                <pt idx="138">
                  <v>378.3450749785037</v>
                </pt>
                <pt idx="139">
                  <v>394.2077822384711</v>
                </pt>
                <pt idx="140">
                  <v>413.0383093226449</v>
                </pt>
                <pt idx="141">
                  <v>430.6520946567642</v>
                </pt>
                <pt idx="142">
                  <v>449.0899167316613</v>
                </pt>
                <pt idx="143">
                  <v>470.8174479826305</v>
                </pt>
                <pt idx="144">
                  <v>491.0063481316799</v>
                </pt>
                <pt idx="145">
                  <v>512.0192850215063</v>
                </pt>
                <pt idx="146">
                  <v>536.6438204392722</v>
                </pt>
                <pt idx="147">
                  <v>559.4078354032513</v>
                </pt>
                <pt idx="148">
                  <v>582.9958871080077</v>
                </pt>
                <pt idx="149">
                  <v>610.5174266925688</v>
                </pt>
                <pt idx="150">
                  <v>635.8565564714773</v>
                </pt>
                <pt idx="151">
                  <v>662.0197229911632</v>
                </pt>
                <pt idx="152">
                  <v>692.4382667425206</v>
                </pt>
                <pt idx="153">
                  <v>720.3525113363587</v>
                </pt>
                <pt idx="154">
                  <v>749.0907926709743</v>
                </pt>
                <pt idx="155">
                  <v>782.4063405891291</v>
                </pt>
                <pt idx="156">
                  <v>812.8956999978966</v>
                </pt>
                <pt idx="157">
                  <v>844.2090961474427</v>
                </pt>
                <pt idx="158">
                  <v>880.421648232391</v>
                </pt>
                <pt idx="159">
                  <v>913.4861224560894</v>
                </pt>
                <pt idx="160">
                  <v>947.3746334205639</v>
                </pt>
                <pt idx="161">
                  <v>986.484189672311</v>
                </pt>
                <pt idx="162">
                  <v>1022.123778710937</v>
                </pt>
                <pt idx="163">
                  <v>1058.587404490343</v>
                </pt>
                <pt idx="164">
                  <v>1100.593964908883</v>
                </pt>
                <pt idx="165">
                  <v>1138.808668762441</v>
                </pt>
                <pt idx="166">
                  <v>1177.847409356776</v>
                </pt>
                <pt idx="167">
                  <v>1222.750973942112</v>
                </pt>
                <pt idx="168">
                  <v>1263.5407926106</v>
                </pt>
                <pt idx="169">
                  <v>1305.154648019864</v>
                </pt>
                <pt idx="170">
                  <v>1352.955216771998</v>
                </pt>
                <pt idx="171">
                  <v>1396.320150255414</v>
                </pt>
                <pt idx="172">
                  <v>1440.509120479609</v>
                </pt>
                <pt idx="173">
                  <v>1491.206693398537</v>
                </pt>
                <pt idx="174">
                  <v>1537.146741696884</v>
                </pt>
                <pt idx="175">
                  <v>1583.910826736007</v>
                </pt>
                <pt idx="176">
                  <v>1637.505403821734</v>
                </pt>
                <pt idx="177">
                  <v>1686.020566935009</v>
                </pt>
                <pt idx="178">
                  <v>1735.359766789064</v>
                </pt>
                <pt idx="179">
                  <v>1791.851348041584</v>
                </pt>
                <pt idx="180">
                  <v>1842.94162596979</v>
                </pt>
                <pt idx="181">
                  <v>1894.855940638774</v>
                </pt>
                <pt idx="182">
                  <v>1954.24452605809</v>
                </pt>
                <pt idx="183">
                  <v>2007.909918801226</v>
                </pt>
                <pt idx="184">
                  <v>2062.399348285137</v>
                </pt>
                <pt idx="185">
                  <v>2124.684937871253</v>
                </pt>
                <pt idx="186">
                  <v>2180.925445429318</v>
                </pt>
                <pt idx="187">
                  <v>2237.989989728162</v>
                </pt>
                <pt idx="188">
                  <v>2303.172583481068</v>
                </pt>
                <pt idx="189">
                  <v>2361.988205854064</v>
                </pt>
                <pt idx="190">
                  <v>2421.627864967836</v>
                </pt>
                <pt idx="191">
                  <v>2489.707462887543</v>
                </pt>
                <pt idx="192">
                  <v>2551.098200075467</v>
                </pt>
                <pt idx="193">
                  <v>2613.31297400417</v>
                </pt>
                <pt idx="194">
                  <v>2684.289576090669</v>
                </pt>
                <pt idx="195">
                  <v>2748.255428093525</v>
                </pt>
                <pt idx="196">
                  <v>2813.045316837158</v>
                </pt>
                <pt idx="197">
                  <v>2886.918923090452</v>
                </pt>
                <pt idx="198">
                  <v>2953.459889908238</v>
                </pt>
                <pt idx="199">
                  <v>3020.824893466798</v>
                </pt>
                <pt idx="200">
                  <v>3097.595503886894</v>
                </pt>
                <pt idx="201">
                  <v>3166.711585519607</v>
                </pt>
                <pt idx="202">
                  <v>3236.651703893099</v>
                </pt>
                <pt idx="203">
                  <v>3316.319318479985</v>
                </pt>
                <pt idx="204">
                  <v>3388.01051492763</v>
                </pt>
                <pt idx="205">
                  <v>3460.525748116051</v>
                </pt>
                <pt idx="206">
                  <v>3543.090366869737</v>
                </pt>
                <pt idx="207">
                  <v>3617.356678132311</v>
                </pt>
                <pt idx="208">
                  <v>3692.447026135661</v>
                </pt>
                <pt idx="209">
                  <v>3777.90864905614</v>
                </pt>
                <pt idx="210">
                  <v>3854.750075133645</v>
                </pt>
                <pt idx="211">
                  <v>3932.415537951927</v>
                </pt>
                <pt idx="212">
                  <v>4020.7741650392</v>
                </pt>
                <pt idx="213">
                  <v>4100.190705931635</v>
                </pt>
                <pt idx="214">
                  <v>4180.431283564842</v>
                </pt>
                <pt idx="215">
                  <v>4271.68691481892</v>
                </pt>
                <pt idx="216">
                  <v>4353.678570526281</v>
                </pt>
                <pt idx="217">
                  <v>4436.494262974422</v>
                </pt>
                <pt idx="218">
                  <v>4530.646898395288</v>
                </pt>
                <pt idx="219">
                  <v>4615.213668917581</v>
                </pt>
                <pt idx="220">
                  <v>4700.604476180651</v>
                </pt>
                <pt idx="221">
                  <v>4797.654115768319</v>
                </pt>
                <pt idx="222">
                  <v>4884.796001105537</v>
                </pt>
                <pt idx="223">
                  <v>4972.761923183538</v>
                </pt>
                <pt idx="224">
                  <v>5072.708566937997</v>
                </pt>
                <pt idx="225">
                  <v>5162.42556709015</v>
                </pt>
                <pt idx="226">
                  <v>5252.96660398308</v>
                </pt>
                <pt idx="227">
                  <v>5355.810251904335</v>
                </pt>
                <pt idx="228">
                  <v>5448.102366871419</v>
                </pt>
                <pt idx="229">
                  <v>5541.218518579275</v>
                </pt>
                <pt idx="230">
                  <v>5646.95917066733</v>
                </pt>
                <pt idx="231">
                  <v>5741.82640044934</v>
                </pt>
                <pt idx="232">
                  <v>5837.51766697213</v>
                </pt>
                <pt idx="233">
                  <v>5946.155323226975</v>
                </pt>
                <pt idx="234">
                  <v>6043.597667823918</v>
                </pt>
                <pt idx="235">
                  <v>6141.864049161635</v>
                </pt>
                <pt idx="236">
                  <v>6253.398709583284</v>
                </pt>
                <pt idx="237">
                  <v>6353.416168995152</v>
                </pt>
                <pt idx="238">
                  <v>6454.257665147801</v>
                </pt>
                <pt idx="239">
                  <v>6568.689329736239</v>
                </pt>
                <pt idx="240">
                  <v>6671.281903963041</v>
                </pt>
              </numCache>
            </numRef>
          </yVal>
          <smooth val="0"/>
        </ser>
        <ser>
          <idx val="3"/>
          <order val="3"/>
          <tx>
            <v>Operating 25 km / 1600 km pass</v>
          </tx>
          <spPr>
            <a:ln xmlns:a="http://schemas.openxmlformats.org/drawingml/2006/main" w="19050">
              <a:solidFill>
                <a:srgbClr val="7C3AED"/>
              </a:solidFill>
              <a:prstDash val="solid"/>
            </a:ln>
          </spPr>
          <marker>
            <symbol val="none"/>
            <spPr>
              <a:ln xmlns:a="http://schemas.openxmlformats.org/drawingml/2006/main">
                <a:prstDash val="solid"/>
              </a:ln>
            </spPr>
          </marker>
          <xVal>
            <numRef>
              <f>Native_Chart_Data!$G$983:$G$1223</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Native_Chart_Data!$H$983:$H$1223</f>
              <numCache>
                <formatCode>General</formatCode>
                <ptCount val="241"/>
                <pt idx="0">
                  <v>6671.281903963041</v>
                </pt>
                <pt idx="1">
                  <v>6567.626194252024</v>
                </pt>
                <pt idx="2">
                  <v>6452.008709305155</v>
                </pt>
                <pt idx="3">
                  <v>6350.12222355507</v>
                </pt>
                <pt idx="4">
                  <v>6249.068313786602</v>
                </pt>
                <pt idx="5">
                  <v>6136.377853775093</v>
                </pt>
                <pt idx="6">
                  <v>6037.093167967554</v>
                </pt>
                <pt idx="7">
                  <v>5938.641058141628</v>
                </pt>
                <pt idx="8">
                  <v>5828.87762306549</v>
                </pt>
                <pt idx="9">
                  <v>5732.194737200494</v>
                </pt>
                <pt idx="10">
                  <v>5636.344427317114</v>
                </pt>
                <pt idx="11">
                  <v>5529.508017176336</v>
                </pt>
                <pt idx="12">
                  <v>5435.426931253887</v>
                </pt>
                <pt idx="13">
                  <v>5342.178421313054</v>
                </pt>
                <pt idx="14">
                  <v>5238.269036107639</v>
                </pt>
                <pt idx="15">
                  <v>5146.789750127737</v>
                </pt>
                <pt idx="16">
                  <v>5056.143040129448</v>
                </pt>
                <pt idx="17">
                  <v>4955.160679859398</v>
                </pt>
                <pt idx="18">
                  <v>4866.28319382204</v>
                </pt>
                <pt idx="19">
                  <v>4778.238283766299</v>
                </pt>
                <pt idx="20">
                  <v>4680.182948431611</v>
                </pt>
                <pt idx="21">
                  <v>4593.907262336798</v>
                </pt>
                <pt idx="22">
                  <v>4508.464152223602</v>
                </pt>
                <pt idx="23">
                  <v>4413.335841824281</v>
                </pt>
                <pt idx="24">
                  <v>4329.661955672014</v>
                </pt>
                <pt idx="25">
                  <v>4246.820645501362</v>
                </pt>
                <pt idx="26">
                  <v>4154.619360037404</v>
                </pt>
                <pt idx="27">
                  <v>4073.547273827683</v>
                </pt>
                <pt idx="28">
                  <v>3993.307763599577</v>
                </pt>
                <pt idx="29">
                  <v>3904.033503070981</v>
                </pt>
                <pt idx="30">
                  <v>3825.563216803806</v>
                </pt>
                <pt idx="31">
                  <v>3747.925506518246</v>
                </pt>
                <pt idx="32">
                  <v>3661.578270925015</v>
                </pt>
                <pt idx="33">
                  <v>3585.709784600385</v>
                </pt>
                <pt idx="34">
                  <v>3510.67387425737</v>
                </pt>
                <pt idx="35">
                  <v>3427.253663599502</v>
                </pt>
                <pt idx="36">
                  <v>3353.986977217418</v>
                </pt>
                <pt idx="37">
                  <v>3281.552866816948</v>
                </pt>
                <pt idx="38">
                  <v>3201.059681094447</v>
                </pt>
                <pt idx="39">
                  <v>3130.394794654908</v>
                </pt>
                <pt idx="40">
                  <v>3060.562484196984</v>
                </pt>
                <pt idx="41">
                  <v>2982.996323409845</v>
                </pt>
                <pt idx="42">
                  <v>2914.933236912851</v>
                </pt>
                <pt idx="43">
                  <v>2847.702726397474</v>
                </pt>
                <pt idx="44">
                  <v>2773.063590545697</v>
                </pt>
                <pt idx="45">
                  <v>2707.60230399125</v>
                </pt>
                <pt idx="46">
                  <v>2642.973593418418</v>
                </pt>
                <pt idx="47">
                  <v>2571.261482502005</v>
                </pt>
                <pt idx="48">
                  <v>2508.401995890104</v>
                </pt>
                <pt idx="49">
                  <v>2446.375085259816</v>
                </pt>
                <pt idx="50">
                  <v>2377.589999278768</v>
                </pt>
                <pt idx="51">
                  <v>2317.332312609411</v>
                </pt>
                <pt idx="52">
                  <v>2257.907201921671</v>
                </pt>
                <pt idx="53">
                  <v>2192.049140875986</v>
                </pt>
                <pt idx="54">
                  <v>2134.393254149176</v>
                </pt>
                <pt idx="55">
                  <v>2077.56994340398</v>
                </pt>
                <pt idx="56">
                  <v>2014.638907293659</v>
                </pt>
                <pt idx="57">
                  <v>1959.584820509394</v>
                </pt>
                <pt idx="58">
                  <v>1905.363309706744</v>
                </pt>
                <pt idx="59">
                  <v>1845.359298531786</v>
                </pt>
                <pt idx="60">
                  <v>1792.907011690067</v>
                </pt>
                <pt idx="61">
                  <v>1741.287300829963</v>
                </pt>
                <pt idx="62">
                  <v>1684.210314590369</v>
                </pt>
                <pt idx="63">
                  <v>1634.359827691196</v>
                </pt>
                <pt idx="64">
                  <v>1585.341916773637</v>
                </pt>
                <pt idx="65">
                  <v>1531.191955469407</v>
                </pt>
                <pt idx="66">
                  <v>1483.943268512779</v>
                </pt>
                <pt idx="67">
                  <v>1437.527157537766</v>
                </pt>
                <pt idx="68">
                  <v>1386.3042211689</v>
                </pt>
                <pt idx="69">
                  <v>1341.657334154817</v>
                </pt>
                <pt idx="70">
                  <v>1297.84302312235</v>
                </pt>
                <pt idx="71">
                  <v>1249.547111688847</v>
                </pt>
                <pt idx="72">
                  <v>1207.502024617311</v>
                </pt>
                <pt idx="73">
                  <v>1166.289513527388</v>
                </pt>
                <pt idx="74">
                  <v>1120.920627029249</v>
                </pt>
                <pt idx="75">
                  <v>1081.477339900259</v>
                </pt>
                <pt idx="76">
                  <v>1042.866628752882</v>
                </pt>
                <pt idx="77">
                  <v>1000.424767190107</v>
                </pt>
                <pt idx="78">
                  <v>963.5832800036617</v>
                </pt>
                <pt idx="79">
                  <v>927.574368798831</v>
                </pt>
                <pt idx="80">
                  <v>888.0595321714195</v>
                </pt>
                <pt idx="81">
                  <v>853.8198449275199</v>
                </pt>
                <pt idx="82">
                  <v>820.4127336652341</v>
                </pt>
                <pt idx="83">
                  <v>783.8249219731875</v>
                </pt>
                <pt idx="84">
                  <v>752.1870346718329</v>
                </pt>
                <pt idx="85">
                  <v>721.3817233520933</v>
                </pt>
                <pt idx="86">
                  <v>687.7209365954095</v>
                </pt>
                <pt idx="87">
                  <v>658.6848492366009</v>
                </pt>
                <pt idx="88">
                  <v>630.4813378594068</v>
                </pt>
                <pt idx="89">
                  <v>599.7475760380869</v>
                </pt>
                <pt idx="90">
                  <v>573.3132886218239</v>
                </pt>
                <pt idx="91">
                  <v>547.7115771871754</v>
                </pt>
                <pt idx="92">
                  <v>519.9048403012193</v>
                </pt>
                <pt idx="93">
                  <v>496.0723528275018</v>
                </pt>
                <pt idx="94">
                  <v>473.0724413353988</v>
                </pt>
                <pt idx="95">
                  <v>448.1927293848065</v>
                </pt>
                <pt idx="96">
                  <v>426.9620418536346</v>
                </pt>
                <pt idx="97">
                  <v>406.563930304077</v>
                </pt>
                <pt idx="98">
                  <v>384.6112432888491</v>
                </pt>
                <pt idx="99">
                  <v>365.9823557002225</v>
                </pt>
                <pt idx="100">
                  <v>348.1860440932107</v>
                </pt>
                <pt idx="101">
                  <v>329.160382013346</v>
                </pt>
                <pt idx="102">
                  <v>313.1332943672653</v>
                </pt>
                <pt idx="103">
                  <v>297.9387827027991</v>
                </pt>
                <pt idx="104">
                  <v>281.8401455582982</v>
                </pt>
                <pt idx="105">
                  <v>268.414857854763</v>
                </pt>
                <pt idx="106">
                  <v>255.8221461328424</v>
                </pt>
                <pt idx="107">
                  <v>242.6505339237053</v>
                </pt>
                <pt idx="108">
                  <v>231.8270461627157</v>
                </pt>
                <pt idx="109">
                  <v>221.8361343833407</v>
                </pt>
                <pt idx="110">
                  <v>211.5915471095673</v>
                </pt>
                <pt idx="111">
                  <v>203.3698592911233</v>
                </pt>
                <pt idx="112">
                  <v>195.9807474542938</v>
                </pt>
                <pt idx="113">
                  <v>188.6631851158845</v>
                </pt>
                <pt idx="114">
                  <v>183.0432972399859</v>
                </pt>
                <pt idx="115">
                  <v>178.2559853457021</v>
                </pt>
                <pt idx="116">
                  <v>173.8654479426564</v>
                </pt>
                <pt idx="117">
                  <v>170.8473600093035</v>
                </pt>
                <pt idx="118">
                  <v>168.6618480575652</v>
                </pt>
                <pt idx="119">
                  <v>167.1983355898833</v>
                </pt>
                <pt idx="120">
                  <v>166.782047599076</v>
                </pt>
                <pt idx="121">
                  <v>167.1983355898833</v>
                </pt>
                <pt idx="122">
                  <v>168.6618480575652</v>
                </pt>
                <pt idx="123">
                  <v>170.8473600093034</v>
                </pt>
                <pt idx="124">
                  <v>173.8654479426564</v>
                </pt>
                <pt idx="125">
                  <v>178.2559853457021</v>
                </pt>
                <pt idx="126">
                  <v>183.0432972399859</v>
                </pt>
                <pt idx="127">
                  <v>188.6631851158845</v>
                </pt>
                <pt idx="128">
                  <v>195.9807474542938</v>
                </pt>
                <pt idx="129">
                  <v>203.3698592911233</v>
                </pt>
                <pt idx="130">
                  <v>211.5915471095673</v>
                </pt>
                <pt idx="131">
                  <v>221.8361343833407</v>
                </pt>
                <pt idx="132">
                  <v>231.8270461627159</v>
                </pt>
                <pt idx="133">
                  <v>242.6505339237055</v>
                </pt>
                <pt idx="134">
                  <v>255.8221461328424</v>
                </pt>
                <pt idx="135">
                  <v>268.414857854763</v>
                </pt>
                <pt idx="136">
                  <v>281.8401455582982</v>
                </pt>
                <pt idx="137">
                  <v>297.9387827027988</v>
                </pt>
                <pt idx="138">
                  <v>313.1332943672649</v>
                </pt>
                <pt idx="139">
                  <v>329.160382013346</v>
                </pt>
                <pt idx="140">
                  <v>348.1860440932107</v>
                </pt>
                <pt idx="141">
                  <v>365.9823557002225</v>
                </pt>
                <pt idx="142">
                  <v>384.6112432888491</v>
                </pt>
                <pt idx="143">
                  <v>406.563930304077</v>
                </pt>
                <pt idx="144">
                  <v>426.9620418536346</v>
                </pt>
                <pt idx="145">
                  <v>448.1927293848065</v>
                </pt>
                <pt idx="146">
                  <v>473.0724413353988</v>
                </pt>
                <pt idx="147">
                  <v>496.0723528275021</v>
                </pt>
                <pt idx="148">
                  <v>519.9048403012197</v>
                </pt>
                <pt idx="149">
                  <v>547.7115771871754</v>
                </pt>
                <pt idx="150">
                  <v>573.3132886218239</v>
                </pt>
                <pt idx="151">
                  <v>599.7475760380869</v>
                </pt>
                <pt idx="152">
                  <v>630.4813378594064</v>
                </pt>
                <pt idx="153">
                  <v>658.6848492366003</v>
                </pt>
                <pt idx="154">
                  <v>687.7209365954091</v>
                </pt>
                <pt idx="155">
                  <v>721.3817233520938</v>
                </pt>
                <pt idx="156">
                  <v>752.1870346718329</v>
                </pt>
                <pt idx="157">
                  <v>783.8249219731875</v>
                </pt>
                <pt idx="158">
                  <v>820.4127336652341</v>
                </pt>
                <pt idx="159">
                  <v>853.8198449275199</v>
                </pt>
                <pt idx="160">
                  <v>888.0595321714191</v>
                </pt>
                <pt idx="161">
                  <v>927.5743687988318</v>
                </pt>
                <pt idx="162">
                  <v>963.5832800036617</v>
                </pt>
                <pt idx="163">
                  <v>1000.424767190108</v>
                </pt>
                <pt idx="164">
                  <v>1042.866628752882</v>
                </pt>
                <pt idx="165">
                  <v>1081.477339900259</v>
                </pt>
                <pt idx="166">
                  <v>1120.92062702925</v>
                </pt>
                <pt idx="167">
                  <v>1166.289513527388</v>
                </pt>
                <pt idx="168">
                  <v>1207.502024617311</v>
                </pt>
                <pt idx="169">
                  <v>1249.547111688846</v>
                </pt>
                <pt idx="170">
                  <v>1297.84302312235</v>
                </pt>
                <pt idx="171">
                  <v>1341.657334154817</v>
                </pt>
                <pt idx="172">
                  <v>1386.3042211689</v>
                </pt>
                <pt idx="173">
                  <v>1437.527157537765</v>
                </pt>
                <pt idx="174">
                  <v>1483.943268512779</v>
                </pt>
                <pt idx="175">
                  <v>1531.191955469406</v>
                </pt>
                <pt idx="176">
                  <v>1585.341916773638</v>
                </pt>
                <pt idx="177">
                  <v>1634.359827691196</v>
                </pt>
                <pt idx="178">
                  <v>1684.21031459037</v>
                </pt>
                <pt idx="179">
                  <v>1741.287300829962</v>
                </pt>
                <pt idx="180">
                  <v>1792.907011690067</v>
                </pt>
                <pt idx="181">
                  <v>1845.359298531787</v>
                </pt>
                <pt idx="182">
                  <v>1905.363309706743</v>
                </pt>
                <pt idx="183">
                  <v>1959.584820509394</v>
                </pt>
                <pt idx="184">
                  <v>2014.638907293657</v>
                </pt>
                <pt idx="185">
                  <v>2077.569943403981</v>
                </pt>
                <pt idx="186">
                  <v>2134.393254149176</v>
                </pt>
                <pt idx="187">
                  <v>2192.049140875987</v>
                </pt>
                <pt idx="188">
                  <v>2257.90720192167</v>
                </pt>
                <pt idx="189">
                  <v>2317.332312609411</v>
                </pt>
                <pt idx="190">
                  <v>2377.589999278767</v>
                </pt>
                <pt idx="191">
                  <v>2446.375085259819</v>
                </pt>
                <pt idx="192">
                  <v>2508.401995890104</v>
                </pt>
                <pt idx="193">
                  <v>2571.261482502005</v>
                </pt>
                <pt idx="194">
                  <v>2642.973593418417</v>
                </pt>
                <pt idx="195">
                  <v>2707.60230399125</v>
                </pt>
                <pt idx="196">
                  <v>2773.063590545697</v>
                </pt>
                <pt idx="197">
                  <v>2847.702726397472</v>
                </pt>
                <pt idx="198">
                  <v>2914.933236912851</v>
                </pt>
                <pt idx="199">
                  <v>2982.996323409842</v>
                </pt>
                <pt idx="200">
                  <v>3060.562484196985</v>
                </pt>
                <pt idx="201">
                  <v>3130.394794654908</v>
                </pt>
                <pt idx="202">
                  <v>3201.059681094447</v>
                </pt>
                <pt idx="203">
                  <v>3281.552866816948</v>
                </pt>
                <pt idx="204">
                  <v>3353.986977217418</v>
                </pt>
                <pt idx="205">
                  <v>3427.253663599502</v>
                </pt>
                <pt idx="206">
                  <v>3510.673874257372</v>
                </pt>
                <pt idx="207">
                  <v>3585.709784600385</v>
                </pt>
                <pt idx="208">
                  <v>3661.578270925016</v>
                </pt>
                <pt idx="209">
                  <v>3747.925506518246</v>
                </pt>
                <pt idx="210">
                  <v>3825.563216803806</v>
                </pt>
                <pt idx="211">
                  <v>3904.033503070983</v>
                </pt>
                <pt idx="212">
                  <v>3993.307763599576</v>
                </pt>
                <pt idx="213">
                  <v>4073.547273827683</v>
                </pt>
                <pt idx="214">
                  <v>4154.619360037401</v>
                </pt>
                <pt idx="215">
                  <v>4246.820645501364</v>
                </pt>
                <pt idx="216">
                  <v>4329.661955672014</v>
                </pt>
                <pt idx="217">
                  <v>4413.335841824281</v>
                </pt>
                <pt idx="218">
                  <v>4508.464152223602</v>
                </pt>
                <pt idx="219">
                  <v>4593.907262336798</v>
                </pt>
                <pt idx="220">
                  <v>4680.182948431609</v>
                </pt>
                <pt idx="221">
                  <v>4778.2382837663</v>
                </pt>
                <pt idx="222">
                  <v>4866.28319382204</v>
                </pt>
                <pt idx="223">
                  <v>4955.160679859399</v>
                </pt>
                <pt idx="224">
                  <v>5056.143040129447</v>
                </pt>
                <pt idx="225">
                  <v>5146.789750127737</v>
                </pt>
                <pt idx="226">
                  <v>5238.269036107641</v>
                </pt>
                <pt idx="227">
                  <v>5342.178421313052</v>
                </pt>
                <pt idx="228">
                  <v>5435.426931253887</v>
                </pt>
                <pt idx="229">
                  <v>5529.508017176334</v>
                </pt>
                <pt idx="230">
                  <v>5636.344427317115</v>
                </pt>
                <pt idx="231">
                  <v>5732.194737200494</v>
                </pt>
                <pt idx="232">
                  <v>5828.87762306549</v>
                </pt>
                <pt idx="233">
                  <v>5938.641058141628</v>
                </pt>
                <pt idx="234">
                  <v>6037.093167967554</v>
                </pt>
                <pt idx="235">
                  <v>6136.377853775092</v>
                </pt>
                <pt idx="236">
                  <v>6249.068313786602</v>
                </pt>
                <pt idx="237">
                  <v>6350.12222355507</v>
                </pt>
                <pt idx="238">
                  <v>6452.008709305157</v>
                </pt>
                <pt idx="239">
                  <v>6567.626194252023</v>
                </pt>
                <pt idx="240">
                  <v>6671.281903963041</v>
                </pt>
              </numCache>
            </numRef>
          </yVal>
          <smooth val="0"/>
        </ser>
        <dLbls>
          <showLegendKey val="0"/>
          <showVal val="0"/>
          <showCatName val="0"/>
          <showSerName val="0"/>
          <showPercent val="0"/>
          <showBubbleSize val="0"/>
        </dLbls>
        <axId val="700010"/>
        <axId val="700011"/>
      </scatterChart>
      <valAx>
        <axId val="700010"/>
        <scaling>
          <orientation val="minMax"/>
          <max val="1000"/>
          <min val="-10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11"/>
        <crosses val="min"/>
        <crossBetween val="midCat"/>
        <majorUnit val="500"/>
      </valAx>
      <valAx>
        <axId val="700011"/>
        <scaling>
          <orientation val="minMax"/>
          <max val="12000"/>
          <min val="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Two-way return delay (microseconds)</a:t>
                </a:r>
              </a:p>
            </rich>
          </tx>
          <overlay val="0"/>
        </title>
        <numFmt formatCode="General" sourceLinked="0"/>
        <majorTickMark val="none"/>
        <minorTickMark val="none"/>
        <tickLblPos val="nextTo"/>
        <crossAx val="700010"/>
        <crosses val="min"/>
        <crossBetween val="midCat"/>
        <majorUnit val="20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6.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Nadir Radar Delay by Flyby: With Generated Topography</a:t>
            </a:r>
          </a:p>
        </rich>
      </tx>
      <overlay val="0"/>
    </title>
    <plotArea>
      <layout/>
      <scatterChart>
        <scatterStyle val="lineMarker"/>
        <varyColors val="0"/>
        <ser>
          <idx val="0"/>
          <order val="0"/>
          <tx>
            <v>Custom 400 km / 120 km pass</v>
          </tx>
          <spPr>
            <a:ln xmlns:a="http://schemas.openxmlformats.org/drawingml/2006/main" w="19050">
              <a:solidFill>
                <a:srgbClr val="0E74CA"/>
              </a:solidFill>
              <a:prstDash val="solid"/>
            </a:ln>
          </spPr>
          <marker>
            <symbol val="none"/>
            <spPr>
              <a:ln xmlns:a="http://schemas.openxmlformats.org/drawingml/2006/main">
                <a:prstDash val="solid"/>
              </a:ln>
            </spPr>
          </marker>
          <xVal>
            <numRef>
              <f>Native_Chart_Data!$A$1228:$A$1468</f>
              <numCache>
                <formatCode>General</formatCode>
                <ptCount val="241"/>
                <pt idx="0">
                  <v>-60</v>
                </pt>
                <pt idx="1">
                  <v>-59.52</v>
                </pt>
                <pt idx="2">
                  <v>-58.98</v>
                </pt>
                <pt idx="3">
                  <v>-58.5</v>
                </pt>
                <pt idx="4">
                  <v>-58.02</v>
                </pt>
                <pt idx="5">
                  <v>-57.48</v>
                </pt>
                <pt idx="6">
                  <v>-57</v>
                </pt>
                <pt idx="7">
                  <v>-56.52</v>
                </pt>
                <pt idx="8">
                  <v>-55.98</v>
                </pt>
                <pt idx="9">
                  <v>-55.5</v>
                </pt>
                <pt idx="10">
                  <v>-55.02</v>
                </pt>
                <pt idx="11">
                  <v>-54.48</v>
                </pt>
                <pt idx="12">
                  <v>-54</v>
                </pt>
                <pt idx="13">
                  <v>-53.52</v>
                </pt>
                <pt idx="14">
                  <v>-52.98</v>
                </pt>
                <pt idx="15">
                  <v>-52.5</v>
                </pt>
                <pt idx="16">
                  <v>-52.02</v>
                </pt>
                <pt idx="17">
                  <v>-51.48</v>
                </pt>
                <pt idx="18">
                  <v>-51</v>
                </pt>
                <pt idx="19">
                  <v>-50.52</v>
                </pt>
                <pt idx="20">
                  <v>-49.98</v>
                </pt>
                <pt idx="21">
                  <v>-49.5</v>
                </pt>
                <pt idx="22">
                  <v>-49.02</v>
                </pt>
                <pt idx="23">
                  <v>-48.48</v>
                </pt>
                <pt idx="24">
                  <v>-48</v>
                </pt>
                <pt idx="25">
                  <v>-47.52</v>
                </pt>
                <pt idx="26">
                  <v>-46.98</v>
                </pt>
                <pt idx="27">
                  <v>-46.5</v>
                </pt>
                <pt idx="28">
                  <v>-46.02</v>
                </pt>
                <pt idx="29">
                  <v>-45.48</v>
                </pt>
                <pt idx="30">
                  <v>-45</v>
                </pt>
                <pt idx="31">
                  <v>-44.52</v>
                </pt>
                <pt idx="32">
                  <v>-43.98</v>
                </pt>
                <pt idx="33">
                  <v>-43.5</v>
                </pt>
                <pt idx="34">
                  <v>-43.02</v>
                </pt>
                <pt idx="35">
                  <v>-42.48</v>
                </pt>
                <pt idx="36">
                  <v>-42</v>
                </pt>
                <pt idx="37">
                  <v>-41.52</v>
                </pt>
                <pt idx="38">
                  <v>-40.98</v>
                </pt>
                <pt idx="39">
                  <v>-40.5</v>
                </pt>
                <pt idx="40">
                  <v>-40.02</v>
                </pt>
                <pt idx="41">
                  <v>-39.48</v>
                </pt>
                <pt idx="42">
                  <v>-39</v>
                </pt>
                <pt idx="43">
                  <v>-38.52</v>
                </pt>
                <pt idx="44">
                  <v>-37.98</v>
                </pt>
                <pt idx="45">
                  <v>-37.5</v>
                </pt>
                <pt idx="46">
                  <v>-37.02</v>
                </pt>
                <pt idx="47">
                  <v>-36.48</v>
                </pt>
                <pt idx="48">
                  <v>-36</v>
                </pt>
                <pt idx="49">
                  <v>-35.52</v>
                </pt>
                <pt idx="50">
                  <v>-34.98</v>
                </pt>
                <pt idx="51">
                  <v>-34.5</v>
                </pt>
                <pt idx="52">
                  <v>-34.02</v>
                </pt>
                <pt idx="53">
                  <v>-33.48</v>
                </pt>
                <pt idx="54">
                  <v>-33</v>
                </pt>
                <pt idx="55">
                  <v>-32.52</v>
                </pt>
                <pt idx="56">
                  <v>-31.98</v>
                </pt>
                <pt idx="57">
                  <v>-31.5</v>
                </pt>
                <pt idx="58">
                  <v>-31.02</v>
                </pt>
                <pt idx="59">
                  <v>-30.48</v>
                </pt>
                <pt idx="60">
                  <v>-30</v>
                </pt>
                <pt idx="61">
                  <v>-29.52</v>
                </pt>
                <pt idx="62">
                  <v>-28.98</v>
                </pt>
                <pt idx="63">
                  <v>-28.5</v>
                </pt>
                <pt idx="64">
                  <v>-28.02</v>
                </pt>
                <pt idx="65">
                  <v>-27.48</v>
                </pt>
                <pt idx="66">
                  <v>-27</v>
                </pt>
                <pt idx="67">
                  <v>-26.52</v>
                </pt>
                <pt idx="68">
                  <v>-25.98</v>
                </pt>
                <pt idx="69">
                  <v>-25.5</v>
                </pt>
                <pt idx="70">
                  <v>-25.02</v>
                </pt>
                <pt idx="71">
                  <v>-24.48</v>
                </pt>
                <pt idx="72">
                  <v>-24</v>
                </pt>
                <pt idx="73">
                  <v>-23.52</v>
                </pt>
                <pt idx="74">
                  <v>-22.98</v>
                </pt>
                <pt idx="75">
                  <v>-22.5</v>
                </pt>
                <pt idx="76">
                  <v>-22.02</v>
                </pt>
                <pt idx="77">
                  <v>-21.48</v>
                </pt>
                <pt idx="78">
                  <v>-21</v>
                </pt>
                <pt idx="79">
                  <v>-20.52</v>
                </pt>
                <pt idx="80">
                  <v>-19.98</v>
                </pt>
                <pt idx="81">
                  <v>-19.5</v>
                </pt>
                <pt idx="82">
                  <v>-19.02</v>
                </pt>
                <pt idx="83">
                  <v>-18.48</v>
                </pt>
                <pt idx="84">
                  <v>-18</v>
                </pt>
                <pt idx="85">
                  <v>-17.52</v>
                </pt>
                <pt idx="86">
                  <v>-16.98</v>
                </pt>
                <pt idx="87">
                  <v>-16.5</v>
                </pt>
                <pt idx="88">
                  <v>-16.02</v>
                </pt>
                <pt idx="89">
                  <v>-15.48</v>
                </pt>
                <pt idx="90">
                  <v>-15</v>
                </pt>
                <pt idx="91">
                  <v>-14.52</v>
                </pt>
                <pt idx="92">
                  <v>-13.98</v>
                </pt>
                <pt idx="93">
                  <v>-13.5</v>
                </pt>
                <pt idx="94">
                  <v>-13.02</v>
                </pt>
                <pt idx="95">
                  <v>-12.48</v>
                </pt>
                <pt idx="96">
                  <v>-12</v>
                </pt>
                <pt idx="97">
                  <v>-11.52</v>
                </pt>
                <pt idx="98">
                  <v>-10.98</v>
                </pt>
                <pt idx="99">
                  <v>-10.5</v>
                </pt>
                <pt idx="100">
                  <v>-10.02</v>
                </pt>
                <pt idx="101">
                  <v>-9.480000000000004</v>
                </pt>
                <pt idx="102">
                  <v>-9</v>
                </pt>
                <pt idx="103">
                  <v>-8.520000000000003</v>
                </pt>
                <pt idx="104">
                  <v>-7.980000000000004</v>
                </pt>
                <pt idx="105">
                  <v>-7.5</v>
                </pt>
                <pt idx="106">
                  <v>-7.019999999999996</v>
                </pt>
                <pt idx="107">
                  <v>-6.479999999999997</v>
                </pt>
                <pt idx="108">
                  <v>-6</v>
                </pt>
                <pt idx="109">
                  <v>-5.519999999999996</v>
                </pt>
                <pt idx="110">
                  <v>-4.979999999999997</v>
                </pt>
                <pt idx="111">
                  <v>-4.5</v>
                </pt>
                <pt idx="112">
                  <v>-4.019999999999996</v>
                </pt>
                <pt idx="113">
                  <v>-3.480000000000004</v>
                </pt>
                <pt idx="114">
                  <v>-3</v>
                </pt>
                <pt idx="115">
                  <v>-2.520000000000003</v>
                </pt>
                <pt idx="116">
                  <v>-1.980000000000004</v>
                </pt>
                <pt idx="117">
                  <v>-1.5</v>
                </pt>
                <pt idx="118">
                  <v>-1.020000000000003</v>
                </pt>
                <pt idx="119">
                  <v>-0.480000000000004</v>
                </pt>
                <pt idx="120">
                  <v>0</v>
                </pt>
                <pt idx="121">
                  <v>0.480000000000004</v>
                </pt>
                <pt idx="122">
                  <v>1.019999999999996</v>
                </pt>
                <pt idx="123">
                  <v>1.499999999999993</v>
                </pt>
                <pt idx="124">
                  <v>1.979999999999997</v>
                </pt>
                <pt idx="125">
                  <v>2.520000000000003</v>
                </pt>
                <pt idx="126">
                  <v>3</v>
                </pt>
                <pt idx="127">
                  <v>3.480000000000004</v>
                </pt>
                <pt idx="128">
                  <v>4.019999999999996</v>
                </pt>
                <pt idx="129">
                  <v>4.5</v>
                </pt>
                <pt idx="130">
                  <v>4.980000000000004</v>
                </pt>
                <pt idx="131">
                  <v>5.52000000000001</v>
                </pt>
                <pt idx="132">
                  <v>6</v>
                </pt>
                <pt idx="133">
                  <v>6.480000000000004</v>
                </pt>
                <pt idx="134">
                  <v>7.019999999999996</v>
                </pt>
                <pt idx="135">
                  <v>7.5</v>
                </pt>
                <pt idx="136">
                  <v>7.980000000000004</v>
                </pt>
                <pt idx="137">
                  <v>8.519999999999996</v>
                </pt>
                <pt idx="138">
                  <v>9</v>
                </pt>
                <pt idx="139">
                  <v>9.47999999999999</v>
                </pt>
                <pt idx="140">
                  <v>10.02</v>
                </pt>
                <pt idx="141">
                  <v>10.5</v>
                </pt>
                <pt idx="142">
                  <v>10.98</v>
                </pt>
                <pt idx="143">
                  <v>11.52</v>
                </pt>
                <pt idx="144">
                  <v>12</v>
                </pt>
                <pt idx="145">
                  <v>12.48</v>
                </pt>
                <pt idx="146">
                  <v>13.02000000000001</v>
                </pt>
                <pt idx="147">
                  <v>13.5</v>
                </pt>
                <pt idx="148">
                  <v>13.98</v>
                </pt>
                <pt idx="149">
                  <v>14.52</v>
                </pt>
                <pt idx="150">
                  <v>15</v>
                </pt>
                <pt idx="151">
                  <v>15.48</v>
                </pt>
                <pt idx="152">
                  <v>16.02</v>
                </pt>
                <pt idx="153">
                  <v>16.5</v>
                </pt>
                <pt idx="154">
                  <v>16.97999999999999</v>
                </pt>
                <pt idx="155">
                  <v>17.52</v>
                </pt>
                <pt idx="156">
                  <v>18</v>
                </pt>
                <pt idx="157">
                  <v>18.48</v>
                </pt>
                <pt idx="158">
                  <v>19.02</v>
                </pt>
                <pt idx="159">
                  <v>19.5</v>
                </pt>
                <pt idx="160">
                  <v>19.98</v>
                </pt>
                <pt idx="161">
                  <v>20.52000000000001</v>
                </pt>
                <pt idx="162">
                  <v>21</v>
                </pt>
                <pt idx="163">
                  <v>21.48</v>
                </pt>
                <pt idx="164">
                  <v>22.02</v>
                </pt>
                <pt idx="165">
                  <v>22.5</v>
                </pt>
                <pt idx="166">
                  <v>22.98</v>
                </pt>
                <pt idx="167">
                  <v>23.52</v>
                </pt>
                <pt idx="168">
                  <v>24</v>
                </pt>
                <pt idx="169">
                  <v>24.47999999999999</v>
                </pt>
                <pt idx="170">
                  <v>25.02</v>
                </pt>
                <pt idx="171">
                  <v>25.5</v>
                </pt>
                <pt idx="172">
                  <v>25.98</v>
                </pt>
                <pt idx="173">
                  <v>26.52</v>
                </pt>
                <pt idx="174">
                  <v>27</v>
                </pt>
                <pt idx="175">
                  <v>27.48</v>
                </pt>
                <pt idx="176">
                  <v>28.02000000000001</v>
                </pt>
                <pt idx="177">
                  <v>28.5</v>
                </pt>
                <pt idx="178">
                  <v>28.98</v>
                </pt>
                <pt idx="179">
                  <v>29.52</v>
                </pt>
                <pt idx="180">
                  <v>30</v>
                </pt>
                <pt idx="181">
                  <v>30.48</v>
                </pt>
                <pt idx="182">
                  <v>31.02</v>
                </pt>
                <pt idx="183">
                  <v>31.5</v>
                </pt>
                <pt idx="184">
                  <v>31.97999999999999</v>
                </pt>
                <pt idx="185">
                  <v>32.52</v>
                </pt>
                <pt idx="186">
                  <v>33</v>
                </pt>
                <pt idx="187">
                  <v>33.48</v>
                </pt>
                <pt idx="188">
                  <v>34.02</v>
                </pt>
                <pt idx="189">
                  <v>34.5</v>
                </pt>
                <pt idx="190">
                  <v>34.98</v>
                </pt>
                <pt idx="191">
                  <v>35.52000000000001</v>
                </pt>
                <pt idx="192">
                  <v>36</v>
                </pt>
                <pt idx="193">
                  <v>36.48</v>
                </pt>
                <pt idx="194">
                  <v>37.02</v>
                </pt>
                <pt idx="195">
                  <v>37.5</v>
                </pt>
                <pt idx="196">
                  <v>37.98</v>
                </pt>
                <pt idx="197">
                  <v>38.52</v>
                </pt>
                <pt idx="198">
                  <v>39</v>
                </pt>
                <pt idx="199">
                  <v>39.47999999999999</v>
                </pt>
                <pt idx="200">
                  <v>40.02</v>
                </pt>
                <pt idx="201">
                  <v>40.5</v>
                </pt>
                <pt idx="202">
                  <v>40.98</v>
                </pt>
                <pt idx="203">
                  <v>41.52</v>
                </pt>
                <pt idx="204">
                  <v>42</v>
                </pt>
                <pt idx="205">
                  <v>42.48</v>
                </pt>
                <pt idx="206">
                  <v>43.02000000000001</v>
                </pt>
                <pt idx="207">
                  <v>43.5</v>
                </pt>
                <pt idx="208">
                  <v>43.98</v>
                </pt>
                <pt idx="209">
                  <v>44.52</v>
                </pt>
                <pt idx="210">
                  <v>45</v>
                </pt>
                <pt idx="211">
                  <v>45.48</v>
                </pt>
                <pt idx="212">
                  <v>46.02</v>
                </pt>
                <pt idx="213">
                  <v>46.5</v>
                </pt>
                <pt idx="214">
                  <v>46.97999999999999</v>
                </pt>
                <pt idx="215">
                  <v>47.52</v>
                </pt>
                <pt idx="216">
                  <v>48</v>
                </pt>
                <pt idx="217">
                  <v>48.48</v>
                </pt>
                <pt idx="218">
                  <v>49.02</v>
                </pt>
                <pt idx="219">
                  <v>49.5</v>
                </pt>
                <pt idx="220">
                  <v>49.98</v>
                </pt>
                <pt idx="221">
                  <v>50.52000000000001</v>
                </pt>
                <pt idx="222">
                  <v>51</v>
                </pt>
                <pt idx="223">
                  <v>51.48</v>
                </pt>
                <pt idx="224">
                  <v>52.02</v>
                </pt>
                <pt idx="225">
                  <v>52.5</v>
                </pt>
                <pt idx="226">
                  <v>52.98</v>
                </pt>
                <pt idx="227">
                  <v>53.52</v>
                </pt>
                <pt idx="228">
                  <v>54</v>
                </pt>
                <pt idx="229">
                  <v>54.47999999999999</v>
                </pt>
                <pt idx="230">
                  <v>55.02</v>
                </pt>
                <pt idx="231">
                  <v>55.5</v>
                </pt>
                <pt idx="232">
                  <v>55.98</v>
                </pt>
                <pt idx="233">
                  <v>56.52</v>
                </pt>
                <pt idx="234">
                  <v>57</v>
                </pt>
                <pt idx="235">
                  <v>57.48</v>
                </pt>
                <pt idx="236">
                  <v>58.02000000000001</v>
                </pt>
                <pt idx="237">
                  <v>58.5</v>
                </pt>
                <pt idx="238">
                  <v>58.98</v>
                </pt>
                <pt idx="239">
                  <v>59.52</v>
                </pt>
                <pt idx="240">
                  <v>60</v>
                </pt>
              </numCache>
            </numRef>
          </xVal>
          <yVal>
            <numRef>
              <f>Native_Chart_Data!$B$1228:$B$1468</f>
              <numCache>
                <formatCode>General</formatCode>
                <ptCount val="241"/>
                <pt idx="0">
                  <v>2695.179447916347</v>
                </pt>
                <pt idx="1">
                  <v>2694.649504247689</v>
                </pt>
                <pt idx="2">
                  <v>2694.188825231372</v>
                </pt>
                <pt idx="3">
                  <v>2693.735228565579</v>
                </pt>
                <pt idx="4">
                  <v>2693.215329991879</v>
                </pt>
                <pt idx="5">
                  <v>2692.827045062799</v>
                </pt>
                <pt idx="6">
                  <v>2692.226227498772</v>
                </pt>
                <pt idx="7">
                  <v>2691.951334545287</v>
                </pt>
                <pt idx="8">
                  <v>2691.331788094177</v>
                </pt>
                <pt idx="9">
                  <v>2691.088402349562</v>
                </pt>
                <pt idx="10">
                  <v>2690.69544749007</v>
                </pt>
                <pt idx="11">
                  <v>2690.132079979207</v>
                </pt>
                <pt idx="12">
                  <v>2689.874768737062</v>
                </pt>
                <pt idx="13">
                  <v>2689.409732962194</v>
                </pt>
                <pt idx="14">
                  <v>2688.980515660841</v>
                </pt>
                <pt idx="15">
                  <v>2688.663945378994</v>
                </pt>
                <pt idx="16">
                  <v>2688.359920138681</v>
                </pt>
                <pt idx="17">
                  <v>2687.889944221688</v>
                </pt>
                <pt idx="18">
                  <v>2687.531860347289</v>
                </pt>
                <pt idx="19">
                  <v>2687.243068450701</v>
                </pt>
                <pt idx="20">
                  <v>2686.83708169587</v>
                </pt>
                <pt idx="21">
                  <v>2686.329056234708</v>
                </pt>
                <pt idx="22">
                  <v>2685.975086049943</v>
                </pt>
                <pt idx="23">
                  <v>2685.61170278956</v>
                </pt>
                <pt idx="24">
                  <v>2685.219805936508</v>
                </pt>
                <pt idx="25">
                  <v>2684.949344415096</v>
                </pt>
                <pt idx="26">
                  <v>2684.621726220223</v>
                </pt>
                <pt idx="27">
                  <v>2684.156718707692</v>
                </pt>
                <pt idx="28">
                  <v>2683.845136650239</v>
                </pt>
                <pt idx="29">
                  <v>2683.513617662773</v>
                </pt>
                <pt idx="30">
                  <v>2683.212269613844</v>
                </pt>
                <pt idx="31">
                  <v>2682.989965390648</v>
                </pt>
                <pt idx="32">
                  <v>2682.67900875249</v>
                </pt>
                <pt idx="33">
                  <v>2682.388662309865</v>
                </pt>
                <pt idx="34">
                  <v>2682.203202076833</v>
                </pt>
                <pt idx="35">
                  <v>2681.790021283787</v>
                </pt>
                <pt idx="36">
                  <v>2681.646456252919</v>
                </pt>
                <pt idx="37">
                  <v>2681.401843892318</v>
                </pt>
                <pt idx="38">
                  <v>2681.004627160038</v>
                </pt>
                <pt idx="39">
                  <v>2680.771528798595</v>
                </pt>
                <pt idx="40">
                  <v>2680.623257670522</v>
                </pt>
                <pt idx="41">
                  <v>2680.319483104779</v>
                </pt>
                <pt idx="42">
                  <v>2680.000843792842</v>
                </pt>
                <pt idx="43">
                  <v>2679.772265519944</v>
                </pt>
                <pt idx="44">
                  <v>2679.480044723954</v>
                </pt>
                <pt idx="45">
                  <v>2679.061348579185</v>
                </pt>
                <pt idx="46">
                  <v>2678.852471688513</v>
                </pt>
                <pt idx="47">
                  <v>2678.5467573408</v>
                </pt>
                <pt idx="48">
                  <v>2678.134662495121</v>
                </pt>
                <pt idx="49">
                  <v>2677.831203860949</v>
                </pt>
                <pt idx="50">
                  <v>2677.591373027257</v>
                </pt>
                <pt idx="51">
                  <v>2677.401308413348</v>
                </pt>
                <pt idx="52">
                  <v>2677.108815515032</v>
                </pt>
                <pt idx="53">
                  <v>2676.694759763543</v>
                </pt>
                <pt idx="54">
                  <v>2676.499053404357</v>
                </pt>
                <pt idx="55">
                  <v>2676.220062195657</v>
                </pt>
                <pt idx="56">
                  <v>2676.13913918124</v>
                </pt>
                <pt idx="57">
                  <v>2675.80583486783</v>
                </pt>
                <pt idx="58">
                  <v>2675.702194627969</v>
                </pt>
                <pt idx="59">
                  <v>2675.469526101878</v>
                </pt>
                <pt idx="60">
                  <v>2675.300911097861</v>
                </pt>
                <pt idx="61">
                  <v>2675.190072030885</v>
                </pt>
                <pt idx="62">
                  <v>2674.966604122772</v>
                </pt>
                <pt idx="63">
                  <v>2674.73193988436</v>
                </pt>
                <pt idx="64">
                  <v>2674.723922285471</v>
                </pt>
                <pt idx="65">
                  <v>2674.556638370625</v>
                </pt>
                <pt idx="66">
                  <v>2674.381298406674</v>
                </pt>
                <pt idx="67">
                  <v>2674.333533456464</v>
                </pt>
                <pt idx="68">
                  <v>2674.121602551275</v>
                </pt>
                <pt idx="69">
                  <v>2674.028698460582</v>
                </pt>
                <pt idx="70">
                  <v>2673.836415166981</v>
                </pt>
                <pt idx="71">
                  <v>2673.702937638594</v>
                </pt>
                <pt idx="72">
                  <v>2673.526153462521</v>
                </pt>
                <pt idx="73">
                  <v>2673.522875129989</v>
                </pt>
                <pt idx="74">
                  <v>2673.292108029348</v>
                </pt>
                <pt idx="75">
                  <v>2673.18796223142</v>
                </pt>
                <pt idx="76">
                  <v>2673.130540036984</v>
                </pt>
                <pt idx="77">
                  <v>2672.94776390528</v>
                </pt>
                <pt idx="78">
                  <v>2672.731533158996</v>
                </pt>
                <pt idx="79">
                  <v>2672.697630105896</v>
                </pt>
                <pt idx="80">
                  <v>2672.475462305201</v>
                </pt>
                <pt idx="81">
                  <v>2672.265680133479</v>
                </pt>
                <pt idx="82">
                  <v>2672.115565841893</v>
                </pt>
                <pt idx="83">
                  <v>2671.975172884264</v>
                </pt>
                <pt idx="84">
                  <v>2671.909261965322</v>
                </pt>
                <pt idx="85">
                  <v>2671.617255107806</v>
                </pt>
                <pt idx="86">
                  <v>2671.475577774419</v>
                </pt>
                <pt idx="87">
                  <v>2671.35718680136</v>
                </pt>
                <pt idx="88">
                  <v>2671.224880020979</v>
                </pt>
                <pt idx="89">
                  <v>2670.893062133703</v>
                </pt>
                <pt idx="90">
                  <v>2670.784301778729</v>
                </pt>
                <pt idx="91">
                  <v>2670.71087513689</v>
                </pt>
                <pt idx="92">
                  <v>2670.50859859218</v>
                </pt>
                <pt idx="93">
                  <v>2670.270858214409</v>
                </pt>
                <pt idx="94">
                  <v>2670.153685438519</v>
                </pt>
                <pt idx="95">
                  <v>2670.140214189564</v>
                </pt>
                <pt idx="96">
                  <v>2669.897439151252</v>
                </pt>
                <pt idx="97">
                  <v>2669.751857556238</v>
                </pt>
                <pt idx="98">
                  <v>2669.639980290953</v>
                </pt>
                <pt idx="99">
                  <v>2669.67754281955</v>
                </pt>
                <pt idx="100">
                  <v>2669.532980610767</v>
                </pt>
                <pt idx="101">
                  <v>2669.511245132921</v>
                </pt>
                <pt idx="102">
                  <v>2669.429538983522</v>
                </pt>
                <pt idx="103">
                  <v>2669.380499249741</v>
                </pt>
                <pt idx="104">
                  <v>2669.298743883868</v>
                </pt>
                <pt idx="105">
                  <v>2669.218074935372</v>
                </pt>
                <pt idx="106">
                  <v>2669.21282651006</v>
                </pt>
                <pt idx="107">
                  <v>2669.153662121398</v>
                </pt>
                <pt idx="108">
                  <v>2669.187219148526</v>
                </pt>
                <pt idx="109">
                  <v>2669.181969531397</v>
                </pt>
                <pt idx="110">
                  <v>2669.140316079656</v>
                </pt>
                <pt idx="111">
                  <v>2669.150465091966</v>
                </pt>
                <pt idx="112">
                  <v>2669.116445149462</v>
                </pt>
                <pt idx="113">
                  <v>2669.071127146474</v>
                </pt>
                <pt idx="114">
                  <v>2669.030999955273</v>
                </pt>
                <pt idx="115">
                  <v>2668.888915110952</v>
                </pt>
                <pt idx="116">
                  <v>2668.859967135055</v>
                </pt>
                <pt idx="117">
                  <v>2668.757294422114</v>
                </pt>
                <pt idx="118">
                  <v>2668.624622707822</v>
                </pt>
                <pt idx="119">
                  <v>2668.674699418213</v>
                </pt>
                <pt idx="120">
                  <v>2668.545771937913</v>
                </pt>
                <pt idx="121">
                  <v>2668.422832501423</v>
                </pt>
                <pt idx="122">
                  <v>2668.278445772019</v>
                </pt>
                <pt idx="123">
                  <v>2668.217124029315</v>
                </pt>
                <pt idx="124">
                  <v>2668.115585673723</v>
                </pt>
                <pt idx="125">
                  <v>2668.10404084736</v>
                </pt>
                <pt idx="126">
                  <v>2668.031622957878</v>
                </pt>
                <pt idx="127">
                  <v>2667.946533883455</v>
                </pt>
                <pt idx="128">
                  <v>2668.041313698317</v>
                </pt>
                <pt idx="129">
                  <v>2668.112351339356</v>
                </pt>
                <pt idx="130">
                  <v>2668.024044371162</v>
                </pt>
                <pt idx="131">
                  <v>2668.118839664326</v>
                </pt>
                <pt idx="132">
                  <v>2668.310337857269</v>
                </pt>
                <pt idx="133">
                  <v>2668.349973401757</v>
                </pt>
                <pt idx="134">
                  <v>2668.416506022354</v>
                </pt>
                <pt idx="135">
                  <v>2668.554777068895</v>
                </pt>
                <pt idx="136">
                  <v>2668.619160634821</v>
                </pt>
                <pt idx="137">
                  <v>2668.93813045976</v>
                </pt>
                <pt idx="138">
                  <v>2668.91551921749</v>
                </pt>
                <pt idx="139">
                  <v>2669.041075618827</v>
                </pt>
                <pt idx="140">
                  <v>2669.291489917243</v>
                </pt>
                <pt idx="141">
                  <v>2669.297062233582</v>
                </pt>
                <pt idx="142">
                  <v>2669.41294774652</v>
                </pt>
                <pt idx="143">
                  <v>2669.607567389517</v>
                </pt>
                <pt idx="144">
                  <v>2669.532974763454</v>
                </pt>
                <pt idx="145">
                  <v>2669.741842898584</v>
                </pt>
                <pt idx="146">
                  <v>2669.689058927444</v>
                </pt>
                <pt idx="147">
                  <v>2669.863390884068</v>
                </pt>
                <pt idx="148">
                  <v>2669.863996550874</v>
                </pt>
                <pt idx="149">
                  <v>2669.895857401911</v>
                </pt>
                <pt idx="150">
                  <v>2669.877953329705</v>
                </pt>
                <pt idx="151">
                  <v>2670.016099440619</v>
                </pt>
                <pt idx="152">
                  <v>2669.993858440349</v>
                </pt>
                <pt idx="153">
                  <v>2670.053766339852</v>
                </pt>
                <pt idx="154">
                  <v>2670.213148337437</v>
                </pt>
                <pt idx="155">
                  <v>2670.330319735082</v>
                </pt>
                <pt idx="156">
                  <v>2670.444077775051</v>
                </pt>
                <pt idx="157">
                  <v>2670.515335369451</v>
                </pt>
                <pt idx="158">
                  <v>2670.737427340842</v>
                </pt>
                <pt idx="159">
                  <v>2670.797103322571</v>
                </pt>
                <pt idx="160">
                  <v>2670.978782859633</v>
                </pt>
                <pt idx="161">
                  <v>2671.203786370632</v>
                </pt>
                <pt idx="162">
                  <v>2671.217258703795</v>
                </pt>
                <pt idx="163">
                  <v>2671.374710228685</v>
                </pt>
                <pt idx="164">
                  <v>2671.607898305689</v>
                </pt>
                <pt idx="165">
                  <v>2671.772595292662</v>
                </pt>
                <pt idx="166">
                  <v>2671.903622796239</v>
                </pt>
                <pt idx="167">
                  <v>2672.186431982876</v>
                </pt>
                <pt idx="168">
                  <v>2672.278912699194</v>
                </pt>
                <pt idx="169">
                  <v>2672.422684953723</v>
                </pt>
                <pt idx="170">
                  <v>2672.750754141244</v>
                </pt>
                <pt idx="171">
                  <v>2672.879770174545</v>
                </pt>
                <pt idx="172">
                  <v>2673.023648727582</v>
                </pt>
                <pt idx="173">
                  <v>2673.203151441436</v>
                </pt>
                <pt idx="174">
                  <v>2673.486505990217</v>
                </pt>
                <pt idx="175">
                  <v>2673.813693545253</v>
                </pt>
                <pt idx="176">
                  <v>2674.008990974961</v>
                </pt>
                <pt idx="177">
                  <v>2674.175165150319</v>
                </pt>
                <pt idx="178">
                  <v>2674.423511568429</v>
                </pt>
                <pt idx="179">
                  <v>2674.858320794281</v>
                </pt>
                <pt idx="180">
                  <v>2675.1047945408</v>
                </pt>
                <pt idx="181">
                  <v>2675.266200681919</v>
                </pt>
                <pt idx="182">
                  <v>2675.607009709583</v>
                </pt>
                <pt idx="183">
                  <v>2675.743898752256</v>
                </pt>
                <pt idx="184">
                  <v>2676.036865658321</v>
                </pt>
                <pt idx="185">
                  <v>2676.288876919903</v>
                </pt>
                <pt idx="186">
                  <v>2676.60909795797</v>
                </pt>
                <pt idx="187">
                  <v>2676.761436837114</v>
                </pt>
                <pt idx="188">
                  <v>2676.967895245939</v>
                </pt>
                <pt idx="189">
                  <v>2677.186721016675</v>
                </pt>
                <pt idx="190">
                  <v>2677.381509223292</v>
                </pt>
                <pt idx="191">
                  <v>2677.619339587693</v>
                </pt>
                <pt idx="192">
                  <v>2677.816380981363</v>
                </pt>
                <pt idx="193">
                  <v>2678.077818920377</v>
                </pt>
                <pt idx="194">
                  <v>2678.257267408554</v>
                </pt>
                <pt idx="195">
                  <v>2678.562506834351</v>
                </pt>
                <pt idx="196">
                  <v>2678.729609214497</v>
                </pt>
                <pt idx="197">
                  <v>2678.946821998501</v>
                </pt>
                <pt idx="198">
                  <v>2679.235127942896</v>
                </pt>
                <pt idx="199">
                  <v>2679.542921764564</v>
                </pt>
                <pt idx="200">
                  <v>2679.910579902679</v>
                </pt>
                <pt idx="201">
                  <v>2680.26988053738</v>
                </pt>
                <pt idx="202">
                  <v>2680.615497415101</v>
                </pt>
                <pt idx="203">
                  <v>2681.01462983966</v>
                </pt>
                <pt idx="204">
                  <v>2681.358173179175</v>
                </pt>
                <pt idx="205">
                  <v>2681.732337463905</v>
                </pt>
                <pt idx="206">
                  <v>2682.021911892592</v>
                </pt>
                <pt idx="207">
                  <v>2682.402217414478</v>
                </pt>
                <pt idx="208">
                  <v>2682.774879915759</v>
                </pt>
                <pt idx="209">
                  <v>2683.228524362785</v>
                </pt>
                <pt idx="210">
                  <v>2683.554809160464</v>
                </pt>
                <pt idx="211">
                  <v>2683.897554042517</v>
                </pt>
                <pt idx="212">
                  <v>2684.276394237561</v>
                </pt>
                <pt idx="213">
                  <v>2684.622731679297</v>
                </pt>
                <pt idx="214">
                  <v>2684.958902677723</v>
                </pt>
                <pt idx="215">
                  <v>2685.301857395654</v>
                </pt>
                <pt idx="216">
                  <v>2685.651797916337</v>
                </pt>
                <pt idx="217">
                  <v>2686.01283805853</v>
                </pt>
                <pt idx="218">
                  <v>2686.262030614748</v>
                </pt>
                <pt idx="219">
                  <v>2686.69046991442</v>
                </pt>
                <pt idx="220">
                  <v>2687.075837528585</v>
                </pt>
                <pt idx="221">
                  <v>2687.517218684742</v>
                </pt>
                <pt idx="222">
                  <v>2687.715878177705</v>
                </pt>
                <pt idx="223">
                  <v>2688.22729149062</v>
                </pt>
                <pt idx="224">
                  <v>2688.510682041781</v>
                </pt>
                <pt idx="225">
                  <v>2688.899609696439</v>
                </pt>
                <pt idx="226">
                  <v>2689.409650581394</v>
                </pt>
                <pt idx="227">
                  <v>2689.777555100149</v>
                </pt>
                <pt idx="228">
                  <v>2690.180103448934</v>
                </pt>
                <pt idx="229">
                  <v>2690.433626931135</v>
                </pt>
                <pt idx="230">
                  <v>2690.927650730257</v>
                </pt>
                <pt idx="231">
                  <v>2691.388841371587</v>
                </pt>
                <pt idx="232">
                  <v>2691.698626112131</v>
                </pt>
                <pt idx="233">
                  <v>2692.177307529992</v>
                </pt>
                <pt idx="234">
                  <v>2692.473247137161</v>
                </pt>
                <pt idx="235">
                  <v>2692.8575699495</v>
                </pt>
                <pt idx="236">
                  <v>2693.24758219057</v>
                </pt>
                <pt idx="237">
                  <v>2693.690677852088</v>
                </pt>
                <pt idx="238">
                  <v>2694.075288283185</v>
                </pt>
                <pt idx="239">
                  <v>2694.626380340303</v>
                </pt>
                <pt idx="240">
                  <v>2694.985114462691</v>
                </pt>
              </numCache>
            </numRef>
          </yVal>
          <smooth val="0"/>
        </ser>
        <ser>
          <idx val="1"/>
          <order val="1"/>
          <tx>
            <v>Paper low-altitude 35 km / 800 km pass</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Native_Chart_Data!$C$1228:$C$1468</f>
              <numCache>
                <formatCode>General</formatCode>
                <ptCount val="241"/>
                <pt idx="0">
                  <v>-400</v>
                </pt>
                <pt idx="1">
                  <v>-396.8</v>
                </pt>
                <pt idx="2">
                  <v>-393.2</v>
                </pt>
                <pt idx="3">
                  <v>-390</v>
                </pt>
                <pt idx="4">
                  <v>-386.8</v>
                </pt>
                <pt idx="5">
                  <v>-383.2</v>
                </pt>
                <pt idx="6">
                  <v>-380</v>
                </pt>
                <pt idx="7">
                  <v>-376.8</v>
                </pt>
                <pt idx="8">
                  <v>-373.2</v>
                </pt>
                <pt idx="9">
                  <v>-370</v>
                </pt>
                <pt idx="10">
                  <v>-366.8</v>
                </pt>
                <pt idx="11">
                  <v>-363.2</v>
                </pt>
                <pt idx="12">
                  <v>-360</v>
                </pt>
                <pt idx="13">
                  <v>-356.8</v>
                </pt>
                <pt idx="14">
                  <v>-353.2</v>
                </pt>
                <pt idx="15">
                  <v>-350</v>
                </pt>
                <pt idx="16">
                  <v>-346.8</v>
                </pt>
                <pt idx="17">
                  <v>-343.2</v>
                </pt>
                <pt idx="18">
                  <v>-340</v>
                </pt>
                <pt idx="19">
                  <v>-336.8</v>
                </pt>
                <pt idx="20">
                  <v>-333.2</v>
                </pt>
                <pt idx="21">
                  <v>-330</v>
                </pt>
                <pt idx="22">
                  <v>-326.8</v>
                </pt>
                <pt idx="23">
                  <v>-323.2</v>
                </pt>
                <pt idx="24">
                  <v>-320</v>
                </pt>
                <pt idx="25">
                  <v>-316.8</v>
                </pt>
                <pt idx="26">
                  <v>-313.2</v>
                </pt>
                <pt idx="27">
                  <v>-310</v>
                </pt>
                <pt idx="28">
                  <v>-306.8</v>
                </pt>
                <pt idx="29">
                  <v>-303.2</v>
                </pt>
                <pt idx="30">
                  <v>-300</v>
                </pt>
                <pt idx="31">
                  <v>-296.8</v>
                </pt>
                <pt idx="32">
                  <v>-293.2</v>
                </pt>
                <pt idx="33">
                  <v>-290</v>
                </pt>
                <pt idx="34">
                  <v>-286.8</v>
                </pt>
                <pt idx="35">
                  <v>-283.2</v>
                </pt>
                <pt idx="36">
                  <v>-280</v>
                </pt>
                <pt idx="37">
                  <v>-276.8</v>
                </pt>
                <pt idx="38">
                  <v>-273.2</v>
                </pt>
                <pt idx="39">
                  <v>-270</v>
                </pt>
                <pt idx="40">
                  <v>-266.8</v>
                </pt>
                <pt idx="41">
                  <v>-263.2</v>
                </pt>
                <pt idx="42">
                  <v>-260</v>
                </pt>
                <pt idx="43">
                  <v>-256.8</v>
                </pt>
                <pt idx="44">
                  <v>-253.2</v>
                </pt>
                <pt idx="45">
                  <v>-250</v>
                </pt>
                <pt idx="46">
                  <v>-246.8</v>
                </pt>
                <pt idx="47">
                  <v>-243.2</v>
                </pt>
                <pt idx="48">
                  <v>-240</v>
                </pt>
                <pt idx="49">
                  <v>-236.8</v>
                </pt>
                <pt idx="50">
                  <v>-233.2</v>
                </pt>
                <pt idx="51">
                  <v>-230</v>
                </pt>
                <pt idx="52">
                  <v>-226.8</v>
                </pt>
                <pt idx="53">
                  <v>-223.2</v>
                </pt>
                <pt idx="54">
                  <v>-220</v>
                </pt>
                <pt idx="55">
                  <v>-216.8</v>
                </pt>
                <pt idx="56">
                  <v>-213.2</v>
                </pt>
                <pt idx="57">
                  <v>-210</v>
                </pt>
                <pt idx="58">
                  <v>-206.8</v>
                </pt>
                <pt idx="59">
                  <v>-203.2</v>
                </pt>
                <pt idx="60">
                  <v>-200</v>
                </pt>
                <pt idx="61">
                  <v>-196.8</v>
                </pt>
                <pt idx="62">
                  <v>-193.2</v>
                </pt>
                <pt idx="63">
                  <v>-190</v>
                </pt>
                <pt idx="64">
                  <v>-186.8</v>
                </pt>
                <pt idx="65">
                  <v>-183.2</v>
                </pt>
                <pt idx="66">
                  <v>-180</v>
                </pt>
                <pt idx="67">
                  <v>-176.8</v>
                </pt>
                <pt idx="68">
                  <v>-173.2</v>
                </pt>
                <pt idx="69">
                  <v>-170</v>
                </pt>
                <pt idx="70">
                  <v>-166.8</v>
                </pt>
                <pt idx="71">
                  <v>-163.2</v>
                </pt>
                <pt idx="72">
                  <v>-160</v>
                </pt>
                <pt idx="73">
                  <v>-156.8</v>
                </pt>
                <pt idx="74">
                  <v>-153.2</v>
                </pt>
                <pt idx="75">
                  <v>-150</v>
                </pt>
                <pt idx="76">
                  <v>-146.8</v>
                </pt>
                <pt idx="77">
                  <v>-143.2</v>
                </pt>
                <pt idx="78">
                  <v>-140</v>
                </pt>
                <pt idx="79">
                  <v>-136.8</v>
                </pt>
                <pt idx="80">
                  <v>-133.2</v>
                </pt>
                <pt idx="81">
                  <v>-130</v>
                </pt>
                <pt idx="82">
                  <v>-126.8</v>
                </pt>
                <pt idx="83">
                  <v>-123.2</v>
                </pt>
                <pt idx="84">
                  <v>-120</v>
                </pt>
                <pt idx="85">
                  <v>-116.8</v>
                </pt>
                <pt idx="86">
                  <v>-113.2</v>
                </pt>
                <pt idx="87">
                  <v>-110</v>
                </pt>
                <pt idx="88">
                  <v>-106.8</v>
                </pt>
                <pt idx="89">
                  <v>-103.2</v>
                </pt>
                <pt idx="90">
                  <v>-100</v>
                </pt>
                <pt idx="91">
                  <v>-96.80000000000001</v>
                </pt>
                <pt idx="92">
                  <v>-93.19999999999999</v>
                </pt>
                <pt idx="93">
                  <v>-90</v>
                </pt>
                <pt idx="94">
                  <v>-86.80000000000001</v>
                </pt>
                <pt idx="95">
                  <v>-83.19999999999999</v>
                </pt>
                <pt idx="96">
                  <v>-80</v>
                </pt>
                <pt idx="97">
                  <v>-76.79999999999995</v>
                </pt>
                <pt idx="98">
                  <v>-73.20000000000005</v>
                </pt>
                <pt idx="99">
                  <v>-70</v>
                </pt>
                <pt idx="100">
                  <v>-66.80000000000001</v>
                </pt>
                <pt idx="101">
                  <v>-63.19999999999999</v>
                </pt>
                <pt idx="102">
                  <v>-60</v>
                </pt>
                <pt idx="103">
                  <v>-56.80000000000001</v>
                </pt>
                <pt idx="104">
                  <v>-53.19999999999999</v>
                </pt>
                <pt idx="105">
                  <v>-50</v>
                </pt>
                <pt idx="106">
                  <v>-46.80000000000001</v>
                </pt>
                <pt idx="107">
                  <v>-43.19999999999999</v>
                </pt>
                <pt idx="108">
                  <v>-40</v>
                </pt>
                <pt idx="109">
                  <v>-36.80000000000001</v>
                </pt>
                <pt idx="110">
                  <v>-33.19999999999999</v>
                </pt>
                <pt idx="111">
                  <v>-30</v>
                </pt>
                <pt idx="112">
                  <v>-26.79999999999995</v>
                </pt>
                <pt idx="113">
                  <v>-23.20000000000005</v>
                </pt>
                <pt idx="114">
                  <v>-20</v>
                </pt>
                <pt idx="115">
                  <v>-16.80000000000001</v>
                </pt>
                <pt idx="116">
                  <v>-13.19999999999999</v>
                </pt>
                <pt idx="117">
                  <v>-10</v>
                </pt>
                <pt idx="118">
                  <v>-6.800000000000011</v>
                </pt>
                <pt idx="119">
                  <v>-3.199999999999989</v>
                </pt>
                <pt idx="120">
                  <v>0</v>
                </pt>
                <pt idx="121">
                  <v>3.199999999999989</v>
                </pt>
                <pt idx="122">
                  <v>6.799999999999955</v>
                </pt>
                <pt idx="123">
                  <v>9.999999999999943</v>
                </pt>
                <pt idx="124">
                  <v>13.19999999999999</v>
                </pt>
                <pt idx="125">
                  <v>16.80000000000001</v>
                </pt>
                <pt idx="126">
                  <v>20</v>
                </pt>
                <pt idx="127">
                  <v>23.20000000000005</v>
                </pt>
                <pt idx="128">
                  <v>26.79999999999995</v>
                </pt>
                <pt idx="129">
                  <v>30</v>
                </pt>
                <pt idx="130">
                  <v>33.19999999999999</v>
                </pt>
                <pt idx="131">
                  <v>36.80000000000001</v>
                </pt>
                <pt idx="132">
                  <v>40.00000000000006</v>
                </pt>
                <pt idx="133">
                  <v>43.20000000000005</v>
                </pt>
                <pt idx="134">
                  <v>46.80000000000001</v>
                </pt>
                <pt idx="135">
                  <v>50</v>
                </pt>
                <pt idx="136">
                  <v>53.19999999999999</v>
                </pt>
                <pt idx="137">
                  <v>56.79999999999995</v>
                </pt>
                <pt idx="138">
                  <v>59.99999999999994</v>
                </pt>
                <pt idx="139">
                  <v>63.19999999999999</v>
                </pt>
                <pt idx="140">
                  <v>66.80000000000001</v>
                </pt>
                <pt idx="141">
                  <v>70</v>
                </pt>
                <pt idx="142">
                  <v>73.20000000000005</v>
                </pt>
                <pt idx="143">
                  <v>76.79999999999995</v>
                </pt>
                <pt idx="144">
                  <v>80</v>
                </pt>
                <pt idx="145">
                  <v>83.19999999999999</v>
                </pt>
                <pt idx="146">
                  <v>86.80000000000001</v>
                </pt>
                <pt idx="147">
                  <v>90.00000000000006</v>
                </pt>
                <pt idx="148">
                  <v>93.20000000000005</v>
                </pt>
                <pt idx="149">
                  <v>96.80000000000001</v>
                </pt>
                <pt idx="150">
                  <v>100</v>
                </pt>
                <pt idx="151">
                  <v>103.2</v>
                </pt>
                <pt idx="152">
                  <v>106.8</v>
                </pt>
                <pt idx="153">
                  <v>109.9999999999999</v>
                </pt>
                <pt idx="154">
                  <v>113.1999999999999</v>
                </pt>
                <pt idx="155">
                  <v>116.8000000000001</v>
                </pt>
                <pt idx="156">
                  <v>120</v>
                </pt>
                <pt idx="157">
                  <v>123.2</v>
                </pt>
                <pt idx="158">
                  <v>126.8</v>
                </pt>
                <pt idx="159">
                  <v>130</v>
                </pt>
                <pt idx="160">
                  <v>133.1999999999999</v>
                </pt>
                <pt idx="161">
                  <v>136.8000000000001</v>
                </pt>
                <pt idx="162">
                  <v>140</v>
                </pt>
                <pt idx="163">
                  <v>143.2</v>
                </pt>
                <pt idx="164">
                  <v>146.8</v>
                </pt>
                <pt idx="165">
                  <v>150</v>
                </pt>
                <pt idx="166">
                  <v>153.2</v>
                </pt>
                <pt idx="167">
                  <v>156.8</v>
                </pt>
                <pt idx="168">
                  <v>160</v>
                </pt>
                <pt idx="169">
                  <v>163.1999999999999</v>
                </pt>
                <pt idx="170">
                  <v>166.8000000000001</v>
                </pt>
                <pt idx="171">
                  <v>170</v>
                </pt>
                <pt idx="172">
                  <v>173.2</v>
                </pt>
                <pt idx="173">
                  <v>176.8</v>
                </pt>
                <pt idx="174">
                  <v>180</v>
                </pt>
                <pt idx="175">
                  <v>183.1999999999999</v>
                </pt>
                <pt idx="176">
                  <v>186.8000000000001</v>
                </pt>
                <pt idx="177">
                  <v>190</v>
                </pt>
                <pt idx="178">
                  <v>193.2</v>
                </pt>
                <pt idx="179">
                  <v>196.8</v>
                </pt>
                <pt idx="180">
                  <v>200</v>
                </pt>
                <pt idx="181">
                  <v>203.2</v>
                </pt>
                <pt idx="182">
                  <v>206.8</v>
                </pt>
                <pt idx="183">
                  <v>210</v>
                </pt>
                <pt idx="184">
                  <v>213.1999999999999</v>
                </pt>
                <pt idx="185">
                  <v>216.8000000000001</v>
                </pt>
                <pt idx="186">
                  <v>220</v>
                </pt>
                <pt idx="187">
                  <v>223.2</v>
                </pt>
                <pt idx="188">
                  <v>226.8</v>
                </pt>
                <pt idx="189">
                  <v>230</v>
                </pt>
                <pt idx="190">
                  <v>233.1999999999999</v>
                </pt>
                <pt idx="191">
                  <v>236.8000000000001</v>
                </pt>
                <pt idx="192">
                  <v>240</v>
                </pt>
                <pt idx="193">
                  <v>243.2</v>
                </pt>
                <pt idx="194">
                  <v>246.8</v>
                </pt>
                <pt idx="195">
                  <v>250</v>
                </pt>
                <pt idx="196">
                  <v>253.2</v>
                </pt>
                <pt idx="197">
                  <v>256.8</v>
                </pt>
                <pt idx="198">
                  <v>260</v>
                </pt>
                <pt idx="199">
                  <v>263.1999999999999</v>
                </pt>
                <pt idx="200">
                  <v>266.8000000000001</v>
                </pt>
                <pt idx="201">
                  <v>270</v>
                </pt>
                <pt idx="202">
                  <v>273.2</v>
                </pt>
                <pt idx="203">
                  <v>276.8</v>
                </pt>
                <pt idx="204">
                  <v>280</v>
                </pt>
                <pt idx="205">
                  <v>283.1999999999999</v>
                </pt>
                <pt idx="206">
                  <v>286.8000000000001</v>
                </pt>
                <pt idx="207">
                  <v>290</v>
                </pt>
                <pt idx="208">
                  <v>293.2</v>
                </pt>
                <pt idx="209">
                  <v>296.8</v>
                </pt>
                <pt idx="210">
                  <v>300</v>
                </pt>
                <pt idx="211">
                  <v>303.2</v>
                </pt>
                <pt idx="212">
                  <v>306.8</v>
                </pt>
                <pt idx="213">
                  <v>310</v>
                </pt>
                <pt idx="214">
                  <v>313.1999999999999</v>
                </pt>
                <pt idx="215">
                  <v>316.8000000000001</v>
                </pt>
                <pt idx="216">
                  <v>320</v>
                </pt>
                <pt idx="217">
                  <v>323.2</v>
                </pt>
                <pt idx="218">
                  <v>326.8</v>
                </pt>
                <pt idx="219">
                  <v>330</v>
                </pt>
                <pt idx="220">
                  <v>333.1999999999999</v>
                </pt>
                <pt idx="221">
                  <v>336.8000000000001</v>
                </pt>
                <pt idx="222">
                  <v>340</v>
                </pt>
                <pt idx="223">
                  <v>343.2</v>
                </pt>
                <pt idx="224">
                  <v>346.8</v>
                </pt>
                <pt idx="225">
                  <v>350</v>
                </pt>
                <pt idx="226">
                  <v>353.2</v>
                </pt>
                <pt idx="227">
                  <v>356.8</v>
                </pt>
                <pt idx="228">
                  <v>360</v>
                </pt>
                <pt idx="229">
                  <v>363.1999999999999</v>
                </pt>
                <pt idx="230">
                  <v>366.8000000000001</v>
                </pt>
                <pt idx="231">
                  <v>370</v>
                </pt>
                <pt idx="232">
                  <v>373.2</v>
                </pt>
                <pt idx="233">
                  <v>376.8</v>
                </pt>
                <pt idx="234">
                  <v>380</v>
                </pt>
                <pt idx="235">
                  <v>383.1999999999999</v>
                </pt>
                <pt idx="236">
                  <v>386.8000000000001</v>
                </pt>
                <pt idx="237">
                  <v>390</v>
                </pt>
                <pt idx="238">
                  <v>393.2</v>
                </pt>
                <pt idx="239">
                  <v>396.8</v>
                </pt>
                <pt idx="240">
                  <v>400</v>
                </pt>
              </numCache>
            </numRef>
          </xVal>
          <yVal>
            <numRef>
              <f>Native_Chart_Data!$D$1228:$D$1468</f>
              <numCache>
                <formatCode>General</formatCode>
                <ptCount val="241"/>
                <pt idx="0">
                  <v>2668.428145382044</v>
                </pt>
                <pt idx="1">
                  <v>2629.639462715247</v>
                </pt>
                <pt idx="2">
                  <v>2585.991413618982</v>
                </pt>
                <pt idx="3">
                  <v>2547.833397011385</v>
                </pt>
                <pt idx="4">
                  <v>2510.403949181906</v>
                </pt>
                <pt idx="5">
                  <v>2468.416414407845</v>
                </pt>
                <pt idx="6">
                  <v>2431.3222101606</v>
                </pt>
                <pt idx="7">
                  <v>2394.364951188642</v>
                </pt>
                <pt idx="8">
                  <v>2353.060313447172</v>
                </pt>
                <pt idx="9">
                  <v>2316.87407116749</v>
                </pt>
                <pt idx="10">
                  <v>2281.421390165951</v>
                </pt>
                <pt idx="11">
                  <v>2241.505014630911</v>
                </pt>
                <pt idx="12">
                  <v>2205.928237430532</v>
                </pt>
                <pt idx="13">
                  <v>2170.578517912586</v>
                </pt>
                <pt idx="14">
                  <v>2131.774012526143</v>
                </pt>
                <pt idx="15">
                  <v>2097.940323113648</v>
                </pt>
                <pt idx="16">
                  <v>2064.052827462836</v>
                </pt>
                <pt idx="17">
                  <v>2025.882453771376</v>
                </pt>
                <pt idx="18">
                  <v>1992.382127069218</v>
                </pt>
                <pt idx="19">
                  <v>1959.478663052429</v>
                </pt>
                <pt idx="20">
                  <v>1922.830246360397</v>
                </pt>
                <pt idx="21">
                  <v>1890.664241891967</v>
                </pt>
                <pt idx="22">
                  <v>1858.615338540768</v>
                </pt>
                <pt idx="23">
                  <v>1822.724543620417</v>
                </pt>
                <pt idx="24">
                  <v>1791.310317314991</v>
                </pt>
                <pt idx="25">
                  <v>1760.431067365603</v>
                </pt>
                <pt idx="26">
                  <v>1726.234115716436</v>
                </pt>
                <pt idx="27">
                  <v>1695.858673526172</v>
                </pt>
                <pt idx="28">
                  <v>1665.821292500691</v>
                </pt>
                <pt idx="29">
                  <v>1632.376799481638</v>
                </pt>
                <pt idx="30">
                  <v>1602.80942953604</v>
                </pt>
                <pt idx="31">
                  <v>1573.759991968573</v>
                </pt>
                <pt idx="32">
                  <v>1541.963201279397</v>
                </pt>
                <pt idx="33">
                  <v>1513.653103462362</v>
                </pt>
                <pt idx="34">
                  <v>1485.096742951138</v>
                </pt>
                <pt idx="35">
                  <v>1453.620426307196</v>
                </pt>
                <pt idx="36">
                  <v>1426.445175784788</v>
                </pt>
                <pt idx="37">
                  <v>1399.622317884779</v>
                </pt>
                <pt idx="38">
                  <v>1369.53463092272</v>
                </pt>
                <pt idx="39">
                  <v>1342.856786804814</v>
                </pt>
                <pt idx="40">
                  <v>1316.381263410234</v>
                </pt>
                <pt idx="41">
                  <v>1287.399246363633</v>
                </pt>
                <pt idx="42">
                  <v>1262.192249150471</v>
                </pt>
                <pt idx="43">
                  <v>1237.298866943799</v>
                </pt>
                <pt idx="44">
                  <v>1209.275771725714</v>
                </pt>
                <pt idx="45">
                  <v>1184.307678273164</v>
                </pt>
                <pt idx="46">
                  <v>1160.174517275465</v>
                </pt>
                <pt idx="47">
                  <v>1133.831820436927</v>
                </pt>
                <pt idx="48">
                  <v>1110.4114575268</v>
                </pt>
                <pt idx="49">
                  <v>1086.842730399909</v>
                </pt>
                <pt idx="50">
                  <v>1061.125431716778</v>
                </pt>
                <pt idx="51">
                  <v>1038.590987983622</v>
                </pt>
                <pt idx="52">
                  <v>1016.134440266954</v>
                </pt>
                <pt idx="53">
                  <v>991.5333258162572</v>
                </pt>
                <pt idx="54">
                  <v>970.1685104366036</v>
                </pt>
                <pt idx="55">
                  <v>948.7608368090656</v>
                </pt>
                <pt idx="56">
                  <v>924.7601899779155</v>
                </pt>
                <pt idx="57">
                  <v>904.2533098821133</v>
                </pt>
                <pt idx="58">
                  <v>884.1203916379087</v>
                </pt>
                <pt idx="59">
                  <v>861.7139405611678</v>
                </pt>
                <pt idx="60">
                  <v>842.0910391477134</v>
                </pt>
                <pt idx="61">
                  <v>822.5520747808995</v>
                </pt>
                <pt idx="62">
                  <v>800.788445167925</v>
                </pt>
                <pt idx="63">
                  <v>782.182758595004</v>
                </pt>
                <pt idx="64">
                  <v>764.2997508213764</v>
                </pt>
                <pt idx="65">
                  <v>744.2996706468294</v>
                </pt>
                <pt idx="66">
                  <v>726.3902763702735</v>
                </pt>
                <pt idx="67">
                  <v>708.5965223973282</v>
                </pt>
                <pt idx="68">
                  <v>689.6044707976647</v>
                </pt>
                <pt idx="69">
                  <v>673.529430210656</v>
                </pt>
                <pt idx="70">
                  <v>657.1579289089054</v>
                </pt>
                <pt idx="71">
                  <v>638.7033528513318</v>
                </pt>
                <pt idx="72">
                  <v>622.9558192945855</v>
                </pt>
                <pt idx="73">
                  <v>607.6984165072893</v>
                </pt>
                <pt idx="74">
                  <v>590.6619711076781</v>
                </pt>
                <pt idx="75">
                  <v>576.2225881312249</v>
                </pt>
                <pt idx="76">
                  <v>561.8222462323214</v>
                </pt>
                <pt idx="77">
                  <v>545.4683845610026</v>
                </pt>
                <pt idx="78">
                  <v>531.4420597563163</v>
                </pt>
                <pt idx="79">
                  <v>518.30702957058</v>
                </pt>
                <pt idx="80">
                  <v>503.5300716509127</v>
                </pt>
                <pt idx="81">
                  <v>490.6119523498117</v>
                </pt>
                <pt idx="82">
                  <v>478.15408387641</v>
                </pt>
                <pt idx="83">
                  <v>464.2648822613425</v>
                </pt>
                <pt idx="84">
                  <v>452.1251367363374</v>
                </pt>
                <pt idx="85">
                  <v>440.789520058493</v>
                </pt>
                <pt idx="86">
                  <v>428.4246828620779</v>
                </pt>
                <pt idx="87">
                  <v>417.6703760806208</v>
                </pt>
                <pt idx="88">
                  <v>406.7470273897068</v>
                </pt>
                <pt idx="89">
                  <v>395.0892701821094</v>
                </pt>
                <pt idx="90">
                  <v>385.3661380377797</v>
                </pt>
                <pt idx="91">
                  <v>376.13515915352</v>
                </pt>
                <pt idx="92">
                  <v>365.6912781317871</v>
                </pt>
                <pt idx="93">
                  <v>356.4473590251373</v>
                </pt>
                <pt idx="94">
                  <v>347.7982304710803</v>
                </pt>
                <pt idx="95">
                  <v>338.4523662185664</v>
                </pt>
                <pt idx="96">
                  <v>330.8155353836898</v>
                </pt>
                <pt idx="97">
                  <v>323.3793377034027</v>
                </pt>
                <pt idx="98">
                  <v>314.9411245459619</v>
                </pt>
                <pt idx="99">
                  <v>307.4845693835929</v>
                </pt>
                <pt idx="100">
                  <v>300.7709446697845</v>
                </pt>
                <pt idx="101">
                  <v>294.2366127798966</v>
                </pt>
                <pt idx="102">
                  <v>288.2643279902812</v>
                </pt>
                <pt idx="103">
                  <v>282.2269644534581</v>
                </pt>
                <pt idx="104">
                  <v>276.2837891580153</v>
                </pt>
                <pt idx="105">
                  <v>271.3483244487466</v>
                </pt>
                <pt idx="106">
                  <v>266.4474931554244</v>
                </pt>
                <pt idx="107">
                  <v>261.8332061442404</v>
                </pt>
                <pt idx="108">
                  <v>258.0534011370244</v>
                </pt>
                <pt idx="109">
                  <v>254.2635369098621</v>
                </pt>
                <pt idx="110">
                  <v>250.2259508729708</v>
                </pt>
                <pt idx="111">
                  <v>247.3087099064625</v>
                </pt>
                <pt idx="112">
                  <v>244.894559246768</v>
                </pt>
                <pt idx="113">
                  <v>242.50974664246</v>
                </pt>
                <pt idx="114">
                  <v>240.5586081946816</v>
                </pt>
                <pt idx="115">
                  <v>238.6017019055746</v>
                </pt>
                <pt idx="116">
                  <v>236.5405570059934</v>
                </pt>
                <pt idx="117">
                  <v>235.346468466002</v>
                </pt>
                <pt idx="118">
                  <v>234.6431742328078</v>
                </pt>
                <pt idx="119">
                  <v>234.1034453216664</v>
                </pt>
                <pt idx="120">
                  <v>233.5278769914027</v>
                </pt>
                <pt idx="121">
                  <v>233.0394203053646</v>
                </pt>
                <pt idx="122">
                  <v>233.6925119045599</v>
                </pt>
                <pt idx="123">
                  <v>235.0739219817573</v>
                </pt>
                <pt idx="124">
                  <v>236.0789549877208</v>
                </pt>
                <pt idx="125">
                  <v>237.3278419676513</v>
                </pt>
                <pt idx="126">
                  <v>239.0865238601893</v>
                </pt>
                <pt idx="127">
                  <v>241.2425225186918</v>
                </pt>
                <pt idx="128">
                  <v>243.9141116645415</v>
                </pt>
                <pt idx="129">
                  <v>247.1125933494017</v>
                </pt>
                <pt idx="130">
                  <v>250.2681978626065</v>
                </pt>
                <pt idx="131">
                  <v>253.6897424885574</v>
                </pt>
                <pt idx="132">
                  <v>257.4029658210271</v>
                </pt>
                <pt idx="133">
                  <v>261.6567098799098</v>
                </pt>
                <pt idx="134">
                  <v>266.8709778652399</v>
                </pt>
                <pt idx="135">
                  <v>271.4874996062939</v>
                </pt>
                <pt idx="136">
                  <v>276.564594918624</v>
                </pt>
                <pt idx="137">
                  <v>282.4526750328039</v>
                </pt>
                <pt idx="138">
                  <v>288.0699945415516</v>
                </pt>
                <pt idx="139">
                  <v>294.089286665568</v>
                </pt>
                <pt idx="140">
                  <v>301.6540717423815</v>
                </pt>
                <pt idx="141">
                  <v>308.3339924924266</v>
                </pt>
                <pt idx="142">
                  <v>314.9419155399639</v>
                </pt>
                <pt idx="143">
                  <v>322.8334939317367</v>
                </pt>
                <pt idx="144">
                  <v>330.5742921234296</v>
                </pt>
                <pt idx="145">
                  <v>339.0028806621183</v>
                </pt>
                <pt idx="146">
                  <v>348.1803410931295</v>
                </pt>
                <pt idx="147">
                  <v>356.5873635970569</v>
                </pt>
                <pt idx="148">
                  <v>365.3275433938103</v>
                </pt>
                <pt idx="149">
                  <v>375.7136177790875</v>
                </pt>
                <pt idx="150">
                  <v>385.5672746083997</v>
                </pt>
                <pt idx="151">
                  <v>395.8608639483147</v>
                </pt>
                <pt idx="152">
                  <v>407.2051828451628</v>
                </pt>
                <pt idx="153">
                  <v>417.1722436975712</v>
                </pt>
                <pt idx="154">
                  <v>428.1712603024178</v>
                </pt>
                <pt idx="155">
                  <v>441.1522602131366</v>
                </pt>
                <pt idx="156">
                  <v>452.7076811568271</v>
                </pt>
                <pt idx="157">
                  <v>464.3422104497147</v>
                </pt>
                <pt idx="158">
                  <v>477.973854984778</v>
                </pt>
                <pt idx="159">
                  <v>490.4820935126106</v>
                </pt>
                <pt idx="160">
                  <v>503.1975864529479</v>
                </pt>
                <pt idx="161">
                  <v>518.040579966203</v>
                </pt>
                <pt idx="162">
                  <v>531.6029522158826</v>
                </pt>
                <pt idx="163">
                  <v>545.284760387259</v>
                </pt>
                <pt idx="164">
                  <v>560.9838146656959</v>
                </pt>
                <pt idx="165">
                  <v>575.2592717158128</v>
                </pt>
                <pt idx="166">
                  <v>590.2856076656821</v>
                </pt>
                <pt idx="167">
                  <v>607.501561535222</v>
                </pt>
                <pt idx="168">
                  <v>622.9166520341081</v>
                </pt>
                <pt idx="169">
                  <v>638.4143292101328</v>
                </pt>
                <pt idx="170">
                  <v>656.4778874083446</v>
                </pt>
                <pt idx="171">
                  <v>672.9521582471369</v>
                </pt>
                <pt idx="172">
                  <v>689.9092702737296</v>
                </pt>
                <pt idx="173">
                  <v>709.4713880484527</v>
                </pt>
                <pt idx="174">
                  <v>726.6160489398486</v>
                </pt>
                <pt idx="175">
                  <v>743.9212040900048</v>
                </pt>
                <pt idx="176">
                  <v>764.4798066752313</v>
                </pt>
                <pt idx="177">
                  <v>783.3268131486861</v>
                </pt>
                <pt idx="178">
                  <v>801.8464832007562</v>
                </pt>
                <pt idx="179">
                  <v>822.967307698896</v>
                </pt>
                <pt idx="180">
                  <v>842.2172398529525</v>
                </pt>
                <pt idx="181">
                  <v>861.7927147745436</v>
                </pt>
                <pt idx="182">
                  <v>884.3474875000023</v>
                </pt>
                <pt idx="183">
                  <v>904.8934348311757</v>
                </pt>
                <pt idx="184">
                  <v>925.2961133666385</v>
                </pt>
                <pt idx="185">
                  <v>948.5491738828646</v>
                </pt>
                <pt idx="186">
                  <v>969.7240027915016</v>
                </pt>
                <pt idx="187">
                  <v>991.3044296756244</v>
                </pt>
                <pt idx="188">
                  <v>1016.175285574225</v>
                </pt>
                <pt idx="189">
                  <v>1038.401723688318</v>
                </pt>
                <pt idx="190">
                  <v>1060.808191052799</v>
                </pt>
                <pt idx="191">
                  <v>1086.43919800016</v>
                </pt>
                <pt idx="192">
                  <v>1109.513437541667</v>
                </pt>
                <pt idx="193">
                  <v>1133.230340740872</v>
                </pt>
                <pt idx="194">
                  <v>1160.442414389766</v>
                </pt>
                <pt idx="195">
                  <v>1184.768855226379</v>
                </pt>
                <pt idx="196">
                  <v>1208.901125428142</v>
                </pt>
                <pt idx="197">
                  <v>1236.442375381141</v>
                </pt>
                <pt idx="198">
                  <v>1261.955344349598</v>
                </pt>
                <pt idx="199">
                  <v>1287.907143122598</v>
                </pt>
                <pt idx="200">
                  <v>1316.748844131012</v>
                </pt>
                <pt idx="201">
                  <v>1342.781784912361</v>
                </pt>
                <pt idx="202">
                  <v>1369.033148040909</v>
                </pt>
                <pt idx="203">
                  <v>1399.215260026979</v>
                </pt>
                <pt idx="204">
                  <v>1426.519680102296</v>
                </pt>
                <pt idx="205">
                  <v>1454.303129870687</v>
                </pt>
                <pt idx="206">
                  <v>1485.195318540033</v>
                </pt>
                <pt idx="207">
                  <v>1512.91085680748</v>
                </pt>
                <pt idx="208">
                  <v>1541.454065448195</v>
                </pt>
                <pt idx="209">
                  <v>1574.197633849197</v>
                </pt>
                <pt idx="210">
                  <v>1603.144321215971</v>
                </pt>
                <pt idx="211">
                  <v>1632.542723440793</v>
                </pt>
                <pt idx="212">
                  <v>1665.815736563488</v>
                </pt>
                <pt idx="213">
                  <v>1695.927154650578</v>
                </pt>
                <pt idx="214">
                  <v>1726.148017581989</v>
                </pt>
                <pt idx="215">
                  <v>1760.895237815327</v>
                </pt>
                <pt idx="216">
                  <v>1792.109224428105</v>
                </pt>
                <pt idx="217">
                  <v>1823.404853898195</v>
                </pt>
                <pt idx="218">
                  <v>1858.7218553095</v>
                </pt>
                <pt idx="219">
                  <v>1890.638761459691</v>
                </pt>
                <pt idx="220">
                  <v>1923.112507664591</v>
                </pt>
                <pt idx="221">
                  <v>1960.076388522325</v>
                </pt>
                <pt idx="222">
                  <v>1992.822447385818</v>
                </pt>
                <pt idx="223">
                  <v>2025.967035503546</v>
                </pt>
                <pt idx="224">
                  <v>2063.522568913821</v>
                </pt>
                <pt idx="225">
                  <v>2097.395340932279</v>
                </pt>
                <pt idx="226">
                  <v>2131.89699340424</v>
                </pt>
                <pt idx="227">
                  <v>2170.966183340772</v>
                </pt>
                <pt idx="228">
                  <v>2205.507336392368</v>
                </pt>
                <pt idx="229">
                  <v>2240.251431145493</v>
                </pt>
                <pt idx="230">
                  <v>2280.414448325588</v>
                </pt>
                <pt idx="231">
                  <v>2316.848794862289</v>
                </pt>
                <pt idx="232">
                  <v>2352.98151407561</v>
                </pt>
                <pt idx="233">
                  <v>2393.902932478235</v>
                </pt>
                <pt idx="234">
                  <v>2430.617445290838</v>
                </pt>
                <pt idx="235">
                  <v>2467.706852886448</v>
                </pt>
                <pt idx="236">
                  <v>2510.203743788006</v>
                </pt>
                <pt idx="237">
                  <v>2548.305885180839</v>
                </pt>
                <pt idx="238">
                  <v>2586.461687561048</v>
                </pt>
                <pt idx="239">
                  <v>2629.588502569661</v>
                </pt>
                <pt idx="240">
                  <v>2668.350621717771</v>
                </pt>
              </numCache>
            </numRef>
          </yVal>
          <smooth val="0"/>
        </ser>
        <ser>
          <idx val="2"/>
          <order val="2"/>
          <tx>
            <v>Paper ice-ocean 35 km / 1600 km pass</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Native_Chart_Data!$E$1228:$E$1468</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Native_Chart_Data!$F$1228:$F$1468</f>
              <numCache>
                <formatCode>General</formatCode>
                <ptCount val="241"/>
                <pt idx="0">
                  <v>6671.247983955018</v>
                </pt>
                <pt idx="1">
                  <v>6568.698547910094</v>
                </pt>
                <pt idx="2">
                  <v>6453.945176408153</v>
                </pt>
                <pt idx="3">
                  <v>6353.46115468528</v>
                </pt>
                <pt idx="4">
                  <v>6253.070767176094</v>
                </pt>
                <pt idx="5">
                  <v>6141.373980598753</v>
                </pt>
                <pt idx="6">
                  <v>6043.340775306347</v>
                </pt>
                <pt idx="7">
                  <v>5945.633448560878</v>
                </pt>
                <pt idx="8">
                  <v>5837.185632869482</v>
                </pt>
                <pt idx="9">
                  <v>5741.729536296609</v>
                </pt>
                <pt idx="10">
                  <v>5646.72778661647</v>
                </pt>
                <pt idx="11">
                  <v>5541.454225810645</v>
                </pt>
                <pt idx="12">
                  <v>5448.244174117029</v>
                </pt>
                <pt idx="13">
                  <v>5355.753564055641</v>
                </pt>
                <pt idx="14">
                  <v>5253.145120344409</v>
                </pt>
                <pt idx="15">
                  <v>5162.261744423181</v>
                </pt>
                <pt idx="16">
                  <v>5072.487626142399</v>
                </pt>
                <pt idx="17">
                  <v>4972.649483978989</v>
                </pt>
                <pt idx="18">
                  <v>4884.268557637219</v>
                </pt>
                <pt idx="19">
                  <v>4797.520252737129</v>
                </pt>
                <pt idx="20">
                  <v>4700.389166127265</v>
                </pt>
                <pt idx="21">
                  <v>4614.846299685642</v>
                </pt>
                <pt idx="22">
                  <v>4530.509339233608</v>
                </pt>
                <pt idx="23">
                  <v>4436.086416176702</v>
                </pt>
                <pt idx="24">
                  <v>4353.361880040486</v>
                </pt>
                <pt idx="25">
                  <v>4271.59923127733</v>
                </pt>
                <pt idx="26">
                  <v>4179.935267849888</v>
                </pt>
                <pt idx="27">
                  <v>4099.965897790397</v>
                </pt>
                <pt idx="28">
                  <v>4020.642850016849</v>
                </pt>
                <pt idx="29">
                  <v>3932.122421247778</v>
                </pt>
                <pt idx="30">
                  <v>3854.83280751004</v>
                </pt>
                <pt idx="31">
                  <v>3777.739006261174</v>
                </pt>
                <pt idx="32">
                  <v>3692.489847314434</v>
                </pt>
                <pt idx="33">
                  <v>3617.679480762276</v>
                </pt>
                <pt idx="34">
                  <v>3542.961556010592</v>
                </pt>
                <pt idx="35">
                  <v>3460.558252776189</v>
                </pt>
                <pt idx="36">
                  <v>3387.94250034722</v>
                </pt>
                <pt idx="37">
                  <v>3315.754583501918</v>
                </pt>
                <pt idx="38">
                  <v>3236.461382160853</v>
                </pt>
                <pt idx="39">
                  <v>3166.259400612073</v>
                </pt>
                <pt idx="40">
                  <v>3096.909291927255</v>
                </pt>
                <pt idx="41">
                  <v>3020.772321987884</v>
                </pt>
                <pt idx="42">
                  <v>2953.045400090821</v>
                </pt>
                <pt idx="43">
                  <v>2886.809318260782</v>
                </pt>
                <pt idx="44">
                  <v>2813.212575155434</v>
                </pt>
                <pt idx="45">
                  <v>2747.97840059239</v>
                </pt>
                <pt idx="46">
                  <v>2684.529948367152</v>
                </pt>
                <pt idx="47">
                  <v>2613.188782867433</v>
                </pt>
                <pt idx="48">
                  <v>2550.888290640085</v>
                </pt>
                <pt idx="49">
                  <v>2489.739262947346</v>
                </pt>
                <pt idx="50">
                  <v>2421.203933680219</v>
                </pt>
                <pt idx="51">
                  <v>2361.778797315506</v>
                </pt>
                <pt idx="52">
                  <v>2303.344286876124</v>
                </pt>
                <pt idx="53">
                  <v>2237.624272807097</v>
                </pt>
                <pt idx="54">
                  <v>2180.866229244237</v>
                </pt>
                <pt idx="55">
                  <v>2124.696136137851</v>
                </pt>
                <pt idx="56">
                  <v>2061.930680580621</v>
                </pt>
                <pt idx="57">
                  <v>2007.83371020111</v>
                </pt>
                <pt idx="58">
                  <v>1953.830454243078</v>
                </pt>
                <pt idx="59">
                  <v>1894.311449373728</v>
                </pt>
                <pt idx="60">
                  <v>1842.857009766618</v>
                </pt>
                <pt idx="61">
                  <v>1791.358357082996</v>
                </pt>
                <pt idx="62">
                  <v>1735.352040480807</v>
                </pt>
                <pt idx="63">
                  <v>1686.244260267678</v>
                </pt>
                <pt idx="64">
                  <v>1637.317743498817</v>
                </pt>
                <pt idx="65">
                  <v>1584.14747849348</v>
                </pt>
                <pt idx="66">
                  <v>1537.215617581521</v>
                </pt>
                <pt idx="67">
                  <v>1491.014051093173</v>
                </pt>
                <pt idx="68">
                  <v>1440.706442008946</v>
                </pt>
                <pt idx="69">
                  <v>1395.906981592618</v>
                </pt>
                <pt idx="70">
                  <v>1352.528571884253</v>
                </pt>
                <pt idx="71">
                  <v>1304.976419978421</v>
                </pt>
                <pt idx="72">
                  <v>1262.944790521118</v>
                </pt>
                <pt idx="73">
                  <v>1222.597627594122</v>
                </pt>
                <pt idx="74">
                  <v>1177.579756144796</v>
                </pt>
                <pt idx="75">
                  <v>1138.425665752362</v>
                </pt>
                <pt idx="76">
                  <v>1100.589696399725</v>
                </pt>
                <pt idx="77">
                  <v>1058.300234558607</v>
                </pt>
                <pt idx="78">
                  <v>1021.915319333229</v>
                </pt>
                <pt idx="79">
                  <v>986.6455688287625</v>
                </pt>
                <pt idx="80">
                  <v>946.9302890193869</v>
                </pt>
                <pt idx="81">
                  <v>913.3884443529539</v>
                </pt>
                <pt idx="82">
                  <v>880.5229562915246</v>
                </pt>
                <pt idx="83">
                  <v>843.8524115089209</v>
                </pt>
                <pt idx="84">
                  <v>813.2058487052462</v>
                </pt>
                <pt idx="85">
                  <v>782.2383189807089</v>
                </pt>
                <pt idx="86">
                  <v>748.930867688338</v>
                </pt>
                <pt idx="87">
                  <v>720.4332419129369</v>
                </pt>
                <pt idx="88">
                  <v>691.9670551954491</v>
                </pt>
                <pt idx="89">
                  <v>661.6899994846148</v>
                </pt>
                <pt idx="90">
                  <v>635.6982552438569</v>
                </pt>
                <pt idx="91">
                  <v>609.849884961899</v>
                </pt>
                <pt idx="92">
                  <v>582.8251281434001</v>
                </pt>
                <pt idx="93">
                  <v>559.2121214109366</v>
                </pt>
                <pt idx="94">
                  <v>536.2003689690118</v>
                </pt>
                <pt idx="95">
                  <v>512.3169245672517</v>
                </pt>
                <pt idx="96">
                  <v>490.8644375961172</v>
                </pt>
                <pt idx="97">
                  <v>470.8262366207249</v>
                </pt>
                <pt idx="98">
                  <v>449.3851411697208</v>
                </pt>
                <pt idx="99">
                  <v>430.3095956434267</v>
                </pt>
                <pt idx="100">
                  <v>413.1350158736116</v>
                </pt>
                <pt idx="101">
                  <v>394.1057476591347</v>
                </pt>
                <pt idx="102">
                  <v>377.823734530949</v>
                </pt>
                <pt idx="103">
                  <v>363.286517708251</v>
                </pt>
                <pt idx="104">
                  <v>347.0216034279439</v>
                </pt>
                <pt idx="105">
                  <v>333.7679420618156</v>
                </pt>
                <pt idx="106">
                  <v>321.745419179531</v>
                </pt>
                <pt idx="107">
                  <v>308.0933863732902</v>
                </pt>
                <pt idx="108">
                  <v>297.7926899590728</v>
                </pt>
                <pt idx="109">
                  <v>287.9944488822991</v>
                </pt>
                <pt idx="110">
                  <v>277.3442752047213</v>
                </pt>
                <pt idx="111">
                  <v>269.6889774389342</v>
                </pt>
                <pt idx="112">
                  <v>262.1373262830445</v>
                </pt>
                <pt idx="113">
                  <v>254.9051987890375</v>
                </pt>
                <pt idx="114">
                  <v>249.7976897808702</v>
                </pt>
                <pt idx="115">
                  <v>244.8370351232005</v>
                </pt>
                <pt idx="116">
                  <v>241.1070862491305</v>
                </pt>
                <pt idx="117">
                  <v>238.494680355643</v>
                </pt>
                <pt idx="118">
                  <v>235.9173120128643</v>
                </pt>
                <pt idx="119">
                  <v>234.3495758593705</v>
                </pt>
                <pt idx="120">
                  <v>233.5278769914027</v>
                </pt>
                <pt idx="121">
                  <v>233.4503745229762</v>
                </pt>
                <pt idx="122">
                  <v>235.1984156711979</v>
                </pt>
                <pt idx="123">
                  <v>237.0225960137918</v>
                </pt>
                <pt idx="124">
                  <v>240.0956500649409</v>
                </pt>
                <pt idx="125">
                  <v>244.7114671431922</v>
                </pt>
                <pt idx="126">
                  <v>249.1472544636119</v>
                </pt>
                <pt idx="127">
                  <v>255.2187398952393</v>
                </pt>
                <pt idx="128">
                  <v>262.3743325123983</v>
                </pt>
                <pt idx="129">
                  <v>269.4946439852789</v>
                </pt>
                <pt idx="130">
                  <v>278.0034259719433</v>
                </pt>
                <pt idx="131">
                  <v>287.8679845367436</v>
                </pt>
                <pt idx="132">
                  <v>297.5514467080143</v>
                </pt>
                <pt idx="133">
                  <v>308.6811186067188</v>
                </pt>
                <pt idx="134">
                  <v>321.2488938952043</v>
                </pt>
                <pt idx="135">
                  <v>333.9690786324356</v>
                </pt>
                <pt idx="136">
                  <v>347.4742226683497</v>
                </pt>
                <pt idx="137">
                  <v>363.0011899782957</v>
                </pt>
                <pt idx="138">
                  <v>378.4062789597639</v>
                </pt>
                <pt idx="139">
                  <v>393.9604119847854</v>
                </pt>
                <pt idx="140">
                  <v>412.6730671989272</v>
                </pt>
                <pt idx="141">
                  <v>430.4704881029929</v>
                </pt>
                <pt idx="142">
                  <v>448.6577424751093</v>
                </pt>
                <pt idx="143">
                  <v>470.3583475486286</v>
                </pt>
                <pt idx="144">
                  <v>490.82527033564</v>
                </pt>
                <pt idx="145">
                  <v>511.5210445892675</v>
                </pt>
                <pt idx="146">
                  <v>536.6856283700555</v>
                </pt>
                <pt idx="147">
                  <v>559.4378939715417</v>
                </pt>
                <pt idx="148">
                  <v>582.8549827037858</v>
                </pt>
                <pt idx="149">
                  <v>610.8989509460198</v>
                </pt>
                <pt idx="150">
                  <v>635.824455949096</v>
                </pt>
                <pt idx="151">
                  <v>661.951510687387</v>
                </pt>
                <pt idx="152">
                  <v>692.4932720409962</v>
                </pt>
                <pt idx="153">
                  <v>719.9887342761264</v>
                </pt>
                <pt idx="154">
                  <v>748.8612775855725</v>
                </pt>
                <pt idx="155">
                  <v>782.0432729637544</v>
                </pt>
                <pt idx="156">
                  <v>812.3078287201135</v>
                </pt>
                <pt idx="157">
                  <v>843.9902399095372</v>
                </pt>
                <pt idx="158">
                  <v>880.1287937053022</v>
                </pt>
                <pt idx="159">
                  <v>913.151539552081</v>
                </pt>
                <pt idx="160">
                  <v>947.3352741557241</v>
                </pt>
                <pt idx="161">
                  <v>986.2109894672132</v>
                </pt>
                <pt idx="162">
                  <v>1021.989823650737</v>
                </pt>
                <pt idx="163">
                  <v>1058.645815735003</v>
                </pt>
                <pt idx="164">
                  <v>1100.222835469048</v>
                </pt>
                <pt idx="165">
                  <v>1138.760557432294</v>
                </pt>
                <pt idx="166">
                  <v>1177.736652108535</v>
                </pt>
                <pt idx="167">
                  <v>1222.605728136723</v>
                </pt>
                <pt idx="168">
                  <v>1263.743697634232</v>
                </pt>
                <pt idx="169">
                  <v>1304.993058303427</v>
                </pt>
                <pt idx="170">
                  <v>1352.949638743405</v>
                </pt>
                <pt idx="171">
                  <v>1396.347301903672</v>
                </pt>
                <pt idx="172">
                  <v>1440.15613079986</v>
                </pt>
                <pt idx="173">
                  <v>1491.028404415411</v>
                </pt>
                <pt idx="174">
                  <v>1536.794716543872</v>
                </pt>
                <pt idx="175">
                  <v>1583.219543020565</v>
                </pt>
                <pt idx="176">
                  <v>1637.341118267035</v>
                </pt>
                <pt idx="177">
                  <v>1685.539495397916</v>
                </pt>
                <pt idx="178">
                  <v>1735.101566695354</v>
                </pt>
                <pt idx="179">
                  <v>1791.951268996203</v>
                </pt>
                <pt idx="180">
                  <v>1842.779486102344</v>
                </pt>
                <pt idx="181">
                  <v>1894.947135296302</v>
                </pt>
                <pt idx="182">
                  <v>1954.255429976066</v>
                </pt>
                <pt idx="183">
                  <v>2007.796231253652</v>
                </pt>
                <pt idx="184">
                  <v>2062.455898139374</v>
                </pt>
                <pt idx="185">
                  <v>2124.427620402391</v>
                </pt>
                <pt idx="186">
                  <v>2180.714249526636</v>
                </pt>
                <pt idx="187">
                  <v>2237.976220562794</v>
                </pt>
                <pt idx="188">
                  <v>2302.749358961962</v>
                </pt>
                <pt idx="189">
                  <v>2361.943478253394</v>
                </pt>
                <pt idx="190">
                  <v>2421.619819894157</v>
                </pt>
                <pt idx="191">
                  <v>2489.383536065449</v>
                </pt>
                <pt idx="192">
                  <v>2551.147276330118</v>
                </pt>
                <pt idx="193">
                  <v>2612.957494231793</v>
                </pt>
                <pt idx="194">
                  <v>2683.918512986005</v>
                </pt>
                <pt idx="195">
                  <v>2748.153958217591</v>
                </pt>
                <pt idx="196">
                  <v>2812.643021194951</v>
                </pt>
                <pt idx="197">
                  <v>2886.745461194616</v>
                </pt>
                <pt idx="198">
                  <v>2953.483332694317</v>
                </pt>
                <pt idx="199">
                  <v>3020.547672175684</v>
                </pt>
                <pt idx="200">
                  <v>3097.752767815995</v>
                </pt>
                <pt idx="201">
                  <v>3166.735834638819</v>
                </pt>
                <pt idx="202">
                  <v>3236.505927024444</v>
                </pt>
                <pt idx="203">
                  <v>3316.518811792081</v>
                </pt>
                <pt idx="204">
                  <v>3387.654474031865</v>
                </pt>
                <pt idx="205">
                  <v>3460.201596785361</v>
                </pt>
                <pt idx="206">
                  <v>3542.824705902011</v>
                </pt>
                <pt idx="207">
                  <v>3616.803052164903</v>
                </pt>
                <pt idx="208">
                  <v>3692.183049402464</v>
                </pt>
                <pt idx="209">
                  <v>3777.620310828631</v>
                </pt>
                <pt idx="210">
                  <v>3854.309398143713</v>
                </pt>
                <pt idx="211">
                  <v>3932.416589351477</v>
                </pt>
                <pt idx="212">
                  <v>4020.582021138383</v>
                </pt>
                <pt idx="213">
                  <v>4100.086231470473</v>
                </pt>
                <pt idx="214">
                  <v>4180.572495711696</v>
                </pt>
                <pt idx="215">
                  <v>4271.258134863096</v>
                </pt>
                <pt idx="216">
                  <v>4353.623915424465</v>
                </pt>
                <pt idx="217">
                  <v>4436.528431704854</v>
                </pt>
                <pt idx="218">
                  <v>4530.328279283201</v>
                </pt>
                <pt idx="219">
                  <v>4615.429406695019</v>
                </pt>
                <pt idx="220">
                  <v>4700.403112212438</v>
                </pt>
                <pt idx="221">
                  <v>4797.53673547179</v>
                </pt>
                <pt idx="222">
                  <v>4885.016887178556</v>
                </pt>
                <pt idx="223">
                  <v>4972.441868329191</v>
                </pt>
                <pt idx="224">
                  <v>5072.579931717361</v>
                </pt>
                <pt idx="225">
                  <v>5162.294064360414</v>
                </pt>
                <pt idx="226">
                  <v>5252.466158272302</v>
                </pt>
                <pt idx="227">
                  <v>5355.548700407056</v>
                </pt>
                <pt idx="228">
                  <v>5447.708509483361</v>
                </pt>
                <pt idx="229">
                  <v>5540.683579849159</v>
                </pt>
                <pt idx="230">
                  <v>5646.961536636373</v>
                </pt>
                <pt idx="231">
                  <v>5741.526745204012</v>
                </pt>
                <pt idx="232">
                  <v>5837.535406144047</v>
                </pt>
                <pt idx="233">
                  <v>5946.358306967192</v>
                </pt>
                <pt idx="234">
                  <v>6043.438309182107</v>
                </pt>
                <pt idx="235">
                  <v>6142.145466617225</v>
                </pt>
                <pt idx="236">
                  <v>6253.28384796419</v>
                </pt>
                <pt idx="237">
                  <v>6353.093574137482</v>
                </pt>
                <pt idx="238">
                  <v>6454.213123168585</v>
                </pt>
                <pt idx="239">
                  <v>6568.286774941211</v>
                </pt>
                <pt idx="240">
                  <v>6670.970351393163</v>
                </pt>
              </numCache>
            </numRef>
          </yVal>
          <smooth val="0"/>
        </ser>
        <ser>
          <idx val="3"/>
          <order val="3"/>
          <tx>
            <v>Operating 25 km / 1600 km pass</v>
          </tx>
          <spPr>
            <a:ln xmlns:a="http://schemas.openxmlformats.org/drawingml/2006/main" w="19050">
              <a:solidFill>
                <a:srgbClr val="7C3AED"/>
              </a:solidFill>
              <a:prstDash val="solid"/>
            </a:ln>
          </spPr>
          <marker>
            <symbol val="none"/>
            <spPr>
              <a:ln xmlns:a="http://schemas.openxmlformats.org/drawingml/2006/main">
                <a:prstDash val="solid"/>
              </a:ln>
            </spPr>
          </marker>
          <xVal>
            <numRef>
              <f>Native_Chart_Data!$G$1228:$G$1468</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Native_Chart_Data!$H$1228:$H$1468</f>
              <numCache>
                <formatCode>General</formatCode>
                <ptCount val="241"/>
                <pt idx="0">
                  <v>6671.247983955018</v>
                </pt>
                <pt idx="1">
                  <v>6567.635412425879</v>
                </pt>
                <pt idx="2">
                  <v>6451.696220565506</v>
                </pt>
                <pt idx="3">
                  <v>6350.167209245199</v>
                </pt>
                <pt idx="4">
                  <v>6248.740371379414</v>
                </pt>
                <pt idx="5">
                  <v>6135.88778521221</v>
                </pt>
                <pt idx="6">
                  <v>6036.836275449983</v>
                </pt>
                <pt idx="7">
                  <v>5938.11918347553</v>
                </pt>
                <pt idx="8">
                  <v>5828.545588962841</v>
                </pt>
                <pt idx="9">
                  <v>5732.097873047763</v>
                </pt>
                <pt idx="10">
                  <v>5636.113043266255</v>
                </pt>
                <pt idx="11">
                  <v>5529.743724407704</v>
                </pt>
                <pt idx="12">
                  <v>5435.568738499499</v>
                </pt>
                <pt idx="13">
                  <v>5342.121733464359</v>
                </pt>
                <pt idx="14">
                  <v>5238.447552468971</v>
                </pt>
                <pt idx="15">
                  <v>5146.625927460767</v>
                </pt>
                <pt idx="16">
                  <v>5055.922099333849</v>
                </pt>
                <pt idx="17">
                  <v>4955.04824065485</v>
                </pt>
                <pt idx="18">
                  <v>4865.75575035372</v>
                </pt>
                <pt idx="19">
                  <v>4778.104420735111</v>
                </pt>
                <pt idx="20">
                  <v>4679.967638378224</v>
                </pt>
                <pt idx="21">
                  <v>4593.53989310486</v>
                </pt>
                <pt idx="22">
                  <v>4508.326593061922</v>
                </pt>
                <pt idx="23">
                  <v>4412.927995026562</v>
                </pt>
                <pt idx="24">
                  <v>4329.345265186219</v>
                </pt>
                <pt idx="25">
                  <v>4246.732961959774</v>
                </pt>
                <pt idx="26">
                  <v>4154.123344322445</v>
                </pt>
                <pt idx="27">
                  <v>4073.322465686445</v>
                </pt>
                <pt idx="28">
                  <v>3993.176448577224</v>
                </pt>
                <pt idx="29">
                  <v>3903.740386366833</v>
                </pt>
                <pt idx="30">
                  <v>3825.645949180202</v>
                </pt>
                <pt idx="31">
                  <v>3747.75586372328</v>
                </pt>
                <pt idx="32">
                  <v>3661.621092103788</v>
                </pt>
                <pt idx="33">
                  <v>3586.032587230351</v>
                </pt>
                <pt idx="34">
                  <v>3510.545063398227</v>
                </pt>
                <pt idx="35">
                  <v>3427.286168259639</v>
                </pt>
                <pt idx="36">
                  <v>3353.918962637008</v>
                </pt>
                <pt idx="37">
                  <v>3280.988131838881</v>
                </pt>
                <pt idx="38">
                  <v>3200.869359362202</v>
                </pt>
                <pt idx="39">
                  <v>3129.942609747374</v>
                </pt>
                <pt idx="40">
                  <v>3059.876272237346</v>
                </pt>
                <pt idx="41">
                  <v>2982.943751930928</v>
                </pt>
                <pt idx="42">
                  <v>2914.518747095435</v>
                </pt>
                <pt idx="43">
                  <v>2847.593121567802</v>
                </pt>
                <pt idx="44">
                  <v>2773.230848863975</v>
                </pt>
                <pt idx="45">
                  <v>2707.325276490115</v>
                </pt>
                <pt idx="46">
                  <v>2643.2139656949</v>
                </pt>
                <pt idx="47">
                  <v>2571.137291365269</v>
                </pt>
                <pt idx="48">
                  <v>2508.192086454721</v>
                </pt>
                <pt idx="49">
                  <v>2446.406885319621</v>
                </pt>
                <pt idx="50">
                  <v>2377.16606799115</v>
                </pt>
                <pt idx="51">
                  <v>2317.122904070853</v>
                </pt>
                <pt idx="52">
                  <v>2258.078905316726</v>
                </pt>
                <pt idx="53">
                  <v>2191.683423954921</v>
                </pt>
                <pt idx="54">
                  <v>2134.334037964095</v>
                </pt>
                <pt idx="55">
                  <v>2077.581141670579</v>
                </pt>
                <pt idx="56">
                  <v>2014.170239589141</v>
                </pt>
                <pt idx="57">
                  <v>1959.508611909278</v>
                </pt>
                <pt idx="58">
                  <v>1904.949237891731</v>
                </pt>
                <pt idx="59">
                  <v>1844.81480726674</v>
                </pt>
                <pt idx="60">
                  <v>1792.822395486895</v>
                </pt>
                <pt idx="61">
                  <v>1740.794309871374</v>
                </pt>
                <pt idx="62">
                  <v>1684.202588282113</v>
                </pt>
                <pt idx="63">
                  <v>1634.583521023864</v>
                </pt>
                <pt idx="64">
                  <v>1585.15425645072</v>
                </pt>
                <pt idx="65">
                  <v>1531.428607226878</v>
                </pt>
                <pt idx="66">
                  <v>1484.012144397416</v>
                </pt>
                <pt idx="67">
                  <v>1437.334515232401</v>
                </pt>
                <pt idx="68">
                  <v>1386.501542698236</v>
                </pt>
                <pt idx="69">
                  <v>1341.244165492021</v>
                </pt>
                <pt idx="70">
                  <v>1297.416378234605</v>
                </pt>
                <pt idx="71">
                  <v>1249.368883647403</v>
                </pt>
                <pt idx="72">
                  <v>1206.906022527829</v>
                </pt>
                <pt idx="73">
                  <v>1166.136167179397</v>
                </pt>
                <pt idx="74">
                  <v>1120.65297381727</v>
                </pt>
                <pt idx="75">
                  <v>1081.09433689018</v>
                </pt>
                <pt idx="76">
                  <v>1042.862360243723</v>
                </pt>
                <pt idx="77">
                  <v>1000.137597258372</v>
                </pt>
                <pt idx="78">
                  <v>963.3748206259534</v>
                </pt>
                <pt idx="79">
                  <v>927.7357479552833</v>
                </pt>
                <pt idx="80">
                  <v>887.615187770242</v>
                </pt>
                <pt idx="81">
                  <v>853.7221668243844</v>
                </pt>
                <pt idx="82">
                  <v>820.5140417243678</v>
                </pt>
                <pt idx="83">
                  <v>783.468237334666</v>
                </pt>
                <pt idx="84">
                  <v>752.4971833791826</v>
                </pt>
                <pt idx="85">
                  <v>721.2137017436736</v>
                </pt>
                <pt idx="86">
                  <v>687.5610116127726</v>
                </pt>
                <pt idx="87">
                  <v>658.7655798131786</v>
                </pt>
                <pt idx="88">
                  <v>630.010126312335</v>
                </pt>
                <pt idx="89">
                  <v>599.4178525315383</v>
                </pt>
                <pt idx="90">
                  <v>573.1549873942034</v>
                </pt>
                <pt idx="91">
                  <v>547.0440354565055</v>
                </pt>
                <pt idx="92">
                  <v>519.7340813366122</v>
                </pt>
                <pt idx="93">
                  <v>495.8766388351875</v>
                </pt>
                <pt idx="94">
                  <v>472.6289898651386</v>
                </pt>
                <pt idx="95">
                  <v>448.4903689305519</v>
                </pt>
                <pt idx="96">
                  <v>426.820131318072</v>
                </pt>
                <pt idx="97">
                  <v>406.5727189421714</v>
                </pt>
                <pt idx="98">
                  <v>384.9064677269085</v>
                </pt>
                <pt idx="99">
                  <v>365.639856686885</v>
                </pt>
                <pt idx="100">
                  <v>348.2827506441774</v>
                </pt>
                <pt idx="101">
                  <v>329.0583474340097</v>
                </pt>
                <pt idx="102">
                  <v>312.6119539197102</v>
                </pt>
                <pt idx="103">
                  <v>297.9188959517357</v>
                </pt>
                <pt idx="104">
                  <v>281.4888674443055</v>
                </pt>
                <pt idx="105">
                  <v>268.0975108196794</v>
                </pt>
                <pt idx="106">
                  <v>255.9458319197341</v>
                </pt>
                <pt idx="107">
                  <v>242.158705654938</v>
                </pt>
                <pt idx="108">
                  <v>231.7469991098386</v>
                </pt>
                <pt idx="109">
                  <v>221.8462871430202</v>
                </pt>
                <pt idx="110">
                  <v>211.0910407754549</v>
                </pt>
                <pt idx="111">
                  <v>203.3514180064017</v>
                </pt>
                <pt idx="112">
                  <v>195.723981088083</v>
                </pt>
                <pt idx="113">
                  <v>188.4168016726564</v>
                </pt>
                <pt idx="114">
                  <v>183.2516527888388</v>
                </pt>
                <pt idx="115">
                  <v>178.241897496356</v>
                </pt>
                <pt idx="116">
                  <v>174.4669174694342</v>
                </pt>
                <pt idx="117">
                  <v>171.8235568279124</v>
                </pt>
                <pt idx="118">
                  <v>169.2237729779363</v>
                </pt>
                <pt idx="119">
                  <v>167.6410264401586</v>
                </pt>
                <pt idx="120">
                  <v>166.8150579517723</v>
                </pt>
                <pt idx="121">
                  <v>166.7418251037643</v>
                </pt>
                <pt idx="122">
                  <v>168.5048766362699</v>
                </pt>
                <pt idx="123">
                  <v>170.3514724860612</v>
                </pt>
                <pt idx="124">
                  <v>173.4554812852446</v>
                </pt>
                <pt idx="125">
                  <v>178.1163295163477</v>
                </pt>
                <pt idx="126">
                  <v>182.6012174715806</v>
                </pt>
                <pt idx="127">
                  <v>188.7303427788582</v>
                </pt>
                <pt idx="128">
                  <v>195.9609873174368</v>
                </pt>
                <pt idx="129">
                  <v>203.1570845527464</v>
                </pt>
                <pt idx="130">
                  <v>211.7501915426769</v>
                </pt>
                <pt idx="131">
                  <v>221.7198227974646</v>
                </pt>
                <pt idx="132">
                  <v>231.5057558587802</v>
                </pt>
                <pt idx="133">
                  <v>242.7464378883666</v>
                </pt>
                <pt idx="134">
                  <v>255.4493066354074</v>
                </pt>
                <pt idx="135">
                  <v>268.2986473902994</v>
                </pt>
                <pt idx="136">
                  <v>281.9414866847113</v>
                </pt>
                <pt idx="137">
                  <v>297.6335682217804</v>
                </pt>
                <pt idx="138">
                  <v>313.1944983485251</v>
                </pt>
                <pt idx="139">
                  <v>328.9130117596604</v>
                </pt>
                <pt idx="140">
                  <v>347.8208019694931</v>
                </pt>
                <pt idx="141">
                  <v>365.8007491464512</v>
                </pt>
                <pt idx="142">
                  <v>384.1790690322971</v>
                </pt>
                <pt idx="143">
                  <v>406.1048298700752</v>
                </pt>
                <pt idx="144">
                  <v>426.7809640575946</v>
                </pt>
                <pt idx="145">
                  <v>447.6944889525677</v>
                </pt>
                <pt idx="146">
                  <v>473.1142492661822</v>
                </pt>
                <pt idx="147">
                  <v>496.1024113957927</v>
                </pt>
                <pt idx="148">
                  <v>519.763935896998</v>
                </pt>
                <pt idx="149">
                  <v>548.0931014406264</v>
                </pt>
                <pt idx="150">
                  <v>573.2811880994424</v>
                </pt>
                <pt idx="151">
                  <v>599.6793637343105</v>
                </pt>
                <pt idx="152">
                  <v>630.536343157882</v>
                </pt>
                <pt idx="153">
                  <v>658.3210721763679</v>
                </pt>
                <pt idx="154">
                  <v>687.4914215100071</v>
                </pt>
                <pt idx="155">
                  <v>721.0186557267192</v>
                </pt>
                <pt idx="156">
                  <v>751.5991633940498</v>
                </pt>
                <pt idx="157">
                  <v>783.6060657352823</v>
                </pt>
                <pt idx="158">
                  <v>820.1198791381454</v>
                </pt>
                <pt idx="159">
                  <v>853.4852620235116</v>
                </pt>
                <pt idx="160">
                  <v>888.0201729065793</v>
                </pt>
                <pt idx="161">
                  <v>927.3011685937341</v>
                </pt>
                <pt idx="162">
                  <v>963.4493249434615</v>
                </pt>
                <pt idx="163">
                  <v>1000.483178434768</v>
                </pt>
                <pt idx="164">
                  <v>1042.495499313046</v>
                </pt>
                <pt idx="165">
                  <v>1081.429228570111</v>
                </pt>
                <pt idx="166">
                  <v>1120.809869781009</v>
                </pt>
                <pt idx="167">
                  <v>1166.144267721998</v>
                </pt>
                <pt idx="168">
                  <v>1207.704929640943</v>
                </pt>
                <pt idx="169">
                  <v>1249.38552197241</v>
                </pt>
                <pt idx="170">
                  <v>1297.837445093757</v>
                </pt>
                <pt idx="171">
                  <v>1341.684485803075</v>
                </pt>
                <pt idx="172">
                  <v>1385.951231489151</v>
                </pt>
                <pt idx="173">
                  <v>1437.348868554639</v>
                </pt>
                <pt idx="174">
                  <v>1483.591243359767</v>
                </pt>
                <pt idx="175">
                  <v>1530.500671753964</v>
                </pt>
                <pt idx="176">
                  <v>1585.177631218939</v>
                </pt>
                <pt idx="177">
                  <v>1633.878756154103</v>
                </pt>
                <pt idx="178">
                  <v>1683.95211449666</v>
                </pt>
                <pt idx="179">
                  <v>1741.387221784581</v>
                </pt>
                <pt idx="180">
                  <v>1792.744871822621</v>
                </pt>
                <pt idx="181">
                  <v>1845.450493189315</v>
                </pt>
                <pt idx="182">
                  <v>1905.37421362472</v>
                </pt>
                <pt idx="183">
                  <v>1959.471132961819</v>
                </pt>
                <pt idx="184">
                  <v>2014.695457147894</v>
                </pt>
                <pt idx="185">
                  <v>2077.312625935119</v>
                </pt>
                <pt idx="186">
                  <v>2134.182058246494</v>
                </pt>
                <pt idx="187">
                  <v>2192.035371710619</v>
                </pt>
                <pt idx="188">
                  <v>2257.483977402564</v>
                </pt>
                <pt idx="189">
                  <v>2317.287585008742</v>
                </pt>
                <pt idx="190">
                  <v>2377.581954205088</v>
                </pt>
                <pt idx="191">
                  <v>2446.051158437724</v>
                </pt>
                <pt idx="192">
                  <v>2508.451072144754</v>
                </pt>
                <pt idx="193">
                  <v>2570.906002729628</v>
                </pt>
                <pt idx="194">
                  <v>2642.602530313753</v>
                </pt>
                <pt idx="195">
                  <v>2707.500834115316</v>
                </pt>
                <pt idx="196">
                  <v>2772.661294903492</v>
                </pt>
                <pt idx="197">
                  <v>2847.529264501636</v>
                </pt>
                <pt idx="198">
                  <v>2914.95667969893</v>
                </pt>
                <pt idx="199">
                  <v>2982.719102118728</v>
                </pt>
                <pt idx="200">
                  <v>3060.719748126086</v>
                </pt>
                <pt idx="201">
                  <v>3130.41904377412</v>
                </pt>
                <pt idx="202">
                  <v>3200.913904225792</v>
                </pt>
                <pt idx="203">
                  <v>3281.752360129045</v>
                </pt>
                <pt idx="204">
                  <v>3353.630936321653</v>
                </pt>
                <pt idx="205">
                  <v>3426.929512268812</v>
                </pt>
                <pt idx="206">
                  <v>3510.408213289646</v>
                </pt>
                <pt idx="207">
                  <v>3585.156158632978</v>
                </pt>
                <pt idx="208">
                  <v>3661.314294191818</v>
                </pt>
                <pt idx="209">
                  <v>3747.637168290737</v>
                </pt>
                <pt idx="210">
                  <v>3825.122539813875</v>
                </pt>
                <pt idx="211">
                  <v>3904.034554470532</v>
                </pt>
                <pt idx="212">
                  <v>3993.115619698759</v>
                </pt>
                <pt idx="213">
                  <v>4073.44279936652</v>
                </pt>
                <pt idx="214">
                  <v>4154.760572184254</v>
                </pt>
                <pt idx="215">
                  <v>4246.39186554554</v>
                </pt>
                <pt idx="216">
                  <v>4329.607300570197</v>
                </pt>
                <pt idx="217">
                  <v>4413.370010554713</v>
                </pt>
                <pt idx="218">
                  <v>4508.145533111514</v>
                </pt>
                <pt idx="219">
                  <v>4594.123000114237</v>
                </pt>
                <pt idx="220">
                  <v>4679.981584463398</v>
                </pt>
                <pt idx="221">
                  <v>4778.120903469772</v>
                </pt>
                <pt idx="222">
                  <v>4866.504079895059</v>
                </pt>
                <pt idx="223">
                  <v>4954.840625005051</v>
                </pt>
                <pt idx="224">
                  <v>5056.01440490881</v>
                </pt>
                <pt idx="225">
                  <v>5146.658247398001</v>
                </pt>
                <pt idx="226">
                  <v>5237.768590396863</v>
                </pt>
                <pt idx="227">
                  <v>5341.916869815773</v>
                </pt>
                <pt idx="228">
                  <v>5435.03307386583</v>
                </pt>
                <pt idx="229">
                  <v>5528.973078446219</v>
                </pt>
                <pt idx="230">
                  <v>5636.346793286159</v>
                </pt>
                <pt idx="231">
                  <v>5731.895081955166</v>
                </pt>
                <pt idx="232">
                  <v>5828.895362237407</v>
                </pt>
                <pt idx="233">
                  <v>5938.844041881845</v>
                </pt>
                <pt idx="234">
                  <v>6036.933809325743</v>
                </pt>
                <pt idx="235">
                  <v>6136.659271230682</v>
                </pt>
                <pt idx="236">
                  <v>6248.953452167508</v>
                </pt>
                <pt idx="237">
                  <v>6349.7996286974</v>
                </pt>
                <pt idx="238">
                  <v>6451.96416732594</v>
                </pt>
                <pt idx="239">
                  <v>6567.223639456995</v>
                </pt>
                <pt idx="240">
                  <v>6670.970351393163</v>
                </pt>
              </numCache>
            </numRef>
          </yVal>
          <smooth val="0"/>
        </ser>
        <dLbls>
          <showLegendKey val="0"/>
          <showVal val="0"/>
          <showCatName val="0"/>
          <showSerName val="0"/>
          <showPercent val="0"/>
          <showBubbleSize val="0"/>
        </dLbls>
        <axId val="700012"/>
        <axId val="700013"/>
      </scatterChart>
      <valAx>
        <axId val="700012"/>
        <scaling>
          <orientation val="minMax"/>
          <max val="1000"/>
          <min val="-10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13"/>
        <crosses val="min"/>
        <crossBetween val="midCat"/>
        <majorUnit val="500"/>
      </valAx>
      <valAx>
        <axId val="700013"/>
        <scaling>
          <orientation val="minMax"/>
          <max val="12000"/>
          <min val="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Two-way return delay (microseconds)</a:t>
                </a:r>
              </a:p>
            </rich>
          </tx>
          <overlay val="0"/>
        </title>
        <numFmt formatCode="General" sourceLinked="0"/>
        <majorTickMark val="none"/>
        <minorTickMark val="none"/>
        <tickLblPos val="nextTo"/>
        <crossAx val="700012"/>
        <crosses val="min"/>
        <crossBetween val="midCat"/>
        <majorUnit val="20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7.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Off-Nadir Radar Delay by Flyby: Without Topography</a:t>
            </a:r>
          </a:p>
        </rich>
      </tx>
      <overlay val="0"/>
    </title>
    <plotArea>
      <layout/>
      <scatterChart>
        <scatterStyle val="lineMarker"/>
        <varyColors val="0"/>
        <ser>
          <idx val="0"/>
          <order val="0"/>
          <tx>
            <v>Custom 400 km / 120 km pass</v>
          </tx>
          <spPr>
            <a:ln xmlns:a="http://schemas.openxmlformats.org/drawingml/2006/main" w="19050">
              <a:solidFill>
                <a:srgbClr val="0E74CA"/>
              </a:solidFill>
              <a:prstDash val="solid"/>
            </a:ln>
          </spPr>
          <marker>
            <symbol val="none"/>
            <spPr>
              <a:ln xmlns:a="http://schemas.openxmlformats.org/drawingml/2006/main">
                <a:prstDash val="solid"/>
              </a:ln>
            </spPr>
          </marker>
          <xVal>
            <numRef>
              <f>Native_Chart_Data!$A$1473:$A$1713</f>
              <numCache>
                <formatCode>General</formatCode>
                <ptCount val="241"/>
                <pt idx="0">
                  <v>-60</v>
                </pt>
                <pt idx="1">
                  <v>-59.52</v>
                </pt>
                <pt idx="2">
                  <v>-58.98</v>
                </pt>
                <pt idx="3">
                  <v>-58.5</v>
                </pt>
                <pt idx="4">
                  <v>-58.02</v>
                </pt>
                <pt idx="5">
                  <v>-57.48</v>
                </pt>
                <pt idx="6">
                  <v>-57</v>
                </pt>
                <pt idx="7">
                  <v>-56.52</v>
                </pt>
                <pt idx="8">
                  <v>-55.98</v>
                </pt>
                <pt idx="9">
                  <v>-55.5</v>
                </pt>
                <pt idx="10">
                  <v>-55.02</v>
                </pt>
                <pt idx="11">
                  <v>-54.48</v>
                </pt>
                <pt idx="12">
                  <v>-54</v>
                </pt>
                <pt idx="13">
                  <v>-53.52</v>
                </pt>
                <pt idx="14">
                  <v>-52.98</v>
                </pt>
                <pt idx="15">
                  <v>-52.5</v>
                </pt>
                <pt idx="16">
                  <v>-52.02</v>
                </pt>
                <pt idx="17">
                  <v>-51.48</v>
                </pt>
                <pt idx="18">
                  <v>-51</v>
                </pt>
                <pt idx="19">
                  <v>-50.52</v>
                </pt>
                <pt idx="20">
                  <v>-49.98</v>
                </pt>
                <pt idx="21">
                  <v>-49.5</v>
                </pt>
                <pt idx="22">
                  <v>-49.02</v>
                </pt>
                <pt idx="23">
                  <v>-48.48</v>
                </pt>
                <pt idx="24">
                  <v>-48</v>
                </pt>
                <pt idx="25">
                  <v>-47.52</v>
                </pt>
                <pt idx="26">
                  <v>-46.98</v>
                </pt>
                <pt idx="27">
                  <v>-46.5</v>
                </pt>
                <pt idx="28">
                  <v>-46.02</v>
                </pt>
                <pt idx="29">
                  <v>-45.48</v>
                </pt>
                <pt idx="30">
                  <v>-45</v>
                </pt>
                <pt idx="31">
                  <v>-44.52</v>
                </pt>
                <pt idx="32">
                  <v>-43.98</v>
                </pt>
                <pt idx="33">
                  <v>-43.5</v>
                </pt>
                <pt idx="34">
                  <v>-43.02</v>
                </pt>
                <pt idx="35">
                  <v>-42.48</v>
                </pt>
                <pt idx="36">
                  <v>-42</v>
                </pt>
                <pt idx="37">
                  <v>-41.52</v>
                </pt>
                <pt idx="38">
                  <v>-40.98</v>
                </pt>
                <pt idx="39">
                  <v>-40.5</v>
                </pt>
                <pt idx="40">
                  <v>-40.02</v>
                </pt>
                <pt idx="41">
                  <v>-39.48</v>
                </pt>
                <pt idx="42">
                  <v>-39</v>
                </pt>
                <pt idx="43">
                  <v>-38.52</v>
                </pt>
                <pt idx="44">
                  <v>-37.98</v>
                </pt>
                <pt idx="45">
                  <v>-37.5</v>
                </pt>
                <pt idx="46">
                  <v>-37.02</v>
                </pt>
                <pt idx="47">
                  <v>-36.48</v>
                </pt>
                <pt idx="48">
                  <v>-36</v>
                </pt>
                <pt idx="49">
                  <v>-35.52</v>
                </pt>
                <pt idx="50">
                  <v>-34.98</v>
                </pt>
                <pt idx="51">
                  <v>-34.5</v>
                </pt>
                <pt idx="52">
                  <v>-34.02</v>
                </pt>
                <pt idx="53">
                  <v>-33.48</v>
                </pt>
                <pt idx="54">
                  <v>-33</v>
                </pt>
                <pt idx="55">
                  <v>-32.52</v>
                </pt>
                <pt idx="56">
                  <v>-31.98</v>
                </pt>
                <pt idx="57">
                  <v>-31.5</v>
                </pt>
                <pt idx="58">
                  <v>-31.02</v>
                </pt>
                <pt idx="59">
                  <v>-30.48</v>
                </pt>
                <pt idx="60">
                  <v>-30</v>
                </pt>
                <pt idx="61">
                  <v>-29.52</v>
                </pt>
                <pt idx="62">
                  <v>-28.98</v>
                </pt>
                <pt idx="63">
                  <v>-28.5</v>
                </pt>
                <pt idx="64">
                  <v>-28.02</v>
                </pt>
                <pt idx="65">
                  <v>-27.48</v>
                </pt>
                <pt idx="66">
                  <v>-27</v>
                </pt>
                <pt idx="67">
                  <v>-26.52</v>
                </pt>
                <pt idx="68">
                  <v>-25.98</v>
                </pt>
                <pt idx="69">
                  <v>-25.5</v>
                </pt>
                <pt idx="70">
                  <v>-25.02</v>
                </pt>
                <pt idx="71">
                  <v>-24.48</v>
                </pt>
                <pt idx="72">
                  <v>-24</v>
                </pt>
                <pt idx="73">
                  <v>-23.52</v>
                </pt>
                <pt idx="74">
                  <v>-22.98</v>
                </pt>
                <pt idx="75">
                  <v>-22.5</v>
                </pt>
                <pt idx="76">
                  <v>-22.02</v>
                </pt>
                <pt idx="77">
                  <v>-21.48</v>
                </pt>
                <pt idx="78">
                  <v>-21</v>
                </pt>
                <pt idx="79">
                  <v>-20.52</v>
                </pt>
                <pt idx="80">
                  <v>-19.98</v>
                </pt>
                <pt idx="81">
                  <v>-19.5</v>
                </pt>
                <pt idx="82">
                  <v>-19.02</v>
                </pt>
                <pt idx="83">
                  <v>-18.48</v>
                </pt>
                <pt idx="84">
                  <v>-18</v>
                </pt>
                <pt idx="85">
                  <v>-17.52</v>
                </pt>
                <pt idx="86">
                  <v>-16.98</v>
                </pt>
                <pt idx="87">
                  <v>-16.5</v>
                </pt>
                <pt idx="88">
                  <v>-16.02</v>
                </pt>
                <pt idx="89">
                  <v>-15.48</v>
                </pt>
                <pt idx="90">
                  <v>-15</v>
                </pt>
                <pt idx="91">
                  <v>-14.52</v>
                </pt>
                <pt idx="92">
                  <v>-13.98</v>
                </pt>
                <pt idx="93">
                  <v>-13.5</v>
                </pt>
                <pt idx="94">
                  <v>-13.02</v>
                </pt>
                <pt idx="95">
                  <v>-12.48</v>
                </pt>
                <pt idx="96">
                  <v>-12</v>
                </pt>
                <pt idx="97">
                  <v>-11.52</v>
                </pt>
                <pt idx="98">
                  <v>-10.98</v>
                </pt>
                <pt idx="99">
                  <v>-10.5</v>
                </pt>
                <pt idx="100">
                  <v>-10.02</v>
                </pt>
                <pt idx="101">
                  <v>-9.480000000000004</v>
                </pt>
                <pt idx="102">
                  <v>-9</v>
                </pt>
                <pt idx="103">
                  <v>-8.520000000000003</v>
                </pt>
                <pt idx="104">
                  <v>-7.980000000000004</v>
                </pt>
                <pt idx="105">
                  <v>-7.5</v>
                </pt>
                <pt idx="106">
                  <v>-7.019999999999996</v>
                </pt>
                <pt idx="107">
                  <v>-6.479999999999997</v>
                </pt>
                <pt idx="108">
                  <v>-6</v>
                </pt>
                <pt idx="109">
                  <v>-5.519999999999996</v>
                </pt>
                <pt idx="110">
                  <v>-4.979999999999997</v>
                </pt>
                <pt idx="111">
                  <v>-4.5</v>
                </pt>
                <pt idx="112">
                  <v>-4.019999999999996</v>
                </pt>
                <pt idx="113">
                  <v>-3.480000000000004</v>
                </pt>
                <pt idx="114">
                  <v>-3</v>
                </pt>
                <pt idx="115">
                  <v>-2.520000000000003</v>
                </pt>
                <pt idx="116">
                  <v>-1.980000000000004</v>
                </pt>
                <pt idx="117">
                  <v>-1.5</v>
                </pt>
                <pt idx="118">
                  <v>-1.020000000000003</v>
                </pt>
                <pt idx="119">
                  <v>-0.480000000000004</v>
                </pt>
                <pt idx="120">
                  <v>0</v>
                </pt>
                <pt idx="121">
                  <v>0.480000000000004</v>
                </pt>
                <pt idx="122">
                  <v>1.019999999999996</v>
                </pt>
                <pt idx="123">
                  <v>1.499999999999993</v>
                </pt>
                <pt idx="124">
                  <v>1.979999999999997</v>
                </pt>
                <pt idx="125">
                  <v>2.520000000000003</v>
                </pt>
                <pt idx="126">
                  <v>3</v>
                </pt>
                <pt idx="127">
                  <v>3.480000000000004</v>
                </pt>
                <pt idx="128">
                  <v>4.019999999999996</v>
                </pt>
                <pt idx="129">
                  <v>4.5</v>
                </pt>
                <pt idx="130">
                  <v>4.980000000000004</v>
                </pt>
                <pt idx="131">
                  <v>5.52000000000001</v>
                </pt>
                <pt idx="132">
                  <v>6</v>
                </pt>
                <pt idx="133">
                  <v>6.480000000000004</v>
                </pt>
                <pt idx="134">
                  <v>7.019999999999996</v>
                </pt>
                <pt idx="135">
                  <v>7.5</v>
                </pt>
                <pt idx="136">
                  <v>7.980000000000004</v>
                </pt>
                <pt idx="137">
                  <v>8.519999999999996</v>
                </pt>
                <pt idx="138">
                  <v>9</v>
                </pt>
                <pt idx="139">
                  <v>9.47999999999999</v>
                </pt>
                <pt idx="140">
                  <v>10.02</v>
                </pt>
                <pt idx="141">
                  <v>10.5</v>
                </pt>
                <pt idx="142">
                  <v>10.98</v>
                </pt>
                <pt idx="143">
                  <v>11.52</v>
                </pt>
                <pt idx="144">
                  <v>12</v>
                </pt>
                <pt idx="145">
                  <v>12.48</v>
                </pt>
                <pt idx="146">
                  <v>13.02000000000001</v>
                </pt>
                <pt idx="147">
                  <v>13.5</v>
                </pt>
                <pt idx="148">
                  <v>13.98</v>
                </pt>
                <pt idx="149">
                  <v>14.52</v>
                </pt>
                <pt idx="150">
                  <v>15</v>
                </pt>
                <pt idx="151">
                  <v>15.48</v>
                </pt>
                <pt idx="152">
                  <v>16.02</v>
                </pt>
                <pt idx="153">
                  <v>16.5</v>
                </pt>
                <pt idx="154">
                  <v>16.97999999999999</v>
                </pt>
                <pt idx="155">
                  <v>17.52</v>
                </pt>
                <pt idx="156">
                  <v>18</v>
                </pt>
                <pt idx="157">
                  <v>18.48</v>
                </pt>
                <pt idx="158">
                  <v>19.02</v>
                </pt>
                <pt idx="159">
                  <v>19.5</v>
                </pt>
                <pt idx="160">
                  <v>19.98</v>
                </pt>
                <pt idx="161">
                  <v>20.52000000000001</v>
                </pt>
                <pt idx="162">
                  <v>21</v>
                </pt>
                <pt idx="163">
                  <v>21.48</v>
                </pt>
                <pt idx="164">
                  <v>22.02</v>
                </pt>
                <pt idx="165">
                  <v>22.5</v>
                </pt>
                <pt idx="166">
                  <v>22.98</v>
                </pt>
                <pt idx="167">
                  <v>23.52</v>
                </pt>
                <pt idx="168">
                  <v>24</v>
                </pt>
                <pt idx="169">
                  <v>24.47999999999999</v>
                </pt>
                <pt idx="170">
                  <v>25.02</v>
                </pt>
                <pt idx="171">
                  <v>25.5</v>
                </pt>
                <pt idx="172">
                  <v>25.98</v>
                </pt>
                <pt idx="173">
                  <v>26.52</v>
                </pt>
                <pt idx="174">
                  <v>27</v>
                </pt>
                <pt idx="175">
                  <v>27.48</v>
                </pt>
                <pt idx="176">
                  <v>28.02000000000001</v>
                </pt>
                <pt idx="177">
                  <v>28.5</v>
                </pt>
                <pt idx="178">
                  <v>28.98</v>
                </pt>
                <pt idx="179">
                  <v>29.52</v>
                </pt>
                <pt idx="180">
                  <v>30</v>
                </pt>
                <pt idx="181">
                  <v>30.48</v>
                </pt>
                <pt idx="182">
                  <v>31.02</v>
                </pt>
                <pt idx="183">
                  <v>31.5</v>
                </pt>
                <pt idx="184">
                  <v>31.97999999999999</v>
                </pt>
                <pt idx="185">
                  <v>32.52</v>
                </pt>
                <pt idx="186">
                  <v>33</v>
                </pt>
                <pt idx="187">
                  <v>33.48</v>
                </pt>
                <pt idx="188">
                  <v>34.02</v>
                </pt>
                <pt idx="189">
                  <v>34.5</v>
                </pt>
                <pt idx="190">
                  <v>34.98</v>
                </pt>
                <pt idx="191">
                  <v>35.52000000000001</v>
                </pt>
                <pt idx="192">
                  <v>36</v>
                </pt>
                <pt idx="193">
                  <v>36.48</v>
                </pt>
                <pt idx="194">
                  <v>37.02</v>
                </pt>
                <pt idx="195">
                  <v>37.5</v>
                </pt>
                <pt idx="196">
                  <v>37.98</v>
                </pt>
                <pt idx="197">
                  <v>38.52</v>
                </pt>
                <pt idx="198">
                  <v>39</v>
                </pt>
                <pt idx="199">
                  <v>39.47999999999999</v>
                </pt>
                <pt idx="200">
                  <v>40.02</v>
                </pt>
                <pt idx="201">
                  <v>40.5</v>
                </pt>
                <pt idx="202">
                  <v>40.98</v>
                </pt>
                <pt idx="203">
                  <v>41.52</v>
                </pt>
                <pt idx="204">
                  <v>42</v>
                </pt>
                <pt idx="205">
                  <v>42.48</v>
                </pt>
                <pt idx="206">
                  <v>43.02000000000001</v>
                </pt>
                <pt idx="207">
                  <v>43.5</v>
                </pt>
                <pt idx="208">
                  <v>43.98</v>
                </pt>
                <pt idx="209">
                  <v>44.52</v>
                </pt>
                <pt idx="210">
                  <v>45</v>
                </pt>
                <pt idx="211">
                  <v>45.48</v>
                </pt>
                <pt idx="212">
                  <v>46.02</v>
                </pt>
                <pt idx="213">
                  <v>46.5</v>
                </pt>
                <pt idx="214">
                  <v>46.97999999999999</v>
                </pt>
                <pt idx="215">
                  <v>47.52</v>
                </pt>
                <pt idx="216">
                  <v>48</v>
                </pt>
                <pt idx="217">
                  <v>48.48</v>
                </pt>
                <pt idx="218">
                  <v>49.02</v>
                </pt>
                <pt idx="219">
                  <v>49.5</v>
                </pt>
                <pt idx="220">
                  <v>49.98</v>
                </pt>
                <pt idx="221">
                  <v>50.52000000000001</v>
                </pt>
                <pt idx="222">
                  <v>51</v>
                </pt>
                <pt idx="223">
                  <v>51.48</v>
                </pt>
                <pt idx="224">
                  <v>52.02</v>
                </pt>
                <pt idx="225">
                  <v>52.5</v>
                </pt>
                <pt idx="226">
                  <v>52.98</v>
                </pt>
                <pt idx="227">
                  <v>53.52</v>
                </pt>
                <pt idx="228">
                  <v>54</v>
                </pt>
                <pt idx="229">
                  <v>54.47999999999999</v>
                </pt>
                <pt idx="230">
                  <v>55.02</v>
                </pt>
                <pt idx="231">
                  <v>55.5</v>
                </pt>
                <pt idx="232">
                  <v>55.98</v>
                </pt>
                <pt idx="233">
                  <v>56.52</v>
                </pt>
                <pt idx="234">
                  <v>57</v>
                </pt>
                <pt idx="235">
                  <v>57.48</v>
                </pt>
                <pt idx="236">
                  <v>58.02000000000001</v>
                </pt>
                <pt idx="237">
                  <v>58.5</v>
                </pt>
                <pt idx="238">
                  <v>58.98</v>
                </pt>
                <pt idx="239">
                  <v>59.52</v>
                </pt>
                <pt idx="240">
                  <v>60</v>
                </pt>
              </numCache>
            </numRef>
          </xVal>
          <yVal>
            <numRef>
              <f>Native_Chart_Data!$B$1473:$B$1713</f>
              <numCache>
                <formatCode>General</formatCode>
                <ptCount val="241"/>
                <pt idx="0">
                  <v>2738.75287975896</v>
                </pt>
                <pt idx="1">
                  <v>2737.746224109234</v>
                </pt>
                <pt idx="2">
                  <v>2736.623084633149</v>
                </pt>
                <pt idx="3">
                  <v>2735.633054663029</v>
                </pt>
                <pt idx="4">
                  <v>2734.650858075406</v>
                </pt>
                <pt idx="5">
                  <v>2733.555257783269</v>
                </pt>
                <pt idx="6">
                  <v>2732.589727165975</v>
                </pt>
                <pt idx="7">
                  <v>2731.632048701091</v>
                </pt>
                <pt idx="8">
                  <v>2730.564053579902</v>
                </pt>
                <pt idx="9">
                  <v>2729.62308056244</v>
                </pt>
                <pt idx="10">
                  <v>2728.689978080741</v>
                </pt>
                <pt idx="11">
                  <v>2727.649652758524</v>
                </pt>
                <pt idx="12">
                  <v>2726.733294372101</v>
                </pt>
                <pt idx="13">
                  <v>2725.824824510964</v>
                </pt>
                <pt idx="14">
                  <v>2724.812232231116</v>
                </pt>
                <pt idx="15">
                  <v>2723.920544268542</v>
                </pt>
                <pt idx="16">
                  <v>2723.036762419741</v>
                </pt>
                <pt idx="17">
                  <v>2722.051965015849</v>
                </pt>
                <pt idx="18">
                  <v>2721.185002009214</v>
                </pt>
                <pt idx="19">
                  <v>2720.325962296758</v>
                </pt>
                <pt idx="20">
                  <v>2719.36902016777</v>
                </pt>
                <pt idx="21">
                  <v>2718.5268353665</v>
                </pt>
                <pt idx="22">
                  <v>2717.692590624826</v>
                </pt>
                <pt idx="23">
                  <v>2716.763562710639</v>
                </pt>
                <pt idx="24">
                  <v>2715.946208059994</v>
                </pt>
                <pt idx="25">
                  <v>2715.136809812473</v>
                </pt>
                <pt idx="26">
                  <v>2714.235753570058</v>
                </pt>
                <pt idx="27">
                  <v>2713.4432796899</v>
                </pt>
                <pt idx="28">
                  <v>2712.658778127942</v>
                </pt>
                <pt idx="29">
                  <v>2711.785749507719</v>
                </pt>
                <pt idx="30">
                  <v>2711.018205671868</v>
                </pt>
                <pt idx="31">
                  <v>2710.258649634195</v>
                </pt>
                <pt idx="32">
                  <v>2709.41370305717</v>
                </pt>
                <pt idx="33">
                  <v>2708.671137173026</v>
                </pt>
                <pt idx="34">
                  <v>2707.936574125597</v>
                </pt>
                <pt idx="35">
                  <v>2707.119762460756</v>
                </pt>
                <pt idx="36">
                  <v>2706.402221049479</v>
                </pt>
                <pt idx="37">
                  <v>2705.692697065748</v>
                </pt>
                <pt idx="38">
                  <v>2704.904071608128</v>
                </pt>
                <pt idx="39">
                  <v>2704.211599785267</v>
                </pt>
                <pt idx="40">
                  <v>2703.527159526966</v>
                </pt>
                <pt idx="41">
                  <v>2702.766769976195</v>
                </pt>
                <pt idx="42">
                  <v>2702.099411432802</v>
                </pt>
                <pt idx="43">
                  <v>2701.440098131209</v>
                </pt>
                <pt idx="44">
                  <v>2700.70799257062</v>
                </pt>
                <pt idx="45">
                  <v>2700.065789554835</v>
                </pt>
                <pt idx="46">
                  <v>2699.43164499259</v>
                </pt>
                <pt idx="47">
                  <v>2698.727869868911</v>
                </pt>
                <pt idx="48">
                  <v>2698.110863168117</v>
                </pt>
                <pt idx="49">
                  <v>2697.50192766146</v>
                </pt>
                <pt idx="50">
                  <v>2696.826527765174</v>
                </pt>
                <pt idx="51">
                  <v>2696.234756688648</v>
                </pt>
                <pt idx="52">
                  <v>2695.651069070311</v>
                </pt>
                <pt idx="53">
                  <v>2695.00408751646</v>
                </pt>
                <pt idx="54">
                  <v>2694.437589878637</v>
                </pt>
                <pt idx="55">
                  <v>2693.879187481265</v>
                </pt>
                <pt idx="56">
                  <v>2693.260665691084</v>
                </pt>
                <pt idx="57">
                  <v>2692.719477795312</v>
                </pt>
                <pt idx="58">
                  <v>2692.186396435358</v>
                </pt>
                <pt idx="59">
                  <v>2691.596374118459</v>
                </pt>
                <pt idx="60">
                  <v>2691.0805307414</v>
                </pt>
                <pt idx="61">
                  <v>2690.572804703775</v>
                </pt>
                <pt idx="62">
                  <v>2690.011319841004</v>
                </pt>
                <pt idx="63">
                  <v>2689.520854217586</v>
                </pt>
                <pt idx="64">
                  <v>2689.038516240782</v>
                </pt>
                <pt idx="65">
                  <v>2688.505605067754</v>
                </pt>
                <pt idx="66">
                  <v>2688.040548876753</v>
                </pt>
                <pt idx="67">
                  <v>2687.583630138646</v>
                </pt>
                <pt idx="68">
                  <v>2687.079327130005</v>
                </pt>
                <pt idx="69">
                  <v>2686.639710480296</v>
                </pt>
                <pt idx="70">
                  <v>2686.208240584577</v>
                </pt>
                <pt idx="71">
                  <v>2685.732578438956</v>
                </pt>
                <pt idx="72">
                  <v>2685.318429856306</v>
                </pt>
                <pt idx="73">
                  <v>2684.9124368195</v>
                </pt>
                <pt idx="74">
                  <v>2684.465446445234</v>
                </pt>
                <pt idx="75">
                  <v>2684.076792859858</v>
                </pt>
                <pt idx="76">
                  <v>2683.69630309907</v>
                </pt>
                <pt idx="77">
                  <v>2683.278013600534</v>
                </pt>
                <pt idx="78">
                  <v>2682.914880335254</v>
                </pt>
                <pt idx="79">
                  <v>2682.559918656496</v>
                </pt>
                <pt idx="80">
                  <v>2682.170357321432</v>
                </pt>
                <pt idx="81">
                  <v>2681.832768080465</v>
                </pt>
                <pt idx="82">
                  <v>2681.503357667814</v>
                </pt>
                <pt idx="83">
                  <v>2681.142549955176</v>
                </pt>
                <pt idx="84">
                  <v>2680.830526813719</v>
                </pt>
                <pt idx="85">
                  <v>2680.526689218967</v>
                </pt>
                <pt idx="86">
                  <v>2680.194658747681</v>
                </pt>
                <pt idx="87">
                  <v>2679.908222142091</v>
                </pt>
                <pt idx="88">
                  <v>2679.629977275232</v>
                </pt>
                <pt idx="89">
                  <v>2679.326745813747</v>
                </pt>
                <pt idx="90">
                  <v>2679.065914532494</v>
                </pt>
                <pt idx="91">
                  <v>2678.813280652873</v>
                </pt>
                <pt idx="92">
                  <v>2678.53886810944</v>
                </pt>
                <pt idx="93">
                  <v>2678.303659284751</v>
                </pt>
                <pt idx="94">
                  <v>2678.076652992931</v>
                </pt>
                <pt idx="95">
                  <v>2677.83107740676</v>
                </pt>
                <pt idx="96">
                  <v>2677.621506506962</v>
                </pt>
                <pt idx="97">
                  <v>2677.420142737324</v>
                </pt>
                <pt idx="98">
                  <v>2677.203420270515</v>
                </pt>
                <pt idx="99">
                  <v>2677.019501093122</v>
                </pt>
                <pt idx="100">
                  <v>2676.843793107199</v>
                </pt>
                <pt idx="101">
                  <v>2676.655938037531</v>
                </pt>
                <pt idx="102">
                  <v>2676.497682703093</v>
                </pt>
                <pt idx="103">
                  <v>2676.347642083617</v>
                </pt>
                <pt idx="104">
                  <v>2676.188666798151</v>
                </pt>
                <pt idx="105">
                  <v>2676.05608574481</v>
                </pt>
                <pt idx="106">
                  <v>2675.93172239053</v>
                </pt>
                <pt idx="107">
                  <v>2675.801637380072</v>
                </pt>
                <pt idx="108">
                  <v>2675.694739358907</v>
                </pt>
                <pt idx="109">
                  <v>2675.596061480153</v>
                </pt>
                <pt idx="110">
                  <v>2675.494875334485</v>
                </pt>
                <pt idx="111">
                  <v>2675.413667405526</v>
                </pt>
                <pt idx="112">
                  <v>2675.340681520537</v>
                </pt>
                <pt idx="113">
                  <v>2675.268400924645</v>
                </pt>
                <pt idx="114">
                  <v>2675.212888453779</v>
                </pt>
                <pt idx="115">
                  <v>2675.165599385722</v>
                </pt>
                <pt idx="116">
                  <v>2675.122229116734</v>
                </pt>
                <pt idx="117">
                  <v>2675.092415773223</v>
                </pt>
                <pt idx="118">
                  <v>2675.070826648058</v>
                </pt>
                <pt idx="119">
                  <v>2675.056369573115</v>
                </pt>
                <pt idx="120">
                  <v>2675.052257327991</v>
                </pt>
                <pt idx="121">
                  <v>2675.056369573115</v>
                </pt>
                <pt idx="122">
                  <v>2675.070826648058</v>
                </pt>
                <pt idx="123">
                  <v>2675.092415773223</v>
                </pt>
                <pt idx="124">
                  <v>2675.122229116734</v>
                </pt>
                <pt idx="125">
                  <v>2675.165599385722</v>
                </pt>
                <pt idx="126">
                  <v>2675.212888453779</v>
                </pt>
                <pt idx="127">
                  <v>2675.268400924645</v>
                </pt>
                <pt idx="128">
                  <v>2675.340681520537</v>
                </pt>
                <pt idx="129">
                  <v>2675.413667405526</v>
                </pt>
                <pt idx="130">
                  <v>2675.494875334485</v>
                </pt>
                <pt idx="131">
                  <v>2675.596061480153</v>
                </pt>
                <pt idx="132">
                  <v>2675.694739358907</v>
                </pt>
                <pt idx="133">
                  <v>2675.801637380072</v>
                </pt>
                <pt idx="134">
                  <v>2675.93172239053</v>
                </pt>
                <pt idx="135">
                  <v>2676.05608574481</v>
                </pt>
                <pt idx="136">
                  <v>2676.188666798151</v>
                </pt>
                <pt idx="137">
                  <v>2676.347642083617</v>
                </pt>
                <pt idx="138">
                  <v>2676.497682703093</v>
                </pt>
                <pt idx="139">
                  <v>2676.655938037531</v>
                </pt>
                <pt idx="140">
                  <v>2676.843793107199</v>
                </pt>
                <pt idx="141">
                  <v>2677.019501093122</v>
                </pt>
                <pt idx="142">
                  <v>2677.203420270515</v>
                </pt>
                <pt idx="143">
                  <v>2677.420142737324</v>
                </pt>
                <pt idx="144">
                  <v>2677.621506506962</v>
                </pt>
                <pt idx="145">
                  <v>2677.83107740676</v>
                </pt>
                <pt idx="146">
                  <v>2678.076652992931</v>
                </pt>
                <pt idx="147">
                  <v>2678.303659284751</v>
                </pt>
                <pt idx="148">
                  <v>2678.53886810944</v>
                </pt>
                <pt idx="149">
                  <v>2678.813280652873</v>
                </pt>
                <pt idx="150">
                  <v>2679.065914532494</v>
                </pt>
                <pt idx="151">
                  <v>2679.326745813747</v>
                </pt>
                <pt idx="152">
                  <v>2679.629977275232</v>
                </pt>
                <pt idx="153">
                  <v>2679.908222142091</v>
                </pt>
                <pt idx="154">
                  <v>2680.194658747681</v>
                </pt>
                <pt idx="155">
                  <v>2680.526689218967</v>
                </pt>
                <pt idx="156">
                  <v>2680.830526813719</v>
                </pt>
                <pt idx="157">
                  <v>2681.142549955176</v>
                </pt>
                <pt idx="158">
                  <v>2681.503357667814</v>
                </pt>
                <pt idx="159">
                  <v>2681.832768080465</v>
                </pt>
                <pt idx="160">
                  <v>2682.170357321432</v>
                </pt>
                <pt idx="161">
                  <v>2682.559918656496</v>
                </pt>
                <pt idx="162">
                  <v>2682.914880335254</v>
                </pt>
                <pt idx="163">
                  <v>2683.278013600534</v>
                </pt>
                <pt idx="164">
                  <v>2683.69630309907</v>
                </pt>
                <pt idx="165">
                  <v>2684.076792859858</v>
                </pt>
                <pt idx="166">
                  <v>2684.465446445234</v>
                </pt>
                <pt idx="167">
                  <v>2684.9124368195</v>
                </pt>
                <pt idx="168">
                  <v>2685.318429856306</v>
                </pt>
                <pt idx="169">
                  <v>2685.732578438956</v>
                </pt>
                <pt idx="170">
                  <v>2686.208240584577</v>
                </pt>
                <pt idx="171">
                  <v>2686.639710480296</v>
                </pt>
                <pt idx="172">
                  <v>2687.079327130005</v>
                </pt>
                <pt idx="173">
                  <v>2687.583630138646</v>
                </pt>
                <pt idx="174">
                  <v>2688.040548876753</v>
                </pt>
                <pt idx="175">
                  <v>2688.505605067754</v>
                </pt>
                <pt idx="176">
                  <v>2689.038516240782</v>
                </pt>
                <pt idx="177">
                  <v>2689.520854217586</v>
                </pt>
                <pt idx="178">
                  <v>2690.011319841004</v>
                </pt>
                <pt idx="179">
                  <v>2690.572804703775</v>
                </pt>
                <pt idx="180">
                  <v>2691.0805307414</v>
                </pt>
                <pt idx="181">
                  <v>2691.596374118459</v>
                </pt>
                <pt idx="182">
                  <v>2692.186396435358</v>
                </pt>
                <pt idx="183">
                  <v>2692.719477795312</v>
                </pt>
                <pt idx="184">
                  <v>2693.260665691084</v>
                </pt>
                <pt idx="185">
                  <v>2693.879187481265</v>
                </pt>
                <pt idx="186">
                  <v>2694.437589878637</v>
                </pt>
                <pt idx="187">
                  <v>2695.00408751646</v>
                </pt>
                <pt idx="188">
                  <v>2695.651069070311</v>
                </pt>
                <pt idx="189">
                  <v>2696.234756688648</v>
                </pt>
                <pt idx="190">
                  <v>2696.826527765174</v>
                </pt>
                <pt idx="191">
                  <v>2697.50192766146</v>
                </pt>
                <pt idx="192">
                  <v>2698.110863168117</v>
                </pt>
                <pt idx="193">
                  <v>2698.727869868911</v>
                </pt>
                <pt idx="194">
                  <v>2699.43164499259</v>
                </pt>
                <pt idx="195">
                  <v>2700.065789554835</v>
                </pt>
                <pt idx="196">
                  <v>2700.70799257062</v>
                </pt>
                <pt idx="197">
                  <v>2701.440098131209</v>
                </pt>
                <pt idx="198">
                  <v>2702.099411432802</v>
                </pt>
                <pt idx="199">
                  <v>2702.766769976195</v>
                </pt>
                <pt idx="200">
                  <v>2703.527159526966</v>
                </pt>
                <pt idx="201">
                  <v>2704.211599785267</v>
                </pt>
                <pt idx="202">
                  <v>2704.904071608128</v>
                </pt>
                <pt idx="203">
                  <v>2705.692697065748</v>
                </pt>
                <pt idx="204">
                  <v>2706.402221049479</v>
                </pt>
                <pt idx="205">
                  <v>2707.119762460756</v>
                </pt>
                <pt idx="206">
                  <v>2707.936574125597</v>
                </pt>
                <pt idx="207">
                  <v>2708.671137173026</v>
                </pt>
                <pt idx="208">
                  <v>2709.41370305717</v>
                </pt>
                <pt idx="209">
                  <v>2710.258649634195</v>
                </pt>
                <pt idx="210">
                  <v>2711.018205671868</v>
                </pt>
                <pt idx="211">
                  <v>2711.785749507719</v>
                </pt>
                <pt idx="212">
                  <v>2712.658778127942</v>
                </pt>
                <pt idx="213">
                  <v>2713.4432796899</v>
                </pt>
                <pt idx="214">
                  <v>2714.235753570058</v>
                </pt>
                <pt idx="215">
                  <v>2715.136809812473</v>
                </pt>
                <pt idx="216">
                  <v>2715.946208059994</v>
                </pt>
                <pt idx="217">
                  <v>2716.763562710639</v>
                </pt>
                <pt idx="218">
                  <v>2717.692590624826</v>
                </pt>
                <pt idx="219">
                  <v>2718.5268353665</v>
                </pt>
                <pt idx="220">
                  <v>2719.36902016777</v>
                </pt>
                <pt idx="221">
                  <v>2720.325962296758</v>
                </pt>
                <pt idx="222">
                  <v>2721.185002009214</v>
                </pt>
                <pt idx="223">
                  <v>2722.051965015849</v>
                </pt>
                <pt idx="224">
                  <v>2723.036762419741</v>
                </pt>
                <pt idx="225">
                  <v>2723.920544268542</v>
                </pt>
                <pt idx="226">
                  <v>2724.812232231116</v>
                </pt>
                <pt idx="227">
                  <v>2725.824824510964</v>
                </pt>
                <pt idx="228">
                  <v>2726.733294372101</v>
                </pt>
                <pt idx="229">
                  <v>2727.649652758524</v>
                </pt>
                <pt idx="230">
                  <v>2728.689978080741</v>
                </pt>
                <pt idx="231">
                  <v>2729.62308056244</v>
                </pt>
                <pt idx="232">
                  <v>2730.564053579902</v>
                </pt>
                <pt idx="233">
                  <v>2731.632048701091</v>
                </pt>
                <pt idx="234">
                  <v>2732.589727165975</v>
                </pt>
                <pt idx="235">
                  <v>2733.555257783269</v>
                </pt>
                <pt idx="236">
                  <v>2734.650858075406</v>
                </pt>
                <pt idx="237">
                  <v>2735.633054663029</v>
                </pt>
                <pt idx="238">
                  <v>2736.623084633149</v>
                </pt>
                <pt idx="239">
                  <v>2737.746224109234</v>
                </pt>
                <pt idx="240">
                  <v>2738.75287975896</v>
                </pt>
              </numCache>
            </numRef>
          </yVal>
          <smooth val="0"/>
        </ser>
        <ser>
          <idx val="1"/>
          <order val="1"/>
          <tx>
            <v>Paper low-altitude 35 km / 800 km pass</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Native_Chart_Data!$C$1473:$C$1713</f>
              <numCache>
                <formatCode>General</formatCode>
                <ptCount val="241"/>
                <pt idx="0">
                  <v>-400</v>
                </pt>
                <pt idx="1">
                  <v>-396.8</v>
                </pt>
                <pt idx="2">
                  <v>-393.2</v>
                </pt>
                <pt idx="3">
                  <v>-390</v>
                </pt>
                <pt idx="4">
                  <v>-386.8</v>
                </pt>
                <pt idx="5">
                  <v>-383.2</v>
                </pt>
                <pt idx="6">
                  <v>-380</v>
                </pt>
                <pt idx="7">
                  <v>-376.8</v>
                </pt>
                <pt idx="8">
                  <v>-373.2</v>
                </pt>
                <pt idx="9">
                  <v>-370</v>
                </pt>
                <pt idx="10">
                  <v>-366.8</v>
                </pt>
                <pt idx="11">
                  <v>-363.2</v>
                </pt>
                <pt idx="12">
                  <v>-360</v>
                </pt>
                <pt idx="13">
                  <v>-356.8</v>
                </pt>
                <pt idx="14">
                  <v>-353.2</v>
                </pt>
                <pt idx="15">
                  <v>-350</v>
                </pt>
                <pt idx="16">
                  <v>-346.8</v>
                </pt>
                <pt idx="17">
                  <v>-343.2</v>
                </pt>
                <pt idx="18">
                  <v>-340</v>
                </pt>
                <pt idx="19">
                  <v>-336.8</v>
                </pt>
                <pt idx="20">
                  <v>-333.2</v>
                </pt>
                <pt idx="21">
                  <v>-330</v>
                </pt>
                <pt idx="22">
                  <v>-326.8</v>
                </pt>
                <pt idx="23">
                  <v>-323.2</v>
                </pt>
                <pt idx="24">
                  <v>-320</v>
                </pt>
                <pt idx="25">
                  <v>-316.8</v>
                </pt>
                <pt idx="26">
                  <v>-313.2</v>
                </pt>
                <pt idx="27">
                  <v>-310</v>
                </pt>
                <pt idx="28">
                  <v>-306.8</v>
                </pt>
                <pt idx="29">
                  <v>-303.2</v>
                </pt>
                <pt idx="30">
                  <v>-300</v>
                </pt>
                <pt idx="31">
                  <v>-296.8</v>
                </pt>
                <pt idx="32">
                  <v>-293.2</v>
                </pt>
                <pt idx="33">
                  <v>-290</v>
                </pt>
                <pt idx="34">
                  <v>-286.8</v>
                </pt>
                <pt idx="35">
                  <v>-283.2</v>
                </pt>
                <pt idx="36">
                  <v>-280</v>
                </pt>
                <pt idx="37">
                  <v>-276.8</v>
                </pt>
                <pt idx="38">
                  <v>-273.2</v>
                </pt>
                <pt idx="39">
                  <v>-270</v>
                </pt>
                <pt idx="40">
                  <v>-266.8</v>
                </pt>
                <pt idx="41">
                  <v>-263.2</v>
                </pt>
                <pt idx="42">
                  <v>-260</v>
                </pt>
                <pt idx="43">
                  <v>-256.8</v>
                </pt>
                <pt idx="44">
                  <v>-253.2</v>
                </pt>
                <pt idx="45">
                  <v>-250</v>
                </pt>
                <pt idx="46">
                  <v>-246.8</v>
                </pt>
                <pt idx="47">
                  <v>-243.2</v>
                </pt>
                <pt idx="48">
                  <v>-240</v>
                </pt>
                <pt idx="49">
                  <v>-236.8</v>
                </pt>
                <pt idx="50">
                  <v>-233.2</v>
                </pt>
                <pt idx="51">
                  <v>-230</v>
                </pt>
                <pt idx="52">
                  <v>-226.8</v>
                </pt>
                <pt idx="53">
                  <v>-223.2</v>
                </pt>
                <pt idx="54">
                  <v>-220</v>
                </pt>
                <pt idx="55">
                  <v>-216.8</v>
                </pt>
                <pt idx="56">
                  <v>-213.2</v>
                </pt>
                <pt idx="57">
                  <v>-210</v>
                </pt>
                <pt idx="58">
                  <v>-206.8</v>
                </pt>
                <pt idx="59">
                  <v>-203.2</v>
                </pt>
                <pt idx="60">
                  <v>-200</v>
                </pt>
                <pt idx="61">
                  <v>-196.8</v>
                </pt>
                <pt idx="62">
                  <v>-193.2</v>
                </pt>
                <pt idx="63">
                  <v>-190</v>
                </pt>
                <pt idx="64">
                  <v>-186.8</v>
                </pt>
                <pt idx="65">
                  <v>-183.2</v>
                </pt>
                <pt idx="66">
                  <v>-180</v>
                </pt>
                <pt idx="67">
                  <v>-176.8</v>
                </pt>
                <pt idx="68">
                  <v>-173.2</v>
                </pt>
                <pt idx="69">
                  <v>-170</v>
                </pt>
                <pt idx="70">
                  <v>-166.8</v>
                </pt>
                <pt idx="71">
                  <v>-163.2</v>
                </pt>
                <pt idx="72">
                  <v>-160</v>
                </pt>
                <pt idx="73">
                  <v>-156.8</v>
                </pt>
                <pt idx="74">
                  <v>-153.2</v>
                </pt>
                <pt idx="75">
                  <v>-150</v>
                </pt>
                <pt idx="76">
                  <v>-146.8</v>
                </pt>
                <pt idx="77">
                  <v>-143.2</v>
                </pt>
                <pt idx="78">
                  <v>-140</v>
                </pt>
                <pt idx="79">
                  <v>-136.8</v>
                </pt>
                <pt idx="80">
                  <v>-133.2</v>
                </pt>
                <pt idx="81">
                  <v>-130</v>
                </pt>
                <pt idx="82">
                  <v>-126.8</v>
                </pt>
                <pt idx="83">
                  <v>-123.2</v>
                </pt>
                <pt idx="84">
                  <v>-120</v>
                </pt>
                <pt idx="85">
                  <v>-116.8</v>
                </pt>
                <pt idx="86">
                  <v>-113.2</v>
                </pt>
                <pt idx="87">
                  <v>-110</v>
                </pt>
                <pt idx="88">
                  <v>-106.8</v>
                </pt>
                <pt idx="89">
                  <v>-103.2</v>
                </pt>
                <pt idx="90">
                  <v>-100</v>
                </pt>
                <pt idx="91">
                  <v>-96.80000000000001</v>
                </pt>
                <pt idx="92">
                  <v>-93.19999999999999</v>
                </pt>
                <pt idx="93">
                  <v>-90</v>
                </pt>
                <pt idx="94">
                  <v>-86.80000000000001</v>
                </pt>
                <pt idx="95">
                  <v>-83.19999999999999</v>
                </pt>
                <pt idx="96">
                  <v>-80</v>
                </pt>
                <pt idx="97">
                  <v>-76.79999999999995</v>
                </pt>
                <pt idx="98">
                  <v>-73.20000000000005</v>
                </pt>
                <pt idx="99">
                  <v>-70</v>
                </pt>
                <pt idx="100">
                  <v>-66.80000000000001</v>
                </pt>
                <pt idx="101">
                  <v>-63.19999999999999</v>
                </pt>
                <pt idx="102">
                  <v>-60</v>
                </pt>
                <pt idx="103">
                  <v>-56.80000000000001</v>
                </pt>
                <pt idx="104">
                  <v>-53.19999999999999</v>
                </pt>
                <pt idx="105">
                  <v>-50</v>
                </pt>
                <pt idx="106">
                  <v>-46.80000000000001</v>
                </pt>
                <pt idx="107">
                  <v>-43.19999999999999</v>
                </pt>
                <pt idx="108">
                  <v>-40</v>
                </pt>
                <pt idx="109">
                  <v>-36.80000000000001</v>
                </pt>
                <pt idx="110">
                  <v>-33.19999999999999</v>
                </pt>
                <pt idx="111">
                  <v>-30</v>
                </pt>
                <pt idx="112">
                  <v>-26.79999999999995</v>
                </pt>
                <pt idx="113">
                  <v>-23.20000000000005</v>
                </pt>
                <pt idx="114">
                  <v>-20</v>
                </pt>
                <pt idx="115">
                  <v>-16.80000000000001</v>
                </pt>
                <pt idx="116">
                  <v>-13.19999999999999</v>
                </pt>
                <pt idx="117">
                  <v>-10</v>
                </pt>
                <pt idx="118">
                  <v>-6.800000000000011</v>
                </pt>
                <pt idx="119">
                  <v>-3.199999999999989</v>
                </pt>
                <pt idx="120">
                  <v>0</v>
                </pt>
                <pt idx="121">
                  <v>3.199999999999989</v>
                </pt>
                <pt idx="122">
                  <v>6.799999999999955</v>
                </pt>
                <pt idx="123">
                  <v>9.999999999999943</v>
                </pt>
                <pt idx="124">
                  <v>13.19999999999999</v>
                </pt>
                <pt idx="125">
                  <v>16.80000000000001</v>
                </pt>
                <pt idx="126">
                  <v>20</v>
                </pt>
                <pt idx="127">
                  <v>23.20000000000005</v>
                </pt>
                <pt idx="128">
                  <v>26.79999999999995</v>
                </pt>
                <pt idx="129">
                  <v>30</v>
                </pt>
                <pt idx="130">
                  <v>33.19999999999999</v>
                </pt>
                <pt idx="131">
                  <v>36.80000000000001</v>
                </pt>
                <pt idx="132">
                  <v>40.00000000000006</v>
                </pt>
                <pt idx="133">
                  <v>43.20000000000005</v>
                </pt>
                <pt idx="134">
                  <v>46.80000000000001</v>
                </pt>
                <pt idx="135">
                  <v>50</v>
                </pt>
                <pt idx="136">
                  <v>53.19999999999999</v>
                </pt>
                <pt idx="137">
                  <v>56.79999999999995</v>
                </pt>
                <pt idx="138">
                  <v>59.99999999999994</v>
                </pt>
                <pt idx="139">
                  <v>63.19999999999999</v>
                </pt>
                <pt idx="140">
                  <v>66.80000000000001</v>
                </pt>
                <pt idx="141">
                  <v>70</v>
                </pt>
                <pt idx="142">
                  <v>73.20000000000005</v>
                </pt>
                <pt idx="143">
                  <v>76.79999999999995</v>
                </pt>
                <pt idx="144">
                  <v>80</v>
                </pt>
                <pt idx="145">
                  <v>83.19999999999999</v>
                </pt>
                <pt idx="146">
                  <v>86.80000000000001</v>
                </pt>
                <pt idx="147">
                  <v>90.00000000000006</v>
                </pt>
                <pt idx="148">
                  <v>93.20000000000005</v>
                </pt>
                <pt idx="149">
                  <v>96.80000000000001</v>
                </pt>
                <pt idx="150">
                  <v>100</v>
                </pt>
                <pt idx="151">
                  <v>103.2</v>
                </pt>
                <pt idx="152">
                  <v>106.8</v>
                </pt>
                <pt idx="153">
                  <v>109.9999999999999</v>
                </pt>
                <pt idx="154">
                  <v>113.1999999999999</v>
                </pt>
                <pt idx="155">
                  <v>116.8000000000001</v>
                </pt>
                <pt idx="156">
                  <v>120</v>
                </pt>
                <pt idx="157">
                  <v>123.2</v>
                </pt>
                <pt idx="158">
                  <v>126.8</v>
                </pt>
                <pt idx="159">
                  <v>130</v>
                </pt>
                <pt idx="160">
                  <v>133.1999999999999</v>
                </pt>
                <pt idx="161">
                  <v>136.8000000000001</v>
                </pt>
                <pt idx="162">
                  <v>140</v>
                </pt>
                <pt idx="163">
                  <v>143.2</v>
                </pt>
                <pt idx="164">
                  <v>146.8</v>
                </pt>
                <pt idx="165">
                  <v>150</v>
                </pt>
                <pt idx="166">
                  <v>153.2</v>
                </pt>
                <pt idx="167">
                  <v>156.8</v>
                </pt>
                <pt idx="168">
                  <v>160</v>
                </pt>
                <pt idx="169">
                  <v>163.1999999999999</v>
                </pt>
                <pt idx="170">
                  <v>166.8000000000001</v>
                </pt>
                <pt idx="171">
                  <v>170</v>
                </pt>
                <pt idx="172">
                  <v>173.2</v>
                </pt>
                <pt idx="173">
                  <v>176.8</v>
                </pt>
                <pt idx="174">
                  <v>180</v>
                </pt>
                <pt idx="175">
                  <v>183.1999999999999</v>
                </pt>
                <pt idx="176">
                  <v>186.8000000000001</v>
                </pt>
                <pt idx="177">
                  <v>190</v>
                </pt>
                <pt idx="178">
                  <v>193.2</v>
                </pt>
                <pt idx="179">
                  <v>196.8</v>
                </pt>
                <pt idx="180">
                  <v>200</v>
                </pt>
                <pt idx="181">
                  <v>203.2</v>
                </pt>
                <pt idx="182">
                  <v>206.8</v>
                </pt>
                <pt idx="183">
                  <v>210</v>
                </pt>
                <pt idx="184">
                  <v>213.1999999999999</v>
                </pt>
                <pt idx="185">
                  <v>216.8000000000001</v>
                </pt>
                <pt idx="186">
                  <v>220</v>
                </pt>
                <pt idx="187">
                  <v>223.2</v>
                </pt>
                <pt idx="188">
                  <v>226.8</v>
                </pt>
                <pt idx="189">
                  <v>230</v>
                </pt>
                <pt idx="190">
                  <v>233.1999999999999</v>
                </pt>
                <pt idx="191">
                  <v>236.8000000000001</v>
                </pt>
                <pt idx="192">
                  <v>240</v>
                </pt>
                <pt idx="193">
                  <v>243.2</v>
                </pt>
                <pt idx="194">
                  <v>246.8</v>
                </pt>
                <pt idx="195">
                  <v>250</v>
                </pt>
                <pt idx="196">
                  <v>253.2</v>
                </pt>
                <pt idx="197">
                  <v>256.8</v>
                </pt>
                <pt idx="198">
                  <v>260</v>
                </pt>
                <pt idx="199">
                  <v>263.1999999999999</v>
                </pt>
                <pt idx="200">
                  <v>266.8000000000001</v>
                </pt>
                <pt idx="201">
                  <v>270</v>
                </pt>
                <pt idx="202">
                  <v>273.2</v>
                </pt>
                <pt idx="203">
                  <v>276.8</v>
                </pt>
                <pt idx="204">
                  <v>280</v>
                </pt>
                <pt idx="205">
                  <v>283.1999999999999</v>
                </pt>
                <pt idx="206">
                  <v>286.8000000000001</v>
                </pt>
                <pt idx="207">
                  <v>290</v>
                </pt>
                <pt idx="208">
                  <v>293.2</v>
                </pt>
                <pt idx="209">
                  <v>296.8</v>
                </pt>
                <pt idx="210">
                  <v>300</v>
                </pt>
                <pt idx="211">
                  <v>303.2</v>
                </pt>
                <pt idx="212">
                  <v>306.8</v>
                </pt>
                <pt idx="213">
                  <v>310</v>
                </pt>
                <pt idx="214">
                  <v>313.1999999999999</v>
                </pt>
                <pt idx="215">
                  <v>316.8000000000001</v>
                </pt>
                <pt idx="216">
                  <v>320</v>
                </pt>
                <pt idx="217">
                  <v>323.2</v>
                </pt>
                <pt idx="218">
                  <v>326.8</v>
                </pt>
                <pt idx="219">
                  <v>330</v>
                </pt>
                <pt idx="220">
                  <v>333.1999999999999</v>
                </pt>
                <pt idx="221">
                  <v>336.8000000000001</v>
                </pt>
                <pt idx="222">
                  <v>340</v>
                </pt>
                <pt idx="223">
                  <v>343.2</v>
                </pt>
                <pt idx="224">
                  <v>346.8</v>
                </pt>
                <pt idx="225">
                  <v>350</v>
                </pt>
                <pt idx="226">
                  <v>353.2</v>
                </pt>
                <pt idx="227">
                  <v>356.8</v>
                </pt>
                <pt idx="228">
                  <v>360</v>
                </pt>
                <pt idx="229">
                  <v>363.1999999999999</v>
                </pt>
                <pt idx="230">
                  <v>366.8000000000001</v>
                </pt>
                <pt idx="231">
                  <v>370</v>
                </pt>
                <pt idx="232">
                  <v>373.2</v>
                </pt>
                <pt idx="233">
                  <v>376.8</v>
                </pt>
                <pt idx="234">
                  <v>380</v>
                </pt>
                <pt idx="235">
                  <v>383.1999999999999</v>
                </pt>
                <pt idx="236">
                  <v>386.8000000000001</v>
                </pt>
                <pt idx="237">
                  <v>390</v>
                </pt>
                <pt idx="238">
                  <v>393.2</v>
                </pt>
                <pt idx="239">
                  <v>396.8</v>
                </pt>
                <pt idx="240">
                  <v>400</v>
                </pt>
              </numCache>
            </numRef>
          </xVal>
          <yVal>
            <numRef>
              <f>Native_Chart_Data!$D$1473:$D$1713</f>
              <numCache>
                <formatCode>General</formatCode>
                <ptCount val="241"/>
                <pt idx="0">
                  <v>4006.566990492183</v>
                </pt>
                <pt idx="1">
                  <v>3959.784666367032</v>
                </pt>
                <pt idx="2">
                  <v>3907.520143552331</v>
                </pt>
                <pt idx="3">
                  <v>3861.386917027115</v>
                </pt>
                <pt idx="4">
                  <v>3815.557941887678</v>
                </pt>
                <pt idx="5">
                  <v>3764.363033325195</v>
                </pt>
                <pt idx="6">
                  <v>3719.177943213066</v>
                </pt>
                <pt idx="7">
                  <v>3674.294578654452</v>
                </pt>
                <pt idx="8">
                  <v>3624.160403492118</v>
                </pt>
                <pt idx="9">
                  <v>3579.915397473851</v>
                </pt>
                <pt idx="10">
                  <v>3535.969439856116</v>
                </pt>
                <pt idx="11">
                  <v>3486.886585250284</v>
                </pt>
                <pt idx="12">
                  <v>3443.57313046639</v>
                </pt>
                <pt idx="13">
                  <v>3400.555888397898</v>
                </pt>
                <pt idx="14">
                  <v>3352.514384171816</v>
                </pt>
                <pt idx="15">
                  <v>3310.123444717516</v>
                </pt>
                <pt idx="16">
                  <v>3268.025716599763</v>
                </pt>
                <pt idx="17">
                  <v>3221.015010080671</v>
                </pt>
                <pt idx="18">
                  <v>3179.537024764877</v>
                </pt>
                <pt idx="19">
                  <v>3138.34907670858</v>
                </pt>
                <pt idx="20">
                  <v>3092.358008120929</v>
                </pt>
                <pt idx="21">
                  <v>3051.78286885258</v>
                </pt>
                <pt idx="22">
                  <v>3011.494413356425</v>
                </pt>
                <pt idx="23">
                  <v>2966.511192247643</v>
                </pt>
                <pt idx="24">
                  <v>2926.828223507374</v>
                </pt>
                <pt idx="25">
                  <v>2887.428399392069</v>
                </pt>
                <pt idx="26">
                  <v>2843.440582690011</v>
                </pt>
                <pt idx="27">
                  <v>2804.638522662561</v>
                </pt>
                <pt idx="28">
                  <v>2766.115876879308</v>
                </pt>
                <pt idx="29">
                  <v>2723.110349333624</v>
                </pt>
                <pt idx="30">
                  <v>2685.177333423242</v>
                </pt>
                <pt idx="31">
                  <v>2647.519805513155</v>
                </pt>
                <pt idx="32">
                  <v>2605.482763464865</v>
                </pt>
                <pt idx="33">
                  <v>2568.406311100909</v>
                </pt>
                <pt idx="34">
                  <v>2531.601221281773</v>
                </pt>
                <pt idx="35">
                  <v>2490.518160948682</v>
                </pt>
                <pt idx="36">
                  <v>2454.285166823356</v>
                </pt>
                <pt idx="37">
                  <v>2418.319208933751</v>
                </pt>
                <pt idx="38">
                  <v>2378.174920710504</v>
                </pt>
                <pt idx="39">
                  <v>2342.771651891851</v>
                </pt>
                <pt idx="40">
                  <v>2307.630892749952</v>
                </pt>
                <pt idx="41">
                  <v>2268.409463423141</v>
                </pt>
                <pt idx="42">
                  <v>2233.821564177517</v>
                </pt>
                <pt idx="43">
                  <v>2199.491451337277</v>
                </pt>
                <pt idx="44">
                  <v>2161.17627664148</v>
                </pt>
                <pt idx="45">
                  <v>2127.388783311716</v>
                </pt>
                <pt idx="46">
                  <v>2093.854163760301</v>
                </pt>
                <pt idx="47">
                  <v>2056.427974395935</v>
                </pt>
                <pt idx="48">
                  <v>2023.425343363857</v>
                </pt>
                <pt idx="49">
                  <v>1990.670496452215</v>
                </pt>
                <pt idx="50">
                  <v>1954.115401618126</v>
                </pt>
                <pt idx="51">
                  <v>1921.881554297467</v>
                </pt>
                <pt idx="52">
                  <v>1889.890243209676</v>
                </pt>
                <pt idx="53">
                  <v>1854.187796970422</v>
                </pt>
                <pt idx="54">
                  <v>1822.706187030728</v>
                </pt>
                <pt idx="55">
                  <v>1791.461734486977</v>
                </pt>
                <pt idx="56">
                  <v>1756.593032042325</v>
                </pt>
                <pt idx="57">
                  <v>1725.846741802487</v>
                </pt>
                <pt idx="58">
                  <v>1695.332137626384</v>
                </pt>
                <pt idx="59">
                  <v>1661.27795099574</v>
                </pt>
                <pt idx="60">
                  <v>1631.249826370389</v>
                </pt>
                <pt idx="61">
                  <v>1601.447877286926</v>
                </pt>
                <pt idx="62">
                  <v>1568.18884339574</v>
                </pt>
                <pt idx="63">
                  <v>1538.861680269373</v>
                </pt>
                <pt idx="64">
                  <v>1509.755216225473</v>
                </pt>
                <pt idx="65">
                  <v>1477.272095393459</v>
                </pt>
                <pt idx="66">
                  <v>1448.628895361848</v>
                </pt>
                <pt idx="67">
                  <v>1420.201052385685</v>
                </pt>
                <pt idx="68">
                  <v>1388.475082565346</v>
                </pt>
                <pt idx="69">
                  <v>1360.499403449093</v>
                </pt>
                <pt idx="70">
                  <v>1332.734011546237</v>
                </pt>
                <pt idx="71">
                  <v>1301.747394610388</v>
                </pt>
                <pt idx="72">
                  <v>1274.423832332692</v>
                </pt>
                <pt idx="73">
                  <v>1247.305949695761</v>
                </pt>
                <pt idx="74">
                  <v>1217.04252266658</v>
                </pt>
                <pt idx="75">
                  <v>1190.357378140051</v>
                </pt>
                <pt idx="76">
                  <v>1163.874032534778</v>
                </pt>
                <pt idx="77">
                  <v>1134.320202233334</v>
                </pt>
                <pt idx="78">
                  <v>1108.262413350178</v>
                </pt>
                <pt idx="79">
                  <v>1082.403642095064</v>
                </pt>
                <pt idx="80">
                  <v>1053.549701847037</v>
                </pt>
                <pt idx="81">
                  <v>1028.112162433956</v>
                </pt>
                <pt idx="82">
                  <v>1002.872490914418</v>
                </pt>
                <pt idx="83">
                  <v>974.7145021127182</v>
                </pt>
                <pt idx="84">
                  <v>949.8959568514337</v>
                </pt>
                <pt idx="85">
                  <v>925.2765339546444</v>
                </pt>
                <pt idx="86">
                  <v>897.8190596262613</v>
                </pt>
                <pt idx="87">
                  <v>873.6268737519111</v>
                </pt>
                <pt idx="88">
                  <v>849.6386115770032</v>
                </pt>
                <pt idx="89">
                  <v>822.8987615597109</v>
                </pt>
                <pt idx="90">
                  <v>799.3530465257882</v>
                </pt>
                <pt idx="91">
                  <v>776.021326811133</v>
                </pt>
                <pt idx="92">
                  <v>750.0348628533561</v>
                </pt>
                <pt idx="93">
                  <v>727.1747453672517</v>
                </pt>
                <pt idx="94">
                  <v>704.5466168692386</v>
                </pt>
                <pt idx="95">
                  <v>679.3773518856626</v>
                </pt>
                <pt idx="96">
                  <v>657.2706885164247</v>
                </pt>
                <pt idx="97">
                  <v>635.426085871894</v>
                </pt>
                <pt idx="98">
                  <v>611.1806207136659</v>
                </pt>
                <pt idx="99">
                  <v>589.9393087491328</v>
                </pt>
                <pt idx="100">
                  <v>569.0088081002975</v>
                </pt>
                <pt idx="101">
                  <v>545.8599335087318</v>
                </pt>
                <pt idx="102">
                  <v>525.6642714445533</v>
                </pt>
                <pt idx="103">
                  <v>505.8573422961608</v>
                </pt>
                <pt idx="104">
                  <v>484.0811842450576</v>
                </pt>
                <pt idx="105">
                  <v>465.2183191836039</v>
                </pt>
                <pt idx="106">
                  <v>446.8674940335862</v>
                </pt>
                <pt idx="107">
                  <v>426.900668766874</v>
                </pt>
                <pt idx="108">
                  <v>409.8223646341818</v>
                </pt>
                <pt idx="109">
                  <v>393.4474649021365</v>
                </pt>
                <pt idx="110">
                  <v>375.9660695790947</v>
                </pt>
                <pt idx="111">
                  <v>361.3628330842782</v>
                </pt>
                <pt idx="112">
                  <v>347.7451277079186</v>
                </pt>
                <pt idx="113">
                  <v>333.7408733876195</v>
                </pt>
                <pt idx="114">
                  <v>322.5932252064959</v>
                </pt>
                <pt idx="115">
                  <v>312.798084448728</v>
                </pt>
                <pt idx="116">
                  <v>303.54886988122</v>
                </pt>
                <pt idx="117">
                  <v>297.0306183683265</v>
                </pt>
                <pt idx="118">
                  <v>292.2232293769202</v>
                </pt>
                <pt idx="119">
                  <v>288.9609377222083</v>
                </pt>
                <pt idx="120">
                  <v>288.0264897465142</v>
                </pt>
                <pt idx="121">
                  <v>288.9609377222083</v>
                </pt>
                <pt idx="122">
                  <v>292.2232293769202</v>
                </pt>
                <pt idx="123">
                  <v>297.0306183683265</v>
                </pt>
                <pt idx="124">
                  <v>303.54886988122</v>
                </pt>
                <pt idx="125">
                  <v>312.798084448728</v>
                </pt>
                <pt idx="126">
                  <v>322.5932252064959</v>
                </pt>
                <pt idx="127">
                  <v>333.7408733876195</v>
                </pt>
                <pt idx="128">
                  <v>347.7451277079186</v>
                </pt>
                <pt idx="129">
                  <v>361.3628330842782</v>
                </pt>
                <pt idx="130">
                  <v>375.9660695790947</v>
                </pt>
                <pt idx="131">
                  <v>393.4474649021365</v>
                </pt>
                <pt idx="132">
                  <v>409.8223646341818</v>
                </pt>
                <pt idx="133">
                  <v>426.900668766874</v>
                </pt>
                <pt idx="134">
                  <v>446.8674940335862</v>
                </pt>
                <pt idx="135">
                  <v>465.2183191836039</v>
                </pt>
                <pt idx="136">
                  <v>484.0811842450576</v>
                </pt>
                <pt idx="137">
                  <v>505.8573422961608</v>
                </pt>
                <pt idx="138">
                  <v>525.6642714445533</v>
                </pt>
                <pt idx="139">
                  <v>545.8599335087318</v>
                </pt>
                <pt idx="140">
                  <v>569.0088081002975</v>
                </pt>
                <pt idx="141">
                  <v>589.9393087491328</v>
                </pt>
                <pt idx="142">
                  <v>611.1806207136659</v>
                </pt>
                <pt idx="143">
                  <v>635.426085871894</v>
                </pt>
                <pt idx="144">
                  <v>657.2706885164247</v>
                </pt>
                <pt idx="145">
                  <v>679.3773518856626</v>
                </pt>
                <pt idx="146">
                  <v>704.5466168692386</v>
                </pt>
                <pt idx="147">
                  <v>727.1747453672517</v>
                </pt>
                <pt idx="148">
                  <v>750.0348628533561</v>
                </pt>
                <pt idx="149">
                  <v>776.021326811133</v>
                </pt>
                <pt idx="150">
                  <v>799.3530465257882</v>
                </pt>
                <pt idx="151">
                  <v>822.8987615597109</v>
                </pt>
                <pt idx="152">
                  <v>849.6386115770032</v>
                </pt>
                <pt idx="153">
                  <v>873.6268737519348</v>
                </pt>
                <pt idx="154">
                  <v>897.8190596262613</v>
                </pt>
                <pt idx="155">
                  <v>925.2765339546444</v>
                </pt>
                <pt idx="156">
                  <v>949.8959568514337</v>
                </pt>
                <pt idx="157">
                  <v>974.7145021127182</v>
                </pt>
                <pt idx="158">
                  <v>1002.872490914418</v>
                </pt>
                <pt idx="159">
                  <v>1028.112162433956</v>
                </pt>
                <pt idx="160">
                  <v>1053.549701847037</v>
                </pt>
                <pt idx="161">
                  <v>1082.403642095064</v>
                </pt>
                <pt idx="162">
                  <v>1108.262413350178</v>
                </pt>
                <pt idx="163">
                  <v>1134.320202233334</v>
                </pt>
                <pt idx="164">
                  <v>1163.87403253476</v>
                </pt>
                <pt idx="165">
                  <v>1190.357378140051</v>
                </pt>
                <pt idx="166">
                  <v>1217.04252266658</v>
                </pt>
                <pt idx="167">
                  <v>1247.305949695761</v>
                </pt>
                <pt idx="168">
                  <v>1274.423832332692</v>
                </pt>
                <pt idx="169">
                  <v>1301.747394610388</v>
                </pt>
                <pt idx="170">
                  <v>1332.734011546237</v>
                </pt>
                <pt idx="171">
                  <v>1360.499403449093</v>
                </pt>
                <pt idx="172">
                  <v>1388.475082565346</v>
                </pt>
                <pt idx="173">
                  <v>1420.201052385685</v>
                </pt>
                <pt idx="174">
                  <v>1448.628895361863</v>
                </pt>
                <pt idx="175">
                  <v>1477.272095393459</v>
                </pt>
                <pt idx="176">
                  <v>1509.755216225473</v>
                </pt>
                <pt idx="177">
                  <v>1538.861680269373</v>
                </pt>
                <pt idx="178">
                  <v>1568.188843395766</v>
                </pt>
                <pt idx="179">
                  <v>1601.447877286926</v>
                </pt>
                <pt idx="180">
                  <v>1631.249826370389</v>
                </pt>
                <pt idx="181">
                  <v>1661.27795099574</v>
                </pt>
                <pt idx="182">
                  <v>1695.332137626384</v>
                </pt>
                <pt idx="183">
                  <v>1725.846741802487</v>
                </pt>
                <pt idx="184">
                  <v>1756.593032042314</v>
                </pt>
                <pt idx="185">
                  <v>1791.461734486977</v>
                </pt>
                <pt idx="186">
                  <v>1822.706187030728</v>
                </pt>
                <pt idx="187">
                  <v>1854.187796970422</v>
                </pt>
                <pt idx="188">
                  <v>1889.890243209676</v>
                </pt>
                <pt idx="189">
                  <v>1921.881554297467</v>
                </pt>
                <pt idx="190">
                  <v>1954.115401618126</v>
                </pt>
                <pt idx="191">
                  <v>1990.670496452215</v>
                </pt>
                <pt idx="192">
                  <v>2023.425343363857</v>
                </pt>
                <pt idx="193">
                  <v>2056.427974395925</v>
                </pt>
                <pt idx="194">
                  <v>2093.854163760291</v>
                </pt>
                <pt idx="195">
                  <v>2127.388783311716</v>
                </pt>
                <pt idx="196">
                  <v>2161.17627664148</v>
                </pt>
                <pt idx="197">
                  <v>2199.491451337277</v>
                </pt>
                <pt idx="198">
                  <v>2233.821564177517</v>
                </pt>
                <pt idx="199">
                  <v>2268.409463423132</v>
                </pt>
                <pt idx="200">
                  <v>2307.630892749952</v>
                </pt>
                <pt idx="201">
                  <v>2342.771651891851</v>
                </pt>
                <pt idx="202">
                  <v>2378.174920710504</v>
                </pt>
                <pt idx="203">
                  <v>2418.319208933751</v>
                </pt>
                <pt idx="204">
                  <v>2454.285166823356</v>
                </pt>
                <pt idx="205">
                  <v>2490.518160948682</v>
                </pt>
                <pt idx="206">
                  <v>2531.601221281773</v>
                </pt>
                <pt idx="207">
                  <v>2568.406311100909</v>
                </pt>
                <pt idx="208">
                  <v>2605.482763464865</v>
                </pt>
                <pt idx="209">
                  <v>2647.519805513155</v>
                </pt>
                <pt idx="210">
                  <v>2685.177333423242</v>
                </pt>
                <pt idx="211">
                  <v>2723.110349333624</v>
                </pt>
                <pt idx="212">
                  <v>2766.115876879308</v>
                </pt>
                <pt idx="213">
                  <v>2804.638522662561</v>
                </pt>
                <pt idx="214">
                  <v>2843.440582690019</v>
                </pt>
                <pt idx="215">
                  <v>2887.428399392069</v>
                </pt>
                <pt idx="216">
                  <v>2926.828223507374</v>
                </pt>
                <pt idx="217">
                  <v>2966.511192247643</v>
                </pt>
                <pt idx="218">
                  <v>3011.494413356425</v>
                </pt>
                <pt idx="219">
                  <v>3051.78286885258</v>
                </pt>
                <pt idx="220">
                  <v>3092.358008120929</v>
                </pt>
                <pt idx="221">
                  <v>3138.34907670858</v>
                </pt>
                <pt idx="222">
                  <v>3179.537024764877</v>
                </pt>
                <pt idx="223">
                  <v>3221.015010080671</v>
                </pt>
                <pt idx="224">
                  <v>3268.025716599763</v>
                </pt>
                <pt idx="225">
                  <v>3310.123444717516</v>
                </pt>
                <pt idx="226">
                  <v>3352.514384171816</v>
                </pt>
                <pt idx="227">
                  <v>3400.555888397898</v>
                </pt>
                <pt idx="228">
                  <v>3443.57313046639</v>
                </pt>
                <pt idx="229">
                  <v>3486.886585250284</v>
                </pt>
                <pt idx="230">
                  <v>3535.969439856116</v>
                </pt>
                <pt idx="231">
                  <v>3579.915397473851</v>
                </pt>
                <pt idx="232">
                  <v>3624.160403492118</v>
                </pt>
                <pt idx="233">
                  <v>3674.294578654452</v>
                </pt>
                <pt idx="234">
                  <v>3719.177943213066</v>
                </pt>
                <pt idx="235">
                  <v>3764.363033325195</v>
                </pt>
                <pt idx="236">
                  <v>3815.557941887678</v>
                </pt>
                <pt idx="237">
                  <v>3861.386917027115</v>
                </pt>
                <pt idx="238">
                  <v>3907.520143552331</v>
                </pt>
                <pt idx="239">
                  <v>3959.784666367032</v>
                </pt>
                <pt idx="240">
                  <v>4006.566990492183</v>
                </pt>
              </numCache>
            </numRef>
          </yVal>
          <smooth val="0"/>
        </ser>
        <ser>
          <idx val="2"/>
          <order val="2"/>
          <tx>
            <v>Paper ice-ocean 35 km / 1600 km pass</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Native_Chart_Data!$E$1473:$E$1713</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Native_Chart_Data!$F$1473:$F$1713</f>
              <numCache>
                <formatCode>General</formatCode>
                <ptCount val="241"/>
                <pt idx="0">
                  <v>9500.989923273361</v>
                </pt>
                <pt idx="1">
                  <v>9376.948806056143</v>
                </pt>
                <pt idx="2">
                  <v>9238.487402839646</v>
                </pt>
                <pt idx="3">
                  <v>9116.373900783714</v>
                </pt>
                <pt idx="4">
                  <v>8995.166044528318</v>
                </pt>
                <pt idx="5">
                  <v>8859.888506354831</v>
                </pt>
                <pt idx="6">
                  <v>8740.601827631473</v>
                </pt>
                <pt idx="7">
                  <v>8622.217592392886</v>
                </pt>
                <pt idx="8">
                  <v>8490.112657175801</v>
                </pt>
                <pt idx="9">
                  <v>8373.64240992586</v>
                </pt>
                <pt idx="10">
                  <v>8258.071035157735</v>
                </pt>
                <pt idx="11">
                  <v>8129.126144290872</v>
                </pt>
                <pt idx="12">
                  <v>8015.460751408424</v>
                </pt>
                <pt idx="13">
                  <v>7902.69025957073</v>
                </pt>
                <pt idx="14">
                  <v>7776.891446293153</v>
                </pt>
                <pt idx="15">
                  <v>7666.018043289701</v>
                </pt>
                <pt idx="16">
                  <v>7556.035134917943</v>
                </pt>
                <pt idx="17">
                  <v>7433.366902852947</v>
                </pt>
                <pt idx="18">
                  <v>7325.2712267935</v>
                </pt>
                <pt idx="19">
                  <v>7218.061166458944</v>
                </pt>
                <pt idx="20">
                  <v>7098.506357692575</v>
                </pt>
                <pt idx="21">
                  <v>6993.172626647848</v>
                </pt>
                <pt idx="22">
                  <v>6888.719119263425</v>
                </pt>
                <pt idx="23">
                  <v>6772.258771364358</v>
                </pt>
                <pt idx="24">
                  <v>6669.669553864102</v>
                </pt>
                <pt idx="25">
                  <v>6567.954610839783</v>
                </pt>
                <pt idx="26">
                  <v>6454.567802288767</v>
                </pt>
                <pt idx="27">
                  <v>6354.703876330992</v>
                </pt>
                <pt idx="28">
                  <v>6255.707671163264</v>
                </pt>
                <pt idx="29">
                  <v>6145.371354766009</v>
                </pt>
                <pt idx="30">
                  <v>6048.211556044975</v>
                </pt>
                <pt idx="31">
                  <v>5951.912269047644</v>
                </pt>
                <pt idx="32">
                  <v>5844.601093061466</v>
                </pt>
                <pt idx="33">
                  <v>5750.122152234429</v>
                </pt>
                <pt idx="34">
                  <v>5656.495804293952</v>
                </pt>
                <pt idx="35">
                  <v>5552.181921221136</v>
                </pt>
                <pt idx="36">
                  <v>5460.358290255554</v>
                </pt>
                <pt idx="37">
                  <v>5369.378565739557</v>
                </pt>
                <pt idx="38">
                  <v>5268.031429047745</v>
                </pt>
                <pt idx="39">
                  <v>5178.835096993912</v>
                </pt>
                <pt idx="40">
                  <v>5090.473156276304</v>
                </pt>
                <pt idx="41">
                  <v>4992.059305723048</v>
                </pt>
                <pt idx="42">
                  <v>4905.459604666784</v>
                </pt>
                <pt idx="43">
                  <v>4819.683887182145</v>
                </pt>
                <pt idx="44">
                  <v>4724.166723978402</v>
                </pt>
                <pt idx="45">
                  <v>4640.130126474501</v>
                </pt>
                <pt idx="46">
                  <v>4556.906145812412</v>
                </pt>
                <pt idx="47">
                  <v>4464.245699599919</v>
                </pt>
                <pt idx="48">
                  <v>4382.735609610576</v>
                </pt>
                <pt idx="49">
                  <v>4302.025742951585</v>
                </pt>
                <pt idx="50">
                  <v>4212.178433547609</v>
                </pt>
                <pt idx="51">
                  <v>4133.154973866361</v>
                </pt>
                <pt idx="52">
                  <v>4054.918249107181</v>
                </pt>
                <pt idx="53">
                  <v>3967.836647264553</v>
                </pt>
                <pt idx="54">
                  <v>3891.256447672386</v>
                </pt>
                <pt idx="55">
                  <v>3815.448332974261</v>
                </pt>
                <pt idx="56">
                  <v>3731.080926123997</v>
                </pt>
                <pt idx="57">
                  <v>3656.896918210815</v>
                </pt>
                <pt idx="58">
                  <v>3583.469120557721</v>
                </pt>
                <pt idx="59">
                  <v>3501.760091807711</v>
                </pt>
                <pt idx="60">
                  <v>3429.921318663292</v>
                </pt>
                <pt idx="61">
                  <v>3358.82160052163</v>
                </pt>
                <pt idx="62">
                  <v>3279.710632319749</v>
                </pt>
                <pt idx="63">
                  <v>3210.162084404441</v>
                </pt>
                <pt idx="64">
                  <v>3141.334111024023</v>
                </pt>
                <pt idx="65">
                  <v>3064.756229239335</v>
                </pt>
                <pt idx="66">
                  <v>2997.438722081708</v>
                </pt>
                <pt idx="67">
                  <v>2930.821956828647</v>
                </pt>
                <pt idx="68">
                  <v>2856.707437171217</v>
                </pt>
                <pt idx="69">
                  <v>2791.557552752647</v>
                </pt>
                <pt idx="70">
                  <v>2727.087224876922</v>
                </pt>
                <pt idx="71">
                  <v>2655.361592581276</v>
                </pt>
                <pt idx="72">
                  <v>2592.311715433615</v>
                </pt>
                <pt idx="73">
                  <v>2529.918895127145</v>
                </pt>
                <pt idx="74">
                  <v>2460.503062399682</v>
                </pt>
                <pt idx="75">
                  <v>2399.481555421337</v>
                </pt>
                <pt idx="76">
                  <v>2339.093387140346</v>
                </pt>
                <pt idx="77">
                  <v>2271.903994057786</v>
                </pt>
                <pt idx="78">
                  <v>2212.835581138404</v>
                </pt>
                <pt idx="79">
                  <v>2154.375751929062</v>
                </pt>
                <pt idx="80">
                  <v>2089.325810771943</v>
                </pt>
                <pt idx="81">
                  <v>2032.132269523135</v>
                </pt>
                <pt idx="82">
                  <v>1975.521831844092</v>
                </pt>
                <pt idx="83">
                  <v>1912.521832511924</v>
                </pt>
                <pt idx="84">
                  <v>1857.123162081671</v>
                </pt>
                <pt idx="85">
                  <v>1802.28190437273</v>
                </pt>
                <pt idx="86">
                  <v>1741.241639361582</v>
                </pt>
                <pt idx="87">
                  <v>1687.557977658393</v>
                </pt>
                <pt idx="88">
                  <v>1634.406668398929</v>
                </pt>
                <pt idx="89">
                  <v>1575.238219581266</v>
                </pt>
                <pt idx="90">
                  <v>1523.192986437113</v>
                </pt>
                <pt idx="91">
                  <v>1471.657065923119</v>
                </pt>
                <pt idx="92">
                  <v>1414.279745381553</v>
                </pt>
                <pt idx="93">
                  <v>1363.804879466073</v>
                </pt>
                <pt idx="94">
                  <v>1313.820661862484</v>
                </pt>
                <pt idx="95">
                  <v>1258.169398693886</v>
                </pt>
                <pt idx="96">
                  <v>1209.214351949803</v>
                </pt>
                <pt idx="97">
                  <v>1160.739810698293</v>
                </pt>
                <pt idx="98">
                  <v>1106.77995128393</v>
                </pt>
                <pt idx="99">
                  <v>1059.327816320825</v>
                </pt>
                <pt idx="100">
                  <v>1012.362240937457</v>
                </pt>
                <pt idx="101">
                  <v>960.117033428206</v>
                </pt>
                <pt idx="102">
                  <v>914.2150944754102</v>
                </pt>
                <pt idx="103">
                  <v>868.8370802822063</v>
                </pt>
                <pt idx="104">
                  <v>818.4420076699244</v>
                </pt>
                <pt idx="105">
                  <v>774.2635773636083</v>
                </pt>
                <pt idx="106">
                  <v>730.7097325562099</v>
                </pt>
                <pt idx="107">
                  <v>682.5280213875686</v>
                </pt>
                <pt idx="108">
                  <v>640.5073835750494</v>
                </pt>
                <pt idx="109">
                  <v>599.3484103990154</v>
                </pt>
                <pt idx="110">
                  <v>554.2362316751039</v>
                </pt>
                <pt idx="111">
                  <v>515.3859359473161</v>
                </pt>
                <pt idx="112">
                  <v>477.9486297496659</v>
                </pt>
                <pt idx="113">
                  <v>437.8992973190349</v>
                </pt>
                <pt idx="114">
                  <v>404.5820446556752</v>
                </pt>
                <pt idx="115">
                  <v>373.9580870428675</v>
                </pt>
                <pt idx="116">
                  <v>343.5612623013572</v>
                </pt>
                <pt idx="117">
                  <v>321.0492876738631</v>
                </pt>
                <pt idx="118">
                  <v>303.7334622402668</v>
                </pt>
                <pt idx="119">
                  <v>291.5763573062603</v>
                </pt>
                <pt idx="120">
                  <v>288.0264897465142</v>
                </pt>
                <pt idx="121">
                  <v>291.5763573062603</v>
                </pt>
                <pt idx="122">
                  <v>303.7334622402668</v>
                </pt>
                <pt idx="123">
                  <v>321.0492876738631</v>
                </pt>
                <pt idx="124">
                  <v>343.5612623013572</v>
                </pt>
                <pt idx="125">
                  <v>373.9580870428675</v>
                </pt>
                <pt idx="126">
                  <v>404.5820446556752</v>
                </pt>
                <pt idx="127">
                  <v>437.8992973190349</v>
                </pt>
                <pt idx="128">
                  <v>477.9486297496659</v>
                </pt>
                <pt idx="129">
                  <v>515.3859359473161</v>
                </pt>
                <pt idx="130">
                  <v>554.2362316751039</v>
                </pt>
                <pt idx="131">
                  <v>599.3484103990154</v>
                </pt>
                <pt idx="132">
                  <v>640.5073835750494</v>
                </pt>
                <pt idx="133">
                  <v>682.5280213875686</v>
                </pt>
                <pt idx="134">
                  <v>730.7097325562099</v>
                </pt>
                <pt idx="135">
                  <v>774.2635773636083</v>
                </pt>
                <pt idx="136">
                  <v>818.4420076699244</v>
                </pt>
                <pt idx="137">
                  <v>868.8370802821825</v>
                </pt>
                <pt idx="138">
                  <v>914.2150944753647</v>
                </pt>
                <pt idx="139">
                  <v>960.117033428206</v>
                </pt>
                <pt idx="140">
                  <v>1012.362240937457</v>
                </pt>
                <pt idx="141">
                  <v>1059.327816320825</v>
                </pt>
                <pt idx="142">
                  <v>1106.77995128393</v>
                </pt>
                <pt idx="143">
                  <v>1160.739810698293</v>
                </pt>
                <pt idx="144">
                  <v>1209.214351949803</v>
                </pt>
                <pt idx="145">
                  <v>1258.169398693886</v>
                </pt>
                <pt idx="146">
                  <v>1313.820661862484</v>
                </pt>
                <pt idx="147">
                  <v>1363.804879466073</v>
                </pt>
                <pt idx="148">
                  <v>1414.279745381553</v>
                </pt>
                <pt idx="149">
                  <v>1471.657065923119</v>
                </pt>
                <pt idx="150">
                  <v>1523.192986437113</v>
                </pt>
                <pt idx="151">
                  <v>1575.238219581266</v>
                </pt>
                <pt idx="152">
                  <v>1634.406668398929</v>
                </pt>
                <pt idx="153">
                  <v>1687.557977658393</v>
                </pt>
                <pt idx="154">
                  <v>1741.241639361582</v>
                </pt>
                <pt idx="155">
                  <v>1802.281904372742</v>
                </pt>
                <pt idx="156">
                  <v>1857.123162081671</v>
                </pt>
                <pt idx="157">
                  <v>1912.521832511924</v>
                </pt>
                <pt idx="158">
                  <v>1975.521831844092</v>
                </pt>
                <pt idx="159">
                  <v>2032.132269523135</v>
                </pt>
                <pt idx="160">
                  <v>2089.325810771943</v>
                </pt>
                <pt idx="161">
                  <v>2154.375751929062</v>
                </pt>
                <pt idx="162">
                  <v>2212.835581138404</v>
                </pt>
                <pt idx="163">
                  <v>2271.903994057786</v>
                </pt>
                <pt idx="164">
                  <v>2339.093387140346</v>
                </pt>
                <pt idx="165">
                  <v>2399.481555421337</v>
                </pt>
                <pt idx="166">
                  <v>2460.503062399682</v>
                </pt>
                <pt idx="167">
                  <v>2529.918895127145</v>
                </pt>
                <pt idx="168">
                  <v>2592.311715433615</v>
                </pt>
                <pt idx="169">
                  <v>2655.361592581276</v>
                </pt>
                <pt idx="170">
                  <v>2727.087224876922</v>
                </pt>
                <pt idx="171">
                  <v>2791.557552752647</v>
                </pt>
                <pt idx="172">
                  <v>2856.707437171217</v>
                </pt>
                <pt idx="173">
                  <v>2930.821956828647</v>
                </pt>
                <pt idx="174">
                  <v>2997.438722081708</v>
                </pt>
                <pt idx="175">
                  <v>3064.756229239328</v>
                </pt>
                <pt idx="176">
                  <v>3141.334111024023</v>
                </pt>
                <pt idx="177">
                  <v>3210.162084404441</v>
                </pt>
                <pt idx="178">
                  <v>3279.710632319749</v>
                </pt>
                <pt idx="179">
                  <v>3358.82160052163</v>
                </pt>
                <pt idx="180">
                  <v>3429.921318663292</v>
                </pt>
                <pt idx="181">
                  <v>3501.760091807711</v>
                </pt>
                <pt idx="182">
                  <v>3583.469120557721</v>
                </pt>
                <pt idx="183">
                  <v>3656.896918210815</v>
                </pt>
                <pt idx="184">
                  <v>3731.080926123992</v>
                </pt>
                <pt idx="185">
                  <v>3815.448332974261</v>
                </pt>
                <pt idx="186">
                  <v>3891.256447672386</v>
                </pt>
                <pt idx="187">
                  <v>3967.836647264553</v>
                </pt>
                <pt idx="188">
                  <v>4054.918249107175</v>
                </pt>
                <pt idx="189">
                  <v>4133.154973866361</v>
                </pt>
                <pt idx="190">
                  <v>4212.178433547609</v>
                </pt>
                <pt idx="191">
                  <v>4302.02574295159</v>
                </pt>
                <pt idx="192">
                  <v>4382.735609610576</v>
                </pt>
                <pt idx="193">
                  <v>4464.245699599919</v>
                </pt>
                <pt idx="194">
                  <v>4556.906145812415</v>
                </pt>
                <pt idx="195">
                  <v>4640.130126474501</v>
                </pt>
                <pt idx="196">
                  <v>4724.166723978406</v>
                </pt>
                <pt idx="197">
                  <v>4819.683887182147</v>
                </pt>
                <pt idx="198">
                  <v>4905.459604666784</v>
                </pt>
                <pt idx="199">
                  <v>4992.059305723044</v>
                </pt>
                <pt idx="200">
                  <v>5090.473156276304</v>
                </pt>
                <pt idx="201">
                  <v>5178.835096993912</v>
                </pt>
                <pt idx="202">
                  <v>5268.031429047745</v>
                </pt>
                <pt idx="203">
                  <v>5369.378565739557</v>
                </pt>
                <pt idx="204">
                  <v>5460.358290255554</v>
                </pt>
                <pt idx="205">
                  <v>5552.181921221128</v>
                </pt>
                <pt idx="206">
                  <v>5656.495804293952</v>
                </pt>
                <pt idx="207">
                  <v>5750.122152234429</v>
                </pt>
                <pt idx="208">
                  <v>5844.601093061466</v>
                </pt>
                <pt idx="209">
                  <v>5951.912269047644</v>
                </pt>
                <pt idx="210">
                  <v>6048.211556044975</v>
                </pt>
                <pt idx="211">
                  <v>6145.371354766013</v>
                </pt>
                <pt idx="212">
                  <v>6255.707671163264</v>
                </pt>
                <pt idx="213">
                  <v>6354.703876330992</v>
                </pt>
                <pt idx="214">
                  <v>6454.567802288764</v>
                </pt>
                <pt idx="215">
                  <v>6567.954610839783</v>
                </pt>
                <pt idx="216">
                  <v>6669.669553864102</v>
                </pt>
                <pt idx="217">
                  <v>6772.258771364358</v>
                </pt>
                <pt idx="218">
                  <v>6888.719119263425</v>
                </pt>
                <pt idx="219">
                  <v>6993.172626647848</v>
                </pt>
                <pt idx="220">
                  <v>7098.50635769257</v>
                </pt>
                <pt idx="221">
                  <v>7218.061166458944</v>
                </pt>
                <pt idx="222">
                  <v>7325.2712267935</v>
                </pt>
                <pt idx="223">
                  <v>7433.366902852947</v>
                </pt>
                <pt idx="224">
                  <v>7556.035134917943</v>
                </pt>
                <pt idx="225">
                  <v>7666.018043289701</v>
                </pt>
                <pt idx="226">
                  <v>7776.891446293156</v>
                </pt>
                <pt idx="227">
                  <v>7902.690259570726</v>
                </pt>
                <pt idx="228">
                  <v>8015.460751408424</v>
                </pt>
                <pt idx="229">
                  <v>8129.12614429087</v>
                </pt>
                <pt idx="230">
                  <v>8258.071035157735</v>
                </pt>
                <pt idx="231">
                  <v>8373.64240992586</v>
                </pt>
                <pt idx="232">
                  <v>8490.112657175801</v>
                </pt>
                <pt idx="233">
                  <v>8622.217592392886</v>
                </pt>
                <pt idx="234">
                  <v>8740.601827631473</v>
                </pt>
                <pt idx="235">
                  <v>8859.888506354831</v>
                </pt>
                <pt idx="236">
                  <v>8995.16604452832</v>
                </pt>
                <pt idx="237">
                  <v>9116.373900783714</v>
                </pt>
                <pt idx="238">
                  <v>9238.487402839648</v>
                </pt>
                <pt idx="239">
                  <v>9376.948806056138</v>
                </pt>
                <pt idx="240">
                  <v>9500.989923273361</v>
                </pt>
              </numCache>
            </numRef>
          </yVal>
          <smooth val="0"/>
        </ser>
        <ser>
          <idx val="3"/>
          <order val="3"/>
          <tx>
            <v>Operating 25 km / 1600 km pass</v>
          </tx>
          <spPr>
            <a:ln xmlns:a="http://schemas.openxmlformats.org/drawingml/2006/main" w="19050">
              <a:solidFill>
                <a:srgbClr val="7C3AED"/>
              </a:solidFill>
              <a:prstDash val="solid"/>
            </a:ln>
          </spPr>
          <marker>
            <symbol val="none"/>
            <spPr>
              <a:ln xmlns:a="http://schemas.openxmlformats.org/drawingml/2006/main">
                <a:prstDash val="solid"/>
              </a:ln>
            </spPr>
          </marker>
          <xVal>
            <numRef>
              <f>Native_Chart_Data!$G$1473:$G$1713</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Native_Chart_Data!$H$1473:$H$1713</f>
              <numCache>
                <formatCode>General</formatCode>
                <ptCount val="241"/>
                <pt idx="0">
                  <v>9500.989923273361</v>
                </pt>
                <pt idx="1">
                  <v>9376.054593495282</v>
                </pt>
                <pt idx="2">
                  <v>9236.601004281432</v>
                </pt>
                <pt idx="3">
                  <v>9113.617881954191</v>
                </pt>
                <pt idx="4">
                  <v>8991.552054335491</v>
                </pt>
                <pt idx="5">
                  <v>8855.323284209488</v>
                </pt>
                <pt idx="6">
                  <v>8735.203553435682</v>
                </pt>
                <pt idx="7">
                  <v>8615.998072070657</v>
                </pt>
                <pt idx="8">
                  <v>8482.983410922227</v>
                </pt>
                <pt idx="9">
                  <v>8365.717177007828</v>
                </pt>
                <pt idx="10">
                  <v>8249.361784554472</v>
                </pt>
                <pt idx="11">
                  <v>8119.549246965398</v>
                </pt>
                <pt idx="12">
                  <v>8005.125448461821</v>
                </pt>
                <pt idx="13">
                  <v>7891.608688682572</v>
                </pt>
                <pt idx="14">
                  <v>7764.984900901367</v>
                </pt>
                <pt idx="15">
                  <v>7653.39120605297</v>
                </pt>
                <pt idx="16">
                  <v>7542.700317284668</v>
                </pt>
                <pt idx="17">
                  <v>7419.25039373271</v>
                </pt>
                <pt idx="18">
                  <v>7310.473087383565</v>
                </pt>
                <pt idx="19">
                  <v>7202.593886244597</v>
                </pt>
                <pt idx="20">
                  <v>7082.301294774013</v>
                </pt>
                <pt idx="21">
                  <v>6976.325155041407</v>
                </pt>
                <pt idx="22">
                  <v>6871.241909686075</v>
                </pt>
                <pt idx="23">
                  <v>6754.08832481869</v>
                </pt>
                <pt idx="24">
                  <v>6650.89648885563</v>
                </pt>
                <pt idx="25">
                  <v>6548.591781107728</v>
                </pt>
                <pt idx="26">
                  <v>6434.556924518235</v>
                </pt>
                <pt idx="27">
                  <v>6334.130742726853</v>
                </pt>
                <pt idx="28">
                  <v>6234.585318473166</v>
                </pt>
                <pt idx="29">
                  <v>6123.646786047526</v>
                </pt>
                <pt idx="30">
                  <v>6025.965664177064</v>
                </pt>
                <pt idx="31">
                  <v>5929.158271486265</v>
                </pt>
                <pt idx="32">
                  <v>5821.291346397364</v>
                </pt>
                <pt idx="33">
                  <v>5726.332575075653</v>
                </pt>
                <pt idx="34">
                  <v>5632.239789639228</v>
                </pt>
                <pt idx="35">
                  <v>5527.417241051008</v>
                </pt>
                <pt idx="36">
                  <v>5435.155812468824</v>
                </pt>
                <pt idx="37">
                  <v>5343.751850152343</v>
                </pt>
                <pt idx="38">
                  <v>5241.943717406506</v>
                </pt>
                <pt idx="39">
                  <v>5152.352129116699</v>
                </pt>
                <pt idx="40">
                  <v>5063.608645679319</v>
                </pt>
                <pt idx="41">
                  <v>4964.782008157169</v>
                </pt>
                <pt idx="42">
                  <v>4877.830054285296</v>
                </pt>
                <pt idx="43">
                  <v>4791.715932694854</v>
                </pt>
                <pt idx="44">
                  <v>4695.834666007484</v>
                </pt>
                <pt idx="45">
                  <v>4611.489216623593</v>
                </pt>
                <pt idx="46">
                  <v>4527.970342892101</v>
                </pt>
                <pt idx="47">
                  <v>4434.994862669753</v>
                </pt>
                <pt idx="48">
                  <v>4353.219632675859</v>
                </pt>
                <pt idx="49">
                  <v>4272.258661802543</v>
                </pt>
                <pt idx="50">
                  <v>4182.145657173544</v>
                </pt>
                <pt idx="51">
                  <v>4102.900966862511</v>
                </pt>
                <pt idx="52">
                  <v>4024.457081346861</v>
                </pt>
                <pt idx="53">
                  <v>3937.159241278986</v>
                </pt>
                <pt idx="54">
                  <v>3860.401771777322</v>
                </pt>
                <pt idx="55">
                  <v>3784.430436320021</v>
                </pt>
                <pt idx="56">
                  <v>3699.896173425855</v>
                </pt>
                <pt idx="57">
                  <v>3625.578721629772</v>
                </pt>
                <pt idx="58">
                  <v>3552.031439167684</v>
                </pt>
                <pt idx="59">
                  <v>3470.204617470077</v>
                </pt>
                <pt idx="60">
                  <v>3398.275856941299</v>
                </pt>
                <pt idx="61">
                  <v>3327.099933201986</v>
                </pt>
                <pt idx="62">
                  <v>3247.919608893486</v>
                </pt>
                <pt idx="63">
                  <v>3178.323865680885</v>
                </pt>
                <pt idx="64">
                  <v>3109.462192200807</v>
                </pt>
                <pt idx="65">
                  <v>3032.862379885861</v>
                </pt>
                <pt idx="66">
                  <v>2965.539435665303</v>
                </pt>
                <pt idx="67">
                  <v>2898.930305024403</v>
                </pt>
                <pt idx="68">
                  <v>2824.839786742809</v>
                </pt>
                <pt idx="69">
                  <v>2759.724726481357</v>
                </pt>
                <pt idx="70">
                  <v>2695.301698907608</v>
                </pt>
                <pt idx="71">
                  <v>2623.643900129246</v>
                </pt>
                <pt idx="72">
                  <v>2560.667028453617</v>
                </pt>
                <pt idx="73">
                  <v>2498.358876860313</v>
                </pt>
                <pt idx="74">
                  <v>2429.051843860197</v>
                </pt>
                <pt idx="75">
                  <v>2368.138704780964</v>
                </pt>
                <pt idx="76">
                  <v>2307.869477325939</v>
                </pt>
                <pt idx="77">
                  <v>2240.826006094351</v>
                </pt>
                <pt idx="78">
                  <v>2181.897557099264</v>
                </pt>
                <pt idx="79">
                  <v>2123.586815394276</v>
                </pt>
                <pt idx="80">
                  <v>2058.714807530908</v>
                </pt>
                <pt idx="81">
                  <v>2001.687825723243</v>
                </pt>
                <pt idx="82">
                  <v>1945.25114828152</v>
                </pt>
                <pt idx="83">
                  <v>1882.454311738599</v>
                </pt>
                <pt idx="84">
                  <v>1827.242155083285</v>
                </pt>
                <pt idx="85">
                  <v>1772.592049910802</v>
                </pt>
                <pt idx="86">
                  <v>1711.771136817117</v>
                </pt>
                <pt idx="87">
                  <v>1658.285064361846</v>
                </pt>
                <pt idx="88">
                  <v>1605.332532734235</v>
                </pt>
                <pt idx="89">
                  <v>1546.3874430517</v>
                </pt>
                <pt idx="90">
                  <v>1494.538848738704</v>
                </pt>
                <pt idx="91">
                  <v>1443.196028166285</v>
                </pt>
                <pt idx="92">
                  <v>1386.029371073334</v>
                </pt>
                <pt idx="93">
                  <v>1335.73358143176</v>
                </pt>
                <pt idx="94">
                  <v>1285.918266802636</v>
                </pt>
                <pt idx="95">
                  <v>1230.441506628831</v>
                </pt>
                <pt idx="96">
                  <v>1181.624405443751</v>
                </pt>
                <pt idx="97">
                  <v>1133.268031035687</v>
                </pt>
                <pt idx="98">
                  <v>1079.412498891441</v>
                </pt>
                <pt idx="99">
                  <v>1032.022593769783</v>
                </pt>
                <pt idx="100">
                  <v>985.0850258038517</v>
                </pt>
                <pt idx="101">
                  <v>932.8227451453487</v>
                </pt>
                <pt idx="102">
                  <v>886.8544947202699</v>
                </pt>
                <pt idx="103">
                  <v>841.3532788829367</v>
                </pt>
                <pt idx="104">
                  <v>790.7392217429494</v>
                </pt>
                <pt idx="105">
                  <v>746.2816902643984</v>
                </pt>
                <pt idx="106">
                  <v>702.354778608177</v>
                </pt>
                <pt idx="107">
                  <v>653.6204124325454</v>
                </pt>
                <pt idx="108">
                  <v>610.9686237412925</v>
                </pt>
                <pt idx="109">
                  <v>569.0227686817443</v>
                </pt>
                <pt idx="110">
                  <v>522.8056693168993</v>
                </pt>
                <pt idx="111">
                  <v>482.7443088432838</v>
                </pt>
                <pt idx="112">
                  <v>443.8466445893456</v>
                </pt>
                <pt idx="113">
                  <v>401.8182055149775</v>
                </pt>
                <pt idx="114">
                  <v>366.4202809713315</v>
                </pt>
                <pt idx="115">
                  <v>333.4194769634622</v>
                </pt>
                <pt idx="116">
                  <v>300.0734171526439</v>
                </pt>
                <pt idx="117">
                  <v>274.8715173653501</v>
                </pt>
                <pt idx="118">
                  <v>255.1034907249413</v>
                </pt>
                <pt idx="119">
                  <v>240.9766453196566</v>
                </pt>
                <pt idx="120">
                  <v>236.8067637349101</v>
                </pt>
                <pt idx="121">
                  <v>240.9766453196566</v>
                </pt>
                <pt idx="122">
                  <v>255.1034907249413</v>
                </pt>
                <pt idx="123">
                  <v>274.8715173653501</v>
                </pt>
                <pt idx="124">
                  <v>300.0734171526439</v>
                </pt>
                <pt idx="125">
                  <v>333.4194769634622</v>
                </pt>
                <pt idx="126">
                  <v>366.4202809713315</v>
                </pt>
                <pt idx="127">
                  <v>401.8182055149775</v>
                </pt>
                <pt idx="128">
                  <v>443.8466445893456</v>
                </pt>
                <pt idx="129">
                  <v>482.7443088432838</v>
                </pt>
                <pt idx="130">
                  <v>522.8056693168993</v>
                </pt>
                <pt idx="131">
                  <v>569.0227686817443</v>
                </pt>
                <pt idx="132">
                  <v>610.9686237412925</v>
                </pt>
                <pt idx="133">
                  <v>653.6204124325454</v>
                </pt>
                <pt idx="134">
                  <v>702.354778608177</v>
                </pt>
                <pt idx="135">
                  <v>746.2816902643984</v>
                </pt>
                <pt idx="136">
                  <v>790.7392217429494</v>
                </pt>
                <pt idx="137">
                  <v>841.3532788829613</v>
                </pt>
                <pt idx="138">
                  <v>886.8544947202699</v>
                </pt>
                <pt idx="139">
                  <v>932.8227451453487</v>
                </pt>
                <pt idx="140">
                  <v>985.0850258038517</v>
                </pt>
                <pt idx="141">
                  <v>1032.022593769783</v>
                </pt>
                <pt idx="142">
                  <v>1079.412498891441</v>
                </pt>
                <pt idx="143">
                  <v>1133.268031035687</v>
                </pt>
                <pt idx="144">
                  <v>1181.624405443751</v>
                </pt>
                <pt idx="145">
                  <v>1230.441506628831</v>
                </pt>
                <pt idx="146">
                  <v>1285.918266802636</v>
                </pt>
                <pt idx="147">
                  <v>1335.73358143176</v>
                </pt>
                <pt idx="148">
                  <v>1386.029371073334</v>
                </pt>
                <pt idx="149">
                  <v>1443.196028166285</v>
                </pt>
                <pt idx="150">
                  <v>1494.538848738704</v>
                </pt>
                <pt idx="151">
                  <v>1546.3874430517</v>
                </pt>
                <pt idx="152">
                  <v>1605.332532734235</v>
                </pt>
                <pt idx="153">
                  <v>1658.285064361846</v>
                </pt>
                <pt idx="154">
                  <v>1711.771136817117</v>
                </pt>
                <pt idx="155">
                  <v>1772.592049910802</v>
                </pt>
                <pt idx="156">
                  <v>1827.242155083285</v>
                </pt>
                <pt idx="157">
                  <v>1882.454311738599</v>
                </pt>
                <pt idx="158">
                  <v>1945.25114828152</v>
                </pt>
                <pt idx="159">
                  <v>2001.687825723243</v>
                </pt>
                <pt idx="160">
                  <v>2058.714807530908</v>
                </pt>
                <pt idx="161">
                  <v>2123.586815394267</v>
                </pt>
                <pt idx="162">
                  <v>2181.897557099264</v>
                </pt>
                <pt idx="163">
                  <v>2240.826006094351</v>
                </pt>
                <pt idx="164">
                  <v>2307.86947732593</v>
                </pt>
                <pt idx="165">
                  <v>2368.138704780964</v>
                </pt>
                <pt idx="166">
                  <v>2429.051843860189</v>
                </pt>
                <pt idx="167">
                  <v>2498.358876860313</v>
                </pt>
                <pt idx="168">
                  <v>2560.667028453617</v>
                </pt>
                <pt idx="169">
                  <v>2623.643900129254</v>
                </pt>
                <pt idx="170">
                  <v>2695.3016989076</v>
                </pt>
                <pt idx="171">
                  <v>2759.724726481357</v>
                </pt>
                <pt idx="172">
                  <v>2824.839786742809</v>
                </pt>
                <pt idx="173">
                  <v>2898.93030502441</v>
                </pt>
                <pt idx="174">
                  <v>2965.539435665303</v>
                </pt>
                <pt idx="175">
                  <v>3032.862379885861</v>
                </pt>
                <pt idx="176">
                  <v>3109.462192200807</v>
                </pt>
                <pt idx="177">
                  <v>3178.323865680885</v>
                </pt>
                <pt idx="178">
                  <v>3247.91960889348</v>
                </pt>
                <pt idx="179">
                  <v>3327.099933201991</v>
                </pt>
                <pt idx="180">
                  <v>3398.275856941299</v>
                </pt>
                <pt idx="181">
                  <v>3470.20461747007</v>
                </pt>
                <pt idx="182">
                  <v>3552.031439167684</v>
                </pt>
                <pt idx="183">
                  <v>3625.578721629772</v>
                </pt>
                <pt idx="184">
                  <v>3699.896173425861</v>
                </pt>
                <pt idx="185">
                  <v>3784.430436320021</v>
                </pt>
                <pt idx="186">
                  <v>3860.401771777322</v>
                </pt>
                <pt idx="187">
                  <v>3937.159241278996</v>
                </pt>
                <pt idx="188">
                  <v>4024.457081346861</v>
                </pt>
                <pt idx="189">
                  <v>4102.900966862511</v>
                </pt>
                <pt idx="190">
                  <v>4182.145657173544</v>
                </pt>
                <pt idx="191">
                  <v>4272.258661802538</v>
                </pt>
                <pt idx="192">
                  <v>4353.219632675859</v>
                </pt>
                <pt idx="193">
                  <v>4434.994862669758</v>
                </pt>
                <pt idx="194">
                  <v>4527.970342892097</v>
                </pt>
                <pt idx="195">
                  <v>4611.489216623593</v>
                </pt>
                <pt idx="196">
                  <v>4695.834666007489</v>
                </pt>
                <pt idx="197">
                  <v>4791.715932694854</v>
                </pt>
                <pt idx="198">
                  <v>4877.830054285296</v>
                </pt>
                <pt idx="199">
                  <v>4964.782008157164</v>
                </pt>
                <pt idx="200">
                  <v>5063.608645679323</v>
                </pt>
                <pt idx="201">
                  <v>5152.352129116699</v>
                </pt>
                <pt idx="202">
                  <v>5241.943717406506</v>
                </pt>
                <pt idx="203">
                  <v>5343.751850152343</v>
                </pt>
                <pt idx="204">
                  <v>5435.155812468824</v>
                </pt>
                <pt idx="205">
                  <v>5527.417241051005</v>
                </pt>
                <pt idx="206">
                  <v>5632.239789639232</v>
                </pt>
                <pt idx="207">
                  <v>5726.332575075653</v>
                </pt>
                <pt idx="208">
                  <v>5821.291346397364</v>
                </pt>
                <pt idx="209">
                  <v>5929.158271486262</v>
                </pt>
                <pt idx="210">
                  <v>6025.965664177064</v>
                </pt>
                <pt idx="211">
                  <v>6123.64678604753</v>
                </pt>
                <pt idx="212">
                  <v>6234.585318473166</v>
                </pt>
                <pt idx="213">
                  <v>6334.130742726853</v>
                </pt>
                <pt idx="214">
                  <v>6434.556924518235</v>
                </pt>
                <pt idx="215">
                  <v>6548.591781107734</v>
                </pt>
                <pt idx="216">
                  <v>6650.89648885563</v>
                </pt>
                <pt idx="217">
                  <v>6754.08832481869</v>
                </pt>
                <pt idx="218">
                  <v>6871.241909686075</v>
                </pt>
                <pt idx="219">
                  <v>6976.325155041407</v>
                </pt>
                <pt idx="220">
                  <v>7082.30129477401</v>
                </pt>
                <pt idx="221">
                  <v>7202.593886244597</v>
                </pt>
                <pt idx="222">
                  <v>7310.473087383565</v>
                </pt>
                <pt idx="223">
                  <v>7419.250393732713</v>
                </pt>
                <pt idx="224">
                  <v>7542.700317284668</v>
                </pt>
                <pt idx="225">
                  <v>7653.39120605297</v>
                </pt>
                <pt idx="226">
                  <v>7764.984900901371</v>
                </pt>
                <pt idx="227">
                  <v>7891.608688682572</v>
                </pt>
                <pt idx="228">
                  <v>8005.125448461821</v>
                </pt>
                <pt idx="229">
                  <v>8119.549246965395</v>
                </pt>
                <pt idx="230">
                  <v>8249.361784554472</v>
                </pt>
                <pt idx="231">
                  <v>8365.717177007828</v>
                </pt>
                <pt idx="232">
                  <v>8482.983410922227</v>
                </pt>
                <pt idx="233">
                  <v>8615.998072070657</v>
                </pt>
                <pt idx="234">
                  <v>8735.203553435682</v>
                </pt>
                <pt idx="235">
                  <v>8855.323284209488</v>
                </pt>
                <pt idx="236">
                  <v>8991.552054335494</v>
                </pt>
                <pt idx="237">
                  <v>9113.617881954191</v>
                </pt>
                <pt idx="238">
                  <v>9236.601004281434</v>
                </pt>
                <pt idx="239">
                  <v>9376.054593495282</v>
                </pt>
                <pt idx="240">
                  <v>9500.989923273361</v>
                </pt>
              </numCache>
            </numRef>
          </yVal>
          <smooth val="0"/>
        </ser>
        <dLbls>
          <showLegendKey val="0"/>
          <showVal val="0"/>
          <showCatName val="0"/>
          <showSerName val="0"/>
          <showPercent val="0"/>
          <showBubbleSize val="0"/>
        </dLbls>
        <axId val="700014"/>
        <axId val="700015"/>
      </scatterChart>
      <valAx>
        <axId val="700014"/>
        <scaling>
          <orientation val="minMax"/>
          <max val="1000"/>
          <min val="-10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15"/>
        <crosses val="min"/>
        <crossBetween val="midCat"/>
        <majorUnit val="500"/>
      </valAx>
      <valAx>
        <axId val="700015"/>
        <scaling>
          <orientation val="minMax"/>
          <max val="12000"/>
          <min val="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Two-way return delay (microseconds)</a:t>
                </a:r>
              </a:p>
            </rich>
          </tx>
          <overlay val="0"/>
        </title>
        <numFmt formatCode="General" sourceLinked="0"/>
        <majorTickMark val="none"/>
        <minorTickMark val="none"/>
        <tickLblPos val="nextTo"/>
        <crossAx val="700014"/>
        <crosses val="min"/>
        <crossBetween val="midCat"/>
        <majorUnit val="20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8.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Off-Nadir Radar Delay by Flyby: With Generated Topography</a:t>
            </a:r>
          </a:p>
        </rich>
      </tx>
      <overlay val="0"/>
    </title>
    <plotArea>
      <layout/>
      <scatterChart>
        <scatterStyle val="lineMarker"/>
        <varyColors val="0"/>
        <ser>
          <idx val="0"/>
          <order val="0"/>
          <tx>
            <v>Custom 400 km / 120 km pass</v>
          </tx>
          <spPr>
            <a:ln xmlns:a="http://schemas.openxmlformats.org/drawingml/2006/main" w="19050">
              <a:solidFill>
                <a:srgbClr val="0E74CA"/>
              </a:solidFill>
              <a:prstDash val="solid"/>
            </a:ln>
          </spPr>
          <marker>
            <symbol val="none"/>
            <spPr>
              <a:ln xmlns:a="http://schemas.openxmlformats.org/drawingml/2006/main">
                <a:prstDash val="solid"/>
              </a:ln>
            </spPr>
          </marker>
          <xVal>
            <numRef>
              <f>Native_Chart_Data!$A$1718:$A$1958</f>
              <numCache>
                <formatCode>General</formatCode>
                <ptCount val="241"/>
                <pt idx="0">
                  <v>-60</v>
                </pt>
                <pt idx="1">
                  <v>-59.52</v>
                </pt>
                <pt idx="2">
                  <v>-58.98</v>
                </pt>
                <pt idx="3">
                  <v>-58.5</v>
                </pt>
                <pt idx="4">
                  <v>-58.02</v>
                </pt>
                <pt idx="5">
                  <v>-57.48</v>
                </pt>
                <pt idx="6">
                  <v>-57</v>
                </pt>
                <pt idx="7">
                  <v>-56.52</v>
                </pt>
                <pt idx="8">
                  <v>-55.98</v>
                </pt>
                <pt idx="9">
                  <v>-55.5</v>
                </pt>
                <pt idx="10">
                  <v>-55.02</v>
                </pt>
                <pt idx="11">
                  <v>-54.48</v>
                </pt>
                <pt idx="12">
                  <v>-54</v>
                </pt>
                <pt idx="13">
                  <v>-53.52</v>
                </pt>
                <pt idx="14">
                  <v>-52.98</v>
                </pt>
                <pt idx="15">
                  <v>-52.5</v>
                </pt>
                <pt idx="16">
                  <v>-52.02</v>
                </pt>
                <pt idx="17">
                  <v>-51.48</v>
                </pt>
                <pt idx="18">
                  <v>-51</v>
                </pt>
                <pt idx="19">
                  <v>-50.52</v>
                </pt>
                <pt idx="20">
                  <v>-49.98</v>
                </pt>
                <pt idx="21">
                  <v>-49.5</v>
                </pt>
                <pt idx="22">
                  <v>-49.02</v>
                </pt>
                <pt idx="23">
                  <v>-48.48</v>
                </pt>
                <pt idx="24">
                  <v>-48</v>
                </pt>
                <pt idx="25">
                  <v>-47.52</v>
                </pt>
                <pt idx="26">
                  <v>-46.98</v>
                </pt>
                <pt idx="27">
                  <v>-46.5</v>
                </pt>
                <pt idx="28">
                  <v>-46.02</v>
                </pt>
                <pt idx="29">
                  <v>-45.48</v>
                </pt>
                <pt idx="30">
                  <v>-45</v>
                </pt>
                <pt idx="31">
                  <v>-44.52</v>
                </pt>
                <pt idx="32">
                  <v>-43.98</v>
                </pt>
                <pt idx="33">
                  <v>-43.5</v>
                </pt>
                <pt idx="34">
                  <v>-43.02</v>
                </pt>
                <pt idx="35">
                  <v>-42.48</v>
                </pt>
                <pt idx="36">
                  <v>-42</v>
                </pt>
                <pt idx="37">
                  <v>-41.52</v>
                </pt>
                <pt idx="38">
                  <v>-40.98</v>
                </pt>
                <pt idx="39">
                  <v>-40.5</v>
                </pt>
                <pt idx="40">
                  <v>-40.02</v>
                </pt>
                <pt idx="41">
                  <v>-39.48</v>
                </pt>
                <pt idx="42">
                  <v>-39</v>
                </pt>
                <pt idx="43">
                  <v>-38.52</v>
                </pt>
                <pt idx="44">
                  <v>-37.98</v>
                </pt>
                <pt idx="45">
                  <v>-37.5</v>
                </pt>
                <pt idx="46">
                  <v>-37.02</v>
                </pt>
                <pt idx="47">
                  <v>-36.48</v>
                </pt>
                <pt idx="48">
                  <v>-36</v>
                </pt>
                <pt idx="49">
                  <v>-35.52</v>
                </pt>
                <pt idx="50">
                  <v>-34.98</v>
                </pt>
                <pt idx="51">
                  <v>-34.5</v>
                </pt>
                <pt idx="52">
                  <v>-34.02</v>
                </pt>
                <pt idx="53">
                  <v>-33.48</v>
                </pt>
                <pt idx="54">
                  <v>-33</v>
                </pt>
                <pt idx="55">
                  <v>-32.52</v>
                </pt>
                <pt idx="56">
                  <v>-31.98</v>
                </pt>
                <pt idx="57">
                  <v>-31.5</v>
                </pt>
                <pt idx="58">
                  <v>-31.02</v>
                </pt>
                <pt idx="59">
                  <v>-30.48</v>
                </pt>
                <pt idx="60">
                  <v>-30</v>
                </pt>
                <pt idx="61">
                  <v>-29.52</v>
                </pt>
                <pt idx="62">
                  <v>-28.98</v>
                </pt>
                <pt idx="63">
                  <v>-28.5</v>
                </pt>
                <pt idx="64">
                  <v>-28.02</v>
                </pt>
                <pt idx="65">
                  <v>-27.48</v>
                </pt>
                <pt idx="66">
                  <v>-27</v>
                </pt>
                <pt idx="67">
                  <v>-26.52</v>
                </pt>
                <pt idx="68">
                  <v>-25.98</v>
                </pt>
                <pt idx="69">
                  <v>-25.5</v>
                </pt>
                <pt idx="70">
                  <v>-25.02</v>
                </pt>
                <pt idx="71">
                  <v>-24.48</v>
                </pt>
                <pt idx="72">
                  <v>-24</v>
                </pt>
                <pt idx="73">
                  <v>-23.52</v>
                </pt>
                <pt idx="74">
                  <v>-22.98</v>
                </pt>
                <pt idx="75">
                  <v>-22.5</v>
                </pt>
                <pt idx="76">
                  <v>-22.02</v>
                </pt>
                <pt idx="77">
                  <v>-21.48</v>
                </pt>
                <pt idx="78">
                  <v>-21</v>
                </pt>
                <pt idx="79">
                  <v>-20.52</v>
                </pt>
                <pt idx="80">
                  <v>-19.98</v>
                </pt>
                <pt idx="81">
                  <v>-19.5</v>
                </pt>
                <pt idx="82">
                  <v>-19.02</v>
                </pt>
                <pt idx="83">
                  <v>-18.48</v>
                </pt>
                <pt idx="84">
                  <v>-18</v>
                </pt>
                <pt idx="85">
                  <v>-17.52</v>
                </pt>
                <pt idx="86">
                  <v>-16.98</v>
                </pt>
                <pt idx="87">
                  <v>-16.5</v>
                </pt>
                <pt idx="88">
                  <v>-16.02</v>
                </pt>
                <pt idx="89">
                  <v>-15.48</v>
                </pt>
                <pt idx="90">
                  <v>-15</v>
                </pt>
                <pt idx="91">
                  <v>-14.52</v>
                </pt>
                <pt idx="92">
                  <v>-13.98</v>
                </pt>
                <pt idx="93">
                  <v>-13.5</v>
                </pt>
                <pt idx="94">
                  <v>-13.02</v>
                </pt>
                <pt idx="95">
                  <v>-12.48</v>
                </pt>
                <pt idx="96">
                  <v>-12</v>
                </pt>
                <pt idx="97">
                  <v>-11.52</v>
                </pt>
                <pt idx="98">
                  <v>-10.98</v>
                </pt>
                <pt idx="99">
                  <v>-10.5</v>
                </pt>
                <pt idx="100">
                  <v>-10.02</v>
                </pt>
                <pt idx="101">
                  <v>-9.480000000000004</v>
                </pt>
                <pt idx="102">
                  <v>-9</v>
                </pt>
                <pt idx="103">
                  <v>-8.520000000000003</v>
                </pt>
                <pt idx="104">
                  <v>-7.980000000000004</v>
                </pt>
                <pt idx="105">
                  <v>-7.5</v>
                </pt>
                <pt idx="106">
                  <v>-7.019999999999996</v>
                </pt>
                <pt idx="107">
                  <v>-6.479999999999997</v>
                </pt>
                <pt idx="108">
                  <v>-6</v>
                </pt>
                <pt idx="109">
                  <v>-5.519999999999996</v>
                </pt>
                <pt idx="110">
                  <v>-4.979999999999997</v>
                </pt>
                <pt idx="111">
                  <v>-4.5</v>
                </pt>
                <pt idx="112">
                  <v>-4.019999999999996</v>
                </pt>
                <pt idx="113">
                  <v>-3.480000000000004</v>
                </pt>
                <pt idx="114">
                  <v>-3</v>
                </pt>
                <pt idx="115">
                  <v>-2.520000000000003</v>
                </pt>
                <pt idx="116">
                  <v>-1.980000000000004</v>
                </pt>
                <pt idx="117">
                  <v>-1.5</v>
                </pt>
                <pt idx="118">
                  <v>-1.020000000000003</v>
                </pt>
                <pt idx="119">
                  <v>-0.480000000000004</v>
                </pt>
                <pt idx="120">
                  <v>0</v>
                </pt>
                <pt idx="121">
                  <v>0.480000000000004</v>
                </pt>
                <pt idx="122">
                  <v>1.019999999999996</v>
                </pt>
                <pt idx="123">
                  <v>1.499999999999993</v>
                </pt>
                <pt idx="124">
                  <v>1.979999999999997</v>
                </pt>
                <pt idx="125">
                  <v>2.520000000000003</v>
                </pt>
                <pt idx="126">
                  <v>3</v>
                </pt>
                <pt idx="127">
                  <v>3.480000000000004</v>
                </pt>
                <pt idx="128">
                  <v>4.019999999999996</v>
                </pt>
                <pt idx="129">
                  <v>4.5</v>
                </pt>
                <pt idx="130">
                  <v>4.980000000000004</v>
                </pt>
                <pt idx="131">
                  <v>5.52000000000001</v>
                </pt>
                <pt idx="132">
                  <v>6</v>
                </pt>
                <pt idx="133">
                  <v>6.480000000000004</v>
                </pt>
                <pt idx="134">
                  <v>7.019999999999996</v>
                </pt>
                <pt idx="135">
                  <v>7.5</v>
                </pt>
                <pt idx="136">
                  <v>7.980000000000004</v>
                </pt>
                <pt idx="137">
                  <v>8.519999999999996</v>
                </pt>
                <pt idx="138">
                  <v>9</v>
                </pt>
                <pt idx="139">
                  <v>9.47999999999999</v>
                </pt>
                <pt idx="140">
                  <v>10.02</v>
                </pt>
                <pt idx="141">
                  <v>10.5</v>
                </pt>
                <pt idx="142">
                  <v>10.98</v>
                </pt>
                <pt idx="143">
                  <v>11.52</v>
                </pt>
                <pt idx="144">
                  <v>12</v>
                </pt>
                <pt idx="145">
                  <v>12.48</v>
                </pt>
                <pt idx="146">
                  <v>13.02000000000001</v>
                </pt>
                <pt idx="147">
                  <v>13.5</v>
                </pt>
                <pt idx="148">
                  <v>13.98</v>
                </pt>
                <pt idx="149">
                  <v>14.52</v>
                </pt>
                <pt idx="150">
                  <v>15</v>
                </pt>
                <pt idx="151">
                  <v>15.48</v>
                </pt>
                <pt idx="152">
                  <v>16.02</v>
                </pt>
                <pt idx="153">
                  <v>16.5</v>
                </pt>
                <pt idx="154">
                  <v>16.97999999999999</v>
                </pt>
                <pt idx="155">
                  <v>17.52</v>
                </pt>
                <pt idx="156">
                  <v>18</v>
                </pt>
                <pt idx="157">
                  <v>18.48</v>
                </pt>
                <pt idx="158">
                  <v>19.02</v>
                </pt>
                <pt idx="159">
                  <v>19.5</v>
                </pt>
                <pt idx="160">
                  <v>19.98</v>
                </pt>
                <pt idx="161">
                  <v>20.52000000000001</v>
                </pt>
                <pt idx="162">
                  <v>21</v>
                </pt>
                <pt idx="163">
                  <v>21.48</v>
                </pt>
                <pt idx="164">
                  <v>22.02</v>
                </pt>
                <pt idx="165">
                  <v>22.5</v>
                </pt>
                <pt idx="166">
                  <v>22.98</v>
                </pt>
                <pt idx="167">
                  <v>23.52</v>
                </pt>
                <pt idx="168">
                  <v>24</v>
                </pt>
                <pt idx="169">
                  <v>24.47999999999999</v>
                </pt>
                <pt idx="170">
                  <v>25.02</v>
                </pt>
                <pt idx="171">
                  <v>25.5</v>
                </pt>
                <pt idx="172">
                  <v>25.98</v>
                </pt>
                <pt idx="173">
                  <v>26.52</v>
                </pt>
                <pt idx="174">
                  <v>27</v>
                </pt>
                <pt idx="175">
                  <v>27.48</v>
                </pt>
                <pt idx="176">
                  <v>28.02000000000001</v>
                </pt>
                <pt idx="177">
                  <v>28.5</v>
                </pt>
                <pt idx="178">
                  <v>28.98</v>
                </pt>
                <pt idx="179">
                  <v>29.52</v>
                </pt>
                <pt idx="180">
                  <v>30</v>
                </pt>
                <pt idx="181">
                  <v>30.48</v>
                </pt>
                <pt idx="182">
                  <v>31.02</v>
                </pt>
                <pt idx="183">
                  <v>31.5</v>
                </pt>
                <pt idx="184">
                  <v>31.97999999999999</v>
                </pt>
                <pt idx="185">
                  <v>32.52</v>
                </pt>
                <pt idx="186">
                  <v>33</v>
                </pt>
                <pt idx="187">
                  <v>33.48</v>
                </pt>
                <pt idx="188">
                  <v>34.02</v>
                </pt>
                <pt idx="189">
                  <v>34.5</v>
                </pt>
                <pt idx="190">
                  <v>34.98</v>
                </pt>
                <pt idx="191">
                  <v>35.52000000000001</v>
                </pt>
                <pt idx="192">
                  <v>36</v>
                </pt>
                <pt idx="193">
                  <v>36.48</v>
                </pt>
                <pt idx="194">
                  <v>37.02</v>
                </pt>
                <pt idx="195">
                  <v>37.5</v>
                </pt>
                <pt idx="196">
                  <v>37.98</v>
                </pt>
                <pt idx="197">
                  <v>38.52</v>
                </pt>
                <pt idx="198">
                  <v>39</v>
                </pt>
                <pt idx="199">
                  <v>39.47999999999999</v>
                </pt>
                <pt idx="200">
                  <v>40.02</v>
                </pt>
                <pt idx="201">
                  <v>40.5</v>
                </pt>
                <pt idx="202">
                  <v>40.98</v>
                </pt>
                <pt idx="203">
                  <v>41.52</v>
                </pt>
                <pt idx="204">
                  <v>42</v>
                </pt>
                <pt idx="205">
                  <v>42.48</v>
                </pt>
                <pt idx="206">
                  <v>43.02000000000001</v>
                </pt>
                <pt idx="207">
                  <v>43.5</v>
                </pt>
                <pt idx="208">
                  <v>43.98</v>
                </pt>
                <pt idx="209">
                  <v>44.52</v>
                </pt>
                <pt idx="210">
                  <v>45</v>
                </pt>
                <pt idx="211">
                  <v>45.48</v>
                </pt>
                <pt idx="212">
                  <v>46.02</v>
                </pt>
                <pt idx="213">
                  <v>46.5</v>
                </pt>
                <pt idx="214">
                  <v>46.97999999999999</v>
                </pt>
                <pt idx="215">
                  <v>47.52</v>
                </pt>
                <pt idx="216">
                  <v>48</v>
                </pt>
                <pt idx="217">
                  <v>48.48</v>
                </pt>
                <pt idx="218">
                  <v>49.02</v>
                </pt>
                <pt idx="219">
                  <v>49.5</v>
                </pt>
                <pt idx="220">
                  <v>49.98</v>
                </pt>
                <pt idx="221">
                  <v>50.52000000000001</v>
                </pt>
                <pt idx="222">
                  <v>51</v>
                </pt>
                <pt idx="223">
                  <v>51.48</v>
                </pt>
                <pt idx="224">
                  <v>52.02</v>
                </pt>
                <pt idx="225">
                  <v>52.5</v>
                </pt>
                <pt idx="226">
                  <v>52.98</v>
                </pt>
                <pt idx="227">
                  <v>53.52</v>
                </pt>
                <pt idx="228">
                  <v>54</v>
                </pt>
                <pt idx="229">
                  <v>54.47999999999999</v>
                </pt>
                <pt idx="230">
                  <v>55.02</v>
                </pt>
                <pt idx="231">
                  <v>55.5</v>
                </pt>
                <pt idx="232">
                  <v>55.98</v>
                </pt>
                <pt idx="233">
                  <v>56.52</v>
                </pt>
                <pt idx="234">
                  <v>57</v>
                </pt>
                <pt idx="235">
                  <v>57.48</v>
                </pt>
                <pt idx="236">
                  <v>58.02000000000001</v>
                </pt>
                <pt idx="237">
                  <v>58.5</v>
                </pt>
                <pt idx="238">
                  <v>58.98</v>
                </pt>
                <pt idx="239">
                  <v>59.52</v>
                </pt>
                <pt idx="240">
                  <v>60</v>
                </pt>
              </numCache>
            </numRef>
          </xVal>
          <yVal>
            <numRef>
              <f>Native_Chart_Data!$B$1718:$B$1958</f>
              <numCache>
                <formatCode>General</formatCode>
                <ptCount val="241"/>
                <pt idx="0">
                  <v>2737.972133961626</v>
                </pt>
                <pt idx="1">
                  <v>2736.952820139559</v>
                </pt>
                <pt idx="2">
                  <v>2735.869392882246</v>
                </pt>
                <pt idx="3">
                  <v>2734.753785275425</v>
                </pt>
                <pt idx="4">
                  <v>2733.871285319514</v>
                </pt>
                <pt idx="5">
                  <v>2732.687149406082</v>
                </pt>
                <pt idx="6">
                  <v>2731.689576789972</v>
                </pt>
                <pt idx="7">
                  <v>2730.708831878115</v>
                </pt>
                <pt idx="8">
                  <v>2729.524186781265</v>
                </pt>
                <pt idx="9">
                  <v>2728.570750363843</v>
                </pt>
                <pt idx="10">
                  <v>2727.45681982305</v>
                </pt>
                <pt idx="11">
                  <v>2726.335465018483</v>
                </pt>
                <pt idx="12">
                  <v>2725.445254299418</v>
                </pt>
                <pt idx="13">
                  <v>2724.358623846133</v>
                </pt>
                <pt idx="14">
                  <v>2723.262706168718</v>
                </pt>
                <pt idx="15">
                  <v>2722.420925728</v>
                </pt>
                <pt idx="16">
                  <v>2721.453798788491</v>
                </pt>
                <pt idx="17">
                  <v>2720.378943904156</v>
                </pt>
                <pt idx="18">
                  <v>2719.530057692372</v>
                </pt>
                <pt idx="19">
                  <v>2718.680198758176</v>
                </pt>
                <pt idx="20">
                  <v>2717.697434554922</v>
                </pt>
                <pt idx="21">
                  <v>2716.825030720466</v>
                </pt>
                <pt idx="22">
                  <v>2716.017098307161</v>
                </pt>
                <pt idx="23">
                  <v>2715.061348393658</v>
                </pt>
                <pt idx="24">
                  <v>2714.277955672648</v>
                </pt>
                <pt idx="25">
                  <v>2713.529197755951</v>
                </pt>
                <pt idx="26">
                  <v>2712.560165607472</v>
                </pt>
                <pt idx="27">
                  <v>2711.773173063473</v>
                </pt>
                <pt idx="28">
                  <v>2711.160999256946</v>
                </pt>
                <pt idx="29">
                  <v>2710.338289310354</v>
                </pt>
                <pt idx="30">
                  <v>2709.642892986501</v>
                </pt>
                <pt idx="31">
                  <v>2708.85476109416</v>
                </pt>
                <pt idx="32">
                  <v>2708.046309396769</v>
                </pt>
                <pt idx="33">
                  <v>2707.281600559912</v>
                </pt>
                <pt idx="34">
                  <v>2706.659536835927</v>
                </pt>
                <pt idx="35">
                  <v>2705.8693463886</v>
                </pt>
                <pt idx="36">
                  <v>2705.27705475384</v>
                </pt>
                <pt idx="37">
                  <v>2704.569325361165</v>
                </pt>
                <pt idx="38">
                  <v>2703.690567807379</v>
                </pt>
                <pt idx="39">
                  <v>2702.949725274078</v>
                </pt>
                <pt idx="40">
                  <v>2702.342639134389</v>
                </pt>
                <pt idx="41">
                  <v>2701.587502760221</v>
                </pt>
                <pt idx="42">
                  <v>2700.881064031099</v>
                </pt>
                <pt idx="43">
                  <v>2700.070391320978</v>
                </pt>
                <pt idx="44">
                  <v>2699.243090826164</v>
                </pt>
                <pt idx="45">
                  <v>2698.485826108882</v>
                </pt>
                <pt idx="46">
                  <v>2697.912683127855</v>
                </pt>
                <pt idx="47">
                  <v>2697.068116367803</v>
                </pt>
                <pt idx="48">
                  <v>2696.304966367295</v>
                </pt>
                <pt idx="49">
                  <v>2695.659297649586</v>
                </pt>
                <pt idx="50">
                  <v>2694.899956964054</v>
                </pt>
                <pt idx="51">
                  <v>2694.143153810637</v>
                </pt>
                <pt idx="52">
                  <v>2693.588770109588</v>
                </pt>
                <pt idx="53">
                  <v>2692.757963165586</v>
                </pt>
                <pt idx="54">
                  <v>2692.174665589233</v>
                </pt>
                <pt idx="55">
                  <v>2691.668504525569</v>
                </pt>
                <pt idx="56">
                  <v>2690.902415920666</v>
                </pt>
                <pt idx="57">
                  <v>2690.368823941855</v>
                </pt>
                <pt idx="58">
                  <v>2689.879981187311</v>
                </pt>
                <pt idx="59">
                  <v>2689.368268666748</v>
                </pt>
                <pt idx="60">
                  <v>2688.849181231688</v>
                </pt>
                <pt idx="61">
                  <v>2688.418530040225</v>
                </pt>
                <pt idx="62">
                  <v>2687.935484952494</v>
                </pt>
                <pt idx="63">
                  <v>2687.465654508635</v>
                </pt>
                <pt idx="64">
                  <v>2686.986506216522</v>
                </pt>
                <pt idx="65">
                  <v>2686.576366733176</v>
                </pt>
                <pt idx="66">
                  <v>2686.123028108961</v>
                </pt>
                <pt idx="67">
                  <v>2685.76410486959</v>
                </pt>
                <pt idx="68">
                  <v>2685.266759252025</v>
                </pt>
                <pt idx="69">
                  <v>2684.838268282212</v>
                </pt>
                <pt idx="70">
                  <v>2684.344258811687</v>
                </pt>
                <pt idx="71">
                  <v>2684.009111898592</v>
                </pt>
                <pt idx="72">
                  <v>2683.537186227637</v>
                </pt>
                <pt idx="73">
                  <v>2682.959399881261</v>
                </pt>
                <pt idx="74">
                  <v>2682.593675974817</v>
                </pt>
                <pt idx="75">
                  <v>2682.174729680835</v>
                </pt>
                <pt idx="76">
                  <v>2681.633377970777</v>
                </pt>
                <pt idx="77">
                  <v>2681.074277895876</v>
                </pt>
                <pt idx="78">
                  <v>2680.805031719671</v>
                </pt>
                <pt idx="79">
                  <v>2680.307213361289</v>
                </pt>
                <pt idx="80">
                  <v>2679.910435734186</v>
                </pt>
                <pt idx="81">
                  <v>2679.417616487638</v>
                </pt>
                <pt idx="82">
                  <v>2679.101138360736</v>
                </pt>
                <pt idx="83">
                  <v>2678.620330554761</v>
                </pt>
                <pt idx="84">
                  <v>2678.227408694839</v>
                </pt>
                <pt idx="85">
                  <v>2677.901102367137</v>
                </pt>
                <pt idx="86">
                  <v>2677.592328033758</v>
                </pt>
                <pt idx="87">
                  <v>2677.336851587953</v>
                </pt>
                <pt idx="88">
                  <v>2676.893578124921</v>
                </pt>
                <pt idx="89">
                  <v>2676.682672527735</v>
                </pt>
                <pt idx="90">
                  <v>2676.298054911225</v>
                </pt>
                <pt idx="91">
                  <v>2676.077275539556</v>
                </pt>
                <pt idx="92">
                  <v>2675.748237262396</v>
                </pt>
                <pt idx="93">
                  <v>2675.521002594637</v>
                </pt>
                <pt idx="94">
                  <v>2675.243509673234</v>
                </pt>
                <pt idx="95">
                  <v>2674.830824547455</v>
                </pt>
                <pt idx="96">
                  <v>2674.710579424505</v>
                </pt>
                <pt idx="97">
                  <v>2674.359012410629</v>
                </pt>
                <pt idx="98">
                  <v>2674.190016568398</v>
                </pt>
                <pt idx="99">
                  <v>2673.894654942711</v>
                </pt>
                <pt idx="100">
                  <v>2673.759697209001</v>
                </pt>
                <pt idx="101">
                  <v>2673.572737760398</v>
                </pt>
                <pt idx="102">
                  <v>2673.302473071738</v>
                </pt>
                <pt idx="103">
                  <v>2673.207375269783</v>
                </pt>
                <pt idx="104">
                  <v>2673.172555637469</v>
                </pt>
                <pt idx="105">
                  <v>2672.929332564458</v>
                </pt>
                <pt idx="106">
                  <v>2672.888297210901</v>
                </pt>
                <pt idx="107">
                  <v>2672.848876817925</v>
                </pt>
                <pt idx="108">
                  <v>2672.717361854453</v>
                </pt>
                <pt idx="109">
                  <v>2672.777044222336</v>
                </pt>
                <pt idx="110">
                  <v>2672.720653805265</v>
                </pt>
                <pt idx="111">
                  <v>2672.598639611109</v>
                </pt>
                <pt idx="112">
                  <v>2672.616986234106</v>
                </pt>
                <pt idx="113">
                  <v>2672.460019122305</v>
                </pt>
                <pt idx="114">
                  <v>2672.418709222067</v>
                </pt>
                <pt idx="115">
                  <v>2672.376544454522</v>
                </pt>
                <pt idx="116">
                  <v>2672.284988766312</v>
                </pt>
                <pt idx="117">
                  <v>2672.22526340349</v>
                </pt>
                <pt idx="118">
                  <v>2672.026596115288</v>
                </pt>
                <pt idx="119">
                  <v>2671.970446275512</v>
                </pt>
                <pt idx="120">
                  <v>2671.856910938031</v>
                </pt>
                <pt idx="121">
                  <v>2671.734762465316</v>
                </pt>
                <pt idx="122">
                  <v>2671.624790400971</v>
                </pt>
                <pt idx="123">
                  <v>2671.654913496507</v>
                </pt>
                <pt idx="124">
                  <v>2671.55448128243</v>
                </pt>
                <pt idx="125">
                  <v>2671.555262916696</v>
                </pt>
                <pt idx="126">
                  <v>2671.642630922799</v>
                </pt>
                <pt idx="127">
                  <v>2671.528754240956</v>
                </pt>
                <pt idx="128">
                  <v>2671.716476898112</v>
                </pt>
                <pt idx="129">
                  <v>2671.632131097548</v>
                </pt>
                <pt idx="130">
                  <v>2671.785967959034</v>
                </pt>
                <pt idx="131">
                  <v>2672.00258832198</v>
                </pt>
                <pt idx="132">
                  <v>2672.145907617792</v>
                </pt>
                <pt idx="133">
                  <v>2672.262088376571</v>
                </pt>
                <pt idx="134">
                  <v>2672.478706954055</v>
                </pt>
                <pt idx="135">
                  <v>2672.708457979676</v>
                </pt>
                <pt idx="136">
                  <v>2672.811129833762</v>
                </pt>
                <pt idx="137">
                  <v>2673.018641276298</v>
                </pt>
                <pt idx="138">
                  <v>2673.298433729452</v>
                </pt>
                <pt idx="139">
                  <v>2673.5257336157</v>
                </pt>
                <pt idx="140">
                  <v>2673.882119678937</v>
                </pt>
                <pt idx="141">
                  <v>2674.108450593098</v>
                </pt>
                <pt idx="142">
                  <v>2674.284219824957</v>
                </pt>
                <pt idx="143">
                  <v>2674.619771268388</v>
                </pt>
                <pt idx="144">
                  <v>2674.811288200135</v>
                </pt>
                <pt idx="145">
                  <v>2675.095778091706</v>
                </pt>
                <pt idx="146">
                  <v>2675.295265762803</v>
                </pt>
                <pt idx="147">
                  <v>2675.586944487273</v>
                </pt>
                <pt idx="148">
                  <v>2675.728441597502</v>
                </pt>
                <pt idx="149">
                  <v>2676.03978450837</v>
                </pt>
                <pt idx="150">
                  <v>2676.41288176594</v>
                </pt>
                <pt idx="151">
                  <v>2676.700779028285</v>
                </pt>
                <pt idx="152">
                  <v>2676.955320476383</v>
                </pt>
                <pt idx="153">
                  <v>2677.210266088246</v>
                </pt>
                <pt idx="154">
                  <v>2677.539889282522</v>
                </pt>
                <pt idx="155">
                  <v>2677.77164857613</v>
                </pt>
                <pt idx="156">
                  <v>2678.05911231437</v>
                </pt>
                <pt idx="157">
                  <v>2678.324896242484</v>
                </pt>
                <pt idx="158">
                  <v>2678.760343194256</v>
                </pt>
                <pt idx="159">
                  <v>2678.934012540692</v>
                </pt>
                <pt idx="160">
                  <v>2679.273151773947</v>
                </pt>
                <pt idx="161">
                  <v>2679.638484907437</v>
                </pt>
                <pt idx="162">
                  <v>2679.986525649553</v>
                </pt>
                <pt idx="163">
                  <v>2680.362843976811</v>
                </pt>
                <pt idx="164">
                  <v>2680.656874477047</v>
                </pt>
                <pt idx="165">
                  <v>2681.141038946116</v>
                </pt>
                <pt idx="166">
                  <v>2681.441034380151</v>
                </pt>
                <pt idx="167">
                  <v>2681.993978895342</v>
                </pt>
                <pt idx="168">
                  <v>2682.391940718691</v>
                </pt>
                <pt idx="169">
                  <v>2682.915880658896</v>
                </pt>
                <pt idx="170">
                  <v>2683.443845939073</v>
                </pt>
                <pt idx="171">
                  <v>2684.053089463599</v>
                </pt>
                <pt idx="172">
                  <v>2684.426467296629</v>
                </pt>
                <pt idx="173">
                  <v>2685.202148008529</v>
                </pt>
                <pt idx="174">
                  <v>2685.746033918141</v>
                </pt>
                <pt idx="175">
                  <v>2686.242028108916</v>
                </pt>
                <pt idx="176">
                  <v>2686.848274404113</v>
                </pt>
                <pt idx="177">
                  <v>2687.464173849088</v>
                </pt>
                <pt idx="178">
                  <v>2688.187625072262</v>
                </pt>
                <pt idx="179">
                  <v>2688.722217643149</v>
                </pt>
                <pt idx="180">
                  <v>2689.36961225335</v>
                </pt>
                <pt idx="181">
                  <v>2689.952409004994</v>
                </pt>
                <pt idx="182">
                  <v>2690.5667082176</v>
                </pt>
                <pt idx="183">
                  <v>2691.286112934711</v>
                </pt>
                <pt idx="184">
                  <v>2691.708451415575</v>
                </pt>
                <pt idx="185">
                  <v>2692.332079968445</v>
                </pt>
                <pt idx="186">
                  <v>2692.941896358347</v>
                </pt>
                <pt idx="187">
                  <v>2693.54717945733</v>
                </pt>
                <pt idx="188">
                  <v>2694.106611521892</v>
                </pt>
                <pt idx="189">
                  <v>2694.58931326976</v>
                </pt>
                <pt idx="190">
                  <v>2695.227838941296</v>
                </pt>
                <pt idx="191">
                  <v>2695.893073584095</v>
                </pt>
                <pt idx="192">
                  <v>2696.44638643649</v>
                </pt>
                <pt idx="193">
                  <v>2696.984703352465</v>
                </pt>
                <pt idx="194">
                  <v>2697.502755963133</v>
                </pt>
                <pt idx="195">
                  <v>2698.211716438776</v>
                </pt>
                <pt idx="196">
                  <v>2698.744574867953</v>
                </pt>
                <pt idx="197">
                  <v>2699.550750181976</v>
                </pt>
                <pt idx="198">
                  <v>2700.100066526029</v>
                </pt>
                <pt idx="199">
                  <v>2700.798934050626</v>
                </pt>
                <pt idx="200">
                  <v>2701.613507167395</v>
                </pt>
                <pt idx="201">
                  <v>2702.227556402274</v>
                </pt>
                <pt idx="202">
                  <v>2702.934701240567</v>
                </pt>
                <pt idx="203">
                  <v>2703.810254870827</v>
                </pt>
                <pt idx="204">
                  <v>2704.614349908813</v>
                </pt>
                <pt idx="205">
                  <v>2705.349531148823</v>
                </pt>
                <pt idx="206">
                  <v>2706.428874766004</v>
                </pt>
                <pt idx="207">
                  <v>2707.185997678543</v>
                </pt>
                <pt idx="208">
                  <v>2708.053513691632</v>
                </pt>
                <pt idx="209">
                  <v>2708.975933123206</v>
                </pt>
                <pt idx="210">
                  <v>2709.929755498521</v>
                </pt>
                <pt idx="211">
                  <v>2710.776759778393</v>
                </pt>
                <pt idx="212">
                  <v>2711.675685734151</v>
                </pt>
                <pt idx="213">
                  <v>2712.618819612096</v>
                </pt>
                <pt idx="214">
                  <v>2713.403250630905</v>
                </pt>
                <pt idx="215">
                  <v>2714.430532583009</v>
                </pt>
                <pt idx="216">
                  <v>2715.124057836022</v>
                </pt>
                <pt idx="217">
                  <v>2716.028847901768</v>
                </pt>
                <pt idx="218">
                  <v>2717.001745421667</v>
                </pt>
                <pt idx="219">
                  <v>2717.765581637483</v>
                </pt>
                <pt idx="220">
                  <v>2718.562423641157</v>
                </pt>
                <pt idx="221">
                  <v>2719.460022897974</v>
                </pt>
                <pt idx="222">
                  <v>2720.284625130148</v>
                </pt>
                <pt idx="223">
                  <v>2721.136694205718</v>
                </pt>
                <pt idx="224">
                  <v>2722.01613177358</v>
                </pt>
                <pt idx="225">
                  <v>2722.843712452214</v>
                </pt>
                <pt idx="226">
                  <v>2723.753510324714</v>
                </pt>
                <pt idx="227">
                  <v>2724.619478825956</v>
                </pt>
                <pt idx="228">
                  <v>2725.542674611314</v>
                </pt>
                <pt idx="229">
                  <v>2726.490533938934</v>
                </pt>
                <pt idx="230">
                  <v>2727.366068975403</v>
                </pt>
                <pt idx="231">
                  <v>2728.42675622362</v>
                </pt>
                <pt idx="232">
                  <v>2729.345802686525</v>
                </pt>
                <pt idx="233">
                  <v>2730.327377287637</v>
                </pt>
                <pt idx="234">
                  <v>2731.275615406239</v>
                </pt>
                <pt idx="235">
                  <v>2732.410990361145</v>
                </pt>
                <pt idx="236">
                  <v>2733.37371126838</v>
                </pt>
                <pt idx="237">
                  <v>2734.400824079456</v>
                </pt>
                <pt idx="238">
                  <v>2735.447465781551</v>
                </pt>
                <pt idx="239">
                  <v>2736.577363887402</v>
                </pt>
                <pt idx="240">
                  <v>2737.580395373951</v>
                </pt>
              </numCache>
            </numRef>
          </yVal>
          <smooth val="0"/>
        </ser>
        <ser>
          <idx val="1"/>
          <order val="1"/>
          <tx>
            <v>Paper low-altitude 35 km / 800 km pass</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Native_Chart_Data!$C$1718:$C$1958</f>
              <numCache>
                <formatCode>General</formatCode>
                <ptCount val="241"/>
                <pt idx="0">
                  <v>-400</v>
                </pt>
                <pt idx="1">
                  <v>-396.8</v>
                </pt>
                <pt idx="2">
                  <v>-393.2</v>
                </pt>
                <pt idx="3">
                  <v>-390</v>
                </pt>
                <pt idx="4">
                  <v>-386.8</v>
                </pt>
                <pt idx="5">
                  <v>-383.2</v>
                </pt>
                <pt idx="6">
                  <v>-380</v>
                </pt>
                <pt idx="7">
                  <v>-376.8</v>
                </pt>
                <pt idx="8">
                  <v>-373.2</v>
                </pt>
                <pt idx="9">
                  <v>-370</v>
                </pt>
                <pt idx="10">
                  <v>-366.8</v>
                </pt>
                <pt idx="11">
                  <v>-363.2</v>
                </pt>
                <pt idx="12">
                  <v>-360</v>
                </pt>
                <pt idx="13">
                  <v>-356.8</v>
                </pt>
                <pt idx="14">
                  <v>-353.2</v>
                </pt>
                <pt idx="15">
                  <v>-350</v>
                </pt>
                <pt idx="16">
                  <v>-346.8</v>
                </pt>
                <pt idx="17">
                  <v>-343.2</v>
                </pt>
                <pt idx="18">
                  <v>-340</v>
                </pt>
                <pt idx="19">
                  <v>-336.8</v>
                </pt>
                <pt idx="20">
                  <v>-333.2</v>
                </pt>
                <pt idx="21">
                  <v>-330</v>
                </pt>
                <pt idx="22">
                  <v>-326.8</v>
                </pt>
                <pt idx="23">
                  <v>-323.2</v>
                </pt>
                <pt idx="24">
                  <v>-320</v>
                </pt>
                <pt idx="25">
                  <v>-316.8</v>
                </pt>
                <pt idx="26">
                  <v>-313.2</v>
                </pt>
                <pt idx="27">
                  <v>-310</v>
                </pt>
                <pt idx="28">
                  <v>-306.8</v>
                </pt>
                <pt idx="29">
                  <v>-303.2</v>
                </pt>
                <pt idx="30">
                  <v>-300</v>
                </pt>
                <pt idx="31">
                  <v>-296.8</v>
                </pt>
                <pt idx="32">
                  <v>-293.2</v>
                </pt>
                <pt idx="33">
                  <v>-290</v>
                </pt>
                <pt idx="34">
                  <v>-286.8</v>
                </pt>
                <pt idx="35">
                  <v>-283.2</v>
                </pt>
                <pt idx="36">
                  <v>-280</v>
                </pt>
                <pt idx="37">
                  <v>-276.8</v>
                </pt>
                <pt idx="38">
                  <v>-273.2</v>
                </pt>
                <pt idx="39">
                  <v>-270</v>
                </pt>
                <pt idx="40">
                  <v>-266.8</v>
                </pt>
                <pt idx="41">
                  <v>-263.2</v>
                </pt>
                <pt idx="42">
                  <v>-260</v>
                </pt>
                <pt idx="43">
                  <v>-256.8</v>
                </pt>
                <pt idx="44">
                  <v>-253.2</v>
                </pt>
                <pt idx="45">
                  <v>-250</v>
                </pt>
                <pt idx="46">
                  <v>-246.8</v>
                </pt>
                <pt idx="47">
                  <v>-243.2</v>
                </pt>
                <pt idx="48">
                  <v>-240</v>
                </pt>
                <pt idx="49">
                  <v>-236.8</v>
                </pt>
                <pt idx="50">
                  <v>-233.2</v>
                </pt>
                <pt idx="51">
                  <v>-230</v>
                </pt>
                <pt idx="52">
                  <v>-226.8</v>
                </pt>
                <pt idx="53">
                  <v>-223.2</v>
                </pt>
                <pt idx="54">
                  <v>-220</v>
                </pt>
                <pt idx="55">
                  <v>-216.8</v>
                </pt>
                <pt idx="56">
                  <v>-213.2</v>
                </pt>
                <pt idx="57">
                  <v>-210</v>
                </pt>
                <pt idx="58">
                  <v>-206.8</v>
                </pt>
                <pt idx="59">
                  <v>-203.2</v>
                </pt>
                <pt idx="60">
                  <v>-200</v>
                </pt>
                <pt idx="61">
                  <v>-196.8</v>
                </pt>
                <pt idx="62">
                  <v>-193.2</v>
                </pt>
                <pt idx="63">
                  <v>-190</v>
                </pt>
                <pt idx="64">
                  <v>-186.8</v>
                </pt>
                <pt idx="65">
                  <v>-183.2</v>
                </pt>
                <pt idx="66">
                  <v>-180</v>
                </pt>
                <pt idx="67">
                  <v>-176.8</v>
                </pt>
                <pt idx="68">
                  <v>-173.2</v>
                </pt>
                <pt idx="69">
                  <v>-170</v>
                </pt>
                <pt idx="70">
                  <v>-166.8</v>
                </pt>
                <pt idx="71">
                  <v>-163.2</v>
                </pt>
                <pt idx="72">
                  <v>-160</v>
                </pt>
                <pt idx="73">
                  <v>-156.8</v>
                </pt>
                <pt idx="74">
                  <v>-153.2</v>
                </pt>
                <pt idx="75">
                  <v>-150</v>
                </pt>
                <pt idx="76">
                  <v>-146.8</v>
                </pt>
                <pt idx="77">
                  <v>-143.2</v>
                </pt>
                <pt idx="78">
                  <v>-140</v>
                </pt>
                <pt idx="79">
                  <v>-136.8</v>
                </pt>
                <pt idx="80">
                  <v>-133.2</v>
                </pt>
                <pt idx="81">
                  <v>-130</v>
                </pt>
                <pt idx="82">
                  <v>-126.8</v>
                </pt>
                <pt idx="83">
                  <v>-123.2</v>
                </pt>
                <pt idx="84">
                  <v>-120</v>
                </pt>
                <pt idx="85">
                  <v>-116.8</v>
                </pt>
                <pt idx="86">
                  <v>-113.2</v>
                </pt>
                <pt idx="87">
                  <v>-110</v>
                </pt>
                <pt idx="88">
                  <v>-106.8</v>
                </pt>
                <pt idx="89">
                  <v>-103.2</v>
                </pt>
                <pt idx="90">
                  <v>-100</v>
                </pt>
                <pt idx="91">
                  <v>-96.80000000000001</v>
                </pt>
                <pt idx="92">
                  <v>-93.19999999999999</v>
                </pt>
                <pt idx="93">
                  <v>-90</v>
                </pt>
                <pt idx="94">
                  <v>-86.80000000000001</v>
                </pt>
                <pt idx="95">
                  <v>-83.19999999999999</v>
                </pt>
                <pt idx="96">
                  <v>-80</v>
                </pt>
                <pt idx="97">
                  <v>-76.79999999999995</v>
                </pt>
                <pt idx="98">
                  <v>-73.20000000000005</v>
                </pt>
                <pt idx="99">
                  <v>-70</v>
                </pt>
                <pt idx="100">
                  <v>-66.80000000000001</v>
                </pt>
                <pt idx="101">
                  <v>-63.19999999999999</v>
                </pt>
                <pt idx="102">
                  <v>-60</v>
                </pt>
                <pt idx="103">
                  <v>-56.80000000000001</v>
                </pt>
                <pt idx="104">
                  <v>-53.19999999999999</v>
                </pt>
                <pt idx="105">
                  <v>-50</v>
                </pt>
                <pt idx="106">
                  <v>-46.80000000000001</v>
                </pt>
                <pt idx="107">
                  <v>-43.19999999999999</v>
                </pt>
                <pt idx="108">
                  <v>-40</v>
                </pt>
                <pt idx="109">
                  <v>-36.80000000000001</v>
                </pt>
                <pt idx="110">
                  <v>-33.19999999999999</v>
                </pt>
                <pt idx="111">
                  <v>-30</v>
                </pt>
                <pt idx="112">
                  <v>-26.79999999999995</v>
                </pt>
                <pt idx="113">
                  <v>-23.20000000000005</v>
                </pt>
                <pt idx="114">
                  <v>-20</v>
                </pt>
                <pt idx="115">
                  <v>-16.80000000000001</v>
                </pt>
                <pt idx="116">
                  <v>-13.19999999999999</v>
                </pt>
                <pt idx="117">
                  <v>-10</v>
                </pt>
                <pt idx="118">
                  <v>-6.800000000000011</v>
                </pt>
                <pt idx="119">
                  <v>-3.199999999999989</v>
                </pt>
                <pt idx="120">
                  <v>0</v>
                </pt>
                <pt idx="121">
                  <v>3.199999999999989</v>
                </pt>
                <pt idx="122">
                  <v>6.799999999999955</v>
                </pt>
                <pt idx="123">
                  <v>9.999999999999943</v>
                </pt>
                <pt idx="124">
                  <v>13.19999999999999</v>
                </pt>
                <pt idx="125">
                  <v>16.80000000000001</v>
                </pt>
                <pt idx="126">
                  <v>20</v>
                </pt>
                <pt idx="127">
                  <v>23.20000000000005</v>
                </pt>
                <pt idx="128">
                  <v>26.79999999999995</v>
                </pt>
                <pt idx="129">
                  <v>30</v>
                </pt>
                <pt idx="130">
                  <v>33.19999999999999</v>
                </pt>
                <pt idx="131">
                  <v>36.80000000000001</v>
                </pt>
                <pt idx="132">
                  <v>40.00000000000006</v>
                </pt>
                <pt idx="133">
                  <v>43.20000000000005</v>
                </pt>
                <pt idx="134">
                  <v>46.80000000000001</v>
                </pt>
                <pt idx="135">
                  <v>50</v>
                </pt>
                <pt idx="136">
                  <v>53.19999999999999</v>
                </pt>
                <pt idx="137">
                  <v>56.79999999999995</v>
                </pt>
                <pt idx="138">
                  <v>59.99999999999994</v>
                </pt>
                <pt idx="139">
                  <v>63.19999999999999</v>
                </pt>
                <pt idx="140">
                  <v>66.80000000000001</v>
                </pt>
                <pt idx="141">
                  <v>70</v>
                </pt>
                <pt idx="142">
                  <v>73.20000000000005</v>
                </pt>
                <pt idx="143">
                  <v>76.79999999999995</v>
                </pt>
                <pt idx="144">
                  <v>80</v>
                </pt>
                <pt idx="145">
                  <v>83.19999999999999</v>
                </pt>
                <pt idx="146">
                  <v>86.80000000000001</v>
                </pt>
                <pt idx="147">
                  <v>90.00000000000006</v>
                </pt>
                <pt idx="148">
                  <v>93.20000000000005</v>
                </pt>
                <pt idx="149">
                  <v>96.80000000000001</v>
                </pt>
                <pt idx="150">
                  <v>100</v>
                </pt>
                <pt idx="151">
                  <v>103.2</v>
                </pt>
                <pt idx="152">
                  <v>106.8</v>
                </pt>
                <pt idx="153">
                  <v>109.9999999999999</v>
                </pt>
                <pt idx="154">
                  <v>113.1999999999999</v>
                </pt>
                <pt idx="155">
                  <v>116.8000000000001</v>
                </pt>
                <pt idx="156">
                  <v>120</v>
                </pt>
                <pt idx="157">
                  <v>123.2</v>
                </pt>
                <pt idx="158">
                  <v>126.8</v>
                </pt>
                <pt idx="159">
                  <v>130</v>
                </pt>
                <pt idx="160">
                  <v>133.1999999999999</v>
                </pt>
                <pt idx="161">
                  <v>136.8000000000001</v>
                </pt>
                <pt idx="162">
                  <v>140</v>
                </pt>
                <pt idx="163">
                  <v>143.2</v>
                </pt>
                <pt idx="164">
                  <v>146.8</v>
                </pt>
                <pt idx="165">
                  <v>150</v>
                </pt>
                <pt idx="166">
                  <v>153.2</v>
                </pt>
                <pt idx="167">
                  <v>156.8</v>
                </pt>
                <pt idx="168">
                  <v>160</v>
                </pt>
                <pt idx="169">
                  <v>163.1999999999999</v>
                </pt>
                <pt idx="170">
                  <v>166.8000000000001</v>
                </pt>
                <pt idx="171">
                  <v>170</v>
                </pt>
                <pt idx="172">
                  <v>173.2</v>
                </pt>
                <pt idx="173">
                  <v>176.8</v>
                </pt>
                <pt idx="174">
                  <v>180</v>
                </pt>
                <pt idx="175">
                  <v>183.1999999999999</v>
                </pt>
                <pt idx="176">
                  <v>186.8000000000001</v>
                </pt>
                <pt idx="177">
                  <v>190</v>
                </pt>
                <pt idx="178">
                  <v>193.2</v>
                </pt>
                <pt idx="179">
                  <v>196.8</v>
                </pt>
                <pt idx="180">
                  <v>200</v>
                </pt>
                <pt idx="181">
                  <v>203.2</v>
                </pt>
                <pt idx="182">
                  <v>206.8</v>
                </pt>
                <pt idx="183">
                  <v>210</v>
                </pt>
                <pt idx="184">
                  <v>213.1999999999999</v>
                </pt>
                <pt idx="185">
                  <v>216.8000000000001</v>
                </pt>
                <pt idx="186">
                  <v>220</v>
                </pt>
                <pt idx="187">
                  <v>223.2</v>
                </pt>
                <pt idx="188">
                  <v>226.8</v>
                </pt>
                <pt idx="189">
                  <v>230</v>
                </pt>
                <pt idx="190">
                  <v>233.1999999999999</v>
                </pt>
                <pt idx="191">
                  <v>236.8000000000001</v>
                </pt>
                <pt idx="192">
                  <v>240</v>
                </pt>
                <pt idx="193">
                  <v>243.2</v>
                </pt>
                <pt idx="194">
                  <v>246.8</v>
                </pt>
                <pt idx="195">
                  <v>250</v>
                </pt>
                <pt idx="196">
                  <v>253.2</v>
                </pt>
                <pt idx="197">
                  <v>256.8</v>
                </pt>
                <pt idx="198">
                  <v>260</v>
                </pt>
                <pt idx="199">
                  <v>263.1999999999999</v>
                </pt>
                <pt idx="200">
                  <v>266.8000000000001</v>
                </pt>
                <pt idx="201">
                  <v>270</v>
                </pt>
                <pt idx="202">
                  <v>273.2</v>
                </pt>
                <pt idx="203">
                  <v>276.8</v>
                </pt>
                <pt idx="204">
                  <v>280</v>
                </pt>
                <pt idx="205">
                  <v>283.1999999999999</v>
                </pt>
                <pt idx="206">
                  <v>286.8000000000001</v>
                </pt>
                <pt idx="207">
                  <v>290</v>
                </pt>
                <pt idx="208">
                  <v>293.2</v>
                </pt>
                <pt idx="209">
                  <v>296.8</v>
                </pt>
                <pt idx="210">
                  <v>300</v>
                </pt>
                <pt idx="211">
                  <v>303.2</v>
                </pt>
                <pt idx="212">
                  <v>306.8</v>
                </pt>
                <pt idx="213">
                  <v>310</v>
                </pt>
                <pt idx="214">
                  <v>313.1999999999999</v>
                </pt>
                <pt idx="215">
                  <v>316.8000000000001</v>
                </pt>
                <pt idx="216">
                  <v>320</v>
                </pt>
                <pt idx="217">
                  <v>323.2</v>
                </pt>
                <pt idx="218">
                  <v>326.8</v>
                </pt>
                <pt idx="219">
                  <v>330</v>
                </pt>
                <pt idx="220">
                  <v>333.1999999999999</v>
                </pt>
                <pt idx="221">
                  <v>336.8000000000001</v>
                </pt>
                <pt idx="222">
                  <v>340</v>
                </pt>
                <pt idx="223">
                  <v>343.2</v>
                </pt>
                <pt idx="224">
                  <v>346.8</v>
                </pt>
                <pt idx="225">
                  <v>350</v>
                </pt>
                <pt idx="226">
                  <v>353.2</v>
                </pt>
                <pt idx="227">
                  <v>356.8</v>
                </pt>
                <pt idx="228">
                  <v>360</v>
                </pt>
                <pt idx="229">
                  <v>363.1999999999999</v>
                </pt>
                <pt idx="230">
                  <v>366.8000000000001</v>
                </pt>
                <pt idx="231">
                  <v>370</v>
                </pt>
                <pt idx="232">
                  <v>373.2</v>
                </pt>
                <pt idx="233">
                  <v>376.8</v>
                </pt>
                <pt idx="234">
                  <v>380</v>
                </pt>
                <pt idx="235">
                  <v>383.1999999999999</v>
                </pt>
                <pt idx="236">
                  <v>386.8000000000001</v>
                </pt>
                <pt idx="237">
                  <v>390</v>
                </pt>
                <pt idx="238">
                  <v>393.2</v>
                </pt>
                <pt idx="239">
                  <v>396.8</v>
                </pt>
                <pt idx="240">
                  <v>400</v>
                </pt>
              </numCache>
            </numRef>
          </xVal>
          <yVal>
            <numRef>
              <f>Native_Chart_Data!$D$1718:$D$1958</f>
              <numCache>
                <formatCode>General</formatCode>
                <ptCount val="241"/>
                <pt idx="0">
                  <v>4006.184522038885</v>
                </pt>
                <pt idx="1">
                  <v>3959.147737402011</v>
                </pt>
                <pt idx="2">
                  <v>3906.689980315416</v>
                </pt>
                <pt idx="3">
                  <v>3860.669454605414</v>
                </pt>
                <pt idx="4">
                  <v>3815.077300022674</v>
                </pt>
                <pt idx="5">
                  <v>3764.015425077756</v>
                </pt>
                <pt idx="6">
                  <v>3718.720752708157</v>
                </pt>
                <pt idx="7">
                  <v>3673.717611988154</v>
                </pt>
                <pt idx="8">
                  <v>3623.578456931738</v>
                </pt>
                <pt idx="9">
                  <v>3579.321968781586</v>
                </pt>
                <pt idx="10">
                  <v>3535.53973919248</v>
                </pt>
                <pt idx="11">
                  <v>3486.631105449034</v>
                </pt>
                <pt idx="12">
                  <v>3443.213397997946</v>
                </pt>
                <pt idx="13">
                  <v>3399.895538099978</v>
                </pt>
                <pt idx="14">
                  <v>3351.834258988051</v>
                </pt>
                <pt idx="15">
                  <v>3309.70809101759</v>
                </pt>
                <pt idx="16">
                  <v>3267.709124542621</v>
                </pt>
                <pt idx="17">
                  <v>3220.525348840778</v>
                </pt>
                <pt idx="18">
                  <v>3178.903253405507</v>
                </pt>
                <pt idx="19">
                  <v>3137.627690080583</v>
                </pt>
                <pt idx="20">
                  <v>3091.684937172292</v>
                </pt>
                <pt idx="21">
                  <v>3051.467490586667</v>
                </pt>
                <pt idx="22">
                  <v>3011.205038375484</v>
                </pt>
                <pt idx="23">
                  <v>2965.891539195201</v>
                </pt>
                <pt idx="24">
                  <v>2926.020997254117</v>
                </pt>
                <pt idx="25">
                  <v>2886.821757475108</v>
                </pt>
                <pt idx="26">
                  <v>2843.103056245452</v>
                </pt>
                <pt idx="27">
                  <v>2804.324806344102</v>
                </pt>
                <pt idx="28">
                  <v>2765.639948174607</v>
                </pt>
                <pt idx="29">
                  <v>2722.530866002271</v>
                </pt>
                <pt idx="30">
                  <v>2684.585268981876</v>
                </pt>
                <pt idx="31">
                  <v>2647.084870404392</v>
                </pt>
                <pt idx="32">
                  <v>2605.146302763727</v>
                </pt>
                <pt idx="33">
                  <v>2568.019958311417</v>
                </pt>
                <pt idx="34">
                  <v>2531.067100407615</v>
                </pt>
                <pt idx="35">
                  <v>2489.887481598469</v>
                </pt>
                <pt idx="36">
                  <v>2453.729657605027</v>
                </pt>
                <pt idx="37">
                  <v>2417.952087128516</v>
                </pt>
                <pt idx="38">
                  <v>2377.718715826389</v>
                </pt>
                <pt idx="39">
                  <v>2342.268846897384</v>
                </pt>
                <pt idx="40">
                  <v>2306.994582996919</v>
                </pt>
                <pt idx="41">
                  <v>2267.715832763229</v>
                </pt>
                <pt idx="42">
                  <v>2233.246664887099</v>
                </pt>
                <pt idx="43">
                  <v>2199.146637866724</v>
                </pt>
                <pt idx="44">
                  <v>2160.851579664378</v>
                </pt>
                <pt idx="45">
                  <v>2126.753036439949</v>
                </pt>
                <pt idx="46">
                  <v>2093.169629426536</v>
                </pt>
                <pt idx="47">
                  <v>2056.049715968214</v>
                </pt>
                <pt idx="48">
                  <v>2023.202170567554</v>
                </pt>
                <pt idx="49">
                  <v>1990.403358109243</v>
                </pt>
                <pt idx="50">
                  <v>1953.647790706419</v>
                </pt>
                <pt idx="51">
                  <v>1921.275488770779</v>
                </pt>
                <pt idx="52">
                  <v>1889.370798964902</v>
                </pt>
                <pt idx="53">
                  <v>1853.952369748569</v>
                </pt>
                <pt idx="54">
                  <v>1822.521136552667</v>
                </pt>
                <pt idx="55">
                  <v>1791.044394227873</v>
                </pt>
                <pt idx="56">
                  <v>1756.02320988448</v>
                </pt>
                <pt idx="57">
                  <v>1725.305616464916</v>
                </pt>
                <pt idx="58">
                  <v>1694.97154817784</v>
                </pt>
                <pt idx="59">
                  <v>1660.982185929434</v>
                </pt>
                <pt idx="60">
                  <v>1630.796299635299</v>
                </pt>
                <pt idx="61">
                  <v>1600.891328906856</v>
                </pt>
                <pt idx="62">
                  <v>1567.637116650637</v>
                </pt>
                <pt idx="63">
                  <v>1538.279500845939</v>
                </pt>
                <pt idx="64">
                  <v>1509.274846022542</v>
                </pt>
                <pt idx="65">
                  <v>1477.007778249526</v>
                </pt>
                <pt idx="66">
                  <v>1448.203880481997</v>
                </pt>
                <pt idx="67">
                  <v>1419.563933171673</v>
                </pt>
                <pt idx="68">
                  <v>1387.956266731438</v>
                </pt>
                <pt idx="69">
                  <v>1360.159208148122</v>
                </pt>
                <pt idx="70">
                  <v>1332.493077142557</v>
                </pt>
                <pt idx="71">
                  <v>1301.44307761367</v>
                </pt>
                <pt idx="72">
                  <v>1274.014775426315</v>
                </pt>
                <pt idx="73">
                  <v>1246.728943517478</v>
                </pt>
                <pt idx="74">
                  <v>1216.590067955161</v>
                </pt>
                <pt idx="75">
                  <v>1190.174588931088</v>
                </pt>
                <pt idx="76">
                  <v>1163.646781870699</v>
                </pt>
                <pt idx="77">
                  <v>1133.810770513123</v>
                </pt>
                <pt idx="78">
                  <v>1107.663476732817</v>
                </pt>
                <pt idx="79">
                  <v>1081.92890252915</v>
                </pt>
                <pt idx="80">
                  <v>1053.237915738421</v>
                </pt>
                <pt idx="81">
                  <v>1027.767895171937</v>
                </pt>
                <pt idx="82">
                  <v>1002.363517598374</v>
                </pt>
                <pt idx="83">
                  <v>974.1534456502709</v>
                </pt>
                <pt idx="84">
                  <v>949.3439263517315</v>
                </pt>
                <pt idx="85">
                  <v>924.7866303079909</v>
                </pt>
                <pt idx="86">
                  <v>897.5024239250529</v>
                </pt>
                <pt idx="87">
                  <v>873.2708000463136</v>
                </pt>
                <pt idx="88">
                  <v>849.1298418746225</v>
                </pt>
                <pt idx="89">
                  <v>822.3450160213688</v>
                </pt>
                <pt idx="90">
                  <v>798.9000950122506</v>
                </pt>
                <pt idx="91">
                  <v>775.775665786726</v>
                </pt>
                <pt idx="92">
                  <v>749.72198990354</v>
                </pt>
                <pt idx="93">
                  <v>726.8407684316289</v>
                </pt>
                <pt idx="94">
                  <v>704.1134347722967</v>
                </pt>
                <pt idx="95">
                  <v>678.7707236721552</v>
                </pt>
                <pt idx="96">
                  <v>656.7701971330839</v>
                </pt>
                <pt idx="97">
                  <v>635.1547992334081</v>
                </pt>
                <pt idx="98">
                  <v>610.8510113002076</v>
                </pt>
                <pt idx="99">
                  <v>589.2813068975925</v>
                </pt>
                <pt idx="100">
                  <v>568.2671800772529</v>
                </pt>
                <pt idx="101">
                  <v>545.3235753259175</v>
                </pt>
                <pt idx="102">
                  <v>525.2418298323732</v>
                </pt>
                <pt idx="103">
                  <v>505.3303245017397</v>
                </pt>
                <pt idx="104">
                  <v>483.2455565341116</v>
                </pt>
                <pt idx="105">
                  <v>464.1818123077337</v>
                </pt>
                <pt idx="106">
                  <v>445.9303499887604</v>
                </pt>
                <pt idx="107">
                  <v>426.1314543910225</v>
                </pt>
                <pt idx="108">
                  <v>409.0096923375385</v>
                </pt>
                <pt idx="109">
                  <v>392.4299032252084</v>
                </pt>
                <pt idx="110">
                  <v>374.5318753864875</v>
                </pt>
                <pt idx="111">
                  <v>359.8496142799893</v>
                </pt>
                <pt idx="112">
                  <v>346.3884478023773</v>
                </pt>
                <pt idx="113">
                  <v>332.3135990985811</v>
                </pt>
                <pt idx="114">
                  <v>320.93709247237</v>
                </pt>
                <pt idx="115">
                  <v>310.8778028907184</v>
                </pt>
                <pt idx="116">
                  <v>301.3571579191976</v>
                </pt>
                <pt idx="117">
                  <v>294.5649510060312</v>
                </pt>
                <pt idx="118">
                  <v>289.8283648752175</v>
                </pt>
                <pt idx="119">
                  <v>286.6768082586119</v>
                </pt>
                <pt idx="120">
                  <v>285.4496258923695</v>
                </pt>
                <pt idx="121">
                  <v>285.9437901786073</v>
                </pt>
                <pt idx="122">
                  <v>289.5046327864193</v>
                </pt>
                <pt idx="123">
                  <v>294.6552522978751</v>
                </pt>
                <pt idx="124">
                  <v>301.3808505599766</v>
                </pt>
                <pt idx="125">
                  <v>310.7407942645036</v>
                </pt>
                <pt idx="126">
                  <v>320.4445818558166</v>
                </pt>
                <pt idx="127">
                  <v>331.6458641659622</v>
                </pt>
                <pt idx="128">
                  <v>346.1259254691169</v>
                </pt>
                <pt idx="129">
                  <v>360.2018669174499</v>
                </pt>
                <pt idx="130">
                  <v>374.979174132014</v>
                </pt>
                <pt idx="131">
                  <v>392.2776829264379</v>
                </pt>
                <pt idx="132">
                  <v>408.5702415481639</v>
                </pt>
                <pt idx="133">
                  <v>425.9397181682135</v>
                </pt>
                <pt idx="134">
                  <v>446.3421213823275</v>
                </pt>
                <pt idx="135">
                  <v>464.7813525203341</v>
                </pt>
                <pt idx="136">
                  <v>483.4361058636219</v>
                </pt>
                <pt idx="137">
                  <v>505.1728402834789</v>
                </pt>
                <pt idx="138">
                  <v>525.0301956551476</v>
                </pt>
                <pt idx="139">
                  <v>545.294526979861</v>
                </pt>
                <pt idx="140">
                  <v>568.6160000021816</v>
                </pt>
                <pt idx="141">
                  <v>589.595073012865</v>
                </pt>
                <pt idx="142">
                  <v>610.6232752319127</v>
                </pt>
                <pt idx="143">
                  <v>634.7142430382997</v>
                </pt>
                <pt idx="144">
                  <v>656.7596814523544</v>
                </pt>
                <pt idx="145">
                  <v>678.934378578411</v>
                </pt>
                <pt idx="146">
                  <v>704.1449836362386</v>
                </pt>
                <pt idx="147">
                  <v>726.6812853306784</v>
                </pt>
                <pt idx="148">
                  <v>749.5015119345261</v>
                </pt>
                <pt idx="149">
                  <v>775.4018440048759</v>
                </pt>
                <pt idx="150">
                  <v>798.9128126847422</v>
                </pt>
                <pt idx="151">
                  <v>822.691392020902</v>
                </pt>
                <pt idx="152">
                  <v>849.2996394600398</v>
                </pt>
                <pt idx="153">
                  <v>873.1094978635793</v>
                </pt>
                <pt idx="154">
                  <v>897.2665212613587</v>
                </pt>
                <pt idx="155">
                  <v>924.8641481909997</v>
                </pt>
                <pt idx="156">
                  <v>949.6945154062549</v>
                </pt>
                <pt idx="157">
                  <v>974.4855341929169</v>
                </pt>
                <pt idx="158">
                  <v>1002.437820798454</v>
                </pt>
                <pt idx="159">
                  <v>1027.587058741365</v>
                </pt>
                <pt idx="160">
                  <v>1053.061996168696</v>
                </pt>
                <pt idx="161">
                  <v>1082.114641640381</v>
                </pt>
                <pt idx="162">
                  <v>1108.021307304762</v>
                </pt>
                <pt idx="163">
                  <v>1133.897864973984</v>
                </pt>
                <pt idx="164">
                  <v>1163.204522336932</v>
                </pt>
                <pt idx="165">
                  <v>1189.738741201043</v>
                </pt>
                <pt idx="166">
                  <v>1216.646747635955</v>
                </pt>
                <pt idx="167">
                  <v>1246.895933746528</v>
                </pt>
                <pt idx="168">
                  <v>1273.942666327729</v>
                </pt>
                <pt idx="169">
                  <v>1301.253541568474</v>
                </pt>
                <pt idx="170">
                  <v>1332.205870179326</v>
                </pt>
                <pt idx="171">
                  <v>1359.945218719263</v>
                </pt>
                <pt idx="172">
                  <v>1388.098165085784</v>
                </pt>
                <pt idx="173">
                  <v>1419.95731393504</v>
                </pt>
                <pt idx="174">
                  <v>1448.233731510385</v>
                </pt>
                <pt idx="175">
                  <v>1476.666160388662</v>
                </pt>
                <pt idx="176">
                  <v>1509.252978622127</v>
                </pt>
                <pt idx="177">
                  <v>1538.48312898437</v>
                </pt>
                <pt idx="178">
                  <v>1567.959020475462</v>
                </pt>
                <pt idx="179">
                  <v>1601.120515949816</v>
                </pt>
                <pt idx="180">
                  <v>1630.763761471962</v>
                </pt>
                <pt idx="181">
                  <v>1660.699017744699</v>
                </pt>
                <pt idx="182">
                  <v>1694.822586614646</v>
                </pt>
                <pt idx="183">
                  <v>1725.548260538643</v>
                </pt>
                <pt idx="184">
                  <v>1756.320569107035</v>
                </pt>
                <pt idx="185">
                  <v>1790.918822879964</v>
                </pt>
                <pt idx="186">
                  <v>1821.953328576106</v>
                </pt>
                <pt idx="187">
                  <v>1853.59624895787</v>
                </pt>
                <pt idx="188">
                  <v>1889.569905314013</v>
                </pt>
                <pt idx="189">
                  <v>1921.47983023623</v>
                </pt>
                <pt idx="190">
                  <v>1953.587948364652</v>
                </pt>
                <pt idx="191">
                  <v>1990.040131893338</v>
                </pt>
                <pt idx="192">
                  <v>2022.880167968336</v>
                </pt>
                <pt idx="193">
                  <v>2055.916701140966</v>
                </pt>
                <pt idx="194">
                  <v>2093.535999451713</v>
                </pt>
                <pt idx="195">
                  <v>2127.089015227387</v>
                </pt>
                <pt idx="196">
                  <v>2160.681927524224</v>
                </pt>
                <pt idx="197">
                  <v>2198.86700095953</v>
                </pt>
                <pt idx="198">
                  <v>2233.379645200323</v>
                </pt>
                <pt idx="199">
                  <v>2268.093572924754</v>
                </pt>
                <pt idx="200">
                  <v>2307.269279658743</v>
                </pt>
                <pt idx="201">
                  <v>2342.397836711693</v>
                </pt>
                <pt idx="202">
                  <v>2377.586319197082</v>
                </pt>
                <pt idx="203">
                  <v>2417.6598864736</v>
                </pt>
                <pt idx="204">
                  <v>2453.826441863022</v>
                </pt>
                <pt idx="205">
                  <v>2490.216639782986</v>
                </pt>
                <pt idx="206">
                  <v>2531.154808755311</v>
                </pt>
                <pt idx="207">
                  <v>2567.74117554662</v>
                </pt>
                <pt idx="208">
                  <v>2604.702837274997</v>
                </pt>
                <pt idx="209">
                  <v>2646.979433940708</v>
                </pt>
                <pt idx="210">
                  <v>2684.843917592267</v>
                </pt>
                <pt idx="211">
                  <v>2722.73562812704</v>
                </pt>
                <pt idx="212">
                  <v>2765.514130169189</v>
                </pt>
                <pt idx="213">
                  <v>2803.976331236653</v>
                </pt>
                <pt idx="214">
                  <v>2842.830461587668</v>
                </pt>
                <pt idx="215">
                  <v>2886.984046410364</v>
                </pt>
                <pt idx="216">
                  <v>2926.60728683043</v>
                </pt>
                <pt idx="217">
                  <v>2966.111877040855</v>
                </pt>
                <pt idx="218">
                  <v>3010.783980478043</v>
                </pt>
                <pt idx="219">
                  <v>3051.177959160306</v>
                </pt>
                <pt idx="220">
                  <v>3091.992984294787</v>
                </pt>
                <pt idx="221">
                  <v>3137.997131474039</v>
                </pt>
                <pt idx="222">
                  <v>3179.093030635922</v>
                </pt>
                <pt idx="223">
                  <v>3220.474419904112</v>
                </pt>
                <pt idx="224">
                  <v>3267.386848018475</v>
                </pt>
                <pt idx="225">
                  <v>3309.459484632871</v>
                </pt>
                <pt idx="226">
                  <v>3352.06490243591</v>
                </pt>
                <pt idx="227">
                  <v>3400.216549598306</v>
                </pt>
                <pt idx="228">
                  <v>3443.039173659275</v>
                </pt>
                <pt idx="229">
                  <v>3486.123112704351</v>
                </pt>
                <pt idx="230">
                  <v>3535.217216361177</v>
                </pt>
                <pt idx="231">
                  <v>3579.384617384559</v>
                </pt>
                <pt idx="232">
                  <v>3623.801339841576</v>
                </pt>
                <pt idx="233">
                  <v>3673.792608096762</v>
                </pt>
                <pt idx="234">
                  <v>3718.47695762412</v>
                </pt>
                <pt idx="235">
                  <v>3763.561788221822</v>
                </pt>
                <pt idx="236">
                  <v>3814.934827256985</v>
                </pt>
                <pt idx="237">
                  <v>3861.017558017563</v>
                </pt>
                <pt idx="238">
                  <v>3907.272108473731</v>
                </pt>
                <pt idx="239">
                  <v>3959.187596526544</v>
                </pt>
                <pt idx="240">
                  <v>4005.818543910939</v>
                </pt>
              </numCache>
            </numRef>
          </yVal>
          <smooth val="0"/>
        </ser>
        <ser>
          <idx val="2"/>
          <order val="2"/>
          <tx>
            <v>Paper ice-ocean 35 km / 1600 km pass</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Native_Chart_Data!$E$1718:$E$1958</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Native_Chart_Data!$F$1718:$F$1958</f>
              <numCache>
                <formatCode>General</formatCode>
                <ptCount val="241"/>
                <pt idx="0">
                  <v>9500.556371343455</v>
                </pt>
                <pt idx="1">
                  <v>9376.680634893852</v>
                </pt>
                <pt idx="2">
                  <v>9237.86693657525</v>
                </pt>
                <pt idx="3">
                  <v>9116.215434885857</v>
                </pt>
                <pt idx="4">
                  <v>8994.697019798912</v>
                </pt>
                <pt idx="5">
                  <v>8859.340160987978</v>
                </pt>
                <pt idx="6">
                  <v>8740.331788861329</v>
                </pt>
                <pt idx="7">
                  <v>8621.530757474558</v>
                </pt>
                <pt idx="8">
                  <v>8489.738021557185</v>
                </pt>
                <pt idx="9">
                  <v>8373.16191725028</v>
                </pt>
                <pt idx="10">
                  <v>8257.496479709396</v>
                </pt>
                <pt idx="11">
                  <v>8128.795130995124</v>
                </pt>
                <pt idx="12">
                  <v>8015.099169643812</v>
                </pt>
                <pt idx="13">
                  <v>7902.130399222022</v>
                </pt>
                <pt idx="14">
                  <v>7776.641992156676</v>
                </pt>
                <pt idx="15">
                  <v>7665.481000958895</v>
                </pt>
                <pt idx="16">
                  <v>7555.439677176813</v>
                </pt>
                <pt idx="17">
                  <v>7433.099881007341</v>
                </pt>
                <pt idx="18">
                  <v>7324.546168355662</v>
                </pt>
                <pt idx="19">
                  <v>7217.711125746066</v>
                </pt>
                <pt idx="20">
                  <v>7098.019488341909</v>
                </pt>
                <pt idx="21">
                  <v>6992.6479613045</v>
                </pt>
                <pt idx="22">
                  <v>6888.445538379483</v>
                </pt>
                <pt idx="23">
                  <v>6771.789850814738</v>
                </pt>
                <pt idx="24">
                  <v>6669.242000062811</v>
                </pt>
                <pt idx="25">
                  <v>6567.617122187415</v>
                </pt>
                <pt idx="26">
                  <v>6453.946736401601</v>
                </pt>
                <pt idx="27">
                  <v>6354.148628359924</v>
                </pt>
                <pt idx="28">
                  <v>6255.366172336804</v>
                </pt>
                <pt idx="29">
                  <v>6144.635133313037</v>
                </pt>
                <pt idx="30">
                  <v>6047.970949157087</v>
                </pt>
                <pt idx="31">
                  <v>5951.39951323184</v>
                </pt>
                <pt idx="32">
                  <v>5844.072163861854</v>
                </pt>
                <pt idx="33">
                  <v>5749.953698963689</v>
                </pt>
                <pt idx="34">
                  <v>5655.904045000844</v>
                </pt>
                <pt idx="35">
                  <v>5551.850758749343</v>
                </pt>
                <pt idx="36">
                  <v>5459.997895455708</v>
                </pt>
                <pt idx="37">
                  <v>5368.78586707363</v>
                </pt>
                <pt idx="38">
                  <v>5267.622993940169</v>
                </pt>
                <pt idx="39">
                  <v>5178.40985077925</v>
                </pt>
                <pt idx="40">
                  <v>5089.837376029708</v>
                </pt>
                <pt idx="41">
                  <v>4991.755684834356</v>
                </pt>
                <pt idx="42">
                  <v>4904.952222315528</v>
                </pt>
                <pt idx="43">
                  <v>4819.191173047067</v>
                </pt>
                <pt idx="44">
                  <v>4723.98050134968</v>
                </pt>
                <pt idx="45">
                  <v>4639.4759832506</v>
                </pt>
                <pt idx="46">
                  <v>4556.60858333567</v>
                </pt>
                <pt idx="47">
                  <v>4463.78426007426</v>
                </pt>
                <pt idx="48">
                  <v>4382.161216077137</v>
                </pt>
                <pt idx="49">
                  <v>4301.685868120516</v>
                </pt>
                <pt idx="50">
                  <v>4211.604469769382</v>
                </pt>
                <pt idx="51">
                  <v>4132.672970012625</v>
                </pt>
                <pt idx="52">
                  <v>4054.616149263494</v>
                </pt>
                <pt idx="53">
                  <v>3967.364609108405</v>
                </pt>
                <pt idx="54">
                  <v>3890.821211781023</v>
                </pt>
                <pt idx="55">
                  <v>3815.260537638034</v>
                </pt>
                <pt idx="56">
                  <v>3730.474169439499</v>
                </pt>
                <pt idx="57">
                  <v>3656.657350395744</v>
                </pt>
                <pt idx="58">
                  <v>3583.025074116563</v>
                </pt>
                <pt idx="59">
                  <v>3501.228989140432</v>
                </pt>
                <pt idx="60">
                  <v>3429.633863599945</v>
                </pt>
                <pt idx="61">
                  <v>3358.216416154722</v>
                </pt>
                <pt idx="62">
                  <v>3279.379574445211</v>
                </pt>
                <pt idx="63">
                  <v>3209.819190900689</v>
                </pt>
                <pt idx="64">
                  <v>3140.868117715043</v>
                </pt>
                <pt idx="65">
                  <v>3064.463120167224</v>
                </pt>
                <pt idx="66">
                  <v>2997.169322515261</v>
                </pt>
                <pt idx="67">
                  <v>2930.290863262151</v>
                </pt>
                <pt idx="68">
                  <v>2856.458663651637</v>
                </pt>
                <pt idx="69">
                  <v>2791.083333988286</v>
                </pt>
                <pt idx="70">
                  <v>2726.598196385351</v>
                </pt>
                <pt idx="71">
                  <v>2655.133708523069</v>
                </pt>
                <pt idx="72">
                  <v>2591.70764324169</v>
                </pt>
                <pt idx="73">
                  <v>2529.656712539714</v>
                </pt>
                <pt idx="74">
                  <v>2460.108031274173</v>
                </pt>
                <pt idx="75">
                  <v>2399.037857844189</v>
                </pt>
                <pt idx="76">
                  <v>2338.848545673518</v>
                </pt>
                <pt idx="77">
                  <v>2271.475739684186</v>
                </pt>
                <pt idx="78">
                  <v>2212.418081073065</v>
                </pt>
                <pt idx="79">
                  <v>2154.069064539017</v>
                </pt>
                <pt idx="80">
                  <v>2088.853489351747</v>
                </pt>
                <pt idx="81">
                  <v>2031.698162688825</v>
                </pt>
                <pt idx="82">
                  <v>1975.259292967204</v>
                </pt>
                <pt idx="83">
                  <v>1911.982365755576</v>
                </pt>
                <pt idx="84">
                  <v>1856.953435568455</v>
                </pt>
                <pt idx="85">
                  <v>1801.935674852775</v>
                </pt>
                <pt idx="86">
                  <v>1740.892286586182</v>
                </pt>
                <pt idx="87">
                  <v>1687.415864855376</v>
                </pt>
                <pt idx="88">
                  <v>1633.968224008504</v>
                </pt>
                <pt idx="89">
                  <v>1574.947285671523</v>
                </pt>
                <pt idx="90">
                  <v>1522.840188450573</v>
                </pt>
                <pt idx="91">
                  <v>1471.235948252955</v>
                </pt>
                <pt idx="92">
                  <v>1413.94781292206</v>
                </pt>
                <pt idx="93">
                  <v>1363.468640275265</v>
                </pt>
                <pt idx="94">
                  <v>1313.352325640526</v>
                </pt>
                <pt idx="95">
                  <v>1257.952705144909</v>
                </pt>
                <pt idx="96">
                  <v>1208.883796960501</v>
                </pt>
                <pt idx="97">
                  <v>1160.3541102259</v>
                </pt>
                <pt idx="98">
                  <v>1106.563522654145</v>
                </pt>
                <pt idx="99">
                  <v>1058.831159975098</v>
                </pt>
                <pt idx="100">
                  <v>1012.064595354614</v>
                </pt>
                <pt idx="101">
                  <v>959.6992490366466</v>
                </pt>
                <pt idx="102">
                  <v>913.7430465581227</v>
                </pt>
                <pt idx="103">
                  <v>868.5395491003828</v>
                </pt>
                <pt idx="104">
                  <v>817.9688649858522</v>
                </pt>
                <pt idx="105">
                  <v>773.8625324971048</v>
                </pt>
                <pt idx="106">
                  <v>730.4506475657673</v>
                </pt>
                <pt idx="107">
                  <v>682.0960655809658</v>
                </pt>
                <pt idx="108">
                  <v>640.0475870733427</v>
                </pt>
                <pt idx="109">
                  <v>599.0661761937409</v>
                </pt>
                <pt idx="110">
                  <v>553.4978964465374</v>
                </pt>
                <pt idx="111">
                  <v>514.9837762599814</v>
                </pt>
                <pt idx="112">
                  <v>477.1635303185421</v>
                </pt>
                <pt idx="113">
                  <v>437.0157822838088</v>
                </pt>
                <pt idx="114">
                  <v>403.7857750285445</v>
                </pt>
                <pt idx="115">
                  <v>372.5309517744891</v>
                </pt>
                <pt idx="116">
                  <v>342.2544609165582</v>
                </pt>
                <pt idx="117">
                  <v>319.3997241168865</v>
                </pt>
                <pt idx="118">
                  <v>301.5999724716085</v>
                </pt>
                <pt idx="119">
                  <v>289.2412791527174</v>
                </pt>
                <pt idx="120">
                  <v>285.4496258923695</v>
                </pt>
                <pt idx="121">
                  <v>288.7955768368026</v>
                </pt>
                <pt idx="122">
                  <v>301.6329876220608</v>
                </pt>
                <pt idx="123">
                  <v>318.9091927078766</v>
                </pt>
                <pt idx="124">
                  <v>341.8770920620382</v>
                </pt>
                <pt idx="125">
                  <v>372.9997584627345</v>
                </pt>
                <pt idx="126">
                  <v>403.3552578355051</v>
                </pt>
                <pt idx="127">
                  <v>437.3422960859125</v>
                </pt>
                <pt idx="128">
                  <v>477.3110002130046</v>
                </pt>
                <pt idx="129">
                  <v>514.7823373735504</v>
                </pt>
                <pt idx="130">
                  <v>553.9006055367585</v>
                </pt>
                <pt idx="131">
                  <v>598.7767662366037</v>
                </pt>
                <pt idx="132">
                  <v>640.0379285550378</v>
                </pt>
                <pt idx="133">
                  <v>682.1647345655422</v>
                </pt>
                <pt idx="134">
                  <v>730.1679277696081</v>
                </pt>
                <pt idx="135">
                  <v>773.8737899853746</v>
                </pt>
                <pt idx="136">
                  <v>818.2319444741053</v>
                </pt>
                <pt idx="137">
                  <v>868.3304441097539</v>
                </pt>
                <pt idx="138">
                  <v>914.0428007371116</v>
                </pt>
                <pt idx="139">
                  <v>959.7681106792701</v>
                </pt>
                <pt idx="140">
                  <v>1011.961444386649</v>
                </pt>
                <pt idx="141">
                  <v>1059.127835685445</v>
                </pt>
                <pt idx="142">
                  <v>1106.232011168728</v>
                </pt>
                <pt idx="143">
                  <v>1160.429529823082</v>
                </pt>
                <pt idx="144">
                  <v>1208.825545061203</v>
                </pt>
                <pt idx="145">
                  <v>1257.696438896368</v>
                </pt>
                <pt idx="146">
                  <v>1313.538437334191</v>
                </pt>
                <pt idx="147">
                  <v>1363.492250135644</v>
                </pt>
                <pt idx="148">
                  <v>1413.878059556871</v>
                </pt>
                <pt idx="149">
                  <v>1471.454908880249</v>
                </pt>
                <pt idx="150">
                  <v>1522.81488443494</v>
                </pt>
                <pt idx="151">
                  <v>1574.87722686542</v>
                </pt>
                <pt idx="152">
                  <v>1634.210071279787</v>
                </pt>
                <pt idx="153">
                  <v>1686.979988369653</v>
                </pt>
                <pt idx="154">
                  <v>1740.978448906901</v>
                </pt>
                <pt idx="155">
                  <v>1801.873071650149</v>
                </pt>
                <pt idx="156">
                  <v>1856.708614896867</v>
                </pt>
                <pt idx="157">
                  <v>1912.259873742373</v>
                </pt>
                <pt idx="158">
                  <v>1975.101414739732</v>
                </pt>
                <pt idx="159">
                  <v>2031.798555805306</v>
                </pt>
                <pt idx="160">
                  <v>2089.073503194975</v>
                </pt>
                <pt idx="161">
                  <v>2153.951648074589</v>
                </pt>
                <pt idx="162">
                  <v>2212.490806607958</v>
                </pt>
                <pt idx="163">
                  <v>2271.627906606103</v>
                </pt>
                <pt idx="164">
                  <v>2338.459243820711</v>
                </pt>
                <pt idx="165">
                  <v>2399.231666652093</v>
                </pt>
                <pt idx="166">
                  <v>2460.040417379361</v>
                </pt>
                <pt idx="167">
                  <v>2529.486296689233</v>
                </pt>
                <pt idx="168">
                  <v>2592.146348508657</v>
                </pt>
                <pt idx="169">
                  <v>2654.889210932727</v>
                </pt>
                <pt idx="170">
                  <v>2726.825506113058</v>
                </pt>
                <pt idx="171">
                  <v>2791.225314975836</v>
                </pt>
                <pt idx="172">
                  <v>2856.226033694012</v>
                </pt>
                <pt idx="173">
                  <v>2930.463504936049</v>
                </pt>
                <pt idx="174">
                  <v>2997.038867629815</v>
                </pt>
                <pt idx="175">
                  <v>3064.159517811192</v>
                </pt>
                <pt idx="176">
                  <v>3141.02267016639</v>
                </pt>
                <pt idx="177">
                  <v>3209.636377410934</v>
                </pt>
                <pt idx="178">
                  <v>3279.232942558983</v>
                </pt>
                <pt idx="179">
                  <v>3358.596047655161</v>
                </pt>
                <pt idx="180">
                  <v>3429.358851046536</v>
                </pt>
                <pt idx="181">
                  <v>3501.549494764668</v>
                </pt>
                <pt idx="182">
                  <v>3583.073860581715</v>
                </pt>
                <pt idx="183">
                  <v>3656.40700682295</v>
                </pt>
                <pt idx="184">
                  <v>3730.743436868081</v>
                </pt>
                <pt idx="185">
                  <v>3814.921970322883</v>
                </pt>
                <pt idx="186">
                  <v>3890.767165711626</v>
                </pt>
                <pt idx="187">
                  <v>3967.480748745808</v>
                </pt>
                <pt idx="188">
                  <v>4054.37065121762</v>
                </pt>
                <pt idx="189">
                  <v>4132.747732519659</v>
                </pt>
                <pt idx="190">
                  <v>4211.941309035313</v>
                </pt>
                <pt idx="191">
                  <v>4301.463511833895</v>
                </pt>
                <pt idx="192">
                  <v>4382.539155040683</v>
                </pt>
                <pt idx="193">
                  <v>4463.734853187518</v>
                </pt>
                <pt idx="194">
                  <v>4556.388569519348</v>
                </pt>
                <pt idx="195">
                  <v>4639.808507150277</v>
                </pt>
                <pt idx="196">
                  <v>4723.475434804295</v>
                </pt>
                <pt idx="197">
                  <v>4819.254362723023</v>
                </pt>
                <pt idx="198">
                  <v>4905.006260578224</v>
                </pt>
                <pt idx="199">
                  <v>4991.48938144948</v>
                </pt>
                <pt idx="200">
                  <v>5090.147049793061</v>
                </pt>
                <pt idx="201">
                  <v>5178.508279581122</v>
                </pt>
                <pt idx="202">
                  <v>5267.481291794921</v>
                </pt>
                <pt idx="203">
                  <v>5369.156120221762</v>
                </pt>
                <pt idx="204">
                  <v>5459.8605829957</v>
                </pt>
                <pt idx="205">
                  <v>5551.638851287593</v>
                </pt>
                <pt idx="206">
                  <v>5656.251189079561</v>
                </pt>
                <pt idx="207">
                  <v>5749.357404371224</v>
                </pt>
                <pt idx="208">
                  <v>5844.274620092532</v>
                </pt>
                <pt idx="209">
                  <v>5951.428965774951</v>
                </pt>
                <pt idx="210">
                  <v>6047.702050281103</v>
                </pt>
                <pt idx="211">
                  <v>6145.111338452737</v>
                </pt>
                <pt idx="212">
                  <v>6255.217594700774</v>
                </pt>
                <pt idx="213">
                  <v>6354.280825753113</v>
                </pt>
                <pt idx="214">
                  <v>6454.255793929251</v>
                </pt>
                <pt idx="215">
                  <v>6567.347290290034</v>
                </pt>
                <pt idx="216">
                  <v>6669.157766597426</v>
                </pt>
                <pt idx="217">
                  <v>6771.954687848473</v>
                </pt>
                <pt idx="218">
                  <v>6888.021426206601</v>
                </pt>
                <pt idx="219">
                  <v>6992.888996566192</v>
                </pt>
                <pt idx="220">
                  <v>7098.013869852497</v>
                </pt>
                <pt idx="221">
                  <v>7217.546480079481</v>
                </pt>
                <pt idx="222">
                  <v>7325.109272184577</v>
                </pt>
                <pt idx="223">
                  <v>7432.782391212268</v>
                </pt>
                <pt idx="224">
                  <v>7555.73320099179</v>
                </pt>
                <pt idx="225">
                  <v>7665.636355141923</v>
                </pt>
                <pt idx="226">
                  <v>7776.31348402332</v>
                </pt>
                <pt idx="227">
                  <v>7902.234110027593</v>
                </pt>
                <pt idx="228">
                  <v>8014.969432881394</v>
                </pt>
                <pt idx="229">
                  <v>8128.406130195016</v>
                </pt>
                <pt idx="230">
                  <v>8257.762900264475</v>
                </pt>
                <pt idx="231">
                  <v>8373.137731591465</v>
                </pt>
                <pt idx="232">
                  <v>8489.606317132932</v>
                </pt>
                <pt idx="233">
                  <v>8622.02423942488</v>
                </pt>
                <pt idx="234">
                  <v>8739.913766874453</v>
                </pt>
                <pt idx="235">
                  <v>8859.603644488401</v>
                </pt>
                <pt idx="236">
                  <v>8994.652022373111</v>
                </pt>
                <pt idx="237">
                  <v>9115.781029913565</v>
                </pt>
                <pt idx="238">
                  <v>9238.143445583908</v>
                </pt>
                <pt idx="239">
                  <v>9376.367521334945</v>
                </pt>
                <pt idx="240">
                  <v>9500.459003101661</v>
                </pt>
              </numCache>
            </numRef>
          </yVal>
          <smooth val="0"/>
        </ser>
        <ser>
          <idx val="3"/>
          <order val="3"/>
          <tx>
            <v>Operating 25 km / 1600 km pass</v>
          </tx>
          <spPr>
            <a:ln xmlns:a="http://schemas.openxmlformats.org/drawingml/2006/main" w="19050">
              <a:solidFill>
                <a:srgbClr val="7C3AED"/>
              </a:solidFill>
              <a:prstDash val="solid"/>
            </a:ln>
          </spPr>
          <marker>
            <symbol val="none"/>
            <spPr>
              <a:ln xmlns:a="http://schemas.openxmlformats.org/drawingml/2006/main">
                <a:prstDash val="solid"/>
              </a:ln>
            </spPr>
          </marker>
          <xVal>
            <numRef>
              <f>Native_Chart_Data!$G$1718:$G$1958</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Native_Chart_Data!$H$1718:$H$1958</f>
              <numCache>
                <formatCode>General</formatCode>
                <ptCount val="241"/>
                <pt idx="0">
                  <v>9500.556371343455</v>
                </pt>
                <pt idx="1">
                  <v>9375.786453121231</v>
                </pt>
                <pt idx="2">
                  <v>9235.980691879406</v>
                </pt>
                <pt idx="3">
                  <v>9113.459474677602</v>
                </pt>
                <pt idx="4">
                  <v>8991.083262053251</v>
                </pt>
                <pt idx="5">
                  <v>8854.775290553753</v>
                </pt>
                <pt idx="6">
                  <v>8734.933723952112</v>
                </pt>
                <pt idx="7">
                  <v>8615.311864200492</v>
                </pt>
                <pt idx="8">
                  <v>8482.609177220769</v>
                </pt>
                <pt idx="9">
                  <v>8365.237270419912</v>
                </pt>
                <pt idx="10">
                  <v>8248.788016979055</v>
                </pt>
                <pt idx="11">
                  <v>8119.218745794955</v>
                </pt>
                <pt idx="12">
                  <v>8004.764484602612</v>
                </pt>
                <pt idx="13">
                  <v>7891.049878608126</v>
                </pt>
                <pt idx="14">
                  <v>7764.735963080681</v>
                </pt>
                <pt idx="15">
                  <v>7652.855371318062</v>
                </pt>
                <pt idx="16">
                  <v>7542.106308297932</v>
                </pt>
                <pt idx="17">
                  <v>7418.984078737651</v>
                </pt>
                <pt idx="18">
                  <v>7309.750091969138</v>
                </pt>
                <pt idx="19">
                  <v>7202.244912727801</v>
                </pt>
                <pt idx="20">
                  <v>7081.816025654211</v>
                </pt>
                <pt idx="21">
                  <v>6975.80232907405</v>
                </pt>
                <pt idx="22">
                  <v>6870.969349722895</v>
                </pt>
                <pt idx="23">
                  <v>6753.621278144666</v>
                </pt>
                <pt idx="24">
                  <v>6650.47074761406</v>
                </pt>
                <pt idx="25">
                  <v>6548.25580809364</v>
                </pt>
                <pt idx="26">
                  <v>6433.938830803955</v>
                </pt>
                <pt idx="27">
                  <v>6333.578302346319</v>
                </pt>
                <pt idx="28">
                  <v>6234.24564203876</v>
                </pt>
                <pt idx="29">
                  <v>6122.914735787467</v>
                </pt>
                <pt idx="30">
                  <v>6025.726492848604</v>
                </pt>
                <pt idx="31">
                  <v>5928.648736328782</v>
                </pt>
                <pt idx="32">
                  <v>5820.765933364904</v>
                </pt>
                <pt idx="33">
                  <v>5726.165298383326</v>
                </pt>
                <pt idx="34">
                  <v>5631.65237257585</v>
                </pt>
                <pt idx="35">
                  <v>5527.088644171126</v>
                </pt>
                <pt idx="36">
                  <v>5434.79834663666</v>
                </pt>
                <pt idx="37">
                  <v>5343.164202862709</v>
                </pt>
                <pt idx="38">
                  <v>5241.538951238175</v>
                </pt>
                <pt idx="39">
                  <v>5151.930884437782</v>
                </pt>
                <pt idx="40">
                  <v>5062.979131012552</v>
                </pt>
                <pt idx="41">
                  <v>4964.481536374396</v>
                </pt>
                <pt idx="42">
                  <v>4877.328179359549</v>
                </pt>
                <pt idx="43">
                  <v>4791.228813085901</v>
                </pt>
                <pt idx="44">
                  <v>4695.650666460148</v>
                </pt>
                <pt idx="45">
                  <v>4610.84324098783</v>
                </pt>
                <pt idx="46">
                  <v>4527.676662769078</v>
                </pt>
                <pt idx="47">
                  <v>4434.539750557736</v>
                </pt>
                <pt idx="48">
                  <v>4352.65346960581</v>
                </pt>
                <pt idx="49">
                  <v>4271.923873594473</v>
                </pt>
                <pt idx="50">
                  <v>4181.580717076413</v>
                </pt>
                <pt idx="51">
                  <v>4102.426876759548</v>
                </pt>
                <pt idx="52">
                  <v>4024.160160309181</v>
                </pt>
                <pt idx="53">
                  <v>3936.695700076091</v>
                </pt>
                <pt idx="54">
                  <v>3859.974715726375</v>
                </pt>
                <pt idx="55">
                  <v>3784.246324933066</v>
                </pt>
                <pt idx="56">
                  <v>3699.30191597568</v>
                </pt>
                <pt idx="57">
                  <v>3625.344303804723</v>
                </pt>
                <pt idx="58">
                  <v>3551.597360231251</v>
                </pt>
                <pt idx="59">
                  <v>3469.686028659542</v>
                </pt>
                <pt idx="60">
                  <v>3397.995470414696</v>
                </pt>
                <pt idx="61">
                  <v>3326.510290593986</v>
                </pt>
                <pt idx="62">
                  <v>3247.597471574157</v>
                </pt>
                <pt idx="63">
                  <v>3177.990618415184</v>
                </pt>
                <pt idx="64">
                  <v>3109.009887937512</v>
                </pt>
                <pt idx="65">
                  <v>3032.578307421142</v>
                </pt>
                <pt idx="66">
                  <v>2965.278708244999</v>
                </pt>
                <pt idx="67">
                  <v>2898.417070837936</v>
                </pt>
                <pt idx="68">
                  <v>2824.599793254962</v>
                </pt>
                <pt idx="69">
                  <v>2759.267993629624</v>
                </pt>
                <pt idx="70">
                  <v>2694.831504974336</v>
                </pt>
                <pt idx="71">
                  <v>2623.425230126642</v>
                </pt>
                <pt idx="72">
                  <v>2560.088488449522</v>
                </pt>
                <pt idx="73">
                  <v>2498.108264956655</v>
                </pt>
                <pt idx="74">
                  <v>2428.67513320416</v>
                </pt>
                <pt idx="75">
                  <v>2367.716512231392</v>
                </pt>
                <pt idx="76">
                  <v>2307.637032802526</v>
                </pt>
                <pt idx="77">
                  <v>2240.42054896027</v>
                </pt>
                <pt idx="78">
                  <v>2181.50328770911</v>
                </pt>
                <pt idx="79">
                  <v>2123.297962760579</v>
                </pt>
                <pt idx="80">
                  <v>2058.271372657876</v>
                </pt>
                <pt idx="81">
                  <v>2001.281475278257</v>
                </pt>
                <pt idx="82">
                  <v>1945.00615432865</v>
                </pt>
                <pt idx="83">
                  <v>1881.952780960172</v>
                </pt>
                <pt idx="84">
                  <v>1827.084897627734</v>
                </pt>
                <pt idx="85">
                  <v>1772.272432596628</v>
                </pt>
                <pt idx="86">
                  <v>1711.450022783946</v>
                </pt>
                <pt idx="87">
                  <v>1658.154956784144</v>
                </pt>
                <pt idx="88">
                  <v>1604.932853763352</v>
                </pt>
                <pt idx="89">
                  <v>1546.123543461253</v>
                </pt>
                <pt idx="90">
                  <v>1494.220331773146</v>
                </pt>
                <pt idx="91">
                  <v>1442.817695131121</v>
                </pt>
                <pt idx="92">
                  <v>1385.732867388738</v>
                </pt>
                <pt idx="93">
                  <v>1335.434839963411</v>
                </pt>
                <pt idx="94">
                  <v>1285.504511515804</v>
                </pt>
                <pt idx="95">
                  <v>1230.251296014278</v>
                </pt>
                <pt idx="96">
                  <v>1181.336026778777</v>
                </pt>
                <pt idx="97">
                  <v>1132.933668481271</v>
                </pt>
                <pt idx="98">
                  <v>1079.226226242142</v>
                </pt>
                <pt idx="99">
                  <v>1031.598088648423</v>
                </pt>
                <pt idx="100">
                  <v>984.8323231675628</v>
                </pt>
                <pt idx="101">
                  <v>932.4708641756583</v>
                </pt>
                <pt idx="102">
                  <v>886.4597372531108</v>
                </pt>
                <pt idx="103">
                  <v>841.1061786695878</v>
                </pt>
                <pt idx="104">
                  <v>790.3494390057505</v>
                </pt>
                <pt idx="105">
                  <v>745.953527022406</v>
                </pt>
                <pt idx="106">
                  <v>702.1441210545451</v>
                </pt>
                <pt idx="107">
                  <v>653.271654028491</v>
                </pt>
                <pt idx="108">
                  <v>610.5993837127407</v>
                </pt>
                <pt idx="109">
                  <v>568.797072806705</v>
                </pt>
                <pt idx="110">
                  <v>522.2177364636578</v>
                </pt>
                <pt idx="111">
                  <v>482.4244073104283</v>
                </pt>
                <pt idx="112">
                  <v>443.2221969503307</v>
                </pt>
                <pt idx="113">
                  <v>401.113136863523</v>
                </pt>
                <pt idx="114">
                  <v>365.7807671888995</v>
                </pt>
                <pt idx="115">
                  <v>332.263191455232</v>
                </pt>
                <pt idx="116">
                  <v>298.9985244554888</v>
                </pt>
                <pt idx="117">
                  <v>273.4933998987967</v>
                </pt>
                <pt idx="118">
                  <v>253.2927309834129</v>
                </pt>
                <pt idx="119">
                  <v>238.9667849962062</v>
                </pt>
                <pt idx="120">
                  <v>234.5789313633493</v>
                </pt>
                <pt idx="121">
                  <v>238.5842703863145</v>
                </pt>
                <pt idx="122">
                  <v>253.3206860578092</v>
                </pt>
                <pt idx="123">
                  <v>273.0846489801912</v>
                </pt>
                <pt idx="124">
                  <v>298.6887999718089</v>
                </pt>
                <pt idx="125">
                  <v>332.642526754116</v>
                </pt>
                <pt idx="126">
                  <v>365.4356044523713</v>
                </pt>
                <pt idx="127">
                  <v>401.3734936544012</v>
                </pt>
                <pt idx="128">
                  <v>443.3393813286131</v>
                </pt>
                <pt idx="129">
                  <v>482.2643114985864</v>
                </pt>
                <pt idx="130">
                  <v>522.5382572247767</v>
                </pt>
                <pt idx="131">
                  <v>568.565823552878</v>
                </pt>
                <pt idx="132">
                  <v>610.5916323677442</v>
                </pt>
                <pt idx="133">
                  <v>653.3270706753955</v>
                </pt>
                <pt idx="134">
                  <v>701.9144007435814</v>
                </pt>
                <pt idx="135">
                  <v>745.9627344688287</v>
                </pt>
                <pt idx="136">
                  <v>790.5661176236786</v>
                </pt>
                <pt idx="137">
                  <v>840.9326078964309</v>
                </pt>
                <pt idx="138">
                  <v>886.7103694425493</v>
                </pt>
                <pt idx="139">
                  <v>932.5288448805254</v>
                </pt>
                <pt idx="140">
                  <v>984.7447767945712</v>
                </pt>
                <pt idx="141">
                  <v>1031.851625789072</v>
                </pt>
                <pt idx="142">
                  <v>1078.941017998533</v>
                </pt>
                <pt idx="143">
                  <v>1132.999036177561</v>
                </pt>
                <pt idx="144">
                  <v>1181.28521935239</v>
                </pt>
                <pt idx="145">
                  <v>1230.026408396081</v>
                </pt>
                <pt idx="146">
                  <v>1285.668909744664</v>
                </pt>
                <pt idx="147">
                  <v>1335.455813764006</v>
                </pt>
                <pt idx="148">
                  <v>1385.67056989846</v>
                </pt>
                <pt idx="149">
                  <v>1443.014394306985</v>
                </pt>
                <pt idx="150">
                  <v>1494.197489623103</v>
                </pt>
                <pt idx="151">
                  <v>1546.060002257067</v>
                </pt>
                <pt idx="152">
                  <v>1605.153304930882</v>
                </pt>
                <pt idx="153">
                  <v>1657.755965187941</v>
                </pt>
                <pt idx="154">
                  <v>1711.529215198778</v>
                </pt>
                <pt idx="155">
                  <v>1772.21464669172</v>
                </pt>
                <pt idx="156">
                  <v>1826.858082720953</v>
                </pt>
                <pt idx="157">
                  <v>1882.210761089762</v>
                </pt>
                <pt idx="158">
                  <v>1944.858837742305</v>
                </pt>
                <pt idx="159">
                  <v>2001.375444236326</v>
                </pt>
                <pt idx="160">
                  <v>2058.477922917935</v>
                </pt>
                <pt idx="161">
                  <v>2123.187380831977</v>
                </pt>
                <pt idx="162">
                  <v>2181.571963631616</v>
                </pt>
                <pt idx="163">
                  <v>2240.564610948291</v>
                </pt>
                <pt idx="164">
                  <v>2307.267467304865</v>
                </pt>
                <pt idx="165">
                  <v>2367.900923017389</v>
                </pt>
                <pt idx="166">
                  <v>2428.610657778259</v>
                </pt>
                <pt idx="167">
                  <v>2497.945375811457</v>
                </pt>
                <pt idx="168">
                  <v>2560.508645682442</v>
                </pt>
                <pt idx="169">
                  <v>2623.190626267785</v>
                </pt>
                <pt idx="170">
                  <v>2695.050056278472</v>
                </pt>
                <pt idx="171">
                  <v>2759.40473656612</v>
                </pt>
                <pt idx="172">
                  <v>2824.375379688848</v>
                </pt>
                <pt idx="173">
                  <v>2898.583903876207</v>
                </pt>
                <pt idx="174">
                  <v>2965.152455231206</v>
                </pt>
                <pt idx="175">
                  <v>3032.284073090573</v>
                </pt>
                <pt idx="176">
                  <v>3109.159898307676</v>
                </pt>
                <pt idx="177">
                  <v>3177.812951422256</v>
                </pt>
                <pt idx="178">
                  <v>3247.454793226154</v>
                </pt>
                <pt idx="179">
                  <v>3326.880169992321</v>
                </pt>
                <pt idx="180">
                  <v>3397.727225112334</v>
                </pt>
                <pt idx="181">
                  <v>3469.998980615863</v>
                </pt>
                <pt idx="182">
                  <v>3551.645051083141</v>
                </pt>
                <pt idx="183">
                  <v>3625.099344864149</v>
                </pt>
                <pt idx="184">
                  <v>3699.565634398955</v>
                </pt>
                <pt idx="185">
                  <v>3783.91440300903</v>
                </pt>
                <pt idx="186">
                  <v>3859.921685924884</v>
                </pt>
                <pt idx="187">
                  <v>3936.809748368172</v>
                </pt>
                <pt idx="188">
                  <v>4023.918873075728</v>
                </pt>
                <pt idx="189">
                  <v>4102.500411292229</v>
                </pt>
                <pt idx="190">
                  <v>4181.912259453965</v>
                </pt>
                <pt idx="191">
                  <v>4271.704846882371</v>
                </pt>
                <pt idx="192">
                  <v>4353.025992120449</v>
                </pt>
                <pt idx="193">
                  <v>4434.491021465697</v>
                </pt>
                <pt idx="194">
                  <v>4527.459520818479</v>
                </pt>
                <pt idx="195">
                  <v>4611.171611868267</v>
                </pt>
                <pt idx="196">
                  <v>4695.15163279323</v>
                </pt>
                <pt idx="197">
                  <v>4791.291285020119</v>
                </pt>
                <pt idx="198">
                  <v>4877.38163084418</v>
                </pt>
                <pt idx="199">
                  <v>4964.217996293782</v>
                </pt>
                <pt idx="200">
                  <v>5063.28575218447</v>
                </pt>
                <pt idx="201">
                  <v>5152.028386800917</v>
                </pt>
                <pt idx="202">
                  <v>5241.398522516479</v>
                </pt>
                <pt idx="203">
                  <v>5343.531299949264</v>
                </pt>
                <pt idx="204">
                  <v>5434.662150530807</v>
                </pt>
                <pt idx="205">
                  <v>5526.87837903783</v>
                </pt>
                <pt idx="206">
                  <v>5631.996968936285</v>
                </pt>
                <pt idx="207">
                  <v>5725.573170850076</v>
                </pt>
                <pt idx="208">
                  <v>5820.967043429649</v>
                </pt>
                <pt idx="209">
                  <v>5928.678003819094</v>
                </pt>
                <pt idx="210">
                  <v>6025.459198865906</v>
                </pt>
                <pt idx="211">
                  <v>6123.388242453002</v>
                </pt>
                <pt idx="212">
                  <v>6234.097857525002</v>
                </pt>
                <pt idx="213">
                  <v>6333.709831112805</v>
                </pt>
                <pt idx="214">
                  <v>6434.24640902367</v>
                </pt>
                <pt idx="215">
                  <v>6547.987188435635</v>
                </pt>
                <pt idx="216">
                  <v>6650.386871354116</v>
                </pt>
                <pt idx="217">
                  <v>6753.785456348162</v>
                </pt>
                <pt idx="218">
                  <v>6870.546820843919</v>
                </pt>
                <pt idx="219">
                  <v>6976.042519176204</v>
                </pt>
                <pt idx="220">
                  <v>7081.81042563662</v>
                </pt>
                <pt idx="221">
                  <v>7202.080769171898</v>
                </pt>
                <pt idx="222">
                  <v>7310.311593445844</v>
                </pt>
                <pt idx="223">
                  <v>7418.667429654663</v>
                </pt>
                <pt idx="224">
                  <v>7542.399117852137</v>
                </pt>
                <pt idx="225">
                  <v>7653.010376100991</v>
                </pt>
                <pt idx="226">
                  <v>7764.408135091424</v>
                </pt>
                <pt idx="227">
                  <v>7891.153394811226</v>
                </pt>
                <pt idx="228">
                  <v>8004.634969601828</v>
                </pt>
                <pt idx="229">
                  <v>8118.830347051879</v>
                </pt>
                <pt idx="230">
                  <v>8249.054072142984</v>
                </pt>
                <pt idx="231">
                  <v>8365.213114269161</v>
                </pt>
                <pt idx="232">
                  <v>8482.477614126423</v>
                </pt>
                <pt idx="233">
                  <v>8615.804895583289</v>
                </pt>
                <pt idx="234">
                  <v>8734.516026047715</v>
                </pt>
                <pt idx="235">
                  <v>8855.038605032187</v>
                </pt>
                <pt idx="236">
                  <v>8991.038286933341</v>
                </pt>
                <pt idx="237">
                  <v>9113.025230448313</v>
                </pt>
                <pt idx="238">
                  <v>9236.257132309041</v>
                </pt>
                <pt idx="239">
                  <v>9375.473375519698</v>
                </pt>
                <pt idx="240">
                  <v>9500.459003101661</v>
                </pt>
              </numCache>
            </numRef>
          </yVal>
          <smooth val="0"/>
        </ser>
        <dLbls>
          <showLegendKey val="0"/>
          <showVal val="0"/>
          <showCatName val="0"/>
          <showSerName val="0"/>
          <showPercent val="0"/>
          <showBubbleSize val="0"/>
        </dLbls>
        <axId val="700016"/>
        <axId val="700017"/>
      </scatterChart>
      <valAx>
        <axId val="700016"/>
        <scaling>
          <orientation val="minMax"/>
          <max val="1000"/>
          <min val="-10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17"/>
        <crosses val="min"/>
        <crossBetween val="midCat"/>
        <majorUnit val="500"/>
      </valAx>
      <valAx>
        <axId val="700017"/>
        <scaling>
          <orientation val="minMax"/>
          <max val="12000"/>
          <min val="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Two-way return delay (microseconds)</a:t>
                </a:r>
              </a:p>
            </rich>
          </tx>
          <overlay val="0"/>
        </title>
        <numFmt formatCode="General" sourceLinked="0"/>
        <majorTickMark val="none"/>
        <minorTickMark val="none"/>
        <tickLblPos val="nextTo"/>
        <crossAx val="700016"/>
        <crosses val="min"/>
        <crossBetween val="midCat"/>
        <majorUnit val="20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s>
</file>

<file path=xl/drawings/_rels/drawing2.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twoCellAnchor>
    <from>
      <col>0</col>
      <colOff>0</colOff>
      <row>28</row>
      <rowOff>0</rowOff>
    </from>
    <to>
      <col>9</col>
      <colOff>0</colOff>
      <row>47</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9</col>
      <colOff>0</colOff>
      <row>28</row>
      <rowOff>0</rowOff>
    </from>
    <to>
      <col>18</col>
      <colOff>0</colOff>
      <row>47</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0</col>
      <colOff>0</colOff>
      <row>49</row>
      <rowOff>0</rowOff>
    </from>
    <to>
      <col>9</col>
      <colOff>0</colOff>
      <row>68</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9</col>
      <colOff>0</colOff>
      <row>49</row>
      <rowOff>0</rowOff>
    </from>
    <to>
      <col>18</col>
      <colOff>0</colOff>
      <row>68</row>
      <rowOff>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0</colOff>
      <row>70</row>
      <rowOff>0</rowOff>
    </from>
    <to>
      <col>9</col>
      <colOff>0</colOff>
      <row>89</row>
      <rowOff>0</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9</col>
      <colOff>0</colOff>
      <row>70</row>
      <rowOff>0</rowOff>
    </from>
    <to>
      <col>18</col>
      <colOff>0</colOff>
      <row>89</row>
      <rowOff>0</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0</colOff>
      <row>91</row>
      <rowOff>0</rowOff>
    </from>
    <to>
      <col>9</col>
      <colOff>0</colOff>
      <row>110</row>
      <rowOff>0</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9</col>
      <colOff>0</colOff>
      <row>91</row>
      <rowOff>0</rowOff>
    </from>
    <to>
      <col>18</col>
      <colOff>0</colOff>
      <row>110</row>
      <rowOff>0</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wsDr>
</file>

<file path=xl/drawings/drawing2.xml><?xml version="1.0" encoding="utf-8"?>
<wsDr xmlns="http://schemas.openxmlformats.org/drawingml/2006/spreadsheetDrawing">
  <oneCellAnchor>
    <from>
      <col>0</col>
      <colOff>0</colOff>
      <row>13</row>
      <rowOff>0</rowOff>
    </from>
    <ext cx="8572500" cy="5257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7</col>
      <colOff>0</colOff>
      <row>13</row>
      <rowOff>0</rowOff>
    </from>
    <ext cx="8572500" cy="5143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46</row>
      <rowOff>0</rowOff>
    </from>
    <ext cx="8572500" cy="64008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tables/table1.xml><?xml version="1.0" encoding="utf-8"?>
<table xmlns="http://schemas.openxmlformats.org/spreadsheetml/2006/main" id="1" name="ModelDataTable" displayName="ModelDataTable" ref="A1:AS242" headerRowCount="1">
  <tableColumns count="45">
    <tableColumn id="1" name="x_km"/>
    <tableColumn id="2" name="z_km"/>
    <tableColumn id="3" name="R_nadir_km"/>
    <tableColumn id="4" name="R_off_km"/>
    <tableColumn id="5" name="Delta_R_m"/>
    <tableColumn id="6" name="apparent_depth_m"/>
    <tableColumn id="7" name="extra_delay_us"/>
    <tableColumn id="8" name="horizontal_offset_km"/>
    <tableColumn id="9" name="look_angle_deg"/>
    <tableColumn id="10" name="vhf_phase_deg"/>
    <tableColumn id="11" name="relative_power"/>
    <tableColumn id="12" name="power_dB"/>
    <tableColumn id="13" name="dz_dx"/>
    <tableColumn id="14" name="dz_dt_km_s"/>
    <tableColumn id="15" name="range_rate_m_s"/>
    <tableColumn id="16" name="vhf_doppler_hz"/>
    <tableColumn id="17" name="hf_doppler_hz"/>
    <tableColumn id="18" name="vhf_band_low_m"/>
    <tableColumn id="19" name="vhf_band_high_m"/>
    <tableColumn id="20" name="hf_band_low_m"/>
    <tableColumn id="21" name="hf_band_high_m"/>
    <tableColumn id="22" name="abs_vhf_doppler_hz"/>
    <tableColumn id="23" name="abs_hf_doppler_hz"/>
    <tableColumn id="24" name="h_nadir_m"/>
    <tableColumn id="25" name="h_target_m"/>
    <tableColumn id="26" name="R_nadir_topo_km"/>
    <tableColumn id="27" name="R_off_topo_km"/>
    <tableColumn id="28" name="Delta_R_topo_m"/>
    <tableColumn id="29" name="apparent_depth_topo_m"/>
    <tableColumn id="30" name="extra_delay_topo_us"/>
    <tableColumn id="31" name="look_angle_topo_deg"/>
    <tableColumn id="32" name="vhf_phase_topo_deg"/>
    <tableColumn id="33" name="relative_power_topo"/>
    <tableColumn id="34" name="power_dB_topo"/>
    <tableColumn id="35" name="depth_change_topo_minus_flat_m"/>
    <tableColumn id="36" name="delay_change_topo_minus_flat_us"/>
    <tableColumn id="37" name="target_minus_nadir_height_m"/>
    <tableColumn id="38" name="range_rate_topo_m_s"/>
    <tableColumn id="39" name="vhf_doppler_topo_hz"/>
    <tableColumn id="40" name="hf_doppler_topo_hz"/>
    <tableColumn id="41" name="abs_vhf_doppler_topo_hz"/>
    <tableColumn id="42" name="abs_hf_doppler_topo_hz"/>
    <tableColumn id="43" name="topo_depth_uncertainty_m"/>
    <tableColumn id="44" name="topo_depth_low_m"/>
    <tableColumn id="45" name="topo_depth_high_m"/>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table" Target="/xl/tables/table1.xml" Id="rId1"/></Relationships>
</file>

<file path=xl/worksheets/_rels/sheet1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I128"/>
  <sheetViews>
    <sheetView showGridLines="0" tabSelected="1" workbookViewId="0">
      <selection activeCell="A1" sqref="A1:H1"/>
    </sheetView>
  </sheetViews>
  <sheetFormatPr baseColWidth="8" defaultRowHeight="13.5"/>
  <cols>
    <col width="31" customWidth="1" min="1" max="1"/>
    <col width="13" customWidth="1" min="2" max="2"/>
    <col width="9" customWidth="1" min="3" max="3"/>
    <col width="34" customWidth="1" min="4" max="4"/>
    <col width="14" customWidth="1" min="5" max="5"/>
    <col width="18" customWidth="1" min="6" max="6"/>
    <col width="14" customWidth="1" min="7" max="8"/>
    <col width="28" customWidth="1" min="9" max="9"/>
    <col width="16" customWidth="1" min="10" max="18"/>
  </cols>
  <sheetData>
    <row r="1" ht="21" customHeight="1">
      <c r="A1" s="23" t="inlineStr">
        <is>
          <t>Parabolic Motion Radar + Topography Parameter Model</t>
        </is>
      </c>
    </row>
    <row r="2" ht="13.9" customHeight="1">
      <c r="A2" s="24" t="inlineStr">
        <is>
          <t>Use Inputs!C27 to apply/remove topography from the main outputs and charts. Inputs!C47 changes the terrain seed. Long-pass scenario ranges use Europa spherical curvature instead of flat Cartesian range. Off-nadir means the side-looking target at Inputs!C6, while nadir means straight below the spacecraft.</t>
        </is>
      </c>
    </row>
    <row r="4" ht="15.75" customHeight="1">
      <c r="A4" s="39" t="inlineStr">
        <is>
          <t>Key Output Results</t>
        </is>
      </c>
      <c r="B4" s="40" t="n"/>
      <c r="C4" s="40" t="n"/>
      <c r="D4" s="41" t="n"/>
    </row>
    <row r="5">
      <c r="A5" s="2" t="inlineStr">
        <is>
          <t>Output</t>
        </is>
      </c>
      <c r="B5" s="2" t="inlineStr">
        <is>
          <t>Value</t>
        </is>
      </c>
      <c r="C5" s="2" t="inlineStr">
        <is>
          <t>Unit</t>
        </is>
      </c>
      <c r="D5" s="2" t="inlineStr">
        <is>
          <t>What it means</t>
        </is>
      </c>
    </row>
    <row r="6" ht="39.4" customHeight="1">
      <c r="A6" s="1" t="inlineStr">
        <is>
          <t>Topography toggle</t>
        </is>
      </c>
      <c r="B6" s="6">
        <f>IF(OR(Inputs!$C$27=TRUE,Inputs!$C$27="TRUE",Inputs!$C$27=1),"Topography ON","Topography OFF")</f>
        <v/>
      </c>
      <c r="C6" s="1" t="n"/>
      <c r="D6" s="1" t="inlineStr">
        <is>
          <t>Set Inputs!C27 to TRUE to include terrain, or FALSE to return to a flat surface. Change Inputs!C47 to test a new terrain case.</t>
        </is>
      </c>
    </row>
    <row r="7">
      <c r="A7" s="1" t="inlineStr">
        <is>
          <t>Flat apparent depth at mid-pass</t>
        </is>
      </c>
      <c r="B7" s="11">
        <f>Model_Data!F122</f>
        <v/>
      </c>
      <c r="C7" s="1" t="inlineStr">
        <is>
          <t>m</t>
        </is>
      </c>
      <c r="D7" s="1" t="inlineStr">
        <is>
          <t>Original flat-surface result.</t>
        </is>
      </c>
    </row>
    <row r="8" ht="26.25" customHeight="1">
      <c r="A8" s="1" t="inlineStr">
        <is>
          <t>Topo apparent depth at mid-pass</t>
        </is>
      </c>
      <c r="B8" s="11">
        <f>Model_Data!AC122</f>
        <v/>
      </c>
      <c r="C8" s="1" t="inlineStr">
        <is>
          <t>m</t>
        </is>
      </c>
      <c r="D8" s="1" t="inlineStr">
        <is>
          <t>Apparent depth after terrain height changes the range geometry.</t>
        </is>
      </c>
    </row>
    <row r="9">
      <c r="A9" s="1" t="inlineStr">
        <is>
          <t>Depth change from topography</t>
        </is>
      </c>
      <c r="B9" s="11">
        <f>Model_Data!AI122</f>
        <v/>
      </c>
      <c r="C9" s="1" t="inlineStr">
        <is>
          <t>m</t>
        </is>
      </c>
      <c r="D9" s="1" t="inlineStr">
        <is>
          <t>Topo apparent depth minus flat apparent depth.</t>
        </is>
      </c>
    </row>
    <row r="10">
      <c r="A10" s="1" t="inlineStr">
        <is>
          <t>Topo extra two-way delay</t>
        </is>
      </c>
      <c r="B10" s="11">
        <f>Model_Data!AD122</f>
        <v/>
      </c>
      <c r="C10" s="1" t="inlineStr">
        <is>
          <t>us</t>
        </is>
      </c>
      <c r="D10" s="1" t="inlineStr">
        <is>
          <t>Two-way delay after topography is included.</t>
        </is>
      </c>
    </row>
    <row r="11" ht="26.25" customHeight="1">
      <c r="A11" s="1" t="inlineStr">
        <is>
          <t>Topo VHF interferometric phase</t>
        </is>
      </c>
      <c r="B11" s="11">
        <f>Model_Data!AF122</f>
        <v/>
      </c>
      <c r="C11" s="1" t="inlineStr">
        <is>
          <t>deg</t>
        </is>
      </c>
      <c r="D11" s="1" t="inlineStr">
        <is>
          <t>VHF phase after topography changes the look geometry.</t>
        </is>
      </c>
    </row>
    <row r="12" ht="26.25" customHeight="1">
      <c r="A12" s="1" t="inlineStr">
        <is>
          <t>Max target terrain height</t>
        </is>
      </c>
      <c r="B12" s="11">
        <f>MAX(Model_Data!Y2:Y242)</f>
        <v/>
      </c>
      <c r="C12" s="1" t="inlineStr">
        <is>
          <t>m</t>
        </is>
      </c>
      <c r="D12" s="1" t="inlineStr">
        <is>
          <t>Highest modeled terrain at the side-offset target path.</t>
        </is>
      </c>
    </row>
    <row r="13" ht="26.25" customHeight="1">
      <c r="A13" s="1" t="inlineStr">
        <is>
          <t>Min target terrain height</t>
        </is>
      </c>
      <c r="B13" s="11">
        <f>MIN(Model_Data!Y2:Y242)</f>
        <v/>
      </c>
      <c r="C13" s="1" t="inlineStr">
        <is>
          <t>m</t>
        </is>
      </c>
      <c r="D13" s="1" t="inlineStr">
        <is>
          <t>Lowest modeled terrain at the side-offset target path.</t>
        </is>
      </c>
    </row>
    <row r="14" ht="26.25" customHeight="1">
      <c r="A14" s="1" t="inlineStr">
        <is>
          <t>Max absolute topo depth change</t>
        </is>
      </c>
      <c r="B14" s="11">
        <f>MAX(MAX(Model_Data!AI2:AI242),-MIN(Model_Data!AI2:AI242))</f>
        <v/>
      </c>
      <c r="C14" s="1" t="inlineStr">
        <is>
          <t>m</t>
        </is>
      </c>
      <c r="D14" s="1" t="inlineStr">
        <is>
          <t>Largest magnitude of topography-driven apparent-depth change.</t>
        </is>
      </c>
    </row>
    <row r="15" ht="26.25" customHeight="1">
      <c r="A15" s="1" t="inlineStr">
        <is>
          <t>Max topo VHF Doppler magnitude</t>
        </is>
      </c>
      <c r="B15" s="11">
        <f>MAX(Model_Data!AO2:AO242)</f>
        <v/>
      </c>
      <c r="C15" s="1" t="inlineStr">
        <is>
          <t>Hz</t>
        </is>
      </c>
      <c r="D15" s="1" t="inlineStr">
        <is>
          <t>Largest VHF Doppler after topography is included.</t>
        </is>
      </c>
    </row>
    <row r="16" ht="26.25" customHeight="1">
      <c r="A16" s="1" t="inlineStr">
        <is>
          <t>Simple minimum PRF with topo</t>
        </is>
      </c>
      <c r="B16" s="11">
        <f>2*B15</f>
        <v/>
      </c>
      <c r="C16" s="1" t="inlineStr">
        <is>
          <t>Hz</t>
        </is>
      </c>
      <c r="D16" s="1" t="inlineStr">
        <is>
          <t>Twice max topo VHF Doppler, a simple no-alias floor.</t>
        </is>
      </c>
    </row>
    <row r="17" ht="26.25" customHeight="1">
      <c r="A17" s="1" t="inlineStr">
        <is>
          <t>Topo depth uncertainty band</t>
        </is>
      </c>
      <c r="B17" s="11">
        <f>Model_Data!AQ122</f>
        <v/>
      </c>
      <c r="C17" s="1" t="inlineStr">
        <is>
          <t>m</t>
        </is>
      </c>
      <c r="D17" s="1" t="inlineStr">
        <is>
          <t>Representative vertical uncertainty converted to apparent-depth uncertainty.</t>
        </is>
      </c>
    </row>
    <row r="19" ht="15.75" customHeight="1">
      <c r="A19" s="39" t="inlineStr">
        <is>
          <t>PRF Choices</t>
        </is>
      </c>
      <c r="B19" s="40" t="n"/>
      <c r="C19" s="40" t="n"/>
      <c r="D19" s="40" t="n"/>
      <c r="E19" s="40" t="n"/>
      <c r="F19" s="41" t="n"/>
    </row>
    <row r="20" ht="26.25" customHeight="1">
      <c r="A20" s="2" t="inlineStr">
        <is>
          <t>PRF (Hz)</t>
        </is>
      </c>
      <c r="B20" s="2" t="inlineStr">
        <is>
          <t>Pulse interval (ms)</t>
        </is>
      </c>
      <c r="C20" s="2" t="inlineStr">
        <is>
          <t>Along-track spacing (m)</t>
        </is>
      </c>
      <c r="D20" s="2" t="inlineStr">
        <is>
          <t>Unambiguous range (km)</t>
        </is>
      </c>
      <c r="E20" s="2" t="inlineStr">
        <is>
          <t>Pulses in air at z0</t>
        </is>
      </c>
      <c r="F20" s="2" t="inlineStr">
        <is>
          <t>Status</t>
        </is>
      </c>
    </row>
    <row r="21" ht="26.25" customHeight="1">
      <c r="A21" s="9">
        <f>PRF_Results!A4</f>
        <v/>
      </c>
      <c r="B21" s="9">
        <f>PRF_Results!B4</f>
        <v/>
      </c>
      <c r="C21" s="9">
        <f>PRF_Results!C4</f>
        <v/>
      </c>
      <c r="D21" s="9">
        <f>PRF_Results!D4</f>
        <v/>
      </c>
      <c r="E21" s="9">
        <f>PRF_Results!E4</f>
        <v/>
      </c>
      <c r="F21" s="1">
        <f>PRF_Results!F4</f>
        <v/>
      </c>
    </row>
    <row r="22" ht="26.25" customHeight="1">
      <c r="A22" s="9">
        <f>PRF_Results!A5</f>
        <v/>
      </c>
      <c r="B22" s="9">
        <f>PRF_Results!B5</f>
        <v/>
      </c>
      <c r="C22" s="9">
        <f>PRF_Results!C5</f>
        <v/>
      </c>
      <c r="D22" s="9">
        <f>PRF_Results!D5</f>
        <v/>
      </c>
      <c r="E22" s="9">
        <f>PRF_Results!E5</f>
        <v/>
      </c>
      <c r="F22" s="1">
        <f>PRF_Results!F5</f>
        <v/>
      </c>
    </row>
    <row r="23" ht="26.25" customHeight="1">
      <c r="A23" s="9">
        <f>PRF_Results!A6</f>
        <v/>
      </c>
      <c r="B23" s="9">
        <f>PRF_Results!B6</f>
        <v/>
      </c>
      <c r="C23" s="9">
        <f>PRF_Results!C6</f>
        <v/>
      </c>
      <c r="D23" s="9">
        <f>PRF_Results!D6</f>
        <v/>
      </c>
      <c r="E23" s="9">
        <f>PRF_Results!E6</f>
        <v/>
      </c>
      <c r="F23" s="1">
        <f>PRF_Results!F6</f>
        <v/>
      </c>
    </row>
    <row r="25" ht="15.75" customHeight="1">
      <c r="A25" s="39" t="inlineStr">
        <is>
          <t>How to read this model</t>
        </is>
      </c>
      <c r="B25" s="40" t="n"/>
      <c r="C25" s="40" t="n"/>
      <c r="D25" s="40" t="n"/>
      <c r="E25" s="40" t="n"/>
      <c r="F25" s="40" t="n"/>
      <c r="G25" s="40" t="n"/>
      <c r="H25" s="41" t="n"/>
    </row>
    <row r="26" ht="13.9" customHeight="1">
      <c r="A26" s="42" t="inlineStr">
        <is>
          <t>The chain is: parabolic motion changes z(x); topography adds h(x,y); the radar then turns that real surface pattern into an apparent range/depth shift. The off-nadir target is the side-looking point at y = Inputs!C6; nadir is the straight-down reference. Flat means flat surface, not straight spacecraft motion.</t>
        </is>
      </c>
      <c r="B26" s="40" t="n"/>
      <c r="C26" s="40" t="n"/>
      <c r="D26" s="40" t="n"/>
      <c r="E26" s="40" t="n"/>
      <c r="F26" s="40" t="n"/>
      <c r="G26" s="40" t="n"/>
      <c r="H26" s="41" t="n"/>
    </row>
    <row r="114" ht="15.75" customHeight="1">
      <c r="A114" s="39" t="inlineStr">
        <is>
          <t>Paper Pass Scenario Comparison</t>
        </is>
      </c>
      <c r="B114" s="40" t="n"/>
      <c r="C114" s="40" t="n"/>
      <c r="D114" s="40" t="n"/>
      <c r="E114" s="40" t="n"/>
      <c r="F114" s="40" t="n"/>
      <c r="G114" s="40" t="n"/>
      <c r="H114" s="40" t="n"/>
      <c r="I114" s="41" t="n"/>
    </row>
    <row r="115">
      <c r="A115" s="2" t="inlineStr">
        <is>
          <t>Scenario</t>
        </is>
      </c>
      <c r="B115" s="2" t="inlineStr">
        <is>
          <t>Show</t>
        </is>
      </c>
      <c r="C115" s="2" t="inlineStr">
        <is>
          <t>z0 (km)</t>
        </is>
      </c>
      <c r="D115" s="2" t="inlineStr">
        <is>
          <t>Length (km)</t>
        </is>
      </c>
      <c r="E115" s="2" t="inlineStr">
        <is>
          <t>Edge alt (km)</t>
        </is>
      </c>
      <c r="F115" s="2" t="inlineStr">
        <is>
          <t>Mid depth (m)</t>
        </is>
      </c>
      <c r="G115" s="2" t="inlineStr">
        <is>
          <t>Max VHF (Hz)</t>
        </is>
      </c>
      <c r="H115" s="2" t="inlineStr">
        <is>
          <t>PRF floor (Hz)</t>
        </is>
      </c>
      <c r="I115" s="2" t="inlineStr">
        <is>
          <t>Basis</t>
        </is>
      </c>
    </row>
    <row r="116">
      <c r="A116" s="1">
        <f>Inputs!G6</f>
        <v/>
      </c>
      <c r="B116" s="8">
        <f>Inputs!F6</f>
        <v/>
      </c>
      <c r="C116" s="9">
        <f>Inputs!H6</f>
        <v/>
      </c>
      <c r="D116" s="9">
        <f>Inputs!J6-Inputs!I6</f>
        <v/>
      </c>
      <c r="E116" s="9">
        <f>Inputs!M6</f>
        <v/>
      </c>
      <c r="F116" s="9">
        <f>Scenario_Data!AF122</f>
        <v/>
      </c>
      <c r="G116" s="9">
        <f>MAX(MAX(Scenario_Data!AL2:AL242),-MIN(Scenario_Data!AL2:AL242))</f>
        <v/>
      </c>
      <c r="H116" s="9">
        <f>2*G116</f>
        <v/>
      </c>
      <c r="I116" s="1" t="inlineStr">
        <is>
          <t>Current editable</t>
        </is>
      </c>
    </row>
    <row r="117">
      <c r="A117" s="1">
        <f>Inputs!G7</f>
        <v/>
      </c>
      <c r="B117" s="8">
        <f>Inputs!F7</f>
        <v/>
      </c>
      <c r="C117" s="9">
        <f>Inputs!H7</f>
        <v/>
      </c>
      <c r="D117" s="9">
        <f>Inputs!J7-Inputs!I7</f>
        <v/>
      </c>
      <c r="E117" s="9">
        <f>Inputs!M7</f>
        <v/>
      </c>
      <c r="F117" s="9">
        <f>Scenario_Data!AG122</f>
        <v/>
      </c>
      <c r="G117" s="9">
        <f>MAX(MAX(Scenario_Data!AM2:AM242),-MIN(Scenario_Data!AM2:AM242))</f>
        <v/>
      </c>
      <c r="H117" s="9">
        <f>2*G117</f>
        <v/>
      </c>
      <c r="I117" s="1" t="inlineStr">
        <is>
          <t>800 km below 400</t>
        </is>
      </c>
    </row>
    <row r="118">
      <c r="A118" s="1">
        <f>Inputs!G8</f>
        <v/>
      </c>
      <c r="B118" s="8">
        <f>Inputs!F8</f>
        <v/>
      </c>
      <c r="C118" s="9">
        <f>Inputs!H8</f>
        <v/>
      </c>
      <c r="D118" s="9">
        <f>Inputs!J8-Inputs!I8</f>
        <v/>
      </c>
      <c r="E118" s="9">
        <f>Inputs!M8</f>
        <v/>
      </c>
      <c r="F118" s="9">
        <f>Scenario_Data!AH122</f>
        <v/>
      </c>
      <c r="G118" s="9">
        <f>MAX(MAX(Scenario_Data!AN2:AN242),-MIN(Scenario_Data!AN2:AN242))</f>
        <v/>
      </c>
      <c r="H118" s="9">
        <f>2*G118</f>
        <v/>
      </c>
      <c r="I118" s="1" t="inlineStr">
        <is>
          <t>1600 km below 1000</t>
        </is>
      </c>
    </row>
    <row r="119">
      <c r="A119" s="1">
        <f>Inputs!G9</f>
        <v/>
      </c>
      <c r="B119" s="8">
        <f>Inputs!F9</f>
        <v/>
      </c>
      <c r="C119" s="9">
        <f>Inputs!H9</f>
        <v/>
      </c>
      <c r="D119" s="9">
        <f>Inputs!J9-Inputs!I9</f>
        <v/>
      </c>
      <c r="E119" s="9">
        <f>Inputs!M9</f>
        <v/>
      </c>
      <c r="F119" s="9">
        <f>Scenario_Data!AI122</f>
        <v/>
      </c>
      <c r="G119" s="9">
        <f>MAX(MAX(Scenario_Data!AO2:AO242),-MIN(Scenario_Data!AO2:AO242))</f>
        <v/>
      </c>
      <c r="H119" s="9">
        <f>2*G119</f>
        <v/>
      </c>
      <c r="I119" s="1" t="inlineStr">
        <is>
          <t>25-1000 km range</t>
        </is>
      </c>
    </row>
    <row r="120" ht="13.9" customHeight="1">
      <c r="A120" s="28" t="inlineStr">
        <is>
          <t>Scenario note</t>
        </is>
      </c>
      <c r="B120" s="30" t="inlineStr">
        <is>
          <t>Paper numbers are converted into this workbook's simplified parabola so the outcomes can be compared. The paper states altitude ranges and groundtrack requirements, not an exact parabolic spacecraft trajectory.</t>
        </is>
      </c>
      <c r="C120" s="40" t="n"/>
      <c r="D120" s="40" t="n"/>
      <c r="E120" s="40" t="n"/>
      <c r="F120" s="40" t="n"/>
      <c r="G120" s="40" t="n"/>
      <c r="H120" s="40" t="n"/>
      <c r="I120" s="41" t="n"/>
    </row>
    <row r="122" ht="27" customHeight="1">
      <c r="A122" s="31" t="inlineStr">
        <is>
          <t>Quick Graph Guide</t>
        </is>
      </c>
    </row>
    <row r="123" ht="27" customHeight="1">
      <c r="A123" s="32" t="inlineStr">
        <is>
          <t>Graph</t>
        </is>
      </c>
      <c r="B123" s="32" t="inlineStr">
        <is>
          <t>What it is trying to show</t>
        </is>
      </c>
      <c r="C123" s="43" t="n"/>
      <c r="D123" s="43" t="n"/>
      <c r="E123" s="44" t="n"/>
      <c r="F123" s="32" t="inlineStr">
        <is>
          <t>How to read the baseline</t>
        </is>
      </c>
      <c r="G123" s="43" t="n"/>
      <c r="H123" s="43" t="n"/>
      <c r="I123" s="44" t="n"/>
    </row>
    <row r="124" ht="27" customHeight="1">
      <c r="A124" s="16" t="inlineStr">
        <is>
          <t>Apparent depth</t>
        </is>
      </c>
      <c r="B124" s="33" t="inlineStr">
        <is>
          <t>Motion and topography change the apparent radar depth relative to the nadir reference.</t>
        </is>
      </c>
      <c r="C124" s="43" t="n"/>
      <c r="D124" s="43" t="n"/>
      <c r="E124" s="44" t="n"/>
      <c r="F124" s="33" t="inlineStr">
        <is>
          <t>Grey zero line is a reference, not a plotted terrain/run result.</t>
        </is>
      </c>
      <c r="G124" s="43" t="n"/>
      <c r="H124" s="43" t="n"/>
      <c r="I124" s="44" t="n"/>
    </row>
    <row r="125" ht="27" customHeight="1">
      <c r="A125" s="16" t="inlineStr">
        <is>
          <t>Surface height</t>
        </is>
      </c>
      <c r="B125" s="33" t="inlineStr">
        <is>
          <t>Shows the generated topography used as the reference floor, plus the off-nadir target and nadir terrain heights. The satellite path is curved/parabolic, not flat.</t>
        </is>
      </c>
      <c r="C125" s="43" t="n"/>
      <c r="D125" s="43" t="n"/>
      <c r="E125" s="44" t="n"/>
      <c r="F125" s="33" t="inlineStr">
        <is>
          <t>Grey floor now follows the generated topography instead of 0 m; colored lines show target and nadir terrain.</t>
        </is>
      </c>
      <c r="G125" s="43" t="n"/>
      <c r="H125" s="43" t="n"/>
      <c r="I125" s="44" t="n"/>
    </row>
    <row r="126" ht="27" customHeight="1">
      <c r="A126" s="16" t="inlineStr">
        <is>
          <t>Doppler</t>
        </is>
      </c>
      <c r="B126" s="33" t="inlineStr">
        <is>
          <t>Range-rate-driven VHF/HF Doppler, with flat geometry compared against topography-adjusted geometry.</t>
        </is>
      </c>
      <c r="C126" s="43" t="n"/>
      <c r="D126" s="43" t="n"/>
      <c r="E126" s="44" t="n"/>
      <c r="F126" s="33" t="inlineStr">
        <is>
          <t>Crossing 0 Hz means the radial motion changes sign near closest approach.</t>
        </is>
      </c>
      <c r="G126" s="43" t="n"/>
      <c r="H126" s="43" t="n"/>
      <c r="I126" s="44" t="n"/>
    </row>
    <row r="127" ht="27" customHeight="1">
      <c r="A127" s="16" t="inlineStr">
        <is>
          <t>Motion-only / scenarios</t>
        </is>
      </c>
      <c r="B127" s="33" t="inlineStr">
        <is>
          <t>The motion-only chart is a radar reading from flat ground. It is not ground height; the curve comes from satellite path and slant-range geometry.</t>
        </is>
      </c>
      <c r="C127" s="43" t="n"/>
      <c r="D127" s="43" t="n"/>
      <c r="E127" s="44" t="n"/>
      <c r="F127" s="33" t="inlineStr">
        <is>
          <t>Scenario baselines are grey reference floors; they are intentionally not orange model lines.</t>
        </is>
      </c>
      <c r="G127" s="43" t="n"/>
      <c r="H127" s="43" t="n"/>
      <c r="I127" s="44" t="n"/>
    </row>
    <row r="128" ht="27" customHeight="1">
      <c r="A128" s="16" t="inlineStr">
        <is>
          <t>Detailed notes</t>
        </is>
      </c>
      <c r="B128" s="33" t="inlineStr">
        <is>
          <t>See the Graph_Guide tab for every chart, source range, formula basis, and audit status.</t>
        </is>
      </c>
      <c r="C128" s="43" t="n"/>
      <c r="D128" s="43" t="n"/>
      <c r="E128" s="44" t="n"/>
      <c r="F128" s="33" t="inlineStr">
        <is>
          <t>Checks!B4:B23 remains the formula-health checklist.</t>
        </is>
      </c>
      <c r="G128" s="43" t="n"/>
      <c r="H128" s="43" t="n"/>
      <c r="I128" s="44" t="n"/>
    </row>
  </sheetData>
  <mergeCells count="21">
    <mergeCell ref="B127:E127"/>
    <mergeCell ref="A4:D4"/>
    <mergeCell ref="B124:E124"/>
    <mergeCell ref="A1:H1"/>
    <mergeCell ref="B123:E123"/>
    <mergeCell ref="F123:I123"/>
    <mergeCell ref="B126:E126"/>
    <mergeCell ref="A25:H25"/>
    <mergeCell ref="B120:I120"/>
    <mergeCell ref="A122:I122"/>
    <mergeCell ref="B125:E125"/>
    <mergeCell ref="F128:I128"/>
    <mergeCell ref="F127:I127"/>
    <mergeCell ref="F124:I124"/>
    <mergeCell ref="A26:H26"/>
    <mergeCell ref="A19:F19"/>
    <mergeCell ref="A2:H2"/>
    <mergeCell ref="A114:I114"/>
    <mergeCell ref="F126:I126"/>
    <mergeCell ref="B128:E128"/>
    <mergeCell ref="F125:I125"/>
  </mergeCells>
  <dataValidations count="1">
    <dataValidation sqref="B59:B62" showDropDown="0" showInputMessage="0" showErrorMessage="0" allowBlank="0" type="list">
      <formula1>"TRUE,FALSE"</formula1>
    </dataValidation>
  </dataValidation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54"/>
  <sheetViews>
    <sheetView showGridLines="0" workbookViewId="0">
      <selection activeCell="A1" sqref="A1"/>
    </sheetView>
  </sheetViews>
  <sheetFormatPr baseColWidth="8" defaultRowHeight="13.5"/>
  <cols>
    <col width="26" customWidth="1" min="1" max="1"/>
    <col width="18" customWidth="1" min="2" max="2"/>
    <col width="12" customWidth="1" min="3" max="3"/>
    <col width="10" customWidth="1" min="4" max="4"/>
    <col width="58" customWidth="1" min="5" max="5"/>
    <col width="12" customWidth="1" min="6" max="6"/>
    <col width="30" customWidth="1" min="7" max="7"/>
    <col width="10" customWidth="1" min="8" max="10"/>
    <col width="11" customWidth="1" min="11" max="11"/>
    <col width="15" customWidth="1" min="12" max="12"/>
    <col width="14" customWidth="1" min="13" max="13"/>
    <col width="72" customWidth="1" min="14" max="14"/>
  </cols>
  <sheetData>
    <row r="1" ht="21" customHeight="1">
      <c r="A1" s="23" t="inlineStr">
        <is>
          <t>Parabolic Motion Radar Model - Editable Inputs</t>
        </is>
      </c>
    </row>
    <row r="2" ht="13.9" customHeight="1">
      <c r="A2" s="34" t="inlineStr">
        <is>
          <t>Change the yellow cells in column C for the custom model. Use the TRUE/FALSE scenario toggles at the right to overlay paper-derived pass cases on the Dashboard charts.</t>
        </is>
      </c>
    </row>
    <row r="4" ht="15.75" customHeight="1">
      <c r="A4" s="2" t="inlineStr">
        <is>
          <t>Parameter</t>
        </is>
      </c>
      <c r="B4" s="2" t="inlineStr">
        <is>
          <t>Symbol</t>
        </is>
      </c>
      <c r="C4" s="2" t="inlineStr">
        <is>
          <t>Value</t>
        </is>
      </c>
      <c r="D4" s="2" t="inlineStr">
        <is>
          <t>Unit</t>
        </is>
      </c>
      <c r="E4" s="2" t="inlineStr">
        <is>
          <t>Notes</t>
        </is>
      </c>
      <c r="F4" s="39" t="inlineStr">
        <is>
          <t>Paper-Derived Pass Scenario Overlays</t>
        </is>
      </c>
      <c r="G4" s="40" t="n"/>
      <c r="H4" s="40" t="n"/>
      <c r="I4" s="40" t="n"/>
      <c r="J4" s="40" t="n"/>
      <c r="K4" s="40" t="n"/>
      <c r="L4" s="40" t="n"/>
      <c r="M4" s="40" t="n"/>
      <c r="N4" s="41" t="n"/>
    </row>
    <row r="5">
      <c r="A5" s="1" t="inlineStr">
        <is>
          <t>Closest altitude</t>
        </is>
      </c>
      <c r="B5" s="1" t="inlineStr">
        <is>
          <t>z0</t>
        </is>
      </c>
      <c r="C5" s="3" t="n">
        <v>400</v>
      </c>
      <c r="D5" s="1" t="inlineStr">
        <is>
          <t>km</t>
        </is>
      </c>
      <c r="E5" s="1" t="inlineStr">
        <is>
          <t>Altitude at closest approach. Change this to test other flyby heights.</t>
        </is>
      </c>
      <c r="F5" s="2" t="inlineStr">
        <is>
          <t>Show</t>
        </is>
      </c>
      <c r="G5" s="2" t="inlineStr">
        <is>
          <t>Scenario</t>
        </is>
      </c>
      <c r="H5" s="2" t="inlineStr">
        <is>
          <t>z0</t>
        </is>
      </c>
      <c r="I5" s="2" t="inlineStr">
        <is>
          <t>x_min</t>
        </is>
      </c>
      <c r="J5" s="2" t="inlineStr">
        <is>
          <t>x_max</t>
        </is>
      </c>
      <c r="K5" s="2" t="inlineStr">
        <is>
          <t>x_edge</t>
        </is>
      </c>
      <c r="L5" s="2" t="inlineStr">
        <is>
          <t>Delta_z_edge</t>
        </is>
      </c>
      <c r="M5" s="2" t="inlineStr">
        <is>
          <t>Edge altitude</t>
        </is>
      </c>
      <c r="N5" s="2" t="inlineStr">
        <is>
          <t>Paper basis / meaning</t>
        </is>
      </c>
    </row>
    <row r="6" ht="26.25" customHeight="1">
      <c r="A6" s="1" t="inlineStr">
        <is>
          <t>Side/cross-track offset</t>
        </is>
      </c>
      <c r="B6" s="1" t="inlineStr">
        <is>
          <t>y</t>
        </is>
      </c>
      <c r="C6" s="3" t="n">
        <v>25</v>
      </c>
      <c r="D6" s="1" t="inlineStr">
        <is>
          <t>km</t>
        </is>
      </c>
      <c r="E6" s="1" t="inlineStr">
        <is>
          <t>Horizontal offset of the modeled target from nadir.</t>
        </is>
      </c>
      <c r="F6" s="6" t="b">
        <v>1</v>
      </c>
      <c r="G6" s="1" t="inlineStr">
        <is>
          <t>Current custom inputs</t>
        </is>
      </c>
      <c r="H6" s="7">
        <f>C5</f>
        <v/>
      </c>
      <c r="I6" s="7">
        <f>C7</f>
        <v/>
      </c>
      <c r="J6" s="7">
        <f>C8</f>
        <v/>
      </c>
      <c r="K6" s="7">
        <f>C10</f>
        <v/>
      </c>
      <c r="L6" s="7">
        <f>C9</f>
        <v/>
      </c>
      <c r="M6" s="7">
        <f>C5+C9</f>
        <v/>
      </c>
      <c r="N6" s="1" t="inlineStr">
        <is>
          <t>Your editable custom case from the left table. It remains the main model used by the topography dashboard.</t>
        </is>
      </c>
    </row>
    <row r="7" ht="26.25" customHeight="1">
      <c r="A7" s="1" t="inlineStr">
        <is>
          <t>Along-track minimum</t>
        </is>
      </c>
      <c r="B7" s="1" t="inlineStr">
        <is>
          <t>x_min</t>
        </is>
      </c>
      <c r="C7" s="3" t="n">
        <v>-60</v>
      </c>
      <c r="D7" s="1" t="inlineStr">
        <is>
          <t>km</t>
        </is>
      </c>
      <c r="E7" s="1" t="inlineStr">
        <is>
          <t>Left/start side of the modeled pass.</t>
        </is>
      </c>
      <c r="F7" s="6" t="b">
        <v>1</v>
      </c>
      <c r="G7" s="1" t="inlineStr">
        <is>
          <t>Paper low-altitude 800-km pass</t>
        </is>
      </c>
      <c r="H7" s="7" t="n">
        <v>35</v>
      </c>
      <c r="I7" s="7" t="n">
        <v>-400</v>
      </c>
      <c r="J7" s="7" t="n">
        <v>400</v>
      </c>
      <c r="K7" s="7" t="n">
        <v>400</v>
      </c>
      <c r="L7" s="7" t="n">
        <v>365</v>
      </c>
      <c r="M7" s="7" t="n">
        <v>400</v>
      </c>
      <c r="N7" s="1" t="inlineStr">
        <is>
          <t>Paper coverage requirement: groundtrack segments at least 800 km long below 400 km for most REASON datasets. This model makes that a parabola.</t>
        </is>
      </c>
    </row>
    <row r="8" ht="26.25" customHeight="1">
      <c r="A8" s="1" t="inlineStr">
        <is>
          <t>Along-track maximum</t>
        </is>
      </c>
      <c r="B8" s="1" t="inlineStr">
        <is>
          <t>x_max</t>
        </is>
      </c>
      <c r="C8" s="3" t="n">
        <v>60</v>
      </c>
      <c r="D8" s="1" t="inlineStr">
        <is>
          <t>km</t>
        </is>
      </c>
      <c r="E8" s="1" t="inlineStr">
        <is>
          <t>Right/end side of the modeled pass.</t>
        </is>
      </c>
      <c r="F8" s="6" t="b">
        <v>1</v>
      </c>
      <c r="G8" s="1" t="inlineStr">
        <is>
          <t>Paper ice-ocean 1600-km pass</t>
        </is>
      </c>
      <c r="H8" s="7" t="n">
        <v>35</v>
      </c>
      <c r="I8" s="7" t="n">
        <v>-800</v>
      </c>
      <c r="J8" s="7" t="n">
        <v>800</v>
      </c>
      <c r="K8" s="7" t="n">
        <v>800</v>
      </c>
      <c r="L8" s="7" t="n">
        <v>965</v>
      </c>
      <c r="M8" s="7" t="n">
        <v>1000</v>
      </c>
      <c r="N8" s="1" t="inlineStr">
        <is>
          <t>Paper ice-ocean interface requirement: at least 1600 km below 1000 km. This model makes that a parabola.</t>
        </is>
      </c>
    </row>
    <row r="9" ht="26.25" customHeight="1">
      <c r="A9" s="1" t="inlineStr">
        <is>
          <t>Altitude rise at edge</t>
        </is>
      </c>
      <c r="B9" s="1" t="inlineStr">
        <is>
          <t>Delta_z_edge</t>
        </is>
      </c>
      <c r="C9" s="3" t="n">
        <v>4</v>
      </c>
      <c r="D9" s="1" t="inlineStr">
        <is>
          <t>km</t>
        </is>
      </c>
      <c r="E9" s="1" t="inlineStr">
        <is>
          <t>How much altitude rises at +/- x_edge.</t>
        </is>
      </c>
      <c r="F9" s="6" t="b">
        <v>1</v>
      </c>
      <c r="G9" s="1" t="inlineStr">
        <is>
          <t>Paper operating 25-to-1000-km pass</t>
        </is>
      </c>
      <c r="H9" s="7" t="n">
        <v>25</v>
      </c>
      <c r="I9" s="7" t="n">
        <v>-800</v>
      </c>
      <c r="J9" s="7" t="n">
        <v>800</v>
      </c>
      <c r="K9" s="7" t="n">
        <v>800</v>
      </c>
      <c r="L9" s="7" t="n">
        <v>975</v>
      </c>
      <c r="M9" s="7" t="n">
        <v>1000</v>
      </c>
      <c r="N9" s="1" t="inlineStr">
        <is>
          <t>Paper instrument table lists operational altitudes of 25 km to 1000 km. This shows the lower-bound closest-approach case.</t>
        </is>
      </c>
    </row>
    <row r="10">
      <c r="A10" s="1" t="inlineStr">
        <is>
          <t>Parabola edge location</t>
        </is>
      </c>
      <c r="B10" s="1" t="inlineStr">
        <is>
          <t>x_edge</t>
        </is>
      </c>
      <c r="C10" s="3" t="n">
        <v>60</v>
      </c>
      <c r="D10" s="1" t="inlineStr">
        <is>
          <t>km</t>
        </is>
      </c>
      <c r="E10" s="1" t="inlineStr">
        <is>
          <t>Controls curvature together with Delta_z_edge.</t>
        </is>
      </c>
    </row>
    <row r="11" ht="13.9" customHeight="1">
      <c r="A11" s="1" t="inlineStr">
        <is>
          <t>Along-track speed</t>
        </is>
      </c>
      <c r="B11" s="1" t="inlineStr">
        <is>
          <t>v</t>
        </is>
      </c>
      <c r="C11" s="3" t="n">
        <v>4</v>
      </c>
      <c r="D11" s="1" t="inlineStr">
        <is>
          <t>km/s</t>
        </is>
      </c>
      <c r="E11" s="1" t="inlineStr">
        <is>
          <t>Used for range rate, Doppler, and pulse spacing.</t>
        </is>
      </c>
      <c r="F11" s="28" t="inlineStr">
        <is>
          <t>Scenario note</t>
        </is>
      </c>
      <c r="G11" s="30" t="inlineStr">
        <is>
          <t>The paper gives altitude ranges and required groundtrack lengths, not exact parabolic equations. These rows convert those paper values into the same simplified parabola equation so outcomes can be compared on one dashboard.</t>
        </is>
      </c>
      <c r="H11" s="40" t="n"/>
      <c r="I11" s="40" t="n"/>
      <c r="J11" s="40" t="n"/>
      <c r="K11" s="40" t="n"/>
      <c r="L11" s="40" t="n"/>
      <c r="M11" s="40" t="n"/>
      <c r="N11" s="41" t="n"/>
    </row>
    <row r="12">
      <c r="A12" s="1" t="inlineStr">
        <is>
          <t>Ice refractive index</t>
        </is>
      </c>
      <c r="B12" s="1" t="inlineStr">
        <is>
          <t>n</t>
        </is>
      </c>
      <c r="C12" s="3" t="n">
        <v>1.78</v>
      </c>
      <c r="D12" s="1" t="n"/>
      <c r="E12" s="1" t="inlineStr">
        <is>
          <t>Used to convert extra slant path into apparent depth.</t>
        </is>
      </c>
    </row>
    <row r="13">
      <c r="A13" s="1" t="inlineStr">
        <is>
          <t>VHF wavelength</t>
        </is>
      </c>
      <c r="B13" s="1" t="inlineStr">
        <is>
          <t>lambda_vhf</t>
        </is>
      </c>
      <c r="C13" s="3" t="n">
        <v>5</v>
      </c>
      <c r="D13" s="1" t="inlineStr">
        <is>
          <t>m</t>
        </is>
      </c>
      <c r="E13" s="1" t="inlineStr">
        <is>
          <t>REASON-like VHF wavelength.</t>
        </is>
      </c>
    </row>
    <row r="14">
      <c r="A14" s="1" t="inlineStr">
        <is>
          <t>HF wavelength</t>
        </is>
      </c>
      <c r="B14" s="1" t="inlineStr">
        <is>
          <t>lambda_hf</t>
        </is>
      </c>
      <c r="C14" s="3" t="n">
        <v>33.3</v>
      </c>
      <c r="D14" s="1" t="inlineStr">
        <is>
          <t>m</t>
        </is>
      </c>
      <c r="E14" s="1" t="inlineStr">
        <is>
          <t>REASON-like HF wavelength.</t>
        </is>
      </c>
    </row>
    <row r="15">
      <c r="A15" s="1" t="inlineStr">
        <is>
          <t>Interferometer baseline</t>
        </is>
      </c>
      <c r="B15" s="1" t="inlineStr">
        <is>
          <t>b</t>
        </is>
      </c>
      <c r="C15" s="3" t="n">
        <v>5</v>
      </c>
      <c r="D15" s="1" t="inlineStr">
        <is>
          <t>m</t>
        </is>
      </c>
      <c r="E15" s="1" t="inlineStr">
        <is>
          <t>Used for VHF phase estimate.</t>
        </is>
      </c>
    </row>
    <row r="16">
      <c r="A16" s="1" t="inlineStr">
        <is>
          <t>VHF range resolution</t>
        </is>
      </c>
      <c r="B16" s="1" t="inlineStr">
        <is>
          <t>res_vhf</t>
        </is>
      </c>
      <c r="C16" s="3" t="n">
        <v>30</v>
      </c>
      <c r="D16" s="1" t="inlineStr">
        <is>
          <t>m</t>
        </is>
      </c>
      <c r="E16" s="1" t="inlineStr">
        <is>
          <t>Used for VHF apparent-depth uncertainty band.</t>
        </is>
      </c>
    </row>
    <row r="17">
      <c r="A17" s="1" t="inlineStr">
        <is>
          <t>HF range resolution</t>
        </is>
      </c>
      <c r="B17" s="1" t="inlineStr">
        <is>
          <t>res_hf</t>
        </is>
      </c>
      <c r="C17" s="3" t="n">
        <v>300</v>
      </c>
      <c r="D17" s="1" t="inlineStr">
        <is>
          <t>m</t>
        </is>
      </c>
      <c r="E17" s="1" t="inlineStr">
        <is>
          <t>Used for HF apparent-depth uncertainty band.</t>
        </is>
      </c>
    </row>
    <row r="18">
      <c r="A18" s="1" t="inlineStr">
        <is>
          <t>PRF choice 1</t>
        </is>
      </c>
      <c r="B18" s="1" t="inlineStr">
        <is>
          <t>PRF_1</t>
        </is>
      </c>
      <c r="C18" s="3" t="n">
        <v>50</v>
      </c>
      <c r="D18" s="1" t="inlineStr">
        <is>
          <t>Hz</t>
        </is>
      </c>
      <c r="E18" s="1" t="inlineStr">
        <is>
          <t>Example low PRF.</t>
        </is>
      </c>
    </row>
    <row r="19">
      <c r="A19" s="1" t="inlineStr">
        <is>
          <t>PRF choice 2</t>
        </is>
      </c>
      <c r="B19" s="1" t="inlineStr">
        <is>
          <t>PRF_2</t>
        </is>
      </c>
      <c r="C19" s="3" t="n">
        <v>500</v>
      </c>
      <c r="D19" s="1" t="inlineStr">
        <is>
          <t>Hz</t>
        </is>
      </c>
      <c r="E19" s="1" t="inlineStr">
        <is>
          <t>Example medium PRF.</t>
        </is>
      </c>
    </row>
    <row r="20">
      <c r="A20" s="1" t="inlineStr">
        <is>
          <t>PRF choice 3</t>
        </is>
      </c>
      <c r="B20" s="1" t="inlineStr">
        <is>
          <t>PRF_3</t>
        </is>
      </c>
      <c r="C20" s="3" t="n">
        <v>3000</v>
      </c>
      <c r="D20" s="1" t="inlineStr">
        <is>
          <t>Hz</t>
        </is>
      </c>
      <c r="E20" s="1" t="inlineStr">
        <is>
          <t>Example high PRF.</t>
        </is>
      </c>
    </row>
    <row r="21">
      <c r="A21" s="1" t="inlineStr">
        <is>
          <t>Speed of light</t>
        </is>
      </c>
      <c r="B21" s="1" t="inlineStr">
        <is>
          <t>c</t>
        </is>
      </c>
      <c r="C21" s="4" t="n">
        <v>299792458</v>
      </c>
      <c r="D21" s="1" t="inlineStr">
        <is>
          <t>m/s</t>
        </is>
      </c>
      <c r="E21" s="1" t="inlineStr">
        <is>
          <t>Physical constant used for delay and timing.</t>
        </is>
      </c>
    </row>
    <row r="23" ht="13.9" customHeight="1">
      <c r="A23" s="28" t="inlineStr">
        <is>
          <t>Model note</t>
        </is>
      </c>
      <c r="B23" s="30" t="inlineStr">
        <is>
          <t>The parabola is a simplified local path, not a real mission trajectory. Use it to see how geometry changes radar outputs.</t>
        </is>
      </c>
      <c r="C23" s="40" t="n"/>
      <c r="D23" s="40" t="n"/>
      <c r="E23" s="41" t="n"/>
    </row>
    <row r="25" ht="15.75" customHeight="1">
      <c r="A25" s="39" t="inlineStr">
        <is>
          <t>Representative Europa Topography Controls</t>
        </is>
      </c>
      <c r="B25" s="40" t="n"/>
      <c r="C25" s="40" t="n"/>
      <c r="D25" s="40" t="n"/>
      <c r="E25" s="41" t="n"/>
    </row>
    <row r="26">
      <c r="A26" s="2" t="inlineStr">
        <is>
          <t>Parameter</t>
        </is>
      </c>
      <c r="B26" s="2" t="inlineStr">
        <is>
          <t>Symbol</t>
        </is>
      </c>
      <c r="C26" s="2" t="inlineStr">
        <is>
          <t>Value</t>
        </is>
      </c>
      <c r="D26" s="2" t="inlineStr">
        <is>
          <t>Unit</t>
        </is>
      </c>
      <c r="E26" s="2" t="inlineStr">
        <is>
          <t>Notes</t>
        </is>
      </c>
    </row>
    <row r="27" ht="26.25" customHeight="1">
      <c r="A27" s="1" t="inlineStr">
        <is>
          <t>Topography enabled</t>
        </is>
      </c>
      <c r="B27" s="1" t="inlineStr">
        <is>
          <t>topography_on</t>
        </is>
      </c>
      <c r="C27" s="8" t="inlineStr">
        <is>
          <t>TRUE</t>
        </is>
      </c>
      <c r="D27" s="1" t="n"/>
      <c r="E27" s="1" t="inlineStr">
        <is>
          <t>Dropdown-style toggle. TRUE adds terrain height to the radar geometry; FALSE returns to flat surface.</t>
        </is>
      </c>
    </row>
    <row r="28">
      <c r="A28" s="1" t="inlineStr">
        <is>
          <t>Ridge height</t>
        </is>
      </c>
      <c r="B28" s="1" t="inlineStr">
        <is>
          <t>A_ridge</t>
        </is>
      </c>
      <c r="C28" s="3" t="n">
        <v>350</v>
      </c>
      <c r="D28" s="1" t="inlineStr">
        <is>
          <t>m</t>
        </is>
      </c>
      <c r="E28" s="1" t="inlineStr">
        <is>
          <t>Positive height for a representative double-ridge / raised band.</t>
        </is>
      </c>
    </row>
    <row r="29">
      <c r="A29" s="1" t="inlineStr">
        <is>
          <t>Ridge center x</t>
        </is>
      </c>
      <c r="B29" s="1" t="inlineStr">
        <is>
          <t>ridge_x0</t>
        </is>
      </c>
      <c r="C29" s="3" t="n">
        <v>0</v>
      </c>
      <c r="D29" s="1" t="inlineStr">
        <is>
          <t>km</t>
        </is>
      </c>
      <c r="E29" s="1" t="inlineStr">
        <is>
          <t>Along-track center of the ridge.</t>
        </is>
      </c>
    </row>
    <row r="30">
      <c r="A30" s="1" t="inlineStr">
        <is>
          <t>Ridge center y</t>
        </is>
      </c>
      <c r="B30" s="1" t="inlineStr">
        <is>
          <t>ridge_y0</t>
        </is>
      </c>
      <c r="C30" s="3" t="n">
        <v>25</v>
      </c>
      <c r="D30" s="1" t="inlineStr">
        <is>
          <t>km</t>
        </is>
      </c>
      <c r="E30" s="1" t="inlineStr">
        <is>
          <t>Cross-track center of the ridge.</t>
        </is>
      </c>
    </row>
    <row r="31">
      <c r="A31" s="1" t="inlineStr">
        <is>
          <t>Ridge length sigma</t>
        </is>
      </c>
      <c r="B31" s="1" t="inlineStr">
        <is>
          <t>ridge_sigma_x</t>
        </is>
      </c>
      <c r="C31" s="3" t="n">
        <v>24</v>
      </c>
      <c r="D31" s="1" t="inlineStr">
        <is>
          <t>km</t>
        </is>
      </c>
      <c r="E31" s="1" t="inlineStr">
        <is>
          <t>Long direction of the ridge feature.</t>
        </is>
      </c>
    </row>
    <row r="32">
      <c r="A32" s="1" t="inlineStr">
        <is>
          <t>Ridge width sigma</t>
        </is>
      </c>
      <c r="B32" s="1" t="inlineStr">
        <is>
          <t>ridge_sigma_y</t>
        </is>
      </c>
      <c r="C32" s="3" t="n">
        <v>3.5</v>
      </c>
      <c r="D32" s="1" t="inlineStr">
        <is>
          <t>km</t>
        </is>
      </c>
      <c r="E32" s="1" t="inlineStr">
        <is>
          <t>Narrow cross-track width of the ridge.</t>
        </is>
      </c>
    </row>
    <row r="33">
      <c r="A33" s="1" t="inlineStr">
        <is>
          <t>Crater/depression depth</t>
        </is>
      </c>
      <c r="B33" s="1" t="inlineStr">
        <is>
          <t>D_crater</t>
        </is>
      </c>
      <c r="C33" s="3" t="n">
        <v>180</v>
      </c>
      <c r="D33" s="1" t="inlineStr">
        <is>
          <t>m</t>
        </is>
      </c>
      <c r="E33" s="1" t="inlineStr">
        <is>
          <t>Positive number becomes a negative depression in the surface model.</t>
        </is>
      </c>
    </row>
    <row r="34">
      <c r="A34" s="1" t="inlineStr">
        <is>
          <t>Crater center x</t>
        </is>
      </c>
      <c r="B34" s="1" t="inlineStr">
        <is>
          <t>crater_x0</t>
        </is>
      </c>
      <c r="C34" s="3" t="n">
        <v>-18</v>
      </c>
      <c r="D34" s="1" t="inlineStr">
        <is>
          <t>km</t>
        </is>
      </c>
      <c r="E34" s="1" t="inlineStr">
        <is>
          <t>Along-track center of depression.</t>
        </is>
      </c>
    </row>
    <row r="35">
      <c r="A35" s="1" t="inlineStr">
        <is>
          <t>Crater center y</t>
        </is>
      </c>
      <c r="B35" s="1" t="inlineStr">
        <is>
          <t>crater_y0</t>
        </is>
      </c>
      <c r="C35" s="3" t="n">
        <v>8</v>
      </c>
      <c r="D35" s="1" t="inlineStr">
        <is>
          <t>km</t>
        </is>
      </c>
      <c r="E35" s="1" t="inlineStr">
        <is>
          <t>Cross-track center of depression.</t>
        </is>
      </c>
    </row>
    <row r="36">
      <c r="A36" s="1" t="inlineStr">
        <is>
          <t>Crater width sigma</t>
        </is>
      </c>
      <c r="B36" s="1" t="inlineStr">
        <is>
          <t>crater_sigma</t>
        </is>
      </c>
      <c r="C36" s="3" t="n">
        <v>8</v>
      </c>
      <c r="D36" s="1" t="inlineStr">
        <is>
          <t>km</t>
        </is>
      </c>
      <c r="E36" s="1" t="inlineStr">
        <is>
          <t>Controls how broad the depression is.</t>
        </is>
      </c>
    </row>
    <row r="37">
      <c r="A37" s="1" t="inlineStr">
        <is>
          <t>Chaos amplitude</t>
        </is>
      </c>
      <c r="B37" s="1" t="inlineStr">
        <is>
          <t>A_chaos</t>
        </is>
      </c>
      <c r="C37" s="3" t="n">
        <v>65</v>
      </c>
      <c r="D37" s="1" t="inlineStr">
        <is>
          <t>m</t>
        </is>
      </c>
      <c r="E37" s="1" t="inlineStr">
        <is>
          <t>Mixed sinusoidal terrain term for irregular chaos-like height variation.</t>
        </is>
      </c>
    </row>
    <row r="38">
      <c r="A38" s="1" t="inlineStr">
        <is>
          <t>Fine roughness amplitude</t>
        </is>
      </c>
      <c r="B38" s="1" t="inlineStr">
        <is>
          <t>A_rough</t>
        </is>
      </c>
      <c r="C38" s="3" t="n">
        <v>35</v>
      </c>
      <c r="D38" s="1" t="inlineStr">
        <is>
          <t>m</t>
        </is>
      </c>
      <c r="E38" s="1" t="inlineStr">
        <is>
          <t>Smaller surface roughness term.</t>
        </is>
      </c>
    </row>
    <row r="39">
      <c r="A39" s="1" t="inlineStr">
        <is>
          <t>Roughness wavelength x</t>
        </is>
      </c>
      <c r="B39" s="1" t="inlineStr">
        <is>
          <t>Lx</t>
        </is>
      </c>
      <c r="C39" s="3" t="n">
        <v>18</v>
      </c>
      <c r="D39" s="1" t="inlineStr">
        <is>
          <t>km</t>
        </is>
      </c>
      <c r="E39" s="1" t="inlineStr">
        <is>
          <t>Along-track roughness wavelength.</t>
        </is>
      </c>
    </row>
    <row r="40">
      <c r="A40" s="1" t="inlineStr">
        <is>
          <t>Roughness wavelength y</t>
        </is>
      </c>
      <c r="B40" s="1" t="inlineStr">
        <is>
          <t>Ly</t>
        </is>
      </c>
      <c r="C40" s="3" t="n">
        <v>12</v>
      </c>
      <c r="D40" s="1" t="inlineStr">
        <is>
          <t>km</t>
        </is>
      </c>
      <c r="E40" s="1" t="inlineStr">
        <is>
          <t>Cross-track roughness wavelength.</t>
        </is>
      </c>
    </row>
    <row r="41">
      <c r="A41" s="1" t="inlineStr">
        <is>
          <t>Trough depth</t>
        </is>
      </c>
      <c r="B41" s="1" t="inlineStr">
        <is>
          <t>D_trough</t>
        </is>
      </c>
      <c r="C41" s="3" t="n">
        <v>120</v>
      </c>
      <c r="D41" s="1" t="inlineStr">
        <is>
          <t>m</t>
        </is>
      </c>
      <c r="E41" s="1" t="inlineStr">
        <is>
          <t>Negative linear feature, like a fracture/trough.</t>
        </is>
      </c>
    </row>
    <row r="42">
      <c r="A42" s="1" t="inlineStr">
        <is>
          <t>Trough center x</t>
        </is>
      </c>
      <c r="B42" s="1" t="inlineStr">
        <is>
          <t>trough_x0</t>
        </is>
      </c>
      <c r="C42" s="3" t="n">
        <v>12</v>
      </c>
      <c r="D42" s="1" t="inlineStr">
        <is>
          <t>km</t>
        </is>
      </c>
      <c r="E42" s="1" t="inlineStr">
        <is>
          <t>Along-track center of trough.</t>
        </is>
      </c>
    </row>
    <row r="43">
      <c r="A43" s="1" t="inlineStr">
        <is>
          <t>Trough center y</t>
        </is>
      </c>
      <c r="B43" s="1" t="inlineStr">
        <is>
          <t>trough_y0</t>
        </is>
      </c>
      <c r="C43" s="3" t="n">
        <v>-6</v>
      </c>
      <c r="D43" s="1" t="inlineStr">
        <is>
          <t>km</t>
        </is>
      </c>
      <c r="E43" s="1" t="inlineStr">
        <is>
          <t>Cross-track center of trough.</t>
        </is>
      </c>
    </row>
    <row r="44">
      <c r="A44" s="1" t="inlineStr">
        <is>
          <t>Trough width sigma</t>
        </is>
      </c>
      <c r="B44" s="1" t="inlineStr">
        <is>
          <t>trough_sigma_y</t>
        </is>
      </c>
      <c r="C44" s="3" t="n">
        <v>2.5</v>
      </c>
      <c r="D44" s="1" t="inlineStr">
        <is>
          <t>km</t>
        </is>
      </c>
      <c r="E44" s="1" t="inlineStr">
        <is>
          <t>Narrow width of trough.</t>
        </is>
      </c>
    </row>
    <row r="45">
      <c r="A45" s="1" t="inlineStr">
        <is>
          <t>Trough length sigma</t>
        </is>
      </c>
      <c r="B45" s="1" t="inlineStr">
        <is>
          <t>trough_sigma_x</t>
        </is>
      </c>
      <c r="C45" s="3" t="n">
        <v>38</v>
      </c>
      <c r="D45" s="1" t="inlineStr">
        <is>
          <t>km</t>
        </is>
      </c>
      <c r="E45" s="1" t="inlineStr">
        <is>
          <t>Long direction of trough.</t>
        </is>
      </c>
    </row>
    <row r="46">
      <c r="A46" s="1" t="inlineStr">
        <is>
          <t>Terrain vertical uncertainty</t>
        </is>
      </c>
      <c r="B46" s="1" t="inlineStr">
        <is>
          <t>sigma_h</t>
        </is>
      </c>
      <c r="C46" s="3" t="n">
        <v>75</v>
      </c>
      <c r="D46" s="1" t="inlineStr">
        <is>
          <t>m</t>
        </is>
      </c>
      <c r="E46" s="1" t="inlineStr">
        <is>
          <t>Representative uncertainty band for the topographic height model.</t>
        </is>
      </c>
    </row>
    <row r="47" ht="26.25" customHeight="1">
      <c r="A47" s="1" t="inlineStr">
        <is>
          <t>Terrain seed</t>
        </is>
      </c>
      <c r="B47" s="1" t="inlineStr">
        <is>
          <t>terrain_seed</t>
        </is>
      </c>
      <c r="C47" s="4" t="n">
        <v>7</v>
      </c>
      <c r="D47" s="1" t="n"/>
      <c r="E47" s="1" t="inlineStr">
        <is>
          <t>Change this number to generate a different repeatable random-looking surface. Same seed gives the same graphs.</t>
        </is>
      </c>
    </row>
    <row r="48">
      <c r="A48" s="1" t="inlineStr">
        <is>
          <t>Seeded random amplitude</t>
        </is>
      </c>
      <c r="B48" s="1" t="inlineStr">
        <is>
          <t>A_seeded</t>
        </is>
      </c>
      <c r="C48" s="3" t="n">
        <v>45</v>
      </c>
      <c r="D48" s="1" t="inlineStr">
        <is>
          <t>m</t>
        </is>
      </c>
      <c r="E48" s="1" t="inlineStr">
        <is>
          <t>Strength of the generated terrain added on top of the DEM-style surface.</t>
        </is>
      </c>
    </row>
    <row r="49">
      <c r="A49" s="1" t="inlineStr">
        <is>
          <t>Seeded random scale x</t>
        </is>
      </c>
      <c r="B49" s="1" t="inlineStr">
        <is>
          <t>L_seed_x</t>
        </is>
      </c>
      <c r="C49" s="3" t="n">
        <v>12</v>
      </c>
      <c r="D49" s="1" t="inlineStr">
        <is>
          <t>km</t>
        </is>
      </c>
      <c r="E49" s="1" t="inlineStr">
        <is>
          <t>Along-track scale for seeded terrain waves.</t>
        </is>
      </c>
    </row>
    <row r="50">
      <c r="A50" s="1" t="inlineStr">
        <is>
          <t>Seeded random scale y</t>
        </is>
      </c>
      <c r="B50" s="1" t="inlineStr">
        <is>
          <t>L_seed_y</t>
        </is>
      </c>
      <c r="C50" s="3" t="n">
        <v>9</v>
      </c>
      <c r="D50" s="1" t="inlineStr">
        <is>
          <t>km</t>
        </is>
      </c>
      <c r="E50" s="1" t="inlineStr">
        <is>
          <t>Cross-track scale for seeded terrain waves.</t>
        </is>
      </c>
    </row>
    <row r="51">
      <c r="A51" s="1" t="inlineStr">
        <is>
          <t>Existing DEM-style scale</t>
        </is>
      </c>
      <c r="B51" s="1" t="inlineStr">
        <is>
          <t>S_dem</t>
        </is>
      </c>
      <c r="C51" s="3" t="n">
        <v>1</v>
      </c>
      <c r="D51" s="1" t="n"/>
      <c r="E51" s="1" t="inlineStr">
        <is>
          <t>Multiplier for the project synthetic DEM pattern from reason_common.py.</t>
        </is>
      </c>
    </row>
    <row r="52">
      <c r="A52" s="1" t="inlineStr">
        <is>
          <t>Europa radius</t>
        </is>
      </c>
      <c r="B52" s="1" t="inlineStr">
        <is>
          <t>R_e</t>
        </is>
      </c>
      <c r="C52" s="3" t="n">
        <v>1560.8</v>
      </c>
      <c r="D52" s="1" t="inlineStr">
        <is>
          <t>km</t>
        </is>
      </c>
      <c r="E52" s="1" t="inlineStr">
        <is>
          <t>Europa mean radius used for spherical slant-range geometry.</t>
        </is>
      </c>
    </row>
    <row r="54" ht="13.9" customHeight="1">
      <c r="A54" s="28" t="inlineStr">
        <is>
          <t>Topography note</t>
        </is>
      </c>
      <c r="B54" s="30" t="inlineStr">
        <is>
          <t>This is a detailed representative terrain model, not a real imported Europa DEM. It now combines the local project synthetic DEM shape with a seed-controlled random terrain term so you can test multiple possible surfaces.</t>
        </is>
      </c>
      <c r="C54" s="40" t="n"/>
      <c r="D54" s="40" t="n"/>
      <c r="E54" s="41" t="n"/>
    </row>
  </sheetData>
  <mergeCells count="7">
    <mergeCell ref="B23:E23"/>
    <mergeCell ref="A25:E25"/>
    <mergeCell ref="A2:N2"/>
    <mergeCell ref="G11:N11"/>
    <mergeCell ref="B54:E54"/>
    <mergeCell ref="F4:N4"/>
    <mergeCell ref="A1:N1"/>
  </mergeCells>
  <dataValidations count="1">
    <dataValidation sqref="C27 F6:F9" showDropDown="0" showInputMessage="0" showErrorMessage="0" allowBlank="0" type="list">
      <formula1>"TRUE,FALSE"</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S242"/>
  <sheetViews>
    <sheetView showGridLines="0" workbookViewId="0">
      <selection activeCell="A1" sqref="A1"/>
    </sheetView>
  </sheetViews>
  <sheetFormatPr baseColWidth="8" defaultRowHeight="13.5"/>
  <cols>
    <col width="10" customWidth="1" min="1" max="2"/>
    <col width="12" customWidth="1" min="3" max="5"/>
    <col width="16" customWidth="1" min="6" max="6"/>
    <col width="14" customWidth="1" min="7" max="7"/>
    <col width="16" customWidth="1" min="8" max="8"/>
    <col width="14" customWidth="1" min="9" max="11"/>
    <col width="11" customWidth="1" min="12" max="12"/>
    <col width="10" customWidth="1" min="13" max="13"/>
    <col width="12" customWidth="1" min="14" max="14"/>
    <col width="14" customWidth="1" min="15" max="17"/>
    <col width="13" customWidth="1" min="18" max="21"/>
    <col width="16" customWidth="1" min="22" max="23"/>
    <col width="13" customWidth="1" min="24" max="25"/>
    <col width="15" customWidth="1" min="26" max="28"/>
    <col width="18" customWidth="1" min="29" max="30"/>
    <col width="16" customWidth="1" min="31" max="33"/>
    <col width="14" customWidth="1" min="34" max="34"/>
    <col width="20" customWidth="1" min="35" max="36"/>
    <col width="18" customWidth="1" min="37" max="43"/>
    <col width="16" customWidth="1" min="44" max="45"/>
  </cols>
  <sheetData>
    <row r="1" ht="26.25" customHeight="1">
      <c r="A1" s="2" t="inlineStr">
        <is>
          <t>x_km</t>
        </is>
      </c>
      <c r="B1" s="2" t="inlineStr">
        <is>
          <t>z_km</t>
        </is>
      </c>
      <c r="C1" s="2" t="inlineStr">
        <is>
          <t>R_nadir_km</t>
        </is>
      </c>
      <c r="D1" s="2" t="inlineStr">
        <is>
          <t>R_off_km</t>
        </is>
      </c>
      <c r="E1" s="2" t="inlineStr">
        <is>
          <t>Delta_R_m</t>
        </is>
      </c>
      <c r="F1" s="2" t="inlineStr">
        <is>
          <t>apparent_depth_m</t>
        </is>
      </c>
      <c r="G1" s="2" t="inlineStr">
        <is>
          <t>extra_delay_us</t>
        </is>
      </c>
      <c r="H1" s="2" t="inlineStr">
        <is>
          <t>horizontal_offset_km</t>
        </is>
      </c>
      <c r="I1" s="2" t="inlineStr">
        <is>
          <t>look_angle_deg</t>
        </is>
      </c>
      <c r="J1" s="2" t="inlineStr">
        <is>
          <t>vhf_phase_deg</t>
        </is>
      </c>
      <c r="K1" s="2" t="inlineStr">
        <is>
          <t>relative_power</t>
        </is>
      </c>
      <c r="L1" s="2" t="inlineStr">
        <is>
          <t>power_dB</t>
        </is>
      </c>
      <c r="M1" s="2" t="inlineStr">
        <is>
          <t>dz_dx</t>
        </is>
      </c>
      <c r="N1" s="2" t="inlineStr">
        <is>
          <t>dz_dt_km_s</t>
        </is>
      </c>
      <c r="O1" s="2" t="inlineStr">
        <is>
          <t>range_rate_m_s</t>
        </is>
      </c>
      <c r="P1" s="2" t="inlineStr">
        <is>
          <t>vhf_doppler_hz</t>
        </is>
      </c>
      <c r="Q1" s="2" t="inlineStr">
        <is>
          <t>hf_doppler_hz</t>
        </is>
      </c>
      <c r="R1" s="2" t="inlineStr">
        <is>
          <t>vhf_band_low_m</t>
        </is>
      </c>
      <c r="S1" s="2" t="inlineStr">
        <is>
          <t>vhf_band_high_m</t>
        </is>
      </c>
      <c r="T1" s="2" t="inlineStr">
        <is>
          <t>hf_band_low_m</t>
        </is>
      </c>
      <c r="U1" s="2" t="inlineStr">
        <is>
          <t>hf_band_high_m</t>
        </is>
      </c>
      <c r="V1" s="2" t="inlineStr">
        <is>
          <t>abs_vhf_doppler_hz</t>
        </is>
      </c>
      <c r="W1" s="2" t="inlineStr">
        <is>
          <t>abs_hf_doppler_hz</t>
        </is>
      </c>
      <c r="X1" s="2" t="inlineStr">
        <is>
          <t>h_nadir_m</t>
        </is>
      </c>
      <c r="Y1" s="2" t="inlineStr">
        <is>
          <t>h_target_m</t>
        </is>
      </c>
      <c r="Z1" s="2" t="inlineStr">
        <is>
          <t>R_nadir_topo_km</t>
        </is>
      </c>
      <c r="AA1" s="2" t="inlineStr">
        <is>
          <t>R_off_topo_km</t>
        </is>
      </c>
      <c r="AB1" s="2" t="inlineStr">
        <is>
          <t>Delta_R_topo_m</t>
        </is>
      </c>
      <c r="AC1" s="2" t="inlineStr">
        <is>
          <t>apparent_depth_topo_m</t>
        </is>
      </c>
      <c r="AD1" s="2" t="inlineStr">
        <is>
          <t>extra_delay_topo_us</t>
        </is>
      </c>
      <c r="AE1" s="2" t="inlineStr">
        <is>
          <t>look_angle_topo_deg</t>
        </is>
      </c>
      <c r="AF1" s="2" t="inlineStr">
        <is>
          <t>vhf_phase_topo_deg</t>
        </is>
      </c>
      <c r="AG1" s="2" t="inlineStr">
        <is>
          <t>relative_power_topo</t>
        </is>
      </c>
      <c r="AH1" s="2" t="inlineStr">
        <is>
          <t>power_dB_topo</t>
        </is>
      </c>
      <c r="AI1" s="2" t="inlineStr">
        <is>
          <t>depth_change_topo_minus_flat_m</t>
        </is>
      </c>
      <c r="AJ1" s="2" t="inlineStr">
        <is>
          <t>delay_change_topo_minus_flat_us</t>
        </is>
      </c>
      <c r="AK1" s="2" t="inlineStr">
        <is>
          <t>target_minus_nadir_height_m</t>
        </is>
      </c>
      <c r="AL1" s="2" t="inlineStr">
        <is>
          <t>range_rate_topo_m_s</t>
        </is>
      </c>
      <c r="AM1" s="2" t="inlineStr">
        <is>
          <t>vhf_doppler_topo_hz</t>
        </is>
      </c>
      <c r="AN1" s="2" t="inlineStr">
        <is>
          <t>hf_doppler_topo_hz</t>
        </is>
      </c>
      <c r="AO1" s="2" t="inlineStr">
        <is>
          <t>abs_vhf_doppler_topo_hz</t>
        </is>
      </c>
      <c r="AP1" s="2" t="inlineStr">
        <is>
          <t>abs_hf_doppler_topo_hz</t>
        </is>
      </c>
      <c r="AQ1" s="2" t="inlineStr">
        <is>
          <t>topo_depth_uncertainty_m</t>
        </is>
      </c>
      <c r="AR1" s="2" t="inlineStr">
        <is>
          <t>topo_depth_low_m</t>
        </is>
      </c>
      <c r="AS1" s="2" t="inlineStr">
        <is>
          <t>topo_depth_high_m</t>
        </is>
      </c>
    </row>
    <row r="2">
      <c r="A2" s="9">
        <f>Inputs!$C$7+0*(Inputs!$C$8-Inputs!$C$7)/240</f>
        <v/>
      </c>
      <c r="B2" s="9">
        <f>Inputs!$C$5+Inputs!$C$9*(A2/Inputs!$C$10)^2</f>
        <v/>
      </c>
      <c r="C2" s="9">
        <f>B2</f>
        <v/>
      </c>
      <c r="D2" s="9">
        <f>SQRT((Inputs!$C$52+B2)^2+Inputs!$C$52^2-2*(Inputs!$C$52+B2)*Inputs!$C$52*COS(SQRT(A2^2+Inputs!$C$6^2)/Inputs!$C$52))</f>
        <v/>
      </c>
      <c r="E2" s="9">
        <f>(D2-C2)*1000</f>
        <v/>
      </c>
      <c r="F2" s="9">
        <f>E2/Inputs!$C$12</f>
        <v/>
      </c>
      <c r="G2" s="9">
        <f>2*E2/Inputs!$C$21*1000000</f>
        <v/>
      </c>
      <c r="H2" s="9">
        <f>SQRT(A2^2+Inputs!$C$6^2)</f>
        <v/>
      </c>
      <c r="I2" s="9">
        <f>DEGREES(ATAN(H2/B2))</f>
        <v/>
      </c>
      <c r="J2" s="9">
        <f>DEGREES((2*PI()/Inputs!$C$13)*Inputs!$C$15*SIN(RADIANS(I2)))</f>
        <v/>
      </c>
      <c r="K2" s="9">
        <f>(C2/D2)^4</f>
        <v/>
      </c>
      <c r="L2" s="9">
        <f>10*LOG10(K2)</f>
        <v/>
      </c>
      <c r="M2" s="9">
        <f>2*(Inputs!$C$9/(Inputs!$C$10^2))*A2</f>
        <v/>
      </c>
      <c r="N2" s="9">
        <f>M2*Inputs!$C$11</f>
        <v/>
      </c>
      <c r="O2" s="9">
        <f>1000*(D3-D2)/(A3-A2)*Inputs!$C$11</f>
        <v/>
      </c>
      <c r="P2" s="9">
        <f>-2*O2/Inputs!$C$13</f>
        <v/>
      </c>
      <c r="Q2" s="9">
        <f>-2*O2/Inputs!$C$14</f>
        <v/>
      </c>
      <c r="R2" s="9">
        <f>F2-Inputs!$C$16/2</f>
        <v/>
      </c>
      <c r="S2" s="9">
        <f>F2+Inputs!$C$16/2</f>
        <v/>
      </c>
      <c r="T2" s="9">
        <f>F2-Inputs!$C$17/2</f>
        <v/>
      </c>
      <c r="U2" s="9">
        <f>F2+Inputs!$C$17/2</f>
        <v/>
      </c>
      <c r="V2" s="9">
        <f>ABS(P2)</f>
        <v/>
      </c>
      <c r="W2" s="9">
        <f>ABS(Q2)</f>
        <v/>
      </c>
      <c r="X2" s="9">
        <f>IF(OR(Inputs!$C$27=TRUE,Inputs!$C$27="TRUE",Inputs!$C$27=1),1,0)*(Inputs!$C$51*(115*EXP(-(((0)-25)^2)/(4.5^2))+70*EXP(-(((0)+38)^2)/(7^2))*(0.55+0.45*SIN(2*PI()*(A2)/45))+24*SIN(2*PI()*(0)/9+(A2)/18)*EXP(-(((0)+5)^2)/(22^2))+18*SIN(2*PI()*(A2)/70))+Inputs!$C$28*EXP(-(((A2)-Inputs!$C$29)^2)/(2*Inputs!$C$31^2))*EXP(-(((0)-Inputs!$C$30)^2)/(2*Inputs!$C$32^2))+-Inputs!$C$33*EXP(-(((((A2)-Inputs!$C$34)^2)+(((0)-Inputs!$C$35)^2))/(2*Inputs!$C$36^2)))+Inputs!$C$37*(0.55*SIN(2*PI()*(A2)/Inputs!$C$39)+0.35*COS(2*PI()*(0)/Inputs!$C$40)+0.2*SIN(2*PI()*((A2)+(0))/(0.5*(Inputs!$C$39+Inputs!$C$40))))+Inputs!$C$38*SIN(2*PI()*(A2)/Inputs!$C$39)*SIN(2*PI()*(0)/Inputs!$C$40)+-Inputs!$C$41*EXP(-(((0)-Inputs!$C$43)^2)/(2*Inputs!$C$44^2))*EXP(-(((A2)-Inputs!$C$42)^2)/(2*Inputs!$C$45^2))+Inputs!$C$48*(0.7*(0.45*SIN(2*PI()*(((A2)/Inputs!$C$49)+Inputs!$C$47*0.137))+0.35*COS(2*PI()*(((0)/Inputs!$C$50)+Inputs!$C$47*0.173))+0.2*SIN(2*PI()*(((A2)+(0))/(0.5*(Inputs!$C$49+Inputs!$C$50))+Inputs!$C$47*0.097)))+0.3*(2*((SIN(((A2)*12.9898+(0)*78.233+Inputs!$C$47*37.719))*43758.5453)-INT((SIN(((A2)*12.9898+(0)*78.233+Inputs!$C$47*37.719))*43758.5453)))-1)))</f>
        <v/>
      </c>
      <c r="Y2" s="9">
        <f>IF(OR(Inputs!$C$27=TRUE,Inputs!$C$27="TRUE",Inputs!$C$27=1),1,0)*(Inputs!$C$51*(115*EXP(-(((Inputs!$C$6)-25)^2)/(4.5^2))+70*EXP(-(((Inputs!$C$6)+38)^2)/(7^2))*(0.55+0.45*SIN(2*PI()*(A2)/45))+24*SIN(2*PI()*(Inputs!$C$6)/9+(A2)/18)*EXP(-(((Inputs!$C$6)+5)^2)/(22^2))+18*SIN(2*PI()*(A2)/70))+Inputs!$C$28*EXP(-(((A2)-Inputs!$C$29)^2)/(2*Inputs!$C$31^2))*EXP(-(((Inputs!$C$6)-Inputs!$C$30)^2)/(2*Inputs!$C$32^2))+-Inputs!$C$33*EXP(-(((((A2)-Inputs!$C$34)^2)+(((Inputs!$C$6)-Inputs!$C$35)^2))/(2*Inputs!$C$36^2)))+Inputs!$C$37*(0.55*SIN(2*PI()*(A2)/Inputs!$C$39)+0.35*COS(2*PI()*(Inputs!$C$6)/Inputs!$C$40)+0.2*SIN(2*PI()*((A2)+(Inputs!$C$6))/(0.5*(Inputs!$C$39+Inputs!$C$40))))+Inputs!$C$38*SIN(2*PI()*(A2)/Inputs!$C$39)*SIN(2*PI()*(Inputs!$C$6)/Inputs!$C$40)+-Inputs!$C$41*EXP(-(((Inputs!$C$6)-Inputs!$C$43)^2)/(2*Inputs!$C$44^2))*EXP(-(((A2)-Inputs!$C$42)^2)/(2*Inputs!$C$45^2))+Inputs!$C$48*(0.7*(0.45*SIN(2*PI()*(((A2)/Inputs!$C$49)+Inputs!$C$47*0.137))+0.35*COS(2*PI()*(((Inputs!$C$6)/Inputs!$C$50)+Inputs!$C$47*0.173))+0.2*SIN(2*PI()*(((A2)+(Inputs!$C$6))/(0.5*(Inputs!$C$49+Inputs!$C$50))+Inputs!$C$47*0.097)))+0.3*(2*((SIN(((A2)*12.9898+(Inputs!$C$6)*78.233+Inputs!$C$47*37.719))*43758.5453)-INT((SIN(((A2)*12.9898+(Inputs!$C$6)*78.233+Inputs!$C$47*37.719))*43758.5453)))-1)))</f>
        <v/>
      </c>
      <c r="Z2" s="9">
        <f>B2-X2/1000</f>
        <v/>
      </c>
      <c r="AA2" s="9">
        <f>SQRT((Inputs!$C$52+B2)^2+(Inputs!$C$52+Y2/1000)^2-2*(Inputs!$C$52+B2)*(Inputs!$C$52+Y2/1000)*COS(SQRT(A2^2+Inputs!$C$6^2)/Inputs!$C$52))</f>
        <v/>
      </c>
      <c r="AB2" s="9">
        <f>(AA2-Z2)*1000</f>
        <v/>
      </c>
      <c r="AC2" s="9">
        <f>AB2/Inputs!$C$12</f>
        <v/>
      </c>
      <c r="AD2" s="9">
        <f>2*AB2/Inputs!$C$21*1000000</f>
        <v/>
      </c>
      <c r="AE2" s="9">
        <f>DEGREES(ATAN(H2/(B2-Y2/1000)))</f>
        <v/>
      </c>
      <c r="AF2" s="9">
        <f>DEGREES((2*PI()/Inputs!$C$13)*Inputs!$C$15*SIN(RADIANS(AE2)))</f>
        <v/>
      </c>
      <c r="AG2" s="9">
        <f>(Z2/AA2)^4</f>
        <v/>
      </c>
      <c r="AH2" s="9">
        <f>10*LOG10(AG2)</f>
        <v/>
      </c>
      <c r="AI2" s="9">
        <f>AC2-F2</f>
        <v/>
      </c>
      <c r="AJ2" s="9">
        <f>AD2-G2</f>
        <v/>
      </c>
      <c r="AK2" s="9">
        <f>Y2-X2</f>
        <v/>
      </c>
      <c r="AL2" s="9">
        <f>1000*(AA3-AA2)/(A3-A2)*Inputs!$C$11</f>
        <v/>
      </c>
      <c r="AM2" s="9">
        <f>-2*AL2/Inputs!$C$13</f>
        <v/>
      </c>
      <c r="AN2" s="9">
        <f>-2*AL2/Inputs!$C$14</f>
        <v/>
      </c>
      <c r="AO2" s="9">
        <f>ABS(AM2)</f>
        <v/>
      </c>
      <c r="AP2" s="9">
        <f>ABS(AN2)</f>
        <v/>
      </c>
      <c r="AQ2" s="9">
        <f>IF(OR(Inputs!$C$27=TRUE,Inputs!$C$27="TRUE",Inputs!$C$27=1),Inputs!$C$46/Inputs!$C$12,0)</f>
        <v/>
      </c>
      <c r="AR2" s="9">
        <f>AC2-AQ2</f>
        <v/>
      </c>
      <c r="AS2" s="9">
        <f>AC2+AQ2</f>
        <v/>
      </c>
    </row>
    <row r="3">
      <c r="A3" s="9">
        <f>Inputs!$C$7+1*(Inputs!$C$8-Inputs!$C$7)/240</f>
        <v/>
      </c>
      <c r="B3" s="9">
        <f>Inputs!$C$5+Inputs!$C$9*(A3/Inputs!$C$10)^2</f>
        <v/>
      </c>
      <c r="C3" s="9">
        <f>B3</f>
        <v/>
      </c>
      <c r="D3" s="9">
        <f>SQRT((Inputs!$C$52+B3)^2+Inputs!$C$52^2-2*(Inputs!$C$52+B3)*Inputs!$C$52*COS(SQRT(A3^2+Inputs!$C$6^2)/Inputs!$C$52))</f>
        <v/>
      </c>
      <c r="E3" s="9">
        <f>(D3-C3)*1000</f>
        <v/>
      </c>
      <c r="F3" s="9">
        <f>E3/Inputs!$C$12</f>
        <v/>
      </c>
      <c r="G3" s="9">
        <f>2*E3/Inputs!$C$21*1000000</f>
        <v/>
      </c>
      <c r="H3" s="9">
        <f>SQRT(A3^2+Inputs!$C$6^2)</f>
        <v/>
      </c>
      <c r="I3" s="9">
        <f>DEGREES(ATAN(H3/B3))</f>
        <v/>
      </c>
      <c r="J3" s="9">
        <f>DEGREES((2*PI()/Inputs!$C$13)*Inputs!$C$15*SIN(RADIANS(I3)))</f>
        <v/>
      </c>
      <c r="K3" s="9">
        <f>(C3/D3)^4</f>
        <v/>
      </c>
      <c r="L3" s="9">
        <f>10*LOG10(K3)</f>
        <v/>
      </c>
      <c r="M3" s="9">
        <f>2*(Inputs!$C$9/(Inputs!$C$10^2))*A3</f>
        <v/>
      </c>
      <c r="N3" s="9">
        <f>M3*Inputs!$C$11</f>
        <v/>
      </c>
      <c r="O3" s="9">
        <f>1000*(D4-D2)/(A4-A2)*Inputs!$C$11</f>
        <v/>
      </c>
      <c r="P3" s="9">
        <f>-2*O3/Inputs!$C$13</f>
        <v/>
      </c>
      <c r="Q3" s="9">
        <f>-2*O3/Inputs!$C$14</f>
        <v/>
      </c>
      <c r="R3" s="9">
        <f>F3-Inputs!$C$16/2</f>
        <v/>
      </c>
      <c r="S3" s="9">
        <f>F3+Inputs!$C$16/2</f>
        <v/>
      </c>
      <c r="T3" s="9">
        <f>F3-Inputs!$C$17/2</f>
        <v/>
      </c>
      <c r="U3" s="9">
        <f>F3+Inputs!$C$17/2</f>
        <v/>
      </c>
      <c r="V3" s="9">
        <f>ABS(P3)</f>
        <v/>
      </c>
      <c r="W3" s="9">
        <f>ABS(Q3)</f>
        <v/>
      </c>
      <c r="X3" s="9">
        <f>IF(OR(Inputs!$C$27=TRUE,Inputs!$C$27="TRUE",Inputs!$C$27=1),1,0)*(Inputs!$C$51*(115*EXP(-(((0)-25)^2)/(4.5^2))+70*EXP(-(((0)+38)^2)/(7^2))*(0.55+0.45*SIN(2*PI()*(A3)/45))+24*SIN(2*PI()*(0)/9+(A3)/18)*EXP(-(((0)+5)^2)/(22^2))+18*SIN(2*PI()*(A3)/70))+Inputs!$C$28*EXP(-(((A3)-Inputs!$C$29)^2)/(2*Inputs!$C$31^2))*EXP(-(((0)-Inputs!$C$30)^2)/(2*Inputs!$C$32^2))+-Inputs!$C$33*EXP(-(((((A3)-Inputs!$C$34)^2)+(((0)-Inputs!$C$35)^2))/(2*Inputs!$C$36^2)))+Inputs!$C$37*(0.55*SIN(2*PI()*(A3)/Inputs!$C$39)+0.35*COS(2*PI()*(0)/Inputs!$C$40)+0.2*SIN(2*PI()*((A3)+(0))/(0.5*(Inputs!$C$39+Inputs!$C$40))))+Inputs!$C$38*SIN(2*PI()*(A3)/Inputs!$C$39)*SIN(2*PI()*(0)/Inputs!$C$40)+-Inputs!$C$41*EXP(-(((0)-Inputs!$C$43)^2)/(2*Inputs!$C$44^2))*EXP(-(((A3)-Inputs!$C$42)^2)/(2*Inputs!$C$45^2))+Inputs!$C$48*(0.7*(0.45*SIN(2*PI()*(((A3)/Inputs!$C$49)+Inputs!$C$47*0.137))+0.35*COS(2*PI()*(((0)/Inputs!$C$50)+Inputs!$C$47*0.173))+0.2*SIN(2*PI()*(((A3)+(0))/(0.5*(Inputs!$C$49+Inputs!$C$50))+Inputs!$C$47*0.097)))+0.3*(2*((SIN(((A3)*12.9898+(0)*78.233+Inputs!$C$47*37.719))*43758.5453)-INT((SIN(((A3)*12.9898+(0)*78.233+Inputs!$C$47*37.719))*43758.5453)))-1)))</f>
        <v/>
      </c>
      <c r="Y3" s="9">
        <f>IF(OR(Inputs!$C$27=TRUE,Inputs!$C$27="TRUE",Inputs!$C$27=1),1,0)*(Inputs!$C$51*(115*EXP(-(((Inputs!$C$6)-25)^2)/(4.5^2))+70*EXP(-(((Inputs!$C$6)+38)^2)/(7^2))*(0.55+0.45*SIN(2*PI()*(A3)/45))+24*SIN(2*PI()*(Inputs!$C$6)/9+(A3)/18)*EXP(-(((Inputs!$C$6)+5)^2)/(22^2))+18*SIN(2*PI()*(A3)/70))+Inputs!$C$28*EXP(-(((A3)-Inputs!$C$29)^2)/(2*Inputs!$C$31^2))*EXP(-(((Inputs!$C$6)-Inputs!$C$30)^2)/(2*Inputs!$C$32^2))+-Inputs!$C$33*EXP(-(((((A3)-Inputs!$C$34)^2)+(((Inputs!$C$6)-Inputs!$C$35)^2))/(2*Inputs!$C$36^2)))+Inputs!$C$37*(0.55*SIN(2*PI()*(A3)/Inputs!$C$39)+0.35*COS(2*PI()*(Inputs!$C$6)/Inputs!$C$40)+0.2*SIN(2*PI()*((A3)+(Inputs!$C$6))/(0.5*(Inputs!$C$39+Inputs!$C$40))))+Inputs!$C$38*SIN(2*PI()*(A3)/Inputs!$C$39)*SIN(2*PI()*(Inputs!$C$6)/Inputs!$C$40)+-Inputs!$C$41*EXP(-(((Inputs!$C$6)-Inputs!$C$43)^2)/(2*Inputs!$C$44^2))*EXP(-(((A3)-Inputs!$C$42)^2)/(2*Inputs!$C$45^2))+Inputs!$C$48*(0.7*(0.45*SIN(2*PI()*(((A3)/Inputs!$C$49)+Inputs!$C$47*0.137))+0.35*COS(2*PI()*(((Inputs!$C$6)/Inputs!$C$50)+Inputs!$C$47*0.173))+0.2*SIN(2*PI()*(((A3)+(Inputs!$C$6))/(0.5*(Inputs!$C$49+Inputs!$C$50))+Inputs!$C$47*0.097)))+0.3*(2*((SIN(((A3)*12.9898+(Inputs!$C$6)*78.233+Inputs!$C$47*37.719))*43758.5453)-INT((SIN(((A3)*12.9898+(Inputs!$C$6)*78.233+Inputs!$C$47*37.719))*43758.5453)))-1)))</f>
        <v/>
      </c>
      <c r="Z3" s="9">
        <f>B3-X3/1000</f>
        <v/>
      </c>
      <c r="AA3" s="9">
        <f>SQRT((Inputs!$C$52+B3)^2+(Inputs!$C$52+Y3/1000)^2-2*(Inputs!$C$52+B3)*(Inputs!$C$52+Y3/1000)*COS(SQRT(A3^2+Inputs!$C$6^2)/Inputs!$C$52))</f>
        <v/>
      </c>
      <c r="AB3" s="9">
        <f>(AA3-Z3)*1000</f>
        <v/>
      </c>
      <c r="AC3" s="9">
        <f>AB3/Inputs!$C$12</f>
        <v/>
      </c>
      <c r="AD3" s="9">
        <f>2*AB3/Inputs!$C$21*1000000</f>
        <v/>
      </c>
      <c r="AE3" s="9">
        <f>DEGREES(ATAN(H3/(B3-Y3/1000)))</f>
        <v/>
      </c>
      <c r="AF3" s="9">
        <f>DEGREES((2*PI()/Inputs!$C$13)*Inputs!$C$15*SIN(RADIANS(AE3)))</f>
        <v/>
      </c>
      <c r="AG3" s="9">
        <f>(Z3/AA3)^4</f>
        <v/>
      </c>
      <c r="AH3" s="9">
        <f>10*LOG10(AG3)</f>
        <v/>
      </c>
      <c r="AI3" s="9">
        <f>AC3-F3</f>
        <v/>
      </c>
      <c r="AJ3" s="9">
        <f>AD3-G3</f>
        <v/>
      </c>
      <c r="AK3" s="9">
        <f>Y3-X3</f>
        <v/>
      </c>
      <c r="AL3" s="9">
        <f>1000*(AA4-AA2)/(A4-A2)*Inputs!$C$11</f>
        <v/>
      </c>
      <c r="AM3" s="9">
        <f>-2*AL3/Inputs!$C$13</f>
        <v/>
      </c>
      <c r="AN3" s="9">
        <f>-2*AL3/Inputs!$C$14</f>
        <v/>
      </c>
      <c r="AO3" s="9">
        <f>ABS(AM3)</f>
        <v/>
      </c>
      <c r="AP3" s="9">
        <f>ABS(AN3)</f>
        <v/>
      </c>
      <c r="AQ3" s="9">
        <f>IF(OR(Inputs!$C$27=TRUE,Inputs!$C$27="TRUE",Inputs!$C$27=1),Inputs!$C$46/Inputs!$C$12,0)</f>
        <v/>
      </c>
      <c r="AR3" s="9">
        <f>AC3-AQ3</f>
        <v/>
      </c>
      <c r="AS3" s="9">
        <f>AC3+AQ3</f>
        <v/>
      </c>
    </row>
    <row r="4">
      <c r="A4" s="9">
        <f>Inputs!$C$7+2*(Inputs!$C$8-Inputs!$C$7)/240</f>
        <v/>
      </c>
      <c r="B4" s="9">
        <f>Inputs!$C$5+Inputs!$C$9*(A4/Inputs!$C$10)^2</f>
        <v/>
      </c>
      <c r="C4" s="9">
        <f>B4</f>
        <v/>
      </c>
      <c r="D4" s="9">
        <f>SQRT((Inputs!$C$52+B4)^2+Inputs!$C$52^2-2*(Inputs!$C$52+B4)*Inputs!$C$52*COS(SQRT(A4^2+Inputs!$C$6^2)/Inputs!$C$52))</f>
        <v/>
      </c>
      <c r="E4" s="9">
        <f>(D4-C4)*1000</f>
        <v/>
      </c>
      <c r="F4" s="9">
        <f>E4/Inputs!$C$12</f>
        <v/>
      </c>
      <c r="G4" s="9">
        <f>2*E4/Inputs!$C$21*1000000</f>
        <v/>
      </c>
      <c r="H4" s="9">
        <f>SQRT(A4^2+Inputs!$C$6^2)</f>
        <v/>
      </c>
      <c r="I4" s="9">
        <f>DEGREES(ATAN(H4/B4))</f>
        <v/>
      </c>
      <c r="J4" s="9">
        <f>DEGREES((2*PI()/Inputs!$C$13)*Inputs!$C$15*SIN(RADIANS(I4)))</f>
        <v/>
      </c>
      <c r="K4" s="9">
        <f>(C4/D4)^4</f>
        <v/>
      </c>
      <c r="L4" s="9">
        <f>10*LOG10(K4)</f>
        <v/>
      </c>
      <c r="M4" s="9">
        <f>2*(Inputs!$C$9/(Inputs!$C$10^2))*A4</f>
        <v/>
      </c>
      <c r="N4" s="9">
        <f>M4*Inputs!$C$11</f>
        <v/>
      </c>
      <c r="O4" s="9">
        <f>1000*(D5-D3)/(A5-A3)*Inputs!$C$11</f>
        <v/>
      </c>
      <c r="P4" s="9">
        <f>-2*O4/Inputs!$C$13</f>
        <v/>
      </c>
      <c r="Q4" s="9">
        <f>-2*O4/Inputs!$C$14</f>
        <v/>
      </c>
      <c r="R4" s="9">
        <f>F4-Inputs!$C$16/2</f>
        <v/>
      </c>
      <c r="S4" s="9">
        <f>F4+Inputs!$C$16/2</f>
        <v/>
      </c>
      <c r="T4" s="9">
        <f>F4-Inputs!$C$17/2</f>
        <v/>
      </c>
      <c r="U4" s="9">
        <f>F4+Inputs!$C$17/2</f>
        <v/>
      </c>
      <c r="V4" s="9">
        <f>ABS(P4)</f>
        <v/>
      </c>
      <c r="W4" s="9">
        <f>ABS(Q4)</f>
        <v/>
      </c>
      <c r="X4" s="9">
        <f>IF(OR(Inputs!$C$27=TRUE,Inputs!$C$27="TRUE",Inputs!$C$27=1),1,0)*(Inputs!$C$51*(115*EXP(-(((0)-25)^2)/(4.5^2))+70*EXP(-(((0)+38)^2)/(7^2))*(0.55+0.45*SIN(2*PI()*(A4)/45))+24*SIN(2*PI()*(0)/9+(A4)/18)*EXP(-(((0)+5)^2)/(22^2))+18*SIN(2*PI()*(A4)/70))+Inputs!$C$28*EXP(-(((A4)-Inputs!$C$29)^2)/(2*Inputs!$C$31^2))*EXP(-(((0)-Inputs!$C$30)^2)/(2*Inputs!$C$32^2))+-Inputs!$C$33*EXP(-(((((A4)-Inputs!$C$34)^2)+(((0)-Inputs!$C$35)^2))/(2*Inputs!$C$36^2)))+Inputs!$C$37*(0.55*SIN(2*PI()*(A4)/Inputs!$C$39)+0.35*COS(2*PI()*(0)/Inputs!$C$40)+0.2*SIN(2*PI()*((A4)+(0))/(0.5*(Inputs!$C$39+Inputs!$C$40))))+Inputs!$C$38*SIN(2*PI()*(A4)/Inputs!$C$39)*SIN(2*PI()*(0)/Inputs!$C$40)+-Inputs!$C$41*EXP(-(((0)-Inputs!$C$43)^2)/(2*Inputs!$C$44^2))*EXP(-(((A4)-Inputs!$C$42)^2)/(2*Inputs!$C$45^2))+Inputs!$C$48*(0.7*(0.45*SIN(2*PI()*(((A4)/Inputs!$C$49)+Inputs!$C$47*0.137))+0.35*COS(2*PI()*(((0)/Inputs!$C$50)+Inputs!$C$47*0.173))+0.2*SIN(2*PI()*(((A4)+(0))/(0.5*(Inputs!$C$49+Inputs!$C$50))+Inputs!$C$47*0.097)))+0.3*(2*((SIN(((A4)*12.9898+(0)*78.233+Inputs!$C$47*37.719))*43758.5453)-INT((SIN(((A4)*12.9898+(0)*78.233+Inputs!$C$47*37.719))*43758.5453)))-1)))</f>
        <v/>
      </c>
      <c r="Y4" s="9">
        <f>IF(OR(Inputs!$C$27=TRUE,Inputs!$C$27="TRUE",Inputs!$C$27=1),1,0)*(Inputs!$C$51*(115*EXP(-(((Inputs!$C$6)-25)^2)/(4.5^2))+70*EXP(-(((Inputs!$C$6)+38)^2)/(7^2))*(0.55+0.45*SIN(2*PI()*(A4)/45))+24*SIN(2*PI()*(Inputs!$C$6)/9+(A4)/18)*EXP(-(((Inputs!$C$6)+5)^2)/(22^2))+18*SIN(2*PI()*(A4)/70))+Inputs!$C$28*EXP(-(((A4)-Inputs!$C$29)^2)/(2*Inputs!$C$31^2))*EXP(-(((Inputs!$C$6)-Inputs!$C$30)^2)/(2*Inputs!$C$32^2))+-Inputs!$C$33*EXP(-(((((A4)-Inputs!$C$34)^2)+(((Inputs!$C$6)-Inputs!$C$35)^2))/(2*Inputs!$C$36^2)))+Inputs!$C$37*(0.55*SIN(2*PI()*(A4)/Inputs!$C$39)+0.35*COS(2*PI()*(Inputs!$C$6)/Inputs!$C$40)+0.2*SIN(2*PI()*((A4)+(Inputs!$C$6))/(0.5*(Inputs!$C$39+Inputs!$C$40))))+Inputs!$C$38*SIN(2*PI()*(A4)/Inputs!$C$39)*SIN(2*PI()*(Inputs!$C$6)/Inputs!$C$40)+-Inputs!$C$41*EXP(-(((Inputs!$C$6)-Inputs!$C$43)^2)/(2*Inputs!$C$44^2))*EXP(-(((A4)-Inputs!$C$42)^2)/(2*Inputs!$C$45^2))+Inputs!$C$48*(0.7*(0.45*SIN(2*PI()*(((A4)/Inputs!$C$49)+Inputs!$C$47*0.137))+0.35*COS(2*PI()*(((Inputs!$C$6)/Inputs!$C$50)+Inputs!$C$47*0.173))+0.2*SIN(2*PI()*(((A4)+(Inputs!$C$6))/(0.5*(Inputs!$C$49+Inputs!$C$50))+Inputs!$C$47*0.097)))+0.3*(2*((SIN(((A4)*12.9898+(Inputs!$C$6)*78.233+Inputs!$C$47*37.719))*43758.5453)-INT((SIN(((A4)*12.9898+(Inputs!$C$6)*78.233+Inputs!$C$47*37.719))*43758.5453)))-1)))</f>
        <v/>
      </c>
      <c r="Z4" s="9">
        <f>B4-X4/1000</f>
        <v/>
      </c>
      <c r="AA4" s="9">
        <f>SQRT((Inputs!$C$52+B4)^2+(Inputs!$C$52+Y4/1000)^2-2*(Inputs!$C$52+B4)*(Inputs!$C$52+Y4/1000)*COS(SQRT(A4^2+Inputs!$C$6^2)/Inputs!$C$52))</f>
        <v/>
      </c>
      <c r="AB4" s="9">
        <f>(AA4-Z4)*1000</f>
        <v/>
      </c>
      <c r="AC4" s="9">
        <f>AB4/Inputs!$C$12</f>
        <v/>
      </c>
      <c r="AD4" s="9">
        <f>2*AB4/Inputs!$C$21*1000000</f>
        <v/>
      </c>
      <c r="AE4" s="9">
        <f>DEGREES(ATAN(H4/(B4-Y4/1000)))</f>
        <v/>
      </c>
      <c r="AF4" s="9">
        <f>DEGREES((2*PI()/Inputs!$C$13)*Inputs!$C$15*SIN(RADIANS(AE4)))</f>
        <v/>
      </c>
      <c r="AG4" s="9">
        <f>(Z4/AA4)^4</f>
        <v/>
      </c>
      <c r="AH4" s="9">
        <f>10*LOG10(AG4)</f>
        <v/>
      </c>
      <c r="AI4" s="9">
        <f>AC4-F4</f>
        <v/>
      </c>
      <c r="AJ4" s="9">
        <f>AD4-G4</f>
        <v/>
      </c>
      <c r="AK4" s="9">
        <f>Y4-X4</f>
        <v/>
      </c>
      <c r="AL4" s="9">
        <f>1000*(AA5-AA3)/(A5-A3)*Inputs!$C$11</f>
        <v/>
      </c>
      <c r="AM4" s="9">
        <f>-2*AL4/Inputs!$C$13</f>
        <v/>
      </c>
      <c r="AN4" s="9">
        <f>-2*AL4/Inputs!$C$14</f>
        <v/>
      </c>
      <c r="AO4" s="9">
        <f>ABS(AM4)</f>
        <v/>
      </c>
      <c r="AP4" s="9">
        <f>ABS(AN4)</f>
        <v/>
      </c>
      <c r="AQ4" s="9">
        <f>IF(OR(Inputs!$C$27=TRUE,Inputs!$C$27="TRUE",Inputs!$C$27=1),Inputs!$C$46/Inputs!$C$12,0)</f>
        <v/>
      </c>
      <c r="AR4" s="9">
        <f>AC4-AQ4</f>
        <v/>
      </c>
      <c r="AS4" s="9">
        <f>AC4+AQ4</f>
        <v/>
      </c>
    </row>
    <row r="5">
      <c r="A5" s="9">
        <f>Inputs!$C$7+3*(Inputs!$C$8-Inputs!$C$7)/240</f>
        <v/>
      </c>
      <c r="B5" s="9">
        <f>Inputs!$C$5+Inputs!$C$9*(A5/Inputs!$C$10)^2</f>
        <v/>
      </c>
      <c r="C5" s="9">
        <f>B5</f>
        <v/>
      </c>
      <c r="D5" s="9">
        <f>SQRT((Inputs!$C$52+B5)^2+Inputs!$C$52^2-2*(Inputs!$C$52+B5)*Inputs!$C$52*COS(SQRT(A5^2+Inputs!$C$6^2)/Inputs!$C$52))</f>
        <v/>
      </c>
      <c r="E5" s="9">
        <f>(D5-C5)*1000</f>
        <v/>
      </c>
      <c r="F5" s="9">
        <f>E5/Inputs!$C$12</f>
        <v/>
      </c>
      <c r="G5" s="9">
        <f>2*E5/Inputs!$C$21*1000000</f>
        <v/>
      </c>
      <c r="H5" s="9">
        <f>SQRT(A5^2+Inputs!$C$6^2)</f>
        <v/>
      </c>
      <c r="I5" s="9">
        <f>DEGREES(ATAN(H5/B5))</f>
        <v/>
      </c>
      <c r="J5" s="9">
        <f>DEGREES((2*PI()/Inputs!$C$13)*Inputs!$C$15*SIN(RADIANS(I5)))</f>
        <v/>
      </c>
      <c r="K5" s="9">
        <f>(C5/D5)^4</f>
        <v/>
      </c>
      <c r="L5" s="9">
        <f>10*LOG10(K5)</f>
        <v/>
      </c>
      <c r="M5" s="9">
        <f>2*(Inputs!$C$9/(Inputs!$C$10^2))*A5</f>
        <v/>
      </c>
      <c r="N5" s="9">
        <f>M5*Inputs!$C$11</f>
        <v/>
      </c>
      <c r="O5" s="9">
        <f>1000*(D6-D4)/(A6-A4)*Inputs!$C$11</f>
        <v/>
      </c>
      <c r="P5" s="9">
        <f>-2*O5/Inputs!$C$13</f>
        <v/>
      </c>
      <c r="Q5" s="9">
        <f>-2*O5/Inputs!$C$14</f>
        <v/>
      </c>
      <c r="R5" s="9">
        <f>F5-Inputs!$C$16/2</f>
        <v/>
      </c>
      <c r="S5" s="9">
        <f>F5+Inputs!$C$16/2</f>
        <v/>
      </c>
      <c r="T5" s="9">
        <f>F5-Inputs!$C$17/2</f>
        <v/>
      </c>
      <c r="U5" s="9">
        <f>F5+Inputs!$C$17/2</f>
        <v/>
      </c>
      <c r="V5" s="9">
        <f>ABS(P5)</f>
        <v/>
      </c>
      <c r="W5" s="9">
        <f>ABS(Q5)</f>
        <v/>
      </c>
      <c r="X5" s="9">
        <f>IF(OR(Inputs!$C$27=TRUE,Inputs!$C$27="TRUE",Inputs!$C$27=1),1,0)*(Inputs!$C$51*(115*EXP(-(((0)-25)^2)/(4.5^2))+70*EXP(-(((0)+38)^2)/(7^2))*(0.55+0.45*SIN(2*PI()*(A5)/45))+24*SIN(2*PI()*(0)/9+(A5)/18)*EXP(-(((0)+5)^2)/(22^2))+18*SIN(2*PI()*(A5)/70))+Inputs!$C$28*EXP(-(((A5)-Inputs!$C$29)^2)/(2*Inputs!$C$31^2))*EXP(-(((0)-Inputs!$C$30)^2)/(2*Inputs!$C$32^2))+-Inputs!$C$33*EXP(-(((((A5)-Inputs!$C$34)^2)+(((0)-Inputs!$C$35)^2))/(2*Inputs!$C$36^2)))+Inputs!$C$37*(0.55*SIN(2*PI()*(A5)/Inputs!$C$39)+0.35*COS(2*PI()*(0)/Inputs!$C$40)+0.2*SIN(2*PI()*((A5)+(0))/(0.5*(Inputs!$C$39+Inputs!$C$40))))+Inputs!$C$38*SIN(2*PI()*(A5)/Inputs!$C$39)*SIN(2*PI()*(0)/Inputs!$C$40)+-Inputs!$C$41*EXP(-(((0)-Inputs!$C$43)^2)/(2*Inputs!$C$44^2))*EXP(-(((A5)-Inputs!$C$42)^2)/(2*Inputs!$C$45^2))+Inputs!$C$48*(0.7*(0.45*SIN(2*PI()*(((A5)/Inputs!$C$49)+Inputs!$C$47*0.137))+0.35*COS(2*PI()*(((0)/Inputs!$C$50)+Inputs!$C$47*0.173))+0.2*SIN(2*PI()*(((A5)+(0))/(0.5*(Inputs!$C$49+Inputs!$C$50))+Inputs!$C$47*0.097)))+0.3*(2*((SIN(((A5)*12.9898+(0)*78.233+Inputs!$C$47*37.719))*43758.5453)-INT((SIN(((A5)*12.9898+(0)*78.233+Inputs!$C$47*37.719))*43758.5453)))-1)))</f>
        <v/>
      </c>
      <c r="Y5" s="9">
        <f>IF(OR(Inputs!$C$27=TRUE,Inputs!$C$27="TRUE",Inputs!$C$27=1),1,0)*(Inputs!$C$51*(115*EXP(-(((Inputs!$C$6)-25)^2)/(4.5^2))+70*EXP(-(((Inputs!$C$6)+38)^2)/(7^2))*(0.55+0.45*SIN(2*PI()*(A5)/45))+24*SIN(2*PI()*(Inputs!$C$6)/9+(A5)/18)*EXP(-(((Inputs!$C$6)+5)^2)/(22^2))+18*SIN(2*PI()*(A5)/70))+Inputs!$C$28*EXP(-(((A5)-Inputs!$C$29)^2)/(2*Inputs!$C$31^2))*EXP(-(((Inputs!$C$6)-Inputs!$C$30)^2)/(2*Inputs!$C$32^2))+-Inputs!$C$33*EXP(-(((((A5)-Inputs!$C$34)^2)+(((Inputs!$C$6)-Inputs!$C$35)^2))/(2*Inputs!$C$36^2)))+Inputs!$C$37*(0.55*SIN(2*PI()*(A5)/Inputs!$C$39)+0.35*COS(2*PI()*(Inputs!$C$6)/Inputs!$C$40)+0.2*SIN(2*PI()*((A5)+(Inputs!$C$6))/(0.5*(Inputs!$C$39+Inputs!$C$40))))+Inputs!$C$38*SIN(2*PI()*(A5)/Inputs!$C$39)*SIN(2*PI()*(Inputs!$C$6)/Inputs!$C$40)+-Inputs!$C$41*EXP(-(((Inputs!$C$6)-Inputs!$C$43)^2)/(2*Inputs!$C$44^2))*EXP(-(((A5)-Inputs!$C$42)^2)/(2*Inputs!$C$45^2))+Inputs!$C$48*(0.7*(0.45*SIN(2*PI()*(((A5)/Inputs!$C$49)+Inputs!$C$47*0.137))+0.35*COS(2*PI()*(((Inputs!$C$6)/Inputs!$C$50)+Inputs!$C$47*0.173))+0.2*SIN(2*PI()*(((A5)+(Inputs!$C$6))/(0.5*(Inputs!$C$49+Inputs!$C$50))+Inputs!$C$47*0.097)))+0.3*(2*((SIN(((A5)*12.9898+(Inputs!$C$6)*78.233+Inputs!$C$47*37.719))*43758.5453)-INT((SIN(((A5)*12.9898+(Inputs!$C$6)*78.233+Inputs!$C$47*37.719))*43758.5453)))-1)))</f>
        <v/>
      </c>
      <c r="Z5" s="9">
        <f>B5-X5/1000</f>
        <v/>
      </c>
      <c r="AA5" s="9">
        <f>SQRT((Inputs!$C$52+B5)^2+(Inputs!$C$52+Y5/1000)^2-2*(Inputs!$C$52+B5)*(Inputs!$C$52+Y5/1000)*COS(SQRT(A5^2+Inputs!$C$6^2)/Inputs!$C$52))</f>
        <v/>
      </c>
      <c r="AB5" s="9">
        <f>(AA5-Z5)*1000</f>
        <v/>
      </c>
      <c r="AC5" s="9">
        <f>AB5/Inputs!$C$12</f>
        <v/>
      </c>
      <c r="AD5" s="9">
        <f>2*AB5/Inputs!$C$21*1000000</f>
        <v/>
      </c>
      <c r="AE5" s="9">
        <f>DEGREES(ATAN(H5/(B5-Y5/1000)))</f>
        <v/>
      </c>
      <c r="AF5" s="9">
        <f>DEGREES((2*PI()/Inputs!$C$13)*Inputs!$C$15*SIN(RADIANS(AE5)))</f>
        <v/>
      </c>
      <c r="AG5" s="9">
        <f>(Z5/AA5)^4</f>
        <v/>
      </c>
      <c r="AH5" s="9">
        <f>10*LOG10(AG5)</f>
        <v/>
      </c>
      <c r="AI5" s="9">
        <f>AC5-F5</f>
        <v/>
      </c>
      <c r="AJ5" s="9">
        <f>AD5-G5</f>
        <v/>
      </c>
      <c r="AK5" s="9">
        <f>Y5-X5</f>
        <v/>
      </c>
      <c r="AL5" s="9">
        <f>1000*(AA6-AA4)/(A6-A4)*Inputs!$C$11</f>
        <v/>
      </c>
      <c r="AM5" s="9">
        <f>-2*AL5/Inputs!$C$13</f>
        <v/>
      </c>
      <c r="AN5" s="9">
        <f>-2*AL5/Inputs!$C$14</f>
        <v/>
      </c>
      <c r="AO5" s="9">
        <f>ABS(AM5)</f>
        <v/>
      </c>
      <c r="AP5" s="9">
        <f>ABS(AN5)</f>
        <v/>
      </c>
      <c r="AQ5" s="9">
        <f>IF(OR(Inputs!$C$27=TRUE,Inputs!$C$27="TRUE",Inputs!$C$27=1),Inputs!$C$46/Inputs!$C$12,0)</f>
        <v/>
      </c>
      <c r="AR5" s="9">
        <f>AC5-AQ5</f>
        <v/>
      </c>
      <c r="AS5" s="9">
        <f>AC5+AQ5</f>
        <v/>
      </c>
    </row>
    <row r="6">
      <c r="A6" s="9">
        <f>Inputs!$C$7+4*(Inputs!$C$8-Inputs!$C$7)/240</f>
        <v/>
      </c>
      <c r="B6" s="9">
        <f>Inputs!$C$5+Inputs!$C$9*(A6/Inputs!$C$10)^2</f>
        <v/>
      </c>
      <c r="C6" s="9">
        <f>B6</f>
        <v/>
      </c>
      <c r="D6" s="9">
        <f>SQRT((Inputs!$C$52+B6)^2+Inputs!$C$52^2-2*(Inputs!$C$52+B6)*Inputs!$C$52*COS(SQRT(A6^2+Inputs!$C$6^2)/Inputs!$C$52))</f>
        <v/>
      </c>
      <c r="E6" s="9">
        <f>(D6-C6)*1000</f>
        <v/>
      </c>
      <c r="F6" s="9">
        <f>E6/Inputs!$C$12</f>
        <v/>
      </c>
      <c r="G6" s="9">
        <f>2*E6/Inputs!$C$21*1000000</f>
        <v/>
      </c>
      <c r="H6" s="9">
        <f>SQRT(A6^2+Inputs!$C$6^2)</f>
        <v/>
      </c>
      <c r="I6" s="9">
        <f>DEGREES(ATAN(H6/B6))</f>
        <v/>
      </c>
      <c r="J6" s="9">
        <f>DEGREES((2*PI()/Inputs!$C$13)*Inputs!$C$15*SIN(RADIANS(I6)))</f>
        <v/>
      </c>
      <c r="K6" s="9">
        <f>(C6/D6)^4</f>
        <v/>
      </c>
      <c r="L6" s="9">
        <f>10*LOG10(K6)</f>
        <v/>
      </c>
      <c r="M6" s="9">
        <f>2*(Inputs!$C$9/(Inputs!$C$10^2))*A6</f>
        <v/>
      </c>
      <c r="N6" s="9">
        <f>M6*Inputs!$C$11</f>
        <v/>
      </c>
      <c r="O6" s="9">
        <f>1000*(D7-D5)/(A7-A5)*Inputs!$C$11</f>
        <v/>
      </c>
      <c r="P6" s="9">
        <f>-2*O6/Inputs!$C$13</f>
        <v/>
      </c>
      <c r="Q6" s="9">
        <f>-2*O6/Inputs!$C$14</f>
        <v/>
      </c>
      <c r="R6" s="9">
        <f>F6-Inputs!$C$16/2</f>
        <v/>
      </c>
      <c r="S6" s="9">
        <f>F6+Inputs!$C$16/2</f>
        <v/>
      </c>
      <c r="T6" s="9">
        <f>F6-Inputs!$C$17/2</f>
        <v/>
      </c>
      <c r="U6" s="9">
        <f>F6+Inputs!$C$17/2</f>
        <v/>
      </c>
      <c r="V6" s="9">
        <f>ABS(P6)</f>
        <v/>
      </c>
      <c r="W6" s="9">
        <f>ABS(Q6)</f>
        <v/>
      </c>
      <c r="X6" s="9">
        <f>IF(OR(Inputs!$C$27=TRUE,Inputs!$C$27="TRUE",Inputs!$C$27=1),1,0)*(Inputs!$C$51*(115*EXP(-(((0)-25)^2)/(4.5^2))+70*EXP(-(((0)+38)^2)/(7^2))*(0.55+0.45*SIN(2*PI()*(A6)/45))+24*SIN(2*PI()*(0)/9+(A6)/18)*EXP(-(((0)+5)^2)/(22^2))+18*SIN(2*PI()*(A6)/70))+Inputs!$C$28*EXP(-(((A6)-Inputs!$C$29)^2)/(2*Inputs!$C$31^2))*EXP(-(((0)-Inputs!$C$30)^2)/(2*Inputs!$C$32^2))+-Inputs!$C$33*EXP(-(((((A6)-Inputs!$C$34)^2)+(((0)-Inputs!$C$35)^2))/(2*Inputs!$C$36^2)))+Inputs!$C$37*(0.55*SIN(2*PI()*(A6)/Inputs!$C$39)+0.35*COS(2*PI()*(0)/Inputs!$C$40)+0.2*SIN(2*PI()*((A6)+(0))/(0.5*(Inputs!$C$39+Inputs!$C$40))))+Inputs!$C$38*SIN(2*PI()*(A6)/Inputs!$C$39)*SIN(2*PI()*(0)/Inputs!$C$40)+-Inputs!$C$41*EXP(-(((0)-Inputs!$C$43)^2)/(2*Inputs!$C$44^2))*EXP(-(((A6)-Inputs!$C$42)^2)/(2*Inputs!$C$45^2))+Inputs!$C$48*(0.7*(0.45*SIN(2*PI()*(((A6)/Inputs!$C$49)+Inputs!$C$47*0.137))+0.35*COS(2*PI()*(((0)/Inputs!$C$50)+Inputs!$C$47*0.173))+0.2*SIN(2*PI()*(((A6)+(0))/(0.5*(Inputs!$C$49+Inputs!$C$50))+Inputs!$C$47*0.097)))+0.3*(2*((SIN(((A6)*12.9898+(0)*78.233+Inputs!$C$47*37.719))*43758.5453)-INT((SIN(((A6)*12.9898+(0)*78.233+Inputs!$C$47*37.719))*43758.5453)))-1)))</f>
        <v/>
      </c>
      <c r="Y6" s="9">
        <f>IF(OR(Inputs!$C$27=TRUE,Inputs!$C$27="TRUE",Inputs!$C$27=1),1,0)*(Inputs!$C$51*(115*EXP(-(((Inputs!$C$6)-25)^2)/(4.5^2))+70*EXP(-(((Inputs!$C$6)+38)^2)/(7^2))*(0.55+0.45*SIN(2*PI()*(A6)/45))+24*SIN(2*PI()*(Inputs!$C$6)/9+(A6)/18)*EXP(-(((Inputs!$C$6)+5)^2)/(22^2))+18*SIN(2*PI()*(A6)/70))+Inputs!$C$28*EXP(-(((A6)-Inputs!$C$29)^2)/(2*Inputs!$C$31^2))*EXP(-(((Inputs!$C$6)-Inputs!$C$30)^2)/(2*Inputs!$C$32^2))+-Inputs!$C$33*EXP(-(((((A6)-Inputs!$C$34)^2)+(((Inputs!$C$6)-Inputs!$C$35)^2))/(2*Inputs!$C$36^2)))+Inputs!$C$37*(0.55*SIN(2*PI()*(A6)/Inputs!$C$39)+0.35*COS(2*PI()*(Inputs!$C$6)/Inputs!$C$40)+0.2*SIN(2*PI()*((A6)+(Inputs!$C$6))/(0.5*(Inputs!$C$39+Inputs!$C$40))))+Inputs!$C$38*SIN(2*PI()*(A6)/Inputs!$C$39)*SIN(2*PI()*(Inputs!$C$6)/Inputs!$C$40)+-Inputs!$C$41*EXP(-(((Inputs!$C$6)-Inputs!$C$43)^2)/(2*Inputs!$C$44^2))*EXP(-(((A6)-Inputs!$C$42)^2)/(2*Inputs!$C$45^2))+Inputs!$C$48*(0.7*(0.45*SIN(2*PI()*(((A6)/Inputs!$C$49)+Inputs!$C$47*0.137))+0.35*COS(2*PI()*(((Inputs!$C$6)/Inputs!$C$50)+Inputs!$C$47*0.173))+0.2*SIN(2*PI()*(((A6)+(Inputs!$C$6))/(0.5*(Inputs!$C$49+Inputs!$C$50))+Inputs!$C$47*0.097)))+0.3*(2*((SIN(((A6)*12.9898+(Inputs!$C$6)*78.233+Inputs!$C$47*37.719))*43758.5453)-INT((SIN(((A6)*12.9898+(Inputs!$C$6)*78.233+Inputs!$C$47*37.719))*43758.5453)))-1)))</f>
        <v/>
      </c>
      <c r="Z6" s="9">
        <f>B6-X6/1000</f>
        <v/>
      </c>
      <c r="AA6" s="9">
        <f>SQRT((Inputs!$C$52+B6)^2+(Inputs!$C$52+Y6/1000)^2-2*(Inputs!$C$52+B6)*(Inputs!$C$52+Y6/1000)*COS(SQRT(A6^2+Inputs!$C$6^2)/Inputs!$C$52))</f>
        <v/>
      </c>
      <c r="AB6" s="9">
        <f>(AA6-Z6)*1000</f>
        <v/>
      </c>
      <c r="AC6" s="9">
        <f>AB6/Inputs!$C$12</f>
        <v/>
      </c>
      <c r="AD6" s="9">
        <f>2*AB6/Inputs!$C$21*1000000</f>
        <v/>
      </c>
      <c r="AE6" s="9">
        <f>DEGREES(ATAN(H6/(B6-Y6/1000)))</f>
        <v/>
      </c>
      <c r="AF6" s="9">
        <f>DEGREES((2*PI()/Inputs!$C$13)*Inputs!$C$15*SIN(RADIANS(AE6)))</f>
        <v/>
      </c>
      <c r="AG6" s="9">
        <f>(Z6/AA6)^4</f>
        <v/>
      </c>
      <c r="AH6" s="9">
        <f>10*LOG10(AG6)</f>
        <v/>
      </c>
      <c r="AI6" s="9">
        <f>AC6-F6</f>
        <v/>
      </c>
      <c r="AJ6" s="9">
        <f>AD6-G6</f>
        <v/>
      </c>
      <c r="AK6" s="9">
        <f>Y6-X6</f>
        <v/>
      </c>
      <c r="AL6" s="9">
        <f>1000*(AA7-AA5)/(A7-A5)*Inputs!$C$11</f>
        <v/>
      </c>
      <c r="AM6" s="9">
        <f>-2*AL6/Inputs!$C$13</f>
        <v/>
      </c>
      <c r="AN6" s="9">
        <f>-2*AL6/Inputs!$C$14</f>
        <v/>
      </c>
      <c r="AO6" s="9">
        <f>ABS(AM6)</f>
        <v/>
      </c>
      <c r="AP6" s="9">
        <f>ABS(AN6)</f>
        <v/>
      </c>
      <c r="AQ6" s="9">
        <f>IF(OR(Inputs!$C$27=TRUE,Inputs!$C$27="TRUE",Inputs!$C$27=1),Inputs!$C$46/Inputs!$C$12,0)</f>
        <v/>
      </c>
      <c r="AR6" s="9">
        <f>AC6-AQ6</f>
        <v/>
      </c>
      <c r="AS6" s="9">
        <f>AC6+AQ6</f>
        <v/>
      </c>
    </row>
    <row r="7">
      <c r="A7" s="9">
        <f>Inputs!$C$7+5*(Inputs!$C$8-Inputs!$C$7)/240</f>
        <v/>
      </c>
      <c r="B7" s="9">
        <f>Inputs!$C$5+Inputs!$C$9*(A7/Inputs!$C$10)^2</f>
        <v/>
      </c>
      <c r="C7" s="9">
        <f>B7</f>
        <v/>
      </c>
      <c r="D7" s="9">
        <f>SQRT((Inputs!$C$52+B7)^2+Inputs!$C$52^2-2*(Inputs!$C$52+B7)*Inputs!$C$52*COS(SQRT(A7^2+Inputs!$C$6^2)/Inputs!$C$52))</f>
        <v/>
      </c>
      <c r="E7" s="9">
        <f>(D7-C7)*1000</f>
        <v/>
      </c>
      <c r="F7" s="9">
        <f>E7/Inputs!$C$12</f>
        <v/>
      </c>
      <c r="G7" s="9">
        <f>2*E7/Inputs!$C$21*1000000</f>
        <v/>
      </c>
      <c r="H7" s="9">
        <f>SQRT(A7^2+Inputs!$C$6^2)</f>
        <v/>
      </c>
      <c r="I7" s="9">
        <f>DEGREES(ATAN(H7/B7))</f>
        <v/>
      </c>
      <c r="J7" s="9">
        <f>DEGREES((2*PI()/Inputs!$C$13)*Inputs!$C$15*SIN(RADIANS(I7)))</f>
        <v/>
      </c>
      <c r="K7" s="9">
        <f>(C7/D7)^4</f>
        <v/>
      </c>
      <c r="L7" s="9">
        <f>10*LOG10(K7)</f>
        <v/>
      </c>
      <c r="M7" s="9">
        <f>2*(Inputs!$C$9/(Inputs!$C$10^2))*A7</f>
        <v/>
      </c>
      <c r="N7" s="9">
        <f>M7*Inputs!$C$11</f>
        <v/>
      </c>
      <c r="O7" s="9">
        <f>1000*(D8-D6)/(A8-A6)*Inputs!$C$11</f>
        <v/>
      </c>
      <c r="P7" s="9">
        <f>-2*O7/Inputs!$C$13</f>
        <v/>
      </c>
      <c r="Q7" s="9">
        <f>-2*O7/Inputs!$C$14</f>
        <v/>
      </c>
      <c r="R7" s="9">
        <f>F7-Inputs!$C$16/2</f>
        <v/>
      </c>
      <c r="S7" s="9">
        <f>F7+Inputs!$C$16/2</f>
        <v/>
      </c>
      <c r="T7" s="9">
        <f>F7-Inputs!$C$17/2</f>
        <v/>
      </c>
      <c r="U7" s="9">
        <f>F7+Inputs!$C$17/2</f>
        <v/>
      </c>
      <c r="V7" s="9">
        <f>ABS(P7)</f>
        <v/>
      </c>
      <c r="W7" s="9">
        <f>ABS(Q7)</f>
        <v/>
      </c>
      <c r="X7" s="9">
        <f>IF(OR(Inputs!$C$27=TRUE,Inputs!$C$27="TRUE",Inputs!$C$27=1),1,0)*(Inputs!$C$51*(115*EXP(-(((0)-25)^2)/(4.5^2))+70*EXP(-(((0)+38)^2)/(7^2))*(0.55+0.45*SIN(2*PI()*(A7)/45))+24*SIN(2*PI()*(0)/9+(A7)/18)*EXP(-(((0)+5)^2)/(22^2))+18*SIN(2*PI()*(A7)/70))+Inputs!$C$28*EXP(-(((A7)-Inputs!$C$29)^2)/(2*Inputs!$C$31^2))*EXP(-(((0)-Inputs!$C$30)^2)/(2*Inputs!$C$32^2))+-Inputs!$C$33*EXP(-(((((A7)-Inputs!$C$34)^2)+(((0)-Inputs!$C$35)^2))/(2*Inputs!$C$36^2)))+Inputs!$C$37*(0.55*SIN(2*PI()*(A7)/Inputs!$C$39)+0.35*COS(2*PI()*(0)/Inputs!$C$40)+0.2*SIN(2*PI()*((A7)+(0))/(0.5*(Inputs!$C$39+Inputs!$C$40))))+Inputs!$C$38*SIN(2*PI()*(A7)/Inputs!$C$39)*SIN(2*PI()*(0)/Inputs!$C$40)+-Inputs!$C$41*EXP(-(((0)-Inputs!$C$43)^2)/(2*Inputs!$C$44^2))*EXP(-(((A7)-Inputs!$C$42)^2)/(2*Inputs!$C$45^2))+Inputs!$C$48*(0.7*(0.45*SIN(2*PI()*(((A7)/Inputs!$C$49)+Inputs!$C$47*0.137))+0.35*COS(2*PI()*(((0)/Inputs!$C$50)+Inputs!$C$47*0.173))+0.2*SIN(2*PI()*(((A7)+(0))/(0.5*(Inputs!$C$49+Inputs!$C$50))+Inputs!$C$47*0.097)))+0.3*(2*((SIN(((A7)*12.9898+(0)*78.233+Inputs!$C$47*37.719))*43758.5453)-INT((SIN(((A7)*12.9898+(0)*78.233+Inputs!$C$47*37.719))*43758.5453)))-1)))</f>
        <v/>
      </c>
      <c r="Y7" s="9">
        <f>IF(OR(Inputs!$C$27=TRUE,Inputs!$C$27="TRUE",Inputs!$C$27=1),1,0)*(Inputs!$C$51*(115*EXP(-(((Inputs!$C$6)-25)^2)/(4.5^2))+70*EXP(-(((Inputs!$C$6)+38)^2)/(7^2))*(0.55+0.45*SIN(2*PI()*(A7)/45))+24*SIN(2*PI()*(Inputs!$C$6)/9+(A7)/18)*EXP(-(((Inputs!$C$6)+5)^2)/(22^2))+18*SIN(2*PI()*(A7)/70))+Inputs!$C$28*EXP(-(((A7)-Inputs!$C$29)^2)/(2*Inputs!$C$31^2))*EXP(-(((Inputs!$C$6)-Inputs!$C$30)^2)/(2*Inputs!$C$32^2))+-Inputs!$C$33*EXP(-(((((A7)-Inputs!$C$34)^2)+(((Inputs!$C$6)-Inputs!$C$35)^2))/(2*Inputs!$C$36^2)))+Inputs!$C$37*(0.55*SIN(2*PI()*(A7)/Inputs!$C$39)+0.35*COS(2*PI()*(Inputs!$C$6)/Inputs!$C$40)+0.2*SIN(2*PI()*((A7)+(Inputs!$C$6))/(0.5*(Inputs!$C$39+Inputs!$C$40))))+Inputs!$C$38*SIN(2*PI()*(A7)/Inputs!$C$39)*SIN(2*PI()*(Inputs!$C$6)/Inputs!$C$40)+-Inputs!$C$41*EXP(-(((Inputs!$C$6)-Inputs!$C$43)^2)/(2*Inputs!$C$44^2))*EXP(-(((A7)-Inputs!$C$42)^2)/(2*Inputs!$C$45^2))+Inputs!$C$48*(0.7*(0.45*SIN(2*PI()*(((A7)/Inputs!$C$49)+Inputs!$C$47*0.137))+0.35*COS(2*PI()*(((Inputs!$C$6)/Inputs!$C$50)+Inputs!$C$47*0.173))+0.2*SIN(2*PI()*(((A7)+(Inputs!$C$6))/(0.5*(Inputs!$C$49+Inputs!$C$50))+Inputs!$C$47*0.097)))+0.3*(2*((SIN(((A7)*12.9898+(Inputs!$C$6)*78.233+Inputs!$C$47*37.719))*43758.5453)-INT((SIN(((A7)*12.9898+(Inputs!$C$6)*78.233+Inputs!$C$47*37.719))*43758.5453)))-1)))</f>
        <v/>
      </c>
      <c r="Z7" s="9">
        <f>B7-X7/1000</f>
        <v/>
      </c>
      <c r="AA7" s="9">
        <f>SQRT((Inputs!$C$52+B7)^2+(Inputs!$C$52+Y7/1000)^2-2*(Inputs!$C$52+B7)*(Inputs!$C$52+Y7/1000)*COS(SQRT(A7^2+Inputs!$C$6^2)/Inputs!$C$52))</f>
        <v/>
      </c>
      <c r="AB7" s="9">
        <f>(AA7-Z7)*1000</f>
        <v/>
      </c>
      <c r="AC7" s="9">
        <f>AB7/Inputs!$C$12</f>
        <v/>
      </c>
      <c r="AD7" s="9">
        <f>2*AB7/Inputs!$C$21*1000000</f>
        <v/>
      </c>
      <c r="AE7" s="9">
        <f>DEGREES(ATAN(H7/(B7-Y7/1000)))</f>
        <v/>
      </c>
      <c r="AF7" s="9">
        <f>DEGREES((2*PI()/Inputs!$C$13)*Inputs!$C$15*SIN(RADIANS(AE7)))</f>
        <v/>
      </c>
      <c r="AG7" s="9">
        <f>(Z7/AA7)^4</f>
        <v/>
      </c>
      <c r="AH7" s="9">
        <f>10*LOG10(AG7)</f>
        <v/>
      </c>
      <c r="AI7" s="9">
        <f>AC7-F7</f>
        <v/>
      </c>
      <c r="AJ7" s="9">
        <f>AD7-G7</f>
        <v/>
      </c>
      <c r="AK7" s="9">
        <f>Y7-X7</f>
        <v/>
      </c>
      <c r="AL7" s="9">
        <f>1000*(AA8-AA6)/(A8-A6)*Inputs!$C$11</f>
        <v/>
      </c>
      <c r="AM7" s="9">
        <f>-2*AL7/Inputs!$C$13</f>
        <v/>
      </c>
      <c r="AN7" s="9">
        <f>-2*AL7/Inputs!$C$14</f>
        <v/>
      </c>
      <c r="AO7" s="9">
        <f>ABS(AM7)</f>
        <v/>
      </c>
      <c r="AP7" s="9">
        <f>ABS(AN7)</f>
        <v/>
      </c>
      <c r="AQ7" s="9">
        <f>IF(OR(Inputs!$C$27=TRUE,Inputs!$C$27="TRUE",Inputs!$C$27=1),Inputs!$C$46/Inputs!$C$12,0)</f>
        <v/>
      </c>
      <c r="AR7" s="9">
        <f>AC7-AQ7</f>
        <v/>
      </c>
      <c r="AS7" s="9">
        <f>AC7+AQ7</f>
        <v/>
      </c>
    </row>
    <row r="8">
      <c r="A8" s="9">
        <f>Inputs!$C$7+6*(Inputs!$C$8-Inputs!$C$7)/240</f>
        <v/>
      </c>
      <c r="B8" s="9">
        <f>Inputs!$C$5+Inputs!$C$9*(A8/Inputs!$C$10)^2</f>
        <v/>
      </c>
      <c r="C8" s="9">
        <f>B8</f>
        <v/>
      </c>
      <c r="D8" s="9">
        <f>SQRT((Inputs!$C$52+B8)^2+Inputs!$C$52^2-2*(Inputs!$C$52+B8)*Inputs!$C$52*COS(SQRT(A8^2+Inputs!$C$6^2)/Inputs!$C$52))</f>
        <v/>
      </c>
      <c r="E8" s="9">
        <f>(D8-C8)*1000</f>
        <v/>
      </c>
      <c r="F8" s="9">
        <f>E8/Inputs!$C$12</f>
        <v/>
      </c>
      <c r="G8" s="9">
        <f>2*E8/Inputs!$C$21*1000000</f>
        <v/>
      </c>
      <c r="H8" s="9">
        <f>SQRT(A8^2+Inputs!$C$6^2)</f>
        <v/>
      </c>
      <c r="I8" s="9">
        <f>DEGREES(ATAN(H8/B8))</f>
        <v/>
      </c>
      <c r="J8" s="9">
        <f>DEGREES((2*PI()/Inputs!$C$13)*Inputs!$C$15*SIN(RADIANS(I8)))</f>
        <v/>
      </c>
      <c r="K8" s="9">
        <f>(C8/D8)^4</f>
        <v/>
      </c>
      <c r="L8" s="9">
        <f>10*LOG10(K8)</f>
        <v/>
      </c>
      <c r="M8" s="9">
        <f>2*(Inputs!$C$9/(Inputs!$C$10^2))*A8</f>
        <v/>
      </c>
      <c r="N8" s="9">
        <f>M8*Inputs!$C$11</f>
        <v/>
      </c>
      <c r="O8" s="9">
        <f>1000*(D9-D7)/(A9-A7)*Inputs!$C$11</f>
        <v/>
      </c>
      <c r="P8" s="9">
        <f>-2*O8/Inputs!$C$13</f>
        <v/>
      </c>
      <c r="Q8" s="9">
        <f>-2*O8/Inputs!$C$14</f>
        <v/>
      </c>
      <c r="R8" s="9">
        <f>F8-Inputs!$C$16/2</f>
        <v/>
      </c>
      <c r="S8" s="9">
        <f>F8+Inputs!$C$16/2</f>
        <v/>
      </c>
      <c r="T8" s="9">
        <f>F8-Inputs!$C$17/2</f>
        <v/>
      </c>
      <c r="U8" s="9">
        <f>F8+Inputs!$C$17/2</f>
        <v/>
      </c>
      <c r="V8" s="9">
        <f>ABS(P8)</f>
        <v/>
      </c>
      <c r="W8" s="9">
        <f>ABS(Q8)</f>
        <v/>
      </c>
      <c r="X8" s="9">
        <f>IF(OR(Inputs!$C$27=TRUE,Inputs!$C$27="TRUE",Inputs!$C$27=1),1,0)*(Inputs!$C$51*(115*EXP(-(((0)-25)^2)/(4.5^2))+70*EXP(-(((0)+38)^2)/(7^2))*(0.55+0.45*SIN(2*PI()*(A8)/45))+24*SIN(2*PI()*(0)/9+(A8)/18)*EXP(-(((0)+5)^2)/(22^2))+18*SIN(2*PI()*(A8)/70))+Inputs!$C$28*EXP(-(((A8)-Inputs!$C$29)^2)/(2*Inputs!$C$31^2))*EXP(-(((0)-Inputs!$C$30)^2)/(2*Inputs!$C$32^2))+-Inputs!$C$33*EXP(-(((((A8)-Inputs!$C$34)^2)+(((0)-Inputs!$C$35)^2))/(2*Inputs!$C$36^2)))+Inputs!$C$37*(0.55*SIN(2*PI()*(A8)/Inputs!$C$39)+0.35*COS(2*PI()*(0)/Inputs!$C$40)+0.2*SIN(2*PI()*((A8)+(0))/(0.5*(Inputs!$C$39+Inputs!$C$40))))+Inputs!$C$38*SIN(2*PI()*(A8)/Inputs!$C$39)*SIN(2*PI()*(0)/Inputs!$C$40)+-Inputs!$C$41*EXP(-(((0)-Inputs!$C$43)^2)/(2*Inputs!$C$44^2))*EXP(-(((A8)-Inputs!$C$42)^2)/(2*Inputs!$C$45^2))+Inputs!$C$48*(0.7*(0.45*SIN(2*PI()*(((A8)/Inputs!$C$49)+Inputs!$C$47*0.137))+0.35*COS(2*PI()*(((0)/Inputs!$C$50)+Inputs!$C$47*0.173))+0.2*SIN(2*PI()*(((A8)+(0))/(0.5*(Inputs!$C$49+Inputs!$C$50))+Inputs!$C$47*0.097)))+0.3*(2*((SIN(((A8)*12.9898+(0)*78.233+Inputs!$C$47*37.719))*43758.5453)-INT((SIN(((A8)*12.9898+(0)*78.233+Inputs!$C$47*37.719))*43758.5453)))-1)))</f>
        <v/>
      </c>
      <c r="Y8" s="9">
        <f>IF(OR(Inputs!$C$27=TRUE,Inputs!$C$27="TRUE",Inputs!$C$27=1),1,0)*(Inputs!$C$51*(115*EXP(-(((Inputs!$C$6)-25)^2)/(4.5^2))+70*EXP(-(((Inputs!$C$6)+38)^2)/(7^2))*(0.55+0.45*SIN(2*PI()*(A8)/45))+24*SIN(2*PI()*(Inputs!$C$6)/9+(A8)/18)*EXP(-(((Inputs!$C$6)+5)^2)/(22^2))+18*SIN(2*PI()*(A8)/70))+Inputs!$C$28*EXP(-(((A8)-Inputs!$C$29)^2)/(2*Inputs!$C$31^2))*EXP(-(((Inputs!$C$6)-Inputs!$C$30)^2)/(2*Inputs!$C$32^2))+-Inputs!$C$33*EXP(-(((((A8)-Inputs!$C$34)^2)+(((Inputs!$C$6)-Inputs!$C$35)^2))/(2*Inputs!$C$36^2)))+Inputs!$C$37*(0.55*SIN(2*PI()*(A8)/Inputs!$C$39)+0.35*COS(2*PI()*(Inputs!$C$6)/Inputs!$C$40)+0.2*SIN(2*PI()*((A8)+(Inputs!$C$6))/(0.5*(Inputs!$C$39+Inputs!$C$40))))+Inputs!$C$38*SIN(2*PI()*(A8)/Inputs!$C$39)*SIN(2*PI()*(Inputs!$C$6)/Inputs!$C$40)+-Inputs!$C$41*EXP(-(((Inputs!$C$6)-Inputs!$C$43)^2)/(2*Inputs!$C$44^2))*EXP(-(((A8)-Inputs!$C$42)^2)/(2*Inputs!$C$45^2))+Inputs!$C$48*(0.7*(0.45*SIN(2*PI()*(((A8)/Inputs!$C$49)+Inputs!$C$47*0.137))+0.35*COS(2*PI()*(((Inputs!$C$6)/Inputs!$C$50)+Inputs!$C$47*0.173))+0.2*SIN(2*PI()*(((A8)+(Inputs!$C$6))/(0.5*(Inputs!$C$49+Inputs!$C$50))+Inputs!$C$47*0.097)))+0.3*(2*((SIN(((A8)*12.9898+(Inputs!$C$6)*78.233+Inputs!$C$47*37.719))*43758.5453)-INT((SIN(((A8)*12.9898+(Inputs!$C$6)*78.233+Inputs!$C$47*37.719))*43758.5453)))-1)))</f>
        <v/>
      </c>
      <c r="Z8" s="9">
        <f>B8-X8/1000</f>
        <v/>
      </c>
      <c r="AA8" s="9">
        <f>SQRT((Inputs!$C$52+B8)^2+(Inputs!$C$52+Y8/1000)^2-2*(Inputs!$C$52+B8)*(Inputs!$C$52+Y8/1000)*COS(SQRT(A8^2+Inputs!$C$6^2)/Inputs!$C$52))</f>
        <v/>
      </c>
      <c r="AB8" s="9">
        <f>(AA8-Z8)*1000</f>
        <v/>
      </c>
      <c r="AC8" s="9">
        <f>AB8/Inputs!$C$12</f>
        <v/>
      </c>
      <c r="AD8" s="9">
        <f>2*AB8/Inputs!$C$21*1000000</f>
        <v/>
      </c>
      <c r="AE8" s="9">
        <f>DEGREES(ATAN(H8/(B8-Y8/1000)))</f>
        <v/>
      </c>
      <c r="AF8" s="9">
        <f>DEGREES((2*PI()/Inputs!$C$13)*Inputs!$C$15*SIN(RADIANS(AE8)))</f>
        <v/>
      </c>
      <c r="AG8" s="9">
        <f>(Z8/AA8)^4</f>
        <v/>
      </c>
      <c r="AH8" s="9">
        <f>10*LOG10(AG8)</f>
        <v/>
      </c>
      <c r="AI8" s="9">
        <f>AC8-F8</f>
        <v/>
      </c>
      <c r="AJ8" s="9">
        <f>AD8-G8</f>
        <v/>
      </c>
      <c r="AK8" s="9">
        <f>Y8-X8</f>
        <v/>
      </c>
      <c r="AL8" s="9">
        <f>1000*(AA9-AA7)/(A9-A7)*Inputs!$C$11</f>
        <v/>
      </c>
      <c r="AM8" s="9">
        <f>-2*AL8/Inputs!$C$13</f>
        <v/>
      </c>
      <c r="AN8" s="9">
        <f>-2*AL8/Inputs!$C$14</f>
        <v/>
      </c>
      <c r="AO8" s="9">
        <f>ABS(AM8)</f>
        <v/>
      </c>
      <c r="AP8" s="9">
        <f>ABS(AN8)</f>
        <v/>
      </c>
      <c r="AQ8" s="9">
        <f>IF(OR(Inputs!$C$27=TRUE,Inputs!$C$27="TRUE",Inputs!$C$27=1),Inputs!$C$46/Inputs!$C$12,0)</f>
        <v/>
      </c>
      <c r="AR8" s="9">
        <f>AC8-AQ8</f>
        <v/>
      </c>
      <c r="AS8" s="9">
        <f>AC8+AQ8</f>
        <v/>
      </c>
    </row>
    <row r="9">
      <c r="A9" s="9">
        <f>Inputs!$C$7+7*(Inputs!$C$8-Inputs!$C$7)/240</f>
        <v/>
      </c>
      <c r="B9" s="9">
        <f>Inputs!$C$5+Inputs!$C$9*(A9/Inputs!$C$10)^2</f>
        <v/>
      </c>
      <c r="C9" s="9">
        <f>B9</f>
        <v/>
      </c>
      <c r="D9" s="9">
        <f>SQRT((Inputs!$C$52+B9)^2+Inputs!$C$52^2-2*(Inputs!$C$52+B9)*Inputs!$C$52*COS(SQRT(A9^2+Inputs!$C$6^2)/Inputs!$C$52))</f>
        <v/>
      </c>
      <c r="E9" s="9">
        <f>(D9-C9)*1000</f>
        <v/>
      </c>
      <c r="F9" s="9">
        <f>E9/Inputs!$C$12</f>
        <v/>
      </c>
      <c r="G9" s="9">
        <f>2*E9/Inputs!$C$21*1000000</f>
        <v/>
      </c>
      <c r="H9" s="9">
        <f>SQRT(A9^2+Inputs!$C$6^2)</f>
        <v/>
      </c>
      <c r="I9" s="9">
        <f>DEGREES(ATAN(H9/B9))</f>
        <v/>
      </c>
      <c r="J9" s="9">
        <f>DEGREES((2*PI()/Inputs!$C$13)*Inputs!$C$15*SIN(RADIANS(I9)))</f>
        <v/>
      </c>
      <c r="K9" s="9">
        <f>(C9/D9)^4</f>
        <v/>
      </c>
      <c r="L9" s="9">
        <f>10*LOG10(K9)</f>
        <v/>
      </c>
      <c r="M9" s="9">
        <f>2*(Inputs!$C$9/(Inputs!$C$10^2))*A9</f>
        <v/>
      </c>
      <c r="N9" s="9">
        <f>M9*Inputs!$C$11</f>
        <v/>
      </c>
      <c r="O9" s="9">
        <f>1000*(D10-D8)/(A10-A8)*Inputs!$C$11</f>
        <v/>
      </c>
      <c r="P9" s="9">
        <f>-2*O9/Inputs!$C$13</f>
        <v/>
      </c>
      <c r="Q9" s="9">
        <f>-2*O9/Inputs!$C$14</f>
        <v/>
      </c>
      <c r="R9" s="9">
        <f>F9-Inputs!$C$16/2</f>
        <v/>
      </c>
      <c r="S9" s="9">
        <f>F9+Inputs!$C$16/2</f>
        <v/>
      </c>
      <c r="T9" s="9">
        <f>F9-Inputs!$C$17/2</f>
        <v/>
      </c>
      <c r="U9" s="9">
        <f>F9+Inputs!$C$17/2</f>
        <v/>
      </c>
      <c r="V9" s="9">
        <f>ABS(P9)</f>
        <v/>
      </c>
      <c r="W9" s="9">
        <f>ABS(Q9)</f>
        <v/>
      </c>
      <c r="X9" s="9">
        <f>IF(OR(Inputs!$C$27=TRUE,Inputs!$C$27="TRUE",Inputs!$C$27=1),1,0)*(Inputs!$C$51*(115*EXP(-(((0)-25)^2)/(4.5^2))+70*EXP(-(((0)+38)^2)/(7^2))*(0.55+0.45*SIN(2*PI()*(A9)/45))+24*SIN(2*PI()*(0)/9+(A9)/18)*EXP(-(((0)+5)^2)/(22^2))+18*SIN(2*PI()*(A9)/70))+Inputs!$C$28*EXP(-(((A9)-Inputs!$C$29)^2)/(2*Inputs!$C$31^2))*EXP(-(((0)-Inputs!$C$30)^2)/(2*Inputs!$C$32^2))+-Inputs!$C$33*EXP(-(((((A9)-Inputs!$C$34)^2)+(((0)-Inputs!$C$35)^2))/(2*Inputs!$C$36^2)))+Inputs!$C$37*(0.55*SIN(2*PI()*(A9)/Inputs!$C$39)+0.35*COS(2*PI()*(0)/Inputs!$C$40)+0.2*SIN(2*PI()*((A9)+(0))/(0.5*(Inputs!$C$39+Inputs!$C$40))))+Inputs!$C$38*SIN(2*PI()*(A9)/Inputs!$C$39)*SIN(2*PI()*(0)/Inputs!$C$40)+-Inputs!$C$41*EXP(-(((0)-Inputs!$C$43)^2)/(2*Inputs!$C$44^2))*EXP(-(((A9)-Inputs!$C$42)^2)/(2*Inputs!$C$45^2))+Inputs!$C$48*(0.7*(0.45*SIN(2*PI()*(((A9)/Inputs!$C$49)+Inputs!$C$47*0.137))+0.35*COS(2*PI()*(((0)/Inputs!$C$50)+Inputs!$C$47*0.173))+0.2*SIN(2*PI()*(((A9)+(0))/(0.5*(Inputs!$C$49+Inputs!$C$50))+Inputs!$C$47*0.097)))+0.3*(2*((SIN(((A9)*12.9898+(0)*78.233+Inputs!$C$47*37.719))*43758.5453)-INT((SIN(((A9)*12.9898+(0)*78.233+Inputs!$C$47*37.719))*43758.5453)))-1)))</f>
        <v/>
      </c>
      <c r="Y9" s="9">
        <f>IF(OR(Inputs!$C$27=TRUE,Inputs!$C$27="TRUE",Inputs!$C$27=1),1,0)*(Inputs!$C$51*(115*EXP(-(((Inputs!$C$6)-25)^2)/(4.5^2))+70*EXP(-(((Inputs!$C$6)+38)^2)/(7^2))*(0.55+0.45*SIN(2*PI()*(A9)/45))+24*SIN(2*PI()*(Inputs!$C$6)/9+(A9)/18)*EXP(-(((Inputs!$C$6)+5)^2)/(22^2))+18*SIN(2*PI()*(A9)/70))+Inputs!$C$28*EXP(-(((A9)-Inputs!$C$29)^2)/(2*Inputs!$C$31^2))*EXP(-(((Inputs!$C$6)-Inputs!$C$30)^2)/(2*Inputs!$C$32^2))+-Inputs!$C$33*EXP(-(((((A9)-Inputs!$C$34)^2)+(((Inputs!$C$6)-Inputs!$C$35)^2))/(2*Inputs!$C$36^2)))+Inputs!$C$37*(0.55*SIN(2*PI()*(A9)/Inputs!$C$39)+0.35*COS(2*PI()*(Inputs!$C$6)/Inputs!$C$40)+0.2*SIN(2*PI()*((A9)+(Inputs!$C$6))/(0.5*(Inputs!$C$39+Inputs!$C$40))))+Inputs!$C$38*SIN(2*PI()*(A9)/Inputs!$C$39)*SIN(2*PI()*(Inputs!$C$6)/Inputs!$C$40)+-Inputs!$C$41*EXP(-(((Inputs!$C$6)-Inputs!$C$43)^2)/(2*Inputs!$C$44^2))*EXP(-(((A9)-Inputs!$C$42)^2)/(2*Inputs!$C$45^2))+Inputs!$C$48*(0.7*(0.45*SIN(2*PI()*(((A9)/Inputs!$C$49)+Inputs!$C$47*0.137))+0.35*COS(2*PI()*(((Inputs!$C$6)/Inputs!$C$50)+Inputs!$C$47*0.173))+0.2*SIN(2*PI()*(((A9)+(Inputs!$C$6))/(0.5*(Inputs!$C$49+Inputs!$C$50))+Inputs!$C$47*0.097)))+0.3*(2*((SIN(((A9)*12.9898+(Inputs!$C$6)*78.233+Inputs!$C$47*37.719))*43758.5453)-INT((SIN(((A9)*12.9898+(Inputs!$C$6)*78.233+Inputs!$C$47*37.719))*43758.5453)))-1)))</f>
        <v/>
      </c>
      <c r="Z9" s="9">
        <f>B9-X9/1000</f>
        <v/>
      </c>
      <c r="AA9" s="9">
        <f>SQRT((Inputs!$C$52+B9)^2+(Inputs!$C$52+Y9/1000)^2-2*(Inputs!$C$52+B9)*(Inputs!$C$52+Y9/1000)*COS(SQRT(A9^2+Inputs!$C$6^2)/Inputs!$C$52))</f>
        <v/>
      </c>
      <c r="AB9" s="9">
        <f>(AA9-Z9)*1000</f>
        <v/>
      </c>
      <c r="AC9" s="9">
        <f>AB9/Inputs!$C$12</f>
        <v/>
      </c>
      <c r="AD9" s="9">
        <f>2*AB9/Inputs!$C$21*1000000</f>
        <v/>
      </c>
      <c r="AE9" s="9">
        <f>DEGREES(ATAN(H9/(B9-Y9/1000)))</f>
        <v/>
      </c>
      <c r="AF9" s="9">
        <f>DEGREES((2*PI()/Inputs!$C$13)*Inputs!$C$15*SIN(RADIANS(AE9)))</f>
        <v/>
      </c>
      <c r="AG9" s="9">
        <f>(Z9/AA9)^4</f>
        <v/>
      </c>
      <c r="AH9" s="9">
        <f>10*LOG10(AG9)</f>
        <v/>
      </c>
      <c r="AI9" s="9">
        <f>AC9-F9</f>
        <v/>
      </c>
      <c r="AJ9" s="9">
        <f>AD9-G9</f>
        <v/>
      </c>
      <c r="AK9" s="9">
        <f>Y9-X9</f>
        <v/>
      </c>
      <c r="AL9" s="9">
        <f>1000*(AA10-AA8)/(A10-A8)*Inputs!$C$11</f>
        <v/>
      </c>
      <c r="AM9" s="9">
        <f>-2*AL9/Inputs!$C$13</f>
        <v/>
      </c>
      <c r="AN9" s="9">
        <f>-2*AL9/Inputs!$C$14</f>
        <v/>
      </c>
      <c r="AO9" s="9">
        <f>ABS(AM9)</f>
        <v/>
      </c>
      <c r="AP9" s="9">
        <f>ABS(AN9)</f>
        <v/>
      </c>
      <c r="AQ9" s="9">
        <f>IF(OR(Inputs!$C$27=TRUE,Inputs!$C$27="TRUE",Inputs!$C$27=1),Inputs!$C$46/Inputs!$C$12,0)</f>
        <v/>
      </c>
      <c r="AR9" s="9">
        <f>AC9-AQ9</f>
        <v/>
      </c>
      <c r="AS9" s="9">
        <f>AC9+AQ9</f>
        <v/>
      </c>
    </row>
    <row r="10">
      <c r="A10" s="9">
        <f>Inputs!$C$7+8*(Inputs!$C$8-Inputs!$C$7)/240</f>
        <v/>
      </c>
      <c r="B10" s="9">
        <f>Inputs!$C$5+Inputs!$C$9*(A10/Inputs!$C$10)^2</f>
        <v/>
      </c>
      <c r="C10" s="9">
        <f>B10</f>
        <v/>
      </c>
      <c r="D10" s="9">
        <f>SQRT((Inputs!$C$52+B10)^2+Inputs!$C$52^2-2*(Inputs!$C$52+B10)*Inputs!$C$52*COS(SQRT(A10^2+Inputs!$C$6^2)/Inputs!$C$52))</f>
        <v/>
      </c>
      <c r="E10" s="9">
        <f>(D10-C10)*1000</f>
        <v/>
      </c>
      <c r="F10" s="9">
        <f>E10/Inputs!$C$12</f>
        <v/>
      </c>
      <c r="G10" s="9">
        <f>2*E10/Inputs!$C$21*1000000</f>
        <v/>
      </c>
      <c r="H10" s="9">
        <f>SQRT(A10^2+Inputs!$C$6^2)</f>
        <v/>
      </c>
      <c r="I10" s="9">
        <f>DEGREES(ATAN(H10/B10))</f>
        <v/>
      </c>
      <c r="J10" s="9">
        <f>DEGREES((2*PI()/Inputs!$C$13)*Inputs!$C$15*SIN(RADIANS(I10)))</f>
        <v/>
      </c>
      <c r="K10" s="9">
        <f>(C10/D10)^4</f>
        <v/>
      </c>
      <c r="L10" s="9">
        <f>10*LOG10(K10)</f>
        <v/>
      </c>
      <c r="M10" s="9">
        <f>2*(Inputs!$C$9/(Inputs!$C$10^2))*A10</f>
        <v/>
      </c>
      <c r="N10" s="9">
        <f>M10*Inputs!$C$11</f>
        <v/>
      </c>
      <c r="O10" s="9">
        <f>1000*(D11-D9)/(A11-A9)*Inputs!$C$11</f>
        <v/>
      </c>
      <c r="P10" s="9">
        <f>-2*O10/Inputs!$C$13</f>
        <v/>
      </c>
      <c r="Q10" s="9">
        <f>-2*O10/Inputs!$C$14</f>
        <v/>
      </c>
      <c r="R10" s="9">
        <f>F10-Inputs!$C$16/2</f>
        <v/>
      </c>
      <c r="S10" s="9">
        <f>F10+Inputs!$C$16/2</f>
        <v/>
      </c>
      <c r="T10" s="9">
        <f>F10-Inputs!$C$17/2</f>
        <v/>
      </c>
      <c r="U10" s="9">
        <f>F10+Inputs!$C$17/2</f>
        <v/>
      </c>
      <c r="V10" s="9">
        <f>ABS(P10)</f>
        <v/>
      </c>
      <c r="W10" s="9">
        <f>ABS(Q10)</f>
        <v/>
      </c>
      <c r="X10" s="9">
        <f>IF(OR(Inputs!$C$27=TRUE,Inputs!$C$27="TRUE",Inputs!$C$27=1),1,0)*(Inputs!$C$51*(115*EXP(-(((0)-25)^2)/(4.5^2))+70*EXP(-(((0)+38)^2)/(7^2))*(0.55+0.45*SIN(2*PI()*(A10)/45))+24*SIN(2*PI()*(0)/9+(A10)/18)*EXP(-(((0)+5)^2)/(22^2))+18*SIN(2*PI()*(A10)/70))+Inputs!$C$28*EXP(-(((A10)-Inputs!$C$29)^2)/(2*Inputs!$C$31^2))*EXP(-(((0)-Inputs!$C$30)^2)/(2*Inputs!$C$32^2))+-Inputs!$C$33*EXP(-(((((A10)-Inputs!$C$34)^2)+(((0)-Inputs!$C$35)^2))/(2*Inputs!$C$36^2)))+Inputs!$C$37*(0.55*SIN(2*PI()*(A10)/Inputs!$C$39)+0.35*COS(2*PI()*(0)/Inputs!$C$40)+0.2*SIN(2*PI()*((A10)+(0))/(0.5*(Inputs!$C$39+Inputs!$C$40))))+Inputs!$C$38*SIN(2*PI()*(A10)/Inputs!$C$39)*SIN(2*PI()*(0)/Inputs!$C$40)+-Inputs!$C$41*EXP(-(((0)-Inputs!$C$43)^2)/(2*Inputs!$C$44^2))*EXP(-(((A10)-Inputs!$C$42)^2)/(2*Inputs!$C$45^2))+Inputs!$C$48*(0.7*(0.45*SIN(2*PI()*(((A10)/Inputs!$C$49)+Inputs!$C$47*0.137))+0.35*COS(2*PI()*(((0)/Inputs!$C$50)+Inputs!$C$47*0.173))+0.2*SIN(2*PI()*(((A10)+(0))/(0.5*(Inputs!$C$49+Inputs!$C$50))+Inputs!$C$47*0.097)))+0.3*(2*((SIN(((A10)*12.9898+(0)*78.233+Inputs!$C$47*37.719))*43758.5453)-INT((SIN(((A10)*12.9898+(0)*78.233+Inputs!$C$47*37.719))*43758.5453)))-1)))</f>
        <v/>
      </c>
      <c r="Y10" s="9">
        <f>IF(OR(Inputs!$C$27=TRUE,Inputs!$C$27="TRUE",Inputs!$C$27=1),1,0)*(Inputs!$C$51*(115*EXP(-(((Inputs!$C$6)-25)^2)/(4.5^2))+70*EXP(-(((Inputs!$C$6)+38)^2)/(7^2))*(0.55+0.45*SIN(2*PI()*(A10)/45))+24*SIN(2*PI()*(Inputs!$C$6)/9+(A10)/18)*EXP(-(((Inputs!$C$6)+5)^2)/(22^2))+18*SIN(2*PI()*(A10)/70))+Inputs!$C$28*EXP(-(((A10)-Inputs!$C$29)^2)/(2*Inputs!$C$31^2))*EXP(-(((Inputs!$C$6)-Inputs!$C$30)^2)/(2*Inputs!$C$32^2))+-Inputs!$C$33*EXP(-(((((A10)-Inputs!$C$34)^2)+(((Inputs!$C$6)-Inputs!$C$35)^2))/(2*Inputs!$C$36^2)))+Inputs!$C$37*(0.55*SIN(2*PI()*(A10)/Inputs!$C$39)+0.35*COS(2*PI()*(Inputs!$C$6)/Inputs!$C$40)+0.2*SIN(2*PI()*((A10)+(Inputs!$C$6))/(0.5*(Inputs!$C$39+Inputs!$C$40))))+Inputs!$C$38*SIN(2*PI()*(A10)/Inputs!$C$39)*SIN(2*PI()*(Inputs!$C$6)/Inputs!$C$40)+-Inputs!$C$41*EXP(-(((Inputs!$C$6)-Inputs!$C$43)^2)/(2*Inputs!$C$44^2))*EXP(-(((A10)-Inputs!$C$42)^2)/(2*Inputs!$C$45^2))+Inputs!$C$48*(0.7*(0.45*SIN(2*PI()*(((A10)/Inputs!$C$49)+Inputs!$C$47*0.137))+0.35*COS(2*PI()*(((Inputs!$C$6)/Inputs!$C$50)+Inputs!$C$47*0.173))+0.2*SIN(2*PI()*(((A10)+(Inputs!$C$6))/(0.5*(Inputs!$C$49+Inputs!$C$50))+Inputs!$C$47*0.097)))+0.3*(2*((SIN(((A10)*12.9898+(Inputs!$C$6)*78.233+Inputs!$C$47*37.719))*43758.5453)-INT((SIN(((A10)*12.9898+(Inputs!$C$6)*78.233+Inputs!$C$47*37.719))*43758.5453)))-1)))</f>
        <v/>
      </c>
      <c r="Z10" s="9">
        <f>B10-X10/1000</f>
        <v/>
      </c>
      <c r="AA10" s="9">
        <f>SQRT((Inputs!$C$52+B10)^2+(Inputs!$C$52+Y10/1000)^2-2*(Inputs!$C$52+B10)*(Inputs!$C$52+Y10/1000)*COS(SQRT(A10^2+Inputs!$C$6^2)/Inputs!$C$52))</f>
        <v/>
      </c>
      <c r="AB10" s="9">
        <f>(AA10-Z10)*1000</f>
        <v/>
      </c>
      <c r="AC10" s="9">
        <f>AB10/Inputs!$C$12</f>
        <v/>
      </c>
      <c r="AD10" s="9">
        <f>2*AB10/Inputs!$C$21*1000000</f>
        <v/>
      </c>
      <c r="AE10" s="9">
        <f>DEGREES(ATAN(H10/(B10-Y10/1000)))</f>
        <v/>
      </c>
      <c r="AF10" s="9">
        <f>DEGREES((2*PI()/Inputs!$C$13)*Inputs!$C$15*SIN(RADIANS(AE10)))</f>
        <v/>
      </c>
      <c r="AG10" s="9">
        <f>(Z10/AA10)^4</f>
        <v/>
      </c>
      <c r="AH10" s="9">
        <f>10*LOG10(AG10)</f>
        <v/>
      </c>
      <c r="AI10" s="9">
        <f>AC10-F10</f>
        <v/>
      </c>
      <c r="AJ10" s="9">
        <f>AD10-G10</f>
        <v/>
      </c>
      <c r="AK10" s="9">
        <f>Y10-X10</f>
        <v/>
      </c>
      <c r="AL10" s="9">
        <f>1000*(AA11-AA9)/(A11-A9)*Inputs!$C$11</f>
        <v/>
      </c>
      <c r="AM10" s="9">
        <f>-2*AL10/Inputs!$C$13</f>
        <v/>
      </c>
      <c r="AN10" s="9">
        <f>-2*AL10/Inputs!$C$14</f>
        <v/>
      </c>
      <c r="AO10" s="9">
        <f>ABS(AM10)</f>
        <v/>
      </c>
      <c r="AP10" s="9">
        <f>ABS(AN10)</f>
        <v/>
      </c>
      <c r="AQ10" s="9">
        <f>IF(OR(Inputs!$C$27=TRUE,Inputs!$C$27="TRUE",Inputs!$C$27=1),Inputs!$C$46/Inputs!$C$12,0)</f>
        <v/>
      </c>
      <c r="AR10" s="9">
        <f>AC10-AQ10</f>
        <v/>
      </c>
      <c r="AS10" s="9">
        <f>AC10+AQ10</f>
        <v/>
      </c>
    </row>
    <row r="11">
      <c r="A11" s="9">
        <f>Inputs!$C$7+9*(Inputs!$C$8-Inputs!$C$7)/240</f>
        <v/>
      </c>
      <c r="B11" s="9">
        <f>Inputs!$C$5+Inputs!$C$9*(A11/Inputs!$C$10)^2</f>
        <v/>
      </c>
      <c r="C11" s="9">
        <f>B11</f>
        <v/>
      </c>
      <c r="D11" s="9">
        <f>SQRT((Inputs!$C$52+B11)^2+Inputs!$C$52^2-2*(Inputs!$C$52+B11)*Inputs!$C$52*COS(SQRT(A11^2+Inputs!$C$6^2)/Inputs!$C$52))</f>
        <v/>
      </c>
      <c r="E11" s="9">
        <f>(D11-C11)*1000</f>
        <v/>
      </c>
      <c r="F11" s="9">
        <f>E11/Inputs!$C$12</f>
        <v/>
      </c>
      <c r="G11" s="9">
        <f>2*E11/Inputs!$C$21*1000000</f>
        <v/>
      </c>
      <c r="H11" s="9">
        <f>SQRT(A11^2+Inputs!$C$6^2)</f>
        <v/>
      </c>
      <c r="I11" s="9">
        <f>DEGREES(ATAN(H11/B11))</f>
        <v/>
      </c>
      <c r="J11" s="9">
        <f>DEGREES((2*PI()/Inputs!$C$13)*Inputs!$C$15*SIN(RADIANS(I11)))</f>
        <v/>
      </c>
      <c r="K11" s="9">
        <f>(C11/D11)^4</f>
        <v/>
      </c>
      <c r="L11" s="9">
        <f>10*LOG10(K11)</f>
        <v/>
      </c>
      <c r="M11" s="9">
        <f>2*(Inputs!$C$9/(Inputs!$C$10^2))*A11</f>
        <v/>
      </c>
      <c r="N11" s="9">
        <f>M11*Inputs!$C$11</f>
        <v/>
      </c>
      <c r="O11" s="9">
        <f>1000*(D12-D10)/(A12-A10)*Inputs!$C$11</f>
        <v/>
      </c>
      <c r="P11" s="9">
        <f>-2*O11/Inputs!$C$13</f>
        <v/>
      </c>
      <c r="Q11" s="9">
        <f>-2*O11/Inputs!$C$14</f>
        <v/>
      </c>
      <c r="R11" s="9">
        <f>F11-Inputs!$C$16/2</f>
        <v/>
      </c>
      <c r="S11" s="9">
        <f>F11+Inputs!$C$16/2</f>
        <v/>
      </c>
      <c r="T11" s="9">
        <f>F11-Inputs!$C$17/2</f>
        <v/>
      </c>
      <c r="U11" s="9">
        <f>F11+Inputs!$C$17/2</f>
        <v/>
      </c>
      <c r="V11" s="9">
        <f>ABS(P11)</f>
        <v/>
      </c>
      <c r="W11" s="9">
        <f>ABS(Q11)</f>
        <v/>
      </c>
      <c r="X11" s="9">
        <f>IF(OR(Inputs!$C$27=TRUE,Inputs!$C$27="TRUE",Inputs!$C$27=1),1,0)*(Inputs!$C$51*(115*EXP(-(((0)-25)^2)/(4.5^2))+70*EXP(-(((0)+38)^2)/(7^2))*(0.55+0.45*SIN(2*PI()*(A11)/45))+24*SIN(2*PI()*(0)/9+(A11)/18)*EXP(-(((0)+5)^2)/(22^2))+18*SIN(2*PI()*(A11)/70))+Inputs!$C$28*EXP(-(((A11)-Inputs!$C$29)^2)/(2*Inputs!$C$31^2))*EXP(-(((0)-Inputs!$C$30)^2)/(2*Inputs!$C$32^2))+-Inputs!$C$33*EXP(-(((((A11)-Inputs!$C$34)^2)+(((0)-Inputs!$C$35)^2))/(2*Inputs!$C$36^2)))+Inputs!$C$37*(0.55*SIN(2*PI()*(A11)/Inputs!$C$39)+0.35*COS(2*PI()*(0)/Inputs!$C$40)+0.2*SIN(2*PI()*((A11)+(0))/(0.5*(Inputs!$C$39+Inputs!$C$40))))+Inputs!$C$38*SIN(2*PI()*(A11)/Inputs!$C$39)*SIN(2*PI()*(0)/Inputs!$C$40)+-Inputs!$C$41*EXP(-(((0)-Inputs!$C$43)^2)/(2*Inputs!$C$44^2))*EXP(-(((A11)-Inputs!$C$42)^2)/(2*Inputs!$C$45^2))+Inputs!$C$48*(0.7*(0.45*SIN(2*PI()*(((A11)/Inputs!$C$49)+Inputs!$C$47*0.137))+0.35*COS(2*PI()*(((0)/Inputs!$C$50)+Inputs!$C$47*0.173))+0.2*SIN(2*PI()*(((A11)+(0))/(0.5*(Inputs!$C$49+Inputs!$C$50))+Inputs!$C$47*0.097)))+0.3*(2*((SIN(((A11)*12.9898+(0)*78.233+Inputs!$C$47*37.719))*43758.5453)-INT((SIN(((A11)*12.9898+(0)*78.233+Inputs!$C$47*37.719))*43758.5453)))-1)))</f>
        <v/>
      </c>
      <c r="Y11" s="9">
        <f>IF(OR(Inputs!$C$27=TRUE,Inputs!$C$27="TRUE",Inputs!$C$27=1),1,0)*(Inputs!$C$51*(115*EXP(-(((Inputs!$C$6)-25)^2)/(4.5^2))+70*EXP(-(((Inputs!$C$6)+38)^2)/(7^2))*(0.55+0.45*SIN(2*PI()*(A11)/45))+24*SIN(2*PI()*(Inputs!$C$6)/9+(A11)/18)*EXP(-(((Inputs!$C$6)+5)^2)/(22^2))+18*SIN(2*PI()*(A11)/70))+Inputs!$C$28*EXP(-(((A11)-Inputs!$C$29)^2)/(2*Inputs!$C$31^2))*EXP(-(((Inputs!$C$6)-Inputs!$C$30)^2)/(2*Inputs!$C$32^2))+-Inputs!$C$33*EXP(-(((((A11)-Inputs!$C$34)^2)+(((Inputs!$C$6)-Inputs!$C$35)^2))/(2*Inputs!$C$36^2)))+Inputs!$C$37*(0.55*SIN(2*PI()*(A11)/Inputs!$C$39)+0.35*COS(2*PI()*(Inputs!$C$6)/Inputs!$C$40)+0.2*SIN(2*PI()*((A11)+(Inputs!$C$6))/(0.5*(Inputs!$C$39+Inputs!$C$40))))+Inputs!$C$38*SIN(2*PI()*(A11)/Inputs!$C$39)*SIN(2*PI()*(Inputs!$C$6)/Inputs!$C$40)+-Inputs!$C$41*EXP(-(((Inputs!$C$6)-Inputs!$C$43)^2)/(2*Inputs!$C$44^2))*EXP(-(((A11)-Inputs!$C$42)^2)/(2*Inputs!$C$45^2))+Inputs!$C$48*(0.7*(0.45*SIN(2*PI()*(((A11)/Inputs!$C$49)+Inputs!$C$47*0.137))+0.35*COS(2*PI()*(((Inputs!$C$6)/Inputs!$C$50)+Inputs!$C$47*0.173))+0.2*SIN(2*PI()*(((A11)+(Inputs!$C$6))/(0.5*(Inputs!$C$49+Inputs!$C$50))+Inputs!$C$47*0.097)))+0.3*(2*((SIN(((A11)*12.9898+(Inputs!$C$6)*78.233+Inputs!$C$47*37.719))*43758.5453)-INT((SIN(((A11)*12.9898+(Inputs!$C$6)*78.233+Inputs!$C$47*37.719))*43758.5453)))-1)))</f>
        <v/>
      </c>
      <c r="Z11" s="9">
        <f>B11-X11/1000</f>
        <v/>
      </c>
      <c r="AA11" s="9">
        <f>SQRT((Inputs!$C$52+B11)^2+(Inputs!$C$52+Y11/1000)^2-2*(Inputs!$C$52+B11)*(Inputs!$C$52+Y11/1000)*COS(SQRT(A11^2+Inputs!$C$6^2)/Inputs!$C$52))</f>
        <v/>
      </c>
      <c r="AB11" s="9">
        <f>(AA11-Z11)*1000</f>
        <v/>
      </c>
      <c r="AC11" s="9">
        <f>AB11/Inputs!$C$12</f>
        <v/>
      </c>
      <c r="AD11" s="9">
        <f>2*AB11/Inputs!$C$21*1000000</f>
        <v/>
      </c>
      <c r="AE11" s="9">
        <f>DEGREES(ATAN(H11/(B11-Y11/1000)))</f>
        <v/>
      </c>
      <c r="AF11" s="9">
        <f>DEGREES((2*PI()/Inputs!$C$13)*Inputs!$C$15*SIN(RADIANS(AE11)))</f>
        <v/>
      </c>
      <c r="AG11" s="9">
        <f>(Z11/AA11)^4</f>
        <v/>
      </c>
      <c r="AH11" s="9">
        <f>10*LOG10(AG11)</f>
        <v/>
      </c>
      <c r="AI11" s="9">
        <f>AC11-F11</f>
        <v/>
      </c>
      <c r="AJ11" s="9">
        <f>AD11-G11</f>
        <v/>
      </c>
      <c r="AK11" s="9">
        <f>Y11-X11</f>
        <v/>
      </c>
      <c r="AL11" s="9">
        <f>1000*(AA12-AA10)/(A12-A10)*Inputs!$C$11</f>
        <v/>
      </c>
      <c r="AM11" s="9">
        <f>-2*AL11/Inputs!$C$13</f>
        <v/>
      </c>
      <c r="AN11" s="9">
        <f>-2*AL11/Inputs!$C$14</f>
        <v/>
      </c>
      <c r="AO11" s="9">
        <f>ABS(AM11)</f>
        <v/>
      </c>
      <c r="AP11" s="9">
        <f>ABS(AN11)</f>
        <v/>
      </c>
      <c r="AQ11" s="9">
        <f>IF(OR(Inputs!$C$27=TRUE,Inputs!$C$27="TRUE",Inputs!$C$27=1),Inputs!$C$46/Inputs!$C$12,0)</f>
        <v/>
      </c>
      <c r="AR11" s="9">
        <f>AC11-AQ11</f>
        <v/>
      </c>
      <c r="AS11" s="9">
        <f>AC11+AQ11</f>
        <v/>
      </c>
    </row>
    <row r="12">
      <c r="A12" s="9">
        <f>Inputs!$C$7+10*(Inputs!$C$8-Inputs!$C$7)/240</f>
        <v/>
      </c>
      <c r="B12" s="9">
        <f>Inputs!$C$5+Inputs!$C$9*(A12/Inputs!$C$10)^2</f>
        <v/>
      </c>
      <c r="C12" s="9">
        <f>B12</f>
        <v/>
      </c>
      <c r="D12" s="9">
        <f>SQRT((Inputs!$C$52+B12)^2+Inputs!$C$52^2-2*(Inputs!$C$52+B12)*Inputs!$C$52*COS(SQRT(A12^2+Inputs!$C$6^2)/Inputs!$C$52))</f>
        <v/>
      </c>
      <c r="E12" s="9">
        <f>(D12-C12)*1000</f>
        <v/>
      </c>
      <c r="F12" s="9">
        <f>E12/Inputs!$C$12</f>
        <v/>
      </c>
      <c r="G12" s="9">
        <f>2*E12/Inputs!$C$21*1000000</f>
        <v/>
      </c>
      <c r="H12" s="9">
        <f>SQRT(A12^2+Inputs!$C$6^2)</f>
        <v/>
      </c>
      <c r="I12" s="9">
        <f>DEGREES(ATAN(H12/B12))</f>
        <v/>
      </c>
      <c r="J12" s="9">
        <f>DEGREES((2*PI()/Inputs!$C$13)*Inputs!$C$15*SIN(RADIANS(I12)))</f>
        <v/>
      </c>
      <c r="K12" s="9">
        <f>(C12/D12)^4</f>
        <v/>
      </c>
      <c r="L12" s="9">
        <f>10*LOG10(K12)</f>
        <v/>
      </c>
      <c r="M12" s="9">
        <f>2*(Inputs!$C$9/(Inputs!$C$10^2))*A12</f>
        <v/>
      </c>
      <c r="N12" s="9">
        <f>M12*Inputs!$C$11</f>
        <v/>
      </c>
      <c r="O12" s="9">
        <f>1000*(D13-D11)/(A13-A11)*Inputs!$C$11</f>
        <v/>
      </c>
      <c r="P12" s="9">
        <f>-2*O12/Inputs!$C$13</f>
        <v/>
      </c>
      <c r="Q12" s="9">
        <f>-2*O12/Inputs!$C$14</f>
        <v/>
      </c>
      <c r="R12" s="9">
        <f>F12-Inputs!$C$16/2</f>
        <v/>
      </c>
      <c r="S12" s="9">
        <f>F12+Inputs!$C$16/2</f>
        <v/>
      </c>
      <c r="T12" s="9">
        <f>F12-Inputs!$C$17/2</f>
        <v/>
      </c>
      <c r="U12" s="9">
        <f>F12+Inputs!$C$17/2</f>
        <v/>
      </c>
      <c r="V12" s="9">
        <f>ABS(P12)</f>
        <v/>
      </c>
      <c r="W12" s="9">
        <f>ABS(Q12)</f>
        <v/>
      </c>
      <c r="X12" s="9">
        <f>IF(OR(Inputs!$C$27=TRUE,Inputs!$C$27="TRUE",Inputs!$C$27=1),1,0)*(Inputs!$C$51*(115*EXP(-(((0)-25)^2)/(4.5^2))+70*EXP(-(((0)+38)^2)/(7^2))*(0.55+0.45*SIN(2*PI()*(A12)/45))+24*SIN(2*PI()*(0)/9+(A12)/18)*EXP(-(((0)+5)^2)/(22^2))+18*SIN(2*PI()*(A12)/70))+Inputs!$C$28*EXP(-(((A12)-Inputs!$C$29)^2)/(2*Inputs!$C$31^2))*EXP(-(((0)-Inputs!$C$30)^2)/(2*Inputs!$C$32^2))+-Inputs!$C$33*EXP(-(((((A12)-Inputs!$C$34)^2)+(((0)-Inputs!$C$35)^2))/(2*Inputs!$C$36^2)))+Inputs!$C$37*(0.55*SIN(2*PI()*(A12)/Inputs!$C$39)+0.35*COS(2*PI()*(0)/Inputs!$C$40)+0.2*SIN(2*PI()*((A12)+(0))/(0.5*(Inputs!$C$39+Inputs!$C$40))))+Inputs!$C$38*SIN(2*PI()*(A12)/Inputs!$C$39)*SIN(2*PI()*(0)/Inputs!$C$40)+-Inputs!$C$41*EXP(-(((0)-Inputs!$C$43)^2)/(2*Inputs!$C$44^2))*EXP(-(((A12)-Inputs!$C$42)^2)/(2*Inputs!$C$45^2))+Inputs!$C$48*(0.7*(0.45*SIN(2*PI()*(((A12)/Inputs!$C$49)+Inputs!$C$47*0.137))+0.35*COS(2*PI()*(((0)/Inputs!$C$50)+Inputs!$C$47*0.173))+0.2*SIN(2*PI()*(((A12)+(0))/(0.5*(Inputs!$C$49+Inputs!$C$50))+Inputs!$C$47*0.097)))+0.3*(2*((SIN(((A12)*12.9898+(0)*78.233+Inputs!$C$47*37.719))*43758.5453)-INT((SIN(((A12)*12.9898+(0)*78.233+Inputs!$C$47*37.719))*43758.5453)))-1)))</f>
        <v/>
      </c>
      <c r="Y12" s="9">
        <f>IF(OR(Inputs!$C$27=TRUE,Inputs!$C$27="TRUE",Inputs!$C$27=1),1,0)*(Inputs!$C$51*(115*EXP(-(((Inputs!$C$6)-25)^2)/(4.5^2))+70*EXP(-(((Inputs!$C$6)+38)^2)/(7^2))*(0.55+0.45*SIN(2*PI()*(A12)/45))+24*SIN(2*PI()*(Inputs!$C$6)/9+(A12)/18)*EXP(-(((Inputs!$C$6)+5)^2)/(22^2))+18*SIN(2*PI()*(A12)/70))+Inputs!$C$28*EXP(-(((A12)-Inputs!$C$29)^2)/(2*Inputs!$C$31^2))*EXP(-(((Inputs!$C$6)-Inputs!$C$30)^2)/(2*Inputs!$C$32^2))+-Inputs!$C$33*EXP(-(((((A12)-Inputs!$C$34)^2)+(((Inputs!$C$6)-Inputs!$C$35)^2))/(2*Inputs!$C$36^2)))+Inputs!$C$37*(0.55*SIN(2*PI()*(A12)/Inputs!$C$39)+0.35*COS(2*PI()*(Inputs!$C$6)/Inputs!$C$40)+0.2*SIN(2*PI()*((A12)+(Inputs!$C$6))/(0.5*(Inputs!$C$39+Inputs!$C$40))))+Inputs!$C$38*SIN(2*PI()*(A12)/Inputs!$C$39)*SIN(2*PI()*(Inputs!$C$6)/Inputs!$C$40)+-Inputs!$C$41*EXP(-(((Inputs!$C$6)-Inputs!$C$43)^2)/(2*Inputs!$C$44^2))*EXP(-(((A12)-Inputs!$C$42)^2)/(2*Inputs!$C$45^2))+Inputs!$C$48*(0.7*(0.45*SIN(2*PI()*(((A12)/Inputs!$C$49)+Inputs!$C$47*0.137))+0.35*COS(2*PI()*(((Inputs!$C$6)/Inputs!$C$50)+Inputs!$C$47*0.173))+0.2*SIN(2*PI()*(((A12)+(Inputs!$C$6))/(0.5*(Inputs!$C$49+Inputs!$C$50))+Inputs!$C$47*0.097)))+0.3*(2*((SIN(((A12)*12.9898+(Inputs!$C$6)*78.233+Inputs!$C$47*37.719))*43758.5453)-INT((SIN(((A12)*12.9898+(Inputs!$C$6)*78.233+Inputs!$C$47*37.719))*43758.5453)))-1)))</f>
        <v/>
      </c>
      <c r="Z12" s="9">
        <f>B12-X12/1000</f>
        <v/>
      </c>
      <c r="AA12" s="9">
        <f>SQRT((Inputs!$C$52+B12)^2+(Inputs!$C$52+Y12/1000)^2-2*(Inputs!$C$52+B12)*(Inputs!$C$52+Y12/1000)*COS(SQRT(A12^2+Inputs!$C$6^2)/Inputs!$C$52))</f>
        <v/>
      </c>
      <c r="AB12" s="9">
        <f>(AA12-Z12)*1000</f>
        <v/>
      </c>
      <c r="AC12" s="9">
        <f>AB12/Inputs!$C$12</f>
        <v/>
      </c>
      <c r="AD12" s="9">
        <f>2*AB12/Inputs!$C$21*1000000</f>
        <v/>
      </c>
      <c r="AE12" s="9">
        <f>DEGREES(ATAN(H12/(B12-Y12/1000)))</f>
        <v/>
      </c>
      <c r="AF12" s="9">
        <f>DEGREES((2*PI()/Inputs!$C$13)*Inputs!$C$15*SIN(RADIANS(AE12)))</f>
        <v/>
      </c>
      <c r="AG12" s="9">
        <f>(Z12/AA12)^4</f>
        <v/>
      </c>
      <c r="AH12" s="9">
        <f>10*LOG10(AG12)</f>
        <v/>
      </c>
      <c r="AI12" s="9">
        <f>AC12-F12</f>
        <v/>
      </c>
      <c r="AJ12" s="9">
        <f>AD12-G12</f>
        <v/>
      </c>
      <c r="AK12" s="9">
        <f>Y12-X12</f>
        <v/>
      </c>
      <c r="AL12" s="9">
        <f>1000*(AA13-AA11)/(A13-A11)*Inputs!$C$11</f>
        <v/>
      </c>
      <c r="AM12" s="9">
        <f>-2*AL12/Inputs!$C$13</f>
        <v/>
      </c>
      <c r="AN12" s="9">
        <f>-2*AL12/Inputs!$C$14</f>
        <v/>
      </c>
      <c r="AO12" s="9">
        <f>ABS(AM12)</f>
        <v/>
      </c>
      <c r="AP12" s="9">
        <f>ABS(AN12)</f>
        <v/>
      </c>
      <c r="AQ12" s="9">
        <f>IF(OR(Inputs!$C$27=TRUE,Inputs!$C$27="TRUE",Inputs!$C$27=1),Inputs!$C$46/Inputs!$C$12,0)</f>
        <v/>
      </c>
      <c r="AR12" s="9">
        <f>AC12-AQ12</f>
        <v/>
      </c>
      <c r="AS12" s="9">
        <f>AC12+AQ12</f>
        <v/>
      </c>
    </row>
    <row r="13">
      <c r="A13" s="9">
        <f>Inputs!$C$7+11*(Inputs!$C$8-Inputs!$C$7)/240</f>
        <v/>
      </c>
      <c r="B13" s="9">
        <f>Inputs!$C$5+Inputs!$C$9*(A13/Inputs!$C$10)^2</f>
        <v/>
      </c>
      <c r="C13" s="9">
        <f>B13</f>
        <v/>
      </c>
      <c r="D13" s="9">
        <f>SQRT((Inputs!$C$52+B13)^2+Inputs!$C$52^2-2*(Inputs!$C$52+B13)*Inputs!$C$52*COS(SQRT(A13^2+Inputs!$C$6^2)/Inputs!$C$52))</f>
        <v/>
      </c>
      <c r="E13" s="9">
        <f>(D13-C13)*1000</f>
        <v/>
      </c>
      <c r="F13" s="9">
        <f>E13/Inputs!$C$12</f>
        <v/>
      </c>
      <c r="G13" s="9">
        <f>2*E13/Inputs!$C$21*1000000</f>
        <v/>
      </c>
      <c r="H13" s="9">
        <f>SQRT(A13^2+Inputs!$C$6^2)</f>
        <v/>
      </c>
      <c r="I13" s="9">
        <f>DEGREES(ATAN(H13/B13))</f>
        <v/>
      </c>
      <c r="J13" s="9">
        <f>DEGREES((2*PI()/Inputs!$C$13)*Inputs!$C$15*SIN(RADIANS(I13)))</f>
        <v/>
      </c>
      <c r="K13" s="9">
        <f>(C13/D13)^4</f>
        <v/>
      </c>
      <c r="L13" s="9">
        <f>10*LOG10(K13)</f>
        <v/>
      </c>
      <c r="M13" s="9">
        <f>2*(Inputs!$C$9/(Inputs!$C$10^2))*A13</f>
        <v/>
      </c>
      <c r="N13" s="9">
        <f>M13*Inputs!$C$11</f>
        <v/>
      </c>
      <c r="O13" s="9">
        <f>1000*(D14-D12)/(A14-A12)*Inputs!$C$11</f>
        <v/>
      </c>
      <c r="P13" s="9">
        <f>-2*O13/Inputs!$C$13</f>
        <v/>
      </c>
      <c r="Q13" s="9">
        <f>-2*O13/Inputs!$C$14</f>
        <v/>
      </c>
      <c r="R13" s="9">
        <f>F13-Inputs!$C$16/2</f>
        <v/>
      </c>
      <c r="S13" s="9">
        <f>F13+Inputs!$C$16/2</f>
        <v/>
      </c>
      <c r="T13" s="9">
        <f>F13-Inputs!$C$17/2</f>
        <v/>
      </c>
      <c r="U13" s="9">
        <f>F13+Inputs!$C$17/2</f>
        <v/>
      </c>
      <c r="V13" s="9">
        <f>ABS(P13)</f>
        <v/>
      </c>
      <c r="W13" s="9">
        <f>ABS(Q13)</f>
        <v/>
      </c>
      <c r="X13" s="9">
        <f>IF(OR(Inputs!$C$27=TRUE,Inputs!$C$27="TRUE",Inputs!$C$27=1),1,0)*(Inputs!$C$51*(115*EXP(-(((0)-25)^2)/(4.5^2))+70*EXP(-(((0)+38)^2)/(7^2))*(0.55+0.45*SIN(2*PI()*(A13)/45))+24*SIN(2*PI()*(0)/9+(A13)/18)*EXP(-(((0)+5)^2)/(22^2))+18*SIN(2*PI()*(A13)/70))+Inputs!$C$28*EXP(-(((A13)-Inputs!$C$29)^2)/(2*Inputs!$C$31^2))*EXP(-(((0)-Inputs!$C$30)^2)/(2*Inputs!$C$32^2))+-Inputs!$C$33*EXP(-(((((A13)-Inputs!$C$34)^2)+(((0)-Inputs!$C$35)^2))/(2*Inputs!$C$36^2)))+Inputs!$C$37*(0.55*SIN(2*PI()*(A13)/Inputs!$C$39)+0.35*COS(2*PI()*(0)/Inputs!$C$40)+0.2*SIN(2*PI()*((A13)+(0))/(0.5*(Inputs!$C$39+Inputs!$C$40))))+Inputs!$C$38*SIN(2*PI()*(A13)/Inputs!$C$39)*SIN(2*PI()*(0)/Inputs!$C$40)+-Inputs!$C$41*EXP(-(((0)-Inputs!$C$43)^2)/(2*Inputs!$C$44^2))*EXP(-(((A13)-Inputs!$C$42)^2)/(2*Inputs!$C$45^2))+Inputs!$C$48*(0.7*(0.45*SIN(2*PI()*(((A13)/Inputs!$C$49)+Inputs!$C$47*0.137))+0.35*COS(2*PI()*(((0)/Inputs!$C$50)+Inputs!$C$47*0.173))+0.2*SIN(2*PI()*(((A13)+(0))/(0.5*(Inputs!$C$49+Inputs!$C$50))+Inputs!$C$47*0.097)))+0.3*(2*((SIN(((A13)*12.9898+(0)*78.233+Inputs!$C$47*37.719))*43758.5453)-INT((SIN(((A13)*12.9898+(0)*78.233+Inputs!$C$47*37.719))*43758.5453)))-1)))</f>
        <v/>
      </c>
      <c r="Y13" s="9">
        <f>IF(OR(Inputs!$C$27=TRUE,Inputs!$C$27="TRUE",Inputs!$C$27=1),1,0)*(Inputs!$C$51*(115*EXP(-(((Inputs!$C$6)-25)^2)/(4.5^2))+70*EXP(-(((Inputs!$C$6)+38)^2)/(7^2))*(0.55+0.45*SIN(2*PI()*(A13)/45))+24*SIN(2*PI()*(Inputs!$C$6)/9+(A13)/18)*EXP(-(((Inputs!$C$6)+5)^2)/(22^2))+18*SIN(2*PI()*(A13)/70))+Inputs!$C$28*EXP(-(((A13)-Inputs!$C$29)^2)/(2*Inputs!$C$31^2))*EXP(-(((Inputs!$C$6)-Inputs!$C$30)^2)/(2*Inputs!$C$32^2))+-Inputs!$C$33*EXP(-(((((A13)-Inputs!$C$34)^2)+(((Inputs!$C$6)-Inputs!$C$35)^2))/(2*Inputs!$C$36^2)))+Inputs!$C$37*(0.55*SIN(2*PI()*(A13)/Inputs!$C$39)+0.35*COS(2*PI()*(Inputs!$C$6)/Inputs!$C$40)+0.2*SIN(2*PI()*((A13)+(Inputs!$C$6))/(0.5*(Inputs!$C$39+Inputs!$C$40))))+Inputs!$C$38*SIN(2*PI()*(A13)/Inputs!$C$39)*SIN(2*PI()*(Inputs!$C$6)/Inputs!$C$40)+-Inputs!$C$41*EXP(-(((Inputs!$C$6)-Inputs!$C$43)^2)/(2*Inputs!$C$44^2))*EXP(-(((A13)-Inputs!$C$42)^2)/(2*Inputs!$C$45^2))+Inputs!$C$48*(0.7*(0.45*SIN(2*PI()*(((A13)/Inputs!$C$49)+Inputs!$C$47*0.137))+0.35*COS(2*PI()*(((Inputs!$C$6)/Inputs!$C$50)+Inputs!$C$47*0.173))+0.2*SIN(2*PI()*(((A13)+(Inputs!$C$6))/(0.5*(Inputs!$C$49+Inputs!$C$50))+Inputs!$C$47*0.097)))+0.3*(2*((SIN(((A13)*12.9898+(Inputs!$C$6)*78.233+Inputs!$C$47*37.719))*43758.5453)-INT((SIN(((A13)*12.9898+(Inputs!$C$6)*78.233+Inputs!$C$47*37.719))*43758.5453)))-1)))</f>
        <v/>
      </c>
      <c r="Z13" s="9">
        <f>B13-X13/1000</f>
        <v/>
      </c>
      <c r="AA13" s="9">
        <f>SQRT((Inputs!$C$52+B13)^2+(Inputs!$C$52+Y13/1000)^2-2*(Inputs!$C$52+B13)*(Inputs!$C$52+Y13/1000)*COS(SQRT(A13^2+Inputs!$C$6^2)/Inputs!$C$52))</f>
        <v/>
      </c>
      <c r="AB13" s="9">
        <f>(AA13-Z13)*1000</f>
        <v/>
      </c>
      <c r="AC13" s="9">
        <f>AB13/Inputs!$C$12</f>
        <v/>
      </c>
      <c r="AD13" s="9">
        <f>2*AB13/Inputs!$C$21*1000000</f>
        <v/>
      </c>
      <c r="AE13" s="9">
        <f>DEGREES(ATAN(H13/(B13-Y13/1000)))</f>
        <v/>
      </c>
      <c r="AF13" s="9">
        <f>DEGREES((2*PI()/Inputs!$C$13)*Inputs!$C$15*SIN(RADIANS(AE13)))</f>
        <v/>
      </c>
      <c r="AG13" s="9">
        <f>(Z13/AA13)^4</f>
        <v/>
      </c>
      <c r="AH13" s="9">
        <f>10*LOG10(AG13)</f>
        <v/>
      </c>
      <c r="AI13" s="9">
        <f>AC13-F13</f>
        <v/>
      </c>
      <c r="AJ13" s="9">
        <f>AD13-G13</f>
        <v/>
      </c>
      <c r="AK13" s="9">
        <f>Y13-X13</f>
        <v/>
      </c>
      <c r="AL13" s="9">
        <f>1000*(AA14-AA12)/(A14-A12)*Inputs!$C$11</f>
        <v/>
      </c>
      <c r="AM13" s="9">
        <f>-2*AL13/Inputs!$C$13</f>
        <v/>
      </c>
      <c r="AN13" s="9">
        <f>-2*AL13/Inputs!$C$14</f>
        <v/>
      </c>
      <c r="AO13" s="9">
        <f>ABS(AM13)</f>
        <v/>
      </c>
      <c r="AP13" s="9">
        <f>ABS(AN13)</f>
        <v/>
      </c>
      <c r="AQ13" s="9">
        <f>IF(OR(Inputs!$C$27=TRUE,Inputs!$C$27="TRUE",Inputs!$C$27=1),Inputs!$C$46/Inputs!$C$12,0)</f>
        <v/>
      </c>
      <c r="AR13" s="9">
        <f>AC13-AQ13</f>
        <v/>
      </c>
      <c r="AS13" s="9">
        <f>AC13+AQ13</f>
        <v/>
      </c>
    </row>
    <row r="14">
      <c r="A14" s="9">
        <f>Inputs!$C$7+12*(Inputs!$C$8-Inputs!$C$7)/240</f>
        <v/>
      </c>
      <c r="B14" s="9">
        <f>Inputs!$C$5+Inputs!$C$9*(A14/Inputs!$C$10)^2</f>
        <v/>
      </c>
      <c r="C14" s="9">
        <f>B14</f>
        <v/>
      </c>
      <c r="D14" s="9">
        <f>SQRT((Inputs!$C$52+B14)^2+Inputs!$C$52^2-2*(Inputs!$C$52+B14)*Inputs!$C$52*COS(SQRT(A14^2+Inputs!$C$6^2)/Inputs!$C$52))</f>
        <v/>
      </c>
      <c r="E14" s="9">
        <f>(D14-C14)*1000</f>
        <v/>
      </c>
      <c r="F14" s="9">
        <f>E14/Inputs!$C$12</f>
        <v/>
      </c>
      <c r="G14" s="9">
        <f>2*E14/Inputs!$C$21*1000000</f>
        <v/>
      </c>
      <c r="H14" s="9">
        <f>SQRT(A14^2+Inputs!$C$6^2)</f>
        <v/>
      </c>
      <c r="I14" s="9">
        <f>DEGREES(ATAN(H14/B14))</f>
        <v/>
      </c>
      <c r="J14" s="9">
        <f>DEGREES((2*PI()/Inputs!$C$13)*Inputs!$C$15*SIN(RADIANS(I14)))</f>
        <v/>
      </c>
      <c r="K14" s="9">
        <f>(C14/D14)^4</f>
        <v/>
      </c>
      <c r="L14" s="9">
        <f>10*LOG10(K14)</f>
        <v/>
      </c>
      <c r="M14" s="9">
        <f>2*(Inputs!$C$9/(Inputs!$C$10^2))*A14</f>
        <v/>
      </c>
      <c r="N14" s="9">
        <f>M14*Inputs!$C$11</f>
        <v/>
      </c>
      <c r="O14" s="9">
        <f>1000*(D15-D13)/(A15-A13)*Inputs!$C$11</f>
        <v/>
      </c>
      <c r="P14" s="9">
        <f>-2*O14/Inputs!$C$13</f>
        <v/>
      </c>
      <c r="Q14" s="9">
        <f>-2*O14/Inputs!$C$14</f>
        <v/>
      </c>
      <c r="R14" s="9">
        <f>F14-Inputs!$C$16/2</f>
        <v/>
      </c>
      <c r="S14" s="9">
        <f>F14+Inputs!$C$16/2</f>
        <v/>
      </c>
      <c r="T14" s="9">
        <f>F14-Inputs!$C$17/2</f>
        <v/>
      </c>
      <c r="U14" s="9">
        <f>F14+Inputs!$C$17/2</f>
        <v/>
      </c>
      <c r="V14" s="9">
        <f>ABS(P14)</f>
        <v/>
      </c>
      <c r="W14" s="9">
        <f>ABS(Q14)</f>
        <v/>
      </c>
      <c r="X14" s="9">
        <f>IF(OR(Inputs!$C$27=TRUE,Inputs!$C$27="TRUE",Inputs!$C$27=1),1,0)*(Inputs!$C$51*(115*EXP(-(((0)-25)^2)/(4.5^2))+70*EXP(-(((0)+38)^2)/(7^2))*(0.55+0.45*SIN(2*PI()*(A14)/45))+24*SIN(2*PI()*(0)/9+(A14)/18)*EXP(-(((0)+5)^2)/(22^2))+18*SIN(2*PI()*(A14)/70))+Inputs!$C$28*EXP(-(((A14)-Inputs!$C$29)^2)/(2*Inputs!$C$31^2))*EXP(-(((0)-Inputs!$C$30)^2)/(2*Inputs!$C$32^2))+-Inputs!$C$33*EXP(-(((((A14)-Inputs!$C$34)^2)+(((0)-Inputs!$C$35)^2))/(2*Inputs!$C$36^2)))+Inputs!$C$37*(0.55*SIN(2*PI()*(A14)/Inputs!$C$39)+0.35*COS(2*PI()*(0)/Inputs!$C$40)+0.2*SIN(2*PI()*((A14)+(0))/(0.5*(Inputs!$C$39+Inputs!$C$40))))+Inputs!$C$38*SIN(2*PI()*(A14)/Inputs!$C$39)*SIN(2*PI()*(0)/Inputs!$C$40)+-Inputs!$C$41*EXP(-(((0)-Inputs!$C$43)^2)/(2*Inputs!$C$44^2))*EXP(-(((A14)-Inputs!$C$42)^2)/(2*Inputs!$C$45^2))+Inputs!$C$48*(0.7*(0.45*SIN(2*PI()*(((A14)/Inputs!$C$49)+Inputs!$C$47*0.137))+0.35*COS(2*PI()*(((0)/Inputs!$C$50)+Inputs!$C$47*0.173))+0.2*SIN(2*PI()*(((A14)+(0))/(0.5*(Inputs!$C$49+Inputs!$C$50))+Inputs!$C$47*0.097)))+0.3*(2*((SIN(((A14)*12.9898+(0)*78.233+Inputs!$C$47*37.719))*43758.5453)-INT((SIN(((A14)*12.9898+(0)*78.233+Inputs!$C$47*37.719))*43758.5453)))-1)))</f>
        <v/>
      </c>
      <c r="Y14" s="9">
        <f>IF(OR(Inputs!$C$27=TRUE,Inputs!$C$27="TRUE",Inputs!$C$27=1),1,0)*(Inputs!$C$51*(115*EXP(-(((Inputs!$C$6)-25)^2)/(4.5^2))+70*EXP(-(((Inputs!$C$6)+38)^2)/(7^2))*(0.55+0.45*SIN(2*PI()*(A14)/45))+24*SIN(2*PI()*(Inputs!$C$6)/9+(A14)/18)*EXP(-(((Inputs!$C$6)+5)^2)/(22^2))+18*SIN(2*PI()*(A14)/70))+Inputs!$C$28*EXP(-(((A14)-Inputs!$C$29)^2)/(2*Inputs!$C$31^2))*EXP(-(((Inputs!$C$6)-Inputs!$C$30)^2)/(2*Inputs!$C$32^2))+-Inputs!$C$33*EXP(-(((((A14)-Inputs!$C$34)^2)+(((Inputs!$C$6)-Inputs!$C$35)^2))/(2*Inputs!$C$36^2)))+Inputs!$C$37*(0.55*SIN(2*PI()*(A14)/Inputs!$C$39)+0.35*COS(2*PI()*(Inputs!$C$6)/Inputs!$C$40)+0.2*SIN(2*PI()*((A14)+(Inputs!$C$6))/(0.5*(Inputs!$C$39+Inputs!$C$40))))+Inputs!$C$38*SIN(2*PI()*(A14)/Inputs!$C$39)*SIN(2*PI()*(Inputs!$C$6)/Inputs!$C$40)+-Inputs!$C$41*EXP(-(((Inputs!$C$6)-Inputs!$C$43)^2)/(2*Inputs!$C$44^2))*EXP(-(((A14)-Inputs!$C$42)^2)/(2*Inputs!$C$45^2))+Inputs!$C$48*(0.7*(0.45*SIN(2*PI()*(((A14)/Inputs!$C$49)+Inputs!$C$47*0.137))+0.35*COS(2*PI()*(((Inputs!$C$6)/Inputs!$C$50)+Inputs!$C$47*0.173))+0.2*SIN(2*PI()*(((A14)+(Inputs!$C$6))/(0.5*(Inputs!$C$49+Inputs!$C$50))+Inputs!$C$47*0.097)))+0.3*(2*((SIN(((A14)*12.9898+(Inputs!$C$6)*78.233+Inputs!$C$47*37.719))*43758.5453)-INT((SIN(((A14)*12.9898+(Inputs!$C$6)*78.233+Inputs!$C$47*37.719))*43758.5453)))-1)))</f>
        <v/>
      </c>
      <c r="Z14" s="9">
        <f>B14-X14/1000</f>
        <v/>
      </c>
      <c r="AA14" s="9">
        <f>SQRT((Inputs!$C$52+B14)^2+(Inputs!$C$52+Y14/1000)^2-2*(Inputs!$C$52+B14)*(Inputs!$C$52+Y14/1000)*COS(SQRT(A14^2+Inputs!$C$6^2)/Inputs!$C$52))</f>
        <v/>
      </c>
      <c r="AB14" s="9">
        <f>(AA14-Z14)*1000</f>
        <v/>
      </c>
      <c r="AC14" s="9">
        <f>AB14/Inputs!$C$12</f>
        <v/>
      </c>
      <c r="AD14" s="9">
        <f>2*AB14/Inputs!$C$21*1000000</f>
        <v/>
      </c>
      <c r="AE14" s="9">
        <f>DEGREES(ATAN(H14/(B14-Y14/1000)))</f>
        <v/>
      </c>
      <c r="AF14" s="9">
        <f>DEGREES((2*PI()/Inputs!$C$13)*Inputs!$C$15*SIN(RADIANS(AE14)))</f>
        <v/>
      </c>
      <c r="AG14" s="9">
        <f>(Z14/AA14)^4</f>
        <v/>
      </c>
      <c r="AH14" s="9">
        <f>10*LOG10(AG14)</f>
        <v/>
      </c>
      <c r="AI14" s="9">
        <f>AC14-F14</f>
        <v/>
      </c>
      <c r="AJ14" s="9">
        <f>AD14-G14</f>
        <v/>
      </c>
      <c r="AK14" s="9">
        <f>Y14-X14</f>
        <v/>
      </c>
      <c r="AL14" s="9">
        <f>1000*(AA15-AA13)/(A15-A13)*Inputs!$C$11</f>
        <v/>
      </c>
      <c r="AM14" s="9">
        <f>-2*AL14/Inputs!$C$13</f>
        <v/>
      </c>
      <c r="AN14" s="9">
        <f>-2*AL14/Inputs!$C$14</f>
        <v/>
      </c>
      <c r="AO14" s="9">
        <f>ABS(AM14)</f>
        <v/>
      </c>
      <c r="AP14" s="9">
        <f>ABS(AN14)</f>
        <v/>
      </c>
      <c r="AQ14" s="9">
        <f>IF(OR(Inputs!$C$27=TRUE,Inputs!$C$27="TRUE",Inputs!$C$27=1),Inputs!$C$46/Inputs!$C$12,0)</f>
        <v/>
      </c>
      <c r="AR14" s="9">
        <f>AC14-AQ14</f>
        <v/>
      </c>
      <c r="AS14" s="9">
        <f>AC14+AQ14</f>
        <v/>
      </c>
    </row>
    <row r="15">
      <c r="A15" s="9">
        <f>Inputs!$C$7+13*(Inputs!$C$8-Inputs!$C$7)/240</f>
        <v/>
      </c>
      <c r="B15" s="9">
        <f>Inputs!$C$5+Inputs!$C$9*(A15/Inputs!$C$10)^2</f>
        <v/>
      </c>
      <c r="C15" s="9">
        <f>B15</f>
        <v/>
      </c>
      <c r="D15" s="9">
        <f>SQRT((Inputs!$C$52+B15)^2+Inputs!$C$52^2-2*(Inputs!$C$52+B15)*Inputs!$C$52*COS(SQRT(A15^2+Inputs!$C$6^2)/Inputs!$C$52))</f>
        <v/>
      </c>
      <c r="E15" s="9">
        <f>(D15-C15)*1000</f>
        <v/>
      </c>
      <c r="F15" s="9">
        <f>E15/Inputs!$C$12</f>
        <v/>
      </c>
      <c r="G15" s="9">
        <f>2*E15/Inputs!$C$21*1000000</f>
        <v/>
      </c>
      <c r="H15" s="9">
        <f>SQRT(A15^2+Inputs!$C$6^2)</f>
        <v/>
      </c>
      <c r="I15" s="9">
        <f>DEGREES(ATAN(H15/B15))</f>
        <v/>
      </c>
      <c r="J15" s="9">
        <f>DEGREES((2*PI()/Inputs!$C$13)*Inputs!$C$15*SIN(RADIANS(I15)))</f>
        <v/>
      </c>
      <c r="K15" s="9">
        <f>(C15/D15)^4</f>
        <v/>
      </c>
      <c r="L15" s="9">
        <f>10*LOG10(K15)</f>
        <v/>
      </c>
      <c r="M15" s="9">
        <f>2*(Inputs!$C$9/(Inputs!$C$10^2))*A15</f>
        <v/>
      </c>
      <c r="N15" s="9">
        <f>M15*Inputs!$C$11</f>
        <v/>
      </c>
      <c r="O15" s="9">
        <f>1000*(D16-D14)/(A16-A14)*Inputs!$C$11</f>
        <v/>
      </c>
      <c r="P15" s="9">
        <f>-2*O15/Inputs!$C$13</f>
        <v/>
      </c>
      <c r="Q15" s="9">
        <f>-2*O15/Inputs!$C$14</f>
        <v/>
      </c>
      <c r="R15" s="9">
        <f>F15-Inputs!$C$16/2</f>
        <v/>
      </c>
      <c r="S15" s="9">
        <f>F15+Inputs!$C$16/2</f>
        <v/>
      </c>
      <c r="T15" s="9">
        <f>F15-Inputs!$C$17/2</f>
        <v/>
      </c>
      <c r="U15" s="9">
        <f>F15+Inputs!$C$17/2</f>
        <v/>
      </c>
      <c r="V15" s="9">
        <f>ABS(P15)</f>
        <v/>
      </c>
      <c r="W15" s="9">
        <f>ABS(Q15)</f>
        <v/>
      </c>
      <c r="X15" s="9">
        <f>IF(OR(Inputs!$C$27=TRUE,Inputs!$C$27="TRUE",Inputs!$C$27=1),1,0)*(Inputs!$C$51*(115*EXP(-(((0)-25)^2)/(4.5^2))+70*EXP(-(((0)+38)^2)/(7^2))*(0.55+0.45*SIN(2*PI()*(A15)/45))+24*SIN(2*PI()*(0)/9+(A15)/18)*EXP(-(((0)+5)^2)/(22^2))+18*SIN(2*PI()*(A15)/70))+Inputs!$C$28*EXP(-(((A15)-Inputs!$C$29)^2)/(2*Inputs!$C$31^2))*EXP(-(((0)-Inputs!$C$30)^2)/(2*Inputs!$C$32^2))+-Inputs!$C$33*EXP(-(((((A15)-Inputs!$C$34)^2)+(((0)-Inputs!$C$35)^2))/(2*Inputs!$C$36^2)))+Inputs!$C$37*(0.55*SIN(2*PI()*(A15)/Inputs!$C$39)+0.35*COS(2*PI()*(0)/Inputs!$C$40)+0.2*SIN(2*PI()*((A15)+(0))/(0.5*(Inputs!$C$39+Inputs!$C$40))))+Inputs!$C$38*SIN(2*PI()*(A15)/Inputs!$C$39)*SIN(2*PI()*(0)/Inputs!$C$40)+-Inputs!$C$41*EXP(-(((0)-Inputs!$C$43)^2)/(2*Inputs!$C$44^2))*EXP(-(((A15)-Inputs!$C$42)^2)/(2*Inputs!$C$45^2))+Inputs!$C$48*(0.7*(0.45*SIN(2*PI()*(((A15)/Inputs!$C$49)+Inputs!$C$47*0.137))+0.35*COS(2*PI()*(((0)/Inputs!$C$50)+Inputs!$C$47*0.173))+0.2*SIN(2*PI()*(((A15)+(0))/(0.5*(Inputs!$C$49+Inputs!$C$50))+Inputs!$C$47*0.097)))+0.3*(2*((SIN(((A15)*12.9898+(0)*78.233+Inputs!$C$47*37.719))*43758.5453)-INT((SIN(((A15)*12.9898+(0)*78.233+Inputs!$C$47*37.719))*43758.5453)))-1)))</f>
        <v/>
      </c>
      <c r="Y15" s="9">
        <f>IF(OR(Inputs!$C$27=TRUE,Inputs!$C$27="TRUE",Inputs!$C$27=1),1,0)*(Inputs!$C$51*(115*EXP(-(((Inputs!$C$6)-25)^2)/(4.5^2))+70*EXP(-(((Inputs!$C$6)+38)^2)/(7^2))*(0.55+0.45*SIN(2*PI()*(A15)/45))+24*SIN(2*PI()*(Inputs!$C$6)/9+(A15)/18)*EXP(-(((Inputs!$C$6)+5)^2)/(22^2))+18*SIN(2*PI()*(A15)/70))+Inputs!$C$28*EXP(-(((A15)-Inputs!$C$29)^2)/(2*Inputs!$C$31^2))*EXP(-(((Inputs!$C$6)-Inputs!$C$30)^2)/(2*Inputs!$C$32^2))+-Inputs!$C$33*EXP(-(((((A15)-Inputs!$C$34)^2)+(((Inputs!$C$6)-Inputs!$C$35)^2))/(2*Inputs!$C$36^2)))+Inputs!$C$37*(0.55*SIN(2*PI()*(A15)/Inputs!$C$39)+0.35*COS(2*PI()*(Inputs!$C$6)/Inputs!$C$40)+0.2*SIN(2*PI()*((A15)+(Inputs!$C$6))/(0.5*(Inputs!$C$39+Inputs!$C$40))))+Inputs!$C$38*SIN(2*PI()*(A15)/Inputs!$C$39)*SIN(2*PI()*(Inputs!$C$6)/Inputs!$C$40)+-Inputs!$C$41*EXP(-(((Inputs!$C$6)-Inputs!$C$43)^2)/(2*Inputs!$C$44^2))*EXP(-(((A15)-Inputs!$C$42)^2)/(2*Inputs!$C$45^2))+Inputs!$C$48*(0.7*(0.45*SIN(2*PI()*(((A15)/Inputs!$C$49)+Inputs!$C$47*0.137))+0.35*COS(2*PI()*(((Inputs!$C$6)/Inputs!$C$50)+Inputs!$C$47*0.173))+0.2*SIN(2*PI()*(((A15)+(Inputs!$C$6))/(0.5*(Inputs!$C$49+Inputs!$C$50))+Inputs!$C$47*0.097)))+0.3*(2*((SIN(((A15)*12.9898+(Inputs!$C$6)*78.233+Inputs!$C$47*37.719))*43758.5453)-INT((SIN(((A15)*12.9898+(Inputs!$C$6)*78.233+Inputs!$C$47*37.719))*43758.5453)))-1)))</f>
        <v/>
      </c>
      <c r="Z15" s="9">
        <f>B15-X15/1000</f>
        <v/>
      </c>
      <c r="AA15" s="9">
        <f>SQRT((Inputs!$C$52+B15)^2+(Inputs!$C$52+Y15/1000)^2-2*(Inputs!$C$52+B15)*(Inputs!$C$52+Y15/1000)*COS(SQRT(A15^2+Inputs!$C$6^2)/Inputs!$C$52))</f>
        <v/>
      </c>
      <c r="AB15" s="9">
        <f>(AA15-Z15)*1000</f>
        <v/>
      </c>
      <c r="AC15" s="9">
        <f>AB15/Inputs!$C$12</f>
        <v/>
      </c>
      <c r="AD15" s="9">
        <f>2*AB15/Inputs!$C$21*1000000</f>
        <v/>
      </c>
      <c r="AE15" s="9">
        <f>DEGREES(ATAN(H15/(B15-Y15/1000)))</f>
        <v/>
      </c>
      <c r="AF15" s="9">
        <f>DEGREES((2*PI()/Inputs!$C$13)*Inputs!$C$15*SIN(RADIANS(AE15)))</f>
        <v/>
      </c>
      <c r="AG15" s="9">
        <f>(Z15/AA15)^4</f>
        <v/>
      </c>
      <c r="AH15" s="9">
        <f>10*LOG10(AG15)</f>
        <v/>
      </c>
      <c r="AI15" s="9">
        <f>AC15-F15</f>
        <v/>
      </c>
      <c r="AJ15" s="9">
        <f>AD15-G15</f>
        <v/>
      </c>
      <c r="AK15" s="9">
        <f>Y15-X15</f>
        <v/>
      </c>
      <c r="AL15" s="9">
        <f>1000*(AA16-AA14)/(A16-A14)*Inputs!$C$11</f>
        <v/>
      </c>
      <c r="AM15" s="9">
        <f>-2*AL15/Inputs!$C$13</f>
        <v/>
      </c>
      <c r="AN15" s="9">
        <f>-2*AL15/Inputs!$C$14</f>
        <v/>
      </c>
      <c r="AO15" s="9">
        <f>ABS(AM15)</f>
        <v/>
      </c>
      <c r="AP15" s="9">
        <f>ABS(AN15)</f>
        <v/>
      </c>
      <c r="AQ15" s="9">
        <f>IF(OR(Inputs!$C$27=TRUE,Inputs!$C$27="TRUE",Inputs!$C$27=1),Inputs!$C$46/Inputs!$C$12,0)</f>
        <v/>
      </c>
      <c r="AR15" s="9">
        <f>AC15-AQ15</f>
        <v/>
      </c>
      <c r="AS15" s="9">
        <f>AC15+AQ15</f>
        <v/>
      </c>
    </row>
    <row r="16">
      <c r="A16" s="9">
        <f>Inputs!$C$7+14*(Inputs!$C$8-Inputs!$C$7)/240</f>
        <v/>
      </c>
      <c r="B16" s="9">
        <f>Inputs!$C$5+Inputs!$C$9*(A16/Inputs!$C$10)^2</f>
        <v/>
      </c>
      <c r="C16" s="9">
        <f>B16</f>
        <v/>
      </c>
      <c r="D16" s="9">
        <f>SQRT((Inputs!$C$52+B16)^2+Inputs!$C$52^2-2*(Inputs!$C$52+B16)*Inputs!$C$52*COS(SQRT(A16^2+Inputs!$C$6^2)/Inputs!$C$52))</f>
        <v/>
      </c>
      <c r="E16" s="9">
        <f>(D16-C16)*1000</f>
        <v/>
      </c>
      <c r="F16" s="9">
        <f>E16/Inputs!$C$12</f>
        <v/>
      </c>
      <c r="G16" s="9">
        <f>2*E16/Inputs!$C$21*1000000</f>
        <v/>
      </c>
      <c r="H16" s="9">
        <f>SQRT(A16^2+Inputs!$C$6^2)</f>
        <v/>
      </c>
      <c r="I16" s="9">
        <f>DEGREES(ATAN(H16/B16))</f>
        <v/>
      </c>
      <c r="J16" s="9">
        <f>DEGREES((2*PI()/Inputs!$C$13)*Inputs!$C$15*SIN(RADIANS(I16)))</f>
        <v/>
      </c>
      <c r="K16" s="9">
        <f>(C16/D16)^4</f>
        <v/>
      </c>
      <c r="L16" s="9">
        <f>10*LOG10(K16)</f>
        <v/>
      </c>
      <c r="M16" s="9">
        <f>2*(Inputs!$C$9/(Inputs!$C$10^2))*A16</f>
        <v/>
      </c>
      <c r="N16" s="9">
        <f>M16*Inputs!$C$11</f>
        <v/>
      </c>
      <c r="O16" s="9">
        <f>1000*(D17-D15)/(A17-A15)*Inputs!$C$11</f>
        <v/>
      </c>
      <c r="P16" s="9">
        <f>-2*O16/Inputs!$C$13</f>
        <v/>
      </c>
      <c r="Q16" s="9">
        <f>-2*O16/Inputs!$C$14</f>
        <v/>
      </c>
      <c r="R16" s="9">
        <f>F16-Inputs!$C$16/2</f>
        <v/>
      </c>
      <c r="S16" s="9">
        <f>F16+Inputs!$C$16/2</f>
        <v/>
      </c>
      <c r="T16" s="9">
        <f>F16-Inputs!$C$17/2</f>
        <v/>
      </c>
      <c r="U16" s="9">
        <f>F16+Inputs!$C$17/2</f>
        <v/>
      </c>
      <c r="V16" s="9">
        <f>ABS(P16)</f>
        <v/>
      </c>
      <c r="W16" s="9">
        <f>ABS(Q16)</f>
        <v/>
      </c>
      <c r="X16" s="9">
        <f>IF(OR(Inputs!$C$27=TRUE,Inputs!$C$27="TRUE",Inputs!$C$27=1),1,0)*(Inputs!$C$51*(115*EXP(-(((0)-25)^2)/(4.5^2))+70*EXP(-(((0)+38)^2)/(7^2))*(0.55+0.45*SIN(2*PI()*(A16)/45))+24*SIN(2*PI()*(0)/9+(A16)/18)*EXP(-(((0)+5)^2)/(22^2))+18*SIN(2*PI()*(A16)/70))+Inputs!$C$28*EXP(-(((A16)-Inputs!$C$29)^2)/(2*Inputs!$C$31^2))*EXP(-(((0)-Inputs!$C$30)^2)/(2*Inputs!$C$32^2))+-Inputs!$C$33*EXP(-(((((A16)-Inputs!$C$34)^2)+(((0)-Inputs!$C$35)^2))/(2*Inputs!$C$36^2)))+Inputs!$C$37*(0.55*SIN(2*PI()*(A16)/Inputs!$C$39)+0.35*COS(2*PI()*(0)/Inputs!$C$40)+0.2*SIN(2*PI()*((A16)+(0))/(0.5*(Inputs!$C$39+Inputs!$C$40))))+Inputs!$C$38*SIN(2*PI()*(A16)/Inputs!$C$39)*SIN(2*PI()*(0)/Inputs!$C$40)+-Inputs!$C$41*EXP(-(((0)-Inputs!$C$43)^2)/(2*Inputs!$C$44^2))*EXP(-(((A16)-Inputs!$C$42)^2)/(2*Inputs!$C$45^2))+Inputs!$C$48*(0.7*(0.45*SIN(2*PI()*(((A16)/Inputs!$C$49)+Inputs!$C$47*0.137))+0.35*COS(2*PI()*(((0)/Inputs!$C$50)+Inputs!$C$47*0.173))+0.2*SIN(2*PI()*(((A16)+(0))/(0.5*(Inputs!$C$49+Inputs!$C$50))+Inputs!$C$47*0.097)))+0.3*(2*((SIN(((A16)*12.9898+(0)*78.233+Inputs!$C$47*37.719))*43758.5453)-INT((SIN(((A16)*12.9898+(0)*78.233+Inputs!$C$47*37.719))*43758.5453)))-1)))</f>
        <v/>
      </c>
      <c r="Y16" s="9">
        <f>IF(OR(Inputs!$C$27=TRUE,Inputs!$C$27="TRUE",Inputs!$C$27=1),1,0)*(Inputs!$C$51*(115*EXP(-(((Inputs!$C$6)-25)^2)/(4.5^2))+70*EXP(-(((Inputs!$C$6)+38)^2)/(7^2))*(0.55+0.45*SIN(2*PI()*(A16)/45))+24*SIN(2*PI()*(Inputs!$C$6)/9+(A16)/18)*EXP(-(((Inputs!$C$6)+5)^2)/(22^2))+18*SIN(2*PI()*(A16)/70))+Inputs!$C$28*EXP(-(((A16)-Inputs!$C$29)^2)/(2*Inputs!$C$31^2))*EXP(-(((Inputs!$C$6)-Inputs!$C$30)^2)/(2*Inputs!$C$32^2))+-Inputs!$C$33*EXP(-(((((A16)-Inputs!$C$34)^2)+(((Inputs!$C$6)-Inputs!$C$35)^2))/(2*Inputs!$C$36^2)))+Inputs!$C$37*(0.55*SIN(2*PI()*(A16)/Inputs!$C$39)+0.35*COS(2*PI()*(Inputs!$C$6)/Inputs!$C$40)+0.2*SIN(2*PI()*((A16)+(Inputs!$C$6))/(0.5*(Inputs!$C$39+Inputs!$C$40))))+Inputs!$C$38*SIN(2*PI()*(A16)/Inputs!$C$39)*SIN(2*PI()*(Inputs!$C$6)/Inputs!$C$40)+-Inputs!$C$41*EXP(-(((Inputs!$C$6)-Inputs!$C$43)^2)/(2*Inputs!$C$44^2))*EXP(-(((A16)-Inputs!$C$42)^2)/(2*Inputs!$C$45^2))+Inputs!$C$48*(0.7*(0.45*SIN(2*PI()*(((A16)/Inputs!$C$49)+Inputs!$C$47*0.137))+0.35*COS(2*PI()*(((Inputs!$C$6)/Inputs!$C$50)+Inputs!$C$47*0.173))+0.2*SIN(2*PI()*(((A16)+(Inputs!$C$6))/(0.5*(Inputs!$C$49+Inputs!$C$50))+Inputs!$C$47*0.097)))+0.3*(2*((SIN(((A16)*12.9898+(Inputs!$C$6)*78.233+Inputs!$C$47*37.719))*43758.5453)-INT((SIN(((A16)*12.9898+(Inputs!$C$6)*78.233+Inputs!$C$47*37.719))*43758.5453)))-1)))</f>
        <v/>
      </c>
      <c r="Z16" s="9">
        <f>B16-X16/1000</f>
        <v/>
      </c>
      <c r="AA16" s="9">
        <f>SQRT((Inputs!$C$52+B16)^2+(Inputs!$C$52+Y16/1000)^2-2*(Inputs!$C$52+B16)*(Inputs!$C$52+Y16/1000)*COS(SQRT(A16^2+Inputs!$C$6^2)/Inputs!$C$52))</f>
        <v/>
      </c>
      <c r="AB16" s="9">
        <f>(AA16-Z16)*1000</f>
        <v/>
      </c>
      <c r="AC16" s="9">
        <f>AB16/Inputs!$C$12</f>
        <v/>
      </c>
      <c r="AD16" s="9">
        <f>2*AB16/Inputs!$C$21*1000000</f>
        <v/>
      </c>
      <c r="AE16" s="9">
        <f>DEGREES(ATAN(H16/(B16-Y16/1000)))</f>
        <v/>
      </c>
      <c r="AF16" s="9">
        <f>DEGREES((2*PI()/Inputs!$C$13)*Inputs!$C$15*SIN(RADIANS(AE16)))</f>
        <v/>
      </c>
      <c r="AG16" s="9">
        <f>(Z16/AA16)^4</f>
        <v/>
      </c>
      <c r="AH16" s="9">
        <f>10*LOG10(AG16)</f>
        <v/>
      </c>
      <c r="AI16" s="9">
        <f>AC16-F16</f>
        <v/>
      </c>
      <c r="AJ16" s="9">
        <f>AD16-G16</f>
        <v/>
      </c>
      <c r="AK16" s="9">
        <f>Y16-X16</f>
        <v/>
      </c>
      <c r="AL16" s="9">
        <f>1000*(AA17-AA15)/(A17-A15)*Inputs!$C$11</f>
        <v/>
      </c>
      <c r="AM16" s="9">
        <f>-2*AL16/Inputs!$C$13</f>
        <v/>
      </c>
      <c r="AN16" s="9">
        <f>-2*AL16/Inputs!$C$14</f>
        <v/>
      </c>
      <c r="AO16" s="9">
        <f>ABS(AM16)</f>
        <v/>
      </c>
      <c r="AP16" s="9">
        <f>ABS(AN16)</f>
        <v/>
      </c>
      <c r="AQ16" s="9">
        <f>IF(OR(Inputs!$C$27=TRUE,Inputs!$C$27="TRUE",Inputs!$C$27=1),Inputs!$C$46/Inputs!$C$12,0)</f>
        <v/>
      </c>
      <c r="AR16" s="9">
        <f>AC16-AQ16</f>
        <v/>
      </c>
      <c r="AS16" s="9">
        <f>AC16+AQ16</f>
        <v/>
      </c>
    </row>
    <row r="17">
      <c r="A17" s="9">
        <f>Inputs!$C$7+15*(Inputs!$C$8-Inputs!$C$7)/240</f>
        <v/>
      </c>
      <c r="B17" s="9">
        <f>Inputs!$C$5+Inputs!$C$9*(A17/Inputs!$C$10)^2</f>
        <v/>
      </c>
      <c r="C17" s="9">
        <f>B17</f>
        <v/>
      </c>
      <c r="D17" s="9">
        <f>SQRT((Inputs!$C$52+B17)^2+Inputs!$C$52^2-2*(Inputs!$C$52+B17)*Inputs!$C$52*COS(SQRT(A17^2+Inputs!$C$6^2)/Inputs!$C$52))</f>
        <v/>
      </c>
      <c r="E17" s="9">
        <f>(D17-C17)*1000</f>
        <v/>
      </c>
      <c r="F17" s="9">
        <f>E17/Inputs!$C$12</f>
        <v/>
      </c>
      <c r="G17" s="9">
        <f>2*E17/Inputs!$C$21*1000000</f>
        <v/>
      </c>
      <c r="H17" s="9">
        <f>SQRT(A17^2+Inputs!$C$6^2)</f>
        <v/>
      </c>
      <c r="I17" s="9">
        <f>DEGREES(ATAN(H17/B17))</f>
        <v/>
      </c>
      <c r="J17" s="9">
        <f>DEGREES((2*PI()/Inputs!$C$13)*Inputs!$C$15*SIN(RADIANS(I17)))</f>
        <v/>
      </c>
      <c r="K17" s="9">
        <f>(C17/D17)^4</f>
        <v/>
      </c>
      <c r="L17" s="9">
        <f>10*LOG10(K17)</f>
        <v/>
      </c>
      <c r="M17" s="9">
        <f>2*(Inputs!$C$9/(Inputs!$C$10^2))*A17</f>
        <v/>
      </c>
      <c r="N17" s="9">
        <f>M17*Inputs!$C$11</f>
        <v/>
      </c>
      <c r="O17" s="9">
        <f>1000*(D18-D16)/(A18-A16)*Inputs!$C$11</f>
        <v/>
      </c>
      <c r="P17" s="9">
        <f>-2*O17/Inputs!$C$13</f>
        <v/>
      </c>
      <c r="Q17" s="9">
        <f>-2*O17/Inputs!$C$14</f>
        <v/>
      </c>
      <c r="R17" s="9">
        <f>F17-Inputs!$C$16/2</f>
        <v/>
      </c>
      <c r="S17" s="9">
        <f>F17+Inputs!$C$16/2</f>
        <v/>
      </c>
      <c r="T17" s="9">
        <f>F17-Inputs!$C$17/2</f>
        <v/>
      </c>
      <c r="U17" s="9">
        <f>F17+Inputs!$C$17/2</f>
        <v/>
      </c>
      <c r="V17" s="9">
        <f>ABS(P17)</f>
        <v/>
      </c>
      <c r="W17" s="9">
        <f>ABS(Q17)</f>
        <v/>
      </c>
      <c r="X17" s="9">
        <f>IF(OR(Inputs!$C$27=TRUE,Inputs!$C$27="TRUE",Inputs!$C$27=1),1,0)*(Inputs!$C$51*(115*EXP(-(((0)-25)^2)/(4.5^2))+70*EXP(-(((0)+38)^2)/(7^2))*(0.55+0.45*SIN(2*PI()*(A17)/45))+24*SIN(2*PI()*(0)/9+(A17)/18)*EXP(-(((0)+5)^2)/(22^2))+18*SIN(2*PI()*(A17)/70))+Inputs!$C$28*EXP(-(((A17)-Inputs!$C$29)^2)/(2*Inputs!$C$31^2))*EXP(-(((0)-Inputs!$C$30)^2)/(2*Inputs!$C$32^2))+-Inputs!$C$33*EXP(-(((((A17)-Inputs!$C$34)^2)+(((0)-Inputs!$C$35)^2))/(2*Inputs!$C$36^2)))+Inputs!$C$37*(0.55*SIN(2*PI()*(A17)/Inputs!$C$39)+0.35*COS(2*PI()*(0)/Inputs!$C$40)+0.2*SIN(2*PI()*((A17)+(0))/(0.5*(Inputs!$C$39+Inputs!$C$40))))+Inputs!$C$38*SIN(2*PI()*(A17)/Inputs!$C$39)*SIN(2*PI()*(0)/Inputs!$C$40)+-Inputs!$C$41*EXP(-(((0)-Inputs!$C$43)^2)/(2*Inputs!$C$44^2))*EXP(-(((A17)-Inputs!$C$42)^2)/(2*Inputs!$C$45^2))+Inputs!$C$48*(0.7*(0.45*SIN(2*PI()*(((A17)/Inputs!$C$49)+Inputs!$C$47*0.137))+0.35*COS(2*PI()*(((0)/Inputs!$C$50)+Inputs!$C$47*0.173))+0.2*SIN(2*PI()*(((A17)+(0))/(0.5*(Inputs!$C$49+Inputs!$C$50))+Inputs!$C$47*0.097)))+0.3*(2*((SIN(((A17)*12.9898+(0)*78.233+Inputs!$C$47*37.719))*43758.5453)-INT((SIN(((A17)*12.9898+(0)*78.233+Inputs!$C$47*37.719))*43758.5453)))-1)))</f>
        <v/>
      </c>
      <c r="Y17" s="9">
        <f>IF(OR(Inputs!$C$27=TRUE,Inputs!$C$27="TRUE",Inputs!$C$27=1),1,0)*(Inputs!$C$51*(115*EXP(-(((Inputs!$C$6)-25)^2)/(4.5^2))+70*EXP(-(((Inputs!$C$6)+38)^2)/(7^2))*(0.55+0.45*SIN(2*PI()*(A17)/45))+24*SIN(2*PI()*(Inputs!$C$6)/9+(A17)/18)*EXP(-(((Inputs!$C$6)+5)^2)/(22^2))+18*SIN(2*PI()*(A17)/70))+Inputs!$C$28*EXP(-(((A17)-Inputs!$C$29)^2)/(2*Inputs!$C$31^2))*EXP(-(((Inputs!$C$6)-Inputs!$C$30)^2)/(2*Inputs!$C$32^2))+-Inputs!$C$33*EXP(-(((((A17)-Inputs!$C$34)^2)+(((Inputs!$C$6)-Inputs!$C$35)^2))/(2*Inputs!$C$36^2)))+Inputs!$C$37*(0.55*SIN(2*PI()*(A17)/Inputs!$C$39)+0.35*COS(2*PI()*(Inputs!$C$6)/Inputs!$C$40)+0.2*SIN(2*PI()*((A17)+(Inputs!$C$6))/(0.5*(Inputs!$C$39+Inputs!$C$40))))+Inputs!$C$38*SIN(2*PI()*(A17)/Inputs!$C$39)*SIN(2*PI()*(Inputs!$C$6)/Inputs!$C$40)+-Inputs!$C$41*EXP(-(((Inputs!$C$6)-Inputs!$C$43)^2)/(2*Inputs!$C$44^2))*EXP(-(((A17)-Inputs!$C$42)^2)/(2*Inputs!$C$45^2))+Inputs!$C$48*(0.7*(0.45*SIN(2*PI()*(((A17)/Inputs!$C$49)+Inputs!$C$47*0.137))+0.35*COS(2*PI()*(((Inputs!$C$6)/Inputs!$C$50)+Inputs!$C$47*0.173))+0.2*SIN(2*PI()*(((A17)+(Inputs!$C$6))/(0.5*(Inputs!$C$49+Inputs!$C$50))+Inputs!$C$47*0.097)))+0.3*(2*((SIN(((A17)*12.9898+(Inputs!$C$6)*78.233+Inputs!$C$47*37.719))*43758.5453)-INT((SIN(((A17)*12.9898+(Inputs!$C$6)*78.233+Inputs!$C$47*37.719))*43758.5453)))-1)))</f>
        <v/>
      </c>
      <c r="Z17" s="9">
        <f>B17-X17/1000</f>
        <v/>
      </c>
      <c r="AA17" s="9">
        <f>SQRT((Inputs!$C$52+B17)^2+(Inputs!$C$52+Y17/1000)^2-2*(Inputs!$C$52+B17)*(Inputs!$C$52+Y17/1000)*COS(SQRT(A17^2+Inputs!$C$6^2)/Inputs!$C$52))</f>
        <v/>
      </c>
      <c r="AB17" s="9">
        <f>(AA17-Z17)*1000</f>
        <v/>
      </c>
      <c r="AC17" s="9">
        <f>AB17/Inputs!$C$12</f>
        <v/>
      </c>
      <c r="AD17" s="9">
        <f>2*AB17/Inputs!$C$21*1000000</f>
        <v/>
      </c>
      <c r="AE17" s="9">
        <f>DEGREES(ATAN(H17/(B17-Y17/1000)))</f>
        <v/>
      </c>
      <c r="AF17" s="9">
        <f>DEGREES((2*PI()/Inputs!$C$13)*Inputs!$C$15*SIN(RADIANS(AE17)))</f>
        <v/>
      </c>
      <c r="AG17" s="9">
        <f>(Z17/AA17)^4</f>
        <v/>
      </c>
      <c r="AH17" s="9">
        <f>10*LOG10(AG17)</f>
        <v/>
      </c>
      <c r="AI17" s="9">
        <f>AC17-F17</f>
        <v/>
      </c>
      <c r="AJ17" s="9">
        <f>AD17-G17</f>
        <v/>
      </c>
      <c r="AK17" s="9">
        <f>Y17-X17</f>
        <v/>
      </c>
      <c r="AL17" s="9">
        <f>1000*(AA18-AA16)/(A18-A16)*Inputs!$C$11</f>
        <v/>
      </c>
      <c r="AM17" s="9">
        <f>-2*AL17/Inputs!$C$13</f>
        <v/>
      </c>
      <c r="AN17" s="9">
        <f>-2*AL17/Inputs!$C$14</f>
        <v/>
      </c>
      <c r="AO17" s="9">
        <f>ABS(AM17)</f>
        <v/>
      </c>
      <c r="AP17" s="9">
        <f>ABS(AN17)</f>
        <v/>
      </c>
      <c r="AQ17" s="9">
        <f>IF(OR(Inputs!$C$27=TRUE,Inputs!$C$27="TRUE",Inputs!$C$27=1),Inputs!$C$46/Inputs!$C$12,0)</f>
        <v/>
      </c>
      <c r="AR17" s="9">
        <f>AC17-AQ17</f>
        <v/>
      </c>
      <c r="AS17" s="9">
        <f>AC17+AQ17</f>
        <v/>
      </c>
    </row>
    <row r="18">
      <c r="A18" s="9">
        <f>Inputs!$C$7+16*(Inputs!$C$8-Inputs!$C$7)/240</f>
        <v/>
      </c>
      <c r="B18" s="9">
        <f>Inputs!$C$5+Inputs!$C$9*(A18/Inputs!$C$10)^2</f>
        <v/>
      </c>
      <c r="C18" s="9">
        <f>B18</f>
        <v/>
      </c>
      <c r="D18" s="9">
        <f>SQRT((Inputs!$C$52+B18)^2+Inputs!$C$52^2-2*(Inputs!$C$52+B18)*Inputs!$C$52*COS(SQRT(A18^2+Inputs!$C$6^2)/Inputs!$C$52))</f>
        <v/>
      </c>
      <c r="E18" s="9">
        <f>(D18-C18)*1000</f>
        <v/>
      </c>
      <c r="F18" s="9">
        <f>E18/Inputs!$C$12</f>
        <v/>
      </c>
      <c r="G18" s="9">
        <f>2*E18/Inputs!$C$21*1000000</f>
        <v/>
      </c>
      <c r="H18" s="9">
        <f>SQRT(A18^2+Inputs!$C$6^2)</f>
        <v/>
      </c>
      <c r="I18" s="9">
        <f>DEGREES(ATAN(H18/B18))</f>
        <v/>
      </c>
      <c r="J18" s="9">
        <f>DEGREES((2*PI()/Inputs!$C$13)*Inputs!$C$15*SIN(RADIANS(I18)))</f>
        <v/>
      </c>
      <c r="K18" s="9">
        <f>(C18/D18)^4</f>
        <v/>
      </c>
      <c r="L18" s="9">
        <f>10*LOG10(K18)</f>
        <v/>
      </c>
      <c r="M18" s="9">
        <f>2*(Inputs!$C$9/(Inputs!$C$10^2))*A18</f>
        <v/>
      </c>
      <c r="N18" s="9">
        <f>M18*Inputs!$C$11</f>
        <v/>
      </c>
      <c r="O18" s="9">
        <f>1000*(D19-D17)/(A19-A17)*Inputs!$C$11</f>
        <v/>
      </c>
      <c r="P18" s="9">
        <f>-2*O18/Inputs!$C$13</f>
        <v/>
      </c>
      <c r="Q18" s="9">
        <f>-2*O18/Inputs!$C$14</f>
        <v/>
      </c>
      <c r="R18" s="9">
        <f>F18-Inputs!$C$16/2</f>
        <v/>
      </c>
      <c r="S18" s="9">
        <f>F18+Inputs!$C$16/2</f>
        <v/>
      </c>
      <c r="T18" s="9">
        <f>F18-Inputs!$C$17/2</f>
        <v/>
      </c>
      <c r="U18" s="9">
        <f>F18+Inputs!$C$17/2</f>
        <v/>
      </c>
      <c r="V18" s="9">
        <f>ABS(P18)</f>
        <v/>
      </c>
      <c r="W18" s="9">
        <f>ABS(Q18)</f>
        <v/>
      </c>
      <c r="X18" s="9">
        <f>IF(OR(Inputs!$C$27=TRUE,Inputs!$C$27="TRUE",Inputs!$C$27=1),1,0)*(Inputs!$C$51*(115*EXP(-(((0)-25)^2)/(4.5^2))+70*EXP(-(((0)+38)^2)/(7^2))*(0.55+0.45*SIN(2*PI()*(A18)/45))+24*SIN(2*PI()*(0)/9+(A18)/18)*EXP(-(((0)+5)^2)/(22^2))+18*SIN(2*PI()*(A18)/70))+Inputs!$C$28*EXP(-(((A18)-Inputs!$C$29)^2)/(2*Inputs!$C$31^2))*EXP(-(((0)-Inputs!$C$30)^2)/(2*Inputs!$C$32^2))+-Inputs!$C$33*EXP(-(((((A18)-Inputs!$C$34)^2)+(((0)-Inputs!$C$35)^2))/(2*Inputs!$C$36^2)))+Inputs!$C$37*(0.55*SIN(2*PI()*(A18)/Inputs!$C$39)+0.35*COS(2*PI()*(0)/Inputs!$C$40)+0.2*SIN(2*PI()*((A18)+(0))/(0.5*(Inputs!$C$39+Inputs!$C$40))))+Inputs!$C$38*SIN(2*PI()*(A18)/Inputs!$C$39)*SIN(2*PI()*(0)/Inputs!$C$40)+-Inputs!$C$41*EXP(-(((0)-Inputs!$C$43)^2)/(2*Inputs!$C$44^2))*EXP(-(((A18)-Inputs!$C$42)^2)/(2*Inputs!$C$45^2))+Inputs!$C$48*(0.7*(0.45*SIN(2*PI()*(((A18)/Inputs!$C$49)+Inputs!$C$47*0.137))+0.35*COS(2*PI()*(((0)/Inputs!$C$50)+Inputs!$C$47*0.173))+0.2*SIN(2*PI()*(((A18)+(0))/(0.5*(Inputs!$C$49+Inputs!$C$50))+Inputs!$C$47*0.097)))+0.3*(2*((SIN(((A18)*12.9898+(0)*78.233+Inputs!$C$47*37.719))*43758.5453)-INT((SIN(((A18)*12.9898+(0)*78.233+Inputs!$C$47*37.719))*43758.5453)))-1)))</f>
        <v/>
      </c>
      <c r="Y18" s="9">
        <f>IF(OR(Inputs!$C$27=TRUE,Inputs!$C$27="TRUE",Inputs!$C$27=1),1,0)*(Inputs!$C$51*(115*EXP(-(((Inputs!$C$6)-25)^2)/(4.5^2))+70*EXP(-(((Inputs!$C$6)+38)^2)/(7^2))*(0.55+0.45*SIN(2*PI()*(A18)/45))+24*SIN(2*PI()*(Inputs!$C$6)/9+(A18)/18)*EXP(-(((Inputs!$C$6)+5)^2)/(22^2))+18*SIN(2*PI()*(A18)/70))+Inputs!$C$28*EXP(-(((A18)-Inputs!$C$29)^2)/(2*Inputs!$C$31^2))*EXP(-(((Inputs!$C$6)-Inputs!$C$30)^2)/(2*Inputs!$C$32^2))+-Inputs!$C$33*EXP(-(((((A18)-Inputs!$C$34)^2)+(((Inputs!$C$6)-Inputs!$C$35)^2))/(2*Inputs!$C$36^2)))+Inputs!$C$37*(0.55*SIN(2*PI()*(A18)/Inputs!$C$39)+0.35*COS(2*PI()*(Inputs!$C$6)/Inputs!$C$40)+0.2*SIN(2*PI()*((A18)+(Inputs!$C$6))/(0.5*(Inputs!$C$39+Inputs!$C$40))))+Inputs!$C$38*SIN(2*PI()*(A18)/Inputs!$C$39)*SIN(2*PI()*(Inputs!$C$6)/Inputs!$C$40)+-Inputs!$C$41*EXP(-(((Inputs!$C$6)-Inputs!$C$43)^2)/(2*Inputs!$C$44^2))*EXP(-(((A18)-Inputs!$C$42)^2)/(2*Inputs!$C$45^2))+Inputs!$C$48*(0.7*(0.45*SIN(2*PI()*(((A18)/Inputs!$C$49)+Inputs!$C$47*0.137))+0.35*COS(2*PI()*(((Inputs!$C$6)/Inputs!$C$50)+Inputs!$C$47*0.173))+0.2*SIN(2*PI()*(((A18)+(Inputs!$C$6))/(0.5*(Inputs!$C$49+Inputs!$C$50))+Inputs!$C$47*0.097)))+0.3*(2*((SIN(((A18)*12.9898+(Inputs!$C$6)*78.233+Inputs!$C$47*37.719))*43758.5453)-INT((SIN(((A18)*12.9898+(Inputs!$C$6)*78.233+Inputs!$C$47*37.719))*43758.5453)))-1)))</f>
        <v/>
      </c>
      <c r="Z18" s="9">
        <f>B18-X18/1000</f>
        <v/>
      </c>
      <c r="AA18" s="9">
        <f>SQRT((Inputs!$C$52+B18)^2+(Inputs!$C$52+Y18/1000)^2-2*(Inputs!$C$52+B18)*(Inputs!$C$52+Y18/1000)*COS(SQRT(A18^2+Inputs!$C$6^2)/Inputs!$C$52))</f>
        <v/>
      </c>
      <c r="AB18" s="9">
        <f>(AA18-Z18)*1000</f>
        <v/>
      </c>
      <c r="AC18" s="9">
        <f>AB18/Inputs!$C$12</f>
        <v/>
      </c>
      <c r="AD18" s="9">
        <f>2*AB18/Inputs!$C$21*1000000</f>
        <v/>
      </c>
      <c r="AE18" s="9">
        <f>DEGREES(ATAN(H18/(B18-Y18/1000)))</f>
        <v/>
      </c>
      <c r="AF18" s="9">
        <f>DEGREES((2*PI()/Inputs!$C$13)*Inputs!$C$15*SIN(RADIANS(AE18)))</f>
        <v/>
      </c>
      <c r="AG18" s="9">
        <f>(Z18/AA18)^4</f>
        <v/>
      </c>
      <c r="AH18" s="9">
        <f>10*LOG10(AG18)</f>
        <v/>
      </c>
      <c r="AI18" s="9">
        <f>AC18-F18</f>
        <v/>
      </c>
      <c r="AJ18" s="9">
        <f>AD18-G18</f>
        <v/>
      </c>
      <c r="AK18" s="9">
        <f>Y18-X18</f>
        <v/>
      </c>
      <c r="AL18" s="9">
        <f>1000*(AA19-AA17)/(A19-A17)*Inputs!$C$11</f>
        <v/>
      </c>
      <c r="AM18" s="9">
        <f>-2*AL18/Inputs!$C$13</f>
        <v/>
      </c>
      <c r="AN18" s="9">
        <f>-2*AL18/Inputs!$C$14</f>
        <v/>
      </c>
      <c r="AO18" s="9">
        <f>ABS(AM18)</f>
        <v/>
      </c>
      <c r="AP18" s="9">
        <f>ABS(AN18)</f>
        <v/>
      </c>
      <c r="AQ18" s="9">
        <f>IF(OR(Inputs!$C$27=TRUE,Inputs!$C$27="TRUE",Inputs!$C$27=1),Inputs!$C$46/Inputs!$C$12,0)</f>
        <v/>
      </c>
      <c r="AR18" s="9">
        <f>AC18-AQ18</f>
        <v/>
      </c>
      <c r="AS18" s="9">
        <f>AC18+AQ18</f>
        <v/>
      </c>
    </row>
    <row r="19">
      <c r="A19" s="9">
        <f>Inputs!$C$7+17*(Inputs!$C$8-Inputs!$C$7)/240</f>
        <v/>
      </c>
      <c r="B19" s="9">
        <f>Inputs!$C$5+Inputs!$C$9*(A19/Inputs!$C$10)^2</f>
        <v/>
      </c>
      <c r="C19" s="9">
        <f>B19</f>
        <v/>
      </c>
      <c r="D19" s="9">
        <f>SQRT((Inputs!$C$52+B19)^2+Inputs!$C$52^2-2*(Inputs!$C$52+B19)*Inputs!$C$52*COS(SQRT(A19^2+Inputs!$C$6^2)/Inputs!$C$52))</f>
        <v/>
      </c>
      <c r="E19" s="9">
        <f>(D19-C19)*1000</f>
        <v/>
      </c>
      <c r="F19" s="9">
        <f>E19/Inputs!$C$12</f>
        <v/>
      </c>
      <c r="G19" s="9">
        <f>2*E19/Inputs!$C$21*1000000</f>
        <v/>
      </c>
      <c r="H19" s="9">
        <f>SQRT(A19^2+Inputs!$C$6^2)</f>
        <v/>
      </c>
      <c r="I19" s="9">
        <f>DEGREES(ATAN(H19/B19))</f>
        <v/>
      </c>
      <c r="J19" s="9">
        <f>DEGREES((2*PI()/Inputs!$C$13)*Inputs!$C$15*SIN(RADIANS(I19)))</f>
        <v/>
      </c>
      <c r="K19" s="9">
        <f>(C19/D19)^4</f>
        <v/>
      </c>
      <c r="L19" s="9">
        <f>10*LOG10(K19)</f>
        <v/>
      </c>
      <c r="M19" s="9">
        <f>2*(Inputs!$C$9/(Inputs!$C$10^2))*A19</f>
        <v/>
      </c>
      <c r="N19" s="9">
        <f>M19*Inputs!$C$11</f>
        <v/>
      </c>
      <c r="O19" s="9">
        <f>1000*(D20-D18)/(A20-A18)*Inputs!$C$11</f>
        <v/>
      </c>
      <c r="P19" s="9">
        <f>-2*O19/Inputs!$C$13</f>
        <v/>
      </c>
      <c r="Q19" s="9">
        <f>-2*O19/Inputs!$C$14</f>
        <v/>
      </c>
      <c r="R19" s="9">
        <f>F19-Inputs!$C$16/2</f>
        <v/>
      </c>
      <c r="S19" s="9">
        <f>F19+Inputs!$C$16/2</f>
        <v/>
      </c>
      <c r="T19" s="9">
        <f>F19-Inputs!$C$17/2</f>
        <v/>
      </c>
      <c r="U19" s="9">
        <f>F19+Inputs!$C$17/2</f>
        <v/>
      </c>
      <c r="V19" s="9">
        <f>ABS(P19)</f>
        <v/>
      </c>
      <c r="W19" s="9">
        <f>ABS(Q19)</f>
        <v/>
      </c>
      <c r="X19" s="9">
        <f>IF(OR(Inputs!$C$27=TRUE,Inputs!$C$27="TRUE",Inputs!$C$27=1),1,0)*(Inputs!$C$51*(115*EXP(-(((0)-25)^2)/(4.5^2))+70*EXP(-(((0)+38)^2)/(7^2))*(0.55+0.45*SIN(2*PI()*(A19)/45))+24*SIN(2*PI()*(0)/9+(A19)/18)*EXP(-(((0)+5)^2)/(22^2))+18*SIN(2*PI()*(A19)/70))+Inputs!$C$28*EXP(-(((A19)-Inputs!$C$29)^2)/(2*Inputs!$C$31^2))*EXP(-(((0)-Inputs!$C$30)^2)/(2*Inputs!$C$32^2))+-Inputs!$C$33*EXP(-(((((A19)-Inputs!$C$34)^2)+(((0)-Inputs!$C$35)^2))/(2*Inputs!$C$36^2)))+Inputs!$C$37*(0.55*SIN(2*PI()*(A19)/Inputs!$C$39)+0.35*COS(2*PI()*(0)/Inputs!$C$40)+0.2*SIN(2*PI()*((A19)+(0))/(0.5*(Inputs!$C$39+Inputs!$C$40))))+Inputs!$C$38*SIN(2*PI()*(A19)/Inputs!$C$39)*SIN(2*PI()*(0)/Inputs!$C$40)+-Inputs!$C$41*EXP(-(((0)-Inputs!$C$43)^2)/(2*Inputs!$C$44^2))*EXP(-(((A19)-Inputs!$C$42)^2)/(2*Inputs!$C$45^2))+Inputs!$C$48*(0.7*(0.45*SIN(2*PI()*(((A19)/Inputs!$C$49)+Inputs!$C$47*0.137))+0.35*COS(2*PI()*(((0)/Inputs!$C$50)+Inputs!$C$47*0.173))+0.2*SIN(2*PI()*(((A19)+(0))/(0.5*(Inputs!$C$49+Inputs!$C$50))+Inputs!$C$47*0.097)))+0.3*(2*((SIN(((A19)*12.9898+(0)*78.233+Inputs!$C$47*37.719))*43758.5453)-INT((SIN(((A19)*12.9898+(0)*78.233+Inputs!$C$47*37.719))*43758.5453)))-1)))</f>
        <v/>
      </c>
      <c r="Y19" s="9">
        <f>IF(OR(Inputs!$C$27=TRUE,Inputs!$C$27="TRUE",Inputs!$C$27=1),1,0)*(Inputs!$C$51*(115*EXP(-(((Inputs!$C$6)-25)^2)/(4.5^2))+70*EXP(-(((Inputs!$C$6)+38)^2)/(7^2))*(0.55+0.45*SIN(2*PI()*(A19)/45))+24*SIN(2*PI()*(Inputs!$C$6)/9+(A19)/18)*EXP(-(((Inputs!$C$6)+5)^2)/(22^2))+18*SIN(2*PI()*(A19)/70))+Inputs!$C$28*EXP(-(((A19)-Inputs!$C$29)^2)/(2*Inputs!$C$31^2))*EXP(-(((Inputs!$C$6)-Inputs!$C$30)^2)/(2*Inputs!$C$32^2))+-Inputs!$C$33*EXP(-(((((A19)-Inputs!$C$34)^2)+(((Inputs!$C$6)-Inputs!$C$35)^2))/(2*Inputs!$C$36^2)))+Inputs!$C$37*(0.55*SIN(2*PI()*(A19)/Inputs!$C$39)+0.35*COS(2*PI()*(Inputs!$C$6)/Inputs!$C$40)+0.2*SIN(2*PI()*((A19)+(Inputs!$C$6))/(0.5*(Inputs!$C$39+Inputs!$C$40))))+Inputs!$C$38*SIN(2*PI()*(A19)/Inputs!$C$39)*SIN(2*PI()*(Inputs!$C$6)/Inputs!$C$40)+-Inputs!$C$41*EXP(-(((Inputs!$C$6)-Inputs!$C$43)^2)/(2*Inputs!$C$44^2))*EXP(-(((A19)-Inputs!$C$42)^2)/(2*Inputs!$C$45^2))+Inputs!$C$48*(0.7*(0.45*SIN(2*PI()*(((A19)/Inputs!$C$49)+Inputs!$C$47*0.137))+0.35*COS(2*PI()*(((Inputs!$C$6)/Inputs!$C$50)+Inputs!$C$47*0.173))+0.2*SIN(2*PI()*(((A19)+(Inputs!$C$6))/(0.5*(Inputs!$C$49+Inputs!$C$50))+Inputs!$C$47*0.097)))+0.3*(2*((SIN(((A19)*12.9898+(Inputs!$C$6)*78.233+Inputs!$C$47*37.719))*43758.5453)-INT((SIN(((A19)*12.9898+(Inputs!$C$6)*78.233+Inputs!$C$47*37.719))*43758.5453)))-1)))</f>
        <v/>
      </c>
      <c r="Z19" s="9">
        <f>B19-X19/1000</f>
        <v/>
      </c>
      <c r="AA19" s="9">
        <f>SQRT((Inputs!$C$52+B19)^2+(Inputs!$C$52+Y19/1000)^2-2*(Inputs!$C$52+B19)*(Inputs!$C$52+Y19/1000)*COS(SQRT(A19^2+Inputs!$C$6^2)/Inputs!$C$52))</f>
        <v/>
      </c>
      <c r="AB19" s="9">
        <f>(AA19-Z19)*1000</f>
        <v/>
      </c>
      <c r="AC19" s="9">
        <f>AB19/Inputs!$C$12</f>
        <v/>
      </c>
      <c r="AD19" s="9">
        <f>2*AB19/Inputs!$C$21*1000000</f>
        <v/>
      </c>
      <c r="AE19" s="9">
        <f>DEGREES(ATAN(H19/(B19-Y19/1000)))</f>
        <v/>
      </c>
      <c r="AF19" s="9">
        <f>DEGREES((2*PI()/Inputs!$C$13)*Inputs!$C$15*SIN(RADIANS(AE19)))</f>
        <v/>
      </c>
      <c r="AG19" s="9">
        <f>(Z19/AA19)^4</f>
        <v/>
      </c>
      <c r="AH19" s="9">
        <f>10*LOG10(AG19)</f>
        <v/>
      </c>
      <c r="AI19" s="9">
        <f>AC19-F19</f>
        <v/>
      </c>
      <c r="AJ19" s="9">
        <f>AD19-G19</f>
        <v/>
      </c>
      <c r="AK19" s="9">
        <f>Y19-X19</f>
        <v/>
      </c>
      <c r="AL19" s="9">
        <f>1000*(AA20-AA18)/(A20-A18)*Inputs!$C$11</f>
        <v/>
      </c>
      <c r="AM19" s="9">
        <f>-2*AL19/Inputs!$C$13</f>
        <v/>
      </c>
      <c r="AN19" s="9">
        <f>-2*AL19/Inputs!$C$14</f>
        <v/>
      </c>
      <c r="AO19" s="9">
        <f>ABS(AM19)</f>
        <v/>
      </c>
      <c r="AP19" s="9">
        <f>ABS(AN19)</f>
        <v/>
      </c>
      <c r="AQ19" s="9">
        <f>IF(OR(Inputs!$C$27=TRUE,Inputs!$C$27="TRUE",Inputs!$C$27=1),Inputs!$C$46/Inputs!$C$12,0)</f>
        <v/>
      </c>
      <c r="AR19" s="9">
        <f>AC19-AQ19</f>
        <v/>
      </c>
      <c r="AS19" s="9">
        <f>AC19+AQ19</f>
        <v/>
      </c>
    </row>
    <row r="20">
      <c r="A20" s="9">
        <f>Inputs!$C$7+18*(Inputs!$C$8-Inputs!$C$7)/240</f>
        <v/>
      </c>
      <c r="B20" s="9">
        <f>Inputs!$C$5+Inputs!$C$9*(A20/Inputs!$C$10)^2</f>
        <v/>
      </c>
      <c r="C20" s="9">
        <f>B20</f>
        <v/>
      </c>
      <c r="D20" s="9">
        <f>SQRT((Inputs!$C$52+B20)^2+Inputs!$C$52^2-2*(Inputs!$C$52+B20)*Inputs!$C$52*COS(SQRT(A20^2+Inputs!$C$6^2)/Inputs!$C$52))</f>
        <v/>
      </c>
      <c r="E20" s="9">
        <f>(D20-C20)*1000</f>
        <v/>
      </c>
      <c r="F20" s="9">
        <f>E20/Inputs!$C$12</f>
        <v/>
      </c>
      <c r="G20" s="9">
        <f>2*E20/Inputs!$C$21*1000000</f>
        <v/>
      </c>
      <c r="H20" s="9">
        <f>SQRT(A20^2+Inputs!$C$6^2)</f>
        <v/>
      </c>
      <c r="I20" s="9">
        <f>DEGREES(ATAN(H20/B20))</f>
        <v/>
      </c>
      <c r="J20" s="9">
        <f>DEGREES((2*PI()/Inputs!$C$13)*Inputs!$C$15*SIN(RADIANS(I20)))</f>
        <v/>
      </c>
      <c r="K20" s="9">
        <f>(C20/D20)^4</f>
        <v/>
      </c>
      <c r="L20" s="9">
        <f>10*LOG10(K20)</f>
        <v/>
      </c>
      <c r="M20" s="9">
        <f>2*(Inputs!$C$9/(Inputs!$C$10^2))*A20</f>
        <v/>
      </c>
      <c r="N20" s="9">
        <f>M20*Inputs!$C$11</f>
        <v/>
      </c>
      <c r="O20" s="9">
        <f>1000*(D21-D19)/(A21-A19)*Inputs!$C$11</f>
        <v/>
      </c>
      <c r="P20" s="9">
        <f>-2*O20/Inputs!$C$13</f>
        <v/>
      </c>
      <c r="Q20" s="9">
        <f>-2*O20/Inputs!$C$14</f>
        <v/>
      </c>
      <c r="R20" s="9">
        <f>F20-Inputs!$C$16/2</f>
        <v/>
      </c>
      <c r="S20" s="9">
        <f>F20+Inputs!$C$16/2</f>
        <v/>
      </c>
      <c r="T20" s="9">
        <f>F20-Inputs!$C$17/2</f>
        <v/>
      </c>
      <c r="U20" s="9">
        <f>F20+Inputs!$C$17/2</f>
        <v/>
      </c>
      <c r="V20" s="9">
        <f>ABS(P20)</f>
        <v/>
      </c>
      <c r="W20" s="9">
        <f>ABS(Q20)</f>
        <v/>
      </c>
      <c r="X20" s="9">
        <f>IF(OR(Inputs!$C$27=TRUE,Inputs!$C$27="TRUE",Inputs!$C$27=1),1,0)*(Inputs!$C$51*(115*EXP(-(((0)-25)^2)/(4.5^2))+70*EXP(-(((0)+38)^2)/(7^2))*(0.55+0.45*SIN(2*PI()*(A20)/45))+24*SIN(2*PI()*(0)/9+(A20)/18)*EXP(-(((0)+5)^2)/(22^2))+18*SIN(2*PI()*(A20)/70))+Inputs!$C$28*EXP(-(((A20)-Inputs!$C$29)^2)/(2*Inputs!$C$31^2))*EXP(-(((0)-Inputs!$C$30)^2)/(2*Inputs!$C$32^2))+-Inputs!$C$33*EXP(-(((((A20)-Inputs!$C$34)^2)+(((0)-Inputs!$C$35)^2))/(2*Inputs!$C$36^2)))+Inputs!$C$37*(0.55*SIN(2*PI()*(A20)/Inputs!$C$39)+0.35*COS(2*PI()*(0)/Inputs!$C$40)+0.2*SIN(2*PI()*((A20)+(0))/(0.5*(Inputs!$C$39+Inputs!$C$40))))+Inputs!$C$38*SIN(2*PI()*(A20)/Inputs!$C$39)*SIN(2*PI()*(0)/Inputs!$C$40)+-Inputs!$C$41*EXP(-(((0)-Inputs!$C$43)^2)/(2*Inputs!$C$44^2))*EXP(-(((A20)-Inputs!$C$42)^2)/(2*Inputs!$C$45^2))+Inputs!$C$48*(0.7*(0.45*SIN(2*PI()*(((A20)/Inputs!$C$49)+Inputs!$C$47*0.137))+0.35*COS(2*PI()*(((0)/Inputs!$C$50)+Inputs!$C$47*0.173))+0.2*SIN(2*PI()*(((A20)+(0))/(0.5*(Inputs!$C$49+Inputs!$C$50))+Inputs!$C$47*0.097)))+0.3*(2*((SIN(((A20)*12.9898+(0)*78.233+Inputs!$C$47*37.719))*43758.5453)-INT((SIN(((A20)*12.9898+(0)*78.233+Inputs!$C$47*37.719))*43758.5453)))-1)))</f>
        <v/>
      </c>
      <c r="Y20" s="9">
        <f>IF(OR(Inputs!$C$27=TRUE,Inputs!$C$27="TRUE",Inputs!$C$27=1),1,0)*(Inputs!$C$51*(115*EXP(-(((Inputs!$C$6)-25)^2)/(4.5^2))+70*EXP(-(((Inputs!$C$6)+38)^2)/(7^2))*(0.55+0.45*SIN(2*PI()*(A20)/45))+24*SIN(2*PI()*(Inputs!$C$6)/9+(A20)/18)*EXP(-(((Inputs!$C$6)+5)^2)/(22^2))+18*SIN(2*PI()*(A20)/70))+Inputs!$C$28*EXP(-(((A20)-Inputs!$C$29)^2)/(2*Inputs!$C$31^2))*EXP(-(((Inputs!$C$6)-Inputs!$C$30)^2)/(2*Inputs!$C$32^2))+-Inputs!$C$33*EXP(-(((((A20)-Inputs!$C$34)^2)+(((Inputs!$C$6)-Inputs!$C$35)^2))/(2*Inputs!$C$36^2)))+Inputs!$C$37*(0.55*SIN(2*PI()*(A20)/Inputs!$C$39)+0.35*COS(2*PI()*(Inputs!$C$6)/Inputs!$C$40)+0.2*SIN(2*PI()*((A20)+(Inputs!$C$6))/(0.5*(Inputs!$C$39+Inputs!$C$40))))+Inputs!$C$38*SIN(2*PI()*(A20)/Inputs!$C$39)*SIN(2*PI()*(Inputs!$C$6)/Inputs!$C$40)+-Inputs!$C$41*EXP(-(((Inputs!$C$6)-Inputs!$C$43)^2)/(2*Inputs!$C$44^2))*EXP(-(((A20)-Inputs!$C$42)^2)/(2*Inputs!$C$45^2))+Inputs!$C$48*(0.7*(0.45*SIN(2*PI()*(((A20)/Inputs!$C$49)+Inputs!$C$47*0.137))+0.35*COS(2*PI()*(((Inputs!$C$6)/Inputs!$C$50)+Inputs!$C$47*0.173))+0.2*SIN(2*PI()*(((A20)+(Inputs!$C$6))/(0.5*(Inputs!$C$49+Inputs!$C$50))+Inputs!$C$47*0.097)))+0.3*(2*((SIN(((A20)*12.9898+(Inputs!$C$6)*78.233+Inputs!$C$47*37.719))*43758.5453)-INT((SIN(((A20)*12.9898+(Inputs!$C$6)*78.233+Inputs!$C$47*37.719))*43758.5453)))-1)))</f>
        <v/>
      </c>
      <c r="Z20" s="9">
        <f>B20-X20/1000</f>
        <v/>
      </c>
      <c r="AA20" s="9">
        <f>SQRT((Inputs!$C$52+B20)^2+(Inputs!$C$52+Y20/1000)^2-2*(Inputs!$C$52+B20)*(Inputs!$C$52+Y20/1000)*COS(SQRT(A20^2+Inputs!$C$6^2)/Inputs!$C$52))</f>
        <v/>
      </c>
      <c r="AB20" s="9">
        <f>(AA20-Z20)*1000</f>
        <v/>
      </c>
      <c r="AC20" s="9">
        <f>AB20/Inputs!$C$12</f>
        <v/>
      </c>
      <c r="AD20" s="9">
        <f>2*AB20/Inputs!$C$21*1000000</f>
        <v/>
      </c>
      <c r="AE20" s="9">
        <f>DEGREES(ATAN(H20/(B20-Y20/1000)))</f>
        <v/>
      </c>
      <c r="AF20" s="9">
        <f>DEGREES((2*PI()/Inputs!$C$13)*Inputs!$C$15*SIN(RADIANS(AE20)))</f>
        <v/>
      </c>
      <c r="AG20" s="9">
        <f>(Z20/AA20)^4</f>
        <v/>
      </c>
      <c r="AH20" s="9">
        <f>10*LOG10(AG20)</f>
        <v/>
      </c>
      <c r="AI20" s="9">
        <f>AC20-F20</f>
        <v/>
      </c>
      <c r="AJ20" s="9">
        <f>AD20-G20</f>
        <v/>
      </c>
      <c r="AK20" s="9">
        <f>Y20-X20</f>
        <v/>
      </c>
      <c r="AL20" s="9">
        <f>1000*(AA21-AA19)/(A21-A19)*Inputs!$C$11</f>
        <v/>
      </c>
      <c r="AM20" s="9">
        <f>-2*AL20/Inputs!$C$13</f>
        <v/>
      </c>
      <c r="AN20" s="9">
        <f>-2*AL20/Inputs!$C$14</f>
        <v/>
      </c>
      <c r="AO20" s="9">
        <f>ABS(AM20)</f>
        <v/>
      </c>
      <c r="AP20" s="9">
        <f>ABS(AN20)</f>
        <v/>
      </c>
      <c r="AQ20" s="9">
        <f>IF(OR(Inputs!$C$27=TRUE,Inputs!$C$27="TRUE",Inputs!$C$27=1),Inputs!$C$46/Inputs!$C$12,0)</f>
        <v/>
      </c>
      <c r="AR20" s="9">
        <f>AC20-AQ20</f>
        <v/>
      </c>
      <c r="AS20" s="9">
        <f>AC20+AQ20</f>
        <v/>
      </c>
    </row>
    <row r="21">
      <c r="A21" s="9">
        <f>Inputs!$C$7+19*(Inputs!$C$8-Inputs!$C$7)/240</f>
        <v/>
      </c>
      <c r="B21" s="9">
        <f>Inputs!$C$5+Inputs!$C$9*(A21/Inputs!$C$10)^2</f>
        <v/>
      </c>
      <c r="C21" s="9">
        <f>B21</f>
        <v/>
      </c>
      <c r="D21" s="9">
        <f>SQRT((Inputs!$C$52+B21)^2+Inputs!$C$52^2-2*(Inputs!$C$52+B21)*Inputs!$C$52*COS(SQRT(A21^2+Inputs!$C$6^2)/Inputs!$C$52))</f>
        <v/>
      </c>
      <c r="E21" s="9">
        <f>(D21-C21)*1000</f>
        <v/>
      </c>
      <c r="F21" s="9">
        <f>E21/Inputs!$C$12</f>
        <v/>
      </c>
      <c r="G21" s="9">
        <f>2*E21/Inputs!$C$21*1000000</f>
        <v/>
      </c>
      <c r="H21" s="9">
        <f>SQRT(A21^2+Inputs!$C$6^2)</f>
        <v/>
      </c>
      <c r="I21" s="9">
        <f>DEGREES(ATAN(H21/B21))</f>
        <v/>
      </c>
      <c r="J21" s="9">
        <f>DEGREES((2*PI()/Inputs!$C$13)*Inputs!$C$15*SIN(RADIANS(I21)))</f>
        <v/>
      </c>
      <c r="K21" s="9">
        <f>(C21/D21)^4</f>
        <v/>
      </c>
      <c r="L21" s="9">
        <f>10*LOG10(K21)</f>
        <v/>
      </c>
      <c r="M21" s="9">
        <f>2*(Inputs!$C$9/(Inputs!$C$10^2))*A21</f>
        <v/>
      </c>
      <c r="N21" s="9">
        <f>M21*Inputs!$C$11</f>
        <v/>
      </c>
      <c r="O21" s="9">
        <f>1000*(D22-D20)/(A22-A20)*Inputs!$C$11</f>
        <v/>
      </c>
      <c r="P21" s="9">
        <f>-2*O21/Inputs!$C$13</f>
        <v/>
      </c>
      <c r="Q21" s="9">
        <f>-2*O21/Inputs!$C$14</f>
        <v/>
      </c>
      <c r="R21" s="9">
        <f>F21-Inputs!$C$16/2</f>
        <v/>
      </c>
      <c r="S21" s="9">
        <f>F21+Inputs!$C$16/2</f>
        <v/>
      </c>
      <c r="T21" s="9">
        <f>F21-Inputs!$C$17/2</f>
        <v/>
      </c>
      <c r="U21" s="9">
        <f>F21+Inputs!$C$17/2</f>
        <v/>
      </c>
      <c r="V21" s="9">
        <f>ABS(P21)</f>
        <v/>
      </c>
      <c r="W21" s="9">
        <f>ABS(Q21)</f>
        <v/>
      </c>
      <c r="X21" s="9">
        <f>IF(OR(Inputs!$C$27=TRUE,Inputs!$C$27="TRUE",Inputs!$C$27=1),1,0)*(Inputs!$C$51*(115*EXP(-(((0)-25)^2)/(4.5^2))+70*EXP(-(((0)+38)^2)/(7^2))*(0.55+0.45*SIN(2*PI()*(A21)/45))+24*SIN(2*PI()*(0)/9+(A21)/18)*EXP(-(((0)+5)^2)/(22^2))+18*SIN(2*PI()*(A21)/70))+Inputs!$C$28*EXP(-(((A21)-Inputs!$C$29)^2)/(2*Inputs!$C$31^2))*EXP(-(((0)-Inputs!$C$30)^2)/(2*Inputs!$C$32^2))+-Inputs!$C$33*EXP(-(((((A21)-Inputs!$C$34)^2)+(((0)-Inputs!$C$35)^2))/(2*Inputs!$C$36^2)))+Inputs!$C$37*(0.55*SIN(2*PI()*(A21)/Inputs!$C$39)+0.35*COS(2*PI()*(0)/Inputs!$C$40)+0.2*SIN(2*PI()*((A21)+(0))/(0.5*(Inputs!$C$39+Inputs!$C$40))))+Inputs!$C$38*SIN(2*PI()*(A21)/Inputs!$C$39)*SIN(2*PI()*(0)/Inputs!$C$40)+-Inputs!$C$41*EXP(-(((0)-Inputs!$C$43)^2)/(2*Inputs!$C$44^2))*EXP(-(((A21)-Inputs!$C$42)^2)/(2*Inputs!$C$45^2))+Inputs!$C$48*(0.7*(0.45*SIN(2*PI()*(((A21)/Inputs!$C$49)+Inputs!$C$47*0.137))+0.35*COS(2*PI()*(((0)/Inputs!$C$50)+Inputs!$C$47*0.173))+0.2*SIN(2*PI()*(((A21)+(0))/(0.5*(Inputs!$C$49+Inputs!$C$50))+Inputs!$C$47*0.097)))+0.3*(2*((SIN(((A21)*12.9898+(0)*78.233+Inputs!$C$47*37.719))*43758.5453)-INT((SIN(((A21)*12.9898+(0)*78.233+Inputs!$C$47*37.719))*43758.5453)))-1)))</f>
        <v/>
      </c>
      <c r="Y21" s="9">
        <f>IF(OR(Inputs!$C$27=TRUE,Inputs!$C$27="TRUE",Inputs!$C$27=1),1,0)*(Inputs!$C$51*(115*EXP(-(((Inputs!$C$6)-25)^2)/(4.5^2))+70*EXP(-(((Inputs!$C$6)+38)^2)/(7^2))*(0.55+0.45*SIN(2*PI()*(A21)/45))+24*SIN(2*PI()*(Inputs!$C$6)/9+(A21)/18)*EXP(-(((Inputs!$C$6)+5)^2)/(22^2))+18*SIN(2*PI()*(A21)/70))+Inputs!$C$28*EXP(-(((A21)-Inputs!$C$29)^2)/(2*Inputs!$C$31^2))*EXP(-(((Inputs!$C$6)-Inputs!$C$30)^2)/(2*Inputs!$C$32^2))+-Inputs!$C$33*EXP(-(((((A21)-Inputs!$C$34)^2)+(((Inputs!$C$6)-Inputs!$C$35)^2))/(2*Inputs!$C$36^2)))+Inputs!$C$37*(0.55*SIN(2*PI()*(A21)/Inputs!$C$39)+0.35*COS(2*PI()*(Inputs!$C$6)/Inputs!$C$40)+0.2*SIN(2*PI()*((A21)+(Inputs!$C$6))/(0.5*(Inputs!$C$39+Inputs!$C$40))))+Inputs!$C$38*SIN(2*PI()*(A21)/Inputs!$C$39)*SIN(2*PI()*(Inputs!$C$6)/Inputs!$C$40)+-Inputs!$C$41*EXP(-(((Inputs!$C$6)-Inputs!$C$43)^2)/(2*Inputs!$C$44^2))*EXP(-(((A21)-Inputs!$C$42)^2)/(2*Inputs!$C$45^2))+Inputs!$C$48*(0.7*(0.45*SIN(2*PI()*(((A21)/Inputs!$C$49)+Inputs!$C$47*0.137))+0.35*COS(2*PI()*(((Inputs!$C$6)/Inputs!$C$50)+Inputs!$C$47*0.173))+0.2*SIN(2*PI()*(((A21)+(Inputs!$C$6))/(0.5*(Inputs!$C$49+Inputs!$C$50))+Inputs!$C$47*0.097)))+0.3*(2*((SIN(((A21)*12.9898+(Inputs!$C$6)*78.233+Inputs!$C$47*37.719))*43758.5453)-INT((SIN(((A21)*12.9898+(Inputs!$C$6)*78.233+Inputs!$C$47*37.719))*43758.5453)))-1)))</f>
        <v/>
      </c>
      <c r="Z21" s="9">
        <f>B21-X21/1000</f>
        <v/>
      </c>
      <c r="AA21" s="9">
        <f>SQRT((Inputs!$C$52+B21)^2+(Inputs!$C$52+Y21/1000)^2-2*(Inputs!$C$52+B21)*(Inputs!$C$52+Y21/1000)*COS(SQRT(A21^2+Inputs!$C$6^2)/Inputs!$C$52))</f>
        <v/>
      </c>
      <c r="AB21" s="9">
        <f>(AA21-Z21)*1000</f>
        <v/>
      </c>
      <c r="AC21" s="9">
        <f>AB21/Inputs!$C$12</f>
        <v/>
      </c>
      <c r="AD21" s="9">
        <f>2*AB21/Inputs!$C$21*1000000</f>
        <v/>
      </c>
      <c r="AE21" s="9">
        <f>DEGREES(ATAN(H21/(B21-Y21/1000)))</f>
        <v/>
      </c>
      <c r="AF21" s="9">
        <f>DEGREES((2*PI()/Inputs!$C$13)*Inputs!$C$15*SIN(RADIANS(AE21)))</f>
        <v/>
      </c>
      <c r="AG21" s="9">
        <f>(Z21/AA21)^4</f>
        <v/>
      </c>
      <c r="AH21" s="9">
        <f>10*LOG10(AG21)</f>
        <v/>
      </c>
      <c r="AI21" s="9">
        <f>AC21-F21</f>
        <v/>
      </c>
      <c r="AJ21" s="9">
        <f>AD21-G21</f>
        <v/>
      </c>
      <c r="AK21" s="9">
        <f>Y21-X21</f>
        <v/>
      </c>
      <c r="AL21" s="9">
        <f>1000*(AA22-AA20)/(A22-A20)*Inputs!$C$11</f>
        <v/>
      </c>
      <c r="AM21" s="9">
        <f>-2*AL21/Inputs!$C$13</f>
        <v/>
      </c>
      <c r="AN21" s="9">
        <f>-2*AL21/Inputs!$C$14</f>
        <v/>
      </c>
      <c r="AO21" s="9">
        <f>ABS(AM21)</f>
        <v/>
      </c>
      <c r="AP21" s="9">
        <f>ABS(AN21)</f>
        <v/>
      </c>
      <c r="AQ21" s="9">
        <f>IF(OR(Inputs!$C$27=TRUE,Inputs!$C$27="TRUE",Inputs!$C$27=1),Inputs!$C$46/Inputs!$C$12,0)</f>
        <v/>
      </c>
      <c r="AR21" s="9">
        <f>AC21-AQ21</f>
        <v/>
      </c>
      <c r="AS21" s="9">
        <f>AC21+AQ21</f>
        <v/>
      </c>
    </row>
    <row r="22">
      <c r="A22" s="9">
        <f>Inputs!$C$7+20*(Inputs!$C$8-Inputs!$C$7)/240</f>
        <v/>
      </c>
      <c r="B22" s="9">
        <f>Inputs!$C$5+Inputs!$C$9*(A22/Inputs!$C$10)^2</f>
        <v/>
      </c>
      <c r="C22" s="9">
        <f>B22</f>
        <v/>
      </c>
      <c r="D22" s="9">
        <f>SQRT((Inputs!$C$52+B22)^2+Inputs!$C$52^2-2*(Inputs!$C$52+B22)*Inputs!$C$52*COS(SQRT(A22^2+Inputs!$C$6^2)/Inputs!$C$52))</f>
        <v/>
      </c>
      <c r="E22" s="9">
        <f>(D22-C22)*1000</f>
        <v/>
      </c>
      <c r="F22" s="9">
        <f>E22/Inputs!$C$12</f>
        <v/>
      </c>
      <c r="G22" s="9">
        <f>2*E22/Inputs!$C$21*1000000</f>
        <v/>
      </c>
      <c r="H22" s="9">
        <f>SQRT(A22^2+Inputs!$C$6^2)</f>
        <v/>
      </c>
      <c r="I22" s="9">
        <f>DEGREES(ATAN(H22/B22))</f>
        <v/>
      </c>
      <c r="J22" s="9">
        <f>DEGREES((2*PI()/Inputs!$C$13)*Inputs!$C$15*SIN(RADIANS(I22)))</f>
        <v/>
      </c>
      <c r="K22" s="9">
        <f>(C22/D22)^4</f>
        <v/>
      </c>
      <c r="L22" s="9">
        <f>10*LOG10(K22)</f>
        <v/>
      </c>
      <c r="M22" s="9">
        <f>2*(Inputs!$C$9/(Inputs!$C$10^2))*A22</f>
        <v/>
      </c>
      <c r="N22" s="9">
        <f>M22*Inputs!$C$11</f>
        <v/>
      </c>
      <c r="O22" s="9">
        <f>1000*(D23-D21)/(A23-A21)*Inputs!$C$11</f>
        <v/>
      </c>
      <c r="P22" s="9">
        <f>-2*O22/Inputs!$C$13</f>
        <v/>
      </c>
      <c r="Q22" s="9">
        <f>-2*O22/Inputs!$C$14</f>
        <v/>
      </c>
      <c r="R22" s="9">
        <f>F22-Inputs!$C$16/2</f>
        <v/>
      </c>
      <c r="S22" s="9">
        <f>F22+Inputs!$C$16/2</f>
        <v/>
      </c>
      <c r="T22" s="9">
        <f>F22-Inputs!$C$17/2</f>
        <v/>
      </c>
      <c r="U22" s="9">
        <f>F22+Inputs!$C$17/2</f>
        <v/>
      </c>
      <c r="V22" s="9">
        <f>ABS(P22)</f>
        <v/>
      </c>
      <c r="W22" s="9">
        <f>ABS(Q22)</f>
        <v/>
      </c>
      <c r="X22" s="9">
        <f>IF(OR(Inputs!$C$27=TRUE,Inputs!$C$27="TRUE",Inputs!$C$27=1),1,0)*(Inputs!$C$51*(115*EXP(-(((0)-25)^2)/(4.5^2))+70*EXP(-(((0)+38)^2)/(7^2))*(0.55+0.45*SIN(2*PI()*(A22)/45))+24*SIN(2*PI()*(0)/9+(A22)/18)*EXP(-(((0)+5)^2)/(22^2))+18*SIN(2*PI()*(A22)/70))+Inputs!$C$28*EXP(-(((A22)-Inputs!$C$29)^2)/(2*Inputs!$C$31^2))*EXP(-(((0)-Inputs!$C$30)^2)/(2*Inputs!$C$32^2))+-Inputs!$C$33*EXP(-(((((A22)-Inputs!$C$34)^2)+(((0)-Inputs!$C$35)^2))/(2*Inputs!$C$36^2)))+Inputs!$C$37*(0.55*SIN(2*PI()*(A22)/Inputs!$C$39)+0.35*COS(2*PI()*(0)/Inputs!$C$40)+0.2*SIN(2*PI()*((A22)+(0))/(0.5*(Inputs!$C$39+Inputs!$C$40))))+Inputs!$C$38*SIN(2*PI()*(A22)/Inputs!$C$39)*SIN(2*PI()*(0)/Inputs!$C$40)+-Inputs!$C$41*EXP(-(((0)-Inputs!$C$43)^2)/(2*Inputs!$C$44^2))*EXP(-(((A22)-Inputs!$C$42)^2)/(2*Inputs!$C$45^2))+Inputs!$C$48*(0.7*(0.45*SIN(2*PI()*(((A22)/Inputs!$C$49)+Inputs!$C$47*0.137))+0.35*COS(2*PI()*(((0)/Inputs!$C$50)+Inputs!$C$47*0.173))+0.2*SIN(2*PI()*(((A22)+(0))/(0.5*(Inputs!$C$49+Inputs!$C$50))+Inputs!$C$47*0.097)))+0.3*(2*((SIN(((A22)*12.9898+(0)*78.233+Inputs!$C$47*37.719))*43758.5453)-INT((SIN(((A22)*12.9898+(0)*78.233+Inputs!$C$47*37.719))*43758.5453)))-1)))</f>
        <v/>
      </c>
      <c r="Y22" s="9">
        <f>IF(OR(Inputs!$C$27=TRUE,Inputs!$C$27="TRUE",Inputs!$C$27=1),1,0)*(Inputs!$C$51*(115*EXP(-(((Inputs!$C$6)-25)^2)/(4.5^2))+70*EXP(-(((Inputs!$C$6)+38)^2)/(7^2))*(0.55+0.45*SIN(2*PI()*(A22)/45))+24*SIN(2*PI()*(Inputs!$C$6)/9+(A22)/18)*EXP(-(((Inputs!$C$6)+5)^2)/(22^2))+18*SIN(2*PI()*(A22)/70))+Inputs!$C$28*EXP(-(((A22)-Inputs!$C$29)^2)/(2*Inputs!$C$31^2))*EXP(-(((Inputs!$C$6)-Inputs!$C$30)^2)/(2*Inputs!$C$32^2))+-Inputs!$C$33*EXP(-(((((A22)-Inputs!$C$34)^2)+(((Inputs!$C$6)-Inputs!$C$35)^2))/(2*Inputs!$C$36^2)))+Inputs!$C$37*(0.55*SIN(2*PI()*(A22)/Inputs!$C$39)+0.35*COS(2*PI()*(Inputs!$C$6)/Inputs!$C$40)+0.2*SIN(2*PI()*((A22)+(Inputs!$C$6))/(0.5*(Inputs!$C$39+Inputs!$C$40))))+Inputs!$C$38*SIN(2*PI()*(A22)/Inputs!$C$39)*SIN(2*PI()*(Inputs!$C$6)/Inputs!$C$40)+-Inputs!$C$41*EXP(-(((Inputs!$C$6)-Inputs!$C$43)^2)/(2*Inputs!$C$44^2))*EXP(-(((A22)-Inputs!$C$42)^2)/(2*Inputs!$C$45^2))+Inputs!$C$48*(0.7*(0.45*SIN(2*PI()*(((A22)/Inputs!$C$49)+Inputs!$C$47*0.137))+0.35*COS(2*PI()*(((Inputs!$C$6)/Inputs!$C$50)+Inputs!$C$47*0.173))+0.2*SIN(2*PI()*(((A22)+(Inputs!$C$6))/(0.5*(Inputs!$C$49+Inputs!$C$50))+Inputs!$C$47*0.097)))+0.3*(2*((SIN(((A22)*12.9898+(Inputs!$C$6)*78.233+Inputs!$C$47*37.719))*43758.5453)-INT((SIN(((A22)*12.9898+(Inputs!$C$6)*78.233+Inputs!$C$47*37.719))*43758.5453)))-1)))</f>
        <v/>
      </c>
      <c r="Z22" s="9">
        <f>B22-X22/1000</f>
        <v/>
      </c>
      <c r="AA22" s="9">
        <f>SQRT((Inputs!$C$52+B22)^2+(Inputs!$C$52+Y22/1000)^2-2*(Inputs!$C$52+B22)*(Inputs!$C$52+Y22/1000)*COS(SQRT(A22^2+Inputs!$C$6^2)/Inputs!$C$52))</f>
        <v/>
      </c>
      <c r="AB22" s="9">
        <f>(AA22-Z22)*1000</f>
        <v/>
      </c>
      <c r="AC22" s="9">
        <f>AB22/Inputs!$C$12</f>
        <v/>
      </c>
      <c r="AD22" s="9">
        <f>2*AB22/Inputs!$C$21*1000000</f>
        <v/>
      </c>
      <c r="AE22" s="9">
        <f>DEGREES(ATAN(H22/(B22-Y22/1000)))</f>
        <v/>
      </c>
      <c r="AF22" s="9">
        <f>DEGREES((2*PI()/Inputs!$C$13)*Inputs!$C$15*SIN(RADIANS(AE22)))</f>
        <v/>
      </c>
      <c r="AG22" s="9">
        <f>(Z22/AA22)^4</f>
        <v/>
      </c>
      <c r="AH22" s="9">
        <f>10*LOG10(AG22)</f>
        <v/>
      </c>
      <c r="AI22" s="9">
        <f>AC22-F22</f>
        <v/>
      </c>
      <c r="AJ22" s="9">
        <f>AD22-G22</f>
        <v/>
      </c>
      <c r="AK22" s="9">
        <f>Y22-X22</f>
        <v/>
      </c>
      <c r="AL22" s="9">
        <f>1000*(AA23-AA21)/(A23-A21)*Inputs!$C$11</f>
        <v/>
      </c>
      <c r="AM22" s="9">
        <f>-2*AL22/Inputs!$C$13</f>
        <v/>
      </c>
      <c r="AN22" s="9">
        <f>-2*AL22/Inputs!$C$14</f>
        <v/>
      </c>
      <c r="AO22" s="9">
        <f>ABS(AM22)</f>
        <v/>
      </c>
      <c r="AP22" s="9">
        <f>ABS(AN22)</f>
        <v/>
      </c>
      <c r="AQ22" s="9">
        <f>IF(OR(Inputs!$C$27=TRUE,Inputs!$C$27="TRUE",Inputs!$C$27=1),Inputs!$C$46/Inputs!$C$12,0)</f>
        <v/>
      </c>
      <c r="AR22" s="9">
        <f>AC22-AQ22</f>
        <v/>
      </c>
      <c r="AS22" s="9">
        <f>AC22+AQ22</f>
        <v/>
      </c>
    </row>
    <row r="23">
      <c r="A23" s="9">
        <f>Inputs!$C$7+21*(Inputs!$C$8-Inputs!$C$7)/240</f>
        <v/>
      </c>
      <c r="B23" s="9">
        <f>Inputs!$C$5+Inputs!$C$9*(A23/Inputs!$C$10)^2</f>
        <v/>
      </c>
      <c r="C23" s="9">
        <f>B23</f>
        <v/>
      </c>
      <c r="D23" s="9">
        <f>SQRT((Inputs!$C$52+B23)^2+Inputs!$C$52^2-2*(Inputs!$C$52+B23)*Inputs!$C$52*COS(SQRT(A23^2+Inputs!$C$6^2)/Inputs!$C$52))</f>
        <v/>
      </c>
      <c r="E23" s="9">
        <f>(D23-C23)*1000</f>
        <v/>
      </c>
      <c r="F23" s="9">
        <f>E23/Inputs!$C$12</f>
        <v/>
      </c>
      <c r="G23" s="9">
        <f>2*E23/Inputs!$C$21*1000000</f>
        <v/>
      </c>
      <c r="H23" s="9">
        <f>SQRT(A23^2+Inputs!$C$6^2)</f>
        <v/>
      </c>
      <c r="I23" s="9">
        <f>DEGREES(ATAN(H23/B23))</f>
        <v/>
      </c>
      <c r="J23" s="9">
        <f>DEGREES((2*PI()/Inputs!$C$13)*Inputs!$C$15*SIN(RADIANS(I23)))</f>
        <v/>
      </c>
      <c r="K23" s="9">
        <f>(C23/D23)^4</f>
        <v/>
      </c>
      <c r="L23" s="9">
        <f>10*LOG10(K23)</f>
        <v/>
      </c>
      <c r="M23" s="9">
        <f>2*(Inputs!$C$9/(Inputs!$C$10^2))*A23</f>
        <v/>
      </c>
      <c r="N23" s="9">
        <f>M23*Inputs!$C$11</f>
        <v/>
      </c>
      <c r="O23" s="9">
        <f>1000*(D24-D22)/(A24-A22)*Inputs!$C$11</f>
        <v/>
      </c>
      <c r="P23" s="9">
        <f>-2*O23/Inputs!$C$13</f>
        <v/>
      </c>
      <c r="Q23" s="9">
        <f>-2*O23/Inputs!$C$14</f>
        <v/>
      </c>
      <c r="R23" s="9">
        <f>F23-Inputs!$C$16/2</f>
        <v/>
      </c>
      <c r="S23" s="9">
        <f>F23+Inputs!$C$16/2</f>
        <v/>
      </c>
      <c r="T23" s="9">
        <f>F23-Inputs!$C$17/2</f>
        <v/>
      </c>
      <c r="U23" s="9">
        <f>F23+Inputs!$C$17/2</f>
        <v/>
      </c>
      <c r="V23" s="9">
        <f>ABS(P23)</f>
        <v/>
      </c>
      <c r="W23" s="9">
        <f>ABS(Q23)</f>
        <v/>
      </c>
      <c r="X23" s="9">
        <f>IF(OR(Inputs!$C$27=TRUE,Inputs!$C$27="TRUE",Inputs!$C$27=1),1,0)*(Inputs!$C$51*(115*EXP(-(((0)-25)^2)/(4.5^2))+70*EXP(-(((0)+38)^2)/(7^2))*(0.55+0.45*SIN(2*PI()*(A23)/45))+24*SIN(2*PI()*(0)/9+(A23)/18)*EXP(-(((0)+5)^2)/(22^2))+18*SIN(2*PI()*(A23)/70))+Inputs!$C$28*EXP(-(((A23)-Inputs!$C$29)^2)/(2*Inputs!$C$31^2))*EXP(-(((0)-Inputs!$C$30)^2)/(2*Inputs!$C$32^2))+-Inputs!$C$33*EXP(-(((((A23)-Inputs!$C$34)^2)+(((0)-Inputs!$C$35)^2))/(2*Inputs!$C$36^2)))+Inputs!$C$37*(0.55*SIN(2*PI()*(A23)/Inputs!$C$39)+0.35*COS(2*PI()*(0)/Inputs!$C$40)+0.2*SIN(2*PI()*((A23)+(0))/(0.5*(Inputs!$C$39+Inputs!$C$40))))+Inputs!$C$38*SIN(2*PI()*(A23)/Inputs!$C$39)*SIN(2*PI()*(0)/Inputs!$C$40)+-Inputs!$C$41*EXP(-(((0)-Inputs!$C$43)^2)/(2*Inputs!$C$44^2))*EXP(-(((A23)-Inputs!$C$42)^2)/(2*Inputs!$C$45^2))+Inputs!$C$48*(0.7*(0.45*SIN(2*PI()*(((A23)/Inputs!$C$49)+Inputs!$C$47*0.137))+0.35*COS(2*PI()*(((0)/Inputs!$C$50)+Inputs!$C$47*0.173))+0.2*SIN(2*PI()*(((A23)+(0))/(0.5*(Inputs!$C$49+Inputs!$C$50))+Inputs!$C$47*0.097)))+0.3*(2*((SIN(((A23)*12.9898+(0)*78.233+Inputs!$C$47*37.719))*43758.5453)-INT((SIN(((A23)*12.9898+(0)*78.233+Inputs!$C$47*37.719))*43758.5453)))-1)))</f>
        <v/>
      </c>
      <c r="Y23" s="9">
        <f>IF(OR(Inputs!$C$27=TRUE,Inputs!$C$27="TRUE",Inputs!$C$27=1),1,0)*(Inputs!$C$51*(115*EXP(-(((Inputs!$C$6)-25)^2)/(4.5^2))+70*EXP(-(((Inputs!$C$6)+38)^2)/(7^2))*(0.55+0.45*SIN(2*PI()*(A23)/45))+24*SIN(2*PI()*(Inputs!$C$6)/9+(A23)/18)*EXP(-(((Inputs!$C$6)+5)^2)/(22^2))+18*SIN(2*PI()*(A23)/70))+Inputs!$C$28*EXP(-(((A23)-Inputs!$C$29)^2)/(2*Inputs!$C$31^2))*EXP(-(((Inputs!$C$6)-Inputs!$C$30)^2)/(2*Inputs!$C$32^2))+-Inputs!$C$33*EXP(-(((((A23)-Inputs!$C$34)^2)+(((Inputs!$C$6)-Inputs!$C$35)^2))/(2*Inputs!$C$36^2)))+Inputs!$C$37*(0.55*SIN(2*PI()*(A23)/Inputs!$C$39)+0.35*COS(2*PI()*(Inputs!$C$6)/Inputs!$C$40)+0.2*SIN(2*PI()*((A23)+(Inputs!$C$6))/(0.5*(Inputs!$C$39+Inputs!$C$40))))+Inputs!$C$38*SIN(2*PI()*(A23)/Inputs!$C$39)*SIN(2*PI()*(Inputs!$C$6)/Inputs!$C$40)+-Inputs!$C$41*EXP(-(((Inputs!$C$6)-Inputs!$C$43)^2)/(2*Inputs!$C$44^2))*EXP(-(((A23)-Inputs!$C$42)^2)/(2*Inputs!$C$45^2))+Inputs!$C$48*(0.7*(0.45*SIN(2*PI()*(((A23)/Inputs!$C$49)+Inputs!$C$47*0.137))+0.35*COS(2*PI()*(((Inputs!$C$6)/Inputs!$C$50)+Inputs!$C$47*0.173))+0.2*SIN(2*PI()*(((A23)+(Inputs!$C$6))/(0.5*(Inputs!$C$49+Inputs!$C$50))+Inputs!$C$47*0.097)))+0.3*(2*((SIN(((A23)*12.9898+(Inputs!$C$6)*78.233+Inputs!$C$47*37.719))*43758.5453)-INT((SIN(((A23)*12.9898+(Inputs!$C$6)*78.233+Inputs!$C$47*37.719))*43758.5453)))-1)))</f>
        <v/>
      </c>
      <c r="Z23" s="9">
        <f>B23-X23/1000</f>
        <v/>
      </c>
      <c r="AA23" s="9">
        <f>SQRT((Inputs!$C$52+B23)^2+(Inputs!$C$52+Y23/1000)^2-2*(Inputs!$C$52+B23)*(Inputs!$C$52+Y23/1000)*COS(SQRT(A23^2+Inputs!$C$6^2)/Inputs!$C$52))</f>
        <v/>
      </c>
      <c r="AB23" s="9">
        <f>(AA23-Z23)*1000</f>
        <v/>
      </c>
      <c r="AC23" s="9">
        <f>AB23/Inputs!$C$12</f>
        <v/>
      </c>
      <c r="AD23" s="9">
        <f>2*AB23/Inputs!$C$21*1000000</f>
        <v/>
      </c>
      <c r="AE23" s="9">
        <f>DEGREES(ATAN(H23/(B23-Y23/1000)))</f>
        <v/>
      </c>
      <c r="AF23" s="9">
        <f>DEGREES((2*PI()/Inputs!$C$13)*Inputs!$C$15*SIN(RADIANS(AE23)))</f>
        <v/>
      </c>
      <c r="AG23" s="9">
        <f>(Z23/AA23)^4</f>
        <v/>
      </c>
      <c r="AH23" s="9">
        <f>10*LOG10(AG23)</f>
        <v/>
      </c>
      <c r="AI23" s="9">
        <f>AC23-F23</f>
        <v/>
      </c>
      <c r="AJ23" s="9">
        <f>AD23-G23</f>
        <v/>
      </c>
      <c r="AK23" s="9">
        <f>Y23-X23</f>
        <v/>
      </c>
      <c r="AL23" s="9">
        <f>1000*(AA24-AA22)/(A24-A22)*Inputs!$C$11</f>
        <v/>
      </c>
      <c r="AM23" s="9">
        <f>-2*AL23/Inputs!$C$13</f>
        <v/>
      </c>
      <c r="AN23" s="9">
        <f>-2*AL23/Inputs!$C$14</f>
        <v/>
      </c>
      <c r="AO23" s="9">
        <f>ABS(AM23)</f>
        <v/>
      </c>
      <c r="AP23" s="9">
        <f>ABS(AN23)</f>
        <v/>
      </c>
      <c r="AQ23" s="9">
        <f>IF(OR(Inputs!$C$27=TRUE,Inputs!$C$27="TRUE",Inputs!$C$27=1),Inputs!$C$46/Inputs!$C$12,0)</f>
        <v/>
      </c>
      <c r="AR23" s="9">
        <f>AC23-AQ23</f>
        <v/>
      </c>
      <c r="AS23" s="9">
        <f>AC23+AQ23</f>
        <v/>
      </c>
    </row>
    <row r="24">
      <c r="A24" s="9">
        <f>Inputs!$C$7+22*(Inputs!$C$8-Inputs!$C$7)/240</f>
        <v/>
      </c>
      <c r="B24" s="9">
        <f>Inputs!$C$5+Inputs!$C$9*(A24/Inputs!$C$10)^2</f>
        <v/>
      </c>
      <c r="C24" s="9">
        <f>B24</f>
        <v/>
      </c>
      <c r="D24" s="9">
        <f>SQRT((Inputs!$C$52+B24)^2+Inputs!$C$52^2-2*(Inputs!$C$52+B24)*Inputs!$C$52*COS(SQRT(A24^2+Inputs!$C$6^2)/Inputs!$C$52))</f>
        <v/>
      </c>
      <c r="E24" s="9">
        <f>(D24-C24)*1000</f>
        <v/>
      </c>
      <c r="F24" s="9">
        <f>E24/Inputs!$C$12</f>
        <v/>
      </c>
      <c r="G24" s="9">
        <f>2*E24/Inputs!$C$21*1000000</f>
        <v/>
      </c>
      <c r="H24" s="9">
        <f>SQRT(A24^2+Inputs!$C$6^2)</f>
        <v/>
      </c>
      <c r="I24" s="9">
        <f>DEGREES(ATAN(H24/B24))</f>
        <v/>
      </c>
      <c r="J24" s="9">
        <f>DEGREES((2*PI()/Inputs!$C$13)*Inputs!$C$15*SIN(RADIANS(I24)))</f>
        <v/>
      </c>
      <c r="K24" s="9">
        <f>(C24/D24)^4</f>
        <v/>
      </c>
      <c r="L24" s="9">
        <f>10*LOG10(K24)</f>
        <v/>
      </c>
      <c r="M24" s="9">
        <f>2*(Inputs!$C$9/(Inputs!$C$10^2))*A24</f>
        <v/>
      </c>
      <c r="N24" s="9">
        <f>M24*Inputs!$C$11</f>
        <v/>
      </c>
      <c r="O24" s="9">
        <f>1000*(D25-D23)/(A25-A23)*Inputs!$C$11</f>
        <v/>
      </c>
      <c r="P24" s="9">
        <f>-2*O24/Inputs!$C$13</f>
        <v/>
      </c>
      <c r="Q24" s="9">
        <f>-2*O24/Inputs!$C$14</f>
        <v/>
      </c>
      <c r="R24" s="9">
        <f>F24-Inputs!$C$16/2</f>
        <v/>
      </c>
      <c r="S24" s="9">
        <f>F24+Inputs!$C$16/2</f>
        <v/>
      </c>
      <c r="T24" s="9">
        <f>F24-Inputs!$C$17/2</f>
        <v/>
      </c>
      <c r="U24" s="9">
        <f>F24+Inputs!$C$17/2</f>
        <v/>
      </c>
      <c r="V24" s="9">
        <f>ABS(P24)</f>
        <v/>
      </c>
      <c r="W24" s="9">
        <f>ABS(Q24)</f>
        <v/>
      </c>
      <c r="X24" s="9">
        <f>IF(OR(Inputs!$C$27=TRUE,Inputs!$C$27="TRUE",Inputs!$C$27=1),1,0)*(Inputs!$C$51*(115*EXP(-(((0)-25)^2)/(4.5^2))+70*EXP(-(((0)+38)^2)/(7^2))*(0.55+0.45*SIN(2*PI()*(A24)/45))+24*SIN(2*PI()*(0)/9+(A24)/18)*EXP(-(((0)+5)^2)/(22^2))+18*SIN(2*PI()*(A24)/70))+Inputs!$C$28*EXP(-(((A24)-Inputs!$C$29)^2)/(2*Inputs!$C$31^2))*EXP(-(((0)-Inputs!$C$30)^2)/(2*Inputs!$C$32^2))+-Inputs!$C$33*EXP(-(((((A24)-Inputs!$C$34)^2)+(((0)-Inputs!$C$35)^2))/(2*Inputs!$C$36^2)))+Inputs!$C$37*(0.55*SIN(2*PI()*(A24)/Inputs!$C$39)+0.35*COS(2*PI()*(0)/Inputs!$C$40)+0.2*SIN(2*PI()*((A24)+(0))/(0.5*(Inputs!$C$39+Inputs!$C$40))))+Inputs!$C$38*SIN(2*PI()*(A24)/Inputs!$C$39)*SIN(2*PI()*(0)/Inputs!$C$40)+-Inputs!$C$41*EXP(-(((0)-Inputs!$C$43)^2)/(2*Inputs!$C$44^2))*EXP(-(((A24)-Inputs!$C$42)^2)/(2*Inputs!$C$45^2))+Inputs!$C$48*(0.7*(0.45*SIN(2*PI()*(((A24)/Inputs!$C$49)+Inputs!$C$47*0.137))+0.35*COS(2*PI()*(((0)/Inputs!$C$50)+Inputs!$C$47*0.173))+0.2*SIN(2*PI()*(((A24)+(0))/(0.5*(Inputs!$C$49+Inputs!$C$50))+Inputs!$C$47*0.097)))+0.3*(2*((SIN(((A24)*12.9898+(0)*78.233+Inputs!$C$47*37.719))*43758.5453)-INT((SIN(((A24)*12.9898+(0)*78.233+Inputs!$C$47*37.719))*43758.5453)))-1)))</f>
        <v/>
      </c>
      <c r="Y24" s="9">
        <f>IF(OR(Inputs!$C$27=TRUE,Inputs!$C$27="TRUE",Inputs!$C$27=1),1,0)*(Inputs!$C$51*(115*EXP(-(((Inputs!$C$6)-25)^2)/(4.5^2))+70*EXP(-(((Inputs!$C$6)+38)^2)/(7^2))*(0.55+0.45*SIN(2*PI()*(A24)/45))+24*SIN(2*PI()*(Inputs!$C$6)/9+(A24)/18)*EXP(-(((Inputs!$C$6)+5)^2)/(22^2))+18*SIN(2*PI()*(A24)/70))+Inputs!$C$28*EXP(-(((A24)-Inputs!$C$29)^2)/(2*Inputs!$C$31^2))*EXP(-(((Inputs!$C$6)-Inputs!$C$30)^2)/(2*Inputs!$C$32^2))+-Inputs!$C$33*EXP(-(((((A24)-Inputs!$C$34)^2)+(((Inputs!$C$6)-Inputs!$C$35)^2))/(2*Inputs!$C$36^2)))+Inputs!$C$37*(0.55*SIN(2*PI()*(A24)/Inputs!$C$39)+0.35*COS(2*PI()*(Inputs!$C$6)/Inputs!$C$40)+0.2*SIN(2*PI()*((A24)+(Inputs!$C$6))/(0.5*(Inputs!$C$39+Inputs!$C$40))))+Inputs!$C$38*SIN(2*PI()*(A24)/Inputs!$C$39)*SIN(2*PI()*(Inputs!$C$6)/Inputs!$C$40)+-Inputs!$C$41*EXP(-(((Inputs!$C$6)-Inputs!$C$43)^2)/(2*Inputs!$C$44^2))*EXP(-(((A24)-Inputs!$C$42)^2)/(2*Inputs!$C$45^2))+Inputs!$C$48*(0.7*(0.45*SIN(2*PI()*(((A24)/Inputs!$C$49)+Inputs!$C$47*0.137))+0.35*COS(2*PI()*(((Inputs!$C$6)/Inputs!$C$50)+Inputs!$C$47*0.173))+0.2*SIN(2*PI()*(((A24)+(Inputs!$C$6))/(0.5*(Inputs!$C$49+Inputs!$C$50))+Inputs!$C$47*0.097)))+0.3*(2*((SIN(((A24)*12.9898+(Inputs!$C$6)*78.233+Inputs!$C$47*37.719))*43758.5453)-INT((SIN(((A24)*12.9898+(Inputs!$C$6)*78.233+Inputs!$C$47*37.719))*43758.5453)))-1)))</f>
        <v/>
      </c>
      <c r="Z24" s="9">
        <f>B24-X24/1000</f>
        <v/>
      </c>
      <c r="AA24" s="9">
        <f>SQRT((Inputs!$C$52+B24)^2+(Inputs!$C$52+Y24/1000)^2-2*(Inputs!$C$52+B24)*(Inputs!$C$52+Y24/1000)*COS(SQRT(A24^2+Inputs!$C$6^2)/Inputs!$C$52))</f>
        <v/>
      </c>
      <c r="AB24" s="9">
        <f>(AA24-Z24)*1000</f>
        <v/>
      </c>
      <c r="AC24" s="9">
        <f>AB24/Inputs!$C$12</f>
        <v/>
      </c>
      <c r="AD24" s="9">
        <f>2*AB24/Inputs!$C$21*1000000</f>
        <v/>
      </c>
      <c r="AE24" s="9">
        <f>DEGREES(ATAN(H24/(B24-Y24/1000)))</f>
        <v/>
      </c>
      <c r="AF24" s="9">
        <f>DEGREES((2*PI()/Inputs!$C$13)*Inputs!$C$15*SIN(RADIANS(AE24)))</f>
        <v/>
      </c>
      <c r="AG24" s="9">
        <f>(Z24/AA24)^4</f>
        <v/>
      </c>
      <c r="AH24" s="9">
        <f>10*LOG10(AG24)</f>
        <v/>
      </c>
      <c r="AI24" s="9">
        <f>AC24-F24</f>
        <v/>
      </c>
      <c r="AJ24" s="9">
        <f>AD24-G24</f>
        <v/>
      </c>
      <c r="AK24" s="9">
        <f>Y24-X24</f>
        <v/>
      </c>
      <c r="AL24" s="9">
        <f>1000*(AA25-AA23)/(A25-A23)*Inputs!$C$11</f>
        <v/>
      </c>
      <c r="AM24" s="9">
        <f>-2*AL24/Inputs!$C$13</f>
        <v/>
      </c>
      <c r="AN24" s="9">
        <f>-2*AL24/Inputs!$C$14</f>
        <v/>
      </c>
      <c r="AO24" s="9">
        <f>ABS(AM24)</f>
        <v/>
      </c>
      <c r="AP24" s="9">
        <f>ABS(AN24)</f>
        <v/>
      </c>
      <c r="AQ24" s="9">
        <f>IF(OR(Inputs!$C$27=TRUE,Inputs!$C$27="TRUE",Inputs!$C$27=1),Inputs!$C$46/Inputs!$C$12,0)</f>
        <v/>
      </c>
      <c r="AR24" s="9">
        <f>AC24-AQ24</f>
        <v/>
      </c>
      <c r="AS24" s="9">
        <f>AC24+AQ24</f>
        <v/>
      </c>
    </row>
    <row r="25">
      <c r="A25" s="9">
        <f>Inputs!$C$7+23*(Inputs!$C$8-Inputs!$C$7)/240</f>
        <v/>
      </c>
      <c r="B25" s="9">
        <f>Inputs!$C$5+Inputs!$C$9*(A25/Inputs!$C$10)^2</f>
        <v/>
      </c>
      <c r="C25" s="9">
        <f>B25</f>
        <v/>
      </c>
      <c r="D25" s="9">
        <f>SQRT((Inputs!$C$52+B25)^2+Inputs!$C$52^2-2*(Inputs!$C$52+B25)*Inputs!$C$52*COS(SQRT(A25^2+Inputs!$C$6^2)/Inputs!$C$52))</f>
        <v/>
      </c>
      <c r="E25" s="9">
        <f>(D25-C25)*1000</f>
        <v/>
      </c>
      <c r="F25" s="9">
        <f>E25/Inputs!$C$12</f>
        <v/>
      </c>
      <c r="G25" s="9">
        <f>2*E25/Inputs!$C$21*1000000</f>
        <v/>
      </c>
      <c r="H25" s="9">
        <f>SQRT(A25^2+Inputs!$C$6^2)</f>
        <v/>
      </c>
      <c r="I25" s="9">
        <f>DEGREES(ATAN(H25/B25))</f>
        <v/>
      </c>
      <c r="J25" s="9">
        <f>DEGREES((2*PI()/Inputs!$C$13)*Inputs!$C$15*SIN(RADIANS(I25)))</f>
        <v/>
      </c>
      <c r="K25" s="9">
        <f>(C25/D25)^4</f>
        <v/>
      </c>
      <c r="L25" s="9">
        <f>10*LOG10(K25)</f>
        <v/>
      </c>
      <c r="M25" s="9">
        <f>2*(Inputs!$C$9/(Inputs!$C$10^2))*A25</f>
        <v/>
      </c>
      <c r="N25" s="9">
        <f>M25*Inputs!$C$11</f>
        <v/>
      </c>
      <c r="O25" s="9">
        <f>1000*(D26-D24)/(A26-A24)*Inputs!$C$11</f>
        <v/>
      </c>
      <c r="P25" s="9">
        <f>-2*O25/Inputs!$C$13</f>
        <v/>
      </c>
      <c r="Q25" s="9">
        <f>-2*O25/Inputs!$C$14</f>
        <v/>
      </c>
      <c r="R25" s="9">
        <f>F25-Inputs!$C$16/2</f>
        <v/>
      </c>
      <c r="S25" s="9">
        <f>F25+Inputs!$C$16/2</f>
        <v/>
      </c>
      <c r="T25" s="9">
        <f>F25-Inputs!$C$17/2</f>
        <v/>
      </c>
      <c r="U25" s="9">
        <f>F25+Inputs!$C$17/2</f>
        <v/>
      </c>
      <c r="V25" s="9">
        <f>ABS(P25)</f>
        <v/>
      </c>
      <c r="W25" s="9">
        <f>ABS(Q25)</f>
        <v/>
      </c>
      <c r="X25" s="9">
        <f>IF(OR(Inputs!$C$27=TRUE,Inputs!$C$27="TRUE",Inputs!$C$27=1),1,0)*(Inputs!$C$51*(115*EXP(-(((0)-25)^2)/(4.5^2))+70*EXP(-(((0)+38)^2)/(7^2))*(0.55+0.45*SIN(2*PI()*(A25)/45))+24*SIN(2*PI()*(0)/9+(A25)/18)*EXP(-(((0)+5)^2)/(22^2))+18*SIN(2*PI()*(A25)/70))+Inputs!$C$28*EXP(-(((A25)-Inputs!$C$29)^2)/(2*Inputs!$C$31^2))*EXP(-(((0)-Inputs!$C$30)^2)/(2*Inputs!$C$32^2))+-Inputs!$C$33*EXP(-(((((A25)-Inputs!$C$34)^2)+(((0)-Inputs!$C$35)^2))/(2*Inputs!$C$36^2)))+Inputs!$C$37*(0.55*SIN(2*PI()*(A25)/Inputs!$C$39)+0.35*COS(2*PI()*(0)/Inputs!$C$40)+0.2*SIN(2*PI()*((A25)+(0))/(0.5*(Inputs!$C$39+Inputs!$C$40))))+Inputs!$C$38*SIN(2*PI()*(A25)/Inputs!$C$39)*SIN(2*PI()*(0)/Inputs!$C$40)+-Inputs!$C$41*EXP(-(((0)-Inputs!$C$43)^2)/(2*Inputs!$C$44^2))*EXP(-(((A25)-Inputs!$C$42)^2)/(2*Inputs!$C$45^2))+Inputs!$C$48*(0.7*(0.45*SIN(2*PI()*(((A25)/Inputs!$C$49)+Inputs!$C$47*0.137))+0.35*COS(2*PI()*(((0)/Inputs!$C$50)+Inputs!$C$47*0.173))+0.2*SIN(2*PI()*(((A25)+(0))/(0.5*(Inputs!$C$49+Inputs!$C$50))+Inputs!$C$47*0.097)))+0.3*(2*((SIN(((A25)*12.9898+(0)*78.233+Inputs!$C$47*37.719))*43758.5453)-INT((SIN(((A25)*12.9898+(0)*78.233+Inputs!$C$47*37.719))*43758.5453)))-1)))</f>
        <v/>
      </c>
      <c r="Y25" s="9">
        <f>IF(OR(Inputs!$C$27=TRUE,Inputs!$C$27="TRUE",Inputs!$C$27=1),1,0)*(Inputs!$C$51*(115*EXP(-(((Inputs!$C$6)-25)^2)/(4.5^2))+70*EXP(-(((Inputs!$C$6)+38)^2)/(7^2))*(0.55+0.45*SIN(2*PI()*(A25)/45))+24*SIN(2*PI()*(Inputs!$C$6)/9+(A25)/18)*EXP(-(((Inputs!$C$6)+5)^2)/(22^2))+18*SIN(2*PI()*(A25)/70))+Inputs!$C$28*EXP(-(((A25)-Inputs!$C$29)^2)/(2*Inputs!$C$31^2))*EXP(-(((Inputs!$C$6)-Inputs!$C$30)^2)/(2*Inputs!$C$32^2))+-Inputs!$C$33*EXP(-(((((A25)-Inputs!$C$34)^2)+(((Inputs!$C$6)-Inputs!$C$35)^2))/(2*Inputs!$C$36^2)))+Inputs!$C$37*(0.55*SIN(2*PI()*(A25)/Inputs!$C$39)+0.35*COS(2*PI()*(Inputs!$C$6)/Inputs!$C$40)+0.2*SIN(2*PI()*((A25)+(Inputs!$C$6))/(0.5*(Inputs!$C$39+Inputs!$C$40))))+Inputs!$C$38*SIN(2*PI()*(A25)/Inputs!$C$39)*SIN(2*PI()*(Inputs!$C$6)/Inputs!$C$40)+-Inputs!$C$41*EXP(-(((Inputs!$C$6)-Inputs!$C$43)^2)/(2*Inputs!$C$44^2))*EXP(-(((A25)-Inputs!$C$42)^2)/(2*Inputs!$C$45^2))+Inputs!$C$48*(0.7*(0.45*SIN(2*PI()*(((A25)/Inputs!$C$49)+Inputs!$C$47*0.137))+0.35*COS(2*PI()*(((Inputs!$C$6)/Inputs!$C$50)+Inputs!$C$47*0.173))+0.2*SIN(2*PI()*(((A25)+(Inputs!$C$6))/(0.5*(Inputs!$C$49+Inputs!$C$50))+Inputs!$C$47*0.097)))+0.3*(2*((SIN(((A25)*12.9898+(Inputs!$C$6)*78.233+Inputs!$C$47*37.719))*43758.5453)-INT((SIN(((A25)*12.9898+(Inputs!$C$6)*78.233+Inputs!$C$47*37.719))*43758.5453)))-1)))</f>
        <v/>
      </c>
      <c r="Z25" s="9">
        <f>B25-X25/1000</f>
        <v/>
      </c>
      <c r="AA25" s="9">
        <f>SQRT((Inputs!$C$52+B25)^2+(Inputs!$C$52+Y25/1000)^2-2*(Inputs!$C$52+B25)*(Inputs!$C$52+Y25/1000)*COS(SQRT(A25^2+Inputs!$C$6^2)/Inputs!$C$52))</f>
        <v/>
      </c>
      <c r="AB25" s="9">
        <f>(AA25-Z25)*1000</f>
        <v/>
      </c>
      <c r="AC25" s="9">
        <f>AB25/Inputs!$C$12</f>
        <v/>
      </c>
      <c r="AD25" s="9">
        <f>2*AB25/Inputs!$C$21*1000000</f>
        <v/>
      </c>
      <c r="AE25" s="9">
        <f>DEGREES(ATAN(H25/(B25-Y25/1000)))</f>
        <v/>
      </c>
      <c r="AF25" s="9">
        <f>DEGREES((2*PI()/Inputs!$C$13)*Inputs!$C$15*SIN(RADIANS(AE25)))</f>
        <v/>
      </c>
      <c r="AG25" s="9">
        <f>(Z25/AA25)^4</f>
        <v/>
      </c>
      <c r="AH25" s="9">
        <f>10*LOG10(AG25)</f>
        <v/>
      </c>
      <c r="AI25" s="9">
        <f>AC25-F25</f>
        <v/>
      </c>
      <c r="AJ25" s="9">
        <f>AD25-G25</f>
        <v/>
      </c>
      <c r="AK25" s="9">
        <f>Y25-X25</f>
        <v/>
      </c>
      <c r="AL25" s="9">
        <f>1000*(AA26-AA24)/(A26-A24)*Inputs!$C$11</f>
        <v/>
      </c>
      <c r="AM25" s="9">
        <f>-2*AL25/Inputs!$C$13</f>
        <v/>
      </c>
      <c r="AN25" s="9">
        <f>-2*AL25/Inputs!$C$14</f>
        <v/>
      </c>
      <c r="AO25" s="9">
        <f>ABS(AM25)</f>
        <v/>
      </c>
      <c r="AP25" s="9">
        <f>ABS(AN25)</f>
        <v/>
      </c>
      <c r="AQ25" s="9">
        <f>IF(OR(Inputs!$C$27=TRUE,Inputs!$C$27="TRUE",Inputs!$C$27=1),Inputs!$C$46/Inputs!$C$12,0)</f>
        <v/>
      </c>
      <c r="AR25" s="9">
        <f>AC25-AQ25</f>
        <v/>
      </c>
      <c r="AS25" s="9">
        <f>AC25+AQ25</f>
        <v/>
      </c>
    </row>
    <row r="26">
      <c r="A26" s="9">
        <f>Inputs!$C$7+24*(Inputs!$C$8-Inputs!$C$7)/240</f>
        <v/>
      </c>
      <c r="B26" s="9">
        <f>Inputs!$C$5+Inputs!$C$9*(A26/Inputs!$C$10)^2</f>
        <v/>
      </c>
      <c r="C26" s="9">
        <f>B26</f>
        <v/>
      </c>
      <c r="D26" s="9">
        <f>SQRT((Inputs!$C$52+B26)^2+Inputs!$C$52^2-2*(Inputs!$C$52+B26)*Inputs!$C$52*COS(SQRT(A26^2+Inputs!$C$6^2)/Inputs!$C$52))</f>
        <v/>
      </c>
      <c r="E26" s="9">
        <f>(D26-C26)*1000</f>
        <v/>
      </c>
      <c r="F26" s="9">
        <f>E26/Inputs!$C$12</f>
        <v/>
      </c>
      <c r="G26" s="9">
        <f>2*E26/Inputs!$C$21*1000000</f>
        <v/>
      </c>
      <c r="H26" s="9">
        <f>SQRT(A26^2+Inputs!$C$6^2)</f>
        <v/>
      </c>
      <c r="I26" s="9">
        <f>DEGREES(ATAN(H26/B26))</f>
        <v/>
      </c>
      <c r="J26" s="9">
        <f>DEGREES((2*PI()/Inputs!$C$13)*Inputs!$C$15*SIN(RADIANS(I26)))</f>
        <v/>
      </c>
      <c r="K26" s="9">
        <f>(C26/D26)^4</f>
        <v/>
      </c>
      <c r="L26" s="9">
        <f>10*LOG10(K26)</f>
        <v/>
      </c>
      <c r="M26" s="9">
        <f>2*(Inputs!$C$9/(Inputs!$C$10^2))*A26</f>
        <v/>
      </c>
      <c r="N26" s="9">
        <f>M26*Inputs!$C$11</f>
        <v/>
      </c>
      <c r="O26" s="9">
        <f>1000*(D27-D25)/(A27-A25)*Inputs!$C$11</f>
        <v/>
      </c>
      <c r="P26" s="9">
        <f>-2*O26/Inputs!$C$13</f>
        <v/>
      </c>
      <c r="Q26" s="9">
        <f>-2*O26/Inputs!$C$14</f>
        <v/>
      </c>
      <c r="R26" s="9">
        <f>F26-Inputs!$C$16/2</f>
        <v/>
      </c>
      <c r="S26" s="9">
        <f>F26+Inputs!$C$16/2</f>
        <v/>
      </c>
      <c r="T26" s="9">
        <f>F26-Inputs!$C$17/2</f>
        <v/>
      </c>
      <c r="U26" s="9">
        <f>F26+Inputs!$C$17/2</f>
        <v/>
      </c>
      <c r="V26" s="9">
        <f>ABS(P26)</f>
        <v/>
      </c>
      <c r="W26" s="9">
        <f>ABS(Q26)</f>
        <v/>
      </c>
      <c r="X26" s="9">
        <f>IF(OR(Inputs!$C$27=TRUE,Inputs!$C$27="TRUE",Inputs!$C$27=1),1,0)*(Inputs!$C$51*(115*EXP(-(((0)-25)^2)/(4.5^2))+70*EXP(-(((0)+38)^2)/(7^2))*(0.55+0.45*SIN(2*PI()*(A26)/45))+24*SIN(2*PI()*(0)/9+(A26)/18)*EXP(-(((0)+5)^2)/(22^2))+18*SIN(2*PI()*(A26)/70))+Inputs!$C$28*EXP(-(((A26)-Inputs!$C$29)^2)/(2*Inputs!$C$31^2))*EXP(-(((0)-Inputs!$C$30)^2)/(2*Inputs!$C$32^2))+-Inputs!$C$33*EXP(-(((((A26)-Inputs!$C$34)^2)+(((0)-Inputs!$C$35)^2))/(2*Inputs!$C$36^2)))+Inputs!$C$37*(0.55*SIN(2*PI()*(A26)/Inputs!$C$39)+0.35*COS(2*PI()*(0)/Inputs!$C$40)+0.2*SIN(2*PI()*((A26)+(0))/(0.5*(Inputs!$C$39+Inputs!$C$40))))+Inputs!$C$38*SIN(2*PI()*(A26)/Inputs!$C$39)*SIN(2*PI()*(0)/Inputs!$C$40)+-Inputs!$C$41*EXP(-(((0)-Inputs!$C$43)^2)/(2*Inputs!$C$44^2))*EXP(-(((A26)-Inputs!$C$42)^2)/(2*Inputs!$C$45^2))+Inputs!$C$48*(0.7*(0.45*SIN(2*PI()*(((A26)/Inputs!$C$49)+Inputs!$C$47*0.137))+0.35*COS(2*PI()*(((0)/Inputs!$C$50)+Inputs!$C$47*0.173))+0.2*SIN(2*PI()*(((A26)+(0))/(0.5*(Inputs!$C$49+Inputs!$C$50))+Inputs!$C$47*0.097)))+0.3*(2*((SIN(((A26)*12.9898+(0)*78.233+Inputs!$C$47*37.719))*43758.5453)-INT((SIN(((A26)*12.9898+(0)*78.233+Inputs!$C$47*37.719))*43758.5453)))-1)))</f>
        <v/>
      </c>
      <c r="Y26" s="9">
        <f>IF(OR(Inputs!$C$27=TRUE,Inputs!$C$27="TRUE",Inputs!$C$27=1),1,0)*(Inputs!$C$51*(115*EXP(-(((Inputs!$C$6)-25)^2)/(4.5^2))+70*EXP(-(((Inputs!$C$6)+38)^2)/(7^2))*(0.55+0.45*SIN(2*PI()*(A26)/45))+24*SIN(2*PI()*(Inputs!$C$6)/9+(A26)/18)*EXP(-(((Inputs!$C$6)+5)^2)/(22^2))+18*SIN(2*PI()*(A26)/70))+Inputs!$C$28*EXP(-(((A26)-Inputs!$C$29)^2)/(2*Inputs!$C$31^2))*EXP(-(((Inputs!$C$6)-Inputs!$C$30)^2)/(2*Inputs!$C$32^2))+-Inputs!$C$33*EXP(-(((((A26)-Inputs!$C$34)^2)+(((Inputs!$C$6)-Inputs!$C$35)^2))/(2*Inputs!$C$36^2)))+Inputs!$C$37*(0.55*SIN(2*PI()*(A26)/Inputs!$C$39)+0.35*COS(2*PI()*(Inputs!$C$6)/Inputs!$C$40)+0.2*SIN(2*PI()*((A26)+(Inputs!$C$6))/(0.5*(Inputs!$C$39+Inputs!$C$40))))+Inputs!$C$38*SIN(2*PI()*(A26)/Inputs!$C$39)*SIN(2*PI()*(Inputs!$C$6)/Inputs!$C$40)+-Inputs!$C$41*EXP(-(((Inputs!$C$6)-Inputs!$C$43)^2)/(2*Inputs!$C$44^2))*EXP(-(((A26)-Inputs!$C$42)^2)/(2*Inputs!$C$45^2))+Inputs!$C$48*(0.7*(0.45*SIN(2*PI()*(((A26)/Inputs!$C$49)+Inputs!$C$47*0.137))+0.35*COS(2*PI()*(((Inputs!$C$6)/Inputs!$C$50)+Inputs!$C$47*0.173))+0.2*SIN(2*PI()*(((A26)+(Inputs!$C$6))/(0.5*(Inputs!$C$49+Inputs!$C$50))+Inputs!$C$47*0.097)))+0.3*(2*((SIN(((A26)*12.9898+(Inputs!$C$6)*78.233+Inputs!$C$47*37.719))*43758.5453)-INT((SIN(((A26)*12.9898+(Inputs!$C$6)*78.233+Inputs!$C$47*37.719))*43758.5453)))-1)))</f>
        <v/>
      </c>
      <c r="Z26" s="9">
        <f>B26-X26/1000</f>
        <v/>
      </c>
      <c r="AA26" s="9">
        <f>SQRT((Inputs!$C$52+B26)^2+(Inputs!$C$52+Y26/1000)^2-2*(Inputs!$C$52+B26)*(Inputs!$C$52+Y26/1000)*COS(SQRT(A26^2+Inputs!$C$6^2)/Inputs!$C$52))</f>
        <v/>
      </c>
      <c r="AB26" s="9">
        <f>(AA26-Z26)*1000</f>
        <v/>
      </c>
      <c r="AC26" s="9">
        <f>AB26/Inputs!$C$12</f>
        <v/>
      </c>
      <c r="AD26" s="9">
        <f>2*AB26/Inputs!$C$21*1000000</f>
        <v/>
      </c>
      <c r="AE26" s="9">
        <f>DEGREES(ATAN(H26/(B26-Y26/1000)))</f>
        <v/>
      </c>
      <c r="AF26" s="9">
        <f>DEGREES((2*PI()/Inputs!$C$13)*Inputs!$C$15*SIN(RADIANS(AE26)))</f>
        <v/>
      </c>
      <c r="AG26" s="9">
        <f>(Z26/AA26)^4</f>
        <v/>
      </c>
      <c r="AH26" s="9">
        <f>10*LOG10(AG26)</f>
        <v/>
      </c>
      <c r="AI26" s="9">
        <f>AC26-F26</f>
        <v/>
      </c>
      <c r="AJ26" s="9">
        <f>AD26-G26</f>
        <v/>
      </c>
      <c r="AK26" s="9">
        <f>Y26-X26</f>
        <v/>
      </c>
      <c r="AL26" s="9">
        <f>1000*(AA27-AA25)/(A27-A25)*Inputs!$C$11</f>
        <v/>
      </c>
      <c r="AM26" s="9">
        <f>-2*AL26/Inputs!$C$13</f>
        <v/>
      </c>
      <c r="AN26" s="9">
        <f>-2*AL26/Inputs!$C$14</f>
        <v/>
      </c>
      <c r="AO26" s="9">
        <f>ABS(AM26)</f>
        <v/>
      </c>
      <c r="AP26" s="9">
        <f>ABS(AN26)</f>
        <v/>
      </c>
      <c r="AQ26" s="9">
        <f>IF(OR(Inputs!$C$27=TRUE,Inputs!$C$27="TRUE",Inputs!$C$27=1),Inputs!$C$46/Inputs!$C$12,0)</f>
        <v/>
      </c>
      <c r="AR26" s="9">
        <f>AC26-AQ26</f>
        <v/>
      </c>
      <c r="AS26" s="9">
        <f>AC26+AQ26</f>
        <v/>
      </c>
    </row>
    <row r="27">
      <c r="A27" s="9">
        <f>Inputs!$C$7+25*(Inputs!$C$8-Inputs!$C$7)/240</f>
        <v/>
      </c>
      <c r="B27" s="9">
        <f>Inputs!$C$5+Inputs!$C$9*(A27/Inputs!$C$10)^2</f>
        <v/>
      </c>
      <c r="C27" s="9">
        <f>B27</f>
        <v/>
      </c>
      <c r="D27" s="9">
        <f>SQRT((Inputs!$C$52+B27)^2+Inputs!$C$52^2-2*(Inputs!$C$52+B27)*Inputs!$C$52*COS(SQRT(A27^2+Inputs!$C$6^2)/Inputs!$C$52))</f>
        <v/>
      </c>
      <c r="E27" s="9">
        <f>(D27-C27)*1000</f>
        <v/>
      </c>
      <c r="F27" s="9">
        <f>E27/Inputs!$C$12</f>
        <v/>
      </c>
      <c r="G27" s="9">
        <f>2*E27/Inputs!$C$21*1000000</f>
        <v/>
      </c>
      <c r="H27" s="9">
        <f>SQRT(A27^2+Inputs!$C$6^2)</f>
        <v/>
      </c>
      <c r="I27" s="9">
        <f>DEGREES(ATAN(H27/B27))</f>
        <v/>
      </c>
      <c r="J27" s="9">
        <f>DEGREES((2*PI()/Inputs!$C$13)*Inputs!$C$15*SIN(RADIANS(I27)))</f>
        <v/>
      </c>
      <c r="K27" s="9">
        <f>(C27/D27)^4</f>
        <v/>
      </c>
      <c r="L27" s="9">
        <f>10*LOG10(K27)</f>
        <v/>
      </c>
      <c r="M27" s="9">
        <f>2*(Inputs!$C$9/(Inputs!$C$10^2))*A27</f>
        <v/>
      </c>
      <c r="N27" s="9">
        <f>M27*Inputs!$C$11</f>
        <v/>
      </c>
      <c r="O27" s="9">
        <f>1000*(D28-D26)/(A28-A26)*Inputs!$C$11</f>
        <v/>
      </c>
      <c r="P27" s="9">
        <f>-2*O27/Inputs!$C$13</f>
        <v/>
      </c>
      <c r="Q27" s="9">
        <f>-2*O27/Inputs!$C$14</f>
        <v/>
      </c>
      <c r="R27" s="9">
        <f>F27-Inputs!$C$16/2</f>
        <v/>
      </c>
      <c r="S27" s="9">
        <f>F27+Inputs!$C$16/2</f>
        <v/>
      </c>
      <c r="T27" s="9">
        <f>F27-Inputs!$C$17/2</f>
        <v/>
      </c>
      <c r="U27" s="9">
        <f>F27+Inputs!$C$17/2</f>
        <v/>
      </c>
      <c r="V27" s="9">
        <f>ABS(P27)</f>
        <v/>
      </c>
      <c r="W27" s="9">
        <f>ABS(Q27)</f>
        <v/>
      </c>
      <c r="X27" s="9">
        <f>IF(OR(Inputs!$C$27=TRUE,Inputs!$C$27="TRUE",Inputs!$C$27=1),1,0)*(Inputs!$C$51*(115*EXP(-(((0)-25)^2)/(4.5^2))+70*EXP(-(((0)+38)^2)/(7^2))*(0.55+0.45*SIN(2*PI()*(A27)/45))+24*SIN(2*PI()*(0)/9+(A27)/18)*EXP(-(((0)+5)^2)/(22^2))+18*SIN(2*PI()*(A27)/70))+Inputs!$C$28*EXP(-(((A27)-Inputs!$C$29)^2)/(2*Inputs!$C$31^2))*EXP(-(((0)-Inputs!$C$30)^2)/(2*Inputs!$C$32^2))+-Inputs!$C$33*EXP(-(((((A27)-Inputs!$C$34)^2)+(((0)-Inputs!$C$35)^2))/(2*Inputs!$C$36^2)))+Inputs!$C$37*(0.55*SIN(2*PI()*(A27)/Inputs!$C$39)+0.35*COS(2*PI()*(0)/Inputs!$C$40)+0.2*SIN(2*PI()*((A27)+(0))/(0.5*(Inputs!$C$39+Inputs!$C$40))))+Inputs!$C$38*SIN(2*PI()*(A27)/Inputs!$C$39)*SIN(2*PI()*(0)/Inputs!$C$40)+-Inputs!$C$41*EXP(-(((0)-Inputs!$C$43)^2)/(2*Inputs!$C$44^2))*EXP(-(((A27)-Inputs!$C$42)^2)/(2*Inputs!$C$45^2))+Inputs!$C$48*(0.7*(0.45*SIN(2*PI()*(((A27)/Inputs!$C$49)+Inputs!$C$47*0.137))+0.35*COS(2*PI()*(((0)/Inputs!$C$50)+Inputs!$C$47*0.173))+0.2*SIN(2*PI()*(((A27)+(0))/(0.5*(Inputs!$C$49+Inputs!$C$50))+Inputs!$C$47*0.097)))+0.3*(2*((SIN(((A27)*12.9898+(0)*78.233+Inputs!$C$47*37.719))*43758.5453)-INT((SIN(((A27)*12.9898+(0)*78.233+Inputs!$C$47*37.719))*43758.5453)))-1)))</f>
        <v/>
      </c>
      <c r="Y27" s="9">
        <f>IF(OR(Inputs!$C$27=TRUE,Inputs!$C$27="TRUE",Inputs!$C$27=1),1,0)*(Inputs!$C$51*(115*EXP(-(((Inputs!$C$6)-25)^2)/(4.5^2))+70*EXP(-(((Inputs!$C$6)+38)^2)/(7^2))*(0.55+0.45*SIN(2*PI()*(A27)/45))+24*SIN(2*PI()*(Inputs!$C$6)/9+(A27)/18)*EXP(-(((Inputs!$C$6)+5)^2)/(22^2))+18*SIN(2*PI()*(A27)/70))+Inputs!$C$28*EXP(-(((A27)-Inputs!$C$29)^2)/(2*Inputs!$C$31^2))*EXP(-(((Inputs!$C$6)-Inputs!$C$30)^2)/(2*Inputs!$C$32^2))+-Inputs!$C$33*EXP(-(((((A27)-Inputs!$C$34)^2)+(((Inputs!$C$6)-Inputs!$C$35)^2))/(2*Inputs!$C$36^2)))+Inputs!$C$37*(0.55*SIN(2*PI()*(A27)/Inputs!$C$39)+0.35*COS(2*PI()*(Inputs!$C$6)/Inputs!$C$40)+0.2*SIN(2*PI()*((A27)+(Inputs!$C$6))/(0.5*(Inputs!$C$39+Inputs!$C$40))))+Inputs!$C$38*SIN(2*PI()*(A27)/Inputs!$C$39)*SIN(2*PI()*(Inputs!$C$6)/Inputs!$C$40)+-Inputs!$C$41*EXP(-(((Inputs!$C$6)-Inputs!$C$43)^2)/(2*Inputs!$C$44^2))*EXP(-(((A27)-Inputs!$C$42)^2)/(2*Inputs!$C$45^2))+Inputs!$C$48*(0.7*(0.45*SIN(2*PI()*(((A27)/Inputs!$C$49)+Inputs!$C$47*0.137))+0.35*COS(2*PI()*(((Inputs!$C$6)/Inputs!$C$50)+Inputs!$C$47*0.173))+0.2*SIN(2*PI()*(((A27)+(Inputs!$C$6))/(0.5*(Inputs!$C$49+Inputs!$C$50))+Inputs!$C$47*0.097)))+0.3*(2*((SIN(((A27)*12.9898+(Inputs!$C$6)*78.233+Inputs!$C$47*37.719))*43758.5453)-INT((SIN(((A27)*12.9898+(Inputs!$C$6)*78.233+Inputs!$C$47*37.719))*43758.5453)))-1)))</f>
        <v/>
      </c>
      <c r="Z27" s="9">
        <f>B27-X27/1000</f>
        <v/>
      </c>
      <c r="AA27" s="9">
        <f>SQRT((Inputs!$C$52+B27)^2+(Inputs!$C$52+Y27/1000)^2-2*(Inputs!$C$52+B27)*(Inputs!$C$52+Y27/1000)*COS(SQRT(A27^2+Inputs!$C$6^2)/Inputs!$C$52))</f>
        <v/>
      </c>
      <c r="AB27" s="9">
        <f>(AA27-Z27)*1000</f>
        <v/>
      </c>
      <c r="AC27" s="9">
        <f>AB27/Inputs!$C$12</f>
        <v/>
      </c>
      <c r="AD27" s="9">
        <f>2*AB27/Inputs!$C$21*1000000</f>
        <v/>
      </c>
      <c r="AE27" s="9">
        <f>DEGREES(ATAN(H27/(B27-Y27/1000)))</f>
        <v/>
      </c>
      <c r="AF27" s="9">
        <f>DEGREES((2*PI()/Inputs!$C$13)*Inputs!$C$15*SIN(RADIANS(AE27)))</f>
        <v/>
      </c>
      <c r="AG27" s="9">
        <f>(Z27/AA27)^4</f>
        <v/>
      </c>
      <c r="AH27" s="9">
        <f>10*LOG10(AG27)</f>
        <v/>
      </c>
      <c r="AI27" s="9">
        <f>AC27-F27</f>
        <v/>
      </c>
      <c r="AJ27" s="9">
        <f>AD27-G27</f>
        <v/>
      </c>
      <c r="AK27" s="9">
        <f>Y27-X27</f>
        <v/>
      </c>
      <c r="AL27" s="9">
        <f>1000*(AA28-AA26)/(A28-A26)*Inputs!$C$11</f>
        <v/>
      </c>
      <c r="AM27" s="9">
        <f>-2*AL27/Inputs!$C$13</f>
        <v/>
      </c>
      <c r="AN27" s="9">
        <f>-2*AL27/Inputs!$C$14</f>
        <v/>
      </c>
      <c r="AO27" s="9">
        <f>ABS(AM27)</f>
        <v/>
      </c>
      <c r="AP27" s="9">
        <f>ABS(AN27)</f>
        <v/>
      </c>
      <c r="AQ27" s="9">
        <f>IF(OR(Inputs!$C$27=TRUE,Inputs!$C$27="TRUE",Inputs!$C$27=1),Inputs!$C$46/Inputs!$C$12,0)</f>
        <v/>
      </c>
      <c r="AR27" s="9">
        <f>AC27-AQ27</f>
        <v/>
      </c>
      <c r="AS27" s="9">
        <f>AC27+AQ27</f>
        <v/>
      </c>
    </row>
    <row r="28">
      <c r="A28" s="9">
        <f>Inputs!$C$7+26*(Inputs!$C$8-Inputs!$C$7)/240</f>
        <v/>
      </c>
      <c r="B28" s="9">
        <f>Inputs!$C$5+Inputs!$C$9*(A28/Inputs!$C$10)^2</f>
        <v/>
      </c>
      <c r="C28" s="9">
        <f>B28</f>
        <v/>
      </c>
      <c r="D28" s="9">
        <f>SQRT((Inputs!$C$52+B28)^2+Inputs!$C$52^2-2*(Inputs!$C$52+B28)*Inputs!$C$52*COS(SQRT(A28^2+Inputs!$C$6^2)/Inputs!$C$52))</f>
        <v/>
      </c>
      <c r="E28" s="9">
        <f>(D28-C28)*1000</f>
        <v/>
      </c>
      <c r="F28" s="9">
        <f>E28/Inputs!$C$12</f>
        <v/>
      </c>
      <c r="G28" s="9">
        <f>2*E28/Inputs!$C$21*1000000</f>
        <v/>
      </c>
      <c r="H28" s="9">
        <f>SQRT(A28^2+Inputs!$C$6^2)</f>
        <v/>
      </c>
      <c r="I28" s="9">
        <f>DEGREES(ATAN(H28/B28))</f>
        <v/>
      </c>
      <c r="J28" s="9">
        <f>DEGREES((2*PI()/Inputs!$C$13)*Inputs!$C$15*SIN(RADIANS(I28)))</f>
        <v/>
      </c>
      <c r="K28" s="9">
        <f>(C28/D28)^4</f>
        <v/>
      </c>
      <c r="L28" s="9">
        <f>10*LOG10(K28)</f>
        <v/>
      </c>
      <c r="M28" s="9">
        <f>2*(Inputs!$C$9/(Inputs!$C$10^2))*A28</f>
        <v/>
      </c>
      <c r="N28" s="9">
        <f>M28*Inputs!$C$11</f>
        <v/>
      </c>
      <c r="O28" s="9">
        <f>1000*(D29-D27)/(A29-A27)*Inputs!$C$11</f>
        <v/>
      </c>
      <c r="P28" s="9">
        <f>-2*O28/Inputs!$C$13</f>
        <v/>
      </c>
      <c r="Q28" s="9">
        <f>-2*O28/Inputs!$C$14</f>
        <v/>
      </c>
      <c r="R28" s="9">
        <f>F28-Inputs!$C$16/2</f>
        <v/>
      </c>
      <c r="S28" s="9">
        <f>F28+Inputs!$C$16/2</f>
        <v/>
      </c>
      <c r="T28" s="9">
        <f>F28-Inputs!$C$17/2</f>
        <v/>
      </c>
      <c r="U28" s="9">
        <f>F28+Inputs!$C$17/2</f>
        <v/>
      </c>
      <c r="V28" s="9">
        <f>ABS(P28)</f>
        <v/>
      </c>
      <c r="W28" s="9">
        <f>ABS(Q28)</f>
        <v/>
      </c>
      <c r="X28" s="9">
        <f>IF(OR(Inputs!$C$27=TRUE,Inputs!$C$27="TRUE",Inputs!$C$27=1),1,0)*(Inputs!$C$51*(115*EXP(-(((0)-25)^2)/(4.5^2))+70*EXP(-(((0)+38)^2)/(7^2))*(0.55+0.45*SIN(2*PI()*(A28)/45))+24*SIN(2*PI()*(0)/9+(A28)/18)*EXP(-(((0)+5)^2)/(22^2))+18*SIN(2*PI()*(A28)/70))+Inputs!$C$28*EXP(-(((A28)-Inputs!$C$29)^2)/(2*Inputs!$C$31^2))*EXP(-(((0)-Inputs!$C$30)^2)/(2*Inputs!$C$32^2))+-Inputs!$C$33*EXP(-(((((A28)-Inputs!$C$34)^2)+(((0)-Inputs!$C$35)^2))/(2*Inputs!$C$36^2)))+Inputs!$C$37*(0.55*SIN(2*PI()*(A28)/Inputs!$C$39)+0.35*COS(2*PI()*(0)/Inputs!$C$40)+0.2*SIN(2*PI()*((A28)+(0))/(0.5*(Inputs!$C$39+Inputs!$C$40))))+Inputs!$C$38*SIN(2*PI()*(A28)/Inputs!$C$39)*SIN(2*PI()*(0)/Inputs!$C$40)+-Inputs!$C$41*EXP(-(((0)-Inputs!$C$43)^2)/(2*Inputs!$C$44^2))*EXP(-(((A28)-Inputs!$C$42)^2)/(2*Inputs!$C$45^2))+Inputs!$C$48*(0.7*(0.45*SIN(2*PI()*(((A28)/Inputs!$C$49)+Inputs!$C$47*0.137))+0.35*COS(2*PI()*(((0)/Inputs!$C$50)+Inputs!$C$47*0.173))+0.2*SIN(2*PI()*(((A28)+(0))/(0.5*(Inputs!$C$49+Inputs!$C$50))+Inputs!$C$47*0.097)))+0.3*(2*((SIN(((A28)*12.9898+(0)*78.233+Inputs!$C$47*37.719))*43758.5453)-INT((SIN(((A28)*12.9898+(0)*78.233+Inputs!$C$47*37.719))*43758.5453)))-1)))</f>
        <v/>
      </c>
      <c r="Y28" s="9">
        <f>IF(OR(Inputs!$C$27=TRUE,Inputs!$C$27="TRUE",Inputs!$C$27=1),1,0)*(Inputs!$C$51*(115*EXP(-(((Inputs!$C$6)-25)^2)/(4.5^2))+70*EXP(-(((Inputs!$C$6)+38)^2)/(7^2))*(0.55+0.45*SIN(2*PI()*(A28)/45))+24*SIN(2*PI()*(Inputs!$C$6)/9+(A28)/18)*EXP(-(((Inputs!$C$6)+5)^2)/(22^2))+18*SIN(2*PI()*(A28)/70))+Inputs!$C$28*EXP(-(((A28)-Inputs!$C$29)^2)/(2*Inputs!$C$31^2))*EXP(-(((Inputs!$C$6)-Inputs!$C$30)^2)/(2*Inputs!$C$32^2))+-Inputs!$C$33*EXP(-(((((A28)-Inputs!$C$34)^2)+(((Inputs!$C$6)-Inputs!$C$35)^2))/(2*Inputs!$C$36^2)))+Inputs!$C$37*(0.55*SIN(2*PI()*(A28)/Inputs!$C$39)+0.35*COS(2*PI()*(Inputs!$C$6)/Inputs!$C$40)+0.2*SIN(2*PI()*((A28)+(Inputs!$C$6))/(0.5*(Inputs!$C$39+Inputs!$C$40))))+Inputs!$C$38*SIN(2*PI()*(A28)/Inputs!$C$39)*SIN(2*PI()*(Inputs!$C$6)/Inputs!$C$40)+-Inputs!$C$41*EXP(-(((Inputs!$C$6)-Inputs!$C$43)^2)/(2*Inputs!$C$44^2))*EXP(-(((A28)-Inputs!$C$42)^2)/(2*Inputs!$C$45^2))+Inputs!$C$48*(0.7*(0.45*SIN(2*PI()*(((A28)/Inputs!$C$49)+Inputs!$C$47*0.137))+0.35*COS(2*PI()*(((Inputs!$C$6)/Inputs!$C$50)+Inputs!$C$47*0.173))+0.2*SIN(2*PI()*(((A28)+(Inputs!$C$6))/(0.5*(Inputs!$C$49+Inputs!$C$50))+Inputs!$C$47*0.097)))+0.3*(2*((SIN(((A28)*12.9898+(Inputs!$C$6)*78.233+Inputs!$C$47*37.719))*43758.5453)-INT((SIN(((A28)*12.9898+(Inputs!$C$6)*78.233+Inputs!$C$47*37.719))*43758.5453)))-1)))</f>
        <v/>
      </c>
      <c r="Z28" s="9">
        <f>B28-X28/1000</f>
        <v/>
      </c>
      <c r="AA28" s="9">
        <f>SQRT((Inputs!$C$52+B28)^2+(Inputs!$C$52+Y28/1000)^2-2*(Inputs!$C$52+B28)*(Inputs!$C$52+Y28/1000)*COS(SQRT(A28^2+Inputs!$C$6^2)/Inputs!$C$52))</f>
        <v/>
      </c>
      <c r="AB28" s="9">
        <f>(AA28-Z28)*1000</f>
        <v/>
      </c>
      <c r="AC28" s="9">
        <f>AB28/Inputs!$C$12</f>
        <v/>
      </c>
      <c r="AD28" s="9">
        <f>2*AB28/Inputs!$C$21*1000000</f>
        <v/>
      </c>
      <c r="AE28" s="9">
        <f>DEGREES(ATAN(H28/(B28-Y28/1000)))</f>
        <v/>
      </c>
      <c r="AF28" s="9">
        <f>DEGREES((2*PI()/Inputs!$C$13)*Inputs!$C$15*SIN(RADIANS(AE28)))</f>
        <v/>
      </c>
      <c r="AG28" s="9">
        <f>(Z28/AA28)^4</f>
        <v/>
      </c>
      <c r="AH28" s="9">
        <f>10*LOG10(AG28)</f>
        <v/>
      </c>
      <c r="AI28" s="9">
        <f>AC28-F28</f>
        <v/>
      </c>
      <c r="AJ28" s="9">
        <f>AD28-G28</f>
        <v/>
      </c>
      <c r="AK28" s="9">
        <f>Y28-X28</f>
        <v/>
      </c>
      <c r="AL28" s="9">
        <f>1000*(AA29-AA27)/(A29-A27)*Inputs!$C$11</f>
        <v/>
      </c>
      <c r="AM28" s="9">
        <f>-2*AL28/Inputs!$C$13</f>
        <v/>
      </c>
      <c r="AN28" s="9">
        <f>-2*AL28/Inputs!$C$14</f>
        <v/>
      </c>
      <c r="AO28" s="9">
        <f>ABS(AM28)</f>
        <v/>
      </c>
      <c r="AP28" s="9">
        <f>ABS(AN28)</f>
        <v/>
      </c>
      <c r="AQ28" s="9">
        <f>IF(OR(Inputs!$C$27=TRUE,Inputs!$C$27="TRUE",Inputs!$C$27=1),Inputs!$C$46/Inputs!$C$12,0)</f>
        <v/>
      </c>
      <c r="AR28" s="9">
        <f>AC28-AQ28</f>
        <v/>
      </c>
      <c r="AS28" s="9">
        <f>AC28+AQ28</f>
        <v/>
      </c>
    </row>
    <row r="29">
      <c r="A29" s="9">
        <f>Inputs!$C$7+27*(Inputs!$C$8-Inputs!$C$7)/240</f>
        <v/>
      </c>
      <c r="B29" s="9">
        <f>Inputs!$C$5+Inputs!$C$9*(A29/Inputs!$C$10)^2</f>
        <v/>
      </c>
      <c r="C29" s="9">
        <f>B29</f>
        <v/>
      </c>
      <c r="D29" s="9">
        <f>SQRT((Inputs!$C$52+B29)^2+Inputs!$C$52^2-2*(Inputs!$C$52+B29)*Inputs!$C$52*COS(SQRT(A29^2+Inputs!$C$6^2)/Inputs!$C$52))</f>
        <v/>
      </c>
      <c r="E29" s="9">
        <f>(D29-C29)*1000</f>
        <v/>
      </c>
      <c r="F29" s="9">
        <f>E29/Inputs!$C$12</f>
        <v/>
      </c>
      <c r="G29" s="9">
        <f>2*E29/Inputs!$C$21*1000000</f>
        <v/>
      </c>
      <c r="H29" s="9">
        <f>SQRT(A29^2+Inputs!$C$6^2)</f>
        <v/>
      </c>
      <c r="I29" s="9">
        <f>DEGREES(ATAN(H29/B29))</f>
        <v/>
      </c>
      <c r="J29" s="9">
        <f>DEGREES((2*PI()/Inputs!$C$13)*Inputs!$C$15*SIN(RADIANS(I29)))</f>
        <v/>
      </c>
      <c r="K29" s="9">
        <f>(C29/D29)^4</f>
        <v/>
      </c>
      <c r="L29" s="9">
        <f>10*LOG10(K29)</f>
        <v/>
      </c>
      <c r="M29" s="9">
        <f>2*(Inputs!$C$9/(Inputs!$C$10^2))*A29</f>
        <v/>
      </c>
      <c r="N29" s="9">
        <f>M29*Inputs!$C$11</f>
        <v/>
      </c>
      <c r="O29" s="9">
        <f>1000*(D30-D28)/(A30-A28)*Inputs!$C$11</f>
        <v/>
      </c>
      <c r="P29" s="9">
        <f>-2*O29/Inputs!$C$13</f>
        <v/>
      </c>
      <c r="Q29" s="9">
        <f>-2*O29/Inputs!$C$14</f>
        <v/>
      </c>
      <c r="R29" s="9">
        <f>F29-Inputs!$C$16/2</f>
        <v/>
      </c>
      <c r="S29" s="9">
        <f>F29+Inputs!$C$16/2</f>
        <v/>
      </c>
      <c r="T29" s="9">
        <f>F29-Inputs!$C$17/2</f>
        <v/>
      </c>
      <c r="U29" s="9">
        <f>F29+Inputs!$C$17/2</f>
        <v/>
      </c>
      <c r="V29" s="9">
        <f>ABS(P29)</f>
        <v/>
      </c>
      <c r="W29" s="9">
        <f>ABS(Q29)</f>
        <v/>
      </c>
      <c r="X29" s="9">
        <f>IF(OR(Inputs!$C$27=TRUE,Inputs!$C$27="TRUE",Inputs!$C$27=1),1,0)*(Inputs!$C$51*(115*EXP(-(((0)-25)^2)/(4.5^2))+70*EXP(-(((0)+38)^2)/(7^2))*(0.55+0.45*SIN(2*PI()*(A29)/45))+24*SIN(2*PI()*(0)/9+(A29)/18)*EXP(-(((0)+5)^2)/(22^2))+18*SIN(2*PI()*(A29)/70))+Inputs!$C$28*EXP(-(((A29)-Inputs!$C$29)^2)/(2*Inputs!$C$31^2))*EXP(-(((0)-Inputs!$C$30)^2)/(2*Inputs!$C$32^2))+-Inputs!$C$33*EXP(-(((((A29)-Inputs!$C$34)^2)+(((0)-Inputs!$C$35)^2))/(2*Inputs!$C$36^2)))+Inputs!$C$37*(0.55*SIN(2*PI()*(A29)/Inputs!$C$39)+0.35*COS(2*PI()*(0)/Inputs!$C$40)+0.2*SIN(2*PI()*((A29)+(0))/(0.5*(Inputs!$C$39+Inputs!$C$40))))+Inputs!$C$38*SIN(2*PI()*(A29)/Inputs!$C$39)*SIN(2*PI()*(0)/Inputs!$C$40)+-Inputs!$C$41*EXP(-(((0)-Inputs!$C$43)^2)/(2*Inputs!$C$44^2))*EXP(-(((A29)-Inputs!$C$42)^2)/(2*Inputs!$C$45^2))+Inputs!$C$48*(0.7*(0.45*SIN(2*PI()*(((A29)/Inputs!$C$49)+Inputs!$C$47*0.137))+0.35*COS(2*PI()*(((0)/Inputs!$C$50)+Inputs!$C$47*0.173))+0.2*SIN(2*PI()*(((A29)+(0))/(0.5*(Inputs!$C$49+Inputs!$C$50))+Inputs!$C$47*0.097)))+0.3*(2*((SIN(((A29)*12.9898+(0)*78.233+Inputs!$C$47*37.719))*43758.5453)-INT((SIN(((A29)*12.9898+(0)*78.233+Inputs!$C$47*37.719))*43758.5453)))-1)))</f>
        <v/>
      </c>
      <c r="Y29" s="9">
        <f>IF(OR(Inputs!$C$27=TRUE,Inputs!$C$27="TRUE",Inputs!$C$27=1),1,0)*(Inputs!$C$51*(115*EXP(-(((Inputs!$C$6)-25)^2)/(4.5^2))+70*EXP(-(((Inputs!$C$6)+38)^2)/(7^2))*(0.55+0.45*SIN(2*PI()*(A29)/45))+24*SIN(2*PI()*(Inputs!$C$6)/9+(A29)/18)*EXP(-(((Inputs!$C$6)+5)^2)/(22^2))+18*SIN(2*PI()*(A29)/70))+Inputs!$C$28*EXP(-(((A29)-Inputs!$C$29)^2)/(2*Inputs!$C$31^2))*EXP(-(((Inputs!$C$6)-Inputs!$C$30)^2)/(2*Inputs!$C$32^2))+-Inputs!$C$33*EXP(-(((((A29)-Inputs!$C$34)^2)+(((Inputs!$C$6)-Inputs!$C$35)^2))/(2*Inputs!$C$36^2)))+Inputs!$C$37*(0.55*SIN(2*PI()*(A29)/Inputs!$C$39)+0.35*COS(2*PI()*(Inputs!$C$6)/Inputs!$C$40)+0.2*SIN(2*PI()*((A29)+(Inputs!$C$6))/(0.5*(Inputs!$C$39+Inputs!$C$40))))+Inputs!$C$38*SIN(2*PI()*(A29)/Inputs!$C$39)*SIN(2*PI()*(Inputs!$C$6)/Inputs!$C$40)+-Inputs!$C$41*EXP(-(((Inputs!$C$6)-Inputs!$C$43)^2)/(2*Inputs!$C$44^2))*EXP(-(((A29)-Inputs!$C$42)^2)/(2*Inputs!$C$45^2))+Inputs!$C$48*(0.7*(0.45*SIN(2*PI()*(((A29)/Inputs!$C$49)+Inputs!$C$47*0.137))+0.35*COS(2*PI()*(((Inputs!$C$6)/Inputs!$C$50)+Inputs!$C$47*0.173))+0.2*SIN(2*PI()*(((A29)+(Inputs!$C$6))/(0.5*(Inputs!$C$49+Inputs!$C$50))+Inputs!$C$47*0.097)))+0.3*(2*((SIN(((A29)*12.9898+(Inputs!$C$6)*78.233+Inputs!$C$47*37.719))*43758.5453)-INT((SIN(((A29)*12.9898+(Inputs!$C$6)*78.233+Inputs!$C$47*37.719))*43758.5453)))-1)))</f>
        <v/>
      </c>
      <c r="Z29" s="9">
        <f>B29-X29/1000</f>
        <v/>
      </c>
      <c r="AA29" s="9">
        <f>SQRT((Inputs!$C$52+B29)^2+(Inputs!$C$52+Y29/1000)^2-2*(Inputs!$C$52+B29)*(Inputs!$C$52+Y29/1000)*COS(SQRT(A29^2+Inputs!$C$6^2)/Inputs!$C$52))</f>
        <v/>
      </c>
      <c r="AB29" s="9">
        <f>(AA29-Z29)*1000</f>
        <v/>
      </c>
      <c r="AC29" s="9">
        <f>AB29/Inputs!$C$12</f>
        <v/>
      </c>
      <c r="AD29" s="9">
        <f>2*AB29/Inputs!$C$21*1000000</f>
        <v/>
      </c>
      <c r="AE29" s="9">
        <f>DEGREES(ATAN(H29/(B29-Y29/1000)))</f>
        <v/>
      </c>
      <c r="AF29" s="9">
        <f>DEGREES((2*PI()/Inputs!$C$13)*Inputs!$C$15*SIN(RADIANS(AE29)))</f>
        <v/>
      </c>
      <c r="AG29" s="9">
        <f>(Z29/AA29)^4</f>
        <v/>
      </c>
      <c r="AH29" s="9">
        <f>10*LOG10(AG29)</f>
        <v/>
      </c>
      <c r="AI29" s="9">
        <f>AC29-F29</f>
        <v/>
      </c>
      <c r="AJ29" s="9">
        <f>AD29-G29</f>
        <v/>
      </c>
      <c r="AK29" s="9">
        <f>Y29-X29</f>
        <v/>
      </c>
      <c r="AL29" s="9">
        <f>1000*(AA30-AA28)/(A30-A28)*Inputs!$C$11</f>
        <v/>
      </c>
      <c r="AM29" s="9">
        <f>-2*AL29/Inputs!$C$13</f>
        <v/>
      </c>
      <c r="AN29" s="9">
        <f>-2*AL29/Inputs!$C$14</f>
        <v/>
      </c>
      <c r="AO29" s="9">
        <f>ABS(AM29)</f>
        <v/>
      </c>
      <c r="AP29" s="9">
        <f>ABS(AN29)</f>
        <v/>
      </c>
      <c r="AQ29" s="9">
        <f>IF(OR(Inputs!$C$27=TRUE,Inputs!$C$27="TRUE",Inputs!$C$27=1),Inputs!$C$46/Inputs!$C$12,0)</f>
        <v/>
      </c>
      <c r="AR29" s="9">
        <f>AC29-AQ29</f>
        <v/>
      </c>
      <c r="AS29" s="9">
        <f>AC29+AQ29</f>
        <v/>
      </c>
    </row>
    <row r="30">
      <c r="A30" s="9">
        <f>Inputs!$C$7+28*(Inputs!$C$8-Inputs!$C$7)/240</f>
        <v/>
      </c>
      <c r="B30" s="9">
        <f>Inputs!$C$5+Inputs!$C$9*(A30/Inputs!$C$10)^2</f>
        <v/>
      </c>
      <c r="C30" s="9">
        <f>B30</f>
        <v/>
      </c>
      <c r="D30" s="9">
        <f>SQRT((Inputs!$C$52+B30)^2+Inputs!$C$52^2-2*(Inputs!$C$52+B30)*Inputs!$C$52*COS(SQRT(A30^2+Inputs!$C$6^2)/Inputs!$C$52))</f>
        <v/>
      </c>
      <c r="E30" s="9">
        <f>(D30-C30)*1000</f>
        <v/>
      </c>
      <c r="F30" s="9">
        <f>E30/Inputs!$C$12</f>
        <v/>
      </c>
      <c r="G30" s="9">
        <f>2*E30/Inputs!$C$21*1000000</f>
        <v/>
      </c>
      <c r="H30" s="9">
        <f>SQRT(A30^2+Inputs!$C$6^2)</f>
        <v/>
      </c>
      <c r="I30" s="9">
        <f>DEGREES(ATAN(H30/B30))</f>
        <v/>
      </c>
      <c r="J30" s="9">
        <f>DEGREES((2*PI()/Inputs!$C$13)*Inputs!$C$15*SIN(RADIANS(I30)))</f>
        <v/>
      </c>
      <c r="K30" s="9">
        <f>(C30/D30)^4</f>
        <v/>
      </c>
      <c r="L30" s="9">
        <f>10*LOG10(K30)</f>
        <v/>
      </c>
      <c r="M30" s="9">
        <f>2*(Inputs!$C$9/(Inputs!$C$10^2))*A30</f>
        <v/>
      </c>
      <c r="N30" s="9">
        <f>M30*Inputs!$C$11</f>
        <v/>
      </c>
      <c r="O30" s="9">
        <f>1000*(D31-D29)/(A31-A29)*Inputs!$C$11</f>
        <v/>
      </c>
      <c r="P30" s="9">
        <f>-2*O30/Inputs!$C$13</f>
        <v/>
      </c>
      <c r="Q30" s="9">
        <f>-2*O30/Inputs!$C$14</f>
        <v/>
      </c>
      <c r="R30" s="9">
        <f>F30-Inputs!$C$16/2</f>
        <v/>
      </c>
      <c r="S30" s="9">
        <f>F30+Inputs!$C$16/2</f>
        <v/>
      </c>
      <c r="T30" s="9">
        <f>F30-Inputs!$C$17/2</f>
        <v/>
      </c>
      <c r="U30" s="9">
        <f>F30+Inputs!$C$17/2</f>
        <v/>
      </c>
      <c r="V30" s="9">
        <f>ABS(P30)</f>
        <v/>
      </c>
      <c r="W30" s="9">
        <f>ABS(Q30)</f>
        <v/>
      </c>
      <c r="X30" s="9">
        <f>IF(OR(Inputs!$C$27=TRUE,Inputs!$C$27="TRUE",Inputs!$C$27=1),1,0)*(Inputs!$C$51*(115*EXP(-(((0)-25)^2)/(4.5^2))+70*EXP(-(((0)+38)^2)/(7^2))*(0.55+0.45*SIN(2*PI()*(A30)/45))+24*SIN(2*PI()*(0)/9+(A30)/18)*EXP(-(((0)+5)^2)/(22^2))+18*SIN(2*PI()*(A30)/70))+Inputs!$C$28*EXP(-(((A30)-Inputs!$C$29)^2)/(2*Inputs!$C$31^2))*EXP(-(((0)-Inputs!$C$30)^2)/(2*Inputs!$C$32^2))+-Inputs!$C$33*EXP(-(((((A30)-Inputs!$C$34)^2)+(((0)-Inputs!$C$35)^2))/(2*Inputs!$C$36^2)))+Inputs!$C$37*(0.55*SIN(2*PI()*(A30)/Inputs!$C$39)+0.35*COS(2*PI()*(0)/Inputs!$C$40)+0.2*SIN(2*PI()*((A30)+(0))/(0.5*(Inputs!$C$39+Inputs!$C$40))))+Inputs!$C$38*SIN(2*PI()*(A30)/Inputs!$C$39)*SIN(2*PI()*(0)/Inputs!$C$40)+-Inputs!$C$41*EXP(-(((0)-Inputs!$C$43)^2)/(2*Inputs!$C$44^2))*EXP(-(((A30)-Inputs!$C$42)^2)/(2*Inputs!$C$45^2))+Inputs!$C$48*(0.7*(0.45*SIN(2*PI()*(((A30)/Inputs!$C$49)+Inputs!$C$47*0.137))+0.35*COS(2*PI()*(((0)/Inputs!$C$50)+Inputs!$C$47*0.173))+0.2*SIN(2*PI()*(((A30)+(0))/(0.5*(Inputs!$C$49+Inputs!$C$50))+Inputs!$C$47*0.097)))+0.3*(2*((SIN(((A30)*12.9898+(0)*78.233+Inputs!$C$47*37.719))*43758.5453)-INT((SIN(((A30)*12.9898+(0)*78.233+Inputs!$C$47*37.719))*43758.5453)))-1)))</f>
        <v/>
      </c>
      <c r="Y30" s="9">
        <f>IF(OR(Inputs!$C$27=TRUE,Inputs!$C$27="TRUE",Inputs!$C$27=1),1,0)*(Inputs!$C$51*(115*EXP(-(((Inputs!$C$6)-25)^2)/(4.5^2))+70*EXP(-(((Inputs!$C$6)+38)^2)/(7^2))*(0.55+0.45*SIN(2*PI()*(A30)/45))+24*SIN(2*PI()*(Inputs!$C$6)/9+(A30)/18)*EXP(-(((Inputs!$C$6)+5)^2)/(22^2))+18*SIN(2*PI()*(A30)/70))+Inputs!$C$28*EXP(-(((A30)-Inputs!$C$29)^2)/(2*Inputs!$C$31^2))*EXP(-(((Inputs!$C$6)-Inputs!$C$30)^2)/(2*Inputs!$C$32^2))+-Inputs!$C$33*EXP(-(((((A30)-Inputs!$C$34)^2)+(((Inputs!$C$6)-Inputs!$C$35)^2))/(2*Inputs!$C$36^2)))+Inputs!$C$37*(0.55*SIN(2*PI()*(A30)/Inputs!$C$39)+0.35*COS(2*PI()*(Inputs!$C$6)/Inputs!$C$40)+0.2*SIN(2*PI()*((A30)+(Inputs!$C$6))/(0.5*(Inputs!$C$39+Inputs!$C$40))))+Inputs!$C$38*SIN(2*PI()*(A30)/Inputs!$C$39)*SIN(2*PI()*(Inputs!$C$6)/Inputs!$C$40)+-Inputs!$C$41*EXP(-(((Inputs!$C$6)-Inputs!$C$43)^2)/(2*Inputs!$C$44^2))*EXP(-(((A30)-Inputs!$C$42)^2)/(2*Inputs!$C$45^2))+Inputs!$C$48*(0.7*(0.45*SIN(2*PI()*(((A30)/Inputs!$C$49)+Inputs!$C$47*0.137))+0.35*COS(2*PI()*(((Inputs!$C$6)/Inputs!$C$50)+Inputs!$C$47*0.173))+0.2*SIN(2*PI()*(((A30)+(Inputs!$C$6))/(0.5*(Inputs!$C$49+Inputs!$C$50))+Inputs!$C$47*0.097)))+0.3*(2*((SIN(((A30)*12.9898+(Inputs!$C$6)*78.233+Inputs!$C$47*37.719))*43758.5453)-INT((SIN(((A30)*12.9898+(Inputs!$C$6)*78.233+Inputs!$C$47*37.719))*43758.5453)))-1)))</f>
        <v/>
      </c>
      <c r="Z30" s="9">
        <f>B30-X30/1000</f>
        <v/>
      </c>
      <c r="AA30" s="9">
        <f>SQRT((Inputs!$C$52+B30)^2+(Inputs!$C$52+Y30/1000)^2-2*(Inputs!$C$52+B30)*(Inputs!$C$52+Y30/1000)*COS(SQRT(A30^2+Inputs!$C$6^2)/Inputs!$C$52))</f>
        <v/>
      </c>
      <c r="AB30" s="9">
        <f>(AA30-Z30)*1000</f>
        <v/>
      </c>
      <c r="AC30" s="9">
        <f>AB30/Inputs!$C$12</f>
        <v/>
      </c>
      <c r="AD30" s="9">
        <f>2*AB30/Inputs!$C$21*1000000</f>
        <v/>
      </c>
      <c r="AE30" s="9">
        <f>DEGREES(ATAN(H30/(B30-Y30/1000)))</f>
        <v/>
      </c>
      <c r="AF30" s="9">
        <f>DEGREES((2*PI()/Inputs!$C$13)*Inputs!$C$15*SIN(RADIANS(AE30)))</f>
        <v/>
      </c>
      <c r="AG30" s="9">
        <f>(Z30/AA30)^4</f>
        <v/>
      </c>
      <c r="AH30" s="9">
        <f>10*LOG10(AG30)</f>
        <v/>
      </c>
      <c r="AI30" s="9">
        <f>AC30-F30</f>
        <v/>
      </c>
      <c r="AJ30" s="9">
        <f>AD30-G30</f>
        <v/>
      </c>
      <c r="AK30" s="9">
        <f>Y30-X30</f>
        <v/>
      </c>
      <c r="AL30" s="9">
        <f>1000*(AA31-AA29)/(A31-A29)*Inputs!$C$11</f>
        <v/>
      </c>
      <c r="AM30" s="9">
        <f>-2*AL30/Inputs!$C$13</f>
        <v/>
      </c>
      <c r="AN30" s="9">
        <f>-2*AL30/Inputs!$C$14</f>
        <v/>
      </c>
      <c r="AO30" s="9">
        <f>ABS(AM30)</f>
        <v/>
      </c>
      <c r="AP30" s="9">
        <f>ABS(AN30)</f>
        <v/>
      </c>
      <c r="AQ30" s="9">
        <f>IF(OR(Inputs!$C$27=TRUE,Inputs!$C$27="TRUE",Inputs!$C$27=1),Inputs!$C$46/Inputs!$C$12,0)</f>
        <v/>
      </c>
      <c r="AR30" s="9">
        <f>AC30-AQ30</f>
        <v/>
      </c>
      <c r="AS30" s="9">
        <f>AC30+AQ30</f>
        <v/>
      </c>
    </row>
    <row r="31">
      <c r="A31" s="9">
        <f>Inputs!$C$7+29*(Inputs!$C$8-Inputs!$C$7)/240</f>
        <v/>
      </c>
      <c r="B31" s="9">
        <f>Inputs!$C$5+Inputs!$C$9*(A31/Inputs!$C$10)^2</f>
        <v/>
      </c>
      <c r="C31" s="9">
        <f>B31</f>
        <v/>
      </c>
      <c r="D31" s="9">
        <f>SQRT((Inputs!$C$52+B31)^2+Inputs!$C$52^2-2*(Inputs!$C$52+B31)*Inputs!$C$52*COS(SQRT(A31^2+Inputs!$C$6^2)/Inputs!$C$52))</f>
        <v/>
      </c>
      <c r="E31" s="9">
        <f>(D31-C31)*1000</f>
        <v/>
      </c>
      <c r="F31" s="9">
        <f>E31/Inputs!$C$12</f>
        <v/>
      </c>
      <c r="G31" s="9">
        <f>2*E31/Inputs!$C$21*1000000</f>
        <v/>
      </c>
      <c r="H31" s="9">
        <f>SQRT(A31^2+Inputs!$C$6^2)</f>
        <v/>
      </c>
      <c r="I31" s="9">
        <f>DEGREES(ATAN(H31/B31))</f>
        <v/>
      </c>
      <c r="J31" s="9">
        <f>DEGREES((2*PI()/Inputs!$C$13)*Inputs!$C$15*SIN(RADIANS(I31)))</f>
        <v/>
      </c>
      <c r="K31" s="9">
        <f>(C31/D31)^4</f>
        <v/>
      </c>
      <c r="L31" s="9">
        <f>10*LOG10(K31)</f>
        <v/>
      </c>
      <c r="M31" s="9">
        <f>2*(Inputs!$C$9/(Inputs!$C$10^2))*A31</f>
        <v/>
      </c>
      <c r="N31" s="9">
        <f>M31*Inputs!$C$11</f>
        <v/>
      </c>
      <c r="O31" s="9">
        <f>1000*(D32-D30)/(A32-A30)*Inputs!$C$11</f>
        <v/>
      </c>
      <c r="P31" s="9">
        <f>-2*O31/Inputs!$C$13</f>
        <v/>
      </c>
      <c r="Q31" s="9">
        <f>-2*O31/Inputs!$C$14</f>
        <v/>
      </c>
      <c r="R31" s="9">
        <f>F31-Inputs!$C$16/2</f>
        <v/>
      </c>
      <c r="S31" s="9">
        <f>F31+Inputs!$C$16/2</f>
        <v/>
      </c>
      <c r="T31" s="9">
        <f>F31-Inputs!$C$17/2</f>
        <v/>
      </c>
      <c r="U31" s="9">
        <f>F31+Inputs!$C$17/2</f>
        <v/>
      </c>
      <c r="V31" s="9">
        <f>ABS(P31)</f>
        <v/>
      </c>
      <c r="W31" s="9">
        <f>ABS(Q31)</f>
        <v/>
      </c>
      <c r="X31" s="9">
        <f>IF(OR(Inputs!$C$27=TRUE,Inputs!$C$27="TRUE",Inputs!$C$27=1),1,0)*(Inputs!$C$51*(115*EXP(-(((0)-25)^2)/(4.5^2))+70*EXP(-(((0)+38)^2)/(7^2))*(0.55+0.45*SIN(2*PI()*(A31)/45))+24*SIN(2*PI()*(0)/9+(A31)/18)*EXP(-(((0)+5)^2)/(22^2))+18*SIN(2*PI()*(A31)/70))+Inputs!$C$28*EXP(-(((A31)-Inputs!$C$29)^2)/(2*Inputs!$C$31^2))*EXP(-(((0)-Inputs!$C$30)^2)/(2*Inputs!$C$32^2))+-Inputs!$C$33*EXP(-(((((A31)-Inputs!$C$34)^2)+(((0)-Inputs!$C$35)^2))/(2*Inputs!$C$36^2)))+Inputs!$C$37*(0.55*SIN(2*PI()*(A31)/Inputs!$C$39)+0.35*COS(2*PI()*(0)/Inputs!$C$40)+0.2*SIN(2*PI()*((A31)+(0))/(0.5*(Inputs!$C$39+Inputs!$C$40))))+Inputs!$C$38*SIN(2*PI()*(A31)/Inputs!$C$39)*SIN(2*PI()*(0)/Inputs!$C$40)+-Inputs!$C$41*EXP(-(((0)-Inputs!$C$43)^2)/(2*Inputs!$C$44^2))*EXP(-(((A31)-Inputs!$C$42)^2)/(2*Inputs!$C$45^2))+Inputs!$C$48*(0.7*(0.45*SIN(2*PI()*(((A31)/Inputs!$C$49)+Inputs!$C$47*0.137))+0.35*COS(2*PI()*(((0)/Inputs!$C$50)+Inputs!$C$47*0.173))+0.2*SIN(2*PI()*(((A31)+(0))/(0.5*(Inputs!$C$49+Inputs!$C$50))+Inputs!$C$47*0.097)))+0.3*(2*((SIN(((A31)*12.9898+(0)*78.233+Inputs!$C$47*37.719))*43758.5453)-INT((SIN(((A31)*12.9898+(0)*78.233+Inputs!$C$47*37.719))*43758.5453)))-1)))</f>
        <v/>
      </c>
      <c r="Y31" s="9">
        <f>IF(OR(Inputs!$C$27=TRUE,Inputs!$C$27="TRUE",Inputs!$C$27=1),1,0)*(Inputs!$C$51*(115*EXP(-(((Inputs!$C$6)-25)^2)/(4.5^2))+70*EXP(-(((Inputs!$C$6)+38)^2)/(7^2))*(0.55+0.45*SIN(2*PI()*(A31)/45))+24*SIN(2*PI()*(Inputs!$C$6)/9+(A31)/18)*EXP(-(((Inputs!$C$6)+5)^2)/(22^2))+18*SIN(2*PI()*(A31)/70))+Inputs!$C$28*EXP(-(((A31)-Inputs!$C$29)^2)/(2*Inputs!$C$31^2))*EXP(-(((Inputs!$C$6)-Inputs!$C$30)^2)/(2*Inputs!$C$32^2))+-Inputs!$C$33*EXP(-(((((A31)-Inputs!$C$34)^2)+(((Inputs!$C$6)-Inputs!$C$35)^2))/(2*Inputs!$C$36^2)))+Inputs!$C$37*(0.55*SIN(2*PI()*(A31)/Inputs!$C$39)+0.35*COS(2*PI()*(Inputs!$C$6)/Inputs!$C$40)+0.2*SIN(2*PI()*((A31)+(Inputs!$C$6))/(0.5*(Inputs!$C$39+Inputs!$C$40))))+Inputs!$C$38*SIN(2*PI()*(A31)/Inputs!$C$39)*SIN(2*PI()*(Inputs!$C$6)/Inputs!$C$40)+-Inputs!$C$41*EXP(-(((Inputs!$C$6)-Inputs!$C$43)^2)/(2*Inputs!$C$44^2))*EXP(-(((A31)-Inputs!$C$42)^2)/(2*Inputs!$C$45^2))+Inputs!$C$48*(0.7*(0.45*SIN(2*PI()*(((A31)/Inputs!$C$49)+Inputs!$C$47*0.137))+0.35*COS(2*PI()*(((Inputs!$C$6)/Inputs!$C$50)+Inputs!$C$47*0.173))+0.2*SIN(2*PI()*(((A31)+(Inputs!$C$6))/(0.5*(Inputs!$C$49+Inputs!$C$50))+Inputs!$C$47*0.097)))+0.3*(2*((SIN(((A31)*12.9898+(Inputs!$C$6)*78.233+Inputs!$C$47*37.719))*43758.5453)-INT((SIN(((A31)*12.9898+(Inputs!$C$6)*78.233+Inputs!$C$47*37.719))*43758.5453)))-1)))</f>
        <v/>
      </c>
      <c r="Z31" s="9">
        <f>B31-X31/1000</f>
        <v/>
      </c>
      <c r="AA31" s="9">
        <f>SQRT((Inputs!$C$52+B31)^2+(Inputs!$C$52+Y31/1000)^2-2*(Inputs!$C$52+B31)*(Inputs!$C$52+Y31/1000)*COS(SQRT(A31^2+Inputs!$C$6^2)/Inputs!$C$52))</f>
        <v/>
      </c>
      <c r="AB31" s="9">
        <f>(AA31-Z31)*1000</f>
        <v/>
      </c>
      <c r="AC31" s="9">
        <f>AB31/Inputs!$C$12</f>
        <v/>
      </c>
      <c r="AD31" s="9">
        <f>2*AB31/Inputs!$C$21*1000000</f>
        <v/>
      </c>
      <c r="AE31" s="9">
        <f>DEGREES(ATAN(H31/(B31-Y31/1000)))</f>
        <v/>
      </c>
      <c r="AF31" s="9">
        <f>DEGREES((2*PI()/Inputs!$C$13)*Inputs!$C$15*SIN(RADIANS(AE31)))</f>
        <v/>
      </c>
      <c r="AG31" s="9">
        <f>(Z31/AA31)^4</f>
        <v/>
      </c>
      <c r="AH31" s="9">
        <f>10*LOG10(AG31)</f>
        <v/>
      </c>
      <c r="AI31" s="9">
        <f>AC31-F31</f>
        <v/>
      </c>
      <c r="AJ31" s="9">
        <f>AD31-G31</f>
        <v/>
      </c>
      <c r="AK31" s="9">
        <f>Y31-X31</f>
        <v/>
      </c>
      <c r="AL31" s="9">
        <f>1000*(AA32-AA30)/(A32-A30)*Inputs!$C$11</f>
        <v/>
      </c>
      <c r="AM31" s="9">
        <f>-2*AL31/Inputs!$C$13</f>
        <v/>
      </c>
      <c r="AN31" s="9">
        <f>-2*AL31/Inputs!$C$14</f>
        <v/>
      </c>
      <c r="AO31" s="9">
        <f>ABS(AM31)</f>
        <v/>
      </c>
      <c r="AP31" s="9">
        <f>ABS(AN31)</f>
        <v/>
      </c>
      <c r="AQ31" s="9">
        <f>IF(OR(Inputs!$C$27=TRUE,Inputs!$C$27="TRUE",Inputs!$C$27=1),Inputs!$C$46/Inputs!$C$12,0)</f>
        <v/>
      </c>
      <c r="AR31" s="9">
        <f>AC31-AQ31</f>
        <v/>
      </c>
      <c r="AS31" s="9">
        <f>AC31+AQ31</f>
        <v/>
      </c>
    </row>
    <row r="32">
      <c r="A32" s="9">
        <f>Inputs!$C$7+30*(Inputs!$C$8-Inputs!$C$7)/240</f>
        <v/>
      </c>
      <c r="B32" s="9">
        <f>Inputs!$C$5+Inputs!$C$9*(A32/Inputs!$C$10)^2</f>
        <v/>
      </c>
      <c r="C32" s="9">
        <f>B32</f>
        <v/>
      </c>
      <c r="D32" s="9">
        <f>SQRT((Inputs!$C$52+B32)^2+Inputs!$C$52^2-2*(Inputs!$C$52+B32)*Inputs!$C$52*COS(SQRT(A32^2+Inputs!$C$6^2)/Inputs!$C$52))</f>
        <v/>
      </c>
      <c r="E32" s="9">
        <f>(D32-C32)*1000</f>
        <v/>
      </c>
      <c r="F32" s="9">
        <f>E32/Inputs!$C$12</f>
        <v/>
      </c>
      <c r="G32" s="9">
        <f>2*E32/Inputs!$C$21*1000000</f>
        <v/>
      </c>
      <c r="H32" s="9">
        <f>SQRT(A32^2+Inputs!$C$6^2)</f>
        <v/>
      </c>
      <c r="I32" s="9">
        <f>DEGREES(ATAN(H32/B32))</f>
        <v/>
      </c>
      <c r="J32" s="9">
        <f>DEGREES((2*PI()/Inputs!$C$13)*Inputs!$C$15*SIN(RADIANS(I32)))</f>
        <v/>
      </c>
      <c r="K32" s="9">
        <f>(C32/D32)^4</f>
        <v/>
      </c>
      <c r="L32" s="9">
        <f>10*LOG10(K32)</f>
        <v/>
      </c>
      <c r="M32" s="9">
        <f>2*(Inputs!$C$9/(Inputs!$C$10^2))*A32</f>
        <v/>
      </c>
      <c r="N32" s="9">
        <f>M32*Inputs!$C$11</f>
        <v/>
      </c>
      <c r="O32" s="9">
        <f>1000*(D33-D31)/(A33-A31)*Inputs!$C$11</f>
        <v/>
      </c>
      <c r="P32" s="9">
        <f>-2*O32/Inputs!$C$13</f>
        <v/>
      </c>
      <c r="Q32" s="9">
        <f>-2*O32/Inputs!$C$14</f>
        <v/>
      </c>
      <c r="R32" s="9">
        <f>F32-Inputs!$C$16/2</f>
        <v/>
      </c>
      <c r="S32" s="9">
        <f>F32+Inputs!$C$16/2</f>
        <v/>
      </c>
      <c r="T32" s="9">
        <f>F32-Inputs!$C$17/2</f>
        <v/>
      </c>
      <c r="U32" s="9">
        <f>F32+Inputs!$C$17/2</f>
        <v/>
      </c>
      <c r="V32" s="9">
        <f>ABS(P32)</f>
        <v/>
      </c>
      <c r="W32" s="9">
        <f>ABS(Q32)</f>
        <v/>
      </c>
      <c r="X32" s="9">
        <f>IF(OR(Inputs!$C$27=TRUE,Inputs!$C$27="TRUE",Inputs!$C$27=1),1,0)*(Inputs!$C$51*(115*EXP(-(((0)-25)^2)/(4.5^2))+70*EXP(-(((0)+38)^2)/(7^2))*(0.55+0.45*SIN(2*PI()*(A32)/45))+24*SIN(2*PI()*(0)/9+(A32)/18)*EXP(-(((0)+5)^2)/(22^2))+18*SIN(2*PI()*(A32)/70))+Inputs!$C$28*EXP(-(((A32)-Inputs!$C$29)^2)/(2*Inputs!$C$31^2))*EXP(-(((0)-Inputs!$C$30)^2)/(2*Inputs!$C$32^2))+-Inputs!$C$33*EXP(-(((((A32)-Inputs!$C$34)^2)+(((0)-Inputs!$C$35)^2))/(2*Inputs!$C$36^2)))+Inputs!$C$37*(0.55*SIN(2*PI()*(A32)/Inputs!$C$39)+0.35*COS(2*PI()*(0)/Inputs!$C$40)+0.2*SIN(2*PI()*((A32)+(0))/(0.5*(Inputs!$C$39+Inputs!$C$40))))+Inputs!$C$38*SIN(2*PI()*(A32)/Inputs!$C$39)*SIN(2*PI()*(0)/Inputs!$C$40)+-Inputs!$C$41*EXP(-(((0)-Inputs!$C$43)^2)/(2*Inputs!$C$44^2))*EXP(-(((A32)-Inputs!$C$42)^2)/(2*Inputs!$C$45^2))+Inputs!$C$48*(0.7*(0.45*SIN(2*PI()*(((A32)/Inputs!$C$49)+Inputs!$C$47*0.137))+0.35*COS(2*PI()*(((0)/Inputs!$C$50)+Inputs!$C$47*0.173))+0.2*SIN(2*PI()*(((A32)+(0))/(0.5*(Inputs!$C$49+Inputs!$C$50))+Inputs!$C$47*0.097)))+0.3*(2*((SIN(((A32)*12.9898+(0)*78.233+Inputs!$C$47*37.719))*43758.5453)-INT((SIN(((A32)*12.9898+(0)*78.233+Inputs!$C$47*37.719))*43758.5453)))-1)))</f>
        <v/>
      </c>
      <c r="Y32" s="9">
        <f>IF(OR(Inputs!$C$27=TRUE,Inputs!$C$27="TRUE",Inputs!$C$27=1),1,0)*(Inputs!$C$51*(115*EXP(-(((Inputs!$C$6)-25)^2)/(4.5^2))+70*EXP(-(((Inputs!$C$6)+38)^2)/(7^2))*(0.55+0.45*SIN(2*PI()*(A32)/45))+24*SIN(2*PI()*(Inputs!$C$6)/9+(A32)/18)*EXP(-(((Inputs!$C$6)+5)^2)/(22^2))+18*SIN(2*PI()*(A32)/70))+Inputs!$C$28*EXP(-(((A32)-Inputs!$C$29)^2)/(2*Inputs!$C$31^2))*EXP(-(((Inputs!$C$6)-Inputs!$C$30)^2)/(2*Inputs!$C$32^2))+-Inputs!$C$33*EXP(-(((((A32)-Inputs!$C$34)^2)+(((Inputs!$C$6)-Inputs!$C$35)^2))/(2*Inputs!$C$36^2)))+Inputs!$C$37*(0.55*SIN(2*PI()*(A32)/Inputs!$C$39)+0.35*COS(2*PI()*(Inputs!$C$6)/Inputs!$C$40)+0.2*SIN(2*PI()*((A32)+(Inputs!$C$6))/(0.5*(Inputs!$C$39+Inputs!$C$40))))+Inputs!$C$38*SIN(2*PI()*(A32)/Inputs!$C$39)*SIN(2*PI()*(Inputs!$C$6)/Inputs!$C$40)+-Inputs!$C$41*EXP(-(((Inputs!$C$6)-Inputs!$C$43)^2)/(2*Inputs!$C$44^2))*EXP(-(((A32)-Inputs!$C$42)^2)/(2*Inputs!$C$45^2))+Inputs!$C$48*(0.7*(0.45*SIN(2*PI()*(((A32)/Inputs!$C$49)+Inputs!$C$47*0.137))+0.35*COS(2*PI()*(((Inputs!$C$6)/Inputs!$C$50)+Inputs!$C$47*0.173))+0.2*SIN(2*PI()*(((A32)+(Inputs!$C$6))/(0.5*(Inputs!$C$49+Inputs!$C$50))+Inputs!$C$47*0.097)))+0.3*(2*((SIN(((A32)*12.9898+(Inputs!$C$6)*78.233+Inputs!$C$47*37.719))*43758.5453)-INT((SIN(((A32)*12.9898+(Inputs!$C$6)*78.233+Inputs!$C$47*37.719))*43758.5453)))-1)))</f>
        <v/>
      </c>
      <c r="Z32" s="9">
        <f>B32-X32/1000</f>
        <v/>
      </c>
      <c r="AA32" s="9">
        <f>SQRT((Inputs!$C$52+B32)^2+(Inputs!$C$52+Y32/1000)^2-2*(Inputs!$C$52+B32)*(Inputs!$C$52+Y32/1000)*COS(SQRT(A32^2+Inputs!$C$6^2)/Inputs!$C$52))</f>
        <v/>
      </c>
      <c r="AB32" s="9">
        <f>(AA32-Z32)*1000</f>
        <v/>
      </c>
      <c r="AC32" s="9">
        <f>AB32/Inputs!$C$12</f>
        <v/>
      </c>
      <c r="AD32" s="9">
        <f>2*AB32/Inputs!$C$21*1000000</f>
        <v/>
      </c>
      <c r="AE32" s="9">
        <f>DEGREES(ATAN(H32/(B32-Y32/1000)))</f>
        <v/>
      </c>
      <c r="AF32" s="9">
        <f>DEGREES((2*PI()/Inputs!$C$13)*Inputs!$C$15*SIN(RADIANS(AE32)))</f>
        <v/>
      </c>
      <c r="AG32" s="9">
        <f>(Z32/AA32)^4</f>
        <v/>
      </c>
      <c r="AH32" s="9">
        <f>10*LOG10(AG32)</f>
        <v/>
      </c>
      <c r="AI32" s="9">
        <f>AC32-F32</f>
        <v/>
      </c>
      <c r="AJ32" s="9">
        <f>AD32-G32</f>
        <v/>
      </c>
      <c r="AK32" s="9">
        <f>Y32-X32</f>
        <v/>
      </c>
      <c r="AL32" s="9">
        <f>1000*(AA33-AA31)/(A33-A31)*Inputs!$C$11</f>
        <v/>
      </c>
      <c r="AM32" s="9">
        <f>-2*AL32/Inputs!$C$13</f>
        <v/>
      </c>
      <c r="AN32" s="9">
        <f>-2*AL32/Inputs!$C$14</f>
        <v/>
      </c>
      <c r="AO32" s="9">
        <f>ABS(AM32)</f>
        <v/>
      </c>
      <c r="AP32" s="9">
        <f>ABS(AN32)</f>
        <v/>
      </c>
      <c r="AQ32" s="9">
        <f>IF(OR(Inputs!$C$27=TRUE,Inputs!$C$27="TRUE",Inputs!$C$27=1),Inputs!$C$46/Inputs!$C$12,0)</f>
        <v/>
      </c>
      <c r="AR32" s="9">
        <f>AC32-AQ32</f>
        <v/>
      </c>
      <c r="AS32" s="9">
        <f>AC32+AQ32</f>
        <v/>
      </c>
    </row>
    <row r="33">
      <c r="A33" s="9">
        <f>Inputs!$C$7+31*(Inputs!$C$8-Inputs!$C$7)/240</f>
        <v/>
      </c>
      <c r="B33" s="9">
        <f>Inputs!$C$5+Inputs!$C$9*(A33/Inputs!$C$10)^2</f>
        <v/>
      </c>
      <c r="C33" s="9">
        <f>B33</f>
        <v/>
      </c>
      <c r="D33" s="9">
        <f>SQRT((Inputs!$C$52+B33)^2+Inputs!$C$52^2-2*(Inputs!$C$52+B33)*Inputs!$C$52*COS(SQRT(A33^2+Inputs!$C$6^2)/Inputs!$C$52))</f>
        <v/>
      </c>
      <c r="E33" s="9">
        <f>(D33-C33)*1000</f>
        <v/>
      </c>
      <c r="F33" s="9">
        <f>E33/Inputs!$C$12</f>
        <v/>
      </c>
      <c r="G33" s="9">
        <f>2*E33/Inputs!$C$21*1000000</f>
        <v/>
      </c>
      <c r="H33" s="9">
        <f>SQRT(A33^2+Inputs!$C$6^2)</f>
        <v/>
      </c>
      <c r="I33" s="9">
        <f>DEGREES(ATAN(H33/B33))</f>
        <v/>
      </c>
      <c r="J33" s="9">
        <f>DEGREES((2*PI()/Inputs!$C$13)*Inputs!$C$15*SIN(RADIANS(I33)))</f>
        <v/>
      </c>
      <c r="K33" s="9">
        <f>(C33/D33)^4</f>
        <v/>
      </c>
      <c r="L33" s="9">
        <f>10*LOG10(K33)</f>
        <v/>
      </c>
      <c r="M33" s="9">
        <f>2*(Inputs!$C$9/(Inputs!$C$10^2))*A33</f>
        <v/>
      </c>
      <c r="N33" s="9">
        <f>M33*Inputs!$C$11</f>
        <v/>
      </c>
      <c r="O33" s="9">
        <f>1000*(D34-D32)/(A34-A32)*Inputs!$C$11</f>
        <v/>
      </c>
      <c r="P33" s="9">
        <f>-2*O33/Inputs!$C$13</f>
        <v/>
      </c>
      <c r="Q33" s="9">
        <f>-2*O33/Inputs!$C$14</f>
        <v/>
      </c>
      <c r="R33" s="9">
        <f>F33-Inputs!$C$16/2</f>
        <v/>
      </c>
      <c r="S33" s="9">
        <f>F33+Inputs!$C$16/2</f>
        <v/>
      </c>
      <c r="T33" s="9">
        <f>F33-Inputs!$C$17/2</f>
        <v/>
      </c>
      <c r="U33" s="9">
        <f>F33+Inputs!$C$17/2</f>
        <v/>
      </c>
      <c r="V33" s="9">
        <f>ABS(P33)</f>
        <v/>
      </c>
      <c r="W33" s="9">
        <f>ABS(Q33)</f>
        <v/>
      </c>
      <c r="X33" s="9">
        <f>IF(OR(Inputs!$C$27=TRUE,Inputs!$C$27="TRUE",Inputs!$C$27=1),1,0)*(Inputs!$C$51*(115*EXP(-(((0)-25)^2)/(4.5^2))+70*EXP(-(((0)+38)^2)/(7^2))*(0.55+0.45*SIN(2*PI()*(A33)/45))+24*SIN(2*PI()*(0)/9+(A33)/18)*EXP(-(((0)+5)^2)/(22^2))+18*SIN(2*PI()*(A33)/70))+Inputs!$C$28*EXP(-(((A33)-Inputs!$C$29)^2)/(2*Inputs!$C$31^2))*EXP(-(((0)-Inputs!$C$30)^2)/(2*Inputs!$C$32^2))+-Inputs!$C$33*EXP(-(((((A33)-Inputs!$C$34)^2)+(((0)-Inputs!$C$35)^2))/(2*Inputs!$C$36^2)))+Inputs!$C$37*(0.55*SIN(2*PI()*(A33)/Inputs!$C$39)+0.35*COS(2*PI()*(0)/Inputs!$C$40)+0.2*SIN(2*PI()*((A33)+(0))/(0.5*(Inputs!$C$39+Inputs!$C$40))))+Inputs!$C$38*SIN(2*PI()*(A33)/Inputs!$C$39)*SIN(2*PI()*(0)/Inputs!$C$40)+-Inputs!$C$41*EXP(-(((0)-Inputs!$C$43)^2)/(2*Inputs!$C$44^2))*EXP(-(((A33)-Inputs!$C$42)^2)/(2*Inputs!$C$45^2))+Inputs!$C$48*(0.7*(0.45*SIN(2*PI()*(((A33)/Inputs!$C$49)+Inputs!$C$47*0.137))+0.35*COS(2*PI()*(((0)/Inputs!$C$50)+Inputs!$C$47*0.173))+0.2*SIN(2*PI()*(((A33)+(0))/(0.5*(Inputs!$C$49+Inputs!$C$50))+Inputs!$C$47*0.097)))+0.3*(2*((SIN(((A33)*12.9898+(0)*78.233+Inputs!$C$47*37.719))*43758.5453)-INT((SIN(((A33)*12.9898+(0)*78.233+Inputs!$C$47*37.719))*43758.5453)))-1)))</f>
        <v/>
      </c>
      <c r="Y33" s="9">
        <f>IF(OR(Inputs!$C$27=TRUE,Inputs!$C$27="TRUE",Inputs!$C$27=1),1,0)*(Inputs!$C$51*(115*EXP(-(((Inputs!$C$6)-25)^2)/(4.5^2))+70*EXP(-(((Inputs!$C$6)+38)^2)/(7^2))*(0.55+0.45*SIN(2*PI()*(A33)/45))+24*SIN(2*PI()*(Inputs!$C$6)/9+(A33)/18)*EXP(-(((Inputs!$C$6)+5)^2)/(22^2))+18*SIN(2*PI()*(A33)/70))+Inputs!$C$28*EXP(-(((A33)-Inputs!$C$29)^2)/(2*Inputs!$C$31^2))*EXP(-(((Inputs!$C$6)-Inputs!$C$30)^2)/(2*Inputs!$C$32^2))+-Inputs!$C$33*EXP(-(((((A33)-Inputs!$C$34)^2)+(((Inputs!$C$6)-Inputs!$C$35)^2))/(2*Inputs!$C$36^2)))+Inputs!$C$37*(0.55*SIN(2*PI()*(A33)/Inputs!$C$39)+0.35*COS(2*PI()*(Inputs!$C$6)/Inputs!$C$40)+0.2*SIN(2*PI()*((A33)+(Inputs!$C$6))/(0.5*(Inputs!$C$39+Inputs!$C$40))))+Inputs!$C$38*SIN(2*PI()*(A33)/Inputs!$C$39)*SIN(2*PI()*(Inputs!$C$6)/Inputs!$C$40)+-Inputs!$C$41*EXP(-(((Inputs!$C$6)-Inputs!$C$43)^2)/(2*Inputs!$C$44^2))*EXP(-(((A33)-Inputs!$C$42)^2)/(2*Inputs!$C$45^2))+Inputs!$C$48*(0.7*(0.45*SIN(2*PI()*(((A33)/Inputs!$C$49)+Inputs!$C$47*0.137))+0.35*COS(2*PI()*(((Inputs!$C$6)/Inputs!$C$50)+Inputs!$C$47*0.173))+0.2*SIN(2*PI()*(((A33)+(Inputs!$C$6))/(0.5*(Inputs!$C$49+Inputs!$C$50))+Inputs!$C$47*0.097)))+0.3*(2*((SIN(((A33)*12.9898+(Inputs!$C$6)*78.233+Inputs!$C$47*37.719))*43758.5453)-INT((SIN(((A33)*12.9898+(Inputs!$C$6)*78.233+Inputs!$C$47*37.719))*43758.5453)))-1)))</f>
        <v/>
      </c>
      <c r="Z33" s="9">
        <f>B33-X33/1000</f>
        <v/>
      </c>
      <c r="AA33" s="9">
        <f>SQRT((Inputs!$C$52+B33)^2+(Inputs!$C$52+Y33/1000)^2-2*(Inputs!$C$52+B33)*(Inputs!$C$52+Y33/1000)*COS(SQRT(A33^2+Inputs!$C$6^2)/Inputs!$C$52))</f>
        <v/>
      </c>
      <c r="AB33" s="9">
        <f>(AA33-Z33)*1000</f>
        <v/>
      </c>
      <c r="AC33" s="9">
        <f>AB33/Inputs!$C$12</f>
        <v/>
      </c>
      <c r="AD33" s="9">
        <f>2*AB33/Inputs!$C$21*1000000</f>
        <v/>
      </c>
      <c r="AE33" s="9">
        <f>DEGREES(ATAN(H33/(B33-Y33/1000)))</f>
        <v/>
      </c>
      <c r="AF33" s="9">
        <f>DEGREES((2*PI()/Inputs!$C$13)*Inputs!$C$15*SIN(RADIANS(AE33)))</f>
        <v/>
      </c>
      <c r="AG33" s="9">
        <f>(Z33/AA33)^4</f>
        <v/>
      </c>
      <c r="AH33" s="9">
        <f>10*LOG10(AG33)</f>
        <v/>
      </c>
      <c r="AI33" s="9">
        <f>AC33-F33</f>
        <v/>
      </c>
      <c r="AJ33" s="9">
        <f>AD33-G33</f>
        <v/>
      </c>
      <c r="AK33" s="9">
        <f>Y33-X33</f>
        <v/>
      </c>
      <c r="AL33" s="9">
        <f>1000*(AA34-AA32)/(A34-A32)*Inputs!$C$11</f>
        <v/>
      </c>
      <c r="AM33" s="9">
        <f>-2*AL33/Inputs!$C$13</f>
        <v/>
      </c>
      <c r="AN33" s="9">
        <f>-2*AL33/Inputs!$C$14</f>
        <v/>
      </c>
      <c r="AO33" s="9">
        <f>ABS(AM33)</f>
        <v/>
      </c>
      <c r="AP33" s="9">
        <f>ABS(AN33)</f>
        <v/>
      </c>
      <c r="AQ33" s="9">
        <f>IF(OR(Inputs!$C$27=TRUE,Inputs!$C$27="TRUE",Inputs!$C$27=1),Inputs!$C$46/Inputs!$C$12,0)</f>
        <v/>
      </c>
      <c r="AR33" s="9">
        <f>AC33-AQ33</f>
        <v/>
      </c>
      <c r="AS33" s="9">
        <f>AC33+AQ33</f>
        <v/>
      </c>
    </row>
    <row r="34">
      <c r="A34" s="9">
        <f>Inputs!$C$7+32*(Inputs!$C$8-Inputs!$C$7)/240</f>
        <v/>
      </c>
      <c r="B34" s="9">
        <f>Inputs!$C$5+Inputs!$C$9*(A34/Inputs!$C$10)^2</f>
        <v/>
      </c>
      <c r="C34" s="9">
        <f>B34</f>
        <v/>
      </c>
      <c r="D34" s="9">
        <f>SQRT((Inputs!$C$52+B34)^2+Inputs!$C$52^2-2*(Inputs!$C$52+B34)*Inputs!$C$52*COS(SQRT(A34^2+Inputs!$C$6^2)/Inputs!$C$52))</f>
        <v/>
      </c>
      <c r="E34" s="9">
        <f>(D34-C34)*1000</f>
        <v/>
      </c>
      <c r="F34" s="9">
        <f>E34/Inputs!$C$12</f>
        <v/>
      </c>
      <c r="G34" s="9">
        <f>2*E34/Inputs!$C$21*1000000</f>
        <v/>
      </c>
      <c r="H34" s="9">
        <f>SQRT(A34^2+Inputs!$C$6^2)</f>
        <v/>
      </c>
      <c r="I34" s="9">
        <f>DEGREES(ATAN(H34/B34))</f>
        <v/>
      </c>
      <c r="J34" s="9">
        <f>DEGREES((2*PI()/Inputs!$C$13)*Inputs!$C$15*SIN(RADIANS(I34)))</f>
        <v/>
      </c>
      <c r="K34" s="9">
        <f>(C34/D34)^4</f>
        <v/>
      </c>
      <c r="L34" s="9">
        <f>10*LOG10(K34)</f>
        <v/>
      </c>
      <c r="M34" s="9">
        <f>2*(Inputs!$C$9/(Inputs!$C$10^2))*A34</f>
        <v/>
      </c>
      <c r="N34" s="9">
        <f>M34*Inputs!$C$11</f>
        <v/>
      </c>
      <c r="O34" s="9">
        <f>1000*(D35-D33)/(A35-A33)*Inputs!$C$11</f>
        <v/>
      </c>
      <c r="P34" s="9">
        <f>-2*O34/Inputs!$C$13</f>
        <v/>
      </c>
      <c r="Q34" s="9">
        <f>-2*O34/Inputs!$C$14</f>
        <v/>
      </c>
      <c r="R34" s="9">
        <f>F34-Inputs!$C$16/2</f>
        <v/>
      </c>
      <c r="S34" s="9">
        <f>F34+Inputs!$C$16/2</f>
        <v/>
      </c>
      <c r="T34" s="9">
        <f>F34-Inputs!$C$17/2</f>
        <v/>
      </c>
      <c r="U34" s="9">
        <f>F34+Inputs!$C$17/2</f>
        <v/>
      </c>
      <c r="V34" s="9">
        <f>ABS(P34)</f>
        <v/>
      </c>
      <c r="W34" s="9">
        <f>ABS(Q34)</f>
        <v/>
      </c>
      <c r="X34" s="9">
        <f>IF(OR(Inputs!$C$27=TRUE,Inputs!$C$27="TRUE",Inputs!$C$27=1),1,0)*(Inputs!$C$51*(115*EXP(-(((0)-25)^2)/(4.5^2))+70*EXP(-(((0)+38)^2)/(7^2))*(0.55+0.45*SIN(2*PI()*(A34)/45))+24*SIN(2*PI()*(0)/9+(A34)/18)*EXP(-(((0)+5)^2)/(22^2))+18*SIN(2*PI()*(A34)/70))+Inputs!$C$28*EXP(-(((A34)-Inputs!$C$29)^2)/(2*Inputs!$C$31^2))*EXP(-(((0)-Inputs!$C$30)^2)/(2*Inputs!$C$32^2))+-Inputs!$C$33*EXP(-(((((A34)-Inputs!$C$34)^2)+(((0)-Inputs!$C$35)^2))/(2*Inputs!$C$36^2)))+Inputs!$C$37*(0.55*SIN(2*PI()*(A34)/Inputs!$C$39)+0.35*COS(2*PI()*(0)/Inputs!$C$40)+0.2*SIN(2*PI()*((A34)+(0))/(0.5*(Inputs!$C$39+Inputs!$C$40))))+Inputs!$C$38*SIN(2*PI()*(A34)/Inputs!$C$39)*SIN(2*PI()*(0)/Inputs!$C$40)+-Inputs!$C$41*EXP(-(((0)-Inputs!$C$43)^2)/(2*Inputs!$C$44^2))*EXP(-(((A34)-Inputs!$C$42)^2)/(2*Inputs!$C$45^2))+Inputs!$C$48*(0.7*(0.45*SIN(2*PI()*(((A34)/Inputs!$C$49)+Inputs!$C$47*0.137))+0.35*COS(2*PI()*(((0)/Inputs!$C$50)+Inputs!$C$47*0.173))+0.2*SIN(2*PI()*(((A34)+(0))/(0.5*(Inputs!$C$49+Inputs!$C$50))+Inputs!$C$47*0.097)))+0.3*(2*((SIN(((A34)*12.9898+(0)*78.233+Inputs!$C$47*37.719))*43758.5453)-INT((SIN(((A34)*12.9898+(0)*78.233+Inputs!$C$47*37.719))*43758.5453)))-1)))</f>
        <v/>
      </c>
      <c r="Y34" s="9">
        <f>IF(OR(Inputs!$C$27=TRUE,Inputs!$C$27="TRUE",Inputs!$C$27=1),1,0)*(Inputs!$C$51*(115*EXP(-(((Inputs!$C$6)-25)^2)/(4.5^2))+70*EXP(-(((Inputs!$C$6)+38)^2)/(7^2))*(0.55+0.45*SIN(2*PI()*(A34)/45))+24*SIN(2*PI()*(Inputs!$C$6)/9+(A34)/18)*EXP(-(((Inputs!$C$6)+5)^2)/(22^2))+18*SIN(2*PI()*(A34)/70))+Inputs!$C$28*EXP(-(((A34)-Inputs!$C$29)^2)/(2*Inputs!$C$31^2))*EXP(-(((Inputs!$C$6)-Inputs!$C$30)^2)/(2*Inputs!$C$32^2))+-Inputs!$C$33*EXP(-(((((A34)-Inputs!$C$34)^2)+(((Inputs!$C$6)-Inputs!$C$35)^2))/(2*Inputs!$C$36^2)))+Inputs!$C$37*(0.55*SIN(2*PI()*(A34)/Inputs!$C$39)+0.35*COS(2*PI()*(Inputs!$C$6)/Inputs!$C$40)+0.2*SIN(2*PI()*((A34)+(Inputs!$C$6))/(0.5*(Inputs!$C$39+Inputs!$C$40))))+Inputs!$C$38*SIN(2*PI()*(A34)/Inputs!$C$39)*SIN(2*PI()*(Inputs!$C$6)/Inputs!$C$40)+-Inputs!$C$41*EXP(-(((Inputs!$C$6)-Inputs!$C$43)^2)/(2*Inputs!$C$44^2))*EXP(-(((A34)-Inputs!$C$42)^2)/(2*Inputs!$C$45^2))+Inputs!$C$48*(0.7*(0.45*SIN(2*PI()*(((A34)/Inputs!$C$49)+Inputs!$C$47*0.137))+0.35*COS(2*PI()*(((Inputs!$C$6)/Inputs!$C$50)+Inputs!$C$47*0.173))+0.2*SIN(2*PI()*(((A34)+(Inputs!$C$6))/(0.5*(Inputs!$C$49+Inputs!$C$50))+Inputs!$C$47*0.097)))+0.3*(2*((SIN(((A34)*12.9898+(Inputs!$C$6)*78.233+Inputs!$C$47*37.719))*43758.5453)-INT((SIN(((A34)*12.9898+(Inputs!$C$6)*78.233+Inputs!$C$47*37.719))*43758.5453)))-1)))</f>
        <v/>
      </c>
      <c r="Z34" s="9">
        <f>B34-X34/1000</f>
        <v/>
      </c>
      <c r="AA34" s="9">
        <f>SQRT((Inputs!$C$52+B34)^2+(Inputs!$C$52+Y34/1000)^2-2*(Inputs!$C$52+B34)*(Inputs!$C$52+Y34/1000)*COS(SQRT(A34^2+Inputs!$C$6^2)/Inputs!$C$52))</f>
        <v/>
      </c>
      <c r="AB34" s="9">
        <f>(AA34-Z34)*1000</f>
        <v/>
      </c>
      <c r="AC34" s="9">
        <f>AB34/Inputs!$C$12</f>
        <v/>
      </c>
      <c r="AD34" s="9">
        <f>2*AB34/Inputs!$C$21*1000000</f>
        <v/>
      </c>
      <c r="AE34" s="9">
        <f>DEGREES(ATAN(H34/(B34-Y34/1000)))</f>
        <v/>
      </c>
      <c r="AF34" s="9">
        <f>DEGREES((2*PI()/Inputs!$C$13)*Inputs!$C$15*SIN(RADIANS(AE34)))</f>
        <v/>
      </c>
      <c r="AG34" s="9">
        <f>(Z34/AA34)^4</f>
        <v/>
      </c>
      <c r="AH34" s="9">
        <f>10*LOG10(AG34)</f>
        <v/>
      </c>
      <c r="AI34" s="9">
        <f>AC34-F34</f>
        <v/>
      </c>
      <c r="AJ34" s="9">
        <f>AD34-G34</f>
        <v/>
      </c>
      <c r="AK34" s="9">
        <f>Y34-X34</f>
        <v/>
      </c>
      <c r="AL34" s="9">
        <f>1000*(AA35-AA33)/(A35-A33)*Inputs!$C$11</f>
        <v/>
      </c>
      <c r="AM34" s="9">
        <f>-2*AL34/Inputs!$C$13</f>
        <v/>
      </c>
      <c r="AN34" s="9">
        <f>-2*AL34/Inputs!$C$14</f>
        <v/>
      </c>
      <c r="AO34" s="9">
        <f>ABS(AM34)</f>
        <v/>
      </c>
      <c r="AP34" s="9">
        <f>ABS(AN34)</f>
        <v/>
      </c>
      <c r="AQ34" s="9">
        <f>IF(OR(Inputs!$C$27=TRUE,Inputs!$C$27="TRUE",Inputs!$C$27=1),Inputs!$C$46/Inputs!$C$12,0)</f>
        <v/>
      </c>
      <c r="AR34" s="9">
        <f>AC34-AQ34</f>
        <v/>
      </c>
      <c r="AS34" s="9">
        <f>AC34+AQ34</f>
        <v/>
      </c>
    </row>
    <row r="35">
      <c r="A35" s="9">
        <f>Inputs!$C$7+33*(Inputs!$C$8-Inputs!$C$7)/240</f>
        <v/>
      </c>
      <c r="B35" s="9">
        <f>Inputs!$C$5+Inputs!$C$9*(A35/Inputs!$C$10)^2</f>
        <v/>
      </c>
      <c r="C35" s="9">
        <f>B35</f>
        <v/>
      </c>
      <c r="D35" s="9">
        <f>SQRT((Inputs!$C$52+B35)^2+Inputs!$C$52^2-2*(Inputs!$C$52+B35)*Inputs!$C$52*COS(SQRT(A35^2+Inputs!$C$6^2)/Inputs!$C$52))</f>
        <v/>
      </c>
      <c r="E35" s="9">
        <f>(D35-C35)*1000</f>
        <v/>
      </c>
      <c r="F35" s="9">
        <f>E35/Inputs!$C$12</f>
        <v/>
      </c>
      <c r="G35" s="9">
        <f>2*E35/Inputs!$C$21*1000000</f>
        <v/>
      </c>
      <c r="H35" s="9">
        <f>SQRT(A35^2+Inputs!$C$6^2)</f>
        <v/>
      </c>
      <c r="I35" s="9">
        <f>DEGREES(ATAN(H35/B35))</f>
        <v/>
      </c>
      <c r="J35" s="9">
        <f>DEGREES((2*PI()/Inputs!$C$13)*Inputs!$C$15*SIN(RADIANS(I35)))</f>
        <v/>
      </c>
      <c r="K35" s="9">
        <f>(C35/D35)^4</f>
        <v/>
      </c>
      <c r="L35" s="9">
        <f>10*LOG10(K35)</f>
        <v/>
      </c>
      <c r="M35" s="9">
        <f>2*(Inputs!$C$9/(Inputs!$C$10^2))*A35</f>
        <v/>
      </c>
      <c r="N35" s="9">
        <f>M35*Inputs!$C$11</f>
        <v/>
      </c>
      <c r="O35" s="9">
        <f>1000*(D36-D34)/(A36-A34)*Inputs!$C$11</f>
        <v/>
      </c>
      <c r="P35" s="9">
        <f>-2*O35/Inputs!$C$13</f>
        <v/>
      </c>
      <c r="Q35" s="9">
        <f>-2*O35/Inputs!$C$14</f>
        <v/>
      </c>
      <c r="R35" s="9">
        <f>F35-Inputs!$C$16/2</f>
        <v/>
      </c>
      <c r="S35" s="9">
        <f>F35+Inputs!$C$16/2</f>
        <v/>
      </c>
      <c r="T35" s="9">
        <f>F35-Inputs!$C$17/2</f>
        <v/>
      </c>
      <c r="U35" s="9">
        <f>F35+Inputs!$C$17/2</f>
        <v/>
      </c>
      <c r="V35" s="9">
        <f>ABS(P35)</f>
        <v/>
      </c>
      <c r="W35" s="9">
        <f>ABS(Q35)</f>
        <v/>
      </c>
      <c r="X35" s="9">
        <f>IF(OR(Inputs!$C$27=TRUE,Inputs!$C$27="TRUE",Inputs!$C$27=1),1,0)*(Inputs!$C$51*(115*EXP(-(((0)-25)^2)/(4.5^2))+70*EXP(-(((0)+38)^2)/(7^2))*(0.55+0.45*SIN(2*PI()*(A35)/45))+24*SIN(2*PI()*(0)/9+(A35)/18)*EXP(-(((0)+5)^2)/(22^2))+18*SIN(2*PI()*(A35)/70))+Inputs!$C$28*EXP(-(((A35)-Inputs!$C$29)^2)/(2*Inputs!$C$31^2))*EXP(-(((0)-Inputs!$C$30)^2)/(2*Inputs!$C$32^2))+-Inputs!$C$33*EXP(-(((((A35)-Inputs!$C$34)^2)+(((0)-Inputs!$C$35)^2))/(2*Inputs!$C$36^2)))+Inputs!$C$37*(0.55*SIN(2*PI()*(A35)/Inputs!$C$39)+0.35*COS(2*PI()*(0)/Inputs!$C$40)+0.2*SIN(2*PI()*((A35)+(0))/(0.5*(Inputs!$C$39+Inputs!$C$40))))+Inputs!$C$38*SIN(2*PI()*(A35)/Inputs!$C$39)*SIN(2*PI()*(0)/Inputs!$C$40)+-Inputs!$C$41*EXP(-(((0)-Inputs!$C$43)^2)/(2*Inputs!$C$44^2))*EXP(-(((A35)-Inputs!$C$42)^2)/(2*Inputs!$C$45^2))+Inputs!$C$48*(0.7*(0.45*SIN(2*PI()*(((A35)/Inputs!$C$49)+Inputs!$C$47*0.137))+0.35*COS(2*PI()*(((0)/Inputs!$C$50)+Inputs!$C$47*0.173))+0.2*SIN(2*PI()*(((A35)+(0))/(0.5*(Inputs!$C$49+Inputs!$C$50))+Inputs!$C$47*0.097)))+0.3*(2*((SIN(((A35)*12.9898+(0)*78.233+Inputs!$C$47*37.719))*43758.5453)-INT((SIN(((A35)*12.9898+(0)*78.233+Inputs!$C$47*37.719))*43758.5453)))-1)))</f>
        <v/>
      </c>
      <c r="Y35" s="9">
        <f>IF(OR(Inputs!$C$27=TRUE,Inputs!$C$27="TRUE",Inputs!$C$27=1),1,0)*(Inputs!$C$51*(115*EXP(-(((Inputs!$C$6)-25)^2)/(4.5^2))+70*EXP(-(((Inputs!$C$6)+38)^2)/(7^2))*(0.55+0.45*SIN(2*PI()*(A35)/45))+24*SIN(2*PI()*(Inputs!$C$6)/9+(A35)/18)*EXP(-(((Inputs!$C$6)+5)^2)/(22^2))+18*SIN(2*PI()*(A35)/70))+Inputs!$C$28*EXP(-(((A35)-Inputs!$C$29)^2)/(2*Inputs!$C$31^2))*EXP(-(((Inputs!$C$6)-Inputs!$C$30)^2)/(2*Inputs!$C$32^2))+-Inputs!$C$33*EXP(-(((((A35)-Inputs!$C$34)^2)+(((Inputs!$C$6)-Inputs!$C$35)^2))/(2*Inputs!$C$36^2)))+Inputs!$C$37*(0.55*SIN(2*PI()*(A35)/Inputs!$C$39)+0.35*COS(2*PI()*(Inputs!$C$6)/Inputs!$C$40)+0.2*SIN(2*PI()*((A35)+(Inputs!$C$6))/(0.5*(Inputs!$C$39+Inputs!$C$40))))+Inputs!$C$38*SIN(2*PI()*(A35)/Inputs!$C$39)*SIN(2*PI()*(Inputs!$C$6)/Inputs!$C$40)+-Inputs!$C$41*EXP(-(((Inputs!$C$6)-Inputs!$C$43)^2)/(2*Inputs!$C$44^2))*EXP(-(((A35)-Inputs!$C$42)^2)/(2*Inputs!$C$45^2))+Inputs!$C$48*(0.7*(0.45*SIN(2*PI()*(((A35)/Inputs!$C$49)+Inputs!$C$47*0.137))+0.35*COS(2*PI()*(((Inputs!$C$6)/Inputs!$C$50)+Inputs!$C$47*0.173))+0.2*SIN(2*PI()*(((A35)+(Inputs!$C$6))/(0.5*(Inputs!$C$49+Inputs!$C$50))+Inputs!$C$47*0.097)))+0.3*(2*((SIN(((A35)*12.9898+(Inputs!$C$6)*78.233+Inputs!$C$47*37.719))*43758.5453)-INT((SIN(((A35)*12.9898+(Inputs!$C$6)*78.233+Inputs!$C$47*37.719))*43758.5453)))-1)))</f>
        <v/>
      </c>
      <c r="Z35" s="9">
        <f>B35-X35/1000</f>
        <v/>
      </c>
      <c r="AA35" s="9">
        <f>SQRT((Inputs!$C$52+B35)^2+(Inputs!$C$52+Y35/1000)^2-2*(Inputs!$C$52+B35)*(Inputs!$C$52+Y35/1000)*COS(SQRT(A35^2+Inputs!$C$6^2)/Inputs!$C$52))</f>
        <v/>
      </c>
      <c r="AB35" s="9">
        <f>(AA35-Z35)*1000</f>
        <v/>
      </c>
      <c r="AC35" s="9">
        <f>AB35/Inputs!$C$12</f>
        <v/>
      </c>
      <c r="AD35" s="9">
        <f>2*AB35/Inputs!$C$21*1000000</f>
        <v/>
      </c>
      <c r="AE35" s="9">
        <f>DEGREES(ATAN(H35/(B35-Y35/1000)))</f>
        <v/>
      </c>
      <c r="AF35" s="9">
        <f>DEGREES((2*PI()/Inputs!$C$13)*Inputs!$C$15*SIN(RADIANS(AE35)))</f>
        <v/>
      </c>
      <c r="AG35" s="9">
        <f>(Z35/AA35)^4</f>
        <v/>
      </c>
      <c r="AH35" s="9">
        <f>10*LOG10(AG35)</f>
        <v/>
      </c>
      <c r="AI35" s="9">
        <f>AC35-F35</f>
        <v/>
      </c>
      <c r="AJ35" s="9">
        <f>AD35-G35</f>
        <v/>
      </c>
      <c r="AK35" s="9">
        <f>Y35-X35</f>
        <v/>
      </c>
      <c r="AL35" s="9">
        <f>1000*(AA36-AA34)/(A36-A34)*Inputs!$C$11</f>
        <v/>
      </c>
      <c r="AM35" s="9">
        <f>-2*AL35/Inputs!$C$13</f>
        <v/>
      </c>
      <c r="AN35" s="9">
        <f>-2*AL35/Inputs!$C$14</f>
        <v/>
      </c>
      <c r="AO35" s="9">
        <f>ABS(AM35)</f>
        <v/>
      </c>
      <c r="AP35" s="9">
        <f>ABS(AN35)</f>
        <v/>
      </c>
      <c r="AQ35" s="9">
        <f>IF(OR(Inputs!$C$27=TRUE,Inputs!$C$27="TRUE",Inputs!$C$27=1),Inputs!$C$46/Inputs!$C$12,0)</f>
        <v/>
      </c>
      <c r="AR35" s="9">
        <f>AC35-AQ35</f>
        <v/>
      </c>
      <c r="AS35" s="9">
        <f>AC35+AQ35</f>
        <v/>
      </c>
    </row>
    <row r="36">
      <c r="A36" s="9">
        <f>Inputs!$C$7+34*(Inputs!$C$8-Inputs!$C$7)/240</f>
        <v/>
      </c>
      <c r="B36" s="9">
        <f>Inputs!$C$5+Inputs!$C$9*(A36/Inputs!$C$10)^2</f>
        <v/>
      </c>
      <c r="C36" s="9">
        <f>B36</f>
        <v/>
      </c>
      <c r="D36" s="9">
        <f>SQRT((Inputs!$C$52+B36)^2+Inputs!$C$52^2-2*(Inputs!$C$52+B36)*Inputs!$C$52*COS(SQRT(A36^2+Inputs!$C$6^2)/Inputs!$C$52))</f>
        <v/>
      </c>
      <c r="E36" s="9">
        <f>(D36-C36)*1000</f>
        <v/>
      </c>
      <c r="F36" s="9">
        <f>E36/Inputs!$C$12</f>
        <v/>
      </c>
      <c r="G36" s="9">
        <f>2*E36/Inputs!$C$21*1000000</f>
        <v/>
      </c>
      <c r="H36" s="9">
        <f>SQRT(A36^2+Inputs!$C$6^2)</f>
        <v/>
      </c>
      <c r="I36" s="9">
        <f>DEGREES(ATAN(H36/B36))</f>
        <v/>
      </c>
      <c r="J36" s="9">
        <f>DEGREES((2*PI()/Inputs!$C$13)*Inputs!$C$15*SIN(RADIANS(I36)))</f>
        <v/>
      </c>
      <c r="K36" s="9">
        <f>(C36/D36)^4</f>
        <v/>
      </c>
      <c r="L36" s="9">
        <f>10*LOG10(K36)</f>
        <v/>
      </c>
      <c r="M36" s="9">
        <f>2*(Inputs!$C$9/(Inputs!$C$10^2))*A36</f>
        <v/>
      </c>
      <c r="N36" s="9">
        <f>M36*Inputs!$C$11</f>
        <v/>
      </c>
      <c r="O36" s="9">
        <f>1000*(D37-D35)/(A37-A35)*Inputs!$C$11</f>
        <v/>
      </c>
      <c r="P36" s="9">
        <f>-2*O36/Inputs!$C$13</f>
        <v/>
      </c>
      <c r="Q36" s="9">
        <f>-2*O36/Inputs!$C$14</f>
        <v/>
      </c>
      <c r="R36" s="9">
        <f>F36-Inputs!$C$16/2</f>
        <v/>
      </c>
      <c r="S36" s="9">
        <f>F36+Inputs!$C$16/2</f>
        <v/>
      </c>
      <c r="T36" s="9">
        <f>F36-Inputs!$C$17/2</f>
        <v/>
      </c>
      <c r="U36" s="9">
        <f>F36+Inputs!$C$17/2</f>
        <v/>
      </c>
      <c r="V36" s="9">
        <f>ABS(P36)</f>
        <v/>
      </c>
      <c r="W36" s="9">
        <f>ABS(Q36)</f>
        <v/>
      </c>
      <c r="X36" s="9">
        <f>IF(OR(Inputs!$C$27=TRUE,Inputs!$C$27="TRUE",Inputs!$C$27=1),1,0)*(Inputs!$C$51*(115*EXP(-(((0)-25)^2)/(4.5^2))+70*EXP(-(((0)+38)^2)/(7^2))*(0.55+0.45*SIN(2*PI()*(A36)/45))+24*SIN(2*PI()*(0)/9+(A36)/18)*EXP(-(((0)+5)^2)/(22^2))+18*SIN(2*PI()*(A36)/70))+Inputs!$C$28*EXP(-(((A36)-Inputs!$C$29)^2)/(2*Inputs!$C$31^2))*EXP(-(((0)-Inputs!$C$30)^2)/(2*Inputs!$C$32^2))+-Inputs!$C$33*EXP(-(((((A36)-Inputs!$C$34)^2)+(((0)-Inputs!$C$35)^2))/(2*Inputs!$C$36^2)))+Inputs!$C$37*(0.55*SIN(2*PI()*(A36)/Inputs!$C$39)+0.35*COS(2*PI()*(0)/Inputs!$C$40)+0.2*SIN(2*PI()*((A36)+(0))/(0.5*(Inputs!$C$39+Inputs!$C$40))))+Inputs!$C$38*SIN(2*PI()*(A36)/Inputs!$C$39)*SIN(2*PI()*(0)/Inputs!$C$40)+-Inputs!$C$41*EXP(-(((0)-Inputs!$C$43)^2)/(2*Inputs!$C$44^2))*EXP(-(((A36)-Inputs!$C$42)^2)/(2*Inputs!$C$45^2))+Inputs!$C$48*(0.7*(0.45*SIN(2*PI()*(((A36)/Inputs!$C$49)+Inputs!$C$47*0.137))+0.35*COS(2*PI()*(((0)/Inputs!$C$50)+Inputs!$C$47*0.173))+0.2*SIN(2*PI()*(((A36)+(0))/(0.5*(Inputs!$C$49+Inputs!$C$50))+Inputs!$C$47*0.097)))+0.3*(2*((SIN(((A36)*12.9898+(0)*78.233+Inputs!$C$47*37.719))*43758.5453)-INT((SIN(((A36)*12.9898+(0)*78.233+Inputs!$C$47*37.719))*43758.5453)))-1)))</f>
        <v/>
      </c>
      <c r="Y36" s="9">
        <f>IF(OR(Inputs!$C$27=TRUE,Inputs!$C$27="TRUE",Inputs!$C$27=1),1,0)*(Inputs!$C$51*(115*EXP(-(((Inputs!$C$6)-25)^2)/(4.5^2))+70*EXP(-(((Inputs!$C$6)+38)^2)/(7^2))*(0.55+0.45*SIN(2*PI()*(A36)/45))+24*SIN(2*PI()*(Inputs!$C$6)/9+(A36)/18)*EXP(-(((Inputs!$C$6)+5)^2)/(22^2))+18*SIN(2*PI()*(A36)/70))+Inputs!$C$28*EXP(-(((A36)-Inputs!$C$29)^2)/(2*Inputs!$C$31^2))*EXP(-(((Inputs!$C$6)-Inputs!$C$30)^2)/(2*Inputs!$C$32^2))+-Inputs!$C$33*EXP(-(((((A36)-Inputs!$C$34)^2)+(((Inputs!$C$6)-Inputs!$C$35)^2))/(2*Inputs!$C$36^2)))+Inputs!$C$37*(0.55*SIN(2*PI()*(A36)/Inputs!$C$39)+0.35*COS(2*PI()*(Inputs!$C$6)/Inputs!$C$40)+0.2*SIN(2*PI()*((A36)+(Inputs!$C$6))/(0.5*(Inputs!$C$39+Inputs!$C$40))))+Inputs!$C$38*SIN(2*PI()*(A36)/Inputs!$C$39)*SIN(2*PI()*(Inputs!$C$6)/Inputs!$C$40)+-Inputs!$C$41*EXP(-(((Inputs!$C$6)-Inputs!$C$43)^2)/(2*Inputs!$C$44^2))*EXP(-(((A36)-Inputs!$C$42)^2)/(2*Inputs!$C$45^2))+Inputs!$C$48*(0.7*(0.45*SIN(2*PI()*(((A36)/Inputs!$C$49)+Inputs!$C$47*0.137))+0.35*COS(2*PI()*(((Inputs!$C$6)/Inputs!$C$50)+Inputs!$C$47*0.173))+0.2*SIN(2*PI()*(((A36)+(Inputs!$C$6))/(0.5*(Inputs!$C$49+Inputs!$C$50))+Inputs!$C$47*0.097)))+0.3*(2*((SIN(((A36)*12.9898+(Inputs!$C$6)*78.233+Inputs!$C$47*37.719))*43758.5453)-INT((SIN(((A36)*12.9898+(Inputs!$C$6)*78.233+Inputs!$C$47*37.719))*43758.5453)))-1)))</f>
        <v/>
      </c>
      <c r="Z36" s="9">
        <f>B36-X36/1000</f>
        <v/>
      </c>
      <c r="AA36" s="9">
        <f>SQRT((Inputs!$C$52+B36)^2+(Inputs!$C$52+Y36/1000)^2-2*(Inputs!$C$52+B36)*(Inputs!$C$52+Y36/1000)*COS(SQRT(A36^2+Inputs!$C$6^2)/Inputs!$C$52))</f>
        <v/>
      </c>
      <c r="AB36" s="9">
        <f>(AA36-Z36)*1000</f>
        <v/>
      </c>
      <c r="AC36" s="9">
        <f>AB36/Inputs!$C$12</f>
        <v/>
      </c>
      <c r="AD36" s="9">
        <f>2*AB36/Inputs!$C$21*1000000</f>
        <v/>
      </c>
      <c r="AE36" s="9">
        <f>DEGREES(ATAN(H36/(B36-Y36/1000)))</f>
        <v/>
      </c>
      <c r="AF36" s="9">
        <f>DEGREES((2*PI()/Inputs!$C$13)*Inputs!$C$15*SIN(RADIANS(AE36)))</f>
        <v/>
      </c>
      <c r="AG36" s="9">
        <f>(Z36/AA36)^4</f>
        <v/>
      </c>
      <c r="AH36" s="9">
        <f>10*LOG10(AG36)</f>
        <v/>
      </c>
      <c r="AI36" s="9">
        <f>AC36-F36</f>
        <v/>
      </c>
      <c r="AJ36" s="9">
        <f>AD36-G36</f>
        <v/>
      </c>
      <c r="AK36" s="9">
        <f>Y36-X36</f>
        <v/>
      </c>
      <c r="AL36" s="9">
        <f>1000*(AA37-AA35)/(A37-A35)*Inputs!$C$11</f>
        <v/>
      </c>
      <c r="AM36" s="9">
        <f>-2*AL36/Inputs!$C$13</f>
        <v/>
      </c>
      <c r="AN36" s="9">
        <f>-2*AL36/Inputs!$C$14</f>
        <v/>
      </c>
      <c r="AO36" s="9">
        <f>ABS(AM36)</f>
        <v/>
      </c>
      <c r="AP36" s="9">
        <f>ABS(AN36)</f>
        <v/>
      </c>
      <c r="AQ36" s="9">
        <f>IF(OR(Inputs!$C$27=TRUE,Inputs!$C$27="TRUE",Inputs!$C$27=1),Inputs!$C$46/Inputs!$C$12,0)</f>
        <v/>
      </c>
      <c r="AR36" s="9">
        <f>AC36-AQ36</f>
        <v/>
      </c>
      <c r="AS36" s="9">
        <f>AC36+AQ36</f>
        <v/>
      </c>
    </row>
    <row r="37">
      <c r="A37" s="9">
        <f>Inputs!$C$7+35*(Inputs!$C$8-Inputs!$C$7)/240</f>
        <v/>
      </c>
      <c r="B37" s="9">
        <f>Inputs!$C$5+Inputs!$C$9*(A37/Inputs!$C$10)^2</f>
        <v/>
      </c>
      <c r="C37" s="9">
        <f>B37</f>
        <v/>
      </c>
      <c r="D37" s="9">
        <f>SQRT((Inputs!$C$52+B37)^2+Inputs!$C$52^2-2*(Inputs!$C$52+B37)*Inputs!$C$52*COS(SQRT(A37^2+Inputs!$C$6^2)/Inputs!$C$52))</f>
        <v/>
      </c>
      <c r="E37" s="9">
        <f>(D37-C37)*1000</f>
        <v/>
      </c>
      <c r="F37" s="9">
        <f>E37/Inputs!$C$12</f>
        <v/>
      </c>
      <c r="G37" s="9">
        <f>2*E37/Inputs!$C$21*1000000</f>
        <v/>
      </c>
      <c r="H37" s="9">
        <f>SQRT(A37^2+Inputs!$C$6^2)</f>
        <v/>
      </c>
      <c r="I37" s="9">
        <f>DEGREES(ATAN(H37/B37))</f>
        <v/>
      </c>
      <c r="J37" s="9">
        <f>DEGREES((2*PI()/Inputs!$C$13)*Inputs!$C$15*SIN(RADIANS(I37)))</f>
        <v/>
      </c>
      <c r="K37" s="9">
        <f>(C37/D37)^4</f>
        <v/>
      </c>
      <c r="L37" s="9">
        <f>10*LOG10(K37)</f>
        <v/>
      </c>
      <c r="M37" s="9">
        <f>2*(Inputs!$C$9/(Inputs!$C$10^2))*A37</f>
        <v/>
      </c>
      <c r="N37" s="9">
        <f>M37*Inputs!$C$11</f>
        <v/>
      </c>
      <c r="O37" s="9">
        <f>1000*(D38-D36)/(A38-A36)*Inputs!$C$11</f>
        <v/>
      </c>
      <c r="P37" s="9">
        <f>-2*O37/Inputs!$C$13</f>
        <v/>
      </c>
      <c r="Q37" s="9">
        <f>-2*O37/Inputs!$C$14</f>
        <v/>
      </c>
      <c r="R37" s="9">
        <f>F37-Inputs!$C$16/2</f>
        <v/>
      </c>
      <c r="S37" s="9">
        <f>F37+Inputs!$C$16/2</f>
        <v/>
      </c>
      <c r="T37" s="9">
        <f>F37-Inputs!$C$17/2</f>
        <v/>
      </c>
      <c r="U37" s="9">
        <f>F37+Inputs!$C$17/2</f>
        <v/>
      </c>
      <c r="V37" s="9">
        <f>ABS(P37)</f>
        <v/>
      </c>
      <c r="W37" s="9">
        <f>ABS(Q37)</f>
        <v/>
      </c>
      <c r="X37" s="9">
        <f>IF(OR(Inputs!$C$27=TRUE,Inputs!$C$27="TRUE",Inputs!$C$27=1),1,0)*(Inputs!$C$51*(115*EXP(-(((0)-25)^2)/(4.5^2))+70*EXP(-(((0)+38)^2)/(7^2))*(0.55+0.45*SIN(2*PI()*(A37)/45))+24*SIN(2*PI()*(0)/9+(A37)/18)*EXP(-(((0)+5)^2)/(22^2))+18*SIN(2*PI()*(A37)/70))+Inputs!$C$28*EXP(-(((A37)-Inputs!$C$29)^2)/(2*Inputs!$C$31^2))*EXP(-(((0)-Inputs!$C$30)^2)/(2*Inputs!$C$32^2))+-Inputs!$C$33*EXP(-(((((A37)-Inputs!$C$34)^2)+(((0)-Inputs!$C$35)^2))/(2*Inputs!$C$36^2)))+Inputs!$C$37*(0.55*SIN(2*PI()*(A37)/Inputs!$C$39)+0.35*COS(2*PI()*(0)/Inputs!$C$40)+0.2*SIN(2*PI()*((A37)+(0))/(0.5*(Inputs!$C$39+Inputs!$C$40))))+Inputs!$C$38*SIN(2*PI()*(A37)/Inputs!$C$39)*SIN(2*PI()*(0)/Inputs!$C$40)+-Inputs!$C$41*EXP(-(((0)-Inputs!$C$43)^2)/(2*Inputs!$C$44^2))*EXP(-(((A37)-Inputs!$C$42)^2)/(2*Inputs!$C$45^2))+Inputs!$C$48*(0.7*(0.45*SIN(2*PI()*(((A37)/Inputs!$C$49)+Inputs!$C$47*0.137))+0.35*COS(2*PI()*(((0)/Inputs!$C$50)+Inputs!$C$47*0.173))+0.2*SIN(2*PI()*(((A37)+(0))/(0.5*(Inputs!$C$49+Inputs!$C$50))+Inputs!$C$47*0.097)))+0.3*(2*((SIN(((A37)*12.9898+(0)*78.233+Inputs!$C$47*37.719))*43758.5453)-INT((SIN(((A37)*12.9898+(0)*78.233+Inputs!$C$47*37.719))*43758.5453)))-1)))</f>
        <v/>
      </c>
      <c r="Y37" s="9">
        <f>IF(OR(Inputs!$C$27=TRUE,Inputs!$C$27="TRUE",Inputs!$C$27=1),1,0)*(Inputs!$C$51*(115*EXP(-(((Inputs!$C$6)-25)^2)/(4.5^2))+70*EXP(-(((Inputs!$C$6)+38)^2)/(7^2))*(0.55+0.45*SIN(2*PI()*(A37)/45))+24*SIN(2*PI()*(Inputs!$C$6)/9+(A37)/18)*EXP(-(((Inputs!$C$6)+5)^2)/(22^2))+18*SIN(2*PI()*(A37)/70))+Inputs!$C$28*EXP(-(((A37)-Inputs!$C$29)^2)/(2*Inputs!$C$31^2))*EXP(-(((Inputs!$C$6)-Inputs!$C$30)^2)/(2*Inputs!$C$32^2))+-Inputs!$C$33*EXP(-(((((A37)-Inputs!$C$34)^2)+(((Inputs!$C$6)-Inputs!$C$35)^2))/(2*Inputs!$C$36^2)))+Inputs!$C$37*(0.55*SIN(2*PI()*(A37)/Inputs!$C$39)+0.35*COS(2*PI()*(Inputs!$C$6)/Inputs!$C$40)+0.2*SIN(2*PI()*((A37)+(Inputs!$C$6))/(0.5*(Inputs!$C$39+Inputs!$C$40))))+Inputs!$C$38*SIN(2*PI()*(A37)/Inputs!$C$39)*SIN(2*PI()*(Inputs!$C$6)/Inputs!$C$40)+-Inputs!$C$41*EXP(-(((Inputs!$C$6)-Inputs!$C$43)^2)/(2*Inputs!$C$44^2))*EXP(-(((A37)-Inputs!$C$42)^2)/(2*Inputs!$C$45^2))+Inputs!$C$48*(0.7*(0.45*SIN(2*PI()*(((A37)/Inputs!$C$49)+Inputs!$C$47*0.137))+0.35*COS(2*PI()*(((Inputs!$C$6)/Inputs!$C$50)+Inputs!$C$47*0.173))+0.2*SIN(2*PI()*(((A37)+(Inputs!$C$6))/(0.5*(Inputs!$C$49+Inputs!$C$50))+Inputs!$C$47*0.097)))+0.3*(2*((SIN(((A37)*12.9898+(Inputs!$C$6)*78.233+Inputs!$C$47*37.719))*43758.5453)-INT((SIN(((A37)*12.9898+(Inputs!$C$6)*78.233+Inputs!$C$47*37.719))*43758.5453)))-1)))</f>
        <v/>
      </c>
      <c r="Z37" s="9">
        <f>B37-X37/1000</f>
        <v/>
      </c>
      <c r="AA37" s="9">
        <f>SQRT((Inputs!$C$52+B37)^2+(Inputs!$C$52+Y37/1000)^2-2*(Inputs!$C$52+B37)*(Inputs!$C$52+Y37/1000)*COS(SQRT(A37^2+Inputs!$C$6^2)/Inputs!$C$52))</f>
        <v/>
      </c>
      <c r="AB37" s="9">
        <f>(AA37-Z37)*1000</f>
        <v/>
      </c>
      <c r="AC37" s="9">
        <f>AB37/Inputs!$C$12</f>
        <v/>
      </c>
      <c r="AD37" s="9">
        <f>2*AB37/Inputs!$C$21*1000000</f>
        <v/>
      </c>
      <c r="AE37" s="9">
        <f>DEGREES(ATAN(H37/(B37-Y37/1000)))</f>
        <v/>
      </c>
      <c r="AF37" s="9">
        <f>DEGREES((2*PI()/Inputs!$C$13)*Inputs!$C$15*SIN(RADIANS(AE37)))</f>
        <v/>
      </c>
      <c r="AG37" s="9">
        <f>(Z37/AA37)^4</f>
        <v/>
      </c>
      <c r="AH37" s="9">
        <f>10*LOG10(AG37)</f>
        <v/>
      </c>
      <c r="AI37" s="9">
        <f>AC37-F37</f>
        <v/>
      </c>
      <c r="AJ37" s="9">
        <f>AD37-G37</f>
        <v/>
      </c>
      <c r="AK37" s="9">
        <f>Y37-X37</f>
        <v/>
      </c>
      <c r="AL37" s="9">
        <f>1000*(AA38-AA36)/(A38-A36)*Inputs!$C$11</f>
        <v/>
      </c>
      <c r="AM37" s="9">
        <f>-2*AL37/Inputs!$C$13</f>
        <v/>
      </c>
      <c r="AN37" s="9">
        <f>-2*AL37/Inputs!$C$14</f>
        <v/>
      </c>
      <c r="AO37" s="9">
        <f>ABS(AM37)</f>
        <v/>
      </c>
      <c r="AP37" s="9">
        <f>ABS(AN37)</f>
        <v/>
      </c>
      <c r="AQ37" s="9">
        <f>IF(OR(Inputs!$C$27=TRUE,Inputs!$C$27="TRUE",Inputs!$C$27=1),Inputs!$C$46/Inputs!$C$12,0)</f>
        <v/>
      </c>
      <c r="AR37" s="9">
        <f>AC37-AQ37</f>
        <v/>
      </c>
      <c r="AS37" s="9">
        <f>AC37+AQ37</f>
        <v/>
      </c>
    </row>
    <row r="38">
      <c r="A38" s="9">
        <f>Inputs!$C$7+36*(Inputs!$C$8-Inputs!$C$7)/240</f>
        <v/>
      </c>
      <c r="B38" s="9">
        <f>Inputs!$C$5+Inputs!$C$9*(A38/Inputs!$C$10)^2</f>
        <v/>
      </c>
      <c r="C38" s="9">
        <f>B38</f>
        <v/>
      </c>
      <c r="D38" s="9">
        <f>SQRT((Inputs!$C$52+B38)^2+Inputs!$C$52^2-2*(Inputs!$C$52+B38)*Inputs!$C$52*COS(SQRT(A38^2+Inputs!$C$6^2)/Inputs!$C$52))</f>
        <v/>
      </c>
      <c r="E38" s="9">
        <f>(D38-C38)*1000</f>
        <v/>
      </c>
      <c r="F38" s="9">
        <f>E38/Inputs!$C$12</f>
        <v/>
      </c>
      <c r="G38" s="9">
        <f>2*E38/Inputs!$C$21*1000000</f>
        <v/>
      </c>
      <c r="H38" s="9">
        <f>SQRT(A38^2+Inputs!$C$6^2)</f>
        <v/>
      </c>
      <c r="I38" s="9">
        <f>DEGREES(ATAN(H38/B38))</f>
        <v/>
      </c>
      <c r="J38" s="9">
        <f>DEGREES((2*PI()/Inputs!$C$13)*Inputs!$C$15*SIN(RADIANS(I38)))</f>
        <v/>
      </c>
      <c r="K38" s="9">
        <f>(C38/D38)^4</f>
        <v/>
      </c>
      <c r="L38" s="9">
        <f>10*LOG10(K38)</f>
        <v/>
      </c>
      <c r="M38" s="9">
        <f>2*(Inputs!$C$9/(Inputs!$C$10^2))*A38</f>
        <v/>
      </c>
      <c r="N38" s="9">
        <f>M38*Inputs!$C$11</f>
        <v/>
      </c>
      <c r="O38" s="9">
        <f>1000*(D39-D37)/(A39-A37)*Inputs!$C$11</f>
        <v/>
      </c>
      <c r="P38" s="9">
        <f>-2*O38/Inputs!$C$13</f>
        <v/>
      </c>
      <c r="Q38" s="9">
        <f>-2*O38/Inputs!$C$14</f>
        <v/>
      </c>
      <c r="R38" s="9">
        <f>F38-Inputs!$C$16/2</f>
        <v/>
      </c>
      <c r="S38" s="9">
        <f>F38+Inputs!$C$16/2</f>
        <v/>
      </c>
      <c r="T38" s="9">
        <f>F38-Inputs!$C$17/2</f>
        <v/>
      </c>
      <c r="U38" s="9">
        <f>F38+Inputs!$C$17/2</f>
        <v/>
      </c>
      <c r="V38" s="9">
        <f>ABS(P38)</f>
        <v/>
      </c>
      <c r="W38" s="9">
        <f>ABS(Q38)</f>
        <v/>
      </c>
      <c r="X38" s="9">
        <f>IF(OR(Inputs!$C$27=TRUE,Inputs!$C$27="TRUE",Inputs!$C$27=1),1,0)*(Inputs!$C$51*(115*EXP(-(((0)-25)^2)/(4.5^2))+70*EXP(-(((0)+38)^2)/(7^2))*(0.55+0.45*SIN(2*PI()*(A38)/45))+24*SIN(2*PI()*(0)/9+(A38)/18)*EXP(-(((0)+5)^2)/(22^2))+18*SIN(2*PI()*(A38)/70))+Inputs!$C$28*EXP(-(((A38)-Inputs!$C$29)^2)/(2*Inputs!$C$31^2))*EXP(-(((0)-Inputs!$C$30)^2)/(2*Inputs!$C$32^2))+-Inputs!$C$33*EXP(-(((((A38)-Inputs!$C$34)^2)+(((0)-Inputs!$C$35)^2))/(2*Inputs!$C$36^2)))+Inputs!$C$37*(0.55*SIN(2*PI()*(A38)/Inputs!$C$39)+0.35*COS(2*PI()*(0)/Inputs!$C$40)+0.2*SIN(2*PI()*((A38)+(0))/(0.5*(Inputs!$C$39+Inputs!$C$40))))+Inputs!$C$38*SIN(2*PI()*(A38)/Inputs!$C$39)*SIN(2*PI()*(0)/Inputs!$C$40)+-Inputs!$C$41*EXP(-(((0)-Inputs!$C$43)^2)/(2*Inputs!$C$44^2))*EXP(-(((A38)-Inputs!$C$42)^2)/(2*Inputs!$C$45^2))+Inputs!$C$48*(0.7*(0.45*SIN(2*PI()*(((A38)/Inputs!$C$49)+Inputs!$C$47*0.137))+0.35*COS(2*PI()*(((0)/Inputs!$C$50)+Inputs!$C$47*0.173))+0.2*SIN(2*PI()*(((A38)+(0))/(0.5*(Inputs!$C$49+Inputs!$C$50))+Inputs!$C$47*0.097)))+0.3*(2*((SIN(((A38)*12.9898+(0)*78.233+Inputs!$C$47*37.719))*43758.5453)-INT((SIN(((A38)*12.9898+(0)*78.233+Inputs!$C$47*37.719))*43758.5453)))-1)))</f>
        <v/>
      </c>
      <c r="Y38" s="9">
        <f>IF(OR(Inputs!$C$27=TRUE,Inputs!$C$27="TRUE",Inputs!$C$27=1),1,0)*(Inputs!$C$51*(115*EXP(-(((Inputs!$C$6)-25)^2)/(4.5^2))+70*EXP(-(((Inputs!$C$6)+38)^2)/(7^2))*(0.55+0.45*SIN(2*PI()*(A38)/45))+24*SIN(2*PI()*(Inputs!$C$6)/9+(A38)/18)*EXP(-(((Inputs!$C$6)+5)^2)/(22^2))+18*SIN(2*PI()*(A38)/70))+Inputs!$C$28*EXP(-(((A38)-Inputs!$C$29)^2)/(2*Inputs!$C$31^2))*EXP(-(((Inputs!$C$6)-Inputs!$C$30)^2)/(2*Inputs!$C$32^2))+-Inputs!$C$33*EXP(-(((((A38)-Inputs!$C$34)^2)+(((Inputs!$C$6)-Inputs!$C$35)^2))/(2*Inputs!$C$36^2)))+Inputs!$C$37*(0.55*SIN(2*PI()*(A38)/Inputs!$C$39)+0.35*COS(2*PI()*(Inputs!$C$6)/Inputs!$C$40)+0.2*SIN(2*PI()*((A38)+(Inputs!$C$6))/(0.5*(Inputs!$C$39+Inputs!$C$40))))+Inputs!$C$38*SIN(2*PI()*(A38)/Inputs!$C$39)*SIN(2*PI()*(Inputs!$C$6)/Inputs!$C$40)+-Inputs!$C$41*EXP(-(((Inputs!$C$6)-Inputs!$C$43)^2)/(2*Inputs!$C$44^2))*EXP(-(((A38)-Inputs!$C$42)^2)/(2*Inputs!$C$45^2))+Inputs!$C$48*(0.7*(0.45*SIN(2*PI()*(((A38)/Inputs!$C$49)+Inputs!$C$47*0.137))+0.35*COS(2*PI()*(((Inputs!$C$6)/Inputs!$C$50)+Inputs!$C$47*0.173))+0.2*SIN(2*PI()*(((A38)+(Inputs!$C$6))/(0.5*(Inputs!$C$49+Inputs!$C$50))+Inputs!$C$47*0.097)))+0.3*(2*((SIN(((A38)*12.9898+(Inputs!$C$6)*78.233+Inputs!$C$47*37.719))*43758.5453)-INT((SIN(((A38)*12.9898+(Inputs!$C$6)*78.233+Inputs!$C$47*37.719))*43758.5453)))-1)))</f>
        <v/>
      </c>
      <c r="Z38" s="9">
        <f>B38-X38/1000</f>
        <v/>
      </c>
      <c r="AA38" s="9">
        <f>SQRT((Inputs!$C$52+B38)^2+(Inputs!$C$52+Y38/1000)^2-2*(Inputs!$C$52+B38)*(Inputs!$C$52+Y38/1000)*COS(SQRT(A38^2+Inputs!$C$6^2)/Inputs!$C$52))</f>
        <v/>
      </c>
      <c r="AB38" s="9">
        <f>(AA38-Z38)*1000</f>
        <v/>
      </c>
      <c r="AC38" s="9">
        <f>AB38/Inputs!$C$12</f>
        <v/>
      </c>
      <c r="AD38" s="9">
        <f>2*AB38/Inputs!$C$21*1000000</f>
        <v/>
      </c>
      <c r="AE38" s="9">
        <f>DEGREES(ATAN(H38/(B38-Y38/1000)))</f>
        <v/>
      </c>
      <c r="AF38" s="9">
        <f>DEGREES((2*PI()/Inputs!$C$13)*Inputs!$C$15*SIN(RADIANS(AE38)))</f>
        <v/>
      </c>
      <c r="AG38" s="9">
        <f>(Z38/AA38)^4</f>
        <v/>
      </c>
      <c r="AH38" s="9">
        <f>10*LOG10(AG38)</f>
        <v/>
      </c>
      <c r="AI38" s="9">
        <f>AC38-F38</f>
        <v/>
      </c>
      <c r="AJ38" s="9">
        <f>AD38-G38</f>
        <v/>
      </c>
      <c r="AK38" s="9">
        <f>Y38-X38</f>
        <v/>
      </c>
      <c r="AL38" s="9">
        <f>1000*(AA39-AA37)/(A39-A37)*Inputs!$C$11</f>
        <v/>
      </c>
      <c r="AM38" s="9">
        <f>-2*AL38/Inputs!$C$13</f>
        <v/>
      </c>
      <c r="AN38" s="9">
        <f>-2*AL38/Inputs!$C$14</f>
        <v/>
      </c>
      <c r="AO38" s="9">
        <f>ABS(AM38)</f>
        <v/>
      </c>
      <c r="AP38" s="9">
        <f>ABS(AN38)</f>
        <v/>
      </c>
      <c r="AQ38" s="9">
        <f>IF(OR(Inputs!$C$27=TRUE,Inputs!$C$27="TRUE",Inputs!$C$27=1),Inputs!$C$46/Inputs!$C$12,0)</f>
        <v/>
      </c>
      <c r="AR38" s="9">
        <f>AC38-AQ38</f>
        <v/>
      </c>
      <c r="AS38" s="9">
        <f>AC38+AQ38</f>
        <v/>
      </c>
    </row>
    <row r="39">
      <c r="A39" s="9">
        <f>Inputs!$C$7+37*(Inputs!$C$8-Inputs!$C$7)/240</f>
        <v/>
      </c>
      <c r="B39" s="9">
        <f>Inputs!$C$5+Inputs!$C$9*(A39/Inputs!$C$10)^2</f>
        <v/>
      </c>
      <c r="C39" s="9">
        <f>B39</f>
        <v/>
      </c>
      <c r="D39" s="9">
        <f>SQRT((Inputs!$C$52+B39)^2+Inputs!$C$52^2-2*(Inputs!$C$52+B39)*Inputs!$C$52*COS(SQRT(A39^2+Inputs!$C$6^2)/Inputs!$C$52))</f>
        <v/>
      </c>
      <c r="E39" s="9">
        <f>(D39-C39)*1000</f>
        <v/>
      </c>
      <c r="F39" s="9">
        <f>E39/Inputs!$C$12</f>
        <v/>
      </c>
      <c r="G39" s="9">
        <f>2*E39/Inputs!$C$21*1000000</f>
        <v/>
      </c>
      <c r="H39" s="9">
        <f>SQRT(A39^2+Inputs!$C$6^2)</f>
        <v/>
      </c>
      <c r="I39" s="9">
        <f>DEGREES(ATAN(H39/B39))</f>
        <v/>
      </c>
      <c r="J39" s="9">
        <f>DEGREES((2*PI()/Inputs!$C$13)*Inputs!$C$15*SIN(RADIANS(I39)))</f>
        <v/>
      </c>
      <c r="K39" s="9">
        <f>(C39/D39)^4</f>
        <v/>
      </c>
      <c r="L39" s="9">
        <f>10*LOG10(K39)</f>
        <v/>
      </c>
      <c r="M39" s="9">
        <f>2*(Inputs!$C$9/(Inputs!$C$10^2))*A39</f>
        <v/>
      </c>
      <c r="N39" s="9">
        <f>M39*Inputs!$C$11</f>
        <v/>
      </c>
      <c r="O39" s="9">
        <f>1000*(D40-D38)/(A40-A38)*Inputs!$C$11</f>
        <v/>
      </c>
      <c r="P39" s="9">
        <f>-2*O39/Inputs!$C$13</f>
        <v/>
      </c>
      <c r="Q39" s="9">
        <f>-2*O39/Inputs!$C$14</f>
        <v/>
      </c>
      <c r="R39" s="9">
        <f>F39-Inputs!$C$16/2</f>
        <v/>
      </c>
      <c r="S39" s="9">
        <f>F39+Inputs!$C$16/2</f>
        <v/>
      </c>
      <c r="T39" s="9">
        <f>F39-Inputs!$C$17/2</f>
        <v/>
      </c>
      <c r="U39" s="9">
        <f>F39+Inputs!$C$17/2</f>
        <v/>
      </c>
      <c r="V39" s="9">
        <f>ABS(P39)</f>
        <v/>
      </c>
      <c r="W39" s="9">
        <f>ABS(Q39)</f>
        <v/>
      </c>
      <c r="X39" s="9">
        <f>IF(OR(Inputs!$C$27=TRUE,Inputs!$C$27="TRUE",Inputs!$C$27=1),1,0)*(Inputs!$C$51*(115*EXP(-(((0)-25)^2)/(4.5^2))+70*EXP(-(((0)+38)^2)/(7^2))*(0.55+0.45*SIN(2*PI()*(A39)/45))+24*SIN(2*PI()*(0)/9+(A39)/18)*EXP(-(((0)+5)^2)/(22^2))+18*SIN(2*PI()*(A39)/70))+Inputs!$C$28*EXP(-(((A39)-Inputs!$C$29)^2)/(2*Inputs!$C$31^2))*EXP(-(((0)-Inputs!$C$30)^2)/(2*Inputs!$C$32^2))+-Inputs!$C$33*EXP(-(((((A39)-Inputs!$C$34)^2)+(((0)-Inputs!$C$35)^2))/(2*Inputs!$C$36^2)))+Inputs!$C$37*(0.55*SIN(2*PI()*(A39)/Inputs!$C$39)+0.35*COS(2*PI()*(0)/Inputs!$C$40)+0.2*SIN(2*PI()*((A39)+(0))/(0.5*(Inputs!$C$39+Inputs!$C$40))))+Inputs!$C$38*SIN(2*PI()*(A39)/Inputs!$C$39)*SIN(2*PI()*(0)/Inputs!$C$40)+-Inputs!$C$41*EXP(-(((0)-Inputs!$C$43)^2)/(2*Inputs!$C$44^2))*EXP(-(((A39)-Inputs!$C$42)^2)/(2*Inputs!$C$45^2))+Inputs!$C$48*(0.7*(0.45*SIN(2*PI()*(((A39)/Inputs!$C$49)+Inputs!$C$47*0.137))+0.35*COS(2*PI()*(((0)/Inputs!$C$50)+Inputs!$C$47*0.173))+0.2*SIN(2*PI()*(((A39)+(0))/(0.5*(Inputs!$C$49+Inputs!$C$50))+Inputs!$C$47*0.097)))+0.3*(2*((SIN(((A39)*12.9898+(0)*78.233+Inputs!$C$47*37.719))*43758.5453)-INT((SIN(((A39)*12.9898+(0)*78.233+Inputs!$C$47*37.719))*43758.5453)))-1)))</f>
        <v/>
      </c>
      <c r="Y39" s="9">
        <f>IF(OR(Inputs!$C$27=TRUE,Inputs!$C$27="TRUE",Inputs!$C$27=1),1,0)*(Inputs!$C$51*(115*EXP(-(((Inputs!$C$6)-25)^2)/(4.5^2))+70*EXP(-(((Inputs!$C$6)+38)^2)/(7^2))*(0.55+0.45*SIN(2*PI()*(A39)/45))+24*SIN(2*PI()*(Inputs!$C$6)/9+(A39)/18)*EXP(-(((Inputs!$C$6)+5)^2)/(22^2))+18*SIN(2*PI()*(A39)/70))+Inputs!$C$28*EXP(-(((A39)-Inputs!$C$29)^2)/(2*Inputs!$C$31^2))*EXP(-(((Inputs!$C$6)-Inputs!$C$30)^2)/(2*Inputs!$C$32^2))+-Inputs!$C$33*EXP(-(((((A39)-Inputs!$C$34)^2)+(((Inputs!$C$6)-Inputs!$C$35)^2))/(2*Inputs!$C$36^2)))+Inputs!$C$37*(0.55*SIN(2*PI()*(A39)/Inputs!$C$39)+0.35*COS(2*PI()*(Inputs!$C$6)/Inputs!$C$40)+0.2*SIN(2*PI()*((A39)+(Inputs!$C$6))/(0.5*(Inputs!$C$39+Inputs!$C$40))))+Inputs!$C$38*SIN(2*PI()*(A39)/Inputs!$C$39)*SIN(2*PI()*(Inputs!$C$6)/Inputs!$C$40)+-Inputs!$C$41*EXP(-(((Inputs!$C$6)-Inputs!$C$43)^2)/(2*Inputs!$C$44^2))*EXP(-(((A39)-Inputs!$C$42)^2)/(2*Inputs!$C$45^2))+Inputs!$C$48*(0.7*(0.45*SIN(2*PI()*(((A39)/Inputs!$C$49)+Inputs!$C$47*0.137))+0.35*COS(2*PI()*(((Inputs!$C$6)/Inputs!$C$50)+Inputs!$C$47*0.173))+0.2*SIN(2*PI()*(((A39)+(Inputs!$C$6))/(0.5*(Inputs!$C$49+Inputs!$C$50))+Inputs!$C$47*0.097)))+0.3*(2*((SIN(((A39)*12.9898+(Inputs!$C$6)*78.233+Inputs!$C$47*37.719))*43758.5453)-INT((SIN(((A39)*12.9898+(Inputs!$C$6)*78.233+Inputs!$C$47*37.719))*43758.5453)))-1)))</f>
        <v/>
      </c>
      <c r="Z39" s="9">
        <f>B39-X39/1000</f>
        <v/>
      </c>
      <c r="AA39" s="9">
        <f>SQRT((Inputs!$C$52+B39)^2+(Inputs!$C$52+Y39/1000)^2-2*(Inputs!$C$52+B39)*(Inputs!$C$52+Y39/1000)*COS(SQRT(A39^2+Inputs!$C$6^2)/Inputs!$C$52))</f>
        <v/>
      </c>
      <c r="AB39" s="9">
        <f>(AA39-Z39)*1000</f>
        <v/>
      </c>
      <c r="AC39" s="9">
        <f>AB39/Inputs!$C$12</f>
        <v/>
      </c>
      <c r="AD39" s="9">
        <f>2*AB39/Inputs!$C$21*1000000</f>
        <v/>
      </c>
      <c r="AE39" s="9">
        <f>DEGREES(ATAN(H39/(B39-Y39/1000)))</f>
        <v/>
      </c>
      <c r="AF39" s="9">
        <f>DEGREES((2*PI()/Inputs!$C$13)*Inputs!$C$15*SIN(RADIANS(AE39)))</f>
        <v/>
      </c>
      <c r="AG39" s="9">
        <f>(Z39/AA39)^4</f>
        <v/>
      </c>
      <c r="AH39" s="9">
        <f>10*LOG10(AG39)</f>
        <v/>
      </c>
      <c r="AI39" s="9">
        <f>AC39-F39</f>
        <v/>
      </c>
      <c r="AJ39" s="9">
        <f>AD39-G39</f>
        <v/>
      </c>
      <c r="AK39" s="9">
        <f>Y39-X39</f>
        <v/>
      </c>
      <c r="AL39" s="9">
        <f>1000*(AA40-AA38)/(A40-A38)*Inputs!$C$11</f>
        <v/>
      </c>
      <c r="AM39" s="9">
        <f>-2*AL39/Inputs!$C$13</f>
        <v/>
      </c>
      <c r="AN39" s="9">
        <f>-2*AL39/Inputs!$C$14</f>
        <v/>
      </c>
      <c r="AO39" s="9">
        <f>ABS(AM39)</f>
        <v/>
      </c>
      <c r="AP39" s="9">
        <f>ABS(AN39)</f>
        <v/>
      </c>
      <c r="AQ39" s="9">
        <f>IF(OR(Inputs!$C$27=TRUE,Inputs!$C$27="TRUE",Inputs!$C$27=1),Inputs!$C$46/Inputs!$C$12,0)</f>
        <v/>
      </c>
      <c r="AR39" s="9">
        <f>AC39-AQ39</f>
        <v/>
      </c>
      <c r="AS39" s="9">
        <f>AC39+AQ39</f>
        <v/>
      </c>
    </row>
    <row r="40">
      <c r="A40" s="9">
        <f>Inputs!$C$7+38*(Inputs!$C$8-Inputs!$C$7)/240</f>
        <v/>
      </c>
      <c r="B40" s="9">
        <f>Inputs!$C$5+Inputs!$C$9*(A40/Inputs!$C$10)^2</f>
        <v/>
      </c>
      <c r="C40" s="9">
        <f>B40</f>
        <v/>
      </c>
      <c r="D40" s="9">
        <f>SQRT((Inputs!$C$52+B40)^2+Inputs!$C$52^2-2*(Inputs!$C$52+B40)*Inputs!$C$52*COS(SQRT(A40^2+Inputs!$C$6^2)/Inputs!$C$52))</f>
        <v/>
      </c>
      <c r="E40" s="9">
        <f>(D40-C40)*1000</f>
        <v/>
      </c>
      <c r="F40" s="9">
        <f>E40/Inputs!$C$12</f>
        <v/>
      </c>
      <c r="G40" s="9">
        <f>2*E40/Inputs!$C$21*1000000</f>
        <v/>
      </c>
      <c r="H40" s="9">
        <f>SQRT(A40^2+Inputs!$C$6^2)</f>
        <v/>
      </c>
      <c r="I40" s="9">
        <f>DEGREES(ATAN(H40/B40))</f>
        <v/>
      </c>
      <c r="J40" s="9">
        <f>DEGREES((2*PI()/Inputs!$C$13)*Inputs!$C$15*SIN(RADIANS(I40)))</f>
        <v/>
      </c>
      <c r="K40" s="9">
        <f>(C40/D40)^4</f>
        <v/>
      </c>
      <c r="L40" s="9">
        <f>10*LOG10(K40)</f>
        <v/>
      </c>
      <c r="M40" s="9">
        <f>2*(Inputs!$C$9/(Inputs!$C$10^2))*A40</f>
        <v/>
      </c>
      <c r="N40" s="9">
        <f>M40*Inputs!$C$11</f>
        <v/>
      </c>
      <c r="O40" s="9">
        <f>1000*(D41-D39)/(A41-A39)*Inputs!$C$11</f>
        <v/>
      </c>
      <c r="P40" s="9">
        <f>-2*O40/Inputs!$C$13</f>
        <v/>
      </c>
      <c r="Q40" s="9">
        <f>-2*O40/Inputs!$C$14</f>
        <v/>
      </c>
      <c r="R40" s="9">
        <f>F40-Inputs!$C$16/2</f>
        <v/>
      </c>
      <c r="S40" s="9">
        <f>F40+Inputs!$C$16/2</f>
        <v/>
      </c>
      <c r="T40" s="9">
        <f>F40-Inputs!$C$17/2</f>
        <v/>
      </c>
      <c r="U40" s="9">
        <f>F40+Inputs!$C$17/2</f>
        <v/>
      </c>
      <c r="V40" s="9">
        <f>ABS(P40)</f>
        <v/>
      </c>
      <c r="W40" s="9">
        <f>ABS(Q40)</f>
        <v/>
      </c>
      <c r="X40" s="9">
        <f>IF(OR(Inputs!$C$27=TRUE,Inputs!$C$27="TRUE",Inputs!$C$27=1),1,0)*(Inputs!$C$51*(115*EXP(-(((0)-25)^2)/(4.5^2))+70*EXP(-(((0)+38)^2)/(7^2))*(0.55+0.45*SIN(2*PI()*(A40)/45))+24*SIN(2*PI()*(0)/9+(A40)/18)*EXP(-(((0)+5)^2)/(22^2))+18*SIN(2*PI()*(A40)/70))+Inputs!$C$28*EXP(-(((A40)-Inputs!$C$29)^2)/(2*Inputs!$C$31^2))*EXP(-(((0)-Inputs!$C$30)^2)/(2*Inputs!$C$32^2))+-Inputs!$C$33*EXP(-(((((A40)-Inputs!$C$34)^2)+(((0)-Inputs!$C$35)^2))/(2*Inputs!$C$36^2)))+Inputs!$C$37*(0.55*SIN(2*PI()*(A40)/Inputs!$C$39)+0.35*COS(2*PI()*(0)/Inputs!$C$40)+0.2*SIN(2*PI()*((A40)+(0))/(0.5*(Inputs!$C$39+Inputs!$C$40))))+Inputs!$C$38*SIN(2*PI()*(A40)/Inputs!$C$39)*SIN(2*PI()*(0)/Inputs!$C$40)+-Inputs!$C$41*EXP(-(((0)-Inputs!$C$43)^2)/(2*Inputs!$C$44^2))*EXP(-(((A40)-Inputs!$C$42)^2)/(2*Inputs!$C$45^2))+Inputs!$C$48*(0.7*(0.45*SIN(2*PI()*(((A40)/Inputs!$C$49)+Inputs!$C$47*0.137))+0.35*COS(2*PI()*(((0)/Inputs!$C$50)+Inputs!$C$47*0.173))+0.2*SIN(2*PI()*(((A40)+(0))/(0.5*(Inputs!$C$49+Inputs!$C$50))+Inputs!$C$47*0.097)))+0.3*(2*((SIN(((A40)*12.9898+(0)*78.233+Inputs!$C$47*37.719))*43758.5453)-INT((SIN(((A40)*12.9898+(0)*78.233+Inputs!$C$47*37.719))*43758.5453)))-1)))</f>
        <v/>
      </c>
      <c r="Y40" s="9">
        <f>IF(OR(Inputs!$C$27=TRUE,Inputs!$C$27="TRUE",Inputs!$C$27=1),1,0)*(Inputs!$C$51*(115*EXP(-(((Inputs!$C$6)-25)^2)/(4.5^2))+70*EXP(-(((Inputs!$C$6)+38)^2)/(7^2))*(0.55+0.45*SIN(2*PI()*(A40)/45))+24*SIN(2*PI()*(Inputs!$C$6)/9+(A40)/18)*EXP(-(((Inputs!$C$6)+5)^2)/(22^2))+18*SIN(2*PI()*(A40)/70))+Inputs!$C$28*EXP(-(((A40)-Inputs!$C$29)^2)/(2*Inputs!$C$31^2))*EXP(-(((Inputs!$C$6)-Inputs!$C$30)^2)/(2*Inputs!$C$32^2))+-Inputs!$C$33*EXP(-(((((A40)-Inputs!$C$34)^2)+(((Inputs!$C$6)-Inputs!$C$35)^2))/(2*Inputs!$C$36^2)))+Inputs!$C$37*(0.55*SIN(2*PI()*(A40)/Inputs!$C$39)+0.35*COS(2*PI()*(Inputs!$C$6)/Inputs!$C$40)+0.2*SIN(2*PI()*((A40)+(Inputs!$C$6))/(0.5*(Inputs!$C$39+Inputs!$C$40))))+Inputs!$C$38*SIN(2*PI()*(A40)/Inputs!$C$39)*SIN(2*PI()*(Inputs!$C$6)/Inputs!$C$40)+-Inputs!$C$41*EXP(-(((Inputs!$C$6)-Inputs!$C$43)^2)/(2*Inputs!$C$44^2))*EXP(-(((A40)-Inputs!$C$42)^2)/(2*Inputs!$C$45^2))+Inputs!$C$48*(0.7*(0.45*SIN(2*PI()*(((A40)/Inputs!$C$49)+Inputs!$C$47*0.137))+0.35*COS(2*PI()*(((Inputs!$C$6)/Inputs!$C$50)+Inputs!$C$47*0.173))+0.2*SIN(2*PI()*(((A40)+(Inputs!$C$6))/(0.5*(Inputs!$C$49+Inputs!$C$50))+Inputs!$C$47*0.097)))+0.3*(2*((SIN(((A40)*12.9898+(Inputs!$C$6)*78.233+Inputs!$C$47*37.719))*43758.5453)-INT((SIN(((A40)*12.9898+(Inputs!$C$6)*78.233+Inputs!$C$47*37.719))*43758.5453)))-1)))</f>
        <v/>
      </c>
      <c r="Z40" s="9">
        <f>B40-X40/1000</f>
        <v/>
      </c>
      <c r="AA40" s="9">
        <f>SQRT((Inputs!$C$52+B40)^2+(Inputs!$C$52+Y40/1000)^2-2*(Inputs!$C$52+B40)*(Inputs!$C$52+Y40/1000)*COS(SQRT(A40^2+Inputs!$C$6^2)/Inputs!$C$52))</f>
        <v/>
      </c>
      <c r="AB40" s="9">
        <f>(AA40-Z40)*1000</f>
        <v/>
      </c>
      <c r="AC40" s="9">
        <f>AB40/Inputs!$C$12</f>
        <v/>
      </c>
      <c r="AD40" s="9">
        <f>2*AB40/Inputs!$C$21*1000000</f>
        <v/>
      </c>
      <c r="AE40" s="9">
        <f>DEGREES(ATAN(H40/(B40-Y40/1000)))</f>
        <v/>
      </c>
      <c r="AF40" s="9">
        <f>DEGREES((2*PI()/Inputs!$C$13)*Inputs!$C$15*SIN(RADIANS(AE40)))</f>
        <v/>
      </c>
      <c r="AG40" s="9">
        <f>(Z40/AA40)^4</f>
        <v/>
      </c>
      <c r="AH40" s="9">
        <f>10*LOG10(AG40)</f>
        <v/>
      </c>
      <c r="AI40" s="9">
        <f>AC40-F40</f>
        <v/>
      </c>
      <c r="AJ40" s="9">
        <f>AD40-G40</f>
        <v/>
      </c>
      <c r="AK40" s="9">
        <f>Y40-X40</f>
        <v/>
      </c>
      <c r="AL40" s="9">
        <f>1000*(AA41-AA39)/(A41-A39)*Inputs!$C$11</f>
        <v/>
      </c>
      <c r="AM40" s="9">
        <f>-2*AL40/Inputs!$C$13</f>
        <v/>
      </c>
      <c r="AN40" s="9">
        <f>-2*AL40/Inputs!$C$14</f>
        <v/>
      </c>
      <c r="AO40" s="9">
        <f>ABS(AM40)</f>
        <v/>
      </c>
      <c r="AP40" s="9">
        <f>ABS(AN40)</f>
        <v/>
      </c>
      <c r="AQ40" s="9">
        <f>IF(OR(Inputs!$C$27=TRUE,Inputs!$C$27="TRUE",Inputs!$C$27=1),Inputs!$C$46/Inputs!$C$12,0)</f>
        <v/>
      </c>
      <c r="AR40" s="9">
        <f>AC40-AQ40</f>
        <v/>
      </c>
      <c r="AS40" s="9">
        <f>AC40+AQ40</f>
        <v/>
      </c>
    </row>
    <row r="41">
      <c r="A41" s="9">
        <f>Inputs!$C$7+39*(Inputs!$C$8-Inputs!$C$7)/240</f>
        <v/>
      </c>
      <c r="B41" s="9">
        <f>Inputs!$C$5+Inputs!$C$9*(A41/Inputs!$C$10)^2</f>
        <v/>
      </c>
      <c r="C41" s="9">
        <f>B41</f>
        <v/>
      </c>
      <c r="D41" s="9">
        <f>SQRT((Inputs!$C$52+B41)^2+Inputs!$C$52^2-2*(Inputs!$C$52+B41)*Inputs!$C$52*COS(SQRT(A41^2+Inputs!$C$6^2)/Inputs!$C$52))</f>
        <v/>
      </c>
      <c r="E41" s="9">
        <f>(D41-C41)*1000</f>
        <v/>
      </c>
      <c r="F41" s="9">
        <f>E41/Inputs!$C$12</f>
        <v/>
      </c>
      <c r="G41" s="9">
        <f>2*E41/Inputs!$C$21*1000000</f>
        <v/>
      </c>
      <c r="H41" s="9">
        <f>SQRT(A41^2+Inputs!$C$6^2)</f>
        <v/>
      </c>
      <c r="I41" s="9">
        <f>DEGREES(ATAN(H41/B41))</f>
        <v/>
      </c>
      <c r="J41" s="9">
        <f>DEGREES((2*PI()/Inputs!$C$13)*Inputs!$C$15*SIN(RADIANS(I41)))</f>
        <v/>
      </c>
      <c r="K41" s="9">
        <f>(C41/D41)^4</f>
        <v/>
      </c>
      <c r="L41" s="9">
        <f>10*LOG10(K41)</f>
        <v/>
      </c>
      <c r="M41" s="9">
        <f>2*(Inputs!$C$9/(Inputs!$C$10^2))*A41</f>
        <v/>
      </c>
      <c r="N41" s="9">
        <f>M41*Inputs!$C$11</f>
        <v/>
      </c>
      <c r="O41" s="9">
        <f>1000*(D42-D40)/(A42-A40)*Inputs!$C$11</f>
        <v/>
      </c>
      <c r="P41" s="9">
        <f>-2*O41/Inputs!$C$13</f>
        <v/>
      </c>
      <c r="Q41" s="9">
        <f>-2*O41/Inputs!$C$14</f>
        <v/>
      </c>
      <c r="R41" s="9">
        <f>F41-Inputs!$C$16/2</f>
        <v/>
      </c>
      <c r="S41" s="9">
        <f>F41+Inputs!$C$16/2</f>
        <v/>
      </c>
      <c r="T41" s="9">
        <f>F41-Inputs!$C$17/2</f>
        <v/>
      </c>
      <c r="U41" s="9">
        <f>F41+Inputs!$C$17/2</f>
        <v/>
      </c>
      <c r="V41" s="9">
        <f>ABS(P41)</f>
        <v/>
      </c>
      <c r="W41" s="9">
        <f>ABS(Q41)</f>
        <v/>
      </c>
      <c r="X41" s="9">
        <f>IF(OR(Inputs!$C$27=TRUE,Inputs!$C$27="TRUE",Inputs!$C$27=1),1,0)*(Inputs!$C$51*(115*EXP(-(((0)-25)^2)/(4.5^2))+70*EXP(-(((0)+38)^2)/(7^2))*(0.55+0.45*SIN(2*PI()*(A41)/45))+24*SIN(2*PI()*(0)/9+(A41)/18)*EXP(-(((0)+5)^2)/(22^2))+18*SIN(2*PI()*(A41)/70))+Inputs!$C$28*EXP(-(((A41)-Inputs!$C$29)^2)/(2*Inputs!$C$31^2))*EXP(-(((0)-Inputs!$C$30)^2)/(2*Inputs!$C$32^2))+-Inputs!$C$33*EXP(-(((((A41)-Inputs!$C$34)^2)+(((0)-Inputs!$C$35)^2))/(2*Inputs!$C$36^2)))+Inputs!$C$37*(0.55*SIN(2*PI()*(A41)/Inputs!$C$39)+0.35*COS(2*PI()*(0)/Inputs!$C$40)+0.2*SIN(2*PI()*((A41)+(0))/(0.5*(Inputs!$C$39+Inputs!$C$40))))+Inputs!$C$38*SIN(2*PI()*(A41)/Inputs!$C$39)*SIN(2*PI()*(0)/Inputs!$C$40)+-Inputs!$C$41*EXP(-(((0)-Inputs!$C$43)^2)/(2*Inputs!$C$44^2))*EXP(-(((A41)-Inputs!$C$42)^2)/(2*Inputs!$C$45^2))+Inputs!$C$48*(0.7*(0.45*SIN(2*PI()*(((A41)/Inputs!$C$49)+Inputs!$C$47*0.137))+0.35*COS(2*PI()*(((0)/Inputs!$C$50)+Inputs!$C$47*0.173))+0.2*SIN(2*PI()*(((A41)+(0))/(0.5*(Inputs!$C$49+Inputs!$C$50))+Inputs!$C$47*0.097)))+0.3*(2*((SIN(((A41)*12.9898+(0)*78.233+Inputs!$C$47*37.719))*43758.5453)-INT((SIN(((A41)*12.9898+(0)*78.233+Inputs!$C$47*37.719))*43758.5453)))-1)))</f>
        <v/>
      </c>
      <c r="Y41" s="9">
        <f>IF(OR(Inputs!$C$27=TRUE,Inputs!$C$27="TRUE",Inputs!$C$27=1),1,0)*(Inputs!$C$51*(115*EXP(-(((Inputs!$C$6)-25)^2)/(4.5^2))+70*EXP(-(((Inputs!$C$6)+38)^2)/(7^2))*(0.55+0.45*SIN(2*PI()*(A41)/45))+24*SIN(2*PI()*(Inputs!$C$6)/9+(A41)/18)*EXP(-(((Inputs!$C$6)+5)^2)/(22^2))+18*SIN(2*PI()*(A41)/70))+Inputs!$C$28*EXP(-(((A41)-Inputs!$C$29)^2)/(2*Inputs!$C$31^2))*EXP(-(((Inputs!$C$6)-Inputs!$C$30)^2)/(2*Inputs!$C$32^2))+-Inputs!$C$33*EXP(-(((((A41)-Inputs!$C$34)^2)+(((Inputs!$C$6)-Inputs!$C$35)^2))/(2*Inputs!$C$36^2)))+Inputs!$C$37*(0.55*SIN(2*PI()*(A41)/Inputs!$C$39)+0.35*COS(2*PI()*(Inputs!$C$6)/Inputs!$C$40)+0.2*SIN(2*PI()*((A41)+(Inputs!$C$6))/(0.5*(Inputs!$C$39+Inputs!$C$40))))+Inputs!$C$38*SIN(2*PI()*(A41)/Inputs!$C$39)*SIN(2*PI()*(Inputs!$C$6)/Inputs!$C$40)+-Inputs!$C$41*EXP(-(((Inputs!$C$6)-Inputs!$C$43)^2)/(2*Inputs!$C$44^2))*EXP(-(((A41)-Inputs!$C$42)^2)/(2*Inputs!$C$45^2))+Inputs!$C$48*(0.7*(0.45*SIN(2*PI()*(((A41)/Inputs!$C$49)+Inputs!$C$47*0.137))+0.35*COS(2*PI()*(((Inputs!$C$6)/Inputs!$C$50)+Inputs!$C$47*0.173))+0.2*SIN(2*PI()*(((A41)+(Inputs!$C$6))/(0.5*(Inputs!$C$49+Inputs!$C$50))+Inputs!$C$47*0.097)))+0.3*(2*((SIN(((A41)*12.9898+(Inputs!$C$6)*78.233+Inputs!$C$47*37.719))*43758.5453)-INT((SIN(((A41)*12.9898+(Inputs!$C$6)*78.233+Inputs!$C$47*37.719))*43758.5453)))-1)))</f>
        <v/>
      </c>
      <c r="Z41" s="9">
        <f>B41-X41/1000</f>
        <v/>
      </c>
      <c r="AA41" s="9">
        <f>SQRT((Inputs!$C$52+B41)^2+(Inputs!$C$52+Y41/1000)^2-2*(Inputs!$C$52+B41)*(Inputs!$C$52+Y41/1000)*COS(SQRT(A41^2+Inputs!$C$6^2)/Inputs!$C$52))</f>
        <v/>
      </c>
      <c r="AB41" s="9">
        <f>(AA41-Z41)*1000</f>
        <v/>
      </c>
      <c r="AC41" s="9">
        <f>AB41/Inputs!$C$12</f>
        <v/>
      </c>
      <c r="AD41" s="9">
        <f>2*AB41/Inputs!$C$21*1000000</f>
        <v/>
      </c>
      <c r="AE41" s="9">
        <f>DEGREES(ATAN(H41/(B41-Y41/1000)))</f>
        <v/>
      </c>
      <c r="AF41" s="9">
        <f>DEGREES((2*PI()/Inputs!$C$13)*Inputs!$C$15*SIN(RADIANS(AE41)))</f>
        <v/>
      </c>
      <c r="AG41" s="9">
        <f>(Z41/AA41)^4</f>
        <v/>
      </c>
      <c r="AH41" s="9">
        <f>10*LOG10(AG41)</f>
        <v/>
      </c>
      <c r="AI41" s="9">
        <f>AC41-F41</f>
        <v/>
      </c>
      <c r="AJ41" s="9">
        <f>AD41-G41</f>
        <v/>
      </c>
      <c r="AK41" s="9">
        <f>Y41-X41</f>
        <v/>
      </c>
      <c r="AL41" s="9">
        <f>1000*(AA42-AA40)/(A42-A40)*Inputs!$C$11</f>
        <v/>
      </c>
      <c r="AM41" s="9">
        <f>-2*AL41/Inputs!$C$13</f>
        <v/>
      </c>
      <c r="AN41" s="9">
        <f>-2*AL41/Inputs!$C$14</f>
        <v/>
      </c>
      <c r="AO41" s="9">
        <f>ABS(AM41)</f>
        <v/>
      </c>
      <c r="AP41" s="9">
        <f>ABS(AN41)</f>
        <v/>
      </c>
      <c r="AQ41" s="9">
        <f>IF(OR(Inputs!$C$27=TRUE,Inputs!$C$27="TRUE",Inputs!$C$27=1),Inputs!$C$46/Inputs!$C$12,0)</f>
        <v/>
      </c>
      <c r="AR41" s="9">
        <f>AC41-AQ41</f>
        <v/>
      </c>
      <c r="AS41" s="9">
        <f>AC41+AQ41</f>
        <v/>
      </c>
    </row>
    <row r="42">
      <c r="A42" s="9">
        <f>Inputs!$C$7+40*(Inputs!$C$8-Inputs!$C$7)/240</f>
        <v/>
      </c>
      <c r="B42" s="9">
        <f>Inputs!$C$5+Inputs!$C$9*(A42/Inputs!$C$10)^2</f>
        <v/>
      </c>
      <c r="C42" s="9">
        <f>B42</f>
        <v/>
      </c>
      <c r="D42" s="9">
        <f>SQRT((Inputs!$C$52+B42)^2+Inputs!$C$52^2-2*(Inputs!$C$52+B42)*Inputs!$C$52*COS(SQRT(A42^2+Inputs!$C$6^2)/Inputs!$C$52))</f>
        <v/>
      </c>
      <c r="E42" s="9">
        <f>(D42-C42)*1000</f>
        <v/>
      </c>
      <c r="F42" s="9">
        <f>E42/Inputs!$C$12</f>
        <v/>
      </c>
      <c r="G42" s="9">
        <f>2*E42/Inputs!$C$21*1000000</f>
        <v/>
      </c>
      <c r="H42" s="9">
        <f>SQRT(A42^2+Inputs!$C$6^2)</f>
        <v/>
      </c>
      <c r="I42" s="9">
        <f>DEGREES(ATAN(H42/B42))</f>
        <v/>
      </c>
      <c r="J42" s="9">
        <f>DEGREES((2*PI()/Inputs!$C$13)*Inputs!$C$15*SIN(RADIANS(I42)))</f>
        <v/>
      </c>
      <c r="K42" s="9">
        <f>(C42/D42)^4</f>
        <v/>
      </c>
      <c r="L42" s="9">
        <f>10*LOG10(K42)</f>
        <v/>
      </c>
      <c r="M42" s="9">
        <f>2*(Inputs!$C$9/(Inputs!$C$10^2))*A42</f>
        <v/>
      </c>
      <c r="N42" s="9">
        <f>M42*Inputs!$C$11</f>
        <v/>
      </c>
      <c r="O42" s="9">
        <f>1000*(D43-D41)/(A43-A41)*Inputs!$C$11</f>
        <v/>
      </c>
      <c r="P42" s="9">
        <f>-2*O42/Inputs!$C$13</f>
        <v/>
      </c>
      <c r="Q42" s="9">
        <f>-2*O42/Inputs!$C$14</f>
        <v/>
      </c>
      <c r="R42" s="9">
        <f>F42-Inputs!$C$16/2</f>
        <v/>
      </c>
      <c r="S42" s="9">
        <f>F42+Inputs!$C$16/2</f>
        <v/>
      </c>
      <c r="T42" s="9">
        <f>F42-Inputs!$C$17/2</f>
        <v/>
      </c>
      <c r="U42" s="9">
        <f>F42+Inputs!$C$17/2</f>
        <v/>
      </c>
      <c r="V42" s="9">
        <f>ABS(P42)</f>
        <v/>
      </c>
      <c r="W42" s="9">
        <f>ABS(Q42)</f>
        <v/>
      </c>
      <c r="X42" s="9">
        <f>IF(OR(Inputs!$C$27=TRUE,Inputs!$C$27="TRUE",Inputs!$C$27=1),1,0)*(Inputs!$C$51*(115*EXP(-(((0)-25)^2)/(4.5^2))+70*EXP(-(((0)+38)^2)/(7^2))*(0.55+0.45*SIN(2*PI()*(A42)/45))+24*SIN(2*PI()*(0)/9+(A42)/18)*EXP(-(((0)+5)^2)/(22^2))+18*SIN(2*PI()*(A42)/70))+Inputs!$C$28*EXP(-(((A42)-Inputs!$C$29)^2)/(2*Inputs!$C$31^2))*EXP(-(((0)-Inputs!$C$30)^2)/(2*Inputs!$C$32^2))+-Inputs!$C$33*EXP(-(((((A42)-Inputs!$C$34)^2)+(((0)-Inputs!$C$35)^2))/(2*Inputs!$C$36^2)))+Inputs!$C$37*(0.55*SIN(2*PI()*(A42)/Inputs!$C$39)+0.35*COS(2*PI()*(0)/Inputs!$C$40)+0.2*SIN(2*PI()*((A42)+(0))/(0.5*(Inputs!$C$39+Inputs!$C$40))))+Inputs!$C$38*SIN(2*PI()*(A42)/Inputs!$C$39)*SIN(2*PI()*(0)/Inputs!$C$40)+-Inputs!$C$41*EXP(-(((0)-Inputs!$C$43)^2)/(2*Inputs!$C$44^2))*EXP(-(((A42)-Inputs!$C$42)^2)/(2*Inputs!$C$45^2))+Inputs!$C$48*(0.7*(0.45*SIN(2*PI()*(((A42)/Inputs!$C$49)+Inputs!$C$47*0.137))+0.35*COS(2*PI()*(((0)/Inputs!$C$50)+Inputs!$C$47*0.173))+0.2*SIN(2*PI()*(((A42)+(0))/(0.5*(Inputs!$C$49+Inputs!$C$50))+Inputs!$C$47*0.097)))+0.3*(2*((SIN(((A42)*12.9898+(0)*78.233+Inputs!$C$47*37.719))*43758.5453)-INT((SIN(((A42)*12.9898+(0)*78.233+Inputs!$C$47*37.719))*43758.5453)))-1)))</f>
        <v/>
      </c>
      <c r="Y42" s="9">
        <f>IF(OR(Inputs!$C$27=TRUE,Inputs!$C$27="TRUE",Inputs!$C$27=1),1,0)*(Inputs!$C$51*(115*EXP(-(((Inputs!$C$6)-25)^2)/(4.5^2))+70*EXP(-(((Inputs!$C$6)+38)^2)/(7^2))*(0.55+0.45*SIN(2*PI()*(A42)/45))+24*SIN(2*PI()*(Inputs!$C$6)/9+(A42)/18)*EXP(-(((Inputs!$C$6)+5)^2)/(22^2))+18*SIN(2*PI()*(A42)/70))+Inputs!$C$28*EXP(-(((A42)-Inputs!$C$29)^2)/(2*Inputs!$C$31^2))*EXP(-(((Inputs!$C$6)-Inputs!$C$30)^2)/(2*Inputs!$C$32^2))+-Inputs!$C$33*EXP(-(((((A42)-Inputs!$C$34)^2)+(((Inputs!$C$6)-Inputs!$C$35)^2))/(2*Inputs!$C$36^2)))+Inputs!$C$37*(0.55*SIN(2*PI()*(A42)/Inputs!$C$39)+0.35*COS(2*PI()*(Inputs!$C$6)/Inputs!$C$40)+0.2*SIN(2*PI()*((A42)+(Inputs!$C$6))/(0.5*(Inputs!$C$39+Inputs!$C$40))))+Inputs!$C$38*SIN(2*PI()*(A42)/Inputs!$C$39)*SIN(2*PI()*(Inputs!$C$6)/Inputs!$C$40)+-Inputs!$C$41*EXP(-(((Inputs!$C$6)-Inputs!$C$43)^2)/(2*Inputs!$C$44^2))*EXP(-(((A42)-Inputs!$C$42)^2)/(2*Inputs!$C$45^2))+Inputs!$C$48*(0.7*(0.45*SIN(2*PI()*(((A42)/Inputs!$C$49)+Inputs!$C$47*0.137))+0.35*COS(2*PI()*(((Inputs!$C$6)/Inputs!$C$50)+Inputs!$C$47*0.173))+0.2*SIN(2*PI()*(((A42)+(Inputs!$C$6))/(0.5*(Inputs!$C$49+Inputs!$C$50))+Inputs!$C$47*0.097)))+0.3*(2*((SIN(((A42)*12.9898+(Inputs!$C$6)*78.233+Inputs!$C$47*37.719))*43758.5453)-INT((SIN(((A42)*12.9898+(Inputs!$C$6)*78.233+Inputs!$C$47*37.719))*43758.5453)))-1)))</f>
        <v/>
      </c>
      <c r="Z42" s="9">
        <f>B42-X42/1000</f>
        <v/>
      </c>
      <c r="AA42" s="9">
        <f>SQRT((Inputs!$C$52+B42)^2+(Inputs!$C$52+Y42/1000)^2-2*(Inputs!$C$52+B42)*(Inputs!$C$52+Y42/1000)*COS(SQRT(A42^2+Inputs!$C$6^2)/Inputs!$C$52))</f>
        <v/>
      </c>
      <c r="AB42" s="9">
        <f>(AA42-Z42)*1000</f>
        <v/>
      </c>
      <c r="AC42" s="9">
        <f>AB42/Inputs!$C$12</f>
        <v/>
      </c>
      <c r="AD42" s="9">
        <f>2*AB42/Inputs!$C$21*1000000</f>
        <v/>
      </c>
      <c r="AE42" s="9">
        <f>DEGREES(ATAN(H42/(B42-Y42/1000)))</f>
        <v/>
      </c>
      <c r="AF42" s="9">
        <f>DEGREES((2*PI()/Inputs!$C$13)*Inputs!$C$15*SIN(RADIANS(AE42)))</f>
        <v/>
      </c>
      <c r="AG42" s="9">
        <f>(Z42/AA42)^4</f>
        <v/>
      </c>
      <c r="AH42" s="9">
        <f>10*LOG10(AG42)</f>
        <v/>
      </c>
      <c r="AI42" s="9">
        <f>AC42-F42</f>
        <v/>
      </c>
      <c r="AJ42" s="9">
        <f>AD42-G42</f>
        <v/>
      </c>
      <c r="AK42" s="9">
        <f>Y42-X42</f>
        <v/>
      </c>
      <c r="AL42" s="9">
        <f>1000*(AA43-AA41)/(A43-A41)*Inputs!$C$11</f>
        <v/>
      </c>
      <c r="AM42" s="9">
        <f>-2*AL42/Inputs!$C$13</f>
        <v/>
      </c>
      <c r="AN42" s="9">
        <f>-2*AL42/Inputs!$C$14</f>
        <v/>
      </c>
      <c r="AO42" s="9">
        <f>ABS(AM42)</f>
        <v/>
      </c>
      <c r="AP42" s="9">
        <f>ABS(AN42)</f>
        <v/>
      </c>
      <c r="AQ42" s="9">
        <f>IF(OR(Inputs!$C$27=TRUE,Inputs!$C$27="TRUE",Inputs!$C$27=1),Inputs!$C$46/Inputs!$C$12,0)</f>
        <v/>
      </c>
      <c r="AR42" s="9">
        <f>AC42-AQ42</f>
        <v/>
      </c>
      <c r="AS42" s="9">
        <f>AC42+AQ42</f>
        <v/>
      </c>
    </row>
    <row r="43">
      <c r="A43" s="9">
        <f>Inputs!$C$7+41*(Inputs!$C$8-Inputs!$C$7)/240</f>
        <v/>
      </c>
      <c r="B43" s="9">
        <f>Inputs!$C$5+Inputs!$C$9*(A43/Inputs!$C$10)^2</f>
        <v/>
      </c>
      <c r="C43" s="9">
        <f>B43</f>
        <v/>
      </c>
      <c r="D43" s="9">
        <f>SQRT((Inputs!$C$52+B43)^2+Inputs!$C$52^2-2*(Inputs!$C$52+B43)*Inputs!$C$52*COS(SQRT(A43^2+Inputs!$C$6^2)/Inputs!$C$52))</f>
        <v/>
      </c>
      <c r="E43" s="9">
        <f>(D43-C43)*1000</f>
        <v/>
      </c>
      <c r="F43" s="9">
        <f>E43/Inputs!$C$12</f>
        <v/>
      </c>
      <c r="G43" s="9">
        <f>2*E43/Inputs!$C$21*1000000</f>
        <v/>
      </c>
      <c r="H43" s="9">
        <f>SQRT(A43^2+Inputs!$C$6^2)</f>
        <v/>
      </c>
      <c r="I43" s="9">
        <f>DEGREES(ATAN(H43/B43))</f>
        <v/>
      </c>
      <c r="J43" s="9">
        <f>DEGREES((2*PI()/Inputs!$C$13)*Inputs!$C$15*SIN(RADIANS(I43)))</f>
        <v/>
      </c>
      <c r="K43" s="9">
        <f>(C43/D43)^4</f>
        <v/>
      </c>
      <c r="L43" s="9">
        <f>10*LOG10(K43)</f>
        <v/>
      </c>
      <c r="M43" s="9">
        <f>2*(Inputs!$C$9/(Inputs!$C$10^2))*A43</f>
        <v/>
      </c>
      <c r="N43" s="9">
        <f>M43*Inputs!$C$11</f>
        <v/>
      </c>
      <c r="O43" s="9">
        <f>1000*(D44-D42)/(A44-A42)*Inputs!$C$11</f>
        <v/>
      </c>
      <c r="P43" s="9">
        <f>-2*O43/Inputs!$C$13</f>
        <v/>
      </c>
      <c r="Q43" s="9">
        <f>-2*O43/Inputs!$C$14</f>
        <v/>
      </c>
      <c r="R43" s="9">
        <f>F43-Inputs!$C$16/2</f>
        <v/>
      </c>
      <c r="S43" s="9">
        <f>F43+Inputs!$C$16/2</f>
        <v/>
      </c>
      <c r="T43" s="9">
        <f>F43-Inputs!$C$17/2</f>
        <v/>
      </c>
      <c r="U43" s="9">
        <f>F43+Inputs!$C$17/2</f>
        <v/>
      </c>
      <c r="V43" s="9">
        <f>ABS(P43)</f>
        <v/>
      </c>
      <c r="W43" s="9">
        <f>ABS(Q43)</f>
        <v/>
      </c>
      <c r="X43" s="9">
        <f>IF(OR(Inputs!$C$27=TRUE,Inputs!$C$27="TRUE",Inputs!$C$27=1),1,0)*(Inputs!$C$51*(115*EXP(-(((0)-25)^2)/(4.5^2))+70*EXP(-(((0)+38)^2)/(7^2))*(0.55+0.45*SIN(2*PI()*(A43)/45))+24*SIN(2*PI()*(0)/9+(A43)/18)*EXP(-(((0)+5)^2)/(22^2))+18*SIN(2*PI()*(A43)/70))+Inputs!$C$28*EXP(-(((A43)-Inputs!$C$29)^2)/(2*Inputs!$C$31^2))*EXP(-(((0)-Inputs!$C$30)^2)/(2*Inputs!$C$32^2))+-Inputs!$C$33*EXP(-(((((A43)-Inputs!$C$34)^2)+(((0)-Inputs!$C$35)^2))/(2*Inputs!$C$36^2)))+Inputs!$C$37*(0.55*SIN(2*PI()*(A43)/Inputs!$C$39)+0.35*COS(2*PI()*(0)/Inputs!$C$40)+0.2*SIN(2*PI()*((A43)+(0))/(0.5*(Inputs!$C$39+Inputs!$C$40))))+Inputs!$C$38*SIN(2*PI()*(A43)/Inputs!$C$39)*SIN(2*PI()*(0)/Inputs!$C$40)+-Inputs!$C$41*EXP(-(((0)-Inputs!$C$43)^2)/(2*Inputs!$C$44^2))*EXP(-(((A43)-Inputs!$C$42)^2)/(2*Inputs!$C$45^2))+Inputs!$C$48*(0.7*(0.45*SIN(2*PI()*(((A43)/Inputs!$C$49)+Inputs!$C$47*0.137))+0.35*COS(2*PI()*(((0)/Inputs!$C$50)+Inputs!$C$47*0.173))+0.2*SIN(2*PI()*(((A43)+(0))/(0.5*(Inputs!$C$49+Inputs!$C$50))+Inputs!$C$47*0.097)))+0.3*(2*((SIN(((A43)*12.9898+(0)*78.233+Inputs!$C$47*37.719))*43758.5453)-INT((SIN(((A43)*12.9898+(0)*78.233+Inputs!$C$47*37.719))*43758.5453)))-1)))</f>
        <v/>
      </c>
      <c r="Y43" s="9">
        <f>IF(OR(Inputs!$C$27=TRUE,Inputs!$C$27="TRUE",Inputs!$C$27=1),1,0)*(Inputs!$C$51*(115*EXP(-(((Inputs!$C$6)-25)^2)/(4.5^2))+70*EXP(-(((Inputs!$C$6)+38)^2)/(7^2))*(0.55+0.45*SIN(2*PI()*(A43)/45))+24*SIN(2*PI()*(Inputs!$C$6)/9+(A43)/18)*EXP(-(((Inputs!$C$6)+5)^2)/(22^2))+18*SIN(2*PI()*(A43)/70))+Inputs!$C$28*EXP(-(((A43)-Inputs!$C$29)^2)/(2*Inputs!$C$31^2))*EXP(-(((Inputs!$C$6)-Inputs!$C$30)^2)/(2*Inputs!$C$32^2))+-Inputs!$C$33*EXP(-(((((A43)-Inputs!$C$34)^2)+(((Inputs!$C$6)-Inputs!$C$35)^2))/(2*Inputs!$C$36^2)))+Inputs!$C$37*(0.55*SIN(2*PI()*(A43)/Inputs!$C$39)+0.35*COS(2*PI()*(Inputs!$C$6)/Inputs!$C$40)+0.2*SIN(2*PI()*((A43)+(Inputs!$C$6))/(0.5*(Inputs!$C$39+Inputs!$C$40))))+Inputs!$C$38*SIN(2*PI()*(A43)/Inputs!$C$39)*SIN(2*PI()*(Inputs!$C$6)/Inputs!$C$40)+-Inputs!$C$41*EXP(-(((Inputs!$C$6)-Inputs!$C$43)^2)/(2*Inputs!$C$44^2))*EXP(-(((A43)-Inputs!$C$42)^2)/(2*Inputs!$C$45^2))+Inputs!$C$48*(0.7*(0.45*SIN(2*PI()*(((A43)/Inputs!$C$49)+Inputs!$C$47*0.137))+0.35*COS(2*PI()*(((Inputs!$C$6)/Inputs!$C$50)+Inputs!$C$47*0.173))+0.2*SIN(2*PI()*(((A43)+(Inputs!$C$6))/(0.5*(Inputs!$C$49+Inputs!$C$50))+Inputs!$C$47*0.097)))+0.3*(2*((SIN(((A43)*12.9898+(Inputs!$C$6)*78.233+Inputs!$C$47*37.719))*43758.5453)-INT((SIN(((A43)*12.9898+(Inputs!$C$6)*78.233+Inputs!$C$47*37.719))*43758.5453)))-1)))</f>
        <v/>
      </c>
      <c r="Z43" s="9">
        <f>B43-X43/1000</f>
        <v/>
      </c>
      <c r="AA43" s="9">
        <f>SQRT((Inputs!$C$52+B43)^2+(Inputs!$C$52+Y43/1000)^2-2*(Inputs!$C$52+B43)*(Inputs!$C$52+Y43/1000)*COS(SQRT(A43^2+Inputs!$C$6^2)/Inputs!$C$52))</f>
        <v/>
      </c>
      <c r="AB43" s="9">
        <f>(AA43-Z43)*1000</f>
        <v/>
      </c>
      <c r="AC43" s="9">
        <f>AB43/Inputs!$C$12</f>
        <v/>
      </c>
      <c r="AD43" s="9">
        <f>2*AB43/Inputs!$C$21*1000000</f>
        <v/>
      </c>
      <c r="AE43" s="9">
        <f>DEGREES(ATAN(H43/(B43-Y43/1000)))</f>
        <v/>
      </c>
      <c r="AF43" s="9">
        <f>DEGREES((2*PI()/Inputs!$C$13)*Inputs!$C$15*SIN(RADIANS(AE43)))</f>
        <v/>
      </c>
      <c r="AG43" s="9">
        <f>(Z43/AA43)^4</f>
        <v/>
      </c>
      <c r="AH43" s="9">
        <f>10*LOG10(AG43)</f>
        <v/>
      </c>
      <c r="AI43" s="9">
        <f>AC43-F43</f>
        <v/>
      </c>
      <c r="AJ43" s="9">
        <f>AD43-G43</f>
        <v/>
      </c>
      <c r="AK43" s="9">
        <f>Y43-X43</f>
        <v/>
      </c>
      <c r="AL43" s="9">
        <f>1000*(AA44-AA42)/(A44-A42)*Inputs!$C$11</f>
        <v/>
      </c>
      <c r="AM43" s="9">
        <f>-2*AL43/Inputs!$C$13</f>
        <v/>
      </c>
      <c r="AN43" s="9">
        <f>-2*AL43/Inputs!$C$14</f>
        <v/>
      </c>
      <c r="AO43" s="9">
        <f>ABS(AM43)</f>
        <v/>
      </c>
      <c r="AP43" s="9">
        <f>ABS(AN43)</f>
        <v/>
      </c>
      <c r="AQ43" s="9">
        <f>IF(OR(Inputs!$C$27=TRUE,Inputs!$C$27="TRUE",Inputs!$C$27=1),Inputs!$C$46/Inputs!$C$12,0)</f>
        <v/>
      </c>
      <c r="AR43" s="9">
        <f>AC43-AQ43</f>
        <v/>
      </c>
      <c r="AS43" s="9">
        <f>AC43+AQ43</f>
        <v/>
      </c>
    </row>
    <row r="44">
      <c r="A44" s="9">
        <f>Inputs!$C$7+42*(Inputs!$C$8-Inputs!$C$7)/240</f>
        <v/>
      </c>
      <c r="B44" s="9">
        <f>Inputs!$C$5+Inputs!$C$9*(A44/Inputs!$C$10)^2</f>
        <v/>
      </c>
      <c r="C44" s="9">
        <f>B44</f>
        <v/>
      </c>
      <c r="D44" s="9">
        <f>SQRT((Inputs!$C$52+B44)^2+Inputs!$C$52^2-2*(Inputs!$C$52+B44)*Inputs!$C$52*COS(SQRT(A44^2+Inputs!$C$6^2)/Inputs!$C$52))</f>
        <v/>
      </c>
      <c r="E44" s="9">
        <f>(D44-C44)*1000</f>
        <v/>
      </c>
      <c r="F44" s="9">
        <f>E44/Inputs!$C$12</f>
        <v/>
      </c>
      <c r="G44" s="9">
        <f>2*E44/Inputs!$C$21*1000000</f>
        <v/>
      </c>
      <c r="H44" s="9">
        <f>SQRT(A44^2+Inputs!$C$6^2)</f>
        <v/>
      </c>
      <c r="I44" s="9">
        <f>DEGREES(ATAN(H44/B44))</f>
        <v/>
      </c>
      <c r="J44" s="9">
        <f>DEGREES((2*PI()/Inputs!$C$13)*Inputs!$C$15*SIN(RADIANS(I44)))</f>
        <v/>
      </c>
      <c r="K44" s="9">
        <f>(C44/D44)^4</f>
        <v/>
      </c>
      <c r="L44" s="9">
        <f>10*LOG10(K44)</f>
        <v/>
      </c>
      <c r="M44" s="9">
        <f>2*(Inputs!$C$9/(Inputs!$C$10^2))*A44</f>
        <v/>
      </c>
      <c r="N44" s="9">
        <f>M44*Inputs!$C$11</f>
        <v/>
      </c>
      <c r="O44" s="9">
        <f>1000*(D45-D43)/(A45-A43)*Inputs!$C$11</f>
        <v/>
      </c>
      <c r="P44" s="9">
        <f>-2*O44/Inputs!$C$13</f>
        <v/>
      </c>
      <c r="Q44" s="9">
        <f>-2*O44/Inputs!$C$14</f>
        <v/>
      </c>
      <c r="R44" s="9">
        <f>F44-Inputs!$C$16/2</f>
        <v/>
      </c>
      <c r="S44" s="9">
        <f>F44+Inputs!$C$16/2</f>
        <v/>
      </c>
      <c r="T44" s="9">
        <f>F44-Inputs!$C$17/2</f>
        <v/>
      </c>
      <c r="U44" s="9">
        <f>F44+Inputs!$C$17/2</f>
        <v/>
      </c>
      <c r="V44" s="9">
        <f>ABS(P44)</f>
        <v/>
      </c>
      <c r="W44" s="9">
        <f>ABS(Q44)</f>
        <v/>
      </c>
      <c r="X44" s="9">
        <f>IF(OR(Inputs!$C$27=TRUE,Inputs!$C$27="TRUE",Inputs!$C$27=1),1,0)*(Inputs!$C$51*(115*EXP(-(((0)-25)^2)/(4.5^2))+70*EXP(-(((0)+38)^2)/(7^2))*(0.55+0.45*SIN(2*PI()*(A44)/45))+24*SIN(2*PI()*(0)/9+(A44)/18)*EXP(-(((0)+5)^2)/(22^2))+18*SIN(2*PI()*(A44)/70))+Inputs!$C$28*EXP(-(((A44)-Inputs!$C$29)^2)/(2*Inputs!$C$31^2))*EXP(-(((0)-Inputs!$C$30)^2)/(2*Inputs!$C$32^2))+-Inputs!$C$33*EXP(-(((((A44)-Inputs!$C$34)^2)+(((0)-Inputs!$C$35)^2))/(2*Inputs!$C$36^2)))+Inputs!$C$37*(0.55*SIN(2*PI()*(A44)/Inputs!$C$39)+0.35*COS(2*PI()*(0)/Inputs!$C$40)+0.2*SIN(2*PI()*((A44)+(0))/(0.5*(Inputs!$C$39+Inputs!$C$40))))+Inputs!$C$38*SIN(2*PI()*(A44)/Inputs!$C$39)*SIN(2*PI()*(0)/Inputs!$C$40)+-Inputs!$C$41*EXP(-(((0)-Inputs!$C$43)^2)/(2*Inputs!$C$44^2))*EXP(-(((A44)-Inputs!$C$42)^2)/(2*Inputs!$C$45^2))+Inputs!$C$48*(0.7*(0.45*SIN(2*PI()*(((A44)/Inputs!$C$49)+Inputs!$C$47*0.137))+0.35*COS(2*PI()*(((0)/Inputs!$C$50)+Inputs!$C$47*0.173))+0.2*SIN(2*PI()*(((A44)+(0))/(0.5*(Inputs!$C$49+Inputs!$C$50))+Inputs!$C$47*0.097)))+0.3*(2*((SIN(((A44)*12.9898+(0)*78.233+Inputs!$C$47*37.719))*43758.5453)-INT((SIN(((A44)*12.9898+(0)*78.233+Inputs!$C$47*37.719))*43758.5453)))-1)))</f>
        <v/>
      </c>
      <c r="Y44" s="9">
        <f>IF(OR(Inputs!$C$27=TRUE,Inputs!$C$27="TRUE",Inputs!$C$27=1),1,0)*(Inputs!$C$51*(115*EXP(-(((Inputs!$C$6)-25)^2)/(4.5^2))+70*EXP(-(((Inputs!$C$6)+38)^2)/(7^2))*(0.55+0.45*SIN(2*PI()*(A44)/45))+24*SIN(2*PI()*(Inputs!$C$6)/9+(A44)/18)*EXP(-(((Inputs!$C$6)+5)^2)/(22^2))+18*SIN(2*PI()*(A44)/70))+Inputs!$C$28*EXP(-(((A44)-Inputs!$C$29)^2)/(2*Inputs!$C$31^2))*EXP(-(((Inputs!$C$6)-Inputs!$C$30)^2)/(2*Inputs!$C$32^2))+-Inputs!$C$33*EXP(-(((((A44)-Inputs!$C$34)^2)+(((Inputs!$C$6)-Inputs!$C$35)^2))/(2*Inputs!$C$36^2)))+Inputs!$C$37*(0.55*SIN(2*PI()*(A44)/Inputs!$C$39)+0.35*COS(2*PI()*(Inputs!$C$6)/Inputs!$C$40)+0.2*SIN(2*PI()*((A44)+(Inputs!$C$6))/(0.5*(Inputs!$C$39+Inputs!$C$40))))+Inputs!$C$38*SIN(2*PI()*(A44)/Inputs!$C$39)*SIN(2*PI()*(Inputs!$C$6)/Inputs!$C$40)+-Inputs!$C$41*EXP(-(((Inputs!$C$6)-Inputs!$C$43)^2)/(2*Inputs!$C$44^2))*EXP(-(((A44)-Inputs!$C$42)^2)/(2*Inputs!$C$45^2))+Inputs!$C$48*(0.7*(0.45*SIN(2*PI()*(((A44)/Inputs!$C$49)+Inputs!$C$47*0.137))+0.35*COS(2*PI()*(((Inputs!$C$6)/Inputs!$C$50)+Inputs!$C$47*0.173))+0.2*SIN(2*PI()*(((A44)+(Inputs!$C$6))/(0.5*(Inputs!$C$49+Inputs!$C$50))+Inputs!$C$47*0.097)))+0.3*(2*((SIN(((A44)*12.9898+(Inputs!$C$6)*78.233+Inputs!$C$47*37.719))*43758.5453)-INT((SIN(((A44)*12.9898+(Inputs!$C$6)*78.233+Inputs!$C$47*37.719))*43758.5453)))-1)))</f>
        <v/>
      </c>
      <c r="Z44" s="9">
        <f>B44-X44/1000</f>
        <v/>
      </c>
      <c r="AA44" s="9">
        <f>SQRT((Inputs!$C$52+B44)^2+(Inputs!$C$52+Y44/1000)^2-2*(Inputs!$C$52+B44)*(Inputs!$C$52+Y44/1000)*COS(SQRT(A44^2+Inputs!$C$6^2)/Inputs!$C$52))</f>
        <v/>
      </c>
      <c r="AB44" s="9">
        <f>(AA44-Z44)*1000</f>
        <v/>
      </c>
      <c r="AC44" s="9">
        <f>AB44/Inputs!$C$12</f>
        <v/>
      </c>
      <c r="AD44" s="9">
        <f>2*AB44/Inputs!$C$21*1000000</f>
        <v/>
      </c>
      <c r="AE44" s="9">
        <f>DEGREES(ATAN(H44/(B44-Y44/1000)))</f>
        <v/>
      </c>
      <c r="AF44" s="9">
        <f>DEGREES((2*PI()/Inputs!$C$13)*Inputs!$C$15*SIN(RADIANS(AE44)))</f>
        <v/>
      </c>
      <c r="AG44" s="9">
        <f>(Z44/AA44)^4</f>
        <v/>
      </c>
      <c r="AH44" s="9">
        <f>10*LOG10(AG44)</f>
        <v/>
      </c>
      <c r="AI44" s="9">
        <f>AC44-F44</f>
        <v/>
      </c>
      <c r="AJ44" s="9">
        <f>AD44-G44</f>
        <v/>
      </c>
      <c r="AK44" s="9">
        <f>Y44-X44</f>
        <v/>
      </c>
      <c r="AL44" s="9">
        <f>1000*(AA45-AA43)/(A45-A43)*Inputs!$C$11</f>
        <v/>
      </c>
      <c r="AM44" s="9">
        <f>-2*AL44/Inputs!$C$13</f>
        <v/>
      </c>
      <c r="AN44" s="9">
        <f>-2*AL44/Inputs!$C$14</f>
        <v/>
      </c>
      <c r="AO44" s="9">
        <f>ABS(AM44)</f>
        <v/>
      </c>
      <c r="AP44" s="9">
        <f>ABS(AN44)</f>
        <v/>
      </c>
      <c r="AQ44" s="9">
        <f>IF(OR(Inputs!$C$27=TRUE,Inputs!$C$27="TRUE",Inputs!$C$27=1),Inputs!$C$46/Inputs!$C$12,0)</f>
        <v/>
      </c>
      <c r="AR44" s="9">
        <f>AC44-AQ44</f>
        <v/>
      </c>
      <c r="AS44" s="9">
        <f>AC44+AQ44</f>
        <v/>
      </c>
    </row>
    <row r="45">
      <c r="A45" s="9">
        <f>Inputs!$C$7+43*(Inputs!$C$8-Inputs!$C$7)/240</f>
        <v/>
      </c>
      <c r="B45" s="9">
        <f>Inputs!$C$5+Inputs!$C$9*(A45/Inputs!$C$10)^2</f>
        <v/>
      </c>
      <c r="C45" s="9">
        <f>B45</f>
        <v/>
      </c>
      <c r="D45" s="9">
        <f>SQRT((Inputs!$C$52+B45)^2+Inputs!$C$52^2-2*(Inputs!$C$52+B45)*Inputs!$C$52*COS(SQRT(A45^2+Inputs!$C$6^2)/Inputs!$C$52))</f>
        <v/>
      </c>
      <c r="E45" s="9">
        <f>(D45-C45)*1000</f>
        <v/>
      </c>
      <c r="F45" s="9">
        <f>E45/Inputs!$C$12</f>
        <v/>
      </c>
      <c r="G45" s="9">
        <f>2*E45/Inputs!$C$21*1000000</f>
        <v/>
      </c>
      <c r="H45" s="9">
        <f>SQRT(A45^2+Inputs!$C$6^2)</f>
        <v/>
      </c>
      <c r="I45" s="9">
        <f>DEGREES(ATAN(H45/B45))</f>
        <v/>
      </c>
      <c r="J45" s="9">
        <f>DEGREES((2*PI()/Inputs!$C$13)*Inputs!$C$15*SIN(RADIANS(I45)))</f>
        <v/>
      </c>
      <c r="K45" s="9">
        <f>(C45/D45)^4</f>
        <v/>
      </c>
      <c r="L45" s="9">
        <f>10*LOG10(K45)</f>
        <v/>
      </c>
      <c r="M45" s="9">
        <f>2*(Inputs!$C$9/(Inputs!$C$10^2))*A45</f>
        <v/>
      </c>
      <c r="N45" s="9">
        <f>M45*Inputs!$C$11</f>
        <v/>
      </c>
      <c r="O45" s="9">
        <f>1000*(D46-D44)/(A46-A44)*Inputs!$C$11</f>
        <v/>
      </c>
      <c r="P45" s="9">
        <f>-2*O45/Inputs!$C$13</f>
        <v/>
      </c>
      <c r="Q45" s="9">
        <f>-2*O45/Inputs!$C$14</f>
        <v/>
      </c>
      <c r="R45" s="9">
        <f>F45-Inputs!$C$16/2</f>
        <v/>
      </c>
      <c r="S45" s="9">
        <f>F45+Inputs!$C$16/2</f>
        <v/>
      </c>
      <c r="T45" s="9">
        <f>F45-Inputs!$C$17/2</f>
        <v/>
      </c>
      <c r="U45" s="9">
        <f>F45+Inputs!$C$17/2</f>
        <v/>
      </c>
      <c r="V45" s="9">
        <f>ABS(P45)</f>
        <v/>
      </c>
      <c r="W45" s="9">
        <f>ABS(Q45)</f>
        <v/>
      </c>
      <c r="X45" s="9">
        <f>IF(OR(Inputs!$C$27=TRUE,Inputs!$C$27="TRUE",Inputs!$C$27=1),1,0)*(Inputs!$C$51*(115*EXP(-(((0)-25)^2)/(4.5^2))+70*EXP(-(((0)+38)^2)/(7^2))*(0.55+0.45*SIN(2*PI()*(A45)/45))+24*SIN(2*PI()*(0)/9+(A45)/18)*EXP(-(((0)+5)^2)/(22^2))+18*SIN(2*PI()*(A45)/70))+Inputs!$C$28*EXP(-(((A45)-Inputs!$C$29)^2)/(2*Inputs!$C$31^2))*EXP(-(((0)-Inputs!$C$30)^2)/(2*Inputs!$C$32^2))+-Inputs!$C$33*EXP(-(((((A45)-Inputs!$C$34)^2)+(((0)-Inputs!$C$35)^2))/(2*Inputs!$C$36^2)))+Inputs!$C$37*(0.55*SIN(2*PI()*(A45)/Inputs!$C$39)+0.35*COS(2*PI()*(0)/Inputs!$C$40)+0.2*SIN(2*PI()*((A45)+(0))/(0.5*(Inputs!$C$39+Inputs!$C$40))))+Inputs!$C$38*SIN(2*PI()*(A45)/Inputs!$C$39)*SIN(2*PI()*(0)/Inputs!$C$40)+-Inputs!$C$41*EXP(-(((0)-Inputs!$C$43)^2)/(2*Inputs!$C$44^2))*EXP(-(((A45)-Inputs!$C$42)^2)/(2*Inputs!$C$45^2))+Inputs!$C$48*(0.7*(0.45*SIN(2*PI()*(((A45)/Inputs!$C$49)+Inputs!$C$47*0.137))+0.35*COS(2*PI()*(((0)/Inputs!$C$50)+Inputs!$C$47*0.173))+0.2*SIN(2*PI()*(((A45)+(0))/(0.5*(Inputs!$C$49+Inputs!$C$50))+Inputs!$C$47*0.097)))+0.3*(2*((SIN(((A45)*12.9898+(0)*78.233+Inputs!$C$47*37.719))*43758.5453)-INT((SIN(((A45)*12.9898+(0)*78.233+Inputs!$C$47*37.719))*43758.5453)))-1)))</f>
        <v/>
      </c>
      <c r="Y45" s="9">
        <f>IF(OR(Inputs!$C$27=TRUE,Inputs!$C$27="TRUE",Inputs!$C$27=1),1,0)*(Inputs!$C$51*(115*EXP(-(((Inputs!$C$6)-25)^2)/(4.5^2))+70*EXP(-(((Inputs!$C$6)+38)^2)/(7^2))*(0.55+0.45*SIN(2*PI()*(A45)/45))+24*SIN(2*PI()*(Inputs!$C$6)/9+(A45)/18)*EXP(-(((Inputs!$C$6)+5)^2)/(22^2))+18*SIN(2*PI()*(A45)/70))+Inputs!$C$28*EXP(-(((A45)-Inputs!$C$29)^2)/(2*Inputs!$C$31^2))*EXP(-(((Inputs!$C$6)-Inputs!$C$30)^2)/(2*Inputs!$C$32^2))+-Inputs!$C$33*EXP(-(((((A45)-Inputs!$C$34)^2)+(((Inputs!$C$6)-Inputs!$C$35)^2))/(2*Inputs!$C$36^2)))+Inputs!$C$37*(0.55*SIN(2*PI()*(A45)/Inputs!$C$39)+0.35*COS(2*PI()*(Inputs!$C$6)/Inputs!$C$40)+0.2*SIN(2*PI()*((A45)+(Inputs!$C$6))/(0.5*(Inputs!$C$39+Inputs!$C$40))))+Inputs!$C$38*SIN(2*PI()*(A45)/Inputs!$C$39)*SIN(2*PI()*(Inputs!$C$6)/Inputs!$C$40)+-Inputs!$C$41*EXP(-(((Inputs!$C$6)-Inputs!$C$43)^2)/(2*Inputs!$C$44^2))*EXP(-(((A45)-Inputs!$C$42)^2)/(2*Inputs!$C$45^2))+Inputs!$C$48*(0.7*(0.45*SIN(2*PI()*(((A45)/Inputs!$C$49)+Inputs!$C$47*0.137))+0.35*COS(2*PI()*(((Inputs!$C$6)/Inputs!$C$50)+Inputs!$C$47*0.173))+0.2*SIN(2*PI()*(((A45)+(Inputs!$C$6))/(0.5*(Inputs!$C$49+Inputs!$C$50))+Inputs!$C$47*0.097)))+0.3*(2*((SIN(((A45)*12.9898+(Inputs!$C$6)*78.233+Inputs!$C$47*37.719))*43758.5453)-INT((SIN(((A45)*12.9898+(Inputs!$C$6)*78.233+Inputs!$C$47*37.719))*43758.5453)))-1)))</f>
        <v/>
      </c>
      <c r="Z45" s="9">
        <f>B45-X45/1000</f>
        <v/>
      </c>
      <c r="AA45" s="9">
        <f>SQRT((Inputs!$C$52+B45)^2+(Inputs!$C$52+Y45/1000)^2-2*(Inputs!$C$52+B45)*(Inputs!$C$52+Y45/1000)*COS(SQRT(A45^2+Inputs!$C$6^2)/Inputs!$C$52))</f>
        <v/>
      </c>
      <c r="AB45" s="9">
        <f>(AA45-Z45)*1000</f>
        <v/>
      </c>
      <c r="AC45" s="9">
        <f>AB45/Inputs!$C$12</f>
        <v/>
      </c>
      <c r="AD45" s="9">
        <f>2*AB45/Inputs!$C$21*1000000</f>
        <v/>
      </c>
      <c r="AE45" s="9">
        <f>DEGREES(ATAN(H45/(B45-Y45/1000)))</f>
        <v/>
      </c>
      <c r="AF45" s="9">
        <f>DEGREES((2*PI()/Inputs!$C$13)*Inputs!$C$15*SIN(RADIANS(AE45)))</f>
        <v/>
      </c>
      <c r="AG45" s="9">
        <f>(Z45/AA45)^4</f>
        <v/>
      </c>
      <c r="AH45" s="9">
        <f>10*LOG10(AG45)</f>
        <v/>
      </c>
      <c r="AI45" s="9">
        <f>AC45-F45</f>
        <v/>
      </c>
      <c r="AJ45" s="9">
        <f>AD45-G45</f>
        <v/>
      </c>
      <c r="AK45" s="9">
        <f>Y45-X45</f>
        <v/>
      </c>
      <c r="AL45" s="9">
        <f>1000*(AA46-AA44)/(A46-A44)*Inputs!$C$11</f>
        <v/>
      </c>
      <c r="AM45" s="9">
        <f>-2*AL45/Inputs!$C$13</f>
        <v/>
      </c>
      <c r="AN45" s="9">
        <f>-2*AL45/Inputs!$C$14</f>
        <v/>
      </c>
      <c r="AO45" s="9">
        <f>ABS(AM45)</f>
        <v/>
      </c>
      <c r="AP45" s="9">
        <f>ABS(AN45)</f>
        <v/>
      </c>
      <c r="AQ45" s="9">
        <f>IF(OR(Inputs!$C$27=TRUE,Inputs!$C$27="TRUE",Inputs!$C$27=1),Inputs!$C$46/Inputs!$C$12,0)</f>
        <v/>
      </c>
      <c r="AR45" s="9">
        <f>AC45-AQ45</f>
        <v/>
      </c>
      <c r="AS45" s="9">
        <f>AC45+AQ45</f>
        <v/>
      </c>
    </row>
    <row r="46">
      <c r="A46" s="9">
        <f>Inputs!$C$7+44*(Inputs!$C$8-Inputs!$C$7)/240</f>
        <v/>
      </c>
      <c r="B46" s="9">
        <f>Inputs!$C$5+Inputs!$C$9*(A46/Inputs!$C$10)^2</f>
        <v/>
      </c>
      <c r="C46" s="9">
        <f>B46</f>
        <v/>
      </c>
      <c r="D46" s="9">
        <f>SQRT((Inputs!$C$52+B46)^2+Inputs!$C$52^2-2*(Inputs!$C$52+B46)*Inputs!$C$52*COS(SQRT(A46^2+Inputs!$C$6^2)/Inputs!$C$52))</f>
        <v/>
      </c>
      <c r="E46" s="9">
        <f>(D46-C46)*1000</f>
        <v/>
      </c>
      <c r="F46" s="9">
        <f>E46/Inputs!$C$12</f>
        <v/>
      </c>
      <c r="G46" s="9">
        <f>2*E46/Inputs!$C$21*1000000</f>
        <v/>
      </c>
      <c r="H46" s="9">
        <f>SQRT(A46^2+Inputs!$C$6^2)</f>
        <v/>
      </c>
      <c r="I46" s="9">
        <f>DEGREES(ATAN(H46/B46))</f>
        <v/>
      </c>
      <c r="J46" s="9">
        <f>DEGREES((2*PI()/Inputs!$C$13)*Inputs!$C$15*SIN(RADIANS(I46)))</f>
        <v/>
      </c>
      <c r="K46" s="9">
        <f>(C46/D46)^4</f>
        <v/>
      </c>
      <c r="L46" s="9">
        <f>10*LOG10(K46)</f>
        <v/>
      </c>
      <c r="M46" s="9">
        <f>2*(Inputs!$C$9/(Inputs!$C$10^2))*A46</f>
        <v/>
      </c>
      <c r="N46" s="9">
        <f>M46*Inputs!$C$11</f>
        <v/>
      </c>
      <c r="O46" s="9">
        <f>1000*(D47-D45)/(A47-A45)*Inputs!$C$11</f>
        <v/>
      </c>
      <c r="P46" s="9">
        <f>-2*O46/Inputs!$C$13</f>
        <v/>
      </c>
      <c r="Q46" s="9">
        <f>-2*O46/Inputs!$C$14</f>
        <v/>
      </c>
      <c r="R46" s="9">
        <f>F46-Inputs!$C$16/2</f>
        <v/>
      </c>
      <c r="S46" s="9">
        <f>F46+Inputs!$C$16/2</f>
        <v/>
      </c>
      <c r="T46" s="9">
        <f>F46-Inputs!$C$17/2</f>
        <v/>
      </c>
      <c r="U46" s="9">
        <f>F46+Inputs!$C$17/2</f>
        <v/>
      </c>
      <c r="V46" s="9">
        <f>ABS(P46)</f>
        <v/>
      </c>
      <c r="W46" s="9">
        <f>ABS(Q46)</f>
        <v/>
      </c>
      <c r="X46" s="9">
        <f>IF(OR(Inputs!$C$27=TRUE,Inputs!$C$27="TRUE",Inputs!$C$27=1),1,0)*(Inputs!$C$51*(115*EXP(-(((0)-25)^2)/(4.5^2))+70*EXP(-(((0)+38)^2)/(7^2))*(0.55+0.45*SIN(2*PI()*(A46)/45))+24*SIN(2*PI()*(0)/9+(A46)/18)*EXP(-(((0)+5)^2)/(22^2))+18*SIN(2*PI()*(A46)/70))+Inputs!$C$28*EXP(-(((A46)-Inputs!$C$29)^2)/(2*Inputs!$C$31^2))*EXP(-(((0)-Inputs!$C$30)^2)/(2*Inputs!$C$32^2))+-Inputs!$C$33*EXP(-(((((A46)-Inputs!$C$34)^2)+(((0)-Inputs!$C$35)^2))/(2*Inputs!$C$36^2)))+Inputs!$C$37*(0.55*SIN(2*PI()*(A46)/Inputs!$C$39)+0.35*COS(2*PI()*(0)/Inputs!$C$40)+0.2*SIN(2*PI()*((A46)+(0))/(0.5*(Inputs!$C$39+Inputs!$C$40))))+Inputs!$C$38*SIN(2*PI()*(A46)/Inputs!$C$39)*SIN(2*PI()*(0)/Inputs!$C$40)+-Inputs!$C$41*EXP(-(((0)-Inputs!$C$43)^2)/(2*Inputs!$C$44^2))*EXP(-(((A46)-Inputs!$C$42)^2)/(2*Inputs!$C$45^2))+Inputs!$C$48*(0.7*(0.45*SIN(2*PI()*(((A46)/Inputs!$C$49)+Inputs!$C$47*0.137))+0.35*COS(2*PI()*(((0)/Inputs!$C$50)+Inputs!$C$47*0.173))+0.2*SIN(2*PI()*(((A46)+(0))/(0.5*(Inputs!$C$49+Inputs!$C$50))+Inputs!$C$47*0.097)))+0.3*(2*((SIN(((A46)*12.9898+(0)*78.233+Inputs!$C$47*37.719))*43758.5453)-INT((SIN(((A46)*12.9898+(0)*78.233+Inputs!$C$47*37.719))*43758.5453)))-1)))</f>
        <v/>
      </c>
      <c r="Y46" s="9">
        <f>IF(OR(Inputs!$C$27=TRUE,Inputs!$C$27="TRUE",Inputs!$C$27=1),1,0)*(Inputs!$C$51*(115*EXP(-(((Inputs!$C$6)-25)^2)/(4.5^2))+70*EXP(-(((Inputs!$C$6)+38)^2)/(7^2))*(0.55+0.45*SIN(2*PI()*(A46)/45))+24*SIN(2*PI()*(Inputs!$C$6)/9+(A46)/18)*EXP(-(((Inputs!$C$6)+5)^2)/(22^2))+18*SIN(2*PI()*(A46)/70))+Inputs!$C$28*EXP(-(((A46)-Inputs!$C$29)^2)/(2*Inputs!$C$31^2))*EXP(-(((Inputs!$C$6)-Inputs!$C$30)^2)/(2*Inputs!$C$32^2))+-Inputs!$C$33*EXP(-(((((A46)-Inputs!$C$34)^2)+(((Inputs!$C$6)-Inputs!$C$35)^2))/(2*Inputs!$C$36^2)))+Inputs!$C$37*(0.55*SIN(2*PI()*(A46)/Inputs!$C$39)+0.35*COS(2*PI()*(Inputs!$C$6)/Inputs!$C$40)+0.2*SIN(2*PI()*((A46)+(Inputs!$C$6))/(0.5*(Inputs!$C$39+Inputs!$C$40))))+Inputs!$C$38*SIN(2*PI()*(A46)/Inputs!$C$39)*SIN(2*PI()*(Inputs!$C$6)/Inputs!$C$40)+-Inputs!$C$41*EXP(-(((Inputs!$C$6)-Inputs!$C$43)^2)/(2*Inputs!$C$44^2))*EXP(-(((A46)-Inputs!$C$42)^2)/(2*Inputs!$C$45^2))+Inputs!$C$48*(0.7*(0.45*SIN(2*PI()*(((A46)/Inputs!$C$49)+Inputs!$C$47*0.137))+0.35*COS(2*PI()*(((Inputs!$C$6)/Inputs!$C$50)+Inputs!$C$47*0.173))+0.2*SIN(2*PI()*(((A46)+(Inputs!$C$6))/(0.5*(Inputs!$C$49+Inputs!$C$50))+Inputs!$C$47*0.097)))+0.3*(2*((SIN(((A46)*12.9898+(Inputs!$C$6)*78.233+Inputs!$C$47*37.719))*43758.5453)-INT((SIN(((A46)*12.9898+(Inputs!$C$6)*78.233+Inputs!$C$47*37.719))*43758.5453)))-1)))</f>
        <v/>
      </c>
      <c r="Z46" s="9">
        <f>B46-X46/1000</f>
        <v/>
      </c>
      <c r="AA46" s="9">
        <f>SQRT((Inputs!$C$52+B46)^2+(Inputs!$C$52+Y46/1000)^2-2*(Inputs!$C$52+B46)*(Inputs!$C$52+Y46/1000)*COS(SQRT(A46^2+Inputs!$C$6^2)/Inputs!$C$52))</f>
        <v/>
      </c>
      <c r="AB46" s="9">
        <f>(AA46-Z46)*1000</f>
        <v/>
      </c>
      <c r="AC46" s="9">
        <f>AB46/Inputs!$C$12</f>
        <v/>
      </c>
      <c r="AD46" s="9">
        <f>2*AB46/Inputs!$C$21*1000000</f>
        <v/>
      </c>
      <c r="AE46" s="9">
        <f>DEGREES(ATAN(H46/(B46-Y46/1000)))</f>
        <v/>
      </c>
      <c r="AF46" s="9">
        <f>DEGREES((2*PI()/Inputs!$C$13)*Inputs!$C$15*SIN(RADIANS(AE46)))</f>
        <v/>
      </c>
      <c r="AG46" s="9">
        <f>(Z46/AA46)^4</f>
        <v/>
      </c>
      <c r="AH46" s="9">
        <f>10*LOG10(AG46)</f>
        <v/>
      </c>
      <c r="AI46" s="9">
        <f>AC46-F46</f>
        <v/>
      </c>
      <c r="AJ46" s="9">
        <f>AD46-G46</f>
        <v/>
      </c>
      <c r="AK46" s="9">
        <f>Y46-X46</f>
        <v/>
      </c>
      <c r="AL46" s="9">
        <f>1000*(AA47-AA45)/(A47-A45)*Inputs!$C$11</f>
        <v/>
      </c>
      <c r="AM46" s="9">
        <f>-2*AL46/Inputs!$C$13</f>
        <v/>
      </c>
      <c r="AN46" s="9">
        <f>-2*AL46/Inputs!$C$14</f>
        <v/>
      </c>
      <c r="AO46" s="9">
        <f>ABS(AM46)</f>
        <v/>
      </c>
      <c r="AP46" s="9">
        <f>ABS(AN46)</f>
        <v/>
      </c>
      <c r="AQ46" s="9">
        <f>IF(OR(Inputs!$C$27=TRUE,Inputs!$C$27="TRUE",Inputs!$C$27=1),Inputs!$C$46/Inputs!$C$12,0)</f>
        <v/>
      </c>
      <c r="AR46" s="9">
        <f>AC46-AQ46</f>
        <v/>
      </c>
      <c r="AS46" s="9">
        <f>AC46+AQ46</f>
        <v/>
      </c>
    </row>
    <row r="47">
      <c r="A47" s="9">
        <f>Inputs!$C$7+45*(Inputs!$C$8-Inputs!$C$7)/240</f>
        <v/>
      </c>
      <c r="B47" s="9">
        <f>Inputs!$C$5+Inputs!$C$9*(A47/Inputs!$C$10)^2</f>
        <v/>
      </c>
      <c r="C47" s="9">
        <f>B47</f>
        <v/>
      </c>
      <c r="D47" s="9">
        <f>SQRT((Inputs!$C$52+B47)^2+Inputs!$C$52^2-2*(Inputs!$C$52+B47)*Inputs!$C$52*COS(SQRT(A47^2+Inputs!$C$6^2)/Inputs!$C$52))</f>
        <v/>
      </c>
      <c r="E47" s="9">
        <f>(D47-C47)*1000</f>
        <v/>
      </c>
      <c r="F47" s="9">
        <f>E47/Inputs!$C$12</f>
        <v/>
      </c>
      <c r="G47" s="9">
        <f>2*E47/Inputs!$C$21*1000000</f>
        <v/>
      </c>
      <c r="H47" s="9">
        <f>SQRT(A47^2+Inputs!$C$6^2)</f>
        <v/>
      </c>
      <c r="I47" s="9">
        <f>DEGREES(ATAN(H47/B47))</f>
        <v/>
      </c>
      <c r="J47" s="9">
        <f>DEGREES((2*PI()/Inputs!$C$13)*Inputs!$C$15*SIN(RADIANS(I47)))</f>
        <v/>
      </c>
      <c r="K47" s="9">
        <f>(C47/D47)^4</f>
        <v/>
      </c>
      <c r="L47" s="9">
        <f>10*LOG10(K47)</f>
        <v/>
      </c>
      <c r="M47" s="9">
        <f>2*(Inputs!$C$9/(Inputs!$C$10^2))*A47</f>
        <v/>
      </c>
      <c r="N47" s="9">
        <f>M47*Inputs!$C$11</f>
        <v/>
      </c>
      <c r="O47" s="9">
        <f>1000*(D48-D46)/(A48-A46)*Inputs!$C$11</f>
        <v/>
      </c>
      <c r="P47" s="9">
        <f>-2*O47/Inputs!$C$13</f>
        <v/>
      </c>
      <c r="Q47" s="9">
        <f>-2*O47/Inputs!$C$14</f>
        <v/>
      </c>
      <c r="R47" s="9">
        <f>F47-Inputs!$C$16/2</f>
        <v/>
      </c>
      <c r="S47" s="9">
        <f>F47+Inputs!$C$16/2</f>
        <v/>
      </c>
      <c r="T47" s="9">
        <f>F47-Inputs!$C$17/2</f>
        <v/>
      </c>
      <c r="U47" s="9">
        <f>F47+Inputs!$C$17/2</f>
        <v/>
      </c>
      <c r="V47" s="9">
        <f>ABS(P47)</f>
        <v/>
      </c>
      <c r="W47" s="9">
        <f>ABS(Q47)</f>
        <v/>
      </c>
      <c r="X47" s="9">
        <f>IF(OR(Inputs!$C$27=TRUE,Inputs!$C$27="TRUE",Inputs!$C$27=1),1,0)*(Inputs!$C$51*(115*EXP(-(((0)-25)^2)/(4.5^2))+70*EXP(-(((0)+38)^2)/(7^2))*(0.55+0.45*SIN(2*PI()*(A47)/45))+24*SIN(2*PI()*(0)/9+(A47)/18)*EXP(-(((0)+5)^2)/(22^2))+18*SIN(2*PI()*(A47)/70))+Inputs!$C$28*EXP(-(((A47)-Inputs!$C$29)^2)/(2*Inputs!$C$31^2))*EXP(-(((0)-Inputs!$C$30)^2)/(2*Inputs!$C$32^2))+-Inputs!$C$33*EXP(-(((((A47)-Inputs!$C$34)^2)+(((0)-Inputs!$C$35)^2))/(2*Inputs!$C$36^2)))+Inputs!$C$37*(0.55*SIN(2*PI()*(A47)/Inputs!$C$39)+0.35*COS(2*PI()*(0)/Inputs!$C$40)+0.2*SIN(2*PI()*((A47)+(0))/(0.5*(Inputs!$C$39+Inputs!$C$40))))+Inputs!$C$38*SIN(2*PI()*(A47)/Inputs!$C$39)*SIN(2*PI()*(0)/Inputs!$C$40)+-Inputs!$C$41*EXP(-(((0)-Inputs!$C$43)^2)/(2*Inputs!$C$44^2))*EXP(-(((A47)-Inputs!$C$42)^2)/(2*Inputs!$C$45^2))+Inputs!$C$48*(0.7*(0.45*SIN(2*PI()*(((A47)/Inputs!$C$49)+Inputs!$C$47*0.137))+0.35*COS(2*PI()*(((0)/Inputs!$C$50)+Inputs!$C$47*0.173))+0.2*SIN(2*PI()*(((A47)+(0))/(0.5*(Inputs!$C$49+Inputs!$C$50))+Inputs!$C$47*0.097)))+0.3*(2*((SIN(((A47)*12.9898+(0)*78.233+Inputs!$C$47*37.719))*43758.5453)-INT((SIN(((A47)*12.9898+(0)*78.233+Inputs!$C$47*37.719))*43758.5453)))-1)))</f>
        <v/>
      </c>
      <c r="Y47" s="9">
        <f>IF(OR(Inputs!$C$27=TRUE,Inputs!$C$27="TRUE",Inputs!$C$27=1),1,0)*(Inputs!$C$51*(115*EXP(-(((Inputs!$C$6)-25)^2)/(4.5^2))+70*EXP(-(((Inputs!$C$6)+38)^2)/(7^2))*(0.55+0.45*SIN(2*PI()*(A47)/45))+24*SIN(2*PI()*(Inputs!$C$6)/9+(A47)/18)*EXP(-(((Inputs!$C$6)+5)^2)/(22^2))+18*SIN(2*PI()*(A47)/70))+Inputs!$C$28*EXP(-(((A47)-Inputs!$C$29)^2)/(2*Inputs!$C$31^2))*EXP(-(((Inputs!$C$6)-Inputs!$C$30)^2)/(2*Inputs!$C$32^2))+-Inputs!$C$33*EXP(-(((((A47)-Inputs!$C$34)^2)+(((Inputs!$C$6)-Inputs!$C$35)^2))/(2*Inputs!$C$36^2)))+Inputs!$C$37*(0.55*SIN(2*PI()*(A47)/Inputs!$C$39)+0.35*COS(2*PI()*(Inputs!$C$6)/Inputs!$C$40)+0.2*SIN(2*PI()*((A47)+(Inputs!$C$6))/(0.5*(Inputs!$C$39+Inputs!$C$40))))+Inputs!$C$38*SIN(2*PI()*(A47)/Inputs!$C$39)*SIN(2*PI()*(Inputs!$C$6)/Inputs!$C$40)+-Inputs!$C$41*EXP(-(((Inputs!$C$6)-Inputs!$C$43)^2)/(2*Inputs!$C$44^2))*EXP(-(((A47)-Inputs!$C$42)^2)/(2*Inputs!$C$45^2))+Inputs!$C$48*(0.7*(0.45*SIN(2*PI()*(((A47)/Inputs!$C$49)+Inputs!$C$47*0.137))+0.35*COS(2*PI()*(((Inputs!$C$6)/Inputs!$C$50)+Inputs!$C$47*0.173))+0.2*SIN(2*PI()*(((A47)+(Inputs!$C$6))/(0.5*(Inputs!$C$49+Inputs!$C$50))+Inputs!$C$47*0.097)))+0.3*(2*((SIN(((A47)*12.9898+(Inputs!$C$6)*78.233+Inputs!$C$47*37.719))*43758.5453)-INT((SIN(((A47)*12.9898+(Inputs!$C$6)*78.233+Inputs!$C$47*37.719))*43758.5453)))-1)))</f>
        <v/>
      </c>
      <c r="Z47" s="9">
        <f>B47-X47/1000</f>
        <v/>
      </c>
      <c r="AA47" s="9">
        <f>SQRT((Inputs!$C$52+B47)^2+(Inputs!$C$52+Y47/1000)^2-2*(Inputs!$C$52+B47)*(Inputs!$C$52+Y47/1000)*COS(SQRT(A47^2+Inputs!$C$6^2)/Inputs!$C$52))</f>
        <v/>
      </c>
      <c r="AB47" s="9">
        <f>(AA47-Z47)*1000</f>
        <v/>
      </c>
      <c r="AC47" s="9">
        <f>AB47/Inputs!$C$12</f>
        <v/>
      </c>
      <c r="AD47" s="9">
        <f>2*AB47/Inputs!$C$21*1000000</f>
        <v/>
      </c>
      <c r="AE47" s="9">
        <f>DEGREES(ATAN(H47/(B47-Y47/1000)))</f>
        <v/>
      </c>
      <c r="AF47" s="9">
        <f>DEGREES((2*PI()/Inputs!$C$13)*Inputs!$C$15*SIN(RADIANS(AE47)))</f>
        <v/>
      </c>
      <c r="AG47" s="9">
        <f>(Z47/AA47)^4</f>
        <v/>
      </c>
      <c r="AH47" s="9">
        <f>10*LOG10(AG47)</f>
        <v/>
      </c>
      <c r="AI47" s="9">
        <f>AC47-F47</f>
        <v/>
      </c>
      <c r="AJ47" s="9">
        <f>AD47-G47</f>
        <v/>
      </c>
      <c r="AK47" s="9">
        <f>Y47-X47</f>
        <v/>
      </c>
      <c r="AL47" s="9">
        <f>1000*(AA48-AA46)/(A48-A46)*Inputs!$C$11</f>
        <v/>
      </c>
      <c r="AM47" s="9">
        <f>-2*AL47/Inputs!$C$13</f>
        <v/>
      </c>
      <c r="AN47" s="9">
        <f>-2*AL47/Inputs!$C$14</f>
        <v/>
      </c>
      <c r="AO47" s="9">
        <f>ABS(AM47)</f>
        <v/>
      </c>
      <c r="AP47" s="9">
        <f>ABS(AN47)</f>
        <v/>
      </c>
      <c r="AQ47" s="9">
        <f>IF(OR(Inputs!$C$27=TRUE,Inputs!$C$27="TRUE",Inputs!$C$27=1),Inputs!$C$46/Inputs!$C$12,0)</f>
        <v/>
      </c>
      <c r="AR47" s="9">
        <f>AC47-AQ47</f>
        <v/>
      </c>
      <c r="AS47" s="9">
        <f>AC47+AQ47</f>
        <v/>
      </c>
    </row>
    <row r="48">
      <c r="A48" s="9">
        <f>Inputs!$C$7+46*(Inputs!$C$8-Inputs!$C$7)/240</f>
        <v/>
      </c>
      <c r="B48" s="9">
        <f>Inputs!$C$5+Inputs!$C$9*(A48/Inputs!$C$10)^2</f>
        <v/>
      </c>
      <c r="C48" s="9">
        <f>B48</f>
        <v/>
      </c>
      <c r="D48" s="9">
        <f>SQRT((Inputs!$C$52+B48)^2+Inputs!$C$52^2-2*(Inputs!$C$52+B48)*Inputs!$C$52*COS(SQRT(A48^2+Inputs!$C$6^2)/Inputs!$C$52))</f>
        <v/>
      </c>
      <c r="E48" s="9">
        <f>(D48-C48)*1000</f>
        <v/>
      </c>
      <c r="F48" s="9">
        <f>E48/Inputs!$C$12</f>
        <v/>
      </c>
      <c r="G48" s="9">
        <f>2*E48/Inputs!$C$21*1000000</f>
        <v/>
      </c>
      <c r="H48" s="9">
        <f>SQRT(A48^2+Inputs!$C$6^2)</f>
        <v/>
      </c>
      <c r="I48" s="9">
        <f>DEGREES(ATAN(H48/B48))</f>
        <v/>
      </c>
      <c r="J48" s="9">
        <f>DEGREES((2*PI()/Inputs!$C$13)*Inputs!$C$15*SIN(RADIANS(I48)))</f>
        <v/>
      </c>
      <c r="K48" s="9">
        <f>(C48/D48)^4</f>
        <v/>
      </c>
      <c r="L48" s="9">
        <f>10*LOG10(K48)</f>
        <v/>
      </c>
      <c r="M48" s="9">
        <f>2*(Inputs!$C$9/(Inputs!$C$10^2))*A48</f>
        <v/>
      </c>
      <c r="N48" s="9">
        <f>M48*Inputs!$C$11</f>
        <v/>
      </c>
      <c r="O48" s="9">
        <f>1000*(D49-D47)/(A49-A47)*Inputs!$C$11</f>
        <v/>
      </c>
      <c r="P48" s="9">
        <f>-2*O48/Inputs!$C$13</f>
        <v/>
      </c>
      <c r="Q48" s="9">
        <f>-2*O48/Inputs!$C$14</f>
        <v/>
      </c>
      <c r="R48" s="9">
        <f>F48-Inputs!$C$16/2</f>
        <v/>
      </c>
      <c r="S48" s="9">
        <f>F48+Inputs!$C$16/2</f>
        <v/>
      </c>
      <c r="T48" s="9">
        <f>F48-Inputs!$C$17/2</f>
        <v/>
      </c>
      <c r="U48" s="9">
        <f>F48+Inputs!$C$17/2</f>
        <v/>
      </c>
      <c r="V48" s="9">
        <f>ABS(P48)</f>
        <v/>
      </c>
      <c r="W48" s="9">
        <f>ABS(Q48)</f>
        <v/>
      </c>
      <c r="X48" s="9">
        <f>IF(OR(Inputs!$C$27=TRUE,Inputs!$C$27="TRUE",Inputs!$C$27=1),1,0)*(Inputs!$C$51*(115*EXP(-(((0)-25)^2)/(4.5^2))+70*EXP(-(((0)+38)^2)/(7^2))*(0.55+0.45*SIN(2*PI()*(A48)/45))+24*SIN(2*PI()*(0)/9+(A48)/18)*EXP(-(((0)+5)^2)/(22^2))+18*SIN(2*PI()*(A48)/70))+Inputs!$C$28*EXP(-(((A48)-Inputs!$C$29)^2)/(2*Inputs!$C$31^2))*EXP(-(((0)-Inputs!$C$30)^2)/(2*Inputs!$C$32^2))+-Inputs!$C$33*EXP(-(((((A48)-Inputs!$C$34)^2)+(((0)-Inputs!$C$35)^2))/(2*Inputs!$C$36^2)))+Inputs!$C$37*(0.55*SIN(2*PI()*(A48)/Inputs!$C$39)+0.35*COS(2*PI()*(0)/Inputs!$C$40)+0.2*SIN(2*PI()*((A48)+(0))/(0.5*(Inputs!$C$39+Inputs!$C$40))))+Inputs!$C$38*SIN(2*PI()*(A48)/Inputs!$C$39)*SIN(2*PI()*(0)/Inputs!$C$40)+-Inputs!$C$41*EXP(-(((0)-Inputs!$C$43)^2)/(2*Inputs!$C$44^2))*EXP(-(((A48)-Inputs!$C$42)^2)/(2*Inputs!$C$45^2))+Inputs!$C$48*(0.7*(0.45*SIN(2*PI()*(((A48)/Inputs!$C$49)+Inputs!$C$47*0.137))+0.35*COS(2*PI()*(((0)/Inputs!$C$50)+Inputs!$C$47*0.173))+0.2*SIN(2*PI()*(((A48)+(0))/(0.5*(Inputs!$C$49+Inputs!$C$50))+Inputs!$C$47*0.097)))+0.3*(2*((SIN(((A48)*12.9898+(0)*78.233+Inputs!$C$47*37.719))*43758.5453)-INT((SIN(((A48)*12.9898+(0)*78.233+Inputs!$C$47*37.719))*43758.5453)))-1)))</f>
        <v/>
      </c>
      <c r="Y48" s="9">
        <f>IF(OR(Inputs!$C$27=TRUE,Inputs!$C$27="TRUE",Inputs!$C$27=1),1,0)*(Inputs!$C$51*(115*EXP(-(((Inputs!$C$6)-25)^2)/(4.5^2))+70*EXP(-(((Inputs!$C$6)+38)^2)/(7^2))*(0.55+0.45*SIN(2*PI()*(A48)/45))+24*SIN(2*PI()*(Inputs!$C$6)/9+(A48)/18)*EXP(-(((Inputs!$C$6)+5)^2)/(22^2))+18*SIN(2*PI()*(A48)/70))+Inputs!$C$28*EXP(-(((A48)-Inputs!$C$29)^2)/(2*Inputs!$C$31^2))*EXP(-(((Inputs!$C$6)-Inputs!$C$30)^2)/(2*Inputs!$C$32^2))+-Inputs!$C$33*EXP(-(((((A48)-Inputs!$C$34)^2)+(((Inputs!$C$6)-Inputs!$C$35)^2))/(2*Inputs!$C$36^2)))+Inputs!$C$37*(0.55*SIN(2*PI()*(A48)/Inputs!$C$39)+0.35*COS(2*PI()*(Inputs!$C$6)/Inputs!$C$40)+0.2*SIN(2*PI()*((A48)+(Inputs!$C$6))/(0.5*(Inputs!$C$39+Inputs!$C$40))))+Inputs!$C$38*SIN(2*PI()*(A48)/Inputs!$C$39)*SIN(2*PI()*(Inputs!$C$6)/Inputs!$C$40)+-Inputs!$C$41*EXP(-(((Inputs!$C$6)-Inputs!$C$43)^2)/(2*Inputs!$C$44^2))*EXP(-(((A48)-Inputs!$C$42)^2)/(2*Inputs!$C$45^2))+Inputs!$C$48*(0.7*(0.45*SIN(2*PI()*(((A48)/Inputs!$C$49)+Inputs!$C$47*0.137))+0.35*COS(2*PI()*(((Inputs!$C$6)/Inputs!$C$50)+Inputs!$C$47*0.173))+0.2*SIN(2*PI()*(((A48)+(Inputs!$C$6))/(0.5*(Inputs!$C$49+Inputs!$C$50))+Inputs!$C$47*0.097)))+0.3*(2*((SIN(((A48)*12.9898+(Inputs!$C$6)*78.233+Inputs!$C$47*37.719))*43758.5453)-INT((SIN(((A48)*12.9898+(Inputs!$C$6)*78.233+Inputs!$C$47*37.719))*43758.5453)))-1)))</f>
        <v/>
      </c>
      <c r="Z48" s="9">
        <f>B48-X48/1000</f>
        <v/>
      </c>
      <c r="AA48" s="9">
        <f>SQRT((Inputs!$C$52+B48)^2+(Inputs!$C$52+Y48/1000)^2-2*(Inputs!$C$52+B48)*(Inputs!$C$52+Y48/1000)*COS(SQRT(A48^2+Inputs!$C$6^2)/Inputs!$C$52))</f>
        <v/>
      </c>
      <c r="AB48" s="9">
        <f>(AA48-Z48)*1000</f>
        <v/>
      </c>
      <c r="AC48" s="9">
        <f>AB48/Inputs!$C$12</f>
        <v/>
      </c>
      <c r="AD48" s="9">
        <f>2*AB48/Inputs!$C$21*1000000</f>
        <v/>
      </c>
      <c r="AE48" s="9">
        <f>DEGREES(ATAN(H48/(B48-Y48/1000)))</f>
        <v/>
      </c>
      <c r="AF48" s="9">
        <f>DEGREES((2*PI()/Inputs!$C$13)*Inputs!$C$15*SIN(RADIANS(AE48)))</f>
        <v/>
      </c>
      <c r="AG48" s="9">
        <f>(Z48/AA48)^4</f>
        <v/>
      </c>
      <c r="AH48" s="9">
        <f>10*LOG10(AG48)</f>
        <v/>
      </c>
      <c r="AI48" s="9">
        <f>AC48-F48</f>
        <v/>
      </c>
      <c r="AJ48" s="9">
        <f>AD48-G48</f>
        <v/>
      </c>
      <c r="AK48" s="9">
        <f>Y48-X48</f>
        <v/>
      </c>
      <c r="AL48" s="9">
        <f>1000*(AA49-AA47)/(A49-A47)*Inputs!$C$11</f>
        <v/>
      </c>
      <c r="AM48" s="9">
        <f>-2*AL48/Inputs!$C$13</f>
        <v/>
      </c>
      <c r="AN48" s="9">
        <f>-2*AL48/Inputs!$C$14</f>
        <v/>
      </c>
      <c r="AO48" s="9">
        <f>ABS(AM48)</f>
        <v/>
      </c>
      <c r="AP48" s="9">
        <f>ABS(AN48)</f>
        <v/>
      </c>
      <c r="AQ48" s="9">
        <f>IF(OR(Inputs!$C$27=TRUE,Inputs!$C$27="TRUE",Inputs!$C$27=1),Inputs!$C$46/Inputs!$C$12,0)</f>
        <v/>
      </c>
      <c r="AR48" s="9">
        <f>AC48-AQ48</f>
        <v/>
      </c>
      <c r="AS48" s="9">
        <f>AC48+AQ48</f>
        <v/>
      </c>
    </row>
    <row r="49">
      <c r="A49" s="9">
        <f>Inputs!$C$7+47*(Inputs!$C$8-Inputs!$C$7)/240</f>
        <v/>
      </c>
      <c r="B49" s="9">
        <f>Inputs!$C$5+Inputs!$C$9*(A49/Inputs!$C$10)^2</f>
        <v/>
      </c>
      <c r="C49" s="9">
        <f>B49</f>
        <v/>
      </c>
      <c r="D49" s="9">
        <f>SQRT((Inputs!$C$52+B49)^2+Inputs!$C$52^2-2*(Inputs!$C$52+B49)*Inputs!$C$52*COS(SQRT(A49^2+Inputs!$C$6^2)/Inputs!$C$52))</f>
        <v/>
      </c>
      <c r="E49" s="9">
        <f>(D49-C49)*1000</f>
        <v/>
      </c>
      <c r="F49" s="9">
        <f>E49/Inputs!$C$12</f>
        <v/>
      </c>
      <c r="G49" s="9">
        <f>2*E49/Inputs!$C$21*1000000</f>
        <v/>
      </c>
      <c r="H49" s="9">
        <f>SQRT(A49^2+Inputs!$C$6^2)</f>
        <v/>
      </c>
      <c r="I49" s="9">
        <f>DEGREES(ATAN(H49/B49))</f>
        <v/>
      </c>
      <c r="J49" s="9">
        <f>DEGREES((2*PI()/Inputs!$C$13)*Inputs!$C$15*SIN(RADIANS(I49)))</f>
        <v/>
      </c>
      <c r="K49" s="9">
        <f>(C49/D49)^4</f>
        <v/>
      </c>
      <c r="L49" s="9">
        <f>10*LOG10(K49)</f>
        <v/>
      </c>
      <c r="M49" s="9">
        <f>2*(Inputs!$C$9/(Inputs!$C$10^2))*A49</f>
        <v/>
      </c>
      <c r="N49" s="9">
        <f>M49*Inputs!$C$11</f>
        <v/>
      </c>
      <c r="O49" s="9">
        <f>1000*(D50-D48)/(A50-A48)*Inputs!$C$11</f>
        <v/>
      </c>
      <c r="P49" s="9">
        <f>-2*O49/Inputs!$C$13</f>
        <v/>
      </c>
      <c r="Q49" s="9">
        <f>-2*O49/Inputs!$C$14</f>
        <v/>
      </c>
      <c r="R49" s="9">
        <f>F49-Inputs!$C$16/2</f>
        <v/>
      </c>
      <c r="S49" s="9">
        <f>F49+Inputs!$C$16/2</f>
        <v/>
      </c>
      <c r="T49" s="9">
        <f>F49-Inputs!$C$17/2</f>
        <v/>
      </c>
      <c r="U49" s="9">
        <f>F49+Inputs!$C$17/2</f>
        <v/>
      </c>
      <c r="V49" s="9">
        <f>ABS(P49)</f>
        <v/>
      </c>
      <c r="W49" s="9">
        <f>ABS(Q49)</f>
        <v/>
      </c>
      <c r="X49" s="9">
        <f>IF(OR(Inputs!$C$27=TRUE,Inputs!$C$27="TRUE",Inputs!$C$27=1),1,0)*(Inputs!$C$51*(115*EXP(-(((0)-25)^2)/(4.5^2))+70*EXP(-(((0)+38)^2)/(7^2))*(0.55+0.45*SIN(2*PI()*(A49)/45))+24*SIN(2*PI()*(0)/9+(A49)/18)*EXP(-(((0)+5)^2)/(22^2))+18*SIN(2*PI()*(A49)/70))+Inputs!$C$28*EXP(-(((A49)-Inputs!$C$29)^2)/(2*Inputs!$C$31^2))*EXP(-(((0)-Inputs!$C$30)^2)/(2*Inputs!$C$32^2))+-Inputs!$C$33*EXP(-(((((A49)-Inputs!$C$34)^2)+(((0)-Inputs!$C$35)^2))/(2*Inputs!$C$36^2)))+Inputs!$C$37*(0.55*SIN(2*PI()*(A49)/Inputs!$C$39)+0.35*COS(2*PI()*(0)/Inputs!$C$40)+0.2*SIN(2*PI()*((A49)+(0))/(0.5*(Inputs!$C$39+Inputs!$C$40))))+Inputs!$C$38*SIN(2*PI()*(A49)/Inputs!$C$39)*SIN(2*PI()*(0)/Inputs!$C$40)+-Inputs!$C$41*EXP(-(((0)-Inputs!$C$43)^2)/(2*Inputs!$C$44^2))*EXP(-(((A49)-Inputs!$C$42)^2)/(2*Inputs!$C$45^2))+Inputs!$C$48*(0.7*(0.45*SIN(2*PI()*(((A49)/Inputs!$C$49)+Inputs!$C$47*0.137))+0.35*COS(2*PI()*(((0)/Inputs!$C$50)+Inputs!$C$47*0.173))+0.2*SIN(2*PI()*(((A49)+(0))/(0.5*(Inputs!$C$49+Inputs!$C$50))+Inputs!$C$47*0.097)))+0.3*(2*((SIN(((A49)*12.9898+(0)*78.233+Inputs!$C$47*37.719))*43758.5453)-INT((SIN(((A49)*12.9898+(0)*78.233+Inputs!$C$47*37.719))*43758.5453)))-1)))</f>
        <v/>
      </c>
      <c r="Y49" s="9">
        <f>IF(OR(Inputs!$C$27=TRUE,Inputs!$C$27="TRUE",Inputs!$C$27=1),1,0)*(Inputs!$C$51*(115*EXP(-(((Inputs!$C$6)-25)^2)/(4.5^2))+70*EXP(-(((Inputs!$C$6)+38)^2)/(7^2))*(0.55+0.45*SIN(2*PI()*(A49)/45))+24*SIN(2*PI()*(Inputs!$C$6)/9+(A49)/18)*EXP(-(((Inputs!$C$6)+5)^2)/(22^2))+18*SIN(2*PI()*(A49)/70))+Inputs!$C$28*EXP(-(((A49)-Inputs!$C$29)^2)/(2*Inputs!$C$31^2))*EXP(-(((Inputs!$C$6)-Inputs!$C$30)^2)/(2*Inputs!$C$32^2))+-Inputs!$C$33*EXP(-(((((A49)-Inputs!$C$34)^2)+(((Inputs!$C$6)-Inputs!$C$35)^2))/(2*Inputs!$C$36^2)))+Inputs!$C$37*(0.55*SIN(2*PI()*(A49)/Inputs!$C$39)+0.35*COS(2*PI()*(Inputs!$C$6)/Inputs!$C$40)+0.2*SIN(2*PI()*((A49)+(Inputs!$C$6))/(0.5*(Inputs!$C$39+Inputs!$C$40))))+Inputs!$C$38*SIN(2*PI()*(A49)/Inputs!$C$39)*SIN(2*PI()*(Inputs!$C$6)/Inputs!$C$40)+-Inputs!$C$41*EXP(-(((Inputs!$C$6)-Inputs!$C$43)^2)/(2*Inputs!$C$44^2))*EXP(-(((A49)-Inputs!$C$42)^2)/(2*Inputs!$C$45^2))+Inputs!$C$48*(0.7*(0.45*SIN(2*PI()*(((A49)/Inputs!$C$49)+Inputs!$C$47*0.137))+0.35*COS(2*PI()*(((Inputs!$C$6)/Inputs!$C$50)+Inputs!$C$47*0.173))+0.2*SIN(2*PI()*(((A49)+(Inputs!$C$6))/(0.5*(Inputs!$C$49+Inputs!$C$50))+Inputs!$C$47*0.097)))+0.3*(2*((SIN(((A49)*12.9898+(Inputs!$C$6)*78.233+Inputs!$C$47*37.719))*43758.5453)-INT((SIN(((A49)*12.9898+(Inputs!$C$6)*78.233+Inputs!$C$47*37.719))*43758.5453)))-1)))</f>
        <v/>
      </c>
      <c r="Z49" s="9">
        <f>B49-X49/1000</f>
        <v/>
      </c>
      <c r="AA49" s="9">
        <f>SQRT((Inputs!$C$52+B49)^2+(Inputs!$C$52+Y49/1000)^2-2*(Inputs!$C$52+B49)*(Inputs!$C$52+Y49/1000)*COS(SQRT(A49^2+Inputs!$C$6^2)/Inputs!$C$52))</f>
        <v/>
      </c>
      <c r="AB49" s="9">
        <f>(AA49-Z49)*1000</f>
        <v/>
      </c>
      <c r="AC49" s="9">
        <f>AB49/Inputs!$C$12</f>
        <v/>
      </c>
      <c r="AD49" s="9">
        <f>2*AB49/Inputs!$C$21*1000000</f>
        <v/>
      </c>
      <c r="AE49" s="9">
        <f>DEGREES(ATAN(H49/(B49-Y49/1000)))</f>
        <v/>
      </c>
      <c r="AF49" s="9">
        <f>DEGREES((2*PI()/Inputs!$C$13)*Inputs!$C$15*SIN(RADIANS(AE49)))</f>
        <v/>
      </c>
      <c r="AG49" s="9">
        <f>(Z49/AA49)^4</f>
        <v/>
      </c>
      <c r="AH49" s="9">
        <f>10*LOG10(AG49)</f>
        <v/>
      </c>
      <c r="AI49" s="9">
        <f>AC49-F49</f>
        <v/>
      </c>
      <c r="AJ49" s="9">
        <f>AD49-G49</f>
        <v/>
      </c>
      <c r="AK49" s="9">
        <f>Y49-X49</f>
        <v/>
      </c>
      <c r="AL49" s="9">
        <f>1000*(AA50-AA48)/(A50-A48)*Inputs!$C$11</f>
        <v/>
      </c>
      <c r="AM49" s="9">
        <f>-2*AL49/Inputs!$C$13</f>
        <v/>
      </c>
      <c r="AN49" s="9">
        <f>-2*AL49/Inputs!$C$14</f>
        <v/>
      </c>
      <c r="AO49" s="9">
        <f>ABS(AM49)</f>
        <v/>
      </c>
      <c r="AP49" s="9">
        <f>ABS(AN49)</f>
        <v/>
      </c>
      <c r="AQ49" s="9">
        <f>IF(OR(Inputs!$C$27=TRUE,Inputs!$C$27="TRUE",Inputs!$C$27=1),Inputs!$C$46/Inputs!$C$12,0)</f>
        <v/>
      </c>
      <c r="AR49" s="9">
        <f>AC49-AQ49</f>
        <v/>
      </c>
      <c r="AS49" s="9">
        <f>AC49+AQ49</f>
        <v/>
      </c>
    </row>
    <row r="50">
      <c r="A50" s="9">
        <f>Inputs!$C$7+48*(Inputs!$C$8-Inputs!$C$7)/240</f>
        <v/>
      </c>
      <c r="B50" s="9">
        <f>Inputs!$C$5+Inputs!$C$9*(A50/Inputs!$C$10)^2</f>
        <v/>
      </c>
      <c r="C50" s="9">
        <f>B50</f>
        <v/>
      </c>
      <c r="D50" s="9">
        <f>SQRT((Inputs!$C$52+B50)^2+Inputs!$C$52^2-2*(Inputs!$C$52+B50)*Inputs!$C$52*COS(SQRT(A50^2+Inputs!$C$6^2)/Inputs!$C$52))</f>
        <v/>
      </c>
      <c r="E50" s="9">
        <f>(D50-C50)*1000</f>
        <v/>
      </c>
      <c r="F50" s="9">
        <f>E50/Inputs!$C$12</f>
        <v/>
      </c>
      <c r="G50" s="9">
        <f>2*E50/Inputs!$C$21*1000000</f>
        <v/>
      </c>
      <c r="H50" s="9">
        <f>SQRT(A50^2+Inputs!$C$6^2)</f>
        <v/>
      </c>
      <c r="I50" s="9">
        <f>DEGREES(ATAN(H50/B50))</f>
        <v/>
      </c>
      <c r="J50" s="9">
        <f>DEGREES((2*PI()/Inputs!$C$13)*Inputs!$C$15*SIN(RADIANS(I50)))</f>
        <v/>
      </c>
      <c r="K50" s="9">
        <f>(C50/D50)^4</f>
        <v/>
      </c>
      <c r="L50" s="9">
        <f>10*LOG10(K50)</f>
        <v/>
      </c>
      <c r="M50" s="9">
        <f>2*(Inputs!$C$9/(Inputs!$C$10^2))*A50</f>
        <v/>
      </c>
      <c r="N50" s="9">
        <f>M50*Inputs!$C$11</f>
        <v/>
      </c>
      <c r="O50" s="9">
        <f>1000*(D51-D49)/(A51-A49)*Inputs!$C$11</f>
        <v/>
      </c>
      <c r="P50" s="9">
        <f>-2*O50/Inputs!$C$13</f>
        <v/>
      </c>
      <c r="Q50" s="9">
        <f>-2*O50/Inputs!$C$14</f>
        <v/>
      </c>
      <c r="R50" s="9">
        <f>F50-Inputs!$C$16/2</f>
        <v/>
      </c>
      <c r="S50" s="9">
        <f>F50+Inputs!$C$16/2</f>
        <v/>
      </c>
      <c r="T50" s="9">
        <f>F50-Inputs!$C$17/2</f>
        <v/>
      </c>
      <c r="U50" s="9">
        <f>F50+Inputs!$C$17/2</f>
        <v/>
      </c>
      <c r="V50" s="9">
        <f>ABS(P50)</f>
        <v/>
      </c>
      <c r="W50" s="9">
        <f>ABS(Q50)</f>
        <v/>
      </c>
      <c r="X50" s="9">
        <f>IF(OR(Inputs!$C$27=TRUE,Inputs!$C$27="TRUE",Inputs!$C$27=1),1,0)*(Inputs!$C$51*(115*EXP(-(((0)-25)^2)/(4.5^2))+70*EXP(-(((0)+38)^2)/(7^2))*(0.55+0.45*SIN(2*PI()*(A50)/45))+24*SIN(2*PI()*(0)/9+(A50)/18)*EXP(-(((0)+5)^2)/(22^2))+18*SIN(2*PI()*(A50)/70))+Inputs!$C$28*EXP(-(((A50)-Inputs!$C$29)^2)/(2*Inputs!$C$31^2))*EXP(-(((0)-Inputs!$C$30)^2)/(2*Inputs!$C$32^2))+-Inputs!$C$33*EXP(-(((((A50)-Inputs!$C$34)^2)+(((0)-Inputs!$C$35)^2))/(2*Inputs!$C$36^2)))+Inputs!$C$37*(0.55*SIN(2*PI()*(A50)/Inputs!$C$39)+0.35*COS(2*PI()*(0)/Inputs!$C$40)+0.2*SIN(2*PI()*((A50)+(0))/(0.5*(Inputs!$C$39+Inputs!$C$40))))+Inputs!$C$38*SIN(2*PI()*(A50)/Inputs!$C$39)*SIN(2*PI()*(0)/Inputs!$C$40)+-Inputs!$C$41*EXP(-(((0)-Inputs!$C$43)^2)/(2*Inputs!$C$44^2))*EXP(-(((A50)-Inputs!$C$42)^2)/(2*Inputs!$C$45^2))+Inputs!$C$48*(0.7*(0.45*SIN(2*PI()*(((A50)/Inputs!$C$49)+Inputs!$C$47*0.137))+0.35*COS(2*PI()*(((0)/Inputs!$C$50)+Inputs!$C$47*0.173))+0.2*SIN(2*PI()*(((A50)+(0))/(0.5*(Inputs!$C$49+Inputs!$C$50))+Inputs!$C$47*0.097)))+0.3*(2*((SIN(((A50)*12.9898+(0)*78.233+Inputs!$C$47*37.719))*43758.5453)-INT((SIN(((A50)*12.9898+(0)*78.233+Inputs!$C$47*37.719))*43758.5453)))-1)))</f>
        <v/>
      </c>
      <c r="Y50" s="9">
        <f>IF(OR(Inputs!$C$27=TRUE,Inputs!$C$27="TRUE",Inputs!$C$27=1),1,0)*(Inputs!$C$51*(115*EXP(-(((Inputs!$C$6)-25)^2)/(4.5^2))+70*EXP(-(((Inputs!$C$6)+38)^2)/(7^2))*(0.55+0.45*SIN(2*PI()*(A50)/45))+24*SIN(2*PI()*(Inputs!$C$6)/9+(A50)/18)*EXP(-(((Inputs!$C$6)+5)^2)/(22^2))+18*SIN(2*PI()*(A50)/70))+Inputs!$C$28*EXP(-(((A50)-Inputs!$C$29)^2)/(2*Inputs!$C$31^2))*EXP(-(((Inputs!$C$6)-Inputs!$C$30)^2)/(2*Inputs!$C$32^2))+-Inputs!$C$33*EXP(-(((((A50)-Inputs!$C$34)^2)+(((Inputs!$C$6)-Inputs!$C$35)^2))/(2*Inputs!$C$36^2)))+Inputs!$C$37*(0.55*SIN(2*PI()*(A50)/Inputs!$C$39)+0.35*COS(2*PI()*(Inputs!$C$6)/Inputs!$C$40)+0.2*SIN(2*PI()*((A50)+(Inputs!$C$6))/(0.5*(Inputs!$C$39+Inputs!$C$40))))+Inputs!$C$38*SIN(2*PI()*(A50)/Inputs!$C$39)*SIN(2*PI()*(Inputs!$C$6)/Inputs!$C$40)+-Inputs!$C$41*EXP(-(((Inputs!$C$6)-Inputs!$C$43)^2)/(2*Inputs!$C$44^2))*EXP(-(((A50)-Inputs!$C$42)^2)/(2*Inputs!$C$45^2))+Inputs!$C$48*(0.7*(0.45*SIN(2*PI()*(((A50)/Inputs!$C$49)+Inputs!$C$47*0.137))+0.35*COS(2*PI()*(((Inputs!$C$6)/Inputs!$C$50)+Inputs!$C$47*0.173))+0.2*SIN(2*PI()*(((A50)+(Inputs!$C$6))/(0.5*(Inputs!$C$49+Inputs!$C$50))+Inputs!$C$47*0.097)))+0.3*(2*((SIN(((A50)*12.9898+(Inputs!$C$6)*78.233+Inputs!$C$47*37.719))*43758.5453)-INT((SIN(((A50)*12.9898+(Inputs!$C$6)*78.233+Inputs!$C$47*37.719))*43758.5453)))-1)))</f>
        <v/>
      </c>
      <c r="Z50" s="9">
        <f>B50-X50/1000</f>
        <v/>
      </c>
      <c r="AA50" s="9">
        <f>SQRT((Inputs!$C$52+B50)^2+(Inputs!$C$52+Y50/1000)^2-2*(Inputs!$C$52+B50)*(Inputs!$C$52+Y50/1000)*COS(SQRT(A50^2+Inputs!$C$6^2)/Inputs!$C$52))</f>
        <v/>
      </c>
      <c r="AB50" s="9">
        <f>(AA50-Z50)*1000</f>
        <v/>
      </c>
      <c r="AC50" s="9">
        <f>AB50/Inputs!$C$12</f>
        <v/>
      </c>
      <c r="AD50" s="9">
        <f>2*AB50/Inputs!$C$21*1000000</f>
        <v/>
      </c>
      <c r="AE50" s="9">
        <f>DEGREES(ATAN(H50/(B50-Y50/1000)))</f>
        <v/>
      </c>
      <c r="AF50" s="9">
        <f>DEGREES((2*PI()/Inputs!$C$13)*Inputs!$C$15*SIN(RADIANS(AE50)))</f>
        <v/>
      </c>
      <c r="AG50" s="9">
        <f>(Z50/AA50)^4</f>
        <v/>
      </c>
      <c r="AH50" s="9">
        <f>10*LOG10(AG50)</f>
        <v/>
      </c>
      <c r="AI50" s="9">
        <f>AC50-F50</f>
        <v/>
      </c>
      <c r="AJ50" s="9">
        <f>AD50-G50</f>
        <v/>
      </c>
      <c r="AK50" s="9">
        <f>Y50-X50</f>
        <v/>
      </c>
      <c r="AL50" s="9">
        <f>1000*(AA51-AA49)/(A51-A49)*Inputs!$C$11</f>
        <v/>
      </c>
      <c r="AM50" s="9">
        <f>-2*AL50/Inputs!$C$13</f>
        <v/>
      </c>
      <c r="AN50" s="9">
        <f>-2*AL50/Inputs!$C$14</f>
        <v/>
      </c>
      <c r="AO50" s="9">
        <f>ABS(AM50)</f>
        <v/>
      </c>
      <c r="AP50" s="9">
        <f>ABS(AN50)</f>
        <v/>
      </c>
      <c r="AQ50" s="9">
        <f>IF(OR(Inputs!$C$27=TRUE,Inputs!$C$27="TRUE",Inputs!$C$27=1),Inputs!$C$46/Inputs!$C$12,0)</f>
        <v/>
      </c>
      <c r="AR50" s="9">
        <f>AC50-AQ50</f>
        <v/>
      </c>
      <c r="AS50" s="9">
        <f>AC50+AQ50</f>
        <v/>
      </c>
    </row>
    <row r="51">
      <c r="A51" s="9">
        <f>Inputs!$C$7+49*(Inputs!$C$8-Inputs!$C$7)/240</f>
        <v/>
      </c>
      <c r="B51" s="9">
        <f>Inputs!$C$5+Inputs!$C$9*(A51/Inputs!$C$10)^2</f>
        <v/>
      </c>
      <c r="C51" s="9">
        <f>B51</f>
        <v/>
      </c>
      <c r="D51" s="9">
        <f>SQRT((Inputs!$C$52+B51)^2+Inputs!$C$52^2-2*(Inputs!$C$52+B51)*Inputs!$C$52*COS(SQRT(A51^2+Inputs!$C$6^2)/Inputs!$C$52))</f>
        <v/>
      </c>
      <c r="E51" s="9">
        <f>(D51-C51)*1000</f>
        <v/>
      </c>
      <c r="F51" s="9">
        <f>E51/Inputs!$C$12</f>
        <v/>
      </c>
      <c r="G51" s="9">
        <f>2*E51/Inputs!$C$21*1000000</f>
        <v/>
      </c>
      <c r="H51" s="9">
        <f>SQRT(A51^2+Inputs!$C$6^2)</f>
        <v/>
      </c>
      <c r="I51" s="9">
        <f>DEGREES(ATAN(H51/B51))</f>
        <v/>
      </c>
      <c r="J51" s="9">
        <f>DEGREES((2*PI()/Inputs!$C$13)*Inputs!$C$15*SIN(RADIANS(I51)))</f>
        <v/>
      </c>
      <c r="K51" s="9">
        <f>(C51/D51)^4</f>
        <v/>
      </c>
      <c r="L51" s="9">
        <f>10*LOG10(K51)</f>
        <v/>
      </c>
      <c r="M51" s="9">
        <f>2*(Inputs!$C$9/(Inputs!$C$10^2))*A51</f>
        <v/>
      </c>
      <c r="N51" s="9">
        <f>M51*Inputs!$C$11</f>
        <v/>
      </c>
      <c r="O51" s="9">
        <f>1000*(D52-D50)/(A52-A50)*Inputs!$C$11</f>
        <v/>
      </c>
      <c r="P51" s="9">
        <f>-2*O51/Inputs!$C$13</f>
        <v/>
      </c>
      <c r="Q51" s="9">
        <f>-2*O51/Inputs!$C$14</f>
        <v/>
      </c>
      <c r="R51" s="9">
        <f>F51-Inputs!$C$16/2</f>
        <v/>
      </c>
      <c r="S51" s="9">
        <f>F51+Inputs!$C$16/2</f>
        <v/>
      </c>
      <c r="T51" s="9">
        <f>F51-Inputs!$C$17/2</f>
        <v/>
      </c>
      <c r="U51" s="9">
        <f>F51+Inputs!$C$17/2</f>
        <v/>
      </c>
      <c r="V51" s="9">
        <f>ABS(P51)</f>
        <v/>
      </c>
      <c r="W51" s="9">
        <f>ABS(Q51)</f>
        <v/>
      </c>
      <c r="X51" s="9">
        <f>IF(OR(Inputs!$C$27=TRUE,Inputs!$C$27="TRUE",Inputs!$C$27=1),1,0)*(Inputs!$C$51*(115*EXP(-(((0)-25)^2)/(4.5^2))+70*EXP(-(((0)+38)^2)/(7^2))*(0.55+0.45*SIN(2*PI()*(A51)/45))+24*SIN(2*PI()*(0)/9+(A51)/18)*EXP(-(((0)+5)^2)/(22^2))+18*SIN(2*PI()*(A51)/70))+Inputs!$C$28*EXP(-(((A51)-Inputs!$C$29)^2)/(2*Inputs!$C$31^2))*EXP(-(((0)-Inputs!$C$30)^2)/(2*Inputs!$C$32^2))+-Inputs!$C$33*EXP(-(((((A51)-Inputs!$C$34)^2)+(((0)-Inputs!$C$35)^2))/(2*Inputs!$C$36^2)))+Inputs!$C$37*(0.55*SIN(2*PI()*(A51)/Inputs!$C$39)+0.35*COS(2*PI()*(0)/Inputs!$C$40)+0.2*SIN(2*PI()*((A51)+(0))/(0.5*(Inputs!$C$39+Inputs!$C$40))))+Inputs!$C$38*SIN(2*PI()*(A51)/Inputs!$C$39)*SIN(2*PI()*(0)/Inputs!$C$40)+-Inputs!$C$41*EXP(-(((0)-Inputs!$C$43)^2)/(2*Inputs!$C$44^2))*EXP(-(((A51)-Inputs!$C$42)^2)/(2*Inputs!$C$45^2))+Inputs!$C$48*(0.7*(0.45*SIN(2*PI()*(((A51)/Inputs!$C$49)+Inputs!$C$47*0.137))+0.35*COS(2*PI()*(((0)/Inputs!$C$50)+Inputs!$C$47*0.173))+0.2*SIN(2*PI()*(((A51)+(0))/(0.5*(Inputs!$C$49+Inputs!$C$50))+Inputs!$C$47*0.097)))+0.3*(2*((SIN(((A51)*12.9898+(0)*78.233+Inputs!$C$47*37.719))*43758.5453)-INT((SIN(((A51)*12.9898+(0)*78.233+Inputs!$C$47*37.719))*43758.5453)))-1)))</f>
        <v/>
      </c>
      <c r="Y51" s="9">
        <f>IF(OR(Inputs!$C$27=TRUE,Inputs!$C$27="TRUE",Inputs!$C$27=1),1,0)*(Inputs!$C$51*(115*EXP(-(((Inputs!$C$6)-25)^2)/(4.5^2))+70*EXP(-(((Inputs!$C$6)+38)^2)/(7^2))*(0.55+0.45*SIN(2*PI()*(A51)/45))+24*SIN(2*PI()*(Inputs!$C$6)/9+(A51)/18)*EXP(-(((Inputs!$C$6)+5)^2)/(22^2))+18*SIN(2*PI()*(A51)/70))+Inputs!$C$28*EXP(-(((A51)-Inputs!$C$29)^2)/(2*Inputs!$C$31^2))*EXP(-(((Inputs!$C$6)-Inputs!$C$30)^2)/(2*Inputs!$C$32^2))+-Inputs!$C$33*EXP(-(((((A51)-Inputs!$C$34)^2)+(((Inputs!$C$6)-Inputs!$C$35)^2))/(2*Inputs!$C$36^2)))+Inputs!$C$37*(0.55*SIN(2*PI()*(A51)/Inputs!$C$39)+0.35*COS(2*PI()*(Inputs!$C$6)/Inputs!$C$40)+0.2*SIN(2*PI()*((A51)+(Inputs!$C$6))/(0.5*(Inputs!$C$39+Inputs!$C$40))))+Inputs!$C$38*SIN(2*PI()*(A51)/Inputs!$C$39)*SIN(2*PI()*(Inputs!$C$6)/Inputs!$C$40)+-Inputs!$C$41*EXP(-(((Inputs!$C$6)-Inputs!$C$43)^2)/(2*Inputs!$C$44^2))*EXP(-(((A51)-Inputs!$C$42)^2)/(2*Inputs!$C$45^2))+Inputs!$C$48*(0.7*(0.45*SIN(2*PI()*(((A51)/Inputs!$C$49)+Inputs!$C$47*0.137))+0.35*COS(2*PI()*(((Inputs!$C$6)/Inputs!$C$50)+Inputs!$C$47*0.173))+0.2*SIN(2*PI()*(((A51)+(Inputs!$C$6))/(0.5*(Inputs!$C$49+Inputs!$C$50))+Inputs!$C$47*0.097)))+0.3*(2*((SIN(((A51)*12.9898+(Inputs!$C$6)*78.233+Inputs!$C$47*37.719))*43758.5453)-INT((SIN(((A51)*12.9898+(Inputs!$C$6)*78.233+Inputs!$C$47*37.719))*43758.5453)))-1)))</f>
        <v/>
      </c>
      <c r="Z51" s="9">
        <f>B51-X51/1000</f>
        <v/>
      </c>
      <c r="AA51" s="9">
        <f>SQRT((Inputs!$C$52+B51)^2+(Inputs!$C$52+Y51/1000)^2-2*(Inputs!$C$52+B51)*(Inputs!$C$52+Y51/1000)*COS(SQRT(A51^2+Inputs!$C$6^2)/Inputs!$C$52))</f>
        <v/>
      </c>
      <c r="AB51" s="9">
        <f>(AA51-Z51)*1000</f>
        <v/>
      </c>
      <c r="AC51" s="9">
        <f>AB51/Inputs!$C$12</f>
        <v/>
      </c>
      <c r="AD51" s="9">
        <f>2*AB51/Inputs!$C$21*1000000</f>
        <v/>
      </c>
      <c r="AE51" s="9">
        <f>DEGREES(ATAN(H51/(B51-Y51/1000)))</f>
        <v/>
      </c>
      <c r="AF51" s="9">
        <f>DEGREES((2*PI()/Inputs!$C$13)*Inputs!$C$15*SIN(RADIANS(AE51)))</f>
        <v/>
      </c>
      <c r="AG51" s="9">
        <f>(Z51/AA51)^4</f>
        <v/>
      </c>
      <c r="AH51" s="9">
        <f>10*LOG10(AG51)</f>
        <v/>
      </c>
      <c r="AI51" s="9">
        <f>AC51-F51</f>
        <v/>
      </c>
      <c r="AJ51" s="9">
        <f>AD51-G51</f>
        <v/>
      </c>
      <c r="AK51" s="9">
        <f>Y51-X51</f>
        <v/>
      </c>
      <c r="AL51" s="9">
        <f>1000*(AA52-AA50)/(A52-A50)*Inputs!$C$11</f>
        <v/>
      </c>
      <c r="AM51" s="9">
        <f>-2*AL51/Inputs!$C$13</f>
        <v/>
      </c>
      <c r="AN51" s="9">
        <f>-2*AL51/Inputs!$C$14</f>
        <v/>
      </c>
      <c r="AO51" s="9">
        <f>ABS(AM51)</f>
        <v/>
      </c>
      <c r="AP51" s="9">
        <f>ABS(AN51)</f>
        <v/>
      </c>
      <c r="AQ51" s="9">
        <f>IF(OR(Inputs!$C$27=TRUE,Inputs!$C$27="TRUE",Inputs!$C$27=1),Inputs!$C$46/Inputs!$C$12,0)</f>
        <v/>
      </c>
      <c r="AR51" s="9">
        <f>AC51-AQ51</f>
        <v/>
      </c>
      <c r="AS51" s="9">
        <f>AC51+AQ51</f>
        <v/>
      </c>
    </row>
    <row r="52">
      <c r="A52" s="9">
        <f>Inputs!$C$7+50*(Inputs!$C$8-Inputs!$C$7)/240</f>
        <v/>
      </c>
      <c r="B52" s="9">
        <f>Inputs!$C$5+Inputs!$C$9*(A52/Inputs!$C$10)^2</f>
        <v/>
      </c>
      <c r="C52" s="9">
        <f>B52</f>
        <v/>
      </c>
      <c r="D52" s="9">
        <f>SQRT((Inputs!$C$52+B52)^2+Inputs!$C$52^2-2*(Inputs!$C$52+B52)*Inputs!$C$52*COS(SQRT(A52^2+Inputs!$C$6^2)/Inputs!$C$52))</f>
        <v/>
      </c>
      <c r="E52" s="9">
        <f>(D52-C52)*1000</f>
        <v/>
      </c>
      <c r="F52" s="9">
        <f>E52/Inputs!$C$12</f>
        <v/>
      </c>
      <c r="G52" s="9">
        <f>2*E52/Inputs!$C$21*1000000</f>
        <v/>
      </c>
      <c r="H52" s="9">
        <f>SQRT(A52^2+Inputs!$C$6^2)</f>
        <v/>
      </c>
      <c r="I52" s="9">
        <f>DEGREES(ATAN(H52/B52))</f>
        <v/>
      </c>
      <c r="J52" s="9">
        <f>DEGREES((2*PI()/Inputs!$C$13)*Inputs!$C$15*SIN(RADIANS(I52)))</f>
        <v/>
      </c>
      <c r="K52" s="9">
        <f>(C52/D52)^4</f>
        <v/>
      </c>
      <c r="L52" s="9">
        <f>10*LOG10(K52)</f>
        <v/>
      </c>
      <c r="M52" s="9">
        <f>2*(Inputs!$C$9/(Inputs!$C$10^2))*A52</f>
        <v/>
      </c>
      <c r="N52" s="9">
        <f>M52*Inputs!$C$11</f>
        <v/>
      </c>
      <c r="O52" s="9">
        <f>1000*(D53-D51)/(A53-A51)*Inputs!$C$11</f>
        <v/>
      </c>
      <c r="P52" s="9">
        <f>-2*O52/Inputs!$C$13</f>
        <v/>
      </c>
      <c r="Q52" s="9">
        <f>-2*O52/Inputs!$C$14</f>
        <v/>
      </c>
      <c r="R52" s="9">
        <f>F52-Inputs!$C$16/2</f>
        <v/>
      </c>
      <c r="S52" s="9">
        <f>F52+Inputs!$C$16/2</f>
        <v/>
      </c>
      <c r="T52" s="9">
        <f>F52-Inputs!$C$17/2</f>
        <v/>
      </c>
      <c r="U52" s="9">
        <f>F52+Inputs!$C$17/2</f>
        <v/>
      </c>
      <c r="V52" s="9">
        <f>ABS(P52)</f>
        <v/>
      </c>
      <c r="W52" s="9">
        <f>ABS(Q52)</f>
        <v/>
      </c>
      <c r="X52" s="9">
        <f>IF(OR(Inputs!$C$27=TRUE,Inputs!$C$27="TRUE",Inputs!$C$27=1),1,0)*(Inputs!$C$51*(115*EXP(-(((0)-25)^2)/(4.5^2))+70*EXP(-(((0)+38)^2)/(7^2))*(0.55+0.45*SIN(2*PI()*(A52)/45))+24*SIN(2*PI()*(0)/9+(A52)/18)*EXP(-(((0)+5)^2)/(22^2))+18*SIN(2*PI()*(A52)/70))+Inputs!$C$28*EXP(-(((A52)-Inputs!$C$29)^2)/(2*Inputs!$C$31^2))*EXP(-(((0)-Inputs!$C$30)^2)/(2*Inputs!$C$32^2))+-Inputs!$C$33*EXP(-(((((A52)-Inputs!$C$34)^2)+(((0)-Inputs!$C$35)^2))/(2*Inputs!$C$36^2)))+Inputs!$C$37*(0.55*SIN(2*PI()*(A52)/Inputs!$C$39)+0.35*COS(2*PI()*(0)/Inputs!$C$40)+0.2*SIN(2*PI()*((A52)+(0))/(0.5*(Inputs!$C$39+Inputs!$C$40))))+Inputs!$C$38*SIN(2*PI()*(A52)/Inputs!$C$39)*SIN(2*PI()*(0)/Inputs!$C$40)+-Inputs!$C$41*EXP(-(((0)-Inputs!$C$43)^2)/(2*Inputs!$C$44^2))*EXP(-(((A52)-Inputs!$C$42)^2)/(2*Inputs!$C$45^2))+Inputs!$C$48*(0.7*(0.45*SIN(2*PI()*(((A52)/Inputs!$C$49)+Inputs!$C$47*0.137))+0.35*COS(2*PI()*(((0)/Inputs!$C$50)+Inputs!$C$47*0.173))+0.2*SIN(2*PI()*(((A52)+(0))/(0.5*(Inputs!$C$49+Inputs!$C$50))+Inputs!$C$47*0.097)))+0.3*(2*((SIN(((A52)*12.9898+(0)*78.233+Inputs!$C$47*37.719))*43758.5453)-INT((SIN(((A52)*12.9898+(0)*78.233+Inputs!$C$47*37.719))*43758.5453)))-1)))</f>
        <v/>
      </c>
      <c r="Y52" s="9">
        <f>IF(OR(Inputs!$C$27=TRUE,Inputs!$C$27="TRUE",Inputs!$C$27=1),1,0)*(Inputs!$C$51*(115*EXP(-(((Inputs!$C$6)-25)^2)/(4.5^2))+70*EXP(-(((Inputs!$C$6)+38)^2)/(7^2))*(0.55+0.45*SIN(2*PI()*(A52)/45))+24*SIN(2*PI()*(Inputs!$C$6)/9+(A52)/18)*EXP(-(((Inputs!$C$6)+5)^2)/(22^2))+18*SIN(2*PI()*(A52)/70))+Inputs!$C$28*EXP(-(((A52)-Inputs!$C$29)^2)/(2*Inputs!$C$31^2))*EXP(-(((Inputs!$C$6)-Inputs!$C$30)^2)/(2*Inputs!$C$32^2))+-Inputs!$C$33*EXP(-(((((A52)-Inputs!$C$34)^2)+(((Inputs!$C$6)-Inputs!$C$35)^2))/(2*Inputs!$C$36^2)))+Inputs!$C$37*(0.55*SIN(2*PI()*(A52)/Inputs!$C$39)+0.35*COS(2*PI()*(Inputs!$C$6)/Inputs!$C$40)+0.2*SIN(2*PI()*((A52)+(Inputs!$C$6))/(0.5*(Inputs!$C$39+Inputs!$C$40))))+Inputs!$C$38*SIN(2*PI()*(A52)/Inputs!$C$39)*SIN(2*PI()*(Inputs!$C$6)/Inputs!$C$40)+-Inputs!$C$41*EXP(-(((Inputs!$C$6)-Inputs!$C$43)^2)/(2*Inputs!$C$44^2))*EXP(-(((A52)-Inputs!$C$42)^2)/(2*Inputs!$C$45^2))+Inputs!$C$48*(0.7*(0.45*SIN(2*PI()*(((A52)/Inputs!$C$49)+Inputs!$C$47*0.137))+0.35*COS(2*PI()*(((Inputs!$C$6)/Inputs!$C$50)+Inputs!$C$47*0.173))+0.2*SIN(2*PI()*(((A52)+(Inputs!$C$6))/(0.5*(Inputs!$C$49+Inputs!$C$50))+Inputs!$C$47*0.097)))+0.3*(2*((SIN(((A52)*12.9898+(Inputs!$C$6)*78.233+Inputs!$C$47*37.719))*43758.5453)-INT((SIN(((A52)*12.9898+(Inputs!$C$6)*78.233+Inputs!$C$47*37.719))*43758.5453)))-1)))</f>
        <v/>
      </c>
      <c r="Z52" s="9">
        <f>B52-X52/1000</f>
        <v/>
      </c>
      <c r="AA52" s="9">
        <f>SQRT((Inputs!$C$52+B52)^2+(Inputs!$C$52+Y52/1000)^2-2*(Inputs!$C$52+B52)*(Inputs!$C$52+Y52/1000)*COS(SQRT(A52^2+Inputs!$C$6^2)/Inputs!$C$52))</f>
        <v/>
      </c>
      <c r="AB52" s="9">
        <f>(AA52-Z52)*1000</f>
        <v/>
      </c>
      <c r="AC52" s="9">
        <f>AB52/Inputs!$C$12</f>
        <v/>
      </c>
      <c r="AD52" s="9">
        <f>2*AB52/Inputs!$C$21*1000000</f>
        <v/>
      </c>
      <c r="AE52" s="9">
        <f>DEGREES(ATAN(H52/(B52-Y52/1000)))</f>
        <v/>
      </c>
      <c r="AF52" s="9">
        <f>DEGREES((2*PI()/Inputs!$C$13)*Inputs!$C$15*SIN(RADIANS(AE52)))</f>
        <v/>
      </c>
      <c r="AG52" s="9">
        <f>(Z52/AA52)^4</f>
        <v/>
      </c>
      <c r="AH52" s="9">
        <f>10*LOG10(AG52)</f>
        <v/>
      </c>
      <c r="AI52" s="9">
        <f>AC52-F52</f>
        <v/>
      </c>
      <c r="AJ52" s="9">
        <f>AD52-G52</f>
        <v/>
      </c>
      <c r="AK52" s="9">
        <f>Y52-X52</f>
        <v/>
      </c>
      <c r="AL52" s="9">
        <f>1000*(AA53-AA51)/(A53-A51)*Inputs!$C$11</f>
        <v/>
      </c>
      <c r="AM52" s="9">
        <f>-2*AL52/Inputs!$C$13</f>
        <v/>
      </c>
      <c r="AN52" s="9">
        <f>-2*AL52/Inputs!$C$14</f>
        <v/>
      </c>
      <c r="AO52" s="9">
        <f>ABS(AM52)</f>
        <v/>
      </c>
      <c r="AP52" s="9">
        <f>ABS(AN52)</f>
        <v/>
      </c>
      <c r="AQ52" s="9">
        <f>IF(OR(Inputs!$C$27=TRUE,Inputs!$C$27="TRUE",Inputs!$C$27=1),Inputs!$C$46/Inputs!$C$12,0)</f>
        <v/>
      </c>
      <c r="AR52" s="9">
        <f>AC52-AQ52</f>
        <v/>
      </c>
      <c r="AS52" s="9">
        <f>AC52+AQ52</f>
        <v/>
      </c>
    </row>
    <row r="53">
      <c r="A53" s="9">
        <f>Inputs!$C$7+51*(Inputs!$C$8-Inputs!$C$7)/240</f>
        <v/>
      </c>
      <c r="B53" s="9">
        <f>Inputs!$C$5+Inputs!$C$9*(A53/Inputs!$C$10)^2</f>
        <v/>
      </c>
      <c r="C53" s="9">
        <f>B53</f>
        <v/>
      </c>
      <c r="D53" s="9">
        <f>SQRT((Inputs!$C$52+B53)^2+Inputs!$C$52^2-2*(Inputs!$C$52+B53)*Inputs!$C$52*COS(SQRT(A53^2+Inputs!$C$6^2)/Inputs!$C$52))</f>
        <v/>
      </c>
      <c r="E53" s="9">
        <f>(D53-C53)*1000</f>
        <v/>
      </c>
      <c r="F53" s="9">
        <f>E53/Inputs!$C$12</f>
        <v/>
      </c>
      <c r="G53" s="9">
        <f>2*E53/Inputs!$C$21*1000000</f>
        <v/>
      </c>
      <c r="H53" s="9">
        <f>SQRT(A53^2+Inputs!$C$6^2)</f>
        <v/>
      </c>
      <c r="I53" s="9">
        <f>DEGREES(ATAN(H53/B53))</f>
        <v/>
      </c>
      <c r="J53" s="9">
        <f>DEGREES((2*PI()/Inputs!$C$13)*Inputs!$C$15*SIN(RADIANS(I53)))</f>
        <v/>
      </c>
      <c r="K53" s="9">
        <f>(C53/D53)^4</f>
        <v/>
      </c>
      <c r="L53" s="9">
        <f>10*LOG10(K53)</f>
        <v/>
      </c>
      <c r="M53" s="9">
        <f>2*(Inputs!$C$9/(Inputs!$C$10^2))*A53</f>
        <v/>
      </c>
      <c r="N53" s="9">
        <f>M53*Inputs!$C$11</f>
        <v/>
      </c>
      <c r="O53" s="9">
        <f>1000*(D54-D52)/(A54-A52)*Inputs!$C$11</f>
        <v/>
      </c>
      <c r="P53" s="9">
        <f>-2*O53/Inputs!$C$13</f>
        <v/>
      </c>
      <c r="Q53" s="9">
        <f>-2*O53/Inputs!$C$14</f>
        <v/>
      </c>
      <c r="R53" s="9">
        <f>F53-Inputs!$C$16/2</f>
        <v/>
      </c>
      <c r="S53" s="9">
        <f>F53+Inputs!$C$16/2</f>
        <v/>
      </c>
      <c r="T53" s="9">
        <f>F53-Inputs!$C$17/2</f>
        <v/>
      </c>
      <c r="U53" s="9">
        <f>F53+Inputs!$C$17/2</f>
        <v/>
      </c>
      <c r="V53" s="9">
        <f>ABS(P53)</f>
        <v/>
      </c>
      <c r="W53" s="9">
        <f>ABS(Q53)</f>
        <v/>
      </c>
      <c r="X53" s="9">
        <f>IF(OR(Inputs!$C$27=TRUE,Inputs!$C$27="TRUE",Inputs!$C$27=1),1,0)*(Inputs!$C$51*(115*EXP(-(((0)-25)^2)/(4.5^2))+70*EXP(-(((0)+38)^2)/(7^2))*(0.55+0.45*SIN(2*PI()*(A53)/45))+24*SIN(2*PI()*(0)/9+(A53)/18)*EXP(-(((0)+5)^2)/(22^2))+18*SIN(2*PI()*(A53)/70))+Inputs!$C$28*EXP(-(((A53)-Inputs!$C$29)^2)/(2*Inputs!$C$31^2))*EXP(-(((0)-Inputs!$C$30)^2)/(2*Inputs!$C$32^2))+-Inputs!$C$33*EXP(-(((((A53)-Inputs!$C$34)^2)+(((0)-Inputs!$C$35)^2))/(2*Inputs!$C$36^2)))+Inputs!$C$37*(0.55*SIN(2*PI()*(A53)/Inputs!$C$39)+0.35*COS(2*PI()*(0)/Inputs!$C$40)+0.2*SIN(2*PI()*((A53)+(0))/(0.5*(Inputs!$C$39+Inputs!$C$40))))+Inputs!$C$38*SIN(2*PI()*(A53)/Inputs!$C$39)*SIN(2*PI()*(0)/Inputs!$C$40)+-Inputs!$C$41*EXP(-(((0)-Inputs!$C$43)^2)/(2*Inputs!$C$44^2))*EXP(-(((A53)-Inputs!$C$42)^2)/(2*Inputs!$C$45^2))+Inputs!$C$48*(0.7*(0.45*SIN(2*PI()*(((A53)/Inputs!$C$49)+Inputs!$C$47*0.137))+0.35*COS(2*PI()*(((0)/Inputs!$C$50)+Inputs!$C$47*0.173))+0.2*SIN(2*PI()*(((A53)+(0))/(0.5*(Inputs!$C$49+Inputs!$C$50))+Inputs!$C$47*0.097)))+0.3*(2*((SIN(((A53)*12.9898+(0)*78.233+Inputs!$C$47*37.719))*43758.5453)-INT((SIN(((A53)*12.9898+(0)*78.233+Inputs!$C$47*37.719))*43758.5453)))-1)))</f>
        <v/>
      </c>
      <c r="Y53" s="9">
        <f>IF(OR(Inputs!$C$27=TRUE,Inputs!$C$27="TRUE",Inputs!$C$27=1),1,0)*(Inputs!$C$51*(115*EXP(-(((Inputs!$C$6)-25)^2)/(4.5^2))+70*EXP(-(((Inputs!$C$6)+38)^2)/(7^2))*(0.55+0.45*SIN(2*PI()*(A53)/45))+24*SIN(2*PI()*(Inputs!$C$6)/9+(A53)/18)*EXP(-(((Inputs!$C$6)+5)^2)/(22^2))+18*SIN(2*PI()*(A53)/70))+Inputs!$C$28*EXP(-(((A53)-Inputs!$C$29)^2)/(2*Inputs!$C$31^2))*EXP(-(((Inputs!$C$6)-Inputs!$C$30)^2)/(2*Inputs!$C$32^2))+-Inputs!$C$33*EXP(-(((((A53)-Inputs!$C$34)^2)+(((Inputs!$C$6)-Inputs!$C$35)^2))/(2*Inputs!$C$36^2)))+Inputs!$C$37*(0.55*SIN(2*PI()*(A53)/Inputs!$C$39)+0.35*COS(2*PI()*(Inputs!$C$6)/Inputs!$C$40)+0.2*SIN(2*PI()*((A53)+(Inputs!$C$6))/(0.5*(Inputs!$C$39+Inputs!$C$40))))+Inputs!$C$38*SIN(2*PI()*(A53)/Inputs!$C$39)*SIN(2*PI()*(Inputs!$C$6)/Inputs!$C$40)+-Inputs!$C$41*EXP(-(((Inputs!$C$6)-Inputs!$C$43)^2)/(2*Inputs!$C$44^2))*EXP(-(((A53)-Inputs!$C$42)^2)/(2*Inputs!$C$45^2))+Inputs!$C$48*(0.7*(0.45*SIN(2*PI()*(((A53)/Inputs!$C$49)+Inputs!$C$47*0.137))+0.35*COS(2*PI()*(((Inputs!$C$6)/Inputs!$C$50)+Inputs!$C$47*0.173))+0.2*SIN(2*PI()*(((A53)+(Inputs!$C$6))/(0.5*(Inputs!$C$49+Inputs!$C$50))+Inputs!$C$47*0.097)))+0.3*(2*((SIN(((A53)*12.9898+(Inputs!$C$6)*78.233+Inputs!$C$47*37.719))*43758.5453)-INT((SIN(((A53)*12.9898+(Inputs!$C$6)*78.233+Inputs!$C$47*37.719))*43758.5453)))-1)))</f>
        <v/>
      </c>
      <c r="Z53" s="9">
        <f>B53-X53/1000</f>
        <v/>
      </c>
      <c r="AA53" s="9">
        <f>SQRT((Inputs!$C$52+B53)^2+(Inputs!$C$52+Y53/1000)^2-2*(Inputs!$C$52+B53)*(Inputs!$C$52+Y53/1000)*COS(SQRT(A53^2+Inputs!$C$6^2)/Inputs!$C$52))</f>
        <v/>
      </c>
      <c r="AB53" s="9">
        <f>(AA53-Z53)*1000</f>
        <v/>
      </c>
      <c r="AC53" s="9">
        <f>AB53/Inputs!$C$12</f>
        <v/>
      </c>
      <c r="AD53" s="9">
        <f>2*AB53/Inputs!$C$21*1000000</f>
        <v/>
      </c>
      <c r="AE53" s="9">
        <f>DEGREES(ATAN(H53/(B53-Y53/1000)))</f>
        <v/>
      </c>
      <c r="AF53" s="9">
        <f>DEGREES((2*PI()/Inputs!$C$13)*Inputs!$C$15*SIN(RADIANS(AE53)))</f>
        <v/>
      </c>
      <c r="AG53" s="9">
        <f>(Z53/AA53)^4</f>
        <v/>
      </c>
      <c r="AH53" s="9">
        <f>10*LOG10(AG53)</f>
        <v/>
      </c>
      <c r="AI53" s="9">
        <f>AC53-F53</f>
        <v/>
      </c>
      <c r="AJ53" s="9">
        <f>AD53-G53</f>
        <v/>
      </c>
      <c r="AK53" s="9">
        <f>Y53-X53</f>
        <v/>
      </c>
      <c r="AL53" s="9">
        <f>1000*(AA54-AA52)/(A54-A52)*Inputs!$C$11</f>
        <v/>
      </c>
      <c r="AM53" s="9">
        <f>-2*AL53/Inputs!$C$13</f>
        <v/>
      </c>
      <c r="AN53" s="9">
        <f>-2*AL53/Inputs!$C$14</f>
        <v/>
      </c>
      <c r="AO53" s="9">
        <f>ABS(AM53)</f>
        <v/>
      </c>
      <c r="AP53" s="9">
        <f>ABS(AN53)</f>
        <v/>
      </c>
      <c r="AQ53" s="9">
        <f>IF(OR(Inputs!$C$27=TRUE,Inputs!$C$27="TRUE",Inputs!$C$27=1),Inputs!$C$46/Inputs!$C$12,0)</f>
        <v/>
      </c>
      <c r="AR53" s="9">
        <f>AC53-AQ53</f>
        <v/>
      </c>
      <c r="AS53" s="9">
        <f>AC53+AQ53</f>
        <v/>
      </c>
    </row>
    <row r="54">
      <c r="A54" s="9">
        <f>Inputs!$C$7+52*(Inputs!$C$8-Inputs!$C$7)/240</f>
        <v/>
      </c>
      <c r="B54" s="9">
        <f>Inputs!$C$5+Inputs!$C$9*(A54/Inputs!$C$10)^2</f>
        <v/>
      </c>
      <c r="C54" s="9">
        <f>B54</f>
        <v/>
      </c>
      <c r="D54" s="9">
        <f>SQRT((Inputs!$C$52+B54)^2+Inputs!$C$52^2-2*(Inputs!$C$52+B54)*Inputs!$C$52*COS(SQRT(A54^2+Inputs!$C$6^2)/Inputs!$C$52))</f>
        <v/>
      </c>
      <c r="E54" s="9">
        <f>(D54-C54)*1000</f>
        <v/>
      </c>
      <c r="F54" s="9">
        <f>E54/Inputs!$C$12</f>
        <v/>
      </c>
      <c r="G54" s="9">
        <f>2*E54/Inputs!$C$21*1000000</f>
        <v/>
      </c>
      <c r="H54" s="9">
        <f>SQRT(A54^2+Inputs!$C$6^2)</f>
        <v/>
      </c>
      <c r="I54" s="9">
        <f>DEGREES(ATAN(H54/B54))</f>
        <v/>
      </c>
      <c r="J54" s="9">
        <f>DEGREES((2*PI()/Inputs!$C$13)*Inputs!$C$15*SIN(RADIANS(I54)))</f>
        <v/>
      </c>
      <c r="K54" s="9">
        <f>(C54/D54)^4</f>
        <v/>
      </c>
      <c r="L54" s="9">
        <f>10*LOG10(K54)</f>
        <v/>
      </c>
      <c r="M54" s="9">
        <f>2*(Inputs!$C$9/(Inputs!$C$10^2))*A54</f>
        <v/>
      </c>
      <c r="N54" s="9">
        <f>M54*Inputs!$C$11</f>
        <v/>
      </c>
      <c r="O54" s="9">
        <f>1000*(D55-D53)/(A55-A53)*Inputs!$C$11</f>
        <v/>
      </c>
      <c r="P54" s="9">
        <f>-2*O54/Inputs!$C$13</f>
        <v/>
      </c>
      <c r="Q54" s="9">
        <f>-2*O54/Inputs!$C$14</f>
        <v/>
      </c>
      <c r="R54" s="9">
        <f>F54-Inputs!$C$16/2</f>
        <v/>
      </c>
      <c r="S54" s="9">
        <f>F54+Inputs!$C$16/2</f>
        <v/>
      </c>
      <c r="T54" s="9">
        <f>F54-Inputs!$C$17/2</f>
        <v/>
      </c>
      <c r="U54" s="9">
        <f>F54+Inputs!$C$17/2</f>
        <v/>
      </c>
      <c r="V54" s="9">
        <f>ABS(P54)</f>
        <v/>
      </c>
      <c r="W54" s="9">
        <f>ABS(Q54)</f>
        <v/>
      </c>
      <c r="X54" s="9">
        <f>IF(OR(Inputs!$C$27=TRUE,Inputs!$C$27="TRUE",Inputs!$C$27=1),1,0)*(Inputs!$C$51*(115*EXP(-(((0)-25)^2)/(4.5^2))+70*EXP(-(((0)+38)^2)/(7^2))*(0.55+0.45*SIN(2*PI()*(A54)/45))+24*SIN(2*PI()*(0)/9+(A54)/18)*EXP(-(((0)+5)^2)/(22^2))+18*SIN(2*PI()*(A54)/70))+Inputs!$C$28*EXP(-(((A54)-Inputs!$C$29)^2)/(2*Inputs!$C$31^2))*EXP(-(((0)-Inputs!$C$30)^2)/(2*Inputs!$C$32^2))+-Inputs!$C$33*EXP(-(((((A54)-Inputs!$C$34)^2)+(((0)-Inputs!$C$35)^2))/(2*Inputs!$C$36^2)))+Inputs!$C$37*(0.55*SIN(2*PI()*(A54)/Inputs!$C$39)+0.35*COS(2*PI()*(0)/Inputs!$C$40)+0.2*SIN(2*PI()*((A54)+(0))/(0.5*(Inputs!$C$39+Inputs!$C$40))))+Inputs!$C$38*SIN(2*PI()*(A54)/Inputs!$C$39)*SIN(2*PI()*(0)/Inputs!$C$40)+-Inputs!$C$41*EXP(-(((0)-Inputs!$C$43)^2)/(2*Inputs!$C$44^2))*EXP(-(((A54)-Inputs!$C$42)^2)/(2*Inputs!$C$45^2))+Inputs!$C$48*(0.7*(0.45*SIN(2*PI()*(((A54)/Inputs!$C$49)+Inputs!$C$47*0.137))+0.35*COS(2*PI()*(((0)/Inputs!$C$50)+Inputs!$C$47*0.173))+0.2*SIN(2*PI()*(((A54)+(0))/(0.5*(Inputs!$C$49+Inputs!$C$50))+Inputs!$C$47*0.097)))+0.3*(2*((SIN(((A54)*12.9898+(0)*78.233+Inputs!$C$47*37.719))*43758.5453)-INT((SIN(((A54)*12.9898+(0)*78.233+Inputs!$C$47*37.719))*43758.5453)))-1)))</f>
        <v/>
      </c>
      <c r="Y54" s="9">
        <f>IF(OR(Inputs!$C$27=TRUE,Inputs!$C$27="TRUE",Inputs!$C$27=1),1,0)*(Inputs!$C$51*(115*EXP(-(((Inputs!$C$6)-25)^2)/(4.5^2))+70*EXP(-(((Inputs!$C$6)+38)^2)/(7^2))*(0.55+0.45*SIN(2*PI()*(A54)/45))+24*SIN(2*PI()*(Inputs!$C$6)/9+(A54)/18)*EXP(-(((Inputs!$C$6)+5)^2)/(22^2))+18*SIN(2*PI()*(A54)/70))+Inputs!$C$28*EXP(-(((A54)-Inputs!$C$29)^2)/(2*Inputs!$C$31^2))*EXP(-(((Inputs!$C$6)-Inputs!$C$30)^2)/(2*Inputs!$C$32^2))+-Inputs!$C$33*EXP(-(((((A54)-Inputs!$C$34)^2)+(((Inputs!$C$6)-Inputs!$C$35)^2))/(2*Inputs!$C$36^2)))+Inputs!$C$37*(0.55*SIN(2*PI()*(A54)/Inputs!$C$39)+0.35*COS(2*PI()*(Inputs!$C$6)/Inputs!$C$40)+0.2*SIN(2*PI()*((A54)+(Inputs!$C$6))/(0.5*(Inputs!$C$39+Inputs!$C$40))))+Inputs!$C$38*SIN(2*PI()*(A54)/Inputs!$C$39)*SIN(2*PI()*(Inputs!$C$6)/Inputs!$C$40)+-Inputs!$C$41*EXP(-(((Inputs!$C$6)-Inputs!$C$43)^2)/(2*Inputs!$C$44^2))*EXP(-(((A54)-Inputs!$C$42)^2)/(2*Inputs!$C$45^2))+Inputs!$C$48*(0.7*(0.45*SIN(2*PI()*(((A54)/Inputs!$C$49)+Inputs!$C$47*0.137))+0.35*COS(2*PI()*(((Inputs!$C$6)/Inputs!$C$50)+Inputs!$C$47*0.173))+0.2*SIN(2*PI()*(((A54)+(Inputs!$C$6))/(0.5*(Inputs!$C$49+Inputs!$C$50))+Inputs!$C$47*0.097)))+0.3*(2*((SIN(((A54)*12.9898+(Inputs!$C$6)*78.233+Inputs!$C$47*37.719))*43758.5453)-INT((SIN(((A54)*12.9898+(Inputs!$C$6)*78.233+Inputs!$C$47*37.719))*43758.5453)))-1)))</f>
        <v/>
      </c>
      <c r="Z54" s="9">
        <f>B54-X54/1000</f>
        <v/>
      </c>
      <c r="AA54" s="9">
        <f>SQRT((Inputs!$C$52+B54)^2+(Inputs!$C$52+Y54/1000)^2-2*(Inputs!$C$52+B54)*(Inputs!$C$52+Y54/1000)*COS(SQRT(A54^2+Inputs!$C$6^2)/Inputs!$C$52))</f>
        <v/>
      </c>
      <c r="AB54" s="9">
        <f>(AA54-Z54)*1000</f>
        <v/>
      </c>
      <c r="AC54" s="9">
        <f>AB54/Inputs!$C$12</f>
        <v/>
      </c>
      <c r="AD54" s="9">
        <f>2*AB54/Inputs!$C$21*1000000</f>
        <v/>
      </c>
      <c r="AE54" s="9">
        <f>DEGREES(ATAN(H54/(B54-Y54/1000)))</f>
        <v/>
      </c>
      <c r="AF54" s="9">
        <f>DEGREES((2*PI()/Inputs!$C$13)*Inputs!$C$15*SIN(RADIANS(AE54)))</f>
        <v/>
      </c>
      <c r="AG54" s="9">
        <f>(Z54/AA54)^4</f>
        <v/>
      </c>
      <c r="AH54" s="9">
        <f>10*LOG10(AG54)</f>
        <v/>
      </c>
      <c r="AI54" s="9">
        <f>AC54-F54</f>
        <v/>
      </c>
      <c r="AJ54" s="9">
        <f>AD54-G54</f>
        <v/>
      </c>
      <c r="AK54" s="9">
        <f>Y54-X54</f>
        <v/>
      </c>
      <c r="AL54" s="9">
        <f>1000*(AA55-AA53)/(A55-A53)*Inputs!$C$11</f>
        <v/>
      </c>
      <c r="AM54" s="9">
        <f>-2*AL54/Inputs!$C$13</f>
        <v/>
      </c>
      <c r="AN54" s="9">
        <f>-2*AL54/Inputs!$C$14</f>
        <v/>
      </c>
      <c r="AO54" s="9">
        <f>ABS(AM54)</f>
        <v/>
      </c>
      <c r="AP54" s="9">
        <f>ABS(AN54)</f>
        <v/>
      </c>
      <c r="AQ54" s="9">
        <f>IF(OR(Inputs!$C$27=TRUE,Inputs!$C$27="TRUE",Inputs!$C$27=1),Inputs!$C$46/Inputs!$C$12,0)</f>
        <v/>
      </c>
      <c r="AR54" s="9">
        <f>AC54-AQ54</f>
        <v/>
      </c>
      <c r="AS54" s="9">
        <f>AC54+AQ54</f>
        <v/>
      </c>
    </row>
    <row r="55">
      <c r="A55" s="9">
        <f>Inputs!$C$7+53*(Inputs!$C$8-Inputs!$C$7)/240</f>
        <v/>
      </c>
      <c r="B55" s="9">
        <f>Inputs!$C$5+Inputs!$C$9*(A55/Inputs!$C$10)^2</f>
        <v/>
      </c>
      <c r="C55" s="9">
        <f>B55</f>
        <v/>
      </c>
      <c r="D55" s="9">
        <f>SQRT((Inputs!$C$52+B55)^2+Inputs!$C$52^2-2*(Inputs!$C$52+B55)*Inputs!$C$52*COS(SQRT(A55^2+Inputs!$C$6^2)/Inputs!$C$52))</f>
        <v/>
      </c>
      <c r="E55" s="9">
        <f>(D55-C55)*1000</f>
        <v/>
      </c>
      <c r="F55" s="9">
        <f>E55/Inputs!$C$12</f>
        <v/>
      </c>
      <c r="G55" s="9">
        <f>2*E55/Inputs!$C$21*1000000</f>
        <v/>
      </c>
      <c r="H55" s="9">
        <f>SQRT(A55^2+Inputs!$C$6^2)</f>
        <v/>
      </c>
      <c r="I55" s="9">
        <f>DEGREES(ATAN(H55/B55))</f>
        <v/>
      </c>
      <c r="J55" s="9">
        <f>DEGREES((2*PI()/Inputs!$C$13)*Inputs!$C$15*SIN(RADIANS(I55)))</f>
        <v/>
      </c>
      <c r="K55" s="9">
        <f>(C55/D55)^4</f>
        <v/>
      </c>
      <c r="L55" s="9">
        <f>10*LOG10(K55)</f>
        <v/>
      </c>
      <c r="M55" s="9">
        <f>2*(Inputs!$C$9/(Inputs!$C$10^2))*A55</f>
        <v/>
      </c>
      <c r="N55" s="9">
        <f>M55*Inputs!$C$11</f>
        <v/>
      </c>
      <c r="O55" s="9">
        <f>1000*(D56-D54)/(A56-A54)*Inputs!$C$11</f>
        <v/>
      </c>
      <c r="P55" s="9">
        <f>-2*O55/Inputs!$C$13</f>
        <v/>
      </c>
      <c r="Q55" s="9">
        <f>-2*O55/Inputs!$C$14</f>
        <v/>
      </c>
      <c r="R55" s="9">
        <f>F55-Inputs!$C$16/2</f>
        <v/>
      </c>
      <c r="S55" s="9">
        <f>F55+Inputs!$C$16/2</f>
        <v/>
      </c>
      <c r="T55" s="9">
        <f>F55-Inputs!$C$17/2</f>
        <v/>
      </c>
      <c r="U55" s="9">
        <f>F55+Inputs!$C$17/2</f>
        <v/>
      </c>
      <c r="V55" s="9">
        <f>ABS(P55)</f>
        <v/>
      </c>
      <c r="W55" s="9">
        <f>ABS(Q55)</f>
        <v/>
      </c>
      <c r="X55" s="9">
        <f>IF(OR(Inputs!$C$27=TRUE,Inputs!$C$27="TRUE",Inputs!$C$27=1),1,0)*(Inputs!$C$51*(115*EXP(-(((0)-25)^2)/(4.5^2))+70*EXP(-(((0)+38)^2)/(7^2))*(0.55+0.45*SIN(2*PI()*(A55)/45))+24*SIN(2*PI()*(0)/9+(A55)/18)*EXP(-(((0)+5)^2)/(22^2))+18*SIN(2*PI()*(A55)/70))+Inputs!$C$28*EXP(-(((A55)-Inputs!$C$29)^2)/(2*Inputs!$C$31^2))*EXP(-(((0)-Inputs!$C$30)^2)/(2*Inputs!$C$32^2))+-Inputs!$C$33*EXP(-(((((A55)-Inputs!$C$34)^2)+(((0)-Inputs!$C$35)^2))/(2*Inputs!$C$36^2)))+Inputs!$C$37*(0.55*SIN(2*PI()*(A55)/Inputs!$C$39)+0.35*COS(2*PI()*(0)/Inputs!$C$40)+0.2*SIN(2*PI()*((A55)+(0))/(0.5*(Inputs!$C$39+Inputs!$C$40))))+Inputs!$C$38*SIN(2*PI()*(A55)/Inputs!$C$39)*SIN(2*PI()*(0)/Inputs!$C$40)+-Inputs!$C$41*EXP(-(((0)-Inputs!$C$43)^2)/(2*Inputs!$C$44^2))*EXP(-(((A55)-Inputs!$C$42)^2)/(2*Inputs!$C$45^2))+Inputs!$C$48*(0.7*(0.45*SIN(2*PI()*(((A55)/Inputs!$C$49)+Inputs!$C$47*0.137))+0.35*COS(2*PI()*(((0)/Inputs!$C$50)+Inputs!$C$47*0.173))+0.2*SIN(2*PI()*(((A55)+(0))/(0.5*(Inputs!$C$49+Inputs!$C$50))+Inputs!$C$47*0.097)))+0.3*(2*((SIN(((A55)*12.9898+(0)*78.233+Inputs!$C$47*37.719))*43758.5453)-INT((SIN(((A55)*12.9898+(0)*78.233+Inputs!$C$47*37.719))*43758.5453)))-1)))</f>
        <v/>
      </c>
      <c r="Y55" s="9">
        <f>IF(OR(Inputs!$C$27=TRUE,Inputs!$C$27="TRUE",Inputs!$C$27=1),1,0)*(Inputs!$C$51*(115*EXP(-(((Inputs!$C$6)-25)^2)/(4.5^2))+70*EXP(-(((Inputs!$C$6)+38)^2)/(7^2))*(0.55+0.45*SIN(2*PI()*(A55)/45))+24*SIN(2*PI()*(Inputs!$C$6)/9+(A55)/18)*EXP(-(((Inputs!$C$6)+5)^2)/(22^2))+18*SIN(2*PI()*(A55)/70))+Inputs!$C$28*EXP(-(((A55)-Inputs!$C$29)^2)/(2*Inputs!$C$31^2))*EXP(-(((Inputs!$C$6)-Inputs!$C$30)^2)/(2*Inputs!$C$32^2))+-Inputs!$C$33*EXP(-(((((A55)-Inputs!$C$34)^2)+(((Inputs!$C$6)-Inputs!$C$35)^2))/(2*Inputs!$C$36^2)))+Inputs!$C$37*(0.55*SIN(2*PI()*(A55)/Inputs!$C$39)+0.35*COS(2*PI()*(Inputs!$C$6)/Inputs!$C$40)+0.2*SIN(2*PI()*((A55)+(Inputs!$C$6))/(0.5*(Inputs!$C$39+Inputs!$C$40))))+Inputs!$C$38*SIN(2*PI()*(A55)/Inputs!$C$39)*SIN(2*PI()*(Inputs!$C$6)/Inputs!$C$40)+-Inputs!$C$41*EXP(-(((Inputs!$C$6)-Inputs!$C$43)^2)/(2*Inputs!$C$44^2))*EXP(-(((A55)-Inputs!$C$42)^2)/(2*Inputs!$C$45^2))+Inputs!$C$48*(0.7*(0.45*SIN(2*PI()*(((A55)/Inputs!$C$49)+Inputs!$C$47*0.137))+0.35*COS(2*PI()*(((Inputs!$C$6)/Inputs!$C$50)+Inputs!$C$47*0.173))+0.2*SIN(2*PI()*(((A55)+(Inputs!$C$6))/(0.5*(Inputs!$C$49+Inputs!$C$50))+Inputs!$C$47*0.097)))+0.3*(2*((SIN(((A55)*12.9898+(Inputs!$C$6)*78.233+Inputs!$C$47*37.719))*43758.5453)-INT((SIN(((A55)*12.9898+(Inputs!$C$6)*78.233+Inputs!$C$47*37.719))*43758.5453)))-1)))</f>
        <v/>
      </c>
      <c r="Z55" s="9">
        <f>B55-X55/1000</f>
        <v/>
      </c>
      <c r="AA55" s="9">
        <f>SQRT((Inputs!$C$52+B55)^2+(Inputs!$C$52+Y55/1000)^2-2*(Inputs!$C$52+B55)*(Inputs!$C$52+Y55/1000)*COS(SQRT(A55^2+Inputs!$C$6^2)/Inputs!$C$52))</f>
        <v/>
      </c>
      <c r="AB55" s="9">
        <f>(AA55-Z55)*1000</f>
        <v/>
      </c>
      <c r="AC55" s="9">
        <f>AB55/Inputs!$C$12</f>
        <v/>
      </c>
      <c r="AD55" s="9">
        <f>2*AB55/Inputs!$C$21*1000000</f>
        <v/>
      </c>
      <c r="AE55" s="9">
        <f>DEGREES(ATAN(H55/(B55-Y55/1000)))</f>
        <v/>
      </c>
      <c r="AF55" s="9">
        <f>DEGREES((2*PI()/Inputs!$C$13)*Inputs!$C$15*SIN(RADIANS(AE55)))</f>
        <v/>
      </c>
      <c r="AG55" s="9">
        <f>(Z55/AA55)^4</f>
        <v/>
      </c>
      <c r="AH55" s="9">
        <f>10*LOG10(AG55)</f>
        <v/>
      </c>
      <c r="AI55" s="9">
        <f>AC55-F55</f>
        <v/>
      </c>
      <c r="AJ55" s="9">
        <f>AD55-G55</f>
        <v/>
      </c>
      <c r="AK55" s="9">
        <f>Y55-X55</f>
        <v/>
      </c>
      <c r="AL55" s="9">
        <f>1000*(AA56-AA54)/(A56-A54)*Inputs!$C$11</f>
        <v/>
      </c>
      <c r="AM55" s="9">
        <f>-2*AL55/Inputs!$C$13</f>
        <v/>
      </c>
      <c r="AN55" s="9">
        <f>-2*AL55/Inputs!$C$14</f>
        <v/>
      </c>
      <c r="AO55" s="9">
        <f>ABS(AM55)</f>
        <v/>
      </c>
      <c r="AP55" s="9">
        <f>ABS(AN55)</f>
        <v/>
      </c>
      <c r="AQ55" s="9">
        <f>IF(OR(Inputs!$C$27=TRUE,Inputs!$C$27="TRUE",Inputs!$C$27=1),Inputs!$C$46/Inputs!$C$12,0)</f>
        <v/>
      </c>
      <c r="AR55" s="9">
        <f>AC55-AQ55</f>
        <v/>
      </c>
      <c r="AS55" s="9">
        <f>AC55+AQ55</f>
        <v/>
      </c>
    </row>
    <row r="56">
      <c r="A56" s="9">
        <f>Inputs!$C$7+54*(Inputs!$C$8-Inputs!$C$7)/240</f>
        <v/>
      </c>
      <c r="B56" s="9">
        <f>Inputs!$C$5+Inputs!$C$9*(A56/Inputs!$C$10)^2</f>
        <v/>
      </c>
      <c r="C56" s="9">
        <f>B56</f>
        <v/>
      </c>
      <c r="D56" s="9">
        <f>SQRT((Inputs!$C$52+B56)^2+Inputs!$C$52^2-2*(Inputs!$C$52+B56)*Inputs!$C$52*COS(SQRT(A56^2+Inputs!$C$6^2)/Inputs!$C$52))</f>
        <v/>
      </c>
      <c r="E56" s="9">
        <f>(D56-C56)*1000</f>
        <v/>
      </c>
      <c r="F56" s="9">
        <f>E56/Inputs!$C$12</f>
        <v/>
      </c>
      <c r="G56" s="9">
        <f>2*E56/Inputs!$C$21*1000000</f>
        <v/>
      </c>
      <c r="H56" s="9">
        <f>SQRT(A56^2+Inputs!$C$6^2)</f>
        <v/>
      </c>
      <c r="I56" s="9">
        <f>DEGREES(ATAN(H56/B56))</f>
        <v/>
      </c>
      <c r="J56" s="9">
        <f>DEGREES((2*PI()/Inputs!$C$13)*Inputs!$C$15*SIN(RADIANS(I56)))</f>
        <v/>
      </c>
      <c r="K56" s="9">
        <f>(C56/D56)^4</f>
        <v/>
      </c>
      <c r="L56" s="9">
        <f>10*LOG10(K56)</f>
        <v/>
      </c>
      <c r="M56" s="9">
        <f>2*(Inputs!$C$9/(Inputs!$C$10^2))*A56</f>
        <v/>
      </c>
      <c r="N56" s="9">
        <f>M56*Inputs!$C$11</f>
        <v/>
      </c>
      <c r="O56" s="9">
        <f>1000*(D57-D55)/(A57-A55)*Inputs!$C$11</f>
        <v/>
      </c>
      <c r="P56" s="9">
        <f>-2*O56/Inputs!$C$13</f>
        <v/>
      </c>
      <c r="Q56" s="9">
        <f>-2*O56/Inputs!$C$14</f>
        <v/>
      </c>
      <c r="R56" s="9">
        <f>F56-Inputs!$C$16/2</f>
        <v/>
      </c>
      <c r="S56" s="9">
        <f>F56+Inputs!$C$16/2</f>
        <v/>
      </c>
      <c r="T56" s="9">
        <f>F56-Inputs!$C$17/2</f>
        <v/>
      </c>
      <c r="U56" s="9">
        <f>F56+Inputs!$C$17/2</f>
        <v/>
      </c>
      <c r="V56" s="9">
        <f>ABS(P56)</f>
        <v/>
      </c>
      <c r="W56" s="9">
        <f>ABS(Q56)</f>
        <v/>
      </c>
      <c r="X56" s="9">
        <f>IF(OR(Inputs!$C$27=TRUE,Inputs!$C$27="TRUE",Inputs!$C$27=1),1,0)*(Inputs!$C$51*(115*EXP(-(((0)-25)^2)/(4.5^2))+70*EXP(-(((0)+38)^2)/(7^2))*(0.55+0.45*SIN(2*PI()*(A56)/45))+24*SIN(2*PI()*(0)/9+(A56)/18)*EXP(-(((0)+5)^2)/(22^2))+18*SIN(2*PI()*(A56)/70))+Inputs!$C$28*EXP(-(((A56)-Inputs!$C$29)^2)/(2*Inputs!$C$31^2))*EXP(-(((0)-Inputs!$C$30)^2)/(2*Inputs!$C$32^2))+-Inputs!$C$33*EXP(-(((((A56)-Inputs!$C$34)^2)+(((0)-Inputs!$C$35)^2))/(2*Inputs!$C$36^2)))+Inputs!$C$37*(0.55*SIN(2*PI()*(A56)/Inputs!$C$39)+0.35*COS(2*PI()*(0)/Inputs!$C$40)+0.2*SIN(2*PI()*((A56)+(0))/(0.5*(Inputs!$C$39+Inputs!$C$40))))+Inputs!$C$38*SIN(2*PI()*(A56)/Inputs!$C$39)*SIN(2*PI()*(0)/Inputs!$C$40)+-Inputs!$C$41*EXP(-(((0)-Inputs!$C$43)^2)/(2*Inputs!$C$44^2))*EXP(-(((A56)-Inputs!$C$42)^2)/(2*Inputs!$C$45^2))+Inputs!$C$48*(0.7*(0.45*SIN(2*PI()*(((A56)/Inputs!$C$49)+Inputs!$C$47*0.137))+0.35*COS(2*PI()*(((0)/Inputs!$C$50)+Inputs!$C$47*0.173))+0.2*SIN(2*PI()*(((A56)+(0))/(0.5*(Inputs!$C$49+Inputs!$C$50))+Inputs!$C$47*0.097)))+0.3*(2*((SIN(((A56)*12.9898+(0)*78.233+Inputs!$C$47*37.719))*43758.5453)-INT((SIN(((A56)*12.9898+(0)*78.233+Inputs!$C$47*37.719))*43758.5453)))-1)))</f>
        <v/>
      </c>
      <c r="Y56" s="9">
        <f>IF(OR(Inputs!$C$27=TRUE,Inputs!$C$27="TRUE",Inputs!$C$27=1),1,0)*(Inputs!$C$51*(115*EXP(-(((Inputs!$C$6)-25)^2)/(4.5^2))+70*EXP(-(((Inputs!$C$6)+38)^2)/(7^2))*(0.55+0.45*SIN(2*PI()*(A56)/45))+24*SIN(2*PI()*(Inputs!$C$6)/9+(A56)/18)*EXP(-(((Inputs!$C$6)+5)^2)/(22^2))+18*SIN(2*PI()*(A56)/70))+Inputs!$C$28*EXP(-(((A56)-Inputs!$C$29)^2)/(2*Inputs!$C$31^2))*EXP(-(((Inputs!$C$6)-Inputs!$C$30)^2)/(2*Inputs!$C$32^2))+-Inputs!$C$33*EXP(-(((((A56)-Inputs!$C$34)^2)+(((Inputs!$C$6)-Inputs!$C$35)^2))/(2*Inputs!$C$36^2)))+Inputs!$C$37*(0.55*SIN(2*PI()*(A56)/Inputs!$C$39)+0.35*COS(2*PI()*(Inputs!$C$6)/Inputs!$C$40)+0.2*SIN(2*PI()*((A56)+(Inputs!$C$6))/(0.5*(Inputs!$C$39+Inputs!$C$40))))+Inputs!$C$38*SIN(2*PI()*(A56)/Inputs!$C$39)*SIN(2*PI()*(Inputs!$C$6)/Inputs!$C$40)+-Inputs!$C$41*EXP(-(((Inputs!$C$6)-Inputs!$C$43)^2)/(2*Inputs!$C$44^2))*EXP(-(((A56)-Inputs!$C$42)^2)/(2*Inputs!$C$45^2))+Inputs!$C$48*(0.7*(0.45*SIN(2*PI()*(((A56)/Inputs!$C$49)+Inputs!$C$47*0.137))+0.35*COS(2*PI()*(((Inputs!$C$6)/Inputs!$C$50)+Inputs!$C$47*0.173))+0.2*SIN(2*PI()*(((A56)+(Inputs!$C$6))/(0.5*(Inputs!$C$49+Inputs!$C$50))+Inputs!$C$47*0.097)))+0.3*(2*((SIN(((A56)*12.9898+(Inputs!$C$6)*78.233+Inputs!$C$47*37.719))*43758.5453)-INT((SIN(((A56)*12.9898+(Inputs!$C$6)*78.233+Inputs!$C$47*37.719))*43758.5453)))-1)))</f>
        <v/>
      </c>
      <c r="Z56" s="9">
        <f>B56-X56/1000</f>
        <v/>
      </c>
      <c r="AA56" s="9">
        <f>SQRT((Inputs!$C$52+B56)^2+(Inputs!$C$52+Y56/1000)^2-2*(Inputs!$C$52+B56)*(Inputs!$C$52+Y56/1000)*COS(SQRT(A56^2+Inputs!$C$6^2)/Inputs!$C$52))</f>
        <v/>
      </c>
      <c r="AB56" s="9">
        <f>(AA56-Z56)*1000</f>
        <v/>
      </c>
      <c r="AC56" s="9">
        <f>AB56/Inputs!$C$12</f>
        <v/>
      </c>
      <c r="AD56" s="9">
        <f>2*AB56/Inputs!$C$21*1000000</f>
        <v/>
      </c>
      <c r="AE56" s="9">
        <f>DEGREES(ATAN(H56/(B56-Y56/1000)))</f>
        <v/>
      </c>
      <c r="AF56" s="9">
        <f>DEGREES((2*PI()/Inputs!$C$13)*Inputs!$C$15*SIN(RADIANS(AE56)))</f>
        <v/>
      </c>
      <c r="AG56" s="9">
        <f>(Z56/AA56)^4</f>
        <v/>
      </c>
      <c r="AH56" s="9">
        <f>10*LOG10(AG56)</f>
        <v/>
      </c>
      <c r="AI56" s="9">
        <f>AC56-F56</f>
        <v/>
      </c>
      <c r="AJ56" s="9">
        <f>AD56-G56</f>
        <v/>
      </c>
      <c r="AK56" s="9">
        <f>Y56-X56</f>
        <v/>
      </c>
      <c r="AL56" s="9">
        <f>1000*(AA57-AA55)/(A57-A55)*Inputs!$C$11</f>
        <v/>
      </c>
      <c r="AM56" s="9">
        <f>-2*AL56/Inputs!$C$13</f>
        <v/>
      </c>
      <c r="AN56" s="9">
        <f>-2*AL56/Inputs!$C$14</f>
        <v/>
      </c>
      <c r="AO56" s="9">
        <f>ABS(AM56)</f>
        <v/>
      </c>
      <c r="AP56" s="9">
        <f>ABS(AN56)</f>
        <v/>
      </c>
      <c r="AQ56" s="9">
        <f>IF(OR(Inputs!$C$27=TRUE,Inputs!$C$27="TRUE",Inputs!$C$27=1),Inputs!$C$46/Inputs!$C$12,0)</f>
        <v/>
      </c>
      <c r="AR56" s="9">
        <f>AC56-AQ56</f>
        <v/>
      </c>
      <c r="AS56" s="9">
        <f>AC56+AQ56</f>
        <v/>
      </c>
    </row>
    <row r="57">
      <c r="A57" s="9">
        <f>Inputs!$C$7+55*(Inputs!$C$8-Inputs!$C$7)/240</f>
        <v/>
      </c>
      <c r="B57" s="9">
        <f>Inputs!$C$5+Inputs!$C$9*(A57/Inputs!$C$10)^2</f>
        <v/>
      </c>
      <c r="C57" s="9">
        <f>B57</f>
        <v/>
      </c>
      <c r="D57" s="9">
        <f>SQRT((Inputs!$C$52+B57)^2+Inputs!$C$52^2-2*(Inputs!$C$52+B57)*Inputs!$C$52*COS(SQRT(A57^2+Inputs!$C$6^2)/Inputs!$C$52))</f>
        <v/>
      </c>
      <c r="E57" s="9">
        <f>(D57-C57)*1000</f>
        <v/>
      </c>
      <c r="F57" s="9">
        <f>E57/Inputs!$C$12</f>
        <v/>
      </c>
      <c r="G57" s="9">
        <f>2*E57/Inputs!$C$21*1000000</f>
        <v/>
      </c>
      <c r="H57" s="9">
        <f>SQRT(A57^2+Inputs!$C$6^2)</f>
        <v/>
      </c>
      <c r="I57" s="9">
        <f>DEGREES(ATAN(H57/B57))</f>
        <v/>
      </c>
      <c r="J57" s="9">
        <f>DEGREES((2*PI()/Inputs!$C$13)*Inputs!$C$15*SIN(RADIANS(I57)))</f>
        <v/>
      </c>
      <c r="K57" s="9">
        <f>(C57/D57)^4</f>
        <v/>
      </c>
      <c r="L57" s="9">
        <f>10*LOG10(K57)</f>
        <v/>
      </c>
      <c r="M57" s="9">
        <f>2*(Inputs!$C$9/(Inputs!$C$10^2))*A57</f>
        <v/>
      </c>
      <c r="N57" s="9">
        <f>M57*Inputs!$C$11</f>
        <v/>
      </c>
      <c r="O57" s="9">
        <f>1000*(D58-D56)/(A58-A56)*Inputs!$C$11</f>
        <v/>
      </c>
      <c r="P57" s="9">
        <f>-2*O57/Inputs!$C$13</f>
        <v/>
      </c>
      <c r="Q57" s="9">
        <f>-2*O57/Inputs!$C$14</f>
        <v/>
      </c>
      <c r="R57" s="9">
        <f>F57-Inputs!$C$16/2</f>
        <v/>
      </c>
      <c r="S57" s="9">
        <f>F57+Inputs!$C$16/2</f>
        <v/>
      </c>
      <c r="T57" s="9">
        <f>F57-Inputs!$C$17/2</f>
        <v/>
      </c>
      <c r="U57" s="9">
        <f>F57+Inputs!$C$17/2</f>
        <v/>
      </c>
      <c r="V57" s="9">
        <f>ABS(P57)</f>
        <v/>
      </c>
      <c r="W57" s="9">
        <f>ABS(Q57)</f>
        <v/>
      </c>
      <c r="X57" s="9">
        <f>IF(OR(Inputs!$C$27=TRUE,Inputs!$C$27="TRUE",Inputs!$C$27=1),1,0)*(Inputs!$C$51*(115*EXP(-(((0)-25)^2)/(4.5^2))+70*EXP(-(((0)+38)^2)/(7^2))*(0.55+0.45*SIN(2*PI()*(A57)/45))+24*SIN(2*PI()*(0)/9+(A57)/18)*EXP(-(((0)+5)^2)/(22^2))+18*SIN(2*PI()*(A57)/70))+Inputs!$C$28*EXP(-(((A57)-Inputs!$C$29)^2)/(2*Inputs!$C$31^2))*EXP(-(((0)-Inputs!$C$30)^2)/(2*Inputs!$C$32^2))+-Inputs!$C$33*EXP(-(((((A57)-Inputs!$C$34)^2)+(((0)-Inputs!$C$35)^2))/(2*Inputs!$C$36^2)))+Inputs!$C$37*(0.55*SIN(2*PI()*(A57)/Inputs!$C$39)+0.35*COS(2*PI()*(0)/Inputs!$C$40)+0.2*SIN(2*PI()*((A57)+(0))/(0.5*(Inputs!$C$39+Inputs!$C$40))))+Inputs!$C$38*SIN(2*PI()*(A57)/Inputs!$C$39)*SIN(2*PI()*(0)/Inputs!$C$40)+-Inputs!$C$41*EXP(-(((0)-Inputs!$C$43)^2)/(2*Inputs!$C$44^2))*EXP(-(((A57)-Inputs!$C$42)^2)/(2*Inputs!$C$45^2))+Inputs!$C$48*(0.7*(0.45*SIN(2*PI()*(((A57)/Inputs!$C$49)+Inputs!$C$47*0.137))+0.35*COS(2*PI()*(((0)/Inputs!$C$50)+Inputs!$C$47*0.173))+0.2*SIN(2*PI()*(((A57)+(0))/(0.5*(Inputs!$C$49+Inputs!$C$50))+Inputs!$C$47*0.097)))+0.3*(2*((SIN(((A57)*12.9898+(0)*78.233+Inputs!$C$47*37.719))*43758.5453)-INT((SIN(((A57)*12.9898+(0)*78.233+Inputs!$C$47*37.719))*43758.5453)))-1)))</f>
        <v/>
      </c>
      <c r="Y57" s="9">
        <f>IF(OR(Inputs!$C$27=TRUE,Inputs!$C$27="TRUE",Inputs!$C$27=1),1,0)*(Inputs!$C$51*(115*EXP(-(((Inputs!$C$6)-25)^2)/(4.5^2))+70*EXP(-(((Inputs!$C$6)+38)^2)/(7^2))*(0.55+0.45*SIN(2*PI()*(A57)/45))+24*SIN(2*PI()*(Inputs!$C$6)/9+(A57)/18)*EXP(-(((Inputs!$C$6)+5)^2)/(22^2))+18*SIN(2*PI()*(A57)/70))+Inputs!$C$28*EXP(-(((A57)-Inputs!$C$29)^2)/(2*Inputs!$C$31^2))*EXP(-(((Inputs!$C$6)-Inputs!$C$30)^2)/(2*Inputs!$C$32^2))+-Inputs!$C$33*EXP(-(((((A57)-Inputs!$C$34)^2)+(((Inputs!$C$6)-Inputs!$C$35)^2))/(2*Inputs!$C$36^2)))+Inputs!$C$37*(0.55*SIN(2*PI()*(A57)/Inputs!$C$39)+0.35*COS(2*PI()*(Inputs!$C$6)/Inputs!$C$40)+0.2*SIN(2*PI()*((A57)+(Inputs!$C$6))/(0.5*(Inputs!$C$39+Inputs!$C$40))))+Inputs!$C$38*SIN(2*PI()*(A57)/Inputs!$C$39)*SIN(2*PI()*(Inputs!$C$6)/Inputs!$C$40)+-Inputs!$C$41*EXP(-(((Inputs!$C$6)-Inputs!$C$43)^2)/(2*Inputs!$C$44^2))*EXP(-(((A57)-Inputs!$C$42)^2)/(2*Inputs!$C$45^2))+Inputs!$C$48*(0.7*(0.45*SIN(2*PI()*(((A57)/Inputs!$C$49)+Inputs!$C$47*0.137))+0.35*COS(2*PI()*(((Inputs!$C$6)/Inputs!$C$50)+Inputs!$C$47*0.173))+0.2*SIN(2*PI()*(((A57)+(Inputs!$C$6))/(0.5*(Inputs!$C$49+Inputs!$C$50))+Inputs!$C$47*0.097)))+0.3*(2*((SIN(((A57)*12.9898+(Inputs!$C$6)*78.233+Inputs!$C$47*37.719))*43758.5453)-INT((SIN(((A57)*12.9898+(Inputs!$C$6)*78.233+Inputs!$C$47*37.719))*43758.5453)))-1)))</f>
        <v/>
      </c>
      <c r="Z57" s="9">
        <f>B57-X57/1000</f>
        <v/>
      </c>
      <c r="AA57" s="9">
        <f>SQRT((Inputs!$C$52+B57)^2+(Inputs!$C$52+Y57/1000)^2-2*(Inputs!$C$52+B57)*(Inputs!$C$52+Y57/1000)*COS(SQRT(A57^2+Inputs!$C$6^2)/Inputs!$C$52))</f>
        <v/>
      </c>
      <c r="AB57" s="9">
        <f>(AA57-Z57)*1000</f>
        <v/>
      </c>
      <c r="AC57" s="9">
        <f>AB57/Inputs!$C$12</f>
        <v/>
      </c>
      <c r="AD57" s="9">
        <f>2*AB57/Inputs!$C$21*1000000</f>
        <v/>
      </c>
      <c r="AE57" s="9">
        <f>DEGREES(ATAN(H57/(B57-Y57/1000)))</f>
        <v/>
      </c>
      <c r="AF57" s="9">
        <f>DEGREES((2*PI()/Inputs!$C$13)*Inputs!$C$15*SIN(RADIANS(AE57)))</f>
        <v/>
      </c>
      <c r="AG57" s="9">
        <f>(Z57/AA57)^4</f>
        <v/>
      </c>
      <c r="AH57" s="9">
        <f>10*LOG10(AG57)</f>
        <v/>
      </c>
      <c r="AI57" s="9">
        <f>AC57-F57</f>
        <v/>
      </c>
      <c r="AJ57" s="9">
        <f>AD57-G57</f>
        <v/>
      </c>
      <c r="AK57" s="9">
        <f>Y57-X57</f>
        <v/>
      </c>
      <c r="AL57" s="9">
        <f>1000*(AA58-AA56)/(A58-A56)*Inputs!$C$11</f>
        <v/>
      </c>
      <c r="AM57" s="9">
        <f>-2*AL57/Inputs!$C$13</f>
        <v/>
      </c>
      <c r="AN57" s="9">
        <f>-2*AL57/Inputs!$C$14</f>
        <v/>
      </c>
      <c r="AO57" s="9">
        <f>ABS(AM57)</f>
        <v/>
      </c>
      <c r="AP57" s="9">
        <f>ABS(AN57)</f>
        <v/>
      </c>
      <c r="AQ57" s="9">
        <f>IF(OR(Inputs!$C$27=TRUE,Inputs!$C$27="TRUE",Inputs!$C$27=1),Inputs!$C$46/Inputs!$C$12,0)</f>
        <v/>
      </c>
      <c r="AR57" s="9">
        <f>AC57-AQ57</f>
        <v/>
      </c>
      <c r="AS57" s="9">
        <f>AC57+AQ57</f>
        <v/>
      </c>
    </row>
    <row r="58">
      <c r="A58" s="9">
        <f>Inputs!$C$7+56*(Inputs!$C$8-Inputs!$C$7)/240</f>
        <v/>
      </c>
      <c r="B58" s="9">
        <f>Inputs!$C$5+Inputs!$C$9*(A58/Inputs!$C$10)^2</f>
        <v/>
      </c>
      <c r="C58" s="9">
        <f>B58</f>
        <v/>
      </c>
      <c r="D58" s="9">
        <f>SQRT((Inputs!$C$52+B58)^2+Inputs!$C$52^2-2*(Inputs!$C$52+B58)*Inputs!$C$52*COS(SQRT(A58^2+Inputs!$C$6^2)/Inputs!$C$52))</f>
        <v/>
      </c>
      <c r="E58" s="9">
        <f>(D58-C58)*1000</f>
        <v/>
      </c>
      <c r="F58" s="9">
        <f>E58/Inputs!$C$12</f>
        <v/>
      </c>
      <c r="G58" s="9">
        <f>2*E58/Inputs!$C$21*1000000</f>
        <v/>
      </c>
      <c r="H58" s="9">
        <f>SQRT(A58^2+Inputs!$C$6^2)</f>
        <v/>
      </c>
      <c r="I58" s="9">
        <f>DEGREES(ATAN(H58/B58))</f>
        <v/>
      </c>
      <c r="J58" s="9">
        <f>DEGREES((2*PI()/Inputs!$C$13)*Inputs!$C$15*SIN(RADIANS(I58)))</f>
        <v/>
      </c>
      <c r="K58" s="9">
        <f>(C58/D58)^4</f>
        <v/>
      </c>
      <c r="L58" s="9">
        <f>10*LOG10(K58)</f>
        <v/>
      </c>
      <c r="M58" s="9">
        <f>2*(Inputs!$C$9/(Inputs!$C$10^2))*A58</f>
        <v/>
      </c>
      <c r="N58" s="9">
        <f>M58*Inputs!$C$11</f>
        <v/>
      </c>
      <c r="O58" s="9">
        <f>1000*(D59-D57)/(A59-A57)*Inputs!$C$11</f>
        <v/>
      </c>
      <c r="P58" s="9">
        <f>-2*O58/Inputs!$C$13</f>
        <v/>
      </c>
      <c r="Q58" s="9">
        <f>-2*O58/Inputs!$C$14</f>
        <v/>
      </c>
      <c r="R58" s="9">
        <f>F58-Inputs!$C$16/2</f>
        <v/>
      </c>
      <c r="S58" s="9">
        <f>F58+Inputs!$C$16/2</f>
        <v/>
      </c>
      <c r="T58" s="9">
        <f>F58-Inputs!$C$17/2</f>
        <v/>
      </c>
      <c r="U58" s="9">
        <f>F58+Inputs!$C$17/2</f>
        <v/>
      </c>
      <c r="V58" s="9">
        <f>ABS(P58)</f>
        <v/>
      </c>
      <c r="W58" s="9">
        <f>ABS(Q58)</f>
        <v/>
      </c>
      <c r="X58" s="9">
        <f>IF(OR(Inputs!$C$27=TRUE,Inputs!$C$27="TRUE",Inputs!$C$27=1),1,0)*(Inputs!$C$51*(115*EXP(-(((0)-25)^2)/(4.5^2))+70*EXP(-(((0)+38)^2)/(7^2))*(0.55+0.45*SIN(2*PI()*(A58)/45))+24*SIN(2*PI()*(0)/9+(A58)/18)*EXP(-(((0)+5)^2)/(22^2))+18*SIN(2*PI()*(A58)/70))+Inputs!$C$28*EXP(-(((A58)-Inputs!$C$29)^2)/(2*Inputs!$C$31^2))*EXP(-(((0)-Inputs!$C$30)^2)/(2*Inputs!$C$32^2))+-Inputs!$C$33*EXP(-(((((A58)-Inputs!$C$34)^2)+(((0)-Inputs!$C$35)^2))/(2*Inputs!$C$36^2)))+Inputs!$C$37*(0.55*SIN(2*PI()*(A58)/Inputs!$C$39)+0.35*COS(2*PI()*(0)/Inputs!$C$40)+0.2*SIN(2*PI()*((A58)+(0))/(0.5*(Inputs!$C$39+Inputs!$C$40))))+Inputs!$C$38*SIN(2*PI()*(A58)/Inputs!$C$39)*SIN(2*PI()*(0)/Inputs!$C$40)+-Inputs!$C$41*EXP(-(((0)-Inputs!$C$43)^2)/(2*Inputs!$C$44^2))*EXP(-(((A58)-Inputs!$C$42)^2)/(2*Inputs!$C$45^2))+Inputs!$C$48*(0.7*(0.45*SIN(2*PI()*(((A58)/Inputs!$C$49)+Inputs!$C$47*0.137))+0.35*COS(2*PI()*(((0)/Inputs!$C$50)+Inputs!$C$47*0.173))+0.2*SIN(2*PI()*(((A58)+(0))/(0.5*(Inputs!$C$49+Inputs!$C$50))+Inputs!$C$47*0.097)))+0.3*(2*((SIN(((A58)*12.9898+(0)*78.233+Inputs!$C$47*37.719))*43758.5453)-INT((SIN(((A58)*12.9898+(0)*78.233+Inputs!$C$47*37.719))*43758.5453)))-1)))</f>
        <v/>
      </c>
      <c r="Y58" s="9">
        <f>IF(OR(Inputs!$C$27=TRUE,Inputs!$C$27="TRUE",Inputs!$C$27=1),1,0)*(Inputs!$C$51*(115*EXP(-(((Inputs!$C$6)-25)^2)/(4.5^2))+70*EXP(-(((Inputs!$C$6)+38)^2)/(7^2))*(0.55+0.45*SIN(2*PI()*(A58)/45))+24*SIN(2*PI()*(Inputs!$C$6)/9+(A58)/18)*EXP(-(((Inputs!$C$6)+5)^2)/(22^2))+18*SIN(2*PI()*(A58)/70))+Inputs!$C$28*EXP(-(((A58)-Inputs!$C$29)^2)/(2*Inputs!$C$31^2))*EXP(-(((Inputs!$C$6)-Inputs!$C$30)^2)/(2*Inputs!$C$32^2))+-Inputs!$C$33*EXP(-(((((A58)-Inputs!$C$34)^2)+(((Inputs!$C$6)-Inputs!$C$35)^2))/(2*Inputs!$C$36^2)))+Inputs!$C$37*(0.55*SIN(2*PI()*(A58)/Inputs!$C$39)+0.35*COS(2*PI()*(Inputs!$C$6)/Inputs!$C$40)+0.2*SIN(2*PI()*((A58)+(Inputs!$C$6))/(0.5*(Inputs!$C$39+Inputs!$C$40))))+Inputs!$C$38*SIN(2*PI()*(A58)/Inputs!$C$39)*SIN(2*PI()*(Inputs!$C$6)/Inputs!$C$40)+-Inputs!$C$41*EXP(-(((Inputs!$C$6)-Inputs!$C$43)^2)/(2*Inputs!$C$44^2))*EXP(-(((A58)-Inputs!$C$42)^2)/(2*Inputs!$C$45^2))+Inputs!$C$48*(0.7*(0.45*SIN(2*PI()*(((A58)/Inputs!$C$49)+Inputs!$C$47*0.137))+0.35*COS(2*PI()*(((Inputs!$C$6)/Inputs!$C$50)+Inputs!$C$47*0.173))+0.2*SIN(2*PI()*(((A58)+(Inputs!$C$6))/(0.5*(Inputs!$C$49+Inputs!$C$50))+Inputs!$C$47*0.097)))+0.3*(2*((SIN(((A58)*12.9898+(Inputs!$C$6)*78.233+Inputs!$C$47*37.719))*43758.5453)-INT((SIN(((A58)*12.9898+(Inputs!$C$6)*78.233+Inputs!$C$47*37.719))*43758.5453)))-1)))</f>
        <v/>
      </c>
      <c r="Z58" s="9">
        <f>B58-X58/1000</f>
        <v/>
      </c>
      <c r="AA58" s="9">
        <f>SQRT((Inputs!$C$52+B58)^2+(Inputs!$C$52+Y58/1000)^2-2*(Inputs!$C$52+B58)*(Inputs!$C$52+Y58/1000)*COS(SQRT(A58^2+Inputs!$C$6^2)/Inputs!$C$52))</f>
        <v/>
      </c>
      <c r="AB58" s="9">
        <f>(AA58-Z58)*1000</f>
        <v/>
      </c>
      <c r="AC58" s="9">
        <f>AB58/Inputs!$C$12</f>
        <v/>
      </c>
      <c r="AD58" s="9">
        <f>2*AB58/Inputs!$C$21*1000000</f>
        <v/>
      </c>
      <c r="AE58" s="9">
        <f>DEGREES(ATAN(H58/(B58-Y58/1000)))</f>
        <v/>
      </c>
      <c r="AF58" s="9">
        <f>DEGREES((2*PI()/Inputs!$C$13)*Inputs!$C$15*SIN(RADIANS(AE58)))</f>
        <v/>
      </c>
      <c r="AG58" s="9">
        <f>(Z58/AA58)^4</f>
        <v/>
      </c>
      <c r="AH58" s="9">
        <f>10*LOG10(AG58)</f>
        <v/>
      </c>
      <c r="AI58" s="9">
        <f>AC58-F58</f>
        <v/>
      </c>
      <c r="AJ58" s="9">
        <f>AD58-G58</f>
        <v/>
      </c>
      <c r="AK58" s="9">
        <f>Y58-X58</f>
        <v/>
      </c>
      <c r="AL58" s="9">
        <f>1000*(AA59-AA57)/(A59-A57)*Inputs!$C$11</f>
        <v/>
      </c>
      <c r="AM58" s="9">
        <f>-2*AL58/Inputs!$C$13</f>
        <v/>
      </c>
      <c r="AN58" s="9">
        <f>-2*AL58/Inputs!$C$14</f>
        <v/>
      </c>
      <c r="AO58" s="9">
        <f>ABS(AM58)</f>
        <v/>
      </c>
      <c r="AP58" s="9">
        <f>ABS(AN58)</f>
        <v/>
      </c>
      <c r="AQ58" s="9">
        <f>IF(OR(Inputs!$C$27=TRUE,Inputs!$C$27="TRUE",Inputs!$C$27=1),Inputs!$C$46/Inputs!$C$12,0)</f>
        <v/>
      </c>
      <c r="AR58" s="9">
        <f>AC58-AQ58</f>
        <v/>
      </c>
      <c r="AS58" s="9">
        <f>AC58+AQ58</f>
        <v/>
      </c>
    </row>
    <row r="59">
      <c r="A59" s="9">
        <f>Inputs!$C$7+57*(Inputs!$C$8-Inputs!$C$7)/240</f>
        <v/>
      </c>
      <c r="B59" s="9">
        <f>Inputs!$C$5+Inputs!$C$9*(A59/Inputs!$C$10)^2</f>
        <v/>
      </c>
      <c r="C59" s="9">
        <f>B59</f>
        <v/>
      </c>
      <c r="D59" s="9">
        <f>SQRT((Inputs!$C$52+B59)^2+Inputs!$C$52^2-2*(Inputs!$C$52+B59)*Inputs!$C$52*COS(SQRT(A59^2+Inputs!$C$6^2)/Inputs!$C$52))</f>
        <v/>
      </c>
      <c r="E59" s="9">
        <f>(D59-C59)*1000</f>
        <v/>
      </c>
      <c r="F59" s="9">
        <f>E59/Inputs!$C$12</f>
        <v/>
      </c>
      <c r="G59" s="9">
        <f>2*E59/Inputs!$C$21*1000000</f>
        <v/>
      </c>
      <c r="H59" s="9">
        <f>SQRT(A59^2+Inputs!$C$6^2)</f>
        <v/>
      </c>
      <c r="I59" s="9">
        <f>DEGREES(ATAN(H59/B59))</f>
        <v/>
      </c>
      <c r="J59" s="9">
        <f>DEGREES((2*PI()/Inputs!$C$13)*Inputs!$C$15*SIN(RADIANS(I59)))</f>
        <v/>
      </c>
      <c r="K59" s="9">
        <f>(C59/D59)^4</f>
        <v/>
      </c>
      <c r="L59" s="9">
        <f>10*LOG10(K59)</f>
        <v/>
      </c>
      <c r="M59" s="9">
        <f>2*(Inputs!$C$9/(Inputs!$C$10^2))*A59</f>
        <v/>
      </c>
      <c r="N59" s="9">
        <f>M59*Inputs!$C$11</f>
        <v/>
      </c>
      <c r="O59" s="9">
        <f>1000*(D60-D58)/(A60-A58)*Inputs!$C$11</f>
        <v/>
      </c>
      <c r="P59" s="9">
        <f>-2*O59/Inputs!$C$13</f>
        <v/>
      </c>
      <c r="Q59" s="9">
        <f>-2*O59/Inputs!$C$14</f>
        <v/>
      </c>
      <c r="R59" s="9">
        <f>F59-Inputs!$C$16/2</f>
        <v/>
      </c>
      <c r="S59" s="9">
        <f>F59+Inputs!$C$16/2</f>
        <v/>
      </c>
      <c r="T59" s="9">
        <f>F59-Inputs!$C$17/2</f>
        <v/>
      </c>
      <c r="U59" s="9">
        <f>F59+Inputs!$C$17/2</f>
        <v/>
      </c>
      <c r="V59" s="9">
        <f>ABS(P59)</f>
        <v/>
      </c>
      <c r="W59" s="9">
        <f>ABS(Q59)</f>
        <v/>
      </c>
      <c r="X59" s="9">
        <f>IF(OR(Inputs!$C$27=TRUE,Inputs!$C$27="TRUE",Inputs!$C$27=1),1,0)*(Inputs!$C$51*(115*EXP(-(((0)-25)^2)/(4.5^2))+70*EXP(-(((0)+38)^2)/(7^2))*(0.55+0.45*SIN(2*PI()*(A59)/45))+24*SIN(2*PI()*(0)/9+(A59)/18)*EXP(-(((0)+5)^2)/(22^2))+18*SIN(2*PI()*(A59)/70))+Inputs!$C$28*EXP(-(((A59)-Inputs!$C$29)^2)/(2*Inputs!$C$31^2))*EXP(-(((0)-Inputs!$C$30)^2)/(2*Inputs!$C$32^2))+-Inputs!$C$33*EXP(-(((((A59)-Inputs!$C$34)^2)+(((0)-Inputs!$C$35)^2))/(2*Inputs!$C$36^2)))+Inputs!$C$37*(0.55*SIN(2*PI()*(A59)/Inputs!$C$39)+0.35*COS(2*PI()*(0)/Inputs!$C$40)+0.2*SIN(2*PI()*((A59)+(0))/(0.5*(Inputs!$C$39+Inputs!$C$40))))+Inputs!$C$38*SIN(2*PI()*(A59)/Inputs!$C$39)*SIN(2*PI()*(0)/Inputs!$C$40)+-Inputs!$C$41*EXP(-(((0)-Inputs!$C$43)^2)/(2*Inputs!$C$44^2))*EXP(-(((A59)-Inputs!$C$42)^2)/(2*Inputs!$C$45^2))+Inputs!$C$48*(0.7*(0.45*SIN(2*PI()*(((A59)/Inputs!$C$49)+Inputs!$C$47*0.137))+0.35*COS(2*PI()*(((0)/Inputs!$C$50)+Inputs!$C$47*0.173))+0.2*SIN(2*PI()*(((A59)+(0))/(0.5*(Inputs!$C$49+Inputs!$C$50))+Inputs!$C$47*0.097)))+0.3*(2*((SIN(((A59)*12.9898+(0)*78.233+Inputs!$C$47*37.719))*43758.5453)-INT((SIN(((A59)*12.9898+(0)*78.233+Inputs!$C$47*37.719))*43758.5453)))-1)))</f>
        <v/>
      </c>
      <c r="Y59" s="9">
        <f>IF(OR(Inputs!$C$27=TRUE,Inputs!$C$27="TRUE",Inputs!$C$27=1),1,0)*(Inputs!$C$51*(115*EXP(-(((Inputs!$C$6)-25)^2)/(4.5^2))+70*EXP(-(((Inputs!$C$6)+38)^2)/(7^2))*(0.55+0.45*SIN(2*PI()*(A59)/45))+24*SIN(2*PI()*(Inputs!$C$6)/9+(A59)/18)*EXP(-(((Inputs!$C$6)+5)^2)/(22^2))+18*SIN(2*PI()*(A59)/70))+Inputs!$C$28*EXP(-(((A59)-Inputs!$C$29)^2)/(2*Inputs!$C$31^2))*EXP(-(((Inputs!$C$6)-Inputs!$C$30)^2)/(2*Inputs!$C$32^2))+-Inputs!$C$33*EXP(-(((((A59)-Inputs!$C$34)^2)+(((Inputs!$C$6)-Inputs!$C$35)^2))/(2*Inputs!$C$36^2)))+Inputs!$C$37*(0.55*SIN(2*PI()*(A59)/Inputs!$C$39)+0.35*COS(2*PI()*(Inputs!$C$6)/Inputs!$C$40)+0.2*SIN(2*PI()*((A59)+(Inputs!$C$6))/(0.5*(Inputs!$C$39+Inputs!$C$40))))+Inputs!$C$38*SIN(2*PI()*(A59)/Inputs!$C$39)*SIN(2*PI()*(Inputs!$C$6)/Inputs!$C$40)+-Inputs!$C$41*EXP(-(((Inputs!$C$6)-Inputs!$C$43)^2)/(2*Inputs!$C$44^2))*EXP(-(((A59)-Inputs!$C$42)^2)/(2*Inputs!$C$45^2))+Inputs!$C$48*(0.7*(0.45*SIN(2*PI()*(((A59)/Inputs!$C$49)+Inputs!$C$47*0.137))+0.35*COS(2*PI()*(((Inputs!$C$6)/Inputs!$C$50)+Inputs!$C$47*0.173))+0.2*SIN(2*PI()*(((A59)+(Inputs!$C$6))/(0.5*(Inputs!$C$49+Inputs!$C$50))+Inputs!$C$47*0.097)))+0.3*(2*((SIN(((A59)*12.9898+(Inputs!$C$6)*78.233+Inputs!$C$47*37.719))*43758.5453)-INT((SIN(((A59)*12.9898+(Inputs!$C$6)*78.233+Inputs!$C$47*37.719))*43758.5453)))-1)))</f>
        <v/>
      </c>
      <c r="Z59" s="9">
        <f>B59-X59/1000</f>
        <v/>
      </c>
      <c r="AA59" s="9">
        <f>SQRT((Inputs!$C$52+B59)^2+(Inputs!$C$52+Y59/1000)^2-2*(Inputs!$C$52+B59)*(Inputs!$C$52+Y59/1000)*COS(SQRT(A59^2+Inputs!$C$6^2)/Inputs!$C$52))</f>
        <v/>
      </c>
      <c r="AB59" s="9">
        <f>(AA59-Z59)*1000</f>
        <v/>
      </c>
      <c r="AC59" s="9">
        <f>AB59/Inputs!$C$12</f>
        <v/>
      </c>
      <c r="AD59" s="9">
        <f>2*AB59/Inputs!$C$21*1000000</f>
        <v/>
      </c>
      <c r="AE59" s="9">
        <f>DEGREES(ATAN(H59/(B59-Y59/1000)))</f>
        <v/>
      </c>
      <c r="AF59" s="9">
        <f>DEGREES((2*PI()/Inputs!$C$13)*Inputs!$C$15*SIN(RADIANS(AE59)))</f>
        <v/>
      </c>
      <c r="AG59" s="9">
        <f>(Z59/AA59)^4</f>
        <v/>
      </c>
      <c r="AH59" s="9">
        <f>10*LOG10(AG59)</f>
        <v/>
      </c>
      <c r="AI59" s="9">
        <f>AC59-F59</f>
        <v/>
      </c>
      <c r="AJ59" s="9">
        <f>AD59-G59</f>
        <v/>
      </c>
      <c r="AK59" s="9">
        <f>Y59-X59</f>
        <v/>
      </c>
      <c r="AL59" s="9">
        <f>1000*(AA60-AA58)/(A60-A58)*Inputs!$C$11</f>
        <v/>
      </c>
      <c r="AM59" s="9">
        <f>-2*AL59/Inputs!$C$13</f>
        <v/>
      </c>
      <c r="AN59" s="9">
        <f>-2*AL59/Inputs!$C$14</f>
        <v/>
      </c>
      <c r="AO59" s="9">
        <f>ABS(AM59)</f>
        <v/>
      </c>
      <c r="AP59" s="9">
        <f>ABS(AN59)</f>
        <v/>
      </c>
      <c r="AQ59" s="9">
        <f>IF(OR(Inputs!$C$27=TRUE,Inputs!$C$27="TRUE",Inputs!$C$27=1),Inputs!$C$46/Inputs!$C$12,0)</f>
        <v/>
      </c>
      <c r="AR59" s="9">
        <f>AC59-AQ59</f>
        <v/>
      </c>
      <c r="AS59" s="9">
        <f>AC59+AQ59</f>
        <v/>
      </c>
    </row>
    <row r="60">
      <c r="A60" s="9">
        <f>Inputs!$C$7+58*(Inputs!$C$8-Inputs!$C$7)/240</f>
        <v/>
      </c>
      <c r="B60" s="9">
        <f>Inputs!$C$5+Inputs!$C$9*(A60/Inputs!$C$10)^2</f>
        <v/>
      </c>
      <c r="C60" s="9">
        <f>B60</f>
        <v/>
      </c>
      <c r="D60" s="9">
        <f>SQRT((Inputs!$C$52+B60)^2+Inputs!$C$52^2-2*(Inputs!$C$52+B60)*Inputs!$C$52*COS(SQRT(A60^2+Inputs!$C$6^2)/Inputs!$C$52))</f>
        <v/>
      </c>
      <c r="E60" s="9">
        <f>(D60-C60)*1000</f>
        <v/>
      </c>
      <c r="F60" s="9">
        <f>E60/Inputs!$C$12</f>
        <v/>
      </c>
      <c r="G60" s="9">
        <f>2*E60/Inputs!$C$21*1000000</f>
        <v/>
      </c>
      <c r="H60" s="9">
        <f>SQRT(A60^2+Inputs!$C$6^2)</f>
        <v/>
      </c>
      <c r="I60" s="9">
        <f>DEGREES(ATAN(H60/B60))</f>
        <v/>
      </c>
      <c r="J60" s="9">
        <f>DEGREES((2*PI()/Inputs!$C$13)*Inputs!$C$15*SIN(RADIANS(I60)))</f>
        <v/>
      </c>
      <c r="K60" s="9">
        <f>(C60/D60)^4</f>
        <v/>
      </c>
      <c r="L60" s="9">
        <f>10*LOG10(K60)</f>
        <v/>
      </c>
      <c r="M60" s="9">
        <f>2*(Inputs!$C$9/(Inputs!$C$10^2))*A60</f>
        <v/>
      </c>
      <c r="N60" s="9">
        <f>M60*Inputs!$C$11</f>
        <v/>
      </c>
      <c r="O60" s="9">
        <f>1000*(D61-D59)/(A61-A59)*Inputs!$C$11</f>
        <v/>
      </c>
      <c r="P60" s="9">
        <f>-2*O60/Inputs!$C$13</f>
        <v/>
      </c>
      <c r="Q60" s="9">
        <f>-2*O60/Inputs!$C$14</f>
        <v/>
      </c>
      <c r="R60" s="9">
        <f>F60-Inputs!$C$16/2</f>
        <v/>
      </c>
      <c r="S60" s="9">
        <f>F60+Inputs!$C$16/2</f>
        <v/>
      </c>
      <c r="T60" s="9">
        <f>F60-Inputs!$C$17/2</f>
        <v/>
      </c>
      <c r="U60" s="9">
        <f>F60+Inputs!$C$17/2</f>
        <v/>
      </c>
      <c r="V60" s="9">
        <f>ABS(P60)</f>
        <v/>
      </c>
      <c r="W60" s="9">
        <f>ABS(Q60)</f>
        <v/>
      </c>
      <c r="X60" s="9">
        <f>IF(OR(Inputs!$C$27=TRUE,Inputs!$C$27="TRUE",Inputs!$C$27=1),1,0)*(Inputs!$C$51*(115*EXP(-(((0)-25)^2)/(4.5^2))+70*EXP(-(((0)+38)^2)/(7^2))*(0.55+0.45*SIN(2*PI()*(A60)/45))+24*SIN(2*PI()*(0)/9+(A60)/18)*EXP(-(((0)+5)^2)/(22^2))+18*SIN(2*PI()*(A60)/70))+Inputs!$C$28*EXP(-(((A60)-Inputs!$C$29)^2)/(2*Inputs!$C$31^2))*EXP(-(((0)-Inputs!$C$30)^2)/(2*Inputs!$C$32^2))+-Inputs!$C$33*EXP(-(((((A60)-Inputs!$C$34)^2)+(((0)-Inputs!$C$35)^2))/(2*Inputs!$C$36^2)))+Inputs!$C$37*(0.55*SIN(2*PI()*(A60)/Inputs!$C$39)+0.35*COS(2*PI()*(0)/Inputs!$C$40)+0.2*SIN(2*PI()*((A60)+(0))/(0.5*(Inputs!$C$39+Inputs!$C$40))))+Inputs!$C$38*SIN(2*PI()*(A60)/Inputs!$C$39)*SIN(2*PI()*(0)/Inputs!$C$40)+-Inputs!$C$41*EXP(-(((0)-Inputs!$C$43)^2)/(2*Inputs!$C$44^2))*EXP(-(((A60)-Inputs!$C$42)^2)/(2*Inputs!$C$45^2))+Inputs!$C$48*(0.7*(0.45*SIN(2*PI()*(((A60)/Inputs!$C$49)+Inputs!$C$47*0.137))+0.35*COS(2*PI()*(((0)/Inputs!$C$50)+Inputs!$C$47*0.173))+0.2*SIN(2*PI()*(((A60)+(0))/(0.5*(Inputs!$C$49+Inputs!$C$50))+Inputs!$C$47*0.097)))+0.3*(2*((SIN(((A60)*12.9898+(0)*78.233+Inputs!$C$47*37.719))*43758.5453)-INT((SIN(((A60)*12.9898+(0)*78.233+Inputs!$C$47*37.719))*43758.5453)))-1)))</f>
        <v/>
      </c>
      <c r="Y60" s="9">
        <f>IF(OR(Inputs!$C$27=TRUE,Inputs!$C$27="TRUE",Inputs!$C$27=1),1,0)*(Inputs!$C$51*(115*EXP(-(((Inputs!$C$6)-25)^2)/(4.5^2))+70*EXP(-(((Inputs!$C$6)+38)^2)/(7^2))*(0.55+0.45*SIN(2*PI()*(A60)/45))+24*SIN(2*PI()*(Inputs!$C$6)/9+(A60)/18)*EXP(-(((Inputs!$C$6)+5)^2)/(22^2))+18*SIN(2*PI()*(A60)/70))+Inputs!$C$28*EXP(-(((A60)-Inputs!$C$29)^2)/(2*Inputs!$C$31^2))*EXP(-(((Inputs!$C$6)-Inputs!$C$30)^2)/(2*Inputs!$C$32^2))+-Inputs!$C$33*EXP(-(((((A60)-Inputs!$C$34)^2)+(((Inputs!$C$6)-Inputs!$C$35)^2))/(2*Inputs!$C$36^2)))+Inputs!$C$37*(0.55*SIN(2*PI()*(A60)/Inputs!$C$39)+0.35*COS(2*PI()*(Inputs!$C$6)/Inputs!$C$40)+0.2*SIN(2*PI()*((A60)+(Inputs!$C$6))/(0.5*(Inputs!$C$39+Inputs!$C$40))))+Inputs!$C$38*SIN(2*PI()*(A60)/Inputs!$C$39)*SIN(2*PI()*(Inputs!$C$6)/Inputs!$C$40)+-Inputs!$C$41*EXP(-(((Inputs!$C$6)-Inputs!$C$43)^2)/(2*Inputs!$C$44^2))*EXP(-(((A60)-Inputs!$C$42)^2)/(2*Inputs!$C$45^2))+Inputs!$C$48*(0.7*(0.45*SIN(2*PI()*(((A60)/Inputs!$C$49)+Inputs!$C$47*0.137))+0.35*COS(2*PI()*(((Inputs!$C$6)/Inputs!$C$50)+Inputs!$C$47*0.173))+0.2*SIN(2*PI()*(((A60)+(Inputs!$C$6))/(0.5*(Inputs!$C$49+Inputs!$C$50))+Inputs!$C$47*0.097)))+0.3*(2*((SIN(((A60)*12.9898+(Inputs!$C$6)*78.233+Inputs!$C$47*37.719))*43758.5453)-INT((SIN(((A60)*12.9898+(Inputs!$C$6)*78.233+Inputs!$C$47*37.719))*43758.5453)))-1)))</f>
        <v/>
      </c>
      <c r="Z60" s="9">
        <f>B60-X60/1000</f>
        <v/>
      </c>
      <c r="AA60" s="9">
        <f>SQRT((Inputs!$C$52+B60)^2+(Inputs!$C$52+Y60/1000)^2-2*(Inputs!$C$52+B60)*(Inputs!$C$52+Y60/1000)*COS(SQRT(A60^2+Inputs!$C$6^2)/Inputs!$C$52))</f>
        <v/>
      </c>
      <c r="AB60" s="9">
        <f>(AA60-Z60)*1000</f>
        <v/>
      </c>
      <c r="AC60" s="9">
        <f>AB60/Inputs!$C$12</f>
        <v/>
      </c>
      <c r="AD60" s="9">
        <f>2*AB60/Inputs!$C$21*1000000</f>
        <v/>
      </c>
      <c r="AE60" s="9">
        <f>DEGREES(ATAN(H60/(B60-Y60/1000)))</f>
        <v/>
      </c>
      <c r="AF60" s="9">
        <f>DEGREES((2*PI()/Inputs!$C$13)*Inputs!$C$15*SIN(RADIANS(AE60)))</f>
        <v/>
      </c>
      <c r="AG60" s="9">
        <f>(Z60/AA60)^4</f>
        <v/>
      </c>
      <c r="AH60" s="9">
        <f>10*LOG10(AG60)</f>
        <v/>
      </c>
      <c r="AI60" s="9">
        <f>AC60-F60</f>
        <v/>
      </c>
      <c r="AJ60" s="9">
        <f>AD60-G60</f>
        <v/>
      </c>
      <c r="AK60" s="9">
        <f>Y60-X60</f>
        <v/>
      </c>
      <c r="AL60" s="9">
        <f>1000*(AA61-AA59)/(A61-A59)*Inputs!$C$11</f>
        <v/>
      </c>
      <c r="AM60" s="9">
        <f>-2*AL60/Inputs!$C$13</f>
        <v/>
      </c>
      <c r="AN60" s="9">
        <f>-2*AL60/Inputs!$C$14</f>
        <v/>
      </c>
      <c r="AO60" s="9">
        <f>ABS(AM60)</f>
        <v/>
      </c>
      <c r="AP60" s="9">
        <f>ABS(AN60)</f>
        <v/>
      </c>
      <c r="AQ60" s="9">
        <f>IF(OR(Inputs!$C$27=TRUE,Inputs!$C$27="TRUE",Inputs!$C$27=1),Inputs!$C$46/Inputs!$C$12,0)</f>
        <v/>
      </c>
      <c r="AR60" s="9">
        <f>AC60-AQ60</f>
        <v/>
      </c>
      <c r="AS60" s="9">
        <f>AC60+AQ60</f>
        <v/>
      </c>
    </row>
    <row r="61">
      <c r="A61" s="9">
        <f>Inputs!$C$7+59*(Inputs!$C$8-Inputs!$C$7)/240</f>
        <v/>
      </c>
      <c r="B61" s="9">
        <f>Inputs!$C$5+Inputs!$C$9*(A61/Inputs!$C$10)^2</f>
        <v/>
      </c>
      <c r="C61" s="9">
        <f>B61</f>
        <v/>
      </c>
      <c r="D61" s="9">
        <f>SQRT((Inputs!$C$52+B61)^2+Inputs!$C$52^2-2*(Inputs!$C$52+B61)*Inputs!$C$52*COS(SQRT(A61^2+Inputs!$C$6^2)/Inputs!$C$52))</f>
        <v/>
      </c>
      <c r="E61" s="9">
        <f>(D61-C61)*1000</f>
        <v/>
      </c>
      <c r="F61" s="9">
        <f>E61/Inputs!$C$12</f>
        <v/>
      </c>
      <c r="G61" s="9">
        <f>2*E61/Inputs!$C$21*1000000</f>
        <v/>
      </c>
      <c r="H61" s="9">
        <f>SQRT(A61^2+Inputs!$C$6^2)</f>
        <v/>
      </c>
      <c r="I61" s="9">
        <f>DEGREES(ATAN(H61/B61))</f>
        <v/>
      </c>
      <c r="J61" s="9">
        <f>DEGREES((2*PI()/Inputs!$C$13)*Inputs!$C$15*SIN(RADIANS(I61)))</f>
        <v/>
      </c>
      <c r="K61" s="9">
        <f>(C61/D61)^4</f>
        <v/>
      </c>
      <c r="L61" s="9">
        <f>10*LOG10(K61)</f>
        <v/>
      </c>
      <c r="M61" s="9">
        <f>2*(Inputs!$C$9/(Inputs!$C$10^2))*A61</f>
        <v/>
      </c>
      <c r="N61" s="9">
        <f>M61*Inputs!$C$11</f>
        <v/>
      </c>
      <c r="O61" s="9">
        <f>1000*(D62-D60)/(A62-A60)*Inputs!$C$11</f>
        <v/>
      </c>
      <c r="P61" s="9">
        <f>-2*O61/Inputs!$C$13</f>
        <v/>
      </c>
      <c r="Q61" s="9">
        <f>-2*O61/Inputs!$C$14</f>
        <v/>
      </c>
      <c r="R61" s="9">
        <f>F61-Inputs!$C$16/2</f>
        <v/>
      </c>
      <c r="S61" s="9">
        <f>F61+Inputs!$C$16/2</f>
        <v/>
      </c>
      <c r="T61" s="9">
        <f>F61-Inputs!$C$17/2</f>
        <v/>
      </c>
      <c r="U61" s="9">
        <f>F61+Inputs!$C$17/2</f>
        <v/>
      </c>
      <c r="V61" s="9">
        <f>ABS(P61)</f>
        <v/>
      </c>
      <c r="W61" s="9">
        <f>ABS(Q61)</f>
        <v/>
      </c>
      <c r="X61" s="9">
        <f>IF(OR(Inputs!$C$27=TRUE,Inputs!$C$27="TRUE",Inputs!$C$27=1),1,0)*(Inputs!$C$51*(115*EXP(-(((0)-25)^2)/(4.5^2))+70*EXP(-(((0)+38)^2)/(7^2))*(0.55+0.45*SIN(2*PI()*(A61)/45))+24*SIN(2*PI()*(0)/9+(A61)/18)*EXP(-(((0)+5)^2)/(22^2))+18*SIN(2*PI()*(A61)/70))+Inputs!$C$28*EXP(-(((A61)-Inputs!$C$29)^2)/(2*Inputs!$C$31^2))*EXP(-(((0)-Inputs!$C$30)^2)/(2*Inputs!$C$32^2))+-Inputs!$C$33*EXP(-(((((A61)-Inputs!$C$34)^2)+(((0)-Inputs!$C$35)^2))/(2*Inputs!$C$36^2)))+Inputs!$C$37*(0.55*SIN(2*PI()*(A61)/Inputs!$C$39)+0.35*COS(2*PI()*(0)/Inputs!$C$40)+0.2*SIN(2*PI()*((A61)+(0))/(0.5*(Inputs!$C$39+Inputs!$C$40))))+Inputs!$C$38*SIN(2*PI()*(A61)/Inputs!$C$39)*SIN(2*PI()*(0)/Inputs!$C$40)+-Inputs!$C$41*EXP(-(((0)-Inputs!$C$43)^2)/(2*Inputs!$C$44^2))*EXP(-(((A61)-Inputs!$C$42)^2)/(2*Inputs!$C$45^2))+Inputs!$C$48*(0.7*(0.45*SIN(2*PI()*(((A61)/Inputs!$C$49)+Inputs!$C$47*0.137))+0.35*COS(2*PI()*(((0)/Inputs!$C$50)+Inputs!$C$47*0.173))+0.2*SIN(2*PI()*(((A61)+(0))/(0.5*(Inputs!$C$49+Inputs!$C$50))+Inputs!$C$47*0.097)))+0.3*(2*((SIN(((A61)*12.9898+(0)*78.233+Inputs!$C$47*37.719))*43758.5453)-INT((SIN(((A61)*12.9898+(0)*78.233+Inputs!$C$47*37.719))*43758.5453)))-1)))</f>
        <v/>
      </c>
      <c r="Y61" s="9">
        <f>IF(OR(Inputs!$C$27=TRUE,Inputs!$C$27="TRUE",Inputs!$C$27=1),1,0)*(Inputs!$C$51*(115*EXP(-(((Inputs!$C$6)-25)^2)/(4.5^2))+70*EXP(-(((Inputs!$C$6)+38)^2)/(7^2))*(0.55+0.45*SIN(2*PI()*(A61)/45))+24*SIN(2*PI()*(Inputs!$C$6)/9+(A61)/18)*EXP(-(((Inputs!$C$6)+5)^2)/(22^2))+18*SIN(2*PI()*(A61)/70))+Inputs!$C$28*EXP(-(((A61)-Inputs!$C$29)^2)/(2*Inputs!$C$31^2))*EXP(-(((Inputs!$C$6)-Inputs!$C$30)^2)/(2*Inputs!$C$32^2))+-Inputs!$C$33*EXP(-(((((A61)-Inputs!$C$34)^2)+(((Inputs!$C$6)-Inputs!$C$35)^2))/(2*Inputs!$C$36^2)))+Inputs!$C$37*(0.55*SIN(2*PI()*(A61)/Inputs!$C$39)+0.35*COS(2*PI()*(Inputs!$C$6)/Inputs!$C$40)+0.2*SIN(2*PI()*((A61)+(Inputs!$C$6))/(0.5*(Inputs!$C$39+Inputs!$C$40))))+Inputs!$C$38*SIN(2*PI()*(A61)/Inputs!$C$39)*SIN(2*PI()*(Inputs!$C$6)/Inputs!$C$40)+-Inputs!$C$41*EXP(-(((Inputs!$C$6)-Inputs!$C$43)^2)/(2*Inputs!$C$44^2))*EXP(-(((A61)-Inputs!$C$42)^2)/(2*Inputs!$C$45^2))+Inputs!$C$48*(0.7*(0.45*SIN(2*PI()*(((A61)/Inputs!$C$49)+Inputs!$C$47*0.137))+0.35*COS(2*PI()*(((Inputs!$C$6)/Inputs!$C$50)+Inputs!$C$47*0.173))+0.2*SIN(2*PI()*(((A61)+(Inputs!$C$6))/(0.5*(Inputs!$C$49+Inputs!$C$50))+Inputs!$C$47*0.097)))+0.3*(2*((SIN(((A61)*12.9898+(Inputs!$C$6)*78.233+Inputs!$C$47*37.719))*43758.5453)-INT((SIN(((A61)*12.9898+(Inputs!$C$6)*78.233+Inputs!$C$47*37.719))*43758.5453)))-1)))</f>
        <v/>
      </c>
      <c r="Z61" s="9">
        <f>B61-X61/1000</f>
        <v/>
      </c>
      <c r="AA61" s="9">
        <f>SQRT((Inputs!$C$52+B61)^2+(Inputs!$C$52+Y61/1000)^2-2*(Inputs!$C$52+B61)*(Inputs!$C$52+Y61/1000)*COS(SQRT(A61^2+Inputs!$C$6^2)/Inputs!$C$52))</f>
        <v/>
      </c>
      <c r="AB61" s="9">
        <f>(AA61-Z61)*1000</f>
        <v/>
      </c>
      <c r="AC61" s="9">
        <f>AB61/Inputs!$C$12</f>
        <v/>
      </c>
      <c r="AD61" s="9">
        <f>2*AB61/Inputs!$C$21*1000000</f>
        <v/>
      </c>
      <c r="AE61" s="9">
        <f>DEGREES(ATAN(H61/(B61-Y61/1000)))</f>
        <v/>
      </c>
      <c r="AF61" s="9">
        <f>DEGREES((2*PI()/Inputs!$C$13)*Inputs!$C$15*SIN(RADIANS(AE61)))</f>
        <v/>
      </c>
      <c r="AG61" s="9">
        <f>(Z61/AA61)^4</f>
        <v/>
      </c>
      <c r="AH61" s="9">
        <f>10*LOG10(AG61)</f>
        <v/>
      </c>
      <c r="AI61" s="9">
        <f>AC61-F61</f>
        <v/>
      </c>
      <c r="AJ61" s="9">
        <f>AD61-G61</f>
        <v/>
      </c>
      <c r="AK61" s="9">
        <f>Y61-X61</f>
        <v/>
      </c>
      <c r="AL61" s="9">
        <f>1000*(AA62-AA60)/(A62-A60)*Inputs!$C$11</f>
        <v/>
      </c>
      <c r="AM61" s="9">
        <f>-2*AL61/Inputs!$C$13</f>
        <v/>
      </c>
      <c r="AN61" s="9">
        <f>-2*AL61/Inputs!$C$14</f>
        <v/>
      </c>
      <c r="AO61" s="9">
        <f>ABS(AM61)</f>
        <v/>
      </c>
      <c r="AP61" s="9">
        <f>ABS(AN61)</f>
        <v/>
      </c>
      <c r="AQ61" s="9">
        <f>IF(OR(Inputs!$C$27=TRUE,Inputs!$C$27="TRUE",Inputs!$C$27=1),Inputs!$C$46/Inputs!$C$12,0)</f>
        <v/>
      </c>
      <c r="AR61" s="9">
        <f>AC61-AQ61</f>
        <v/>
      </c>
      <c r="AS61" s="9">
        <f>AC61+AQ61</f>
        <v/>
      </c>
    </row>
    <row r="62">
      <c r="A62" s="9">
        <f>Inputs!$C$7+60*(Inputs!$C$8-Inputs!$C$7)/240</f>
        <v/>
      </c>
      <c r="B62" s="9">
        <f>Inputs!$C$5+Inputs!$C$9*(A62/Inputs!$C$10)^2</f>
        <v/>
      </c>
      <c r="C62" s="9">
        <f>B62</f>
        <v/>
      </c>
      <c r="D62" s="9">
        <f>SQRT((Inputs!$C$52+B62)^2+Inputs!$C$52^2-2*(Inputs!$C$52+B62)*Inputs!$C$52*COS(SQRT(A62^2+Inputs!$C$6^2)/Inputs!$C$52))</f>
        <v/>
      </c>
      <c r="E62" s="9">
        <f>(D62-C62)*1000</f>
        <v/>
      </c>
      <c r="F62" s="9">
        <f>E62/Inputs!$C$12</f>
        <v/>
      </c>
      <c r="G62" s="9">
        <f>2*E62/Inputs!$C$21*1000000</f>
        <v/>
      </c>
      <c r="H62" s="9">
        <f>SQRT(A62^2+Inputs!$C$6^2)</f>
        <v/>
      </c>
      <c r="I62" s="9">
        <f>DEGREES(ATAN(H62/B62))</f>
        <v/>
      </c>
      <c r="J62" s="9">
        <f>DEGREES((2*PI()/Inputs!$C$13)*Inputs!$C$15*SIN(RADIANS(I62)))</f>
        <v/>
      </c>
      <c r="K62" s="9">
        <f>(C62/D62)^4</f>
        <v/>
      </c>
      <c r="L62" s="9">
        <f>10*LOG10(K62)</f>
        <v/>
      </c>
      <c r="M62" s="9">
        <f>2*(Inputs!$C$9/(Inputs!$C$10^2))*A62</f>
        <v/>
      </c>
      <c r="N62" s="9">
        <f>M62*Inputs!$C$11</f>
        <v/>
      </c>
      <c r="O62" s="9">
        <f>1000*(D63-D61)/(A63-A61)*Inputs!$C$11</f>
        <v/>
      </c>
      <c r="P62" s="9">
        <f>-2*O62/Inputs!$C$13</f>
        <v/>
      </c>
      <c r="Q62" s="9">
        <f>-2*O62/Inputs!$C$14</f>
        <v/>
      </c>
      <c r="R62" s="9">
        <f>F62-Inputs!$C$16/2</f>
        <v/>
      </c>
      <c r="S62" s="9">
        <f>F62+Inputs!$C$16/2</f>
        <v/>
      </c>
      <c r="T62" s="9">
        <f>F62-Inputs!$C$17/2</f>
        <v/>
      </c>
      <c r="U62" s="9">
        <f>F62+Inputs!$C$17/2</f>
        <v/>
      </c>
      <c r="V62" s="9">
        <f>ABS(P62)</f>
        <v/>
      </c>
      <c r="W62" s="9">
        <f>ABS(Q62)</f>
        <v/>
      </c>
      <c r="X62" s="9">
        <f>IF(OR(Inputs!$C$27=TRUE,Inputs!$C$27="TRUE",Inputs!$C$27=1),1,0)*(Inputs!$C$51*(115*EXP(-(((0)-25)^2)/(4.5^2))+70*EXP(-(((0)+38)^2)/(7^2))*(0.55+0.45*SIN(2*PI()*(A62)/45))+24*SIN(2*PI()*(0)/9+(A62)/18)*EXP(-(((0)+5)^2)/(22^2))+18*SIN(2*PI()*(A62)/70))+Inputs!$C$28*EXP(-(((A62)-Inputs!$C$29)^2)/(2*Inputs!$C$31^2))*EXP(-(((0)-Inputs!$C$30)^2)/(2*Inputs!$C$32^2))+-Inputs!$C$33*EXP(-(((((A62)-Inputs!$C$34)^2)+(((0)-Inputs!$C$35)^2))/(2*Inputs!$C$36^2)))+Inputs!$C$37*(0.55*SIN(2*PI()*(A62)/Inputs!$C$39)+0.35*COS(2*PI()*(0)/Inputs!$C$40)+0.2*SIN(2*PI()*((A62)+(0))/(0.5*(Inputs!$C$39+Inputs!$C$40))))+Inputs!$C$38*SIN(2*PI()*(A62)/Inputs!$C$39)*SIN(2*PI()*(0)/Inputs!$C$40)+-Inputs!$C$41*EXP(-(((0)-Inputs!$C$43)^2)/(2*Inputs!$C$44^2))*EXP(-(((A62)-Inputs!$C$42)^2)/(2*Inputs!$C$45^2))+Inputs!$C$48*(0.7*(0.45*SIN(2*PI()*(((A62)/Inputs!$C$49)+Inputs!$C$47*0.137))+0.35*COS(2*PI()*(((0)/Inputs!$C$50)+Inputs!$C$47*0.173))+0.2*SIN(2*PI()*(((A62)+(0))/(0.5*(Inputs!$C$49+Inputs!$C$50))+Inputs!$C$47*0.097)))+0.3*(2*((SIN(((A62)*12.9898+(0)*78.233+Inputs!$C$47*37.719))*43758.5453)-INT((SIN(((A62)*12.9898+(0)*78.233+Inputs!$C$47*37.719))*43758.5453)))-1)))</f>
        <v/>
      </c>
      <c r="Y62" s="9">
        <f>IF(OR(Inputs!$C$27=TRUE,Inputs!$C$27="TRUE",Inputs!$C$27=1),1,0)*(Inputs!$C$51*(115*EXP(-(((Inputs!$C$6)-25)^2)/(4.5^2))+70*EXP(-(((Inputs!$C$6)+38)^2)/(7^2))*(0.55+0.45*SIN(2*PI()*(A62)/45))+24*SIN(2*PI()*(Inputs!$C$6)/9+(A62)/18)*EXP(-(((Inputs!$C$6)+5)^2)/(22^2))+18*SIN(2*PI()*(A62)/70))+Inputs!$C$28*EXP(-(((A62)-Inputs!$C$29)^2)/(2*Inputs!$C$31^2))*EXP(-(((Inputs!$C$6)-Inputs!$C$30)^2)/(2*Inputs!$C$32^2))+-Inputs!$C$33*EXP(-(((((A62)-Inputs!$C$34)^2)+(((Inputs!$C$6)-Inputs!$C$35)^2))/(2*Inputs!$C$36^2)))+Inputs!$C$37*(0.55*SIN(2*PI()*(A62)/Inputs!$C$39)+0.35*COS(2*PI()*(Inputs!$C$6)/Inputs!$C$40)+0.2*SIN(2*PI()*((A62)+(Inputs!$C$6))/(0.5*(Inputs!$C$39+Inputs!$C$40))))+Inputs!$C$38*SIN(2*PI()*(A62)/Inputs!$C$39)*SIN(2*PI()*(Inputs!$C$6)/Inputs!$C$40)+-Inputs!$C$41*EXP(-(((Inputs!$C$6)-Inputs!$C$43)^2)/(2*Inputs!$C$44^2))*EXP(-(((A62)-Inputs!$C$42)^2)/(2*Inputs!$C$45^2))+Inputs!$C$48*(0.7*(0.45*SIN(2*PI()*(((A62)/Inputs!$C$49)+Inputs!$C$47*0.137))+0.35*COS(2*PI()*(((Inputs!$C$6)/Inputs!$C$50)+Inputs!$C$47*0.173))+0.2*SIN(2*PI()*(((A62)+(Inputs!$C$6))/(0.5*(Inputs!$C$49+Inputs!$C$50))+Inputs!$C$47*0.097)))+0.3*(2*((SIN(((A62)*12.9898+(Inputs!$C$6)*78.233+Inputs!$C$47*37.719))*43758.5453)-INT((SIN(((A62)*12.9898+(Inputs!$C$6)*78.233+Inputs!$C$47*37.719))*43758.5453)))-1)))</f>
        <v/>
      </c>
      <c r="Z62" s="9">
        <f>B62-X62/1000</f>
        <v/>
      </c>
      <c r="AA62" s="9">
        <f>SQRT((Inputs!$C$52+B62)^2+(Inputs!$C$52+Y62/1000)^2-2*(Inputs!$C$52+B62)*(Inputs!$C$52+Y62/1000)*COS(SQRT(A62^2+Inputs!$C$6^2)/Inputs!$C$52))</f>
        <v/>
      </c>
      <c r="AB62" s="9">
        <f>(AA62-Z62)*1000</f>
        <v/>
      </c>
      <c r="AC62" s="9">
        <f>AB62/Inputs!$C$12</f>
        <v/>
      </c>
      <c r="AD62" s="9">
        <f>2*AB62/Inputs!$C$21*1000000</f>
        <v/>
      </c>
      <c r="AE62" s="9">
        <f>DEGREES(ATAN(H62/(B62-Y62/1000)))</f>
        <v/>
      </c>
      <c r="AF62" s="9">
        <f>DEGREES((2*PI()/Inputs!$C$13)*Inputs!$C$15*SIN(RADIANS(AE62)))</f>
        <v/>
      </c>
      <c r="AG62" s="9">
        <f>(Z62/AA62)^4</f>
        <v/>
      </c>
      <c r="AH62" s="9">
        <f>10*LOG10(AG62)</f>
        <v/>
      </c>
      <c r="AI62" s="9">
        <f>AC62-F62</f>
        <v/>
      </c>
      <c r="AJ62" s="9">
        <f>AD62-G62</f>
        <v/>
      </c>
      <c r="AK62" s="9">
        <f>Y62-X62</f>
        <v/>
      </c>
      <c r="AL62" s="9">
        <f>1000*(AA63-AA61)/(A63-A61)*Inputs!$C$11</f>
        <v/>
      </c>
      <c r="AM62" s="9">
        <f>-2*AL62/Inputs!$C$13</f>
        <v/>
      </c>
      <c r="AN62" s="9">
        <f>-2*AL62/Inputs!$C$14</f>
        <v/>
      </c>
      <c r="AO62" s="9">
        <f>ABS(AM62)</f>
        <v/>
      </c>
      <c r="AP62" s="9">
        <f>ABS(AN62)</f>
        <v/>
      </c>
      <c r="AQ62" s="9">
        <f>IF(OR(Inputs!$C$27=TRUE,Inputs!$C$27="TRUE",Inputs!$C$27=1),Inputs!$C$46/Inputs!$C$12,0)</f>
        <v/>
      </c>
      <c r="AR62" s="9">
        <f>AC62-AQ62</f>
        <v/>
      </c>
      <c r="AS62" s="9">
        <f>AC62+AQ62</f>
        <v/>
      </c>
    </row>
    <row r="63">
      <c r="A63" s="9">
        <f>Inputs!$C$7+61*(Inputs!$C$8-Inputs!$C$7)/240</f>
        <v/>
      </c>
      <c r="B63" s="9">
        <f>Inputs!$C$5+Inputs!$C$9*(A63/Inputs!$C$10)^2</f>
        <v/>
      </c>
      <c r="C63" s="9">
        <f>B63</f>
        <v/>
      </c>
      <c r="D63" s="9">
        <f>SQRT((Inputs!$C$52+B63)^2+Inputs!$C$52^2-2*(Inputs!$C$52+B63)*Inputs!$C$52*COS(SQRT(A63^2+Inputs!$C$6^2)/Inputs!$C$52))</f>
        <v/>
      </c>
      <c r="E63" s="9">
        <f>(D63-C63)*1000</f>
        <v/>
      </c>
      <c r="F63" s="9">
        <f>E63/Inputs!$C$12</f>
        <v/>
      </c>
      <c r="G63" s="9">
        <f>2*E63/Inputs!$C$21*1000000</f>
        <v/>
      </c>
      <c r="H63" s="9">
        <f>SQRT(A63^2+Inputs!$C$6^2)</f>
        <v/>
      </c>
      <c r="I63" s="9">
        <f>DEGREES(ATAN(H63/B63))</f>
        <v/>
      </c>
      <c r="J63" s="9">
        <f>DEGREES((2*PI()/Inputs!$C$13)*Inputs!$C$15*SIN(RADIANS(I63)))</f>
        <v/>
      </c>
      <c r="K63" s="9">
        <f>(C63/D63)^4</f>
        <v/>
      </c>
      <c r="L63" s="9">
        <f>10*LOG10(K63)</f>
        <v/>
      </c>
      <c r="M63" s="9">
        <f>2*(Inputs!$C$9/(Inputs!$C$10^2))*A63</f>
        <v/>
      </c>
      <c r="N63" s="9">
        <f>M63*Inputs!$C$11</f>
        <v/>
      </c>
      <c r="O63" s="9">
        <f>1000*(D64-D62)/(A64-A62)*Inputs!$C$11</f>
        <v/>
      </c>
      <c r="P63" s="9">
        <f>-2*O63/Inputs!$C$13</f>
        <v/>
      </c>
      <c r="Q63" s="9">
        <f>-2*O63/Inputs!$C$14</f>
        <v/>
      </c>
      <c r="R63" s="9">
        <f>F63-Inputs!$C$16/2</f>
        <v/>
      </c>
      <c r="S63" s="9">
        <f>F63+Inputs!$C$16/2</f>
        <v/>
      </c>
      <c r="T63" s="9">
        <f>F63-Inputs!$C$17/2</f>
        <v/>
      </c>
      <c r="U63" s="9">
        <f>F63+Inputs!$C$17/2</f>
        <v/>
      </c>
      <c r="V63" s="9">
        <f>ABS(P63)</f>
        <v/>
      </c>
      <c r="W63" s="9">
        <f>ABS(Q63)</f>
        <v/>
      </c>
      <c r="X63" s="9">
        <f>IF(OR(Inputs!$C$27=TRUE,Inputs!$C$27="TRUE",Inputs!$C$27=1),1,0)*(Inputs!$C$51*(115*EXP(-(((0)-25)^2)/(4.5^2))+70*EXP(-(((0)+38)^2)/(7^2))*(0.55+0.45*SIN(2*PI()*(A63)/45))+24*SIN(2*PI()*(0)/9+(A63)/18)*EXP(-(((0)+5)^2)/(22^2))+18*SIN(2*PI()*(A63)/70))+Inputs!$C$28*EXP(-(((A63)-Inputs!$C$29)^2)/(2*Inputs!$C$31^2))*EXP(-(((0)-Inputs!$C$30)^2)/(2*Inputs!$C$32^2))+-Inputs!$C$33*EXP(-(((((A63)-Inputs!$C$34)^2)+(((0)-Inputs!$C$35)^2))/(2*Inputs!$C$36^2)))+Inputs!$C$37*(0.55*SIN(2*PI()*(A63)/Inputs!$C$39)+0.35*COS(2*PI()*(0)/Inputs!$C$40)+0.2*SIN(2*PI()*((A63)+(0))/(0.5*(Inputs!$C$39+Inputs!$C$40))))+Inputs!$C$38*SIN(2*PI()*(A63)/Inputs!$C$39)*SIN(2*PI()*(0)/Inputs!$C$40)+-Inputs!$C$41*EXP(-(((0)-Inputs!$C$43)^2)/(2*Inputs!$C$44^2))*EXP(-(((A63)-Inputs!$C$42)^2)/(2*Inputs!$C$45^2))+Inputs!$C$48*(0.7*(0.45*SIN(2*PI()*(((A63)/Inputs!$C$49)+Inputs!$C$47*0.137))+0.35*COS(2*PI()*(((0)/Inputs!$C$50)+Inputs!$C$47*0.173))+0.2*SIN(2*PI()*(((A63)+(0))/(0.5*(Inputs!$C$49+Inputs!$C$50))+Inputs!$C$47*0.097)))+0.3*(2*((SIN(((A63)*12.9898+(0)*78.233+Inputs!$C$47*37.719))*43758.5453)-INT((SIN(((A63)*12.9898+(0)*78.233+Inputs!$C$47*37.719))*43758.5453)))-1)))</f>
        <v/>
      </c>
      <c r="Y63" s="9">
        <f>IF(OR(Inputs!$C$27=TRUE,Inputs!$C$27="TRUE",Inputs!$C$27=1),1,0)*(Inputs!$C$51*(115*EXP(-(((Inputs!$C$6)-25)^2)/(4.5^2))+70*EXP(-(((Inputs!$C$6)+38)^2)/(7^2))*(0.55+0.45*SIN(2*PI()*(A63)/45))+24*SIN(2*PI()*(Inputs!$C$6)/9+(A63)/18)*EXP(-(((Inputs!$C$6)+5)^2)/(22^2))+18*SIN(2*PI()*(A63)/70))+Inputs!$C$28*EXP(-(((A63)-Inputs!$C$29)^2)/(2*Inputs!$C$31^2))*EXP(-(((Inputs!$C$6)-Inputs!$C$30)^2)/(2*Inputs!$C$32^2))+-Inputs!$C$33*EXP(-(((((A63)-Inputs!$C$34)^2)+(((Inputs!$C$6)-Inputs!$C$35)^2))/(2*Inputs!$C$36^2)))+Inputs!$C$37*(0.55*SIN(2*PI()*(A63)/Inputs!$C$39)+0.35*COS(2*PI()*(Inputs!$C$6)/Inputs!$C$40)+0.2*SIN(2*PI()*((A63)+(Inputs!$C$6))/(0.5*(Inputs!$C$39+Inputs!$C$40))))+Inputs!$C$38*SIN(2*PI()*(A63)/Inputs!$C$39)*SIN(2*PI()*(Inputs!$C$6)/Inputs!$C$40)+-Inputs!$C$41*EXP(-(((Inputs!$C$6)-Inputs!$C$43)^2)/(2*Inputs!$C$44^2))*EXP(-(((A63)-Inputs!$C$42)^2)/(2*Inputs!$C$45^2))+Inputs!$C$48*(0.7*(0.45*SIN(2*PI()*(((A63)/Inputs!$C$49)+Inputs!$C$47*0.137))+0.35*COS(2*PI()*(((Inputs!$C$6)/Inputs!$C$50)+Inputs!$C$47*0.173))+0.2*SIN(2*PI()*(((A63)+(Inputs!$C$6))/(0.5*(Inputs!$C$49+Inputs!$C$50))+Inputs!$C$47*0.097)))+0.3*(2*((SIN(((A63)*12.9898+(Inputs!$C$6)*78.233+Inputs!$C$47*37.719))*43758.5453)-INT((SIN(((A63)*12.9898+(Inputs!$C$6)*78.233+Inputs!$C$47*37.719))*43758.5453)))-1)))</f>
        <v/>
      </c>
      <c r="Z63" s="9">
        <f>B63-X63/1000</f>
        <v/>
      </c>
      <c r="AA63" s="9">
        <f>SQRT((Inputs!$C$52+B63)^2+(Inputs!$C$52+Y63/1000)^2-2*(Inputs!$C$52+B63)*(Inputs!$C$52+Y63/1000)*COS(SQRT(A63^2+Inputs!$C$6^2)/Inputs!$C$52))</f>
        <v/>
      </c>
      <c r="AB63" s="9">
        <f>(AA63-Z63)*1000</f>
        <v/>
      </c>
      <c r="AC63" s="9">
        <f>AB63/Inputs!$C$12</f>
        <v/>
      </c>
      <c r="AD63" s="9">
        <f>2*AB63/Inputs!$C$21*1000000</f>
        <v/>
      </c>
      <c r="AE63" s="9">
        <f>DEGREES(ATAN(H63/(B63-Y63/1000)))</f>
        <v/>
      </c>
      <c r="AF63" s="9">
        <f>DEGREES((2*PI()/Inputs!$C$13)*Inputs!$C$15*SIN(RADIANS(AE63)))</f>
        <v/>
      </c>
      <c r="AG63" s="9">
        <f>(Z63/AA63)^4</f>
        <v/>
      </c>
      <c r="AH63" s="9">
        <f>10*LOG10(AG63)</f>
        <v/>
      </c>
      <c r="AI63" s="9">
        <f>AC63-F63</f>
        <v/>
      </c>
      <c r="AJ63" s="9">
        <f>AD63-G63</f>
        <v/>
      </c>
      <c r="AK63" s="9">
        <f>Y63-X63</f>
        <v/>
      </c>
      <c r="AL63" s="9">
        <f>1000*(AA64-AA62)/(A64-A62)*Inputs!$C$11</f>
        <v/>
      </c>
      <c r="AM63" s="9">
        <f>-2*AL63/Inputs!$C$13</f>
        <v/>
      </c>
      <c r="AN63" s="9">
        <f>-2*AL63/Inputs!$C$14</f>
        <v/>
      </c>
      <c r="AO63" s="9">
        <f>ABS(AM63)</f>
        <v/>
      </c>
      <c r="AP63" s="9">
        <f>ABS(AN63)</f>
        <v/>
      </c>
      <c r="AQ63" s="9">
        <f>IF(OR(Inputs!$C$27=TRUE,Inputs!$C$27="TRUE",Inputs!$C$27=1),Inputs!$C$46/Inputs!$C$12,0)</f>
        <v/>
      </c>
      <c r="AR63" s="9">
        <f>AC63-AQ63</f>
        <v/>
      </c>
      <c r="AS63" s="9">
        <f>AC63+AQ63</f>
        <v/>
      </c>
    </row>
    <row r="64">
      <c r="A64" s="9">
        <f>Inputs!$C$7+62*(Inputs!$C$8-Inputs!$C$7)/240</f>
        <v/>
      </c>
      <c r="B64" s="9">
        <f>Inputs!$C$5+Inputs!$C$9*(A64/Inputs!$C$10)^2</f>
        <v/>
      </c>
      <c r="C64" s="9">
        <f>B64</f>
        <v/>
      </c>
      <c r="D64" s="9">
        <f>SQRT((Inputs!$C$52+B64)^2+Inputs!$C$52^2-2*(Inputs!$C$52+B64)*Inputs!$C$52*COS(SQRT(A64^2+Inputs!$C$6^2)/Inputs!$C$52))</f>
        <v/>
      </c>
      <c r="E64" s="9">
        <f>(D64-C64)*1000</f>
        <v/>
      </c>
      <c r="F64" s="9">
        <f>E64/Inputs!$C$12</f>
        <v/>
      </c>
      <c r="G64" s="9">
        <f>2*E64/Inputs!$C$21*1000000</f>
        <v/>
      </c>
      <c r="H64" s="9">
        <f>SQRT(A64^2+Inputs!$C$6^2)</f>
        <v/>
      </c>
      <c r="I64" s="9">
        <f>DEGREES(ATAN(H64/B64))</f>
        <v/>
      </c>
      <c r="J64" s="9">
        <f>DEGREES((2*PI()/Inputs!$C$13)*Inputs!$C$15*SIN(RADIANS(I64)))</f>
        <v/>
      </c>
      <c r="K64" s="9">
        <f>(C64/D64)^4</f>
        <v/>
      </c>
      <c r="L64" s="9">
        <f>10*LOG10(K64)</f>
        <v/>
      </c>
      <c r="M64" s="9">
        <f>2*(Inputs!$C$9/(Inputs!$C$10^2))*A64</f>
        <v/>
      </c>
      <c r="N64" s="9">
        <f>M64*Inputs!$C$11</f>
        <v/>
      </c>
      <c r="O64" s="9">
        <f>1000*(D65-D63)/(A65-A63)*Inputs!$C$11</f>
        <v/>
      </c>
      <c r="P64" s="9">
        <f>-2*O64/Inputs!$C$13</f>
        <v/>
      </c>
      <c r="Q64" s="9">
        <f>-2*O64/Inputs!$C$14</f>
        <v/>
      </c>
      <c r="R64" s="9">
        <f>F64-Inputs!$C$16/2</f>
        <v/>
      </c>
      <c r="S64" s="9">
        <f>F64+Inputs!$C$16/2</f>
        <v/>
      </c>
      <c r="T64" s="9">
        <f>F64-Inputs!$C$17/2</f>
        <v/>
      </c>
      <c r="U64" s="9">
        <f>F64+Inputs!$C$17/2</f>
        <v/>
      </c>
      <c r="V64" s="9">
        <f>ABS(P64)</f>
        <v/>
      </c>
      <c r="W64" s="9">
        <f>ABS(Q64)</f>
        <v/>
      </c>
      <c r="X64" s="9">
        <f>IF(OR(Inputs!$C$27=TRUE,Inputs!$C$27="TRUE",Inputs!$C$27=1),1,0)*(Inputs!$C$51*(115*EXP(-(((0)-25)^2)/(4.5^2))+70*EXP(-(((0)+38)^2)/(7^2))*(0.55+0.45*SIN(2*PI()*(A64)/45))+24*SIN(2*PI()*(0)/9+(A64)/18)*EXP(-(((0)+5)^2)/(22^2))+18*SIN(2*PI()*(A64)/70))+Inputs!$C$28*EXP(-(((A64)-Inputs!$C$29)^2)/(2*Inputs!$C$31^2))*EXP(-(((0)-Inputs!$C$30)^2)/(2*Inputs!$C$32^2))+-Inputs!$C$33*EXP(-(((((A64)-Inputs!$C$34)^2)+(((0)-Inputs!$C$35)^2))/(2*Inputs!$C$36^2)))+Inputs!$C$37*(0.55*SIN(2*PI()*(A64)/Inputs!$C$39)+0.35*COS(2*PI()*(0)/Inputs!$C$40)+0.2*SIN(2*PI()*((A64)+(0))/(0.5*(Inputs!$C$39+Inputs!$C$40))))+Inputs!$C$38*SIN(2*PI()*(A64)/Inputs!$C$39)*SIN(2*PI()*(0)/Inputs!$C$40)+-Inputs!$C$41*EXP(-(((0)-Inputs!$C$43)^2)/(2*Inputs!$C$44^2))*EXP(-(((A64)-Inputs!$C$42)^2)/(2*Inputs!$C$45^2))+Inputs!$C$48*(0.7*(0.45*SIN(2*PI()*(((A64)/Inputs!$C$49)+Inputs!$C$47*0.137))+0.35*COS(2*PI()*(((0)/Inputs!$C$50)+Inputs!$C$47*0.173))+0.2*SIN(2*PI()*(((A64)+(0))/(0.5*(Inputs!$C$49+Inputs!$C$50))+Inputs!$C$47*0.097)))+0.3*(2*((SIN(((A64)*12.9898+(0)*78.233+Inputs!$C$47*37.719))*43758.5453)-INT((SIN(((A64)*12.9898+(0)*78.233+Inputs!$C$47*37.719))*43758.5453)))-1)))</f>
        <v/>
      </c>
      <c r="Y64" s="9">
        <f>IF(OR(Inputs!$C$27=TRUE,Inputs!$C$27="TRUE",Inputs!$C$27=1),1,0)*(Inputs!$C$51*(115*EXP(-(((Inputs!$C$6)-25)^2)/(4.5^2))+70*EXP(-(((Inputs!$C$6)+38)^2)/(7^2))*(0.55+0.45*SIN(2*PI()*(A64)/45))+24*SIN(2*PI()*(Inputs!$C$6)/9+(A64)/18)*EXP(-(((Inputs!$C$6)+5)^2)/(22^2))+18*SIN(2*PI()*(A64)/70))+Inputs!$C$28*EXP(-(((A64)-Inputs!$C$29)^2)/(2*Inputs!$C$31^2))*EXP(-(((Inputs!$C$6)-Inputs!$C$30)^2)/(2*Inputs!$C$32^2))+-Inputs!$C$33*EXP(-(((((A64)-Inputs!$C$34)^2)+(((Inputs!$C$6)-Inputs!$C$35)^2))/(2*Inputs!$C$36^2)))+Inputs!$C$37*(0.55*SIN(2*PI()*(A64)/Inputs!$C$39)+0.35*COS(2*PI()*(Inputs!$C$6)/Inputs!$C$40)+0.2*SIN(2*PI()*((A64)+(Inputs!$C$6))/(0.5*(Inputs!$C$39+Inputs!$C$40))))+Inputs!$C$38*SIN(2*PI()*(A64)/Inputs!$C$39)*SIN(2*PI()*(Inputs!$C$6)/Inputs!$C$40)+-Inputs!$C$41*EXP(-(((Inputs!$C$6)-Inputs!$C$43)^2)/(2*Inputs!$C$44^2))*EXP(-(((A64)-Inputs!$C$42)^2)/(2*Inputs!$C$45^2))+Inputs!$C$48*(0.7*(0.45*SIN(2*PI()*(((A64)/Inputs!$C$49)+Inputs!$C$47*0.137))+0.35*COS(2*PI()*(((Inputs!$C$6)/Inputs!$C$50)+Inputs!$C$47*0.173))+0.2*SIN(2*PI()*(((A64)+(Inputs!$C$6))/(0.5*(Inputs!$C$49+Inputs!$C$50))+Inputs!$C$47*0.097)))+0.3*(2*((SIN(((A64)*12.9898+(Inputs!$C$6)*78.233+Inputs!$C$47*37.719))*43758.5453)-INT((SIN(((A64)*12.9898+(Inputs!$C$6)*78.233+Inputs!$C$47*37.719))*43758.5453)))-1)))</f>
        <v/>
      </c>
      <c r="Z64" s="9">
        <f>B64-X64/1000</f>
        <v/>
      </c>
      <c r="AA64" s="9">
        <f>SQRT((Inputs!$C$52+B64)^2+(Inputs!$C$52+Y64/1000)^2-2*(Inputs!$C$52+B64)*(Inputs!$C$52+Y64/1000)*COS(SQRT(A64^2+Inputs!$C$6^2)/Inputs!$C$52))</f>
        <v/>
      </c>
      <c r="AB64" s="9">
        <f>(AA64-Z64)*1000</f>
        <v/>
      </c>
      <c r="AC64" s="9">
        <f>AB64/Inputs!$C$12</f>
        <v/>
      </c>
      <c r="AD64" s="9">
        <f>2*AB64/Inputs!$C$21*1000000</f>
        <v/>
      </c>
      <c r="AE64" s="9">
        <f>DEGREES(ATAN(H64/(B64-Y64/1000)))</f>
        <v/>
      </c>
      <c r="AF64" s="9">
        <f>DEGREES((2*PI()/Inputs!$C$13)*Inputs!$C$15*SIN(RADIANS(AE64)))</f>
        <v/>
      </c>
      <c r="AG64" s="9">
        <f>(Z64/AA64)^4</f>
        <v/>
      </c>
      <c r="AH64" s="9">
        <f>10*LOG10(AG64)</f>
        <v/>
      </c>
      <c r="AI64" s="9">
        <f>AC64-F64</f>
        <v/>
      </c>
      <c r="AJ64" s="9">
        <f>AD64-G64</f>
        <v/>
      </c>
      <c r="AK64" s="9">
        <f>Y64-X64</f>
        <v/>
      </c>
      <c r="AL64" s="9">
        <f>1000*(AA65-AA63)/(A65-A63)*Inputs!$C$11</f>
        <v/>
      </c>
      <c r="AM64" s="9">
        <f>-2*AL64/Inputs!$C$13</f>
        <v/>
      </c>
      <c r="AN64" s="9">
        <f>-2*AL64/Inputs!$C$14</f>
        <v/>
      </c>
      <c r="AO64" s="9">
        <f>ABS(AM64)</f>
        <v/>
      </c>
      <c r="AP64" s="9">
        <f>ABS(AN64)</f>
        <v/>
      </c>
      <c r="AQ64" s="9">
        <f>IF(OR(Inputs!$C$27=TRUE,Inputs!$C$27="TRUE",Inputs!$C$27=1),Inputs!$C$46/Inputs!$C$12,0)</f>
        <v/>
      </c>
      <c r="AR64" s="9">
        <f>AC64-AQ64</f>
        <v/>
      </c>
      <c r="AS64" s="9">
        <f>AC64+AQ64</f>
        <v/>
      </c>
    </row>
    <row r="65">
      <c r="A65" s="9">
        <f>Inputs!$C$7+63*(Inputs!$C$8-Inputs!$C$7)/240</f>
        <v/>
      </c>
      <c r="B65" s="9">
        <f>Inputs!$C$5+Inputs!$C$9*(A65/Inputs!$C$10)^2</f>
        <v/>
      </c>
      <c r="C65" s="9">
        <f>B65</f>
        <v/>
      </c>
      <c r="D65" s="9">
        <f>SQRT((Inputs!$C$52+B65)^2+Inputs!$C$52^2-2*(Inputs!$C$52+B65)*Inputs!$C$52*COS(SQRT(A65^2+Inputs!$C$6^2)/Inputs!$C$52))</f>
        <v/>
      </c>
      <c r="E65" s="9">
        <f>(D65-C65)*1000</f>
        <v/>
      </c>
      <c r="F65" s="9">
        <f>E65/Inputs!$C$12</f>
        <v/>
      </c>
      <c r="G65" s="9">
        <f>2*E65/Inputs!$C$21*1000000</f>
        <v/>
      </c>
      <c r="H65" s="9">
        <f>SQRT(A65^2+Inputs!$C$6^2)</f>
        <v/>
      </c>
      <c r="I65" s="9">
        <f>DEGREES(ATAN(H65/B65))</f>
        <v/>
      </c>
      <c r="J65" s="9">
        <f>DEGREES((2*PI()/Inputs!$C$13)*Inputs!$C$15*SIN(RADIANS(I65)))</f>
        <v/>
      </c>
      <c r="K65" s="9">
        <f>(C65/D65)^4</f>
        <v/>
      </c>
      <c r="L65" s="9">
        <f>10*LOG10(K65)</f>
        <v/>
      </c>
      <c r="M65" s="9">
        <f>2*(Inputs!$C$9/(Inputs!$C$10^2))*A65</f>
        <v/>
      </c>
      <c r="N65" s="9">
        <f>M65*Inputs!$C$11</f>
        <v/>
      </c>
      <c r="O65" s="9">
        <f>1000*(D66-D64)/(A66-A64)*Inputs!$C$11</f>
        <v/>
      </c>
      <c r="P65" s="9">
        <f>-2*O65/Inputs!$C$13</f>
        <v/>
      </c>
      <c r="Q65" s="9">
        <f>-2*O65/Inputs!$C$14</f>
        <v/>
      </c>
      <c r="R65" s="9">
        <f>F65-Inputs!$C$16/2</f>
        <v/>
      </c>
      <c r="S65" s="9">
        <f>F65+Inputs!$C$16/2</f>
        <v/>
      </c>
      <c r="T65" s="9">
        <f>F65-Inputs!$C$17/2</f>
        <v/>
      </c>
      <c r="U65" s="9">
        <f>F65+Inputs!$C$17/2</f>
        <v/>
      </c>
      <c r="V65" s="9">
        <f>ABS(P65)</f>
        <v/>
      </c>
      <c r="W65" s="9">
        <f>ABS(Q65)</f>
        <v/>
      </c>
      <c r="X65" s="9">
        <f>IF(OR(Inputs!$C$27=TRUE,Inputs!$C$27="TRUE",Inputs!$C$27=1),1,0)*(Inputs!$C$51*(115*EXP(-(((0)-25)^2)/(4.5^2))+70*EXP(-(((0)+38)^2)/(7^2))*(0.55+0.45*SIN(2*PI()*(A65)/45))+24*SIN(2*PI()*(0)/9+(A65)/18)*EXP(-(((0)+5)^2)/(22^2))+18*SIN(2*PI()*(A65)/70))+Inputs!$C$28*EXP(-(((A65)-Inputs!$C$29)^2)/(2*Inputs!$C$31^2))*EXP(-(((0)-Inputs!$C$30)^2)/(2*Inputs!$C$32^2))+-Inputs!$C$33*EXP(-(((((A65)-Inputs!$C$34)^2)+(((0)-Inputs!$C$35)^2))/(2*Inputs!$C$36^2)))+Inputs!$C$37*(0.55*SIN(2*PI()*(A65)/Inputs!$C$39)+0.35*COS(2*PI()*(0)/Inputs!$C$40)+0.2*SIN(2*PI()*((A65)+(0))/(0.5*(Inputs!$C$39+Inputs!$C$40))))+Inputs!$C$38*SIN(2*PI()*(A65)/Inputs!$C$39)*SIN(2*PI()*(0)/Inputs!$C$40)+-Inputs!$C$41*EXP(-(((0)-Inputs!$C$43)^2)/(2*Inputs!$C$44^2))*EXP(-(((A65)-Inputs!$C$42)^2)/(2*Inputs!$C$45^2))+Inputs!$C$48*(0.7*(0.45*SIN(2*PI()*(((A65)/Inputs!$C$49)+Inputs!$C$47*0.137))+0.35*COS(2*PI()*(((0)/Inputs!$C$50)+Inputs!$C$47*0.173))+0.2*SIN(2*PI()*(((A65)+(0))/(0.5*(Inputs!$C$49+Inputs!$C$50))+Inputs!$C$47*0.097)))+0.3*(2*((SIN(((A65)*12.9898+(0)*78.233+Inputs!$C$47*37.719))*43758.5453)-INT((SIN(((A65)*12.9898+(0)*78.233+Inputs!$C$47*37.719))*43758.5453)))-1)))</f>
        <v/>
      </c>
      <c r="Y65" s="9">
        <f>IF(OR(Inputs!$C$27=TRUE,Inputs!$C$27="TRUE",Inputs!$C$27=1),1,0)*(Inputs!$C$51*(115*EXP(-(((Inputs!$C$6)-25)^2)/(4.5^2))+70*EXP(-(((Inputs!$C$6)+38)^2)/(7^2))*(0.55+0.45*SIN(2*PI()*(A65)/45))+24*SIN(2*PI()*(Inputs!$C$6)/9+(A65)/18)*EXP(-(((Inputs!$C$6)+5)^2)/(22^2))+18*SIN(2*PI()*(A65)/70))+Inputs!$C$28*EXP(-(((A65)-Inputs!$C$29)^2)/(2*Inputs!$C$31^2))*EXP(-(((Inputs!$C$6)-Inputs!$C$30)^2)/(2*Inputs!$C$32^2))+-Inputs!$C$33*EXP(-(((((A65)-Inputs!$C$34)^2)+(((Inputs!$C$6)-Inputs!$C$35)^2))/(2*Inputs!$C$36^2)))+Inputs!$C$37*(0.55*SIN(2*PI()*(A65)/Inputs!$C$39)+0.35*COS(2*PI()*(Inputs!$C$6)/Inputs!$C$40)+0.2*SIN(2*PI()*((A65)+(Inputs!$C$6))/(0.5*(Inputs!$C$39+Inputs!$C$40))))+Inputs!$C$38*SIN(2*PI()*(A65)/Inputs!$C$39)*SIN(2*PI()*(Inputs!$C$6)/Inputs!$C$40)+-Inputs!$C$41*EXP(-(((Inputs!$C$6)-Inputs!$C$43)^2)/(2*Inputs!$C$44^2))*EXP(-(((A65)-Inputs!$C$42)^2)/(2*Inputs!$C$45^2))+Inputs!$C$48*(0.7*(0.45*SIN(2*PI()*(((A65)/Inputs!$C$49)+Inputs!$C$47*0.137))+0.35*COS(2*PI()*(((Inputs!$C$6)/Inputs!$C$50)+Inputs!$C$47*0.173))+0.2*SIN(2*PI()*(((A65)+(Inputs!$C$6))/(0.5*(Inputs!$C$49+Inputs!$C$50))+Inputs!$C$47*0.097)))+0.3*(2*((SIN(((A65)*12.9898+(Inputs!$C$6)*78.233+Inputs!$C$47*37.719))*43758.5453)-INT((SIN(((A65)*12.9898+(Inputs!$C$6)*78.233+Inputs!$C$47*37.719))*43758.5453)))-1)))</f>
        <v/>
      </c>
      <c r="Z65" s="9">
        <f>B65-X65/1000</f>
        <v/>
      </c>
      <c r="AA65" s="9">
        <f>SQRT((Inputs!$C$52+B65)^2+(Inputs!$C$52+Y65/1000)^2-2*(Inputs!$C$52+B65)*(Inputs!$C$52+Y65/1000)*COS(SQRT(A65^2+Inputs!$C$6^2)/Inputs!$C$52))</f>
        <v/>
      </c>
      <c r="AB65" s="9">
        <f>(AA65-Z65)*1000</f>
        <v/>
      </c>
      <c r="AC65" s="9">
        <f>AB65/Inputs!$C$12</f>
        <v/>
      </c>
      <c r="AD65" s="9">
        <f>2*AB65/Inputs!$C$21*1000000</f>
        <v/>
      </c>
      <c r="AE65" s="9">
        <f>DEGREES(ATAN(H65/(B65-Y65/1000)))</f>
        <v/>
      </c>
      <c r="AF65" s="9">
        <f>DEGREES((2*PI()/Inputs!$C$13)*Inputs!$C$15*SIN(RADIANS(AE65)))</f>
        <v/>
      </c>
      <c r="AG65" s="9">
        <f>(Z65/AA65)^4</f>
        <v/>
      </c>
      <c r="AH65" s="9">
        <f>10*LOG10(AG65)</f>
        <v/>
      </c>
      <c r="AI65" s="9">
        <f>AC65-F65</f>
        <v/>
      </c>
      <c r="AJ65" s="9">
        <f>AD65-G65</f>
        <v/>
      </c>
      <c r="AK65" s="9">
        <f>Y65-X65</f>
        <v/>
      </c>
      <c r="AL65" s="9">
        <f>1000*(AA66-AA64)/(A66-A64)*Inputs!$C$11</f>
        <v/>
      </c>
      <c r="AM65" s="9">
        <f>-2*AL65/Inputs!$C$13</f>
        <v/>
      </c>
      <c r="AN65" s="9">
        <f>-2*AL65/Inputs!$C$14</f>
        <v/>
      </c>
      <c r="AO65" s="9">
        <f>ABS(AM65)</f>
        <v/>
      </c>
      <c r="AP65" s="9">
        <f>ABS(AN65)</f>
        <v/>
      </c>
      <c r="AQ65" s="9">
        <f>IF(OR(Inputs!$C$27=TRUE,Inputs!$C$27="TRUE",Inputs!$C$27=1),Inputs!$C$46/Inputs!$C$12,0)</f>
        <v/>
      </c>
      <c r="AR65" s="9">
        <f>AC65-AQ65</f>
        <v/>
      </c>
      <c r="AS65" s="9">
        <f>AC65+AQ65</f>
        <v/>
      </c>
    </row>
    <row r="66">
      <c r="A66" s="9">
        <f>Inputs!$C$7+64*(Inputs!$C$8-Inputs!$C$7)/240</f>
        <v/>
      </c>
      <c r="B66" s="9">
        <f>Inputs!$C$5+Inputs!$C$9*(A66/Inputs!$C$10)^2</f>
        <v/>
      </c>
      <c r="C66" s="9">
        <f>B66</f>
        <v/>
      </c>
      <c r="D66" s="9">
        <f>SQRT((Inputs!$C$52+B66)^2+Inputs!$C$52^2-2*(Inputs!$C$52+B66)*Inputs!$C$52*COS(SQRT(A66^2+Inputs!$C$6^2)/Inputs!$C$52))</f>
        <v/>
      </c>
      <c r="E66" s="9">
        <f>(D66-C66)*1000</f>
        <v/>
      </c>
      <c r="F66" s="9">
        <f>E66/Inputs!$C$12</f>
        <v/>
      </c>
      <c r="G66" s="9">
        <f>2*E66/Inputs!$C$21*1000000</f>
        <v/>
      </c>
      <c r="H66" s="9">
        <f>SQRT(A66^2+Inputs!$C$6^2)</f>
        <v/>
      </c>
      <c r="I66" s="9">
        <f>DEGREES(ATAN(H66/B66))</f>
        <v/>
      </c>
      <c r="J66" s="9">
        <f>DEGREES((2*PI()/Inputs!$C$13)*Inputs!$C$15*SIN(RADIANS(I66)))</f>
        <v/>
      </c>
      <c r="K66" s="9">
        <f>(C66/D66)^4</f>
        <v/>
      </c>
      <c r="L66" s="9">
        <f>10*LOG10(K66)</f>
        <v/>
      </c>
      <c r="M66" s="9">
        <f>2*(Inputs!$C$9/(Inputs!$C$10^2))*A66</f>
        <v/>
      </c>
      <c r="N66" s="9">
        <f>M66*Inputs!$C$11</f>
        <v/>
      </c>
      <c r="O66" s="9">
        <f>1000*(D67-D65)/(A67-A65)*Inputs!$C$11</f>
        <v/>
      </c>
      <c r="P66" s="9">
        <f>-2*O66/Inputs!$C$13</f>
        <v/>
      </c>
      <c r="Q66" s="9">
        <f>-2*O66/Inputs!$C$14</f>
        <v/>
      </c>
      <c r="R66" s="9">
        <f>F66-Inputs!$C$16/2</f>
        <v/>
      </c>
      <c r="S66" s="9">
        <f>F66+Inputs!$C$16/2</f>
        <v/>
      </c>
      <c r="T66" s="9">
        <f>F66-Inputs!$C$17/2</f>
        <v/>
      </c>
      <c r="U66" s="9">
        <f>F66+Inputs!$C$17/2</f>
        <v/>
      </c>
      <c r="V66" s="9">
        <f>ABS(P66)</f>
        <v/>
      </c>
      <c r="W66" s="9">
        <f>ABS(Q66)</f>
        <v/>
      </c>
      <c r="X66" s="9">
        <f>IF(OR(Inputs!$C$27=TRUE,Inputs!$C$27="TRUE",Inputs!$C$27=1),1,0)*(Inputs!$C$51*(115*EXP(-(((0)-25)^2)/(4.5^2))+70*EXP(-(((0)+38)^2)/(7^2))*(0.55+0.45*SIN(2*PI()*(A66)/45))+24*SIN(2*PI()*(0)/9+(A66)/18)*EXP(-(((0)+5)^2)/(22^2))+18*SIN(2*PI()*(A66)/70))+Inputs!$C$28*EXP(-(((A66)-Inputs!$C$29)^2)/(2*Inputs!$C$31^2))*EXP(-(((0)-Inputs!$C$30)^2)/(2*Inputs!$C$32^2))+-Inputs!$C$33*EXP(-(((((A66)-Inputs!$C$34)^2)+(((0)-Inputs!$C$35)^2))/(2*Inputs!$C$36^2)))+Inputs!$C$37*(0.55*SIN(2*PI()*(A66)/Inputs!$C$39)+0.35*COS(2*PI()*(0)/Inputs!$C$40)+0.2*SIN(2*PI()*((A66)+(0))/(0.5*(Inputs!$C$39+Inputs!$C$40))))+Inputs!$C$38*SIN(2*PI()*(A66)/Inputs!$C$39)*SIN(2*PI()*(0)/Inputs!$C$40)+-Inputs!$C$41*EXP(-(((0)-Inputs!$C$43)^2)/(2*Inputs!$C$44^2))*EXP(-(((A66)-Inputs!$C$42)^2)/(2*Inputs!$C$45^2))+Inputs!$C$48*(0.7*(0.45*SIN(2*PI()*(((A66)/Inputs!$C$49)+Inputs!$C$47*0.137))+0.35*COS(2*PI()*(((0)/Inputs!$C$50)+Inputs!$C$47*0.173))+0.2*SIN(2*PI()*(((A66)+(0))/(0.5*(Inputs!$C$49+Inputs!$C$50))+Inputs!$C$47*0.097)))+0.3*(2*((SIN(((A66)*12.9898+(0)*78.233+Inputs!$C$47*37.719))*43758.5453)-INT((SIN(((A66)*12.9898+(0)*78.233+Inputs!$C$47*37.719))*43758.5453)))-1)))</f>
        <v/>
      </c>
      <c r="Y66" s="9">
        <f>IF(OR(Inputs!$C$27=TRUE,Inputs!$C$27="TRUE",Inputs!$C$27=1),1,0)*(Inputs!$C$51*(115*EXP(-(((Inputs!$C$6)-25)^2)/(4.5^2))+70*EXP(-(((Inputs!$C$6)+38)^2)/(7^2))*(0.55+0.45*SIN(2*PI()*(A66)/45))+24*SIN(2*PI()*(Inputs!$C$6)/9+(A66)/18)*EXP(-(((Inputs!$C$6)+5)^2)/(22^2))+18*SIN(2*PI()*(A66)/70))+Inputs!$C$28*EXP(-(((A66)-Inputs!$C$29)^2)/(2*Inputs!$C$31^2))*EXP(-(((Inputs!$C$6)-Inputs!$C$30)^2)/(2*Inputs!$C$32^2))+-Inputs!$C$33*EXP(-(((((A66)-Inputs!$C$34)^2)+(((Inputs!$C$6)-Inputs!$C$35)^2))/(2*Inputs!$C$36^2)))+Inputs!$C$37*(0.55*SIN(2*PI()*(A66)/Inputs!$C$39)+0.35*COS(2*PI()*(Inputs!$C$6)/Inputs!$C$40)+0.2*SIN(2*PI()*((A66)+(Inputs!$C$6))/(0.5*(Inputs!$C$39+Inputs!$C$40))))+Inputs!$C$38*SIN(2*PI()*(A66)/Inputs!$C$39)*SIN(2*PI()*(Inputs!$C$6)/Inputs!$C$40)+-Inputs!$C$41*EXP(-(((Inputs!$C$6)-Inputs!$C$43)^2)/(2*Inputs!$C$44^2))*EXP(-(((A66)-Inputs!$C$42)^2)/(2*Inputs!$C$45^2))+Inputs!$C$48*(0.7*(0.45*SIN(2*PI()*(((A66)/Inputs!$C$49)+Inputs!$C$47*0.137))+0.35*COS(2*PI()*(((Inputs!$C$6)/Inputs!$C$50)+Inputs!$C$47*0.173))+0.2*SIN(2*PI()*(((A66)+(Inputs!$C$6))/(0.5*(Inputs!$C$49+Inputs!$C$50))+Inputs!$C$47*0.097)))+0.3*(2*((SIN(((A66)*12.9898+(Inputs!$C$6)*78.233+Inputs!$C$47*37.719))*43758.5453)-INT((SIN(((A66)*12.9898+(Inputs!$C$6)*78.233+Inputs!$C$47*37.719))*43758.5453)))-1)))</f>
        <v/>
      </c>
      <c r="Z66" s="9">
        <f>B66-X66/1000</f>
        <v/>
      </c>
      <c r="AA66" s="9">
        <f>SQRT((Inputs!$C$52+B66)^2+(Inputs!$C$52+Y66/1000)^2-2*(Inputs!$C$52+B66)*(Inputs!$C$52+Y66/1000)*COS(SQRT(A66^2+Inputs!$C$6^2)/Inputs!$C$52))</f>
        <v/>
      </c>
      <c r="AB66" s="9">
        <f>(AA66-Z66)*1000</f>
        <v/>
      </c>
      <c r="AC66" s="9">
        <f>AB66/Inputs!$C$12</f>
        <v/>
      </c>
      <c r="AD66" s="9">
        <f>2*AB66/Inputs!$C$21*1000000</f>
        <v/>
      </c>
      <c r="AE66" s="9">
        <f>DEGREES(ATAN(H66/(B66-Y66/1000)))</f>
        <v/>
      </c>
      <c r="AF66" s="9">
        <f>DEGREES((2*PI()/Inputs!$C$13)*Inputs!$C$15*SIN(RADIANS(AE66)))</f>
        <v/>
      </c>
      <c r="AG66" s="9">
        <f>(Z66/AA66)^4</f>
        <v/>
      </c>
      <c r="AH66" s="9">
        <f>10*LOG10(AG66)</f>
        <v/>
      </c>
      <c r="AI66" s="9">
        <f>AC66-F66</f>
        <v/>
      </c>
      <c r="AJ66" s="9">
        <f>AD66-G66</f>
        <v/>
      </c>
      <c r="AK66" s="9">
        <f>Y66-X66</f>
        <v/>
      </c>
      <c r="AL66" s="9">
        <f>1000*(AA67-AA65)/(A67-A65)*Inputs!$C$11</f>
        <v/>
      </c>
      <c r="AM66" s="9">
        <f>-2*AL66/Inputs!$C$13</f>
        <v/>
      </c>
      <c r="AN66" s="9">
        <f>-2*AL66/Inputs!$C$14</f>
        <v/>
      </c>
      <c r="AO66" s="9">
        <f>ABS(AM66)</f>
        <v/>
      </c>
      <c r="AP66" s="9">
        <f>ABS(AN66)</f>
        <v/>
      </c>
      <c r="AQ66" s="9">
        <f>IF(OR(Inputs!$C$27=TRUE,Inputs!$C$27="TRUE",Inputs!$C$27=1),Inputs!$C$46/Inputs!$C$12,0)</f>
        <v/>
      </c>
      <c r="AR66" s="9">
        <f>AC66-AQ66</f>
        <v/>
      </c>
      <c r="AS66" s="9">
        <f>AC66+AQ66</f>
        <v/>
      </c>
    </row>
    <row r="67">
      <c r="A67" s="9">
        <f>Inputs!$C$7+65*(Inputs!$C$8-Inputs!$C$7)/240</f>
        <v/>
      </c>
      <c r="B67" s="9">
        <f>Inputs!$C$5+Inputs!$C$9*(A67/Inputs!$C$10)^2</f>
        <v/>
      </c>
      <c r="C67" s="9">
        <f>B67</f>
        <v/>
      </c>
      <c r="D67" s="9">
        <f>SQRT((Inputs!$C$52+B67)^2+Inputs!$C$52^2-2*(Inputs!$C$52+B67)*Inputs!$C$52*COS(SQRT(A67^2+Inputs!$C$6^2)/Inputs!$C$52))</f>
        <v/>
      </c>
      <c r="E67" s="9">
        <f>(D67-C67)*1000</f>
        <v/>
      </c>
      <c r="F67" s="9">
        <f>E67/Inputs!$C$12</f>
        <v/>
      </c>
      <c r="G67" s="9">
        <f>2*E67/Inputs!$C$21*1000000</f>
        <v/>
      </c>
      <c r="H67" s="9">
        <f>SQRT(A67^2+Inputs!$C$6^2)</f>
        <v/>
      </c>
      <c r="I67" s="9">
        <f>DEGREES(ATAN(H67/B67))</f>
        <v/>
      </c>
      <c r="J67" s="9">
        <f>DEGREES((2*PI()/Inputs!$C$13)*Inputs!$C$15*SIN(RADIANS(I67)))</f>
        <v/>
      </c>
      <c r="K67" s="9">
        <f>(C67/D67)^4</f>
        <v/>
      </c>
      <c r="L67" s="9">
        <f>10*LOG10(K67)</f>
        <v/>
      </c>
      <c r="M67" s="9">
        <f>2*(Inputs!$C$9/(Inputs!$C$10^2))*A67</f>
        <v/>
      </c>
      <c r="N67" s="9">
        <f>M67*Inputs!$C$11</f>
        <v/>
      </c>
      <c r="O67" s="9">
        <f>1000*(D68-D66)/(A68-A66)*Inputs!$C$11</f>
        <v/>
      </c>
      <c r="P67" s="9">
        <f>-2*O67/Inputs!$C$13</f>
        <v/>
      </c>
      <c r="Q67" s="9">
        <f>-2*O67/Inputs!$C$14</f>
        <v/>
      </c>
      <c r="R67" s="9">
        <f>F67-Inputs!$C$16/2</f>
        <v/>
      </c>
      <c r="S67" s="9">
        <f>F67+Inputs!$C$16/2</f>
        <v/>
      </c>
      <c r="T67" s="9">
        <f>F67-Inputs!$C$17/2</f>
        <v/>
      </c>
      <c r="U67" s="9">
        <f>F67+Inputs!$C$17/2</f>
        <v/>
      </c>
      <c r="V67" s="9">
        <f>ABS(P67)</f>
        <v/>
      </c>
      <c r="W67" s="9">
        <f>ABS(Q67)</f>
        <v/>
      </c>
      <c r="X67" s="9">
        <f>IF(OR(Inputs!$C$27=TRUE,Inputs!$C$27="TRUE",Inputs!$C$27=1),1,0)*(Inputs!$C$51*(115*EXP(-(((0)-25)^2)/(4.5^2))+70*EXP(-(((0)+38)^2)/(7^2))*(0.55+0.45*SIN(2*PI()*(A67)/45))+24*SIN(2*PI()*(0)/9+(A67)/18)*EXP(-(((0)+5)^2)/(22^2))+18*SIN(2*PI()*(A67)/70))+Inputs!$C$28*EXP(-(((A67)-Inputs!$C$29)^2)/(2*Inputs!$C$31^2))*EXP(-(((0)-Inputs!$C$30)^2)/(2*Inputs!$C$32^2))+-Inputs!$C$33*EXP(-(((((A67)-Inputs!$C$34)^2)+(((0)-Inputs!$C$35)^2))/(2*Inputs!$C$36^2)))+Inputs!$C$37*(0.55*SIN(2*PI()*(A67)/Inputs!$C$39)+0.35*COS(2*PI()*(0)/Inputs!$C$40)+0.2*SIN(2*PI()*((A67)+(0))/(0.5*(Inputs!$C$39+Inputs!$C$40))))+Inputs!$C$38*SIN(2*PI()*(A67)/Inputs!$C$39)*SIN(2*PI()*(0)/Inputs!$C$40)+-Inputs!$C$41*EXP(-(((0)-Inputs!$C$43)^2)/(2*Inputs!$C$44^2))*EXP(-(((A67)-Inputs!$C$42)^2)/(2*Inputs!$C$45^2))+Inputs!$C$48*(0.7*(0.45*SIN(2*PI()*(((A67)/Inputs!$C$49)+Inputs!$C$47*0.137))+0.35*COS(2*PI()*(((0)/Inputs!$C$50)+Inputs!$C$47*0.173))+0.2*SIN(2*PI()*(((A67)+(0))/(0.5*(Inputs!$C$49+Inputs!$C$50))+Inputs!$C$47*0.097)))+0.3*(2*((SIN(((A67)*12.9898+(0)*78.233+Inputs!$C$47*37.719))*43758.5453)-INT((SIN(((A67)*12.9898+(0)*78.233+Inputs!$C$47*37.719))*43758.5453)))-1)))</f>
        <v/>
      </c>
      <c r="Y67" s="9">
        <f>IF(OR(Inputs!$C$27=TRUE,Inputs!$C$27="TRUE",Inputs!$C$27=1),1,0)*(Inputs!$C$51*(115*EXP(-(((Inputs!$C$6)-25)^2)/(4.5^2))+70*EXP(-(((Inputs!$C$6)+38)^2)/(7^2))*(0.55+0.45*SIN(2*PI()*(A67)/45))+24*SIN(2*PI()*(Inputs!$C$6)/9+(A67)/18)*EXP(-(((Inputs!$C$6)+5)^2)/(22^2))+18*SIN(2*PI()*(A67)/70))+Inputs!$C$28*EXP(-(((A67)-Inputs!$C$29)^2)/(2*Inputs!$C$31^2))*EXP(-(((Inputs!$C$6)-Inputs!$C$30)^2)/(2*Inputs!$C$32^2))+-Inputs!$C$33*EXP(-(((((A67)-Inputs!$C$34)^2)+(((Inputs!$C$6)-Inputs!$C$35)^2))/(2*Inputs!$C$36^2)))+Inputs!$C$37*(0.55*SIN(2*PI()*(A67)/Inputs!$C$39)+0.35*COS(2*PI()*(Inputs!$C$6)/Inputs!$C$40)+0.2*SIN(2*PI()*((A67)+(Inputs!$C$6))/(0.5*(Inputs!$C$39+Inputs!$C$40))))+Inputs!$C$38*SIN(2*PI()*(A67)/Inputs!$C$39)*SIN(2*PI()*(Inputs!$C$6)/Inputs!$C$40)+-Inputs!$C$41*EXP(-(((Inputs!$C$6)-Inputs!$C$43)^2)/(2*Inputs!$C$44^2))*EXP(-(((A67)-Inputs!$C$42)^2)/(2*Inputs!$C$45^2))+Inputs!$C$48*(0.7*(0.45*SIN(2*PI()*(((A67)/Inputs!$C$49)+Inputs!$C$47*0.137))+0.35*COS(2*PI()*(((Inputs!$C$6)/Inputs!$C$50)+Inputs!$C$47*0.173))+0.2*SIN(2*PI()*(((A67)+(Inputs!$C$6))/(0.5*(Inputs!$C$49+Inputs!$C$50))+Inputs!$C$47*0.097)))+0.3*(2*((SIN(((A67)*12.9898+(Inputs!$C$6)*78.233+Inputs!$C$47*37.719))*43758.5453)-INT((SIN(((A67)*12.9898+(Inputs!$C$6)*78.233+Inputs!$C$47*37.719))*43758.5453)))-1)))</f>
        <v/>
      </c>
      <c r="Z67" s="9">
        <f>B67-X67/1000</f>
        <v/>
      </c>
      <c r="AA67" s="9">
        <f>SQRT((Inputs!$C$52+B67)^2+(Inputs!$C$52+Y67/1000)^2-2*(Inputs!$C$52+B67)*(Inputs!$C$52+Y67/1000)*COS(SQRT(A67^2+Inputs!$C$6^2)/Inputs!$C$52))</f>
        <v/>
      </c>
      <c r="AB67" s="9">
        <f>(AA67-Z67)*1000</f>
        <v/>
      </c>
      <c r="AC67" s="9">
        <f>AB67/Inputs!$C$12</f>
        <v/>
      </c>
      <c r="AD67" s="9">
        <f>2*AB67/Inputs!$C$21*1000000</f>
        <v/>
      </c>
      <c r="AE67" s="9">
        <f>DEGREES(ATAN(H67/(B67-Y67/1000)))</f>
        <v/>
      </c>
      <c r="AF67" s="9">
        <f>DEGREES((2*PI()/Inputs!$C$13)*Inputs!$C$15*SIN(RADIANS(AE67)))</f>
        <v/>
      </c>
      <c r="AG67" s="9">
        <f>(Z67/AA67)^4</f>
        <v/>
      </c>
      <c r="AH67" s="9">
        <f>10*LOG10(AG67)</f>
        <v/>
      </c>
      <c r="AI67" s="9">
        <f>AC67-F67</f>
        <v/>
      </c>
      <c r="AJ67" s="9">
        <f>AD67-G67</f>
        <v/>
      </c>
      <c r="AK67" s="9">
        <f>Y67-X67</f>
        <v/>
      </c>
      <c r="AL67" s="9">
        <f>1000*(AA68-AA66)/(A68-A66)*Inputs!$C$11</f>
        <v/>
      </c>
      <c r="AM67" s="9">
        <f>-2*AL67/Inputs!$C$13</f>
        <v/>
      </c>
      <c r="AN67" s="9">
        <f>-2*AL67/Inputs!$C$14</f>
        <v/>
      </c>
      <c r="AO67" s="9">
        <f>ABS(AM67)</f>
        <v/>
      </c>
      <c r="AP67" s="9">
        <f>ABS(AN67)</f>
        <v/>
      </c>
      <c r="AQ67" s="9">
        <f>IF(OR(Inputs!$C$27=TRUE,Inputs!$C$27="TRUE",Inputs!$C$27=1),Inputs!$C$46/Inputs!$C$12,0)</f>
        <v/>
      </c>
      <c r="AR67" s="9">
        <f>AC67-AQ67</f>
        <v/>
      </c>
      <c r="AS67" s="9">
        <f>AC67+AQ67</f>
        <v/>
      </c>
    </row>
    <row r="68">
      <c r="A68" s="9">
        <f>Inputs!$C$7+66*(Inputs!$C$8-Inputs!$C$7)/240</f>
        <v/>
      </c>
      <c r="B68" s="9">
        <f>Inputs!$C$5+Inputs!$C$9*(A68/Inputs!$C$10)^2</f>
        <v/>
      </c>
      <c r="C68" s="9">
        <f>B68</f>
        <v/>
      </c>
      <c r="D68" s="9">
        <f>SQRT((Inputs!$C$52+B68)^2+Inputs!$C$52^2-2*(Inputs!$C$52+B68)*Inputs!$C$52*COS(SQRT(A68^2+Inputs!$C$6^2)/Inputs!$C$52))</f>
        <v/>
      </c>
      <c r="E68" s="9">
        <f>(D68-C68)*1000</f>
        <v/>
      </c>
      <c r="F68" s="9">
        <f>E68/Inputs!$C$12</f>
        <v/>
      </c>
      <c r="G68" s="9">
        <f>2*E68/Inputs!$C$21*1000000</f>
        <v/>
      </c>
      <c r="H68" s="9">
        <f>SQRT(A68^2+Inputs!$C$6^2)</f>
        <v/>
      </c>
      <c r="I68" s="9">
        <f>DEGREES(ATAN(H68/B68))</f>
        <v/>
      </c>
      <c r="J68" s="9">
        <f>DEGREES((2*PI()/Inputs!$C$13)*Inputs!$C$15*SIN(RADIANS(I68)))</f>
        <v/>
      </c>
      <c r="K68" s="9">
        <f>(C68/D68)^4</f>
        <v/>
      </c>
      <c r="L68" s="9">
        <f>10*LOG10(K68)</f>
        <v/>
      </c>
      <c r="M68" s="9">
        <f>2*(Inputs!$C$9/(Inputs!$C$10^2))*A68</f>
        <v/>
      </c>
      <c r="N68" s="9">
        <f>M68*Inputs!$C$11</f>
        <v/>
      </c>
      <c r="O68" s="9">
        <f>1000*(D69-D67)/(A69-A67)*Inputs!$C$11</f>
        <v/>
      </c>
      <c r="P68" s="9">
        <f>-2*O68/Inputs!$C$13</f>
        <v/>
      </c>
      <c r="Q68" s="9">
        <f>-2*O68/Inputs!$C$14</f>
        <v/>
      </c>
      <c r="R68" s="9">
        <f>F68-Inputs!$C$16/2</f>
        <v/>
      </c>
      <c r="S68" s="9">
        <f>F68+Inputs!$C$16/2</f>
        <v/>
      </c>
      <c r="T68" s="9">
        <f>F68-Inputs!$C$17/2</f>
        <v/>
      </c>
      <c r="U68" s="9">
        <f>F68+Inputs!$C$17/2</f>
        <v/>
      </c>
      <c r="V68" s="9">
        <f>ABS(P68)</f>
        <v/>
      </c>
      <c r="W68" s="9">
        <f>ABS(Q68)</f>
        <v/>
      </c>
      <c r="X68" s="9">
        <f>IF(OR(Inputs!$C$27=TRUE,Inputs!$C$27="TRUE",Inputs!$C$27=1),1,0)*(Inputs!$C$51*(115*EXP(-(((0)-25)^2)/(4.5^2))+70*EXP(-(((0)+38)^2)/(7^2))*(0.55+0.45*SIN(2*PI()*(A68)/45))+24*SIN(2*PI()*(0)/9+(A68)/18)*EXP(-(((0)+5)^2)/(22^2))+18*SIN(2*PI()*(A68)/70))+Inputs!$C$28*EXP(-(((A68)-Inputs!$C$29)^2)/(2*Inputs!$C$31^2))*EXP(-(((0)-Inputs!$C$30)^2)/(2*Inputs!$C$32^2))+-Inputs!$C$33*EXP(-(((((A68)-Inputs!$C$34)^2)+(((0)-Inputs!$C$35)^2))/(2*Inputs!$C$36^2)))+Inputs!$C$37*(0.55*SIN(2*PI()*(A68)/Inputs!$C$39)+0.35*COS(2*PI()*(0)/Inputs!$C$40)+0.2*SIN(2*PI()*((A68)+(0))/(0.5*(Inputs!$C$39+Inputs!$C$40))))+Inputs!$C$38*SIN(2*PI()*(A68)/Inputs!$C$39)*SIN(2*PI()*(0)/Inputs!$C$40)+-Inputs!$C$41*EXP(-(((0)-Inputs!$C$43)^2)/(2*Inputs!$C$44^2))*EXP(-(((A68)-Inputs!$C$42)^2)/(2*Inputs!$C$45^2))+Inputs!$C$48*(0.7*(0.45*SIN(2*PI()*(((A68)/Inputs!$C$49)+Inputs!$C$47*0.137))+0.35*COS(2*PI()*(((0)/Inputs!$C$50)+Inputs!$C$47*0.173))+0.2*SIN(2*PI()*(((A68)+(0))/(0.5*(Inputs!$C$49+Inputs!$C$50))+Inputs!$C$47*0.097)))+0.3*(2*((SIN(((A68)*12.9898+(0)*78.233+Inputs!$C$47*37.719))*43758.5453)-INT((SIN(((A68)*12.9898+(0)*78.233+Inputs!$C$47*37.719))*43758.5453)))-1)))</f>
        <v/>
      </c>
      <c r="Y68" s="9">
        <f>IF(OR(Inputs!$C$27=TRUE,Inputs!$C$27="TRUE",Inputs!$C$27=1),1,0)*(Inputs!$C$51*(115*EXP(-(((Inputs!$C$6)-25)^2)/(4.5^2))+70*EXP(-(((Inputs!$C$6)+38)^2)/(7^2))*(0.55+0.45*SIN(2*PI()*(A68)/45))+24*SIN(2*PI()*(Inputs!$C$6)/9+(A68)/18)*EXP(-(((Inputs!$C$6)+5)^2)/(22^2))+18*SIN(2*PI()*(A68)/70))+Inputs!$C$28*EXP(-(((A68)-Inputs!$C$29)^2)/(2*Inputs!$C$31^2))*EXP(-(((Inputs!$C$6)-Inputs!$C$30)^2)/(2*Inputs!$C$32^2))+-Inputs!$C$33*EXP(-(((((A68)-Inputs!$C$34)^2)+(((Inputs!$C$6)-Inputs!$C$35)^2))/(2*Inputs!$C$36^2)))+Inputs!$C$37*(0.55*SIN(2*PI()*(A68)/Inputs!$C$39)+0.35*COS(2*PI()*(Inputs!$C$6)/Inputs!$C$40)+0.2*SIN(2*PI()*((A68)+(Inputs!$C$6))/(0.5*(Inputs!$C$39+Inputs!$C$40))))+Inputs!$C$38*SIN(2*PI()*(A68)/Inputs!$C$39)*SIN(2*PI()*(Inputs!$C$6)/Inputs!$C$40)+-Inputs!$C$41*EXP(-(((Inputs!$C$6)-Inputs!$C$43)^2)/(2*Inputs!$C$44^2))*EXP(-(((A68)-Inputs!$C$42)^2)/(2*Inputs!$C$45^2))+Inputs!$C$48*(0.7*(0.45*SIN(2*PI()*(((A68)/Inputs!$C$49)+Inputs!$C$47*0.137))+0.35*COS(2*PI()*(((Inputs!$C$6)/Inputs!$C$50)+Inputs!$C$47*0.173))+0.2*SIN(2*PI()*(((A68)+(Inputs!$C$6))/(0.5*(Inputs!$C$49+Inputs!$C$50))+Inputs!$C$47*0.097)))+0.3*(2*((SIN(((A68)*12.9898+(Inputs!$C$6)*78.233+Inputs!$C$47*37.719))*43758.5453)-INT((SIN(((A68)*12.9898+(Inputs!$C$6)*78.233+Inputs!$C$47*37.719))*43758.5453)))-1)))</f>
        <v/>
      </c>
      <c r="Z68" s="9">
        <f>B68-X68/1000</f>
        <v/>
      </c>
      <c r="AA68" s="9">
        <f>SQRT((Inputs!$C$52+B68)^2+(Inputs!$C$52+Y68/1000)^2-2*(Inputs!$C$52+B68)*(Inputs!$C$52+Y68/1000)*COS(SQRT(A68^2+Inputs!$C$6^2)/Inputs!$C$52))</f>
        <v/>
      </c>
      <c r="AB68" s="9">
        <f>(AA68-Z68)*1000</f>
        <v/>
      </c>
      <c r="AC68" s="9">
        <f>AB68/Inputs!$C$12</f>
        <v/>
      </c>
      <c r="AD68" s="9">
        <f>2*AB68/Inputs!$C$21*1000000</f>
        <v/>
      </c>
      <c r="AE68" s="9">
        <f>DEGREES(ATAN(H68/(B68-Y68/1000)))</f>
        <v/>
      </c>
      <c r="AF68" s="9">
        <f>DEGREES((2*PI()/Inputs!$C$13)*Inputs!$C$15*SIN(RADIANS(AE68)))</f>
        <v/>
      </c>
      <c r="AG68" s="9">
        <f>(Z68/AA68)^4</f>
        <v/>
      </c>
      <c r="AH68" s="9">
        <f>10*LOG10(AG68)</f>
        <v/>
      </c>
      <c r="AI68" s="9">
        <f>AC68-F68</f>
        <v/>
      </c>
      <c r="AJ68" s="9">
        <f>AD68-G68</f>
        <v/>
      </c>
      <c r="AK68" s="9">
        <f>Y68-X68</f>
        <v/>
      </c>
      <c r="AL68" s="9">
        <f>1000*(AA69-AA67)/(A69-A67)*Inputs!$C$11</f>
        <v/>
      </c>
      <c r="AM68" s="9">
        <f>-2*AL68/Inputs!$C$13</f>
        <v/>
      </c>
      <c r="AN68" s="9">
        <f>-2*AL68/Inputs!$C$14</f>
        <v/>
      </c>
      <c r="AO68" s="9">
        <f>ABS(AM68)</f>
        <v/>
      </c>
      <c r="AP68" s="9">
        <f>ABS(AN68)</f>
        <v/>
      </c>
      <c r="AQ68" s="9">
        <f>IF(OR(Inputs!$C$27=TRUE,Inputs!$C$27="TRUE",Inputs!$C$27=1),Inputs!$C$46/Inputs!$C$12,0)</f>
        <v/>
      </c>
      <c r="AR68" s="9">
        <f>AC68-AQ68</f>
        <v/>
      </c>
      <c r="AS68" s="9">
        <f>AC68+AQ68</f>
        <v/>
      </c>
    </row>
    <row r="69">
      <c r="A69" s="9">
        <f>Inputs!$C$7+67*(Inputs!$C$8-Inputs!$C$7)/240</f>
        <v/>
      </c>
      <c r="B69" s="9">
        <f>Inputs!$C$5+Inputs!$C$9*(A69/Inputs!$C$10)^2</f>
        <v/>
      </c>
      <c r="C69" s="9">
        <f>B69</f>
        <v/>
      </c>
      <c r="D69" s="9">
        <f>SQRT((Inputs!$C$52+B69)^2+Inputs!$C$52^2-2*(Inputs!$C$52+B69)*Inputs!$C$52*COS(SQRT(A69^2+Inputs!$C$6^2)/Inputs!$C$52))</f>
        <v/>
      </c>
      <c r="E69" s="9">
        <f>(D69-C69)*1000</f>
        <v/>
      </c>
      <c r="F69" s="9">
        <f>E69/Inputs!$C$12</f>
        <v/>
      </c>
      <c r="G69" s="9">
        <f>2*E69/Inputs!$C$21*1000000</f>
        <v/>
      </c>
      <c r="H69" s="9">
        <f>SQRT(A69^2+Inputs!$C$6^2)</f>
        <v/>
      </c>
      <c r="I69" s="9">
        <f>DEGREES(ATAN(H69/B69))</f>
        <v/>
      </c>
      <c r="J69" s="9">
        <f>DEGREES((2*PI()/Inputs!$C$13)*Inputs!$C$15*SIN(RADIANS(I69)))</f>
        <v/>
      </c>
      <c r="K69" s="9">
        <f>(C69/D69)^4</f>
        <v/>
      </c>
      <c r="L69" s="9">
        <f>10*LOG10(K69)</f>
        <v/>
      </c>
      <c r="M69" s="9">
        <f>2*(Inputs!$C$9/(Inputs!$C$10^2))*A69</f>
        <v/>
      </c>
      <c r="N69" s="9">
        <f>M69*Inputs!$C$11</f>
        <v/>
      </c>
      <c r="O69" s="9">
        <f>1000*(D70-D68)/(A70-A68)*Inputs!$C$11</f>
        <v/>
      </c>
      <c r="P69" s="9">
        <f>-2*O69/Inputs!$C$13</f>
        <v/>
      </c>
      <c r="Q69" s="9">
        <f>-2*O69/Inputs!$C$14</f>
        <v/>
      </c>
      <c r="R69" s="9">
        <f>F69-Inputs!$C$16/2</f>
        <v/>
      </c>
      <c r="S69" s="9">
        <f>F69+Inputs!$C$16/2</f>
        <v/>
      </c>
      <c r="T69" s="9">
        <f>F69-Inputs!$C$17/2</f>
        <v/>
      </c>
      <c r="U69" s="9">
        <f>F69+Inputs!$C$17/2</f>
        <v/>
      </c>
      <c r="V69" s="9">
        <f>ABS(P69)</f>
        <v/>
      </c>
      <c r="W69" s="9">
        <f>ABS(Q69)</f>
        <v/>
      </c>
      <c r="X69" s="9">
        <f>IF(OR(Inputs!$C$27=TRUE,Inputs!$C$27="TRUE",Inputs!$C$27=1),1,0)*(Inputs!$C$51*(115*EXP(-(((0)-25)^2)/(4.5^2))+70*EXP(-(((0)+38)^2)/(7^2))*(0.55+0.45*SIN(2*PI()*(A69)/45))+24*SIN(2*PI()*(0)/9+(A69)/18)*EXP(-(((0)+5)^2)/(22^2))+18*SIN(2*PI()*(A69)/70))+Inputs!$C$28*EXP(-(((A69)-Inputs!$C$29)^2)/(2*Inputs!$C$31^2))*EXP(-(((0)-Inputs!$C$30)^2)/(2*Inputs!$C$32^2))+-Inputs!$C$33*EXP(-(((((A69)-Inputs!$C$34)^2)+(((0)-Inputs!$C$35)^2))/(2*Inputs!$C$36^2)))+Inputs!$C$37*(0.55*SIN(2*PI()*(A69)/Inputs!$C$39)+0.35*COS(2*PI()*(0)/Inputs!$C$40)+0.2*SIN(2*PI()*((A69)+(0))/(0.5*(Inputs!$C$39+Inputs!$C$40))))+Inputs!$C$38*SIN(2*PI()*(A69)/Inputs!$C$39)*SIN(2*PI()*(0)/Inputs!$C$40)+-Inputs!$C$41*EXP(-(((0)-Inputs!$C$43)^2)/(2*Inputs!$C$44^2))*EXP(-(((A69)-Inputs!$C$42)^2)/(2*Inputs!$C$45^2))+Inputs!$C$48*(0.7*(0.45*SIN(2*PI()*(((A69)/Inputs!$C$49)+Inputs!$C$47*0.137))+0.35*COS(2*PI()*(((0)/Inputs!$C$50)+Inputs!$C$47*0.173))+0.2*SIN(2*PI()*(((A69)+(0))/(0.5*(Inputs!$C$49+Inputs!$C$50))+Inputs!$C$47*0.097)))+0.3*(2*((SIN(((A69)*12.9898+(0)*78.233+Inputs!$C$47*37.719))*43758.5453)-INT((SIN(((A69)*12.9898+(0)*78.233+Inputs!$C$47*37.719))*43758.5453)))-1)))</f>
        <v/>
      </c>
      <c r="Y69" s="9">
        <f>IF(OR(Inputs!$C$27=TRUE,Inputs!$C$27="TRUE",Inputs!$C$27=1),1,0)*(Inputs!$C$51*(115*EXP(-(((Inputs!$C$6)-25)^2)/(4.5^2))+70*EXP(-(((Inputs!$C$6)+38)^2)/(7^2))*(0.55+0.45*SIN(2*PI()*(A69)/45))+24*SIN(2*PI()*(Inputs!$C$6)/9+(A69)/18)*EXP(-(((Inputs!$C$6)+5)^2)/(22^2))+18*SIN(2*PI()*(A69)/70))+Inputs!$C$28*EXP(-(((A69)-Inputs!$C$29)^2)/(2*Inputs!$C$31^2))*EXP(-(((Inputs!$C$6)-Inputs!$C$30)^2)/(2*Inputs!$C$32^2))+-Inputs!$C$33*EXP(-(((((A69)-Inputs!$C$34)^2)+(((Inputs!$C$6)-Inputs!$C$35)^2))/(2*Inputs!$C$36^2)))+Inputs!$C$37*(0.55*SIN(2*PI()*(A69)/Inputs!$C$39)+0.35*COS(2*PI()*(Inputs!$C$6)/Inputs!$C$40)+0.2*SIN(2*PI()*((A69)+(Inputs!$C$6))/(0.5*(Inputs!$C$39+Inputs!$C$40))))+Inputs!$C$38*SIN(2*PI()*(A69)/Inputs!$C$39)*SIN(2*PI()*(Inputs!$C$6)/Inputs!$C$40)+-Inputs!$C$41*EXP(-(((Inputs!$C$6)-Inputs!$C$43)^2)/(2*Inputs!$C$44^2))*EXP(-(((A69)-Inputs!$C$42)^2)/(2*Inputs!$C$45^2))+Inputs!$C$48*(0.7*(0.45*SIN(2*PI()*(((A69)/Inputs!$C$49)+Inputs!$C$47*0.137))+0.35*COS(2*PI()*(((Inputs!$C$6)/Inputs!$C$50)+Inputs!$C$47*0.173))+0.2*SIN(2*PI()*(((A69)+(Inputs!$C$6))/(0.5*(Inputs!$C$49+Inputs!$C$50))+Inputs!$C$47*0.097)))+0.3*(2*((SIN(((A69)*12.9898+(Inputs!$C$6)*78.233+Inputs!$C$47*37.719))*43758.5453)-INT((SIN(((A69)*12.9898+(Inputs!$C$6)*78.233+Inputs!$C$47*37.719))*43758.5453)))-1)))</f>
        <v/>
      </c>
      <c r="Z69" s="9">
        <f>B69-X69/1000</f>
        <v/>
      </c>
      <c r="AA69" s="9">
        <f>SQRT((Inputs!$C$52+B69)^2+(Inputs!$C$52+Y69/1000)^2-2*(Inputs!$C$52+B69)*(Inputs!$C$52+Y69/1000)*COS(SQRT(A69^2+Inputs!$C$6^2)/Inputs!$C$52))</f>
        <v/>
      </c>
      <c r="AB69" s="9">
        <f>(AA69-Z69)*1000</f>
        <v/>
      </c>
      <c r="AC69" s="9">
        <f>AB69/Inputs!$C$12</f>
        <v/>
      </c>
      <c r="AD69" s="9">
        <f>2*AB69/Inputs!$C$21*1000000</f>
        <v/>
      </c>
      <c r="AE69" s="9">
        <f>DEGREES(ATAN(H69/(B69-Y69/1000)))</f>
        <v/>
      </c>
      <c r="AF69" s="9">
        <f>DEGREES((2*PI()/Inputs!$C$13)*Inputs!$C$15*SIN(RADIANS(AE69)))</f>
        <v/>
      </c>
      <c r="AG69" s="9">
        <f>(Z69/AA69)^4</f>
        <v/>
      </c>
      <c r="AH69" s="9">
        <f>10*LOG10(AG69)</f>
        <v/>
      </c>
      <c r="AI69" s="9">
        <f>AC69-F69</f>
        <v/>
      </c>
      <c r="AJ69" s="9">
        <f>AD69-G69</f>
        <v/>
      </c>
      <c r="AK69" s="9">
        <f>Y69-X69</f>
        <v/>
      </c>
      <c r="AL69" s="9">
        <f>1000*(AA70-AA68)/(A70-A68)*Inputs!$C$11</f>
        <v/>
      </c>
      <c r="AM69" s="9">
        <f>-2*AL69/Inputs!$C$13</f>
        <v/>
      </c>
      <c r="AN69" s="9">
        <f>-2*AL69/Inputs!$C$14</f>
        <v/>
      </c>
      <c r="AO69" s="9">
        <f>ABS(AM69)</f>
        <v/>
      </c>
      <c r="AP69" s="9">
        <f>ABS(AN69)</f>
        <v/>
      </c>
      <c r="AQ69" s="9">
        <f>IF(OR(Inputs!$C$27=TRUE,Inputs!$C$27="TRUE",Inputs!$C$27=1),Inputs!$C$46/Inputs!$C$12,0)</f>
        <v/>
      </c>
      <c r="AR69" s="9">
        <f>AC69-AQ69</f>
        <v/>
      </c>
      <c r="AS69" s="9">
        <f>AC69+AQ69</f>
        <v/>
      </c>
    </row>
    <row r="70">
      <c r="A70" s="9">
        <f>Inputs!$C$7+68*(Inputs!$C$8-Inputs!$C$7)/240</f>
        <v/>
      </c>
      <c r="B70" s="9">
        <f>Inputs!$C$5+Inputs!$C$9*(A70/Inputs!$C$10)^2</f>
        <v/>
      </c>
      <c r="C70" s="9">
        <f>B70</f>
        <v/>
      </c>
      <c r="D70" s="9">
        <f>SQRT((Inputs!$C$52+B70)^2+Inputs!$C$52^2-2*(Inputs!$C$52+B70)*Inputs!$C$52*COS(SQRT(A70^2+Inputs!$C$6^2)/Inputs!$C$52))</f>
        <v/>
      </c>
      <c r="E70" s="9">
        <f>(D70-C70)*1000</f>
        <v/>
      </c>
      <c r="F70" s="9">
        <f>E70/Inputs!$C$12</f>
        <v/>
      </c>
      <c r="G70" s="9">
        <f>2*E70/Inputs!$C$21*1000000</f>
        <v/>
      </c>
      <c r="H70" s="9">
        <f>SQRT(A70^2+Inputs!$C$6^2)</f>
        <v/>
      </c>
      <c r="I70" s="9">
        <f>DEGREES(ATAN(H70/B70))</f>
        <v/>
      </c>
      <c r="J70" s="9">
        <f>DEGREES((2*PI()/Inputs!$C$13)*Inputs!$C$15*SIN(RADIANS(I70)))</f>
        <v/>
      </c>
      <c r="K70" s="9">
        <f>(C70/D70)^4</f>
        <v/>
      </c>
      <c r="L70" s="9">
        <f>10*LOG10(K70)</f>
        <v/>
      </c>
      <c r="M70" s="9">
        <f>2*(Inputs!$C$9/(Inputs!$C$10^2))*A70</f>
        <v/>
      </c>
      <c r="N70" s="9">
        <f>M70*Inputs!$C$11</f>
        <v/>
      </c>
      <c r="O70" s="9">
        <f>1000*(D71-D69)/(A71-A69)*Inputs!$C$11</f>
        <v/>
      </c>
      <c r="P70" s="9">
        <f>-2*O70/Inputs!$C$13</f>
        <v/>
      </c>
      <c r="Q70" s="9">
        <f>-2*O70/Inputs!$C$14</f>
        <v/>
      </c>
      <c r="R70" s="9">
        <f>F70-Inputs!$C$16/2</f>
        <v/>
      </c>
      <c r="S70" s="9">
        <f>F70+Inputs!$C$16/2</f>
        <v/>
      </c>
      <c r="T70" s="9">
        <f>F70-Inputs!$C$17/2</f>
        <v/>
      </c>
      <c r="U70" s="9">
        <f>F70+Inputs!$C$17/2</f>
        <v/>
      </c>
      <c r="V70" s="9">
        <f>ABS(P70)</f>
        <v/>
      </c>
      <c r="W70" s="9">
        <f>ABS(Q70)</f>
        <v/>
      </c>
      <c r="X70" s="9">
        <f>IF(OR(Inputs!$C$27=TRUE,Inputs!$C$27="TRUE",Inputs!$C$27=1),1,0)*(Inputs!$C$51*(115*EXP(-(((0)-25)^2)/(4.5^2))+70*EXP(-(((0)+38)^2)/(7^2))*(0.55+0.45*SIN(2*PI()*(A70)/45))+24*SIN(2*PI()*(0)/9+(A70)/18)*EXP(-(((0)+5)^2)/(22^2))+18*SIN(2*PI()*(A70)/70))+Inputs!$C$28*EXP(-(((A70)-Inputs!$C$29)^2)/(2*Inputs!$C$31^2))*EXP(-(((0)-Inputs!$C$30)^2)/(2*Inputs!$C$32^2))+-Inputs!$C$33*EXP(-(((((A70)-Inputs!$C$34)^2)+(((0)-Inputs!$C$35)^2))/(2*Inputs!$C$36^2)))+Inputs!$C$37*(0.55*SIN(2*PI()*(A70)/Inputs!$C$39)+0.35*COS(2*PI()*(0)/Inputs!$C$40)+0.2*SIN(2*PI()*((A70)+(0))/(0.5*(Inputs!$C$39+Inputs!$C$40))))+Inputs!$C$38*SIN(2*PI()*(A70)/Inputs!$C$39)*SIN(2*PI()*(0)/Inputs!$C$40)+-Inputs!$C$41*EXP(-(((0)-Inputs!$C$43)^2)/(2*Inputs!$C$44^2))*EXP(-(((A70)-Inputs!$C$42)^2)/(2*Inputs!$C$45^2))+Inputs!$C$48*(0.7*(0.45*SIN(2*PI()*(((A70)/Inputs!$C$49)+Inputs!$C$47*0.137))+0.35*COS(2*PI()*(((0)/Inputs!$C$50)+Inputs!$C$47*0.173))+0.2*SIN(2*PI()*(((A70)+(0))/(0.5*(Inputs!$C$49+Inputs!$C$50))+Inputs!$C$47*0.097)))+0.3*(2*((SIN(((A70)*12.9898+(0)*78.233+Inputs!$C$47*37.719))*43758.5453)-INT((SIN(((A70)*12.9898+(0)*78.233+Inputs!$C$47*37.719))*43758.5453)))-1)))</f>
        <v/>
      </c>
      <c r="Y70" s="9">
        <f>IF(OR(Inputs!$C$27=TRUE,Inputs!$C$27="TRUE",Inputs!$C$27=1),1,0)*(Inputs!$C$51*(115*EXP(-(((Inputs!$C$6)-25)^2)/(4.5^2))+70*EXP(-(((Inputs!$C$6)+38)^2)/(7^2))*(0.55+0.45*SIN(2*PI()*(A70)/45))+24*SIN(2*PI()*(Inputs!$C$6)/9+(A70)/18)*EXP(-(((Inputs!$C$6)+5)^2)/(22^2))+18*SIN(2*PI()*(A70)/70))+Inputs!$C$28*EXP(-(((A70)-Inputs!$C$29)^2)/(2*Inputs!$C$31^2))*EXP(-(((Inputs!$C$6)-Inputs!$C$30)^2)/(2*Inputs!$C$32^2))+-Inputs!$C$33*EXP(-(((((A70)-Inputs!$C$34)^2)+(((Inputs!$C$6)-Inputs!$C$35)^2))/(2*Inputs!$C$36^2)))+Inputs!$C$37*(0.55*SIN(2*PI()*(A70)/Inputs!$C$39)+0.35*COS(2*PI()*(Inputs!$C$6)/Inputs!$C$40)+0.2*SIN(2*PI()*((A70)+(Inputs!$C$6))/(0.5*(Inputs!$C$39+Inputs!$C$40))))+Inputs!$C$38*SIN(2*PI()*(A70)/Inputs!$C$39)*SIN(2*PI()*(Inputs!$C$6)/Inputs!$C$40)+-Inputs!$C$41*EXP(-(((Inputs!$C$6)-Inputs!$C$43)^2)/(2*Inputs!$C$44^2))*EXP(-(((A70)-Inputs!$C$42)^2)/(2*Inputs!$C$45^2))+Inputs!$C$48*(0.7*(0.45*SIN(2*PI()*(((A70)/Inputs!$C$49)+Inputs!$C$47*0.137))+0.35*COS(2*PI()*(((Inputs!$C$6)/Inputs!$C$50)+Inputs!$C$47*0.173))+0.2*SIN(2*PI()*(((A70)+(Inputs!$C$6))/(0.5*(Inputs!$C$49+Inputs!$C$50))+Inputs!$C$47*0.097)))+0.3*(2*((SIN(((A70)*12.9898+(Inputs!$C$6)*78.233+Inputs!$C$47*37.719))*43758.5453)-INT((SIN(((A70)*12.9898+(Inputs!$C$6)*78.233+Inputs!$C$47*37.719))*43758.5453)))-1)))</f>
        <v/>
      </c>
      <c r="Z70" s="9">
        <f>B70-X70/1000</f>
        <v/>
      </c>
      <c r="AA70" s="9">
        <f>SQRT((Inputs!$C$52+B70)^2+(Inputs!$C$52+Y70/1000)^2-2*(Inputs!$C$52+B70)*(Inputs!$C$52+Y70/1000)*COS(SQRT(A70^2+Inputs!$C$6^2)/Inputs!$C$52))</f>
        <v/>
      </c>
      <c r="AB70" s="9">
        <f>(AA70-Z70)*1000</f>
        <v/>
      </c>
      <c r="AC70" s="9">
        <f>AB70/Inputs!$C$12</f>
        <v/>
      </c>
      <c r="AD70" s="9">
        <f>2*AB70/Inputs!$C$21*1000000</f>
        <v/>
      </c>
      <c r="AE70" s="9">
        <f>DEGREES(ATAN(H70/(B70-Y70/1000)))</f>
        <v/>
      </c>
      <c r="AF70" s="9">
        <f>DEGREES((2*PI()/Inputs!$C$13)*Inputs!$C$15*SIN(RADIANS(AE70)))</f>
        <v/>
      </c>
      <c r="AG70" s="9">
        <f>(Z70/AA70)^4</f>
        <v/>
      </c>
      <c r="AH70" s="9">
        <f>10*LOG10(AG70)</f>
        <v/>
      </c>
      <c r="AI70" s="9">
        <f>AC70-F70</f>
        <v/>
      </c>
      <c r="AJ70" s="9">
        <f>AD70-G70</f>
        <v/>
      </c>
      <c r="AK70" s="9">
        <f>Y70-X70</f>
        <v/>
      </c>
      <c r="AL70" s="9">
        <f>1000*(AA71-AA69)/(A71-A69)*Inputs!$C$11</f>
        <v/>
      </c>
      <c r="AM70" s="9">
        <f>-2*AL70/Inputs!$C$13</f>
        <v/>
      </c>
      <c r="AN70" s="9">
        <f>-2*AL70/Inputs!$C$14</f>
        <v/>
      </c>
      <c r="AO70" s="9">
        <f>ABS(AM70)</f>
        <v/>
      </c>
      <c r="AP70" s="9">
        <f>ABS(AN70)</f>
        <v/>
      </c>
      <c r="AQ70" s="9">
        <f>IF(OR(Inputs!$C$27=TRUE,Inputs!$C$27="TRUE",Inputs!$C$27=1),Inputs!$C$46/Inputs!$C$12,0)</f>
        <v/>
      </c>
      <c r="AR70" s="9">
        <f>AC70-AQ70</f>
        <v/>
      </c>
      <c r="AS70" s="9">
        <f>AC70+AQ70</f>
        <v/>
      </c>
    </row>
    <row r="71">
      <c r="A71" s="9">
        <f>Inputs!$C$7+69*(Inputs!$C$8-Inputs!$C$7)/240</f>
        <v/>
      </c>
      <c r="B71" s="9">
        <f>Inputs!$C$5+Inputs!$C$9*(A71/Inputs!$C$10)^2</f>
        <v/>
      </c>
      <c r="C71" s="9">
        <f>B71</f>
        <v/>
      </c>
      <c r="D71" s="9">
        <f>SQRT((Inputs!$C$52+B71)^2+Inputs!$C$52^2-2*(Inputs!$C$52+B71)*Inputs!$C$52*COS(SQRT(A71^2+Inputs!$C$6^2)/Inputs!$C$52))</f>
        <v/>
      </c>
      <c r="E71" s="9">
        <f>(D71-C71)*1000</f>
        <v/>
      </c>
      <c r="F71" s="9">
        <f>E71/Inputs!$C$12</f>
        <v/>
      </c>
      <c r="G71" s="9">
        <f>2*E71/Inputs!$C$21*1000000</f>
        <v/>
      </c>
      <c r="H71" s="9">
        <f>SQRT(A71^2+Inputs!$C$6^2)</f>
        <v/>
      </c>
      <c r="I71" s="9">
        <f>DEGREES(ATAN(H71/B71))</f>
        <v/>
      </c>
      <c r="J71" s="9">
        <f>DEGREES((2*PI()/Inputs!$C$13)*Inputs!$C$15*SIN(RADIANS(I71)))</f>
        <v/>
      </c>
      <c r="K71" s="9">
        <f>(C71/D71)^4</f>
        <v/>
      </c>
      <c r="L71" s="9">
        <f>10*LOG10(K71)</f>
        <v/>
      </c>
      <c r="M71" s="9">
        <f>2*(Inputs!$C$9/(Inputs!$C$10^2))*A71</f>
        <v/>
      </c>
      <c r="N71" s="9">
        <f>M71*Inputs!$C$11</f>
        <v/>
      </c>
      <c r="O71" s="9">
        <f>1000*(D72-D70)/(A72-A70)*Inputs!$C$11</f>
        <v/>
      </c>
      <c r="P71" s="9">
        <f>-2*O71/Inputs!$C$13</f>
        <v/>
      </c>
      <c r="Q71" s="9">
        <f>-2*O71/Inputs!$C$14</f>
        <v/>
      </c>
      <c r="R71" s="9">
        <f>F71-Inputs!$C$16/2</f>
        <v/>
      </c>
      <c r="S71" s="9">
        <f>F71+Inputs!$C$16/2</f>
        <v/>
      </c>
      <c r="T71" s="9">
        <f>F71-Inputs!$C$17/2</f>
        <v/>
      </c>
      <c r="U71" s="9">
        <f>F71+Inputs!$C$17/2</f>
        <v/>
      </c>
      <c r="V71" s="9">
        <f>ABS(P71)</f>
        <v/>
      </c>
      <c r="W71" s="9">
        <f>ABS(Q71)</f>
        <v/>
      </c>
      <c r="X71" s="9">
        <f>IF(OR(Inputs!$C$27=TRUE,Inputs!$C$27="TRUE",Inputs!$C$27=1),1,0)*(Inputs!$C$51*(115*EXP(-(((0)-25)^2)/(4.5^2))+70*EXP(-(((0)+38)^2)/(7^2))*(0.55+0.45*SIN(2*PI()*(A71)/45))+24*SIN(2*PI()*(0)/9+(A71)/18)*EXP(-(((0)+5)^2)/(22^2))+18*SIN(2*PI()*(A71)/70))+Inputs!$C$28*EXP(-(((A71)-Inputs!$C$29)^2)/(2*Inputs!$C$31^2))*EXP(-(((0)-Inputs!$C$30)^2)/(2*Inputs!$C$32^2))+-Inputs!$C$33*EXP(-(((((A71)-Inputs!$C$34)^2)+(((0)-Inputs!$C$35)^2))/(2*Inputs!$C$36^2)))+Inputs!$C$37*(0.55*SIN(2*PI()*(A71)/Inputs!$C$39)+0.35*COS(2*PI()*(0)/Inputs!$C$40)+0.2*SIN(2*PI()*((A71)+(0))/(0.5*(Inputs!$C$39+Inputs!$C$40))))+Inputs!$C$38*SIN(2*PI()*(A71)/Inputs!$C$39)*SIN(2*PI()*(0)/Inputs!$C$40)+-Inputs!$C$41*EXP(-(((0)-Inputs!$C$43)^2)/(2*Inputs!$C$44^2))*EXP(-(((A71)-Inputs!$C$42)^2)/(2*Inputs!$C$45^2))+Inputs!$C$48*(0.7*(0.45*SIN(2*PI()*(((A71)/Inputs!$C$49)+Inputs!$C$47*0.137))+0.35*COS(2*PI()*(((0)/Inputs!$C$50)+Inputs!$C$47*0.173))+0.2*SIN(2*PI()*(((A71)+(0))/(0.5*(Inputs!$C$49+Inputs!$C$50))+Inputs!$C$47*0.097)))+0.3*(2*((SIN(((A71)*12.9898+(0)*78.233+Inputs!$C$47*37.719))*43758.5453)-INT((SIN(((A71)*12.9898+(0)*78.233+Inputs!$C$47*37.719))*43758.5453)))-1)))</f>
        <v/>
      </c>
      <c r="Y71" s="9">
        <f>IF(OR(Inputs!$C$27=TRUE,Inputs!$C$27="TRUE",Inputs!$C$27=1),1,0)*(Inputs!$C$51*(115*EXP(-(((Inputs!$C$6)-25)^2)/(4.5^2))+70*EXP(-(((Inputs!$C$6)+38)^2)/(7^2))*(0.55+0.45*SIN(2*PI()*(A71)/45))+24*SIN(2*PI()*(Inputs!$C$6)/9+(A71)/18)*EXP(-(((Inputs!$C$6)+5)^2)/(22^2))+18*SIN(2*PI()*(A71)/70))+Inputs!$C$28*EXP(-(((A71)-Inputs!$C$29)^2)/(2*Inputs!$C$31^2))*EXP(-(((Inputs!$C$6)-Inputs!$C$30)^2)/(2*Inputs!$C$32^2))+-Inputs!$C$33*EXP(-(((((A71)-Inputs!$C$34)^2)+(((Inputs!$C$6)-Inputs!$C$35)^2))/(2*Inputs!$C$36^2)))+Inputs!$C$37*(0.55*SIN(2*PI()*(A71)/Inputs!$C$39)+0.35*COS(2*PI()*(Inputs!$C$6)/Inputs!$C$40)+0.2*SIN(2*PI()*((A71)+(Inputs!$C$6))/(0.5*(Inputs!$C$39+Inputs!$C$40))))+Inputs!$C$38*SIN(2*PI()*(A71)/Inputs!$C$39)*SIN(2*PI()*(Inputs!$C$6)/Inputs!$C$40)+-Inputs!$C$41*EXP(-(((Inputs!$C$6)-Inputs!$C$43)^2)/(2*Inputs!$C$44^2))*EXP(-(((A71)-Inputs!$C$42)^2)/(2*Inputs!$C$45^2))+Inputs!$C$48*(0.7*(0.45*SIN(2*PI()*(((A71)/Inputs!$C$49)+Inputs!$C$47*0.137))+0.35*COS(2*PI()*(((Inputs!$C$6)/Inputs!$C$50)+Inputs!$C$47*0.173))+0.2*SIN(2*PI()*(((A71)+(Inputs!$C$6))/(0.5*(Inputs!$C$49+Inputs!$C$50))+Inputs!$C$47*0.097)))+0.3*(2*((SIN(((A71)*12.9898+(Inputs!$C$6)*78.233+Inputs!$C$47*37.719))*43758.5453)-INT((SIN(((A71)*12.9898+(Inputs!$C$6)*78.233+Inputs!$C$47*37.719))*43758.5453)))-1)))</f>
        <v/>
      </c>
      <c r="Z71" s="9">
        <f>B71-X71/1000</f>
        <v/>
      </c>
      <c r="AA71" s="9">
        <f>SQRT((Inputs!$C$52+B71)^2+(Inputs!$C$52+Y71/1000)^2-2*(Inputs!$C$52+B71)*(Inputs!$C$52+Y71/1000)*COS(SQRT(A71^2+Inputs!$C$6^2)/Inputs!$C$52))</f>
        <v/>
      </c>
      <c r="AB71" s="9">
        <f>(AA71-Z71)*1000</f>
        <v/>
      </c>
      <c r="AC71" s="9">
        <f>AB71/Inputs!$C$12</f>
        <v/>
      </c>
      <c r="AD71" s="9">
        <f>2*AB71/Inputs!$C$21*1000000</f>
        <v/>
      </c>
      <c r="AE71" s="9">
        <f>DEGREES(ATAN(H71/(B71-Y71/1000)))</f>
        <v/>
      </c>
      <c r="AF71" s="9">
        <f>DEGREES((2*PI()/Inputs!$C$13)*Inputs!$C$15*SIN(RADIANS(AE71)))</f>
        <v/>
      </c>
      <c r="AG71" s="9">
        <f>(Z71/AA71)^4</f>
        <v/>
      </c>
      <c r="AH71" s="9">
        <f>10*LOG10(AG71)</f>
        <v/>
      </c>
      <c r="AI71" s="9">
        <f>AC71-F71</f>
        <v/>
      </c>
      <c r="AJ71" s="9">
        <f>AD71-G71</f>
        <v/>
      </c>
      <c r="AK71" s="9">
        <f>Y71-X71</f>
        <v/>
      </c>
      <c r="AL71" s="9">
        <f>1000*(AA72-AA70)/(A72-A70)*Inputs!$C$11</f>
        <v/>
      </c>
      <c r="AM71" s="9">
        <f>-2*AL71/Inputs!$C$13</f>
        <v/>
      </c>
      <c r="AN71" s="9">
        <f>-2*AL71/Inputs!$C$14</f>
        <v/>
      </c>
      <c r="AO71" s="9">
        <f>ABS(AM71)</f>
        <v/>
      </c>
      <c r="AP71" s="9">
        <f>ABS(AN71)</f>
        <v/>
      </c>
      <c r="AQ71" s="9">
        <f>IF(OR(Inputs!$C$27=TRUE,Inputs!$C$27="TRUE",Inputs!$C$27=1),Inputs!$C$46/Inputs!$C$12,0)</f>
        <v/>
      </c>
      <c r="AR71" s="9">
        <f>AC71-AQ71</f>
        <v/>
      </c>
      <c r="AS71" s="9">
        <f>AC71+AQ71</f>
        <v/>
      </c>
    </row>
    <row r="72">
      <c r="A72" s="9">
        <f>Inputs!$C$7+70*(Inputs!$C$8-Inputs!$C$7)/240</f>
        <v/>
      </c>
      <c r="B72" s="9">
        <f>Inputs!$C$5+Inputs!$C$9*(A72/Inputs!$C$10)^2</f>
        <v/>
      </c>
      <c r="C72" s="9">
        <f>B72</f>
        <v/>
      </c>
      <c r="D72" s="9">
        <f>SQRT((Inputs!$C$52+B72)^2+Inputs!$C$52^2-2*(Inputs!$C$52+B72)*Inputs!$C$52*COS(SQRT(A72^2+Inputs!$C$6^2)/Inputs!$C$52))</f>
        <v/>
      </c>
      <c r="E72" s="9">
        <f>(D72-C72)*1000</f>
        <v/>
      </c>
      <c r="F72" s="9">
        <f>E72/Inputs!$C$12</f>
        <v/>
      </c>
      <c r="G72" s="9">
        <f>2*E72/Inputs!$C$21*1000000</f>
        <v/>
      </c>
      <c r="H72" s="9">
        <f>SQRT(A72^2+Inputs!$C$6^2)</f>
        <v/>
      </c>
      <c r="I72" s="9">
        <f>DEGREES(ATAN(H72/B72))</f>
        <v/>
      </c>
      <c r="J72" s="9">
        <f>DEGREES((2*PI()/Inputs!$C$13)*Inputs!$C$15*SIN(RADIANS(I72)))</f>
        <v/>
      </c>
      <c r="K72" s="9">
        <f>(C72/D72)^4</f>
        <v/>
      </c>
      <c r="L72" s="9">
        <f>10*LOG10(K72)</f>
        <v/>
      </c>
      <c r="M72" s="9">
        <f>2*(Inputs!$C$9/(Inputs!$C$10^2))*A72</f>
        <v/>
      </c>
      <c r="N72" s="9">
        <f>M72*Inputs!$C$11</f>
        <v/>
      </c>
      <c r="O72" s="9">
        <f>1000*(D73-D71)/(A73-A71)*Inputs!$C$11</f>
        <v/>
      </c>
      <c r="P72" s="9">
        <f>-2*O72/Inputs!$C$13</f>
        <v/>
      </c>
      <c r="Q72" s="9">
        <f>-2*O72/Inputs!$C$14</f>
        <v/>
      </c>
      <c r="R72" s="9">
        <f>F72-Inputs!$C$16/2</f>
        <v/>
      </c>
      <c r="S72" s="9">
        <f>F72+Inputs!$C$16/2</f>
        <v/>
      </c>
      <c r="T72" s="9">
        <f>F72-Inputs!$C$17/2</f>
        <v/>
      </c>
      <c r="U72" s="9">
        <f>F72+Inputs!$C$17/2</f>
        <v/>
      </c>
      <c r="V72" s="9">
        <f>ABS(P72)</f>
        <v/>
      </c>
      <c r="W72" s="9">
        <f>ABS(Q72)</f>
        <v/>
      </c>
      <c r="X72" s="9">
        <f>IF(OR(Inputs!$C$27=TRUE,Inputs!$C$27="TRUE",Inputs!$C$27=1),1,0)*(Inputs!$C$51*(115*EXP(-(((0)-25)^2)/(4.5^2))+70*EXP(-(((0)+38)^2)/(7^2))*(0.55+0.45*SIN(2*PI()*(A72)/45))+24*SIN(2*PI()*(0)/9+(A72)/18)*EXP(-(((0)+5)^2)/(22^2))+18*SIN(2*PI()*(A72)/70))+Inputs!$C$28*EXP(-(((A72)-Inputs!$C$29)^2)/(2*Inputs!$C$31^2))*EXP(-(((0)-Inputs!$C$30)^2)/(2*Inputs!$C$32^2))+-Inputs!$C$33*EXP(-(((((A72)-Inputs!$C$34)^2)+(((0)-Inputs!$C$35)^2))/(2*Inputs!$C$36^2)))+Inputs!$C$37*(0.55*SIN(2*PI()*(A72)/Inputs!$C$39)+0.35*COS(2*PI()*(0)/Inputs!$C$40)+0.2*SIN(2*PI()*((A72)+(0))/(0.5*(Inputs!$C$39+Inputs!$C$40))))+Inputs!$C$38*SIN(2*PI()*(A72)/Inputs!$C$39)*SIN(2*PI()*(0)/Inputs!$C$40)+-Inputs!$C$41*EXP(-(((0)-Inputs!$C$43)^2)/(2*Inputs!$C$44^2))*EXP(-(((A72)-Inputs!$C$42)^2)/(2*Inputs!$C$45^2))+Inputs!$C$48*(0.7*(0.45*SIN(2*PI()*(((A72)/Inputs!$C$49)+Inputs!$C$47*0.137))+0.35*COS(2*PI()*(((0)/Inputs!$C$50)+Inputs!$C$47*0.173))+0.2*SIN(2*PI()*(((A72)+(0))/(0.5*(Inputs!$C$49+Inputs!$C$50))+Inputs!$C$47*0.097)))+0.3*(2*((SIN(((A72)*12.9898+(0)*78.233+Inputs!$C$47*37.719))*43758.5453)-INT((SIN(((A72)*12.9898+(0)*78.233+Inputs!$C$47*37.719))*43758.5453)))-1)))</f>
        <v/>
      </c>
      <c r="Y72" s="9">
        <f>IF(OR(Inputs!$C$27=TRUE,Inputs!$C$27="TRUE",Inputs!$C$27=1),1,0)*(Inputs!$C$51*(115*EXP(-(((Inputs!$C$6)-25)^2)/(4.5^2))+70*EXP(-(((Inputs!$C$6)+38)^2)/(7^2))*(0.55+0.45*SIN(2*PI()*(A72)/45))+24*SIN(2*PI()*(Inputs!$C$6)/9+(A72)/18)*EXP(-(((Inputs!$C$6)+5)^2)/(22^2))+18*SIN(2*PI()*(A72)/70))+Inputs!$C$28*EXP(-(((A72)-Inputs!$C$29)^2)/(2*Inputs!$C$31^2))*EXP(-(((Inputs!$C$6)-Inputs!$C$30)^2)/(2*Inputs!$C$32^2))+-Inputs!$C$33*EXP(-(((((A72)-Inputs!$C$34)^2)+(((Inputs!$C$6)-Inputs!$C$35)^2))/(2*Inputs!$C$36^2)))+Inputs!$C$37*(0.55*SIN(2*PI()*(A72)/Inputs!$C$39)+0.35*COS(2*PI()*(Inputs!$C$6)/Inputs!$C$40)+0.2*SIN(2*PI()*((A72)+(Inputs!$C$6))/(0.5*(Inputs!$C$39+Inputs!$C$40))))+Inputs!$C$38*SIN(2*PI()*(A72)/Inputs!$C$39)*SIN(2*PI()*(Inputs!$C$6)/Inputs!$C$40)+-Inputs!$C$41*EXP(-(((Inputs!$C$6)-Inputs!$C$43)^2)/(2*Inputs!$C$44^2))*EXP(-(((A72)-Inputs!$C$42)^2)/(2*Inputs!$C$45^2))+Inputs!$C$48*(0.7*(0.45*SIN(2*PI()*(((A72)/Inputs!$C$49)+Inputs!$C$47*0.137))+0.35*COS(2*PI()*(((Inputs!$C$6)/Inputs!$C$50)+Inputs!$C$47*0.173))+0.2*SIN(2*PI()*(((A72)+(Inputs!$C$6))/(0.5*(Inputs!$C$49+Inputs!$C$50))+Inputs!$C$47*0.097)))+0.3*(2*((SIN(((A72)*12.9898+(Inputs!$C$6)*78.233+Inputs!$C$47*37.719))*43758.5453)-INT((SIN(((A72)*12.9898+(Inputs!$C$6)*78.233+Inputs!$C$47*37.719))*43758.5453)))-1)))</f>
        <v/>
      </c>
      <c r="Z72" s="9">
        <f>B72-X72/1000</f>
        <v/>
      </c>
      <c r="AA72" s="9">
        <f>SQRT((Inputs!$C$52+B72)^2+(Inputs!$C$52+Y72/1000)^2-2*(Inputs!$C$52+B72)*(Inputs!$C$52+Y72/1000)*COS(SQRT(A72^2+Inputs!$C$6^2)/Inputs!$C$52))</f>
        <v/>
      </c>
      <c r="AB72" s="9">
        <f>(AA72-Z72)*1000</f>
        <v/>
      </c>
      <c r="AC72" s="9">
        <f>AB72/Inputs!$C$12</f>
        <v/>
      </c>
      <c r="AD72" s="9">
        <f>2*AB72/Inputs!$C$21*1000000</f>
        <v/>
      </c>
      <c r="AE72" s="9">
        <f>DEGREES(ATAN(H72/(B72-Y72/1000)))</f>
        <v/>
      </c>
      <c r="AF72" s="9">
        <f>DEGREES((2*PI()/Inputs!$C$13)*Inputs!$C$15*SIN(RADIANS(AE72)))</f>
        <v/>
      </c>
      <c r="AG72" s="9">
        <f>(Z72/AA72)^4</f>
        <v/>
      </c>
      <c r="AH72" s="9">
        <f>10*LOG10(AG72)</f>
        <v/>
      </c>
      <c r="AI72" s="9">
        <f>AC72-F72</f>
        <v/>
      </c>
      <c r="AJ72" s="9">
        <f>AD72-G72</f>
        <v/>
      </c>
      <c r="AK72" s="9">
        <f>Y72-X72</f>
        <v/>
      </c>
      <c r="AL72" s="9">
        <f>1000*(AA73-AA71)/(A73-A71)*Inputs!$C$11</f>
        <v/>
      </c>
      <c r="AM72" s="9">
        <f>-2*AL72/Inputs!$C$13</f>
        <v/>
      </c>
      <c r="AN72" s="9">
        <f>-2*AL72/Inputs!$C$14</f>
        <v/>
      </c>
      <c r="AO72" s="9">
        <f>ABS(AM72)</f>
        <v/>
      </c>
      <c r="AP72" s="9">
        <f>ABS(AN72)</f>
        <v/>
      </c>
      <c r="AQ72" s="9">
        <f>IF(OR(Inputs!$C$27=TRUE,Inputs!$C$27="TRUE",Inputs!$C$27=1),Inputs!$C$46/Inputs!$C$12,0)</f>
        <v/>
      </c>
      <c r="AR72" s="9">
        <f>AC72-AQ72</f>
        <v/>
      </c>
      <c r="AS72" s="9">
        <f>AC72+AQ72</f>
        <v/>
      </c>
    </row>
    <row r="73">
      <c r="A73" s="9">
        <f>Inputs!$C$7+71*(Inputs!$C$8-Inputs!$C$7)/240</f>
        <v/>
      </c>
      <c r="B73" s="9">
        <f>Inputs!$C$5+Inputs!$C$9*(A73/Inputs!$C$10)^2</f>
        <v/>
      </c>
      <c r="C73" s="9">
        <f>B73</f>
        <v/>
      </c>
      <c r="D73" s="9">
        <f>SQRT((Inputs!$C$52+B73)^2+Inputs!$C$52^2-2*(Inputs!$C$52+B73)*Inputs!$C$52*COS(SQRT(A73^2+Inputs!$C$6^2)/Inputs!$C$52))</f>
        <v/>
      </c>
      <c r="E73" s="9">
        <f>(D73-C73)*1000</f>
        <v/>
      </c>
      <c r="F73" s="9">
        <f>E73/Inputs!$C$12</f>
        <v/>
      </c>
      <c r="G73" s="9">
        <f>2*E73/Inputs!$C$21*1000000</f>
        <v/>
      </c>
      <c r="H73" s="9">
        <f>SQRT(A73^2+Inputs!$C$6^2)</f>
        <v/>
      </c>
      <c r="I73" s="9">
        <f>DEGREES(ATAN(H73/B73))</f>
        <v/>
      </c>
      <c r="J73" s="9">
        <f>DEGREES((2*PI()/Inputs!$C$13)*Inputs!$C$15*SIN(RADIANS(I73)))</f>
        <v/>
      </c>
      <c r="K73" s="9">
        <f>(C73/D73)^4</f>
        <v/>
      </c>
      <c r="L73" s="9">
        <f>10*LOG10(K73)</f>
        <v/>
      </c>
      <c r="M73" s="9">
        <f>2*(Inputs!$C$9/(Inputs!$C$10^2))*A73</f>
        <v/>
      </c>
      <c r="N73" s="9">
        <f>M73*Inputs!$C$11</f>
        <v/>
      </c>
      <c r="O73" s="9">
        <f>1000*(D74-D72)/(A74-A72)*Inputs!$C$11</f>
        <v/>
      </c>
      <c r="P73" s="9">
        <f>-2*O73/Inputs!$C$13</f>
        <v/>
      </c>
      <c r="Q73" s="9">
        <f>-2*O73/Inputs!$C$14</f>
        <v/>
      </c>
      <c r="R73" s="9">
        <f>F73-Inputs!$C$16/2</f>
        <v/>
      </c>
      <c r="S73" s="9">
        <f>F73+Inputs!$C$16/2</f>
        <v/>
      </c>
      <c r="T73" s="9">
        <f>F73-Inputs!$C$17/2</f>
        <v/>
      </c>
      <c r="U73" s="9">
        <f>F73+Inputs!$C$17/2</f>
        <v/>
      </c>
      <c r="V73" s="9">
        <f>ABS(P73)</f>
        <v/>
      </c>
      <c r="W73" s="9">
        <f>ABS(Q73)</f>
        <v/>
      </c>
      <c r="X73" s="9">
        <f>IF(OR(Inputs!$C$27=TRUE,Inputs!$C$27="TRUE",Inputs!$C$27=1),1,0)*(Inputs!$C$51*(115*EXP(-(((0)-25)^2)/(4.5^2))+70*EXP(-(((0)+38)^2)/(7^2))*(0.55+0.45*SIN(2*PI()*(A73)/45))+24*SIN(2*PI()*(0)/9+(A73)/18)*EXP(-(((0)+5)^2)/(22^2))+18*SIN(2*PI()*(A73)/70))+Inputs!$C$28*EXP(-(((A73)-Inputs!$C$29)^2)/(2*Inputs!$C$31^2))*EXP(-(((0)-Inputs!$C$30)^2)/(2*Inputs!$C$32^2))+-Inputs!$C$33*EXP(-(((((A73)-Inputs!$C$34)^2)+(((0)-Inputs!$C$35)^2))/(2*Inputs!$C$36^2)))+Inputs!$C$37*(0.55*SIN(2*PI()*(A73)/Inputs!$C$39)+0.35*COS(2*PI()*(0)/Inputs!$C$40)+0.2*SIN(2*PI()*((A73)+(0))/(0.5*(Inputs!$C$39+Inputs!$C$40))))+Inputs!$C$38*SIN(2*PI()*(A73)/Inputs!$C$39)*SIN(2*PI()*(0)/Inputs!$C$40)+-Inputs!$C$41*EXP(-(((0)-Inputs!$C$43)^2)/(2*Inputs!$C$44^2))*EXP(-(((A73)-Inputs!$C$42)^2)/(2*Inputs!$C$45^2))+Inputs!$C$48*(0.7*(0.45*SIN(2*PI()*(((A73)/Inputs!$C$49)+Inputs!$C$47*0.137))+0.35*COS(2*PI()*(((0)/Inputs!$C$50)+Inputs!$C$47*0.173))+0.2*SIN(2*PI()*(((A73)+(0))/(0.5*(Inputs!$C$49+Inputs!$C$50))+Inputs!$C$47*0.097)))+0.3*(2*((SIN(((A73)*12.9898+(0)*78.233+Inputs!$C$47*37.719))*43758.5453)-INT((SIN(((A73)*12.9898+(0)*78.233+Inputs!$C$47*37.719))*43758.5453)))-1)))</f>
        <v/>
      </c>
      <c r="Y73" s="9">
        <f>IF(OR(Inputs!$C$27=TRUE,Inputs!$C$27="TRUE",Inputs!$C$27=1),1,0)*(Inputs!$C$51*(115*EXP(-(((Inputs!$C$6)-25)^2)/(4.5^2))+70*EXP(-(((Inputs!$C$6)+38)^2)/(7^2))*(0.55+0.45*SIN(2*PI()*(A73)/45))+24*SIN(2*PI()*(Inputs!$C$6)/9+(A73)/18)*EXP(-(((Inputs!$C$6)+5)^2)/(22^2))+18*SIN(2*PI()*(A73)/70))+Inputs!$C$28*EXP(-(((A73)-Inputs!$C$29)^2)/(2*Inputs!$C$31^2))*EXP(-(((Inputs!$C$6)-Inputs!$C$30)^2)/(2*Inputs!$C$32^2))+-Inputs!$C$33*EXP(-(((((A73)-Inputs!$C$34)^2)+(((Inputs!$C$6)-Inputs!$C$35)^2))/(2*Inputs!$C$36^2)))+Inputs!$C$37*(0.55*SIN(2*PI()*(A73)/Inputs!$C$39)+0.35*COS(2*PI()*(Inputs!$C$6)/Inputs!$C$40)+0.2*SIN(2*PI()*((A73)+(Inputs!$C$6))/(0.5*(Inputs!$C$39+Inputs!$C$40))))+Inputs!$C$38*SIN(2*PI()*(A73)/Inputs!$C$39)*SIN(2*PI()*(Inputs!$C$6)/Inputs!$C$40)+-Inputs!$C$41*EXP(-(((Inputs!$C$6)-Inputs!$C$43)^2)/(2*Inputs!$C$44^2))*EXP(-(((A73)-Inputs!$C$42)^2)/(2*Inputs!$C$45^2))+Inputs!$C$48*(0.7*(0.45*SIN(2*PI()*(((A73)/Inputs!$C$49)+Inputs!$C$47*0.137))+0.35*COS(2*PI()*(((Inputs!$C$6)/Inputs!$C$50)+Inputs!$C$47*0.173))+0.2*SIN(2*PI()*(((A73)+(Inputs!$C$6))/(0.5*(Inputs!$C$49+Inputs!$C$50))+Inputs!$C$47*0.097)))+0.3*(2*((SIN(((A73)*12.9898+(Inputs!$C$6)*78.233+Inputs!$C$47*37.719))*43758.5453)-INT((SIN(((A73)*12.9898+(Inputs!$C$6)*78.233+Inputs!$C$47*37.719))*43758.5453)))-1)))</f>
        <v/>
      </c>
      <c r="Z73" s="9">
        <f>B73-X73/1000</f>
        <v/>
      </c>
      <c r="AA73" s="9">
        <f>SQRT((Inputs!$C$52+B73)^2+(Inputs!$C$52+Y73/1000)^2-2*(Inputs!$C$52+B73)*(Inputs!$C$52+Y73/1000)*COS(SQRT(A73^2+Inputs!$C$6^2)/Inputs!$C$52))</f>
        <v/>
      </c>
      <c r="AB73" s="9">
        <f>(AA73-Z73)*1000</f>
        <v/>
      </c>
      <c r="AC73" s="9">
        <f>AB73/Inputs!$C$12</f>
        <v/>
      </c>
      <c r="AD73" s="9">
        <f>2*AB73/Inputs!$C$21*1000000</f>
        <v/>
      </c>
      <c r="AE73" s="9">
        <f>DEGREES(ATAN(H73/(B73-Y73/1000)))</f>
        <v/>
      </c>
      <c r="AF73" s="9">
        <f>DEGREES((2*PI()/Inputs!$C$13)*Inputs!$C$15*SIN(RADIANS(AE73)))</f>
        <v/>
      </c>
      <c r="AG73" s="9">
        <f>(Z73/AA73)^4</f>
        <v/>
      </c>
      <c r="AH73" s="9">
        <f>10*LOG10(AG73)</f>
        <v/>
      </c>
      <c r="AI73" s="9">
        <f>AC73-F73</f>
        <v/>
      </c>
      <c r="AJ73" s="9">
        <f>AD73-G73</f>
        <v/>
      </c>
      <c r="AK73" s="9">
        <f>Y73-X73</f>
        <v/>
      </c>
      <c r="AL73" s="9">
        <f>1000*(AA74-AA72)/(A74-A72)*Inputs!$C$11</f>
        <v/>
      </c>
      <c r="AM73" s="9">
        <f>-2*AL73/Inputs!$C$13</f>
        <v/>
      </c>
      <c r="AN73" s="9">
        <f>-2*AL73/Inputs!$C$14</f>
        <v/>
      </c>
      <c r="AO73" s="9">
        <f>ABS(AM73)</f>
        <v/>
      </c>
      <c r="AP73" s="9">
        <f>ABS(AN73)</f>
        <v/>
      </c>
      <c r="AQ73" s="9">
        <f>IF(OR(Inputs!$C$27=TRUE,Inputs!$C$27="TRUE",Inputs!$C$27=1),Inputs!$C$46/Inputs!$C$12,0)</f>
        <v/>
      </c>
      <c r="AR73" s="9">
        <f>AC73-AQ73</f>
        <v/>
      </c>
      <c r="AS73" s="9">
        <f>AC73+AQ73</f>
        <v/>
      </c>
    </row>
    <row r="74">
      <c r="A74" s="9">
        <f>Inputs!$C$7+72*(Inputs!$C$8-Inputs!$C$7)/240</f>
        <v/>
      </c>
      <c r="B74" s="9">
        <f>Inputs!$C$5+Inputs!$C$9*(A74/Inputs!$C$10)^2</f>
        <v/>
      </c>
      <c r="C74" s="9">
        <f>B74</f>
        <v/>
      </c>
      <c r="D74" s="9">
        <f>SQRT((Inputs!$C$52+B74)^2+Inputs!$C$52^2-2*(Inputs!$C$52+B74)*Inputs!$C$52*COS(SQRT(A74^2+Inputs!$C$6^2)/Inputs!$C$52))</f>
        <v/>
      </c>
      <c r="E74" s="9">
        <f>(D74-C74)*1000</f>
        <v/>
      </c>
      <c r="F74" s="9">
        <f>E74/Inputs!$C$12</f>
        <v/>
      </c>
      <c r="G74" s="9">
        <f>2*E74/Inputs!$C$21*1000000</f>
        <v/>
      </c>
      <c r="H74" s="9">
        <f>SQRT(A74^2+Inputs!$C$6^2)</f>
        <v/>
      </c>
      <c r="I74" s="9">
        <f>DEGREES(ATAN(H74/B74))</f>
        <v/>
      </c>
      <c r="J74" s="9">
        <f>DEGREES((2*PI()/Inputs!$C$13)*Inputs!$C$15*SIN(RADIANS(I74)))</f>
        <v/>
      </c>
      <c r="K74" s="9">
        <f>(C74/D74)^4</f>
        <v/>
      </c>
      <c r="L74" s="9">
        <f>10*LOG10(K74)</f>
        <v/>
      </c>
      <c r="M74" s="9">
        <f>2*(Inputs!$C$9/(Inputs!$C$10^2))*A74</f>
        <v/>
      </c>
      <c r="N74" s="9">
        <f>M74*Inputs!$C$11</f>
        <v/>
      </c>
      <c r="O74" s="9">
        <f>1000*(D75-D73)/(A75-A73)*Inputs!$C$11</f>
        <v/>
      </c>
      <c r="P74" s="9">
        <f>-2*O74/Inputs!$C$13</f>
        <v/>
      </c>
      <c r="Q74" s="9">
        <f>-2*O74/Inputs!$C$14</f>
        <v/>
      </c>
      <c r="R74" s="9">
        <f>F74-Inputs!$C$16/2</f>
        <v/>
      </c>
      <c r="S74" s="9">
        <f>F74+Inputs!$C$16/2</f>
        <v/>
      </c>
      <c r="T74" s="9">
        <f>F74-Inputs!$C$17/2</f>
        <v/>
      </c>
      <c r="U74" s="9">
        <f>F74+Inputs!$C$17/2</f>
        <v/>
      </c>
      <c r="V74" s="9">
        <f>ABS(P74)</f>
        <v/>
      </c>
      <c r="W74" s="9">
        <f>ABS(Q74)</f>
        <v/>
      </c>
      <c r="X74" s="9">
        <f>IF(OR(Inputs!$C$27=TRUE,Inputs!$C$27="TRUE",Inputs!$C$27=1),1,0)*(Inputs!$C$51*(115*EXP(-(((0)-25)^2)/(4.5^2))+70*EXP(-(((0)+38)^2)/(7^2))*(0.55+0.45*SIN(2*PI()*(A74)/45))+24*SIN(2*PI()*(0)/9+(A74)/18)*EXP(-(((0)+5)^2)/(22^2))+18*SIN(2*PI()*(A74)/70))+Inputs!$C$28*EXP(-(((A74)-Inputs!$C$29)^2)/(2*Inputs!$C$31^2))*EXP(-(((0)-Inputs!$C$30)^2)/(2*Inputs!$C$32^2))+-Inputs!$C$33*EXP(-(((((A74)-Inputs!$C$34)^2)+(((0)-Inputs!$C$35)^2))/(2*Inputs!$C$36^2)))+Inputs!$C$37*(0.55*SIN(2*PI()*(A74)/Inputs!$C$39)+0.35*COS(2*PI()*(0)/Inputs!$C$40)+0.2*SIN(2*PI()*((A74)+(0))/(0.5*(Inputs!$C$39+Inputs!$C$40))))+Inputs!$C$38*SIN(2*PI()*(A74)/Inputs!$C$39)*SIN(2*PI()*(0)/Inputs!$C$40)+-Inputs!$C$41*EXP(-(((0)-Inputs!$C$43)^2)/(2*Inputs!$C$44^2))*EXP(-(((A74)-Inputs!$C$42)^2)/(2*Inputs!$C$45^2))+Inputs!$C$48*(0.7*(0.45*SIN(2*PI()*(((A74)/Inputs!$C$49)+Inputs!$C$47*0.137))+0.35*COS(2*PI()*(((0)/Inputs!$C$50)+Inputs!$C$47*0.173))+0.2*SIN(2*PI()*(((A74)+(0))/(0.5*(Inputs!$C$49+Inputs!$C$50))+Inputs!$C$47*0.097)))+0.3*(2*((SIN(((A74)*12.9898+(0)*78.233+Inputs!$C$47*37.719))*43758.5453)-INT((SIN(((A74)*12.9898+(0)*78.233+Inputs!$C$47*37.719))*43758.5453)))-1)))</f>
        <v/>
      </c>
      <c r="Y74" s="9">
        <f>IF(OR(Inputs!$C$27=TRUE,Inputs!$C$27="TRUE",Inputs!$C$27=1),1,0)*(Inputs!$C$51*(115*EXP(-(((Inputs!$C$6)-25)^2)/(4.5^2))+70*EXP(-(((Inputs!$C$6)+38)^2)/(7^2))*(0.55+0.45*SIN(2*PI()*(A74)/45))+24*SIN(2*PI()*(Inputs!$C$6)/9+(A74)/18)*EXP(-(((Inputs!$C$6)+5)^2)/(22^2))+18*SIN(2*PI()*(A74)/70))+Inputs!$C$28*EXP(-(((A74)-Inputs!$C$29)^2)/(2*Inputs!$C$31^2))*EXP(-(((Inputs!$C$6)-Inputs!$C$30)^2)/(2*Inputs!$C$32^2))+-Inputs!$C$33*EXP(-(((((A74)-Inputs!$C$34)^2)+(((Inputs!$C$6)-Inputs!$C$35)^2))/(2*Inputs!$C$36^2)))+Inputs!$C$37*(0.55*SIN(2*PI()*(A74)/Inputs!$C$39)+0.35*COS(2*PI()*(Inputs!$C$6)/Inputs!$C$40)+0.2*SIN(2*PI()*((A74)+(Inputs!$C$6))/(0.5*(Inputs!$C$39+Inputs!$C$40))))+Inputs!$C$38*SIN(2*PI()*(A74)/Inputs!$C$39)*SIN(2*PI()*(Inputs!$C$6)/Inputs!$C$40)+-Inputs!$C$41*EXP(-(((Inputs!$C$6)-Inputs!$C$43)^2)/(2*Inputs!$C$44^2))*EXP(-(((A74)-Inputs!$C$42)^2)/(2*Inputs!$C$45^2))+Inputs!$C$48*(0.7*(0.45*SIN(2*PI()*(((A74)/Inputs!$C$49)+Inputs!$C$47*0.137))+0.35*COS(2*PI()*(((Inputs!$C$6)/Inputs!$C$50)+Inputs!$C$47*0.173))+0.2*SIN(2*PI()*(((A74)+(Inputs!$C$6))/(0.5*(Inputs!$C$49+Inputs!$C$50))+Inputs!$C$47*0.097)))+0.3*(2*((SIN(((A74)*12.9898+(Inputs!$C$6)*78.233+Inputs!$C$47*37.719))*43758.5453)-INT((SIN(((A74)*12.9898+(Inputs!$C$6)*78.233+Inputs!$C$47*37.719))*43758.5453)))-1)))</f>
        <v/>
      </c>
      <c r="Z74" s="9">
        <f>B74-X74/1000</f>
        <v/>
      </c>
      <c r="AA74" s="9">
        <f>SQRT((Inputs!$C$52+B74)^2+(Inputs!$C$52+Y74/1000)^2-2*(Inputs!$C$52+B74)*(Inputs!$C$52+Y74/1000)*COS(SQRT(A74^2+Inputs!$C$6^2)/Inputs!$C$52))</f>
        <v/>
      </c>
      <c r="AB74" s="9">
        <f>(AA74-Z74)*1000</f>
        <v/>
      </c>
      <c r="AC74" s="9">
        <f>AB74/Inputs!$C$12</f>
        <v/>
      </c>
      <c r="AD74" s="9">
        <f>2*AB74/Inputs!$C$21*1000000</f>
        <v/>
      </c>
      <c r="AE74" s="9">
        <f>DEGREES(ATAN(H74/(B74-Y74/1000)))</f>
        <v/>
      </c>
      <c r="AF74" s="9">
        <f>DEGREES((2*PI()/Inputs!$C$13)*Inputs!$C$15*SIN(RADIANS(AE74)))</f>
        <v/>
      </c>
      <c r="AG74" s="9">
        <f>(Z74/AA74)^4</f>
        <v/>
      </c>
      <c r="AH74" s="9">
        <f>10*LOG10(AG74)</f>
        <v/>
      </c>
      <c r="AI74" s="9">
        <f>AC74-F74</f>
        <v/>
      </c>
      <c r="AJ74" s="9">
        <f>AD74-G74</f>
        <v/>
      </c>
      <c r="AK74" s="9">
        <f>Y74-X74</f>
        <v/>
      </c>
      <c r="AL74" s="9">
        <f>1000*(AA75-AA73)/(A75-A73)*Inputs!$C$11</f>
        <v/>
      </c>
      <c r="AM74" s="9">
        <f>-2*AL74/Inputs!$C$13</f>
        <v/>
      </c>
      <c r="AN74" s="9">
        <f>-2*AL74/Inputs!$C$14</f>
        <v/>
      </c>
      <c r="AO74" s="9">
        <f>ABS(AM74)</f>
        <v/>
      </c>
      <c r="AP74" s="9">
        <f>ABS(AN74)</f>
        <v/>
      </c>
      <c r="AQ74" s="9">
        <f>IF(OR(Inputs!$C$27=TRUE,Inputs!$C$27="TRUE",Inputs!$C$27=1),Inputs!$C$46/Inputs!$C$12,0)</f>
        <v/>
      </c>
      <c r="AR74" s="9">
        <f>AC74-AQ74</f>
        <v/>
      </c>
      <c r="AS74" s="9">
        <f>AC74+AQ74</f>
        <v/>
      </c>
    </row>
    <row r="75">
      <c r="A75" s="9">
        <f>Inputs!$C$7+73*(Inputs!$C$8-Inputs!$C$7)/240</f>
        <v/>
      </c>
      <c r="B75" s="9">
        <f>Inputs!$C$5+Inputs!$C$9*(A75/Inputs!$C$10)^2</f>
        <v/>
      </c>
      <c r="C75" s="9">
        <f>B75</f>
        <v/>
      </c>
      <c r="D75" s="9">
        <f>SQRT((Inputs!$C$52+B75)^2+Inputs!$C$52^2-2*(Inputs!$C$52+B75)*Inputs!$C$52*COS(SQRT(A75^2+Inputs!$C$6^2)/Inputs!$C$52))</f>
        <v/>
      </c>
      <c r="E75" s="9">
        <f>(D75-C75)*1000</f>
        <v/>
      </c>
      <c r="F75" s="9">
        <f>E75/Inputs!$C$12</f>
        <v/>
      </c>
      <c r="G75" s="9">
        <f>2*E75/Inputs!$C$21*1000000</f>
        <v/>
      </c>
      <c r="H75" s="9">
        <f>SQRT(A75^2+Inputs!$C$6^2)</f>
        <v/>
      </c>
      <c r="I75" s="9">
        <f>DEGREES(ATAN(H75/B75))</f>
        <v/>
      </c>
      <c r="J75" s="9">
        <f>DEGREES((2*PI()/Inputs!$C$13)*Inputs!$C$15*SIN(RADIANS(I75)))</f>
        <v/>
      </c>
      <c r="K75" s="9">
        <f>(C75/D75)^4</f>
        <v/>
      </c>
      <c r="L75" s="9">
        <f>10*LOG10(K75)</f>
        <v/>
      </c>
      <c r="M75" s="9">
        <f>2*(Inputs!$C$9/(Inputs!$C$10^2))*A75</f>
        <v/>
      </c>
      <c r="N75" s="9">
        <f>M75*Inputs!$C$11</f>
        <v/>
      </c>
      <c r="O75" s="9">
        <f>1000*(D76-D74)/(A76-A74)*Inputs!$C$11</f>
        <v/>
      </c>
      <c r="P75" s="9">
        <f>-2*O75/Inputs!$C$13</f>
        <v/>
      </c>
      <c r="Q75" s="9">
        <f>-2*O75/Inputs!$C$14</f>
        <v/>
      </c>
      <c r="R75" s="9">
        <f>F75-Inputs!$C$16/2</f>
        <v/>
      </c>
      <c r="S75" s="9">
        <f>F75+Inputs!$C$16/2</f>
        <v/>
      </c>
      <c r="T75" s="9">
        <f>F75-Inputs!$C$17/2</f>
        <v/>
      </c>
      <c r="U75" s="9">
        <f>F75+Inputs!$C$17/2</f>
        <v/>
      </c>
      <c r="V75" s="9">
        <f>ABS(P75)</f>
        <v/>
      </c>
      <c r="W75" s="9">
        <f>ABS(Q75)</f>
        <v/>
      </c>
      <c r="X75" s="9">
        <f>IF(OR(Inputs!$C$27=TRUE,Inputs!$C$27="TRUE",Inputs!$C$27=1),1,0)*(Inputs!$C$51*(115*EXP(-(((0)-25)^2)/(4.5^2))+70*EXP(-(((0)+38)^2)/(7^2))*(0.55+0.45*SIN(2*PI()*(A75)/45))+24*SIN(2*PI()*(0)/9+(A75)/18)*EXP(-(((0)+5)^2)/(22^2))+18*SIN(2*PI()*(A75)/70))+Inputs!$C$28*EXP(-(((A75)-Inputs!$C$29)^2)/(2*Inputs!$C$31^2))*EXP(-(((0)-Inputs!$C$30)^2)/(2*Inputs!$C$32^2))+-Inputs!$C$33*EXP(-(((((A75)-Inputs!$C$34)^2)+(((0)-Inputs!$C$35)^2))/(2*Inputs!$C$36^2)))+Inputs!$C$37*(0.55*SIN(2*PI()*(A75)/Inputs!$C$39)+0.35*COS(2*PI()*(0)/Inputs!$C$40)+0.2*SIN(2*PI()*((A75)+(0))/(0.5*(Inputs!$C$39+Inputs!$C$40))))+Inputs!$C$38*SIN(2*PI()*(A75)/Inputs!$C$39)*SIN(2*PI()*(0)/Inputs!$C$40)+-Inputs!$C$41*EXP(-(((0)-Inputs!$C$43)^2)/(2*Inputs!$C$44^2))*EXP(-(((A75)-Inputs!$C$42)^2)/(2*Inputs!$C$45^2))+Inputs!$C$48*(0.7*(0.45*SIN(2*PI()*(((A75)/Inputs!$C$49)+Inputs!$C$47*0.137))+0.35*COS(2*PI()*(((0)/Inputs!$C$50)+Inputs!$C$47*0.173))+0.2*SIN(2*PI()*(((A75)+(0))/(0.5*(Inputs!$C$49+Inputs!$C$50))+Inputs!$C$47*0.097)))+0.3*(2*((SIN(((A75)*12.9898+(0)*78.233+Inputs!$C$47*37.719))*43758.5453)-INT((SIN(((A75)*12.9898+(0)*78.233+Inputs!$C$47*37.719))*43758.5453)))-1)))</f>
        <v/>
      </c>
      <c r="Y75" s="9">
        <f>IF(OR(Inputs!$C$27=TRUE,Inputs!$C$27="TRUE",Inputs!$C$27=1),1,0)*(Inputs!$C$51*(115*EXP(-(((Inputs!$C$6)-25)^2)/(4.5^2))+70*EXP(-(((Inputs!$C$6)+38)^2)/(7^2))*(0.55+0.45*SIN(2*PI()*(A75)/45))+24*SIN(2*PI()*(Inputs!$C$6)/9+(A75)/18)*EXP(-(((Inputs!$C$6)+5)^2)/(22^2))+18*SIN(2*PI()*(A75)/70))+Inputs!$C$28*EXP(-(((A75)-Inputs!$C$29)^2)/(2*Inputs!$C$31^2))*EXP(-(((Inputs!$C$6)-Inputs!$C$30)^2)/(2*Inputs!$C$32^2))+-Inputs!$C$33*EXP(-(((((A75)-Inputs!$C$34)^2)+(((Inputs!$C$6)-Inputs!$C$35)^2))/(2*Inputs!$C$36^2)))+Inputs!$C$37*(0.55*SIN(2*PI()*(A75)/Inputs!$C$39)+0.35*COS(2*PI()*(Inputs!$C$6)/Inputs!$C$40)+0.2*SIN(2*PI()*((A75)+(Inputs!$C$6))/(0.5*(Inputs!$C$39+Inputs!$C$40))))+Inputs!$C$38*SIN(2*PI()*(A75)/Inputs!$C$39)*SIN(2*PI()*(Inputs!$C$6)/Inputs!$C$40)+-Inputs!$C$41*EXP(-(((Inputs!$C$6)-Inputs!$C$43)^2)/(2*Inputs!$C$44^2))*EXP(-(((A75)-Inputs!$C$42)^2)/(2*Inputs!$C$45^2))+Inputs!$C$48*(0.7*(0.45*SIN(2*PI()*(((A75)/Inputs!$C$49)+Inputs!$C$47*0.137))+0.35*COS(2*PI()*(((Inputs!$C$6)/Inputs!$C$50)+Inputs!$C$47*0.173))+0.2*SIN(2*PI()*(((A75)+(Inputs!$C$6))/(0.5*(Inputs!$C$49+Inputs!$C$50))+Inputs!$C$47*0.097)))+0.3*(2*((SIN(((A75)*12.9898+(Inputs!$C$6)*78.233+Inputs!$C$47*37.719))*43758.5453)-INT((SIN(((A75)*12.9898+(Inputs!$C$6)*78.233+Inputs!$C$47*37.719))*43758.5453)))-1)))</f>
        <v/>
      </c>
      <c r="Z75" s="9">
        <f>B75-X75/1000</f>
        <v/>
      </c>
      <c r="AA75" s="9">
        <f>SQRT((Inputs!$C$52+B75)^2+(Inputs!$C$52+Y75/1000)^2-2*(Inputs!$C$52+B75)*(Inputs!$C$52+Y75/1000)*COS(SQRT(A75^2+Inputs!$C$6^2)/Inputs!$C$52))</f>
        <v/>
      </c>
      <c r="AB75" s="9">
        <f>(AA75-Z75)*1000</f>
        <v/>
      </c>
      <c r="AC75" s="9">
        <f>AB75/Inputs!$C$12</f>
        <v/>
      </c>
      <c r="AD75" s="9">
        <f>2*AB75/Inputs!$C$21*1000000</f>
        <v/>
      </c>
      <c r="AE75" s="9">
        <f>DEGREES(ATAN(H75/(B75-Y75/1000)))</f>
        <v/>
      </c>
      <c r="AF75" s="9">
        <f>DEGREES((2*PI()/Inputs!$C$13)*Inputs!$C$15*SIN(RADIANS(AE75)))</f>
        <v/>
      </c>
      <c r="AG75" s="9">
        <f>(Z75/AA75)^4</f>
        <v/>
      </c>
      <c r="AH75" s="9">
        <f>10*LOG10(AG75)</f>
        <v/>
      </c>
      <c r="AI75" s="9">
        <f>AC75-F75</f>
        <v/>
      </c>
      <c r="AJ75" s="9">
        <f>AD75-G75</f>
        <v/>
      </c>
      <c r="AK75" s="9">
        <f>Y75-X75</f>
        <v/>
      </c>
      <c r="AL75" s="9">
        <f>1000*(AA76-AA74)/(A76-A74)*Inputs!$C$11</f>
        <v/>
      </c>
      <c r="AM75" s="9">
        <f>-2*AL75/Inputs!$C$13</f>
        <v/>
      </c>
      <c r="AN75" s="9">
        <f>-2*AL75/Inputs!$C$14</f>
        <v/>
      </c>
      <c r="AO75" s="9">
        <f>ABS(AM75)</f>
        <v/>
      </c>
      <c r="AP75" s="9">
        <f>ABS(AN75)</f>
        <v/>
      </c>
      <c r="AQ75" s="9">
        <f>IF(OR(Inputs!$C$27=TRUE,Inputs!$C$27="TRUE",Inputs!$C$27=1),Inputs!$C$46/Inputs!$C$12,0)</f>
        <v/>
      </c>
      <c r="AR75" s="9">
        <f>AC75-AQ75</f>
        <v/>
      </c>
      <c r="AS75" s="9">
        <f>AC75+AQ75</f>
        <v/>
      </c>
    </row>
    <row r="76">
      <c r="A76" s="9">
        <f>Inputs!$C$7+74*(Inputs!$C$8-Inputs!$C$7)/240</f>
        <v/>
      </c>
      <c r="B76" s="9">
        <f>Inputs!$C$5+Inputs!$C$9*(A76/Inputs!$C$10)^2</f>
        <v/>
      </c>
      <c r="C76" s="9">
        <f>B76</f>
        <v/>
      </c>
      <c r="D76" s="9">
        <f>SQRT((Inputs!$C$52+B76)^2+Inputs!$C$52^2-2*(Inputs!$C$52+B76)*Inputs!$C$52*COS(SQRT(A76^2+Inputs!$C$6^2)/Inputs!$C$52))</f>
        <v/>
      </c>
      <c r="E76" s="9">
        <f>(D76-C76)*1000</f>
        <v/>
      </c>
      <c r="F76" s="9">
        <f>E76/Inputs!$C$12</f>
        <v/>
      </c>
      <c r="G76" s="9">
        <f>2*E76/Inputs!$C$21*1000000</f>
        <v/>
      </c>
      <c r="H76" s="9">
        <f>SQRT(A76^2+Inputs!$C$6^2)</f>
        <v/>
      </c>
      <c r="I76" s="9">
        <f>DEGREES(ATAN(H76/B76))</f>
        <v/>
      </c>
      <c r="J76" s="9">
        <f>DEGREES((2*PI()/Inputs!$C$13)*Inputs!$C$15*SIN(RADIANS(I76)))</f>
        <v/>
      </c>
      <c r="K76" s="9">
        <f>(C76/D76)^4</f>
        <v/>
      </c>
      <c r="L76" s="9">
        <f>10*LOG10(K76)</f>
        <v/>
      </c>
      <c r="M76" s="9">
        <f>2*(Inputs!$C$9/(Inputs!$C$10^2))*A76</f>
        <v/>
      </c>
      <c r="N76" s="9">
        <f>M76*Inputs!$C$11</f>
        <v/>
      </c>
      <c r="O76" s="9">
        <f>1000*(D77-D75)/(A77-A75)*Inputs!$C$11</f>
        <v/>
      </c>
      <c r="P76" s="9">
        <f>-2*O76/Inputs!$C$13</f>
        <v/>
      </c>
      <c r="Q76" s="9">
        <f>-2*O76/Inputs!$C$14</f>
        <v/>
      </c>
      <c r="R76" s="9">
        <f>F76-Inputs!$C$16/2</f>
        <v/>
      </c>
      <c r="S76" s="9">
        <f>F76+Inputs!$C$16/2</f>
        <v/>
      </c>
      <c r="T76" s="9">
        <f>F76-Inputs!$C$17/2</f>
        <v/>
      </c>
      <c r="U76" s="9">
        <f>F76+Inputs!$C$17/2</f>
        <v/>
      </c>
      <c r="V76" s="9">
        <f>ABS(P76)</f>
        <v/>
      </c>
      <c r="W76" s="9">
        <f>ABS(Q76)</f>
        <v/>
      </c>
      <c r="X76" s="9">
        <f>IF(OR(Inputs!$C$27=TRUE,Inputs!$C$27="TRUE",Inputs!$C$27=1),1,0)*(Inputs!$C$51*(115*EXP(-(((0)-25)^2)/(4.5^2))+70*EXP(-(((0)+38)^2)/(7^2))*(0.55+0.45*SIN(2*PI()*(A76)/45))+24*SIN(2*PI()*(0)/9+(A76)/18)*EXP(-(((0)+5)^2)/(22^2))+18*SIN(2*PI()*(A76)/70))+Inputs!$C$28*EXP(-(((A76)-Inputs!$C$29)^2)/(2*Inputs!$C$31^2))*EXP(-(((0)-Inputs!$C$30)^2)/(2*Inputs!$C$32^2))+-Inputs!$C$33*EXP(-(((((A76)-Inputs!$C$34)^2)+(((0)-Inputs!$C$35)^2))/(2*Inputs!$C$36^2)))+Inputs!$C$37*(0.55*SIN(2*PI()*(A76)/Inputs!$C$39)+0.35*COS(2*PI()*(0)/Inputs!$C$40)+0.2*SIN(2*PI()*((A76)+(0))/(0.5*(Inputs!$C$39+Inputs!$C$40))))+Inputs!$C$38*SIN(2*PI()*(A76)/Inputs!$C$39)*SIN(2*PI()*(0)/Inputs!$C$40)+-Inputs!$C$41*EXP(-(((0)-Inputs!$C$43)^2)/(2*Inputs!$C$44^2))*EXP(-(((A76)-Inputs!$C$42)^2)/(2*Inputs!$C$45^2))+Inputs!$C$48*(0.7*(0.45*SIN(2*PI()*(((A76)/Inputs!$C$49)+Inputs!$C$47*0.137))+0.35*COS(2*PI()*(((0)/Inputs!$C$50)+Inputs!$C$47*0.173))+0.2*SIN(2*PI()*(((A76)+(0))/(0.5*(Inputs!$C$49+Inputs!$C$50))+Inputs!$C$47*0.097)))+0.3*(2*((SIN(((A76)*12.9898+(0)*78.233+Inputs!$C$47*37.719))*43758.5453)-INT((SIN(((A76)*12.9898+(0)*78.233+Inputs!$C$47*37.719))*43758.5453)))-1)))</f>
        <v/>
      </c>
      <c r="Y76" s="9">
        <f>IF(OR(Inputs!$C$27=TRUE,Inputs!$C$27="TRUE",Inputs!$C$27=1),1,0)*(Inputs!$C$51*(115*EXP(-(((Inputs!$C$6)-25)^2)/(4.5^2))+70*EXP(-(((Inputs!$C$6)+38)^2)/(7^2))*(0.55+0.45*SIN(2*PI()*(A76)/45))+24*SIN(2*PI()*(Inputs!$C$6)/9+(A76)/18)*EXP(-(((Inputs!$C$6)+5)^2)/(22^2))+18*SIN(2*PI()*(A76)/70))+Inputs!$C$28*EXP(-(((A76)-Inputs!$C$29)^2)/(2*Inputs!$C$31^2))*EXP(-(((Inputs!$C$6)-Inputs!$C$30)^2)/(2*Inputs!$C$32^2))+-Inputs!$C$33*EXP(-(((((A76)-Inputs!$C$34)^2)+(((Inputs!$C$6)-Inputs!$C$35)^2))/(2*Inputs!$C$36^2)))+Inputs!$C$37*(0.55*SIN(2*PI()*(A76)/Inputs!$C$39)+0.35*COS(2*PI()*(Inputs!$C$6)/Inputs!$C$40)+0.2*SIN(2*PI()*((A76)+(Inputs!$C$6))/(0.5*(Inputs!$C$39+Inputs!$C$40))))+Inputs!$C$38*SIN(2*PI()*(A76)/Inputs!$C$39)*SIN(2*PI()*(Inputs!$C$6)/Inputs!$C$40)+-Inputs!$C$41*EXP(-(((Inputs!$C$6)-Inputs!$C$43)^2)/(2*Inputs!$C$44^2))*EXP(-(((A76)-Inputs!$C$42)^2)/(2*Inputs!$C$45^2))+Inputs!$C$48*(0.7*(0.45*SIN(2*PI()*(((A76)/Inputs!$C$49)+Inputs!$C$47*0.137))+0.35*COS(2*PI()*(((Inputs!$C$6)/Inputs!$C$50)+Inputs!$C$47*0.173))+0.2*SIN(2*PI()*(((A76)+(Inputs!$C$6))/(0.5*(Inputs!$C$49+Inputs!$C$50))+Inputs!$C$47*0.097)))+0.3*(2*((SIN(((A76)*12.9898+(Inputs!$C$6)*78.233+Inputs!$C$47*37.719))*43758.5453)-INT((SIN(((A76)*12.9898+(Inputs!$C$6)*78.233+Inputs!$C$47*37.719))*43758.5453)))-1)))</f>
        <v/>
      </c>
      <c r="Z76" s="9">
        <f>B76-X76/1000</f>
        <v/>
      </c>
      <c r="AA76" s="9">
        <f>SQRT((Inputs!$C$52+B76)^2+(Inputs!$C$52+Y76/1000)^2-2*(Inputs!$C$52+B76)*(Inputs!$C$52+Y76/1000)*COS(SQRT(A76^2+Inputs!$C$6^2)/Inputs!$C$52))</f>
        <v/>
      </c>
      <c r="AB76" s="9">
        <f>(AA76-Z76)*1000</f>
        <v/>
      </c>
      <c r="AC76" s="9">
        <f>AB76/Inputs!$C$12</f>
        <v/>
      </c>
      <c r="AD76" s="9">
        <f>2*AB76/Inputs!$C$21*1000000</f>
        <v/>
      </c>
      <c r="AE76" s="9">
        <f>DEGREES(ATAN(H76/(B76-Y76/1000)))</f>
        <v/>
      </c>
      <c r="AF76" s="9">
        <f>DEGREES((2*PI()/Inputs!$C$13)*Inputs!$C$15*SIN(RADIANS(AE76)))</f>
        <v/>
      </c>
      <c r="AG76" s="9">
        <f>(Z76/AA76)^4</f>
        <v/>
      </c>
      <c r="AH76" s="9">
        <f>10*LOG10(AG76)</f>
        <v/>
      </c>
      <c r="AI76" s="9">
        <f>AC76-F76</f>
        <v/>
      </c>
      <c r="AJ76" s="9">
        <f>AD76-G76</f>
        <v/>
      </c>
      <c r="AK76" s="9">
        <f>Y76-X76</f>
        <v/>
      </c>
      <c r="AL76" s="9">
        <f>1000*(AA77-AA75)/(A77-A75)*Inputs!$C$11</f>
        <v/>
      </c>
      <c r="AM76" s="9">
        <f>-2*AL76/Inputs!$C$13</f>
        <v/>
      </c>
      <c r="AN76" s="9">
        <f>-2*AL76/Inputs!$C$14</f>
        <v/>
      </c>
      <c r="AO76" s="9">
        <f>ABS(AM76)</f>
        <v/>
      </c>
      <c r="AP76" s="9">
        <f>ABS(AN76)</f>
        <v/>
      </c>
      <c r="AQ76" s="9">
        <f>IF(OR(Inputs!$C$27=TRUE,Inputs!$C$27="TRUE",Inputs!$C$27=1),Inputs!$C$46/Inputs!$C$12,0)</f>
        <v/>
      </c>
      <c r="AR76" s="9">
        <f>AC76-AQ76</f>
        <v/>
      </c>
      <c r="AS76" s="9">
        <f>AC76+AQ76</f>
        <v/>
      </c>
    </row>
    <row r="77">
      <c r="A77" s="9">
        <f>Inputs!$C$7+75*(Inputs!$C$8-Inputs!$C$7)/240</f>
        <v/>
      </c>
      <c r="B77" s="9">
        <f>Inputs!$C$5+Inputs!$C$9*(A77/Inputs!$C$10)^2</f>
        <v/>
      </c>
      <c r="C77" s="9">
        <f>B77</f>
        <v/>
      </c>
      <c r="D77" s="9">
        <f>SQRT((Inputs!$C$52+B77)^2+Inputs!$C$52^2-2*(Inputs!$C$52+B77)*Inputs!$C$52*COS(SQRT(A77^2+Inputs!$C$6^2)/Inputs!$C$52))</f>
        <v/>
      </c>
      <c r="E77" s="9">
        <f>(D77-C77)*1000</f>
        <v/>
      </c>
      <c r="F77" s="9">
        <f>E77/Inputs!$C$12</f>
        <v/>
      </c>
      <c r="G77" s="9">
        <f>2*E77/Inputs!$C$21*1000000</f>
        <v/>
      </c>
      <c r="H77" s="9">
        <f>SQRT(A77^2+Inputs!$C$6^2)</f>
        <v/>
      </c>
      <c r="I77" s="9">
        <f>DEGREES(ATAN(H77/B77))</f>
        <v/>
      </c>
      <c r="J77" s="9">
        <f>DEGREES((2*PI()/Inputs!$C$13)*Inputs!$C$15*SIN(RADIANS(I77)))</f>
        <v/>
      </c>
      <c r="K77" s="9">
        <f>(C77/D77)^4</f>
        <v/>
      </c>
      <c r="L77" s="9">
        <f>10*LOG10(K77)</f>
        <v/>
      </c>
      <c r="M77" s="9">
        <f>2*(Inputs!$C$9/(Inputs!$C$10^2))*A77</f>
        <v/>
      </c>
      <c r="N77" s="9">
        <f>M77*Inputs!$C$11</f>
        <v/>
      </c>
      <c r="O77" s="9">
        <f>1000*(D78-D76)/(A78-A76)*Inputs!$C$11</f>
        <v/>
      </c>
      <c r="P77" s="9">
        <f>-2*O77/Inputs!$C$13</f>
        <v/>
      </c>
      <c r="Q77" s="9">
        <f>-2*O77/Inputs!$C$14</f>
        <v/>
      </c>
      <c r="R77" s="9">
        <f>F77-Inputs!$C$16/2</f>
        <v/>
      </c>
      <c r="S77" s="9">
        <f>F77+Inputs!$C$16/2</f>
        <v/>
      </c>
      <c r="T77" s="9">
        <f>F77-Inputs!$C$17/2</f>
        <v/>
      </c>
      <c r="U77" s="9">
        <f>F77+Inputs!$C$17/2</f>
        <v/>
      </c>
      <c r="V77" s="9">
        <f>ABS(P77)</f>
        <v/>
      </c>
      <c r="W77" s="9">
        <f>ABS(Q77)</f>
        <v/>
      </c>
      <c r="X77" s="9">
        <f>IF(OR(Inputs!$C$27=TRUE,Inputs!$C$27="TRUE",Inputs!$C$27=1),1,0)*(Inputs!$C$51*(115*EXP(-(((0)-25)^2)/(4.5^2))+70*EXP(-(((0)+38)^2)/(7^2))*(0.55+0.45*SIN(2*PI()*(A77)/45))+24*SIN(2*PI()*(0)/9+(A77)/18)*EXP(-(((0)+5)^2)/(22^2))+18*SIN(2*PI()*(A77)/70))+Inputs!$C$28*EXP(-(((A77)-Inputs!$C$29)^2)/(2*Inputs!$C$31^2))*EXP(-(((0)-Inputs!$C$30)^2)/(2*Inputs!$C$32^2))+-Inputs!$C$33*EXP(-(((((A77)-Inputs!$C$34)^2)+(((0)-Inputs!$C$35)^2))/(2*Inputs!$C$36^2)))+Inputs!$C$37*(0.55*SIN(2*PI()*(A77)/Inputs!$C$39)+0.35*COS(2*PI()*(0)/Inputs!$C$40)+0.2*SIN(2*PI()*((A77)+(0))/(0.5*(Inputs!$C$39+Inputs!$C$40))))+Inputs!$C$38*SIN(2*PI()*(A77)/Inputs!$C$39)*SIN(2*PI()*(0)/Inputs!$C$40)+-Inputs!$C$41*EXP(-(((0)-Inputs!$C$43)^2)/(2*Inputs!$C$44^2))*EXP(-(((A77)-Inputs!$C$42)^2)/(2*Inputs!$C$45^2))+Inputs!$C$48*(0.7*(0.45*SIN(2*PI()*(((A77)/Inputs!$C$49)+Inputs!$C$47*0.137))+0.35*COS(2*PI()*(((0)/Inputs!$C$50)+Inputs!$C$47*0.173))+0.2*SIN(2*PI()*(((A77)+(0))/(0.5*(Inputs!$C$49+Inputs!$C$50))+Inputs!$C$47*0.097)))+0.3*(2*((SIN(((A77)*12.9898+(0)*78.233+Inputs!$C$47*37.719))*43758.5453)-INT((SIN(((A77)*12.9898+(0)*78.233+Inputs!$C$47*37.719))*43758.5453)))-1)))</f>
        <v/>
      </c>
      <c r="Y77" s="9">
        <f>IF(OR(Inputs!$C$27=TRUE,Inputs!$C$27="TRUE",Inputs!$C$27=1),1,0)*(Inputs!$C$51*(115*EXP(-(((Inputs!$C$6)-25)^2)/(4.5^2))+70*EXP(-(((Inputs!$C$6)+38)^2)/(7^2))*(0.55+0.45*SIN(2*PI()*(A77)/45))+24*SIN(2*PI()*(Inputs!$C$6)/9+(A77)/18)*EXP(-(((Inputs!$C$6)+5)^2)/(22^2))+18*SIN(2*PI()*(A77)/70))+Inputs!$C$28*EXP(-(((A77)-Inputs!$C$29)^2)/(2*Inputs!$C$31^2))*EXP(-(((Inputs!$C$6)-Inputs!$C$30)^2)/(2*Inputs!$C$32^2))+-Inputs!$C$33*EXP(-(((((A77)-Inputs!$C$34)^2)+(((Inputs!$C$6)-Inputs!$C$35)^2))/(2*Inputs!$C$36^2)))+Inputs!$C$37*(0.55*SIN(2*PI()*(A77)/Inputs!$C$39)+0.35*COS(2*PI()*(Inputs!$C$6)/Inputs!$C$40)+0.2*SIN(2*PI()*((A77)+(Inputs!$C$6))/(0.5*(Inputs!$C$39+Inputs!$C$40))))+Inputs!$C$38*SIN(2*PI()*(A77)/Inputs!$C$39)*SIN(2*PI()*(Inputs!$C$6)/Inputs!$C$40)+-Inputs!$C$41*EXP(-(((Inputs!$C$6)-Inputs!$C$43)^2)/(2*Inputs!$C$44^2))*EXP(-(((A77)-Inputs!$C$42)^2)/(2*Inputs!$C$45^2))+Inputs!$C$48*(0.7*(0.45*SIN(2*PI()*(((A77)/Inputs!$C$49)+Inputs!$C$47*0.137))+0.35*COS(2*PI()*(((Inputs!$C$6)/Inputs!$C$50)+Inputs!$C$47*0.173))+0.2*SIN(2*PI()*(((A77)+(Inputs!$C$6))/(0.5*(Inputs!$C$49+Inputs!$C$50))+Inputs!$C$47*0.097)))+0.3*(2*((SIN(((A77)*12.9898+(Inputs!$C$6)*78.233+Inputs!$C$47*37.719))*43758.5453)-INT((SIN(((A77)*12.9898+(Inputs!$C$6)*78.233+Inputs!$C$47*37.719))*43758.5453)))-1)))</f>
        <v/>
      </c>
      <c r="Z77" s="9">
        <f>B77-X77/1000</f>
        <v/>
      </c>
      <c r="AA77" s="9">
        <f>SQRT((Inputs!$C$52+B77)^2+(Inputs!$C$52+Y77/1000)^2-2*(Inputs!$C$52+B77)*(Inputs!$C$52+Y77/1000)*COS(SQRT(A77^2+Inputs!$C$6^2)/Inputs!$C$52))</f>
        <v/>
      </c>
      <c r="AB77" s="9">
        <f>(AA77-Z77)*1000</f>
        <v/>
      </c>
      <c r="AC77" s="9">
        <f>AB77/Inputs!$C$12</f>
        <v/>
      </c>
      <c r="AD77" s="9">
        <f>2*AB77/Inputs!$C$21*1000000</f>
        <v/>
      </c>
      <c r="AE77" s="9">
        <f>DEGREES(ATAN(H77/(B77-Y77/1000)))</f>
        <v/>
      </c>
      <c r="AF77" s="9">
        <f>DEGREES((2*PI()/Inputs!$C$13)*Inputs!$C$15*SIN(RADIANS(AE77)))</f>
        <v/>
      </c>
      <c r="AG77" s="9">
        <f>(Z77/AA77)^4</f>
        <v/>
      </c>
      <c r="AH77" s="9">
        <f>10*LOG10(AG77)</f>
        <v/>
      </c>
      <c r="AI77" s="9">
        <f>AC77-F77</f>
        <v/>
      </c>
      <c r="AJ77" s="9">
        <f>AD77-G77</f>
        <v/>
      </c>
      <c r="AK77" s="9">
        <f>Y77-X77</f>
        <v/>
      </c>
      <c r="AL77" s="9">
        <f>1000*(AA78-AA76)/(A78-A76)*Inputs!$C$11</f>
        <v/>
      </c>
      <c r="AM77" s="9">
        <f>-2*AL77/Inputs!$C$13</f>
        <v/>
      </c>
      <c r="AN77" s="9">
        <f>-2*AL77/Inputs!$C$14</f>
        <v/>
      </c>
      <c r="AO77" s="9">
        <f>ABS(AM77)</f>
        <v/>
      </c>
      <c r="AP77" s="9">
        <f>ABS(AN77)</f>
        <v/>
      </c>
      <c r="AQ77" s="9">
        <f>IF(OR(Inputs!$C$27=TRUE,Inputs!$C$27="TRUE",Inputs!$C$27=1),Inputs!$C$46/Inputs!$C$12,0)</f>
        <v/>
      </c>
      <c r="AR77" s="9">
        <f>AC77-AQ77</f>
        <v/>
      </c>
      <c r="AS77" s="9">
        <f>AC77+AQ77</f>
        <v/>
      </c>
    </row>
    <row r="78">
      <c r="A78" s="9">
        <f>Inputs!$C$7+76*(Inputs!$C$8-Inputs!$C$7)/240</f>
        <v/>
      </c>
      <c r="B78" s="9">
        <f>Inputs!$C$5+Inputs!$C$9*(A78/Inputs!$C$10)^2</f>
        <v/>
      </c>
      <c r="C78" s="9">
        <f>B78</f>
        <v/>
      </c>
      <c r="D78" s="9">
        <f>SQRT((Inputs!$C$52+B78)^2+Inputs!$C$52^2-2*(Inputs!$C$52+B78)*Inputs!$C$52*COS(SQRT(A78^2+Inputs!$C$6^2)/Inputs!$C$52))</f>
        <v/>
      </c>
      <c r="E78" s="9">
        <f>(D78-C78)*1000</f>
        <v/>
      </c>
      <c r="F78" s="9">
        <f>E78/Inputs!$C$12</f>
        <v/>
      </c>
      <c r="G78" s="9">
        <f>2*E78/Inputs!$C$21*1000000</f>
        <v/>
      </c>
      <c r="H78" s="9">
        <f>SQRT(A78^2+Inputs!$C$6^2)</f>
        <v/>
      </c>
      <c r="I78" s="9">
        <f>DEGREES(ATAN(H78/B78))</f>
        <v/>
      </c>
      <c r="J78" s="9">
        <f>DEGREES((2*PI()/Inputs!$C$13)*Inputs!$C$15*SIN(RADIANS(I78)))</f>
        <v/>
      </c>
      <c r="K78" s="9">
        <f>(C78/D78)^4</f>
        <v/>
      </c>
      <c r="L78" s="9">
        <f>10*LOG10(K78)</f>
        <v/>
      </c>
      <c r="M78" s="9">
        <f>2*(Inputs!$C$9/(Inputs!$C$10^2))*A78</f>
        <v/>
      </c>
      <c r="N78" s="9">
        <f>M78*Inputs!$C$11</f>
        <v/>
      </c>
      <c r="O78" s="9">
        <f>1000*(D79-D77)/(A79-A77)*Inputs!$C$11</f>
        <v/>
      </c>
      <c r="P78" s="9">
        <f>-2*O78/Inputs!$C$13</f>
        <v/>
      </c>
      <c r="Q78" s="9">
        <f>-2*O78/Inputs!$C$14</f>
        <v/>
      </c>
      <c r="R78" s="9">
        <f>F78-Inputs!$C$16/2</f>
        <v/>
      </c>
      <c r="S78" s="9">
        <f>F78+Inputs!$C$16/2</f>
        <v/>
      </c>
      <c r="T78" s="9">
        <f>F78-Inputs!$C$17/2</f>
        <v/>
      </c>
      <c r="U78" s="9">
        <f>F78+Inputs!$C$17/2</f>
        <v/>
      </c>
      <c r="V78" s="9">
        <f>ABS(P78)</f>
        <v/>
      </c>
      <c r="W78" s="9">
        <f>ABS(Q78)</f>
        <v/>
      </c>
      <c r="X78" s="9">
        <f>IF(OR(Inputs!$C$27=TRUE,Inputs!$C$27="TRUE",Inputs!$C$27=1),1,0)*(Inputs!$C$51*(115*EXP(-(((0)-25)^2)/(4.5^2))+70*EXP(-(((0)+38)^2)/(7^2))*(0.55+0.45*SIN(2*PI()*(A78)/45))+24*SIN(2*PI()*(0)/9+(A78)/18)*EXP(-(((0)+5)^2)/(22^2))+18*SIN(2*PI()*(A78)/70))+Inputs!$C$28*EXP(-(((A78)-Inputs!$C$29)^2)/(2*Inputs!$C$31^2))*EXP(-(((0)-Inputs!$C$30)^2)/(2*Inputs!$C$32^2))+-Inputs!$C$33*EXP(-(((((A78)-Inputs!$C$34)^2)+(((0)-Inputs!$C$35)^2))/(2*Inputs!$C$36^2)))+Inputs!$C$37*(0.55*SIN(2*PI()*(A78)/Inputs!$C$39)+0.35*COS(2*PI()*(0)/Inputs!$C$40)+0.2*SIN(2*PI()*((A78)+(0))/(0.5*(Inputs!$C$39+Inputs!$C$40))))+Inputs!$C$38*SIN(2*PI()*(A78)/Inputs!$C$39)*SIN(2*PI()*(0)/Inputs!$C$40)+-Inputs!$C$41*EXP(-(((0)-Inputs!$C$43)^2)/(2*Inputs!$C$44^2))*EXP(-(((A78)-Inputs!$C$42)^2)/(2*Inputs!$C$45^2))+Inputs!$C$48*(0.7*(0.45*SIN(2*PI()*(((A78)/Inputs!$C$49)+Inputs!$C$47*0.137))+0.35*COS(2*PI()*(((0)/Inputs!$C$50)+Inputs!$C$47*0.173))+0.2*SIN(2*PI()*(((A78)+(0))/(0.5*(Inputs!$C$49+Inputs!$C$50))+Inputs!$C$47*0.097)))+0.3*(2*((SIN(((A78)*12.9898+(0)*78.233+Inputs!$C$47*37.719))*43758.5453)-INT((SIN(((A78)*12.9898+(0)*78.233+Inputs!$C$47*37.719))*43758.5453)))-1)))</f>
        <v/>
      </c>
      <c r="Y78" s="9">
        <f>IF(OR(Inputs!$C$27=TRUE,Inputs!$C$27="TRUE",Inputs!$C$27=1),1,0)*(Inputs!$C$51*(115*EXP(-(((Inputs!$C$6)-25)^2)/(4.5^2))+70*EXP(-(((Inputs!$C$6)+38)^2)/(7^2))*(0.55+0.45*SIN(2*PI()*(A78)/45))+24*SIN(2*PI()*(Inputs!$C$6)/9+(A78)/18)*EXP(-(((Inputs!$C$6)+5)^2)/(22^2))+18*SIN(2*PI()*(A78)/70))+Inputs!$C$28*EXP(-(((A78)-Inputs!$C$29)^2)/(2*Inputs!$C$31^2))*EXP(-(((Inputs!$C$6)-Inputs!$C$30)^2)/(2*Inputs!$C$32^2))+-Inputs!$C$33*EXP(-(((((A78)-Inputs!$C$34)^2)+(((Inputs!$C$6)-Inputs!$C$35)^2))/(2*Inputs!$C$36^2)))+Inputs!$C$37*(0.55*SIN(2*PI()*(A78)/Inputs!$C$39)+0.35*COS(2*PI()*(Inputs!$C$6)/Inputs!$C$40)+0.2*SIN(2*PI()*((A78)+(Inputs!$C$6))/(0.5*(Inputs!$C$39+Inputs!$C$40))))+Inputs!$C$38*SIN(2*PI()*(A78)/Inputs!$C$39)*SIN(2*PI()*(Inputs!$C$6)/Inputs!$C$40)+-Inputs!$C$41*EXP(-(((Inputs!$C$6)-Inputs!$C$43)^2)/(2*Inputs!$C$44^2))*EXP(-(((A78)-Inputs!$C$42)^2)/(2*Inputs!$C$45^2))+Inputs!$C$48*(0.7*(0.45*SIN(2*PI()*(((A78)/Inputs!$C$49)+Inputs!$C$47*0.137))+0.35*COS(2*PI()*(((Inputs!$C$6)/Inputs!$C$50)+Inputs!$C$47*0.173))+0.2*SIN(2*PI()*(((A78)+(Inputs!$C$6))/(0.5*(Inputs!$C$49+Inputs!$C$50))+Inputs!$C$47*0.097)))+0.3*(2*((SIN(((A78)*12.9898+(Inputs!$C$6)*78.233+Inputs!$C$47*37.719))*43758.5453)-INT((SIN(((A78)*12.9898+(Inputs!$C$6)*78.233+Inputs!$C$47*37.719))*43758.5453)))-1)))</f>
        <v/>
      </c>
      <c r="Z78" s="9">
        <f>B78-X78/1000</f>
        <v/>
      </c>
      <c r="AA78" s="9">
        <f>SQRT((Inputs!$C$52+B78)^2+(Inputs!$C$52+Y78/1000)^2-2*(Inputs!$C$52+B78)*(Inputs!$C$52+Y78/1000)*COS(SQRT(A78^2+Inputs!$C$6^2)/Inputs!$C$52))</f>
        <v/>
      </c>
      <c r="AB78" s="9">
        <f>(AA78-Z78)*1000</f>
        <v/>
      </c>
      <c r="AC78" s="9">
        <f>AB78/Inputs!$C$12</f>
        <v/>
      </c>
      <c r="AD78" s="9">
        <f>2*AB78/Inputs!$C$21*1000000</f>
        <v/>
      </c>
      <c r="AE78" s="9">
        <f>DEGREES(ATAN(H78/(B78-Y78/1000)))</f>
        <v/>
      </c>
      <c r="AF78" s="9">
        <f>DEGREES((2*PI()/Inputs!$C$13)*Inputs!$C$15*SIN(RADIANS(AE78)))</f>
        <v/>
      </c>
      <c r="AG78" s="9">
        <f>(Z78/AA78)^4</f>
        <v/>
      </c>
      <c r="AH78" s="9">
        <f>10*LOG10(AG78)</f>
        <v/>
      </c>
      <c r="AI78" s="9">
        <f>AC78-F78</f>
        <v/>
      </c>
      <c r="AJ78" s="9">
        <f>AD78-G78</f>
        <v/>
      </c>
      <c r="AK78" s="9">
        <f>Y78-X78</f>
        <v/>
      </c>
      <c r="AL78" s="9">
        <f>1000*(AA79-AA77)/(A79-A77)*Inputs!$C$11</f>
        <v/>
      </c>
      <c r="AM78" s="9">
        <f>-2*AL78/Inputs!$C$13</f>
        <v/>
      </c>
      <c r="AN78" s="9">
        <f>-2*AL78/Inputs!$C$14</f>
        <v/>
      </c>
      <c r="AO78" s="9">
        <f>ABS(AM78)</f>
        <v/>
      </c>
      <c r="AP78" s="9">
        <f>ABS(AN78)</f>
        <v/>
      </c>
      <c r="AQ78" s="9">
        <f>IF(OR(Inputs!$C$27=TRUE,Inputs!$C$27="TRUE",Inputs!$C$27=1),Inputs!$C$46/Inputs!$C$12,0)</f>
        <v/>
      </c>
      <c r="AR78" s="9">
        <f>AC78-AQ78</f>
        <v/>
      </c>
      <c r="AS78" s="9">
        <f>AC78+AQ78</f>
        <v/>
      </c>
    </row>
    <row r="79">
      <c r="A79" s="9">
        <f>Inputs!$C$7+77*(Inputs!$C$8-Inputs!$C$7)/240</f>
        <v/>
      </c>
      <c r="B79" s="9">
        <f>Inputs!$C$5+Inputs!$C$9*(A79/Inputs!$C$10)^2</f>
        <v/>
      </c>
      <c r="C79" s="9">
        <f>B79</f>
        <v/>
      </c>
      <c r="D79" s="9">
        <f>SQRT((Inputs!$C$52+B79)^2+Inputs!$C$52^2-2*(Inputs!$C$52+B79)*Inputs!$C$52*COS(SQRT(A79^2+Inputs!$C$6^2)/Inputs!$C$52))</f>
        <v/>
      </c>
      <c r="E79" s="9">
        <f>(D79-C79)*1000</f>
        <v/>
      </c>
      <c r="F79" s="9">
        <f>E79/Inputs!$C$12</f>
        <v/>
      </c>
      <c r="G79" s="9">
        <f>2*E79/Inputs!$C$21*1000000</f>
        <v/>
      </c>
      <c r="H79" s="9">
        <f>SQRT(A79^2+Inputs!$C$6^2)</f>
        <v/>
      </c>
      <c r="I79" s="9">
        <f>DEGREES(ATAN(H79/B79))</f>
        <v/>
      </c>
      <c r="J79" s="9">
        <f>DEGREES((2*PI()/Inputs!$C$13)*Inputs!$C$15*SIN(RADIANS(I79)))</f>
        <v/>
      </c>
      <c r="K79" s="9">
        <f>(C79/D79)^4</f>
        <v/>
      </c>
      <c r="L79" s="9">
        <f>10*LOG10(K79)</f>
        <v/>
      </c>
      <c r="M79" s="9">
        <f>2*(Inputs!$C$9/(Inputs!$C$10^2))*A79</f>
        <v/>
      </c>
      <c r="N79" s="9">
        <f>M79*Inputs!$C$11</f>
        <v/>
      </c>
      <c r="O79" s="9">
        <f>1000*(D80-D78)/(A80-A78)*Inputs!$C$11</f>
        <v/>
      </c>
      <c r="P79" s="9">
        <f>-2*O79/Inputs!$C$13</f>
        <v/>
      </c>
      <c r="Q79" s="9">
        <f>-2*O79/Inputs!$C$14</f>
        <v/>
      </c>
      <c r="R79" s="9">
        <f>F79-Inputs!$C$16/2</f>
        <v/>
      </c>
      <c r="S79" s="9">
        <f>F79+Inputs!$C$16/2</f>
        <v/>
      </c>
      <c r="T79" s="9">
        <f>F79-Inputs!$C$17/2</f>
        <v/>
      </c>
      <c r="U79" s="9">
        <f>F79+Inputs!$C$17/2</f>
        <v/>
      </c>
      <c r="V79" s="9">
        <f>ABS(P79)</f>
        <v/>
      </c>
      <c r="W79" s="9">
        <f>ABS(Q79)</f>
        <v/>
      </c>
      <c r="X79" s="9">
        <f>IF(OR(Inputs!$C$27=TRUE,Inputs!$C$27="TRUE",Inputs!$C$27=1),1,0)*(Inputs!$C$51*(115*EXP(-(((0)-25)^2)/(4.5^2))+70*EXP(-(((0)+38)^2)/(7^2))*(0.55+0.45*SIN(2*PI()*(A79)/45))+24*SIN(2*PI()*(0)/9+(A79)/18)*EXP(-(((0)+5)^2)/(22^2))+18*SIN(2*PI()*(A79)/70))+Inputs!$C$28*EXP(-(((A79)-Inputs!$C$29)^2)/(2*Inputs!$C$31^2))*EXP(-(((0)-Inputs!$C$30)^2)/(2*Inputs!$C$32^2))+-Inputs!$C$33*EXP(-(((((A79)-Inputs!$C$34)^2)+(((0)-Inputs!$C$35)^2))/(2*Inputs!$C$36^2)))+Inputs!$C$37*(0.55*SIN(2*PI()*(A79)/Inputs!$C$39)+0.35*COS(2*PI()*(0)/Inputs!$C$40)+0.2*SIN(2*PI()*((A79)+(0))/(0.5*(Inputs!$C$39+Inputs!$C$40))))+Inputs!$C$38*SIN(2*PI()*(A79)/Inputs!$C$39)*SIN(2*PI()*(0)/Inputs!$C$40)+-Inputs!$C$41*EXP(-(((0)-Inputs!$C$43)^2)/(2*Inputs!$C$44^2))*EXP(-(((A79)-Inputs!$C$42)^2)/(2*Inputs!$C$45^2))+Inputs!$C$48*(0.7*(0.45*SIN(2*PI()*(((A79)/Inputs!$C$49)+Inputs!$C$47*0.137))+0.35*COS(2*PI()*(((0)/Inputs!$C$50)+Inputs!$C$47*0.173))+0.2*SIN(2*PI()*(((A79)+(0))/(0.5*(Inputs!$C$49+Inputs!$C$50))+Inputs!$C$47*0.097)))+0.3*(2*((SIN(((A79)*12.9898+(0)*78.233+Inputs!$C$47*37.719))*43758.5453)-INT((SIN(((A79)*12.9898+(0)*78.233+Inputs!$C$47*37.719))*43758.5453)))-1)))</f>
        <v/>
      </c>
      <c r="Y79" s="9">
        <f>IF(OR(Inputs!$C$27=TRUE,Inputs!$C$27="TRUE",Inputs!$C$27=1),1,0)*(Inputs!$C$51*(115*EXP(-(((Inputs!$C$6)-25)^2)/(4.5^2))+70*EXP(-(((Inputs!$C$6)+38)^2)/(7^2))*(0.55+0.45*SIN(2*PI()*(A79)/45))+24*SIN(2*PI()*(Inputs!$C$6)/9+(A79)/18)*EXP(-(((Inputs!$C$6)+5)^2)/(22^2))+18*SIN(2*PI()*(A79)/70))+Inputs!$C$28*EXP(-(((A79)-Inputs!$C$29)^2)/(2*Inputs!$C$31^2))*EXP(-(((Inputs!$C$6)-Inputs!$C$30)^2)/(2*Inputs!$C$32^2))+-Inputs!$C$33*EXP(-(((((A79)-Inputs!$C$34)^2)+(((Inputs!$C$6)-Inputs!$C$35)^2))/(2*Inputs!$C$36^2)))+Inputs!$C$37*(0.55*SIN(2*PI()*(A79)/Inputs!$C$39)+0.35*COS(2*PI()*(Inputs!$C$6)/Inputs!$C$40)+0.2*SIN(2*PI()*((A79)+(Inputs!$C$6))/(0.5*(Inputs!$C$39+Inputs!$C$40))))+Inputs!$C$38*SIN(2*PI()*(A79)/Inputs!$C$39)*SIN(2*PI()*(Inputs!$C$6)/Inputs!$C$40)+-Inputs!$C$41*EXP(-(((Inputs!$C$6)-Inputs!$C$43)^2)/(2*Inputs!$C$44^2))*EXP(-(((A79)-Inputs!$C$42)^2)/(2*Inputs!$C$45^2))+Inputs!$C$48*(0.7*(0.45*SIN(2*PI()*(((A79)/Inputs!$C$49)+Inputs!$C$47*0.137))+0.35*COS(2*PI()*(((Inputs!$C$6)/Inputs!$C$50)+Inputs!$C$47*0.173))+0.2*SIN(2*PI()*(((A79)+(Inputs!$C$6))/(0.5*(Inputs!$C$49+Inputs!$C$50))+Inputs!$C$47*0.097)))+0.3*(2*((SIN(((A79)*12.9898+(Inputs!$C$6)*78.233+Inputs!$C$47*37.719))*43758.5453)-INT((SIN(((A79)*12.9898+(Inputs!$C$6)*78.233+Inputs!$C$47*37.719))*43758.5453)))-1)))</f>
        <v/>
      </c>
      <c r="Z79" s="9">
        <f>B79-X79/1000</f>
        <v/>
      </c>
      <c r="AA79" s="9">
        <f>SQRT((Inputs!$C$52+B79)^2+(Inputs!$C$52+Y79/1000)^2-2*(Inputs!$C$52+B79)*(Inputs!$C$52+Y79/1000)*COS(SQRT(A79^2+Inputs!$C$6^2)/Inputs!$C$52))</f>
        <v/>
      </c>
      <c r="AB79" s="9">
        <f>(AA79-Z79)*1000</f>
        <v/>
      </c>
      <c r="AC79" s="9">
        <f>AB79/Inputs!$C$12</f>
        <v/>
      </c>
      <c r="AD79" s="9">
        <f>2*AB79/Inputs!$C$21*1000000</f>
        <v/>
      </c>
      <c r="AE79" s="9">
        <f>DEGREES(ATAN(H79/(B79-Y79/1000)))</f>
        <v/>
      </c>
      <c r="AF79" s="9">
        <f>DEGREES((2*PI()/Inputs!$C$13)*Inputs!$C$15*SIN(RADIANS(AE79)))</f>
        <v/>
      </c>
      <c r="AG79" s="9">
        <f>(Z79/AA79)^4</f>
        <v/>
      </c>
      <c r="AH79" s="9">
        <f>10*LOG10(AG79)</f>
        <v/>
      </c>
      <c r="AI79" s="9">
        <f>AC79-F79</f>
        <v/>
      </c>
      <c r="AJ79" s="9">
        <f>AD79-G79</f>
        <v/>
      </c>
      <c r="AK79" s="9">
        <f>Y79-X79</f>
        <v/>
      </c>
      <c r="AL79" s="9">
        <f>1000*(AA80-AA78)/(A80-A78)*Inputs!$C$11</f>
        <v/>
      </c>
      <c r="AM79" s="9">
        <f>-2*AL79/Inputs!$C$13</f>
        <v/>
      </c>
      <c r="AN79" s="9">
        <f>-2*AL79/Inputs!$C$14</f>
        <v/>
      </c>
      <c r="AO79" s="9">
        <f>ABS(AM79)</f>
        <v/>
      </c>
      <c r="AP79" s="9">
        <f>ABS(AN79)</f>
        <v/>
      </c>
      <c r="AQ79" s="9">
        <f>IF(OR(Inputs!$C$27=TRUE,Inputs!$C$27="TRUE",Inputs!$C$27=1),Inputs!$C$46/Inputs!$C$12,0)</f>
        <v/>
      </c>
      <c r="AR79" s="9">
        <f>AC79-AQ79</f>
        <v/>
      </c>
      <c r="AS79" s="9">
        <f>AC79+AQ79</f>
        <v/>
      </c>
    </row>
    <row r="80">
      <c r="A80" s="9">
        <f>Inputs!$C$7+78*(Inputs!$C$8-Inputs!$C$7)/240</f>
        <v/>
      </c>
      <c r="B80" s="9">
        <f>Inputs!$C$5+Inputs!$C$9*(A80/Inputs!$C$10)^2</f>
        <v/>
      </c>
      <c r="C80" s="9">
        <f>B80</f>
        <v/>
      </c>
      <c r="D80" s="9">
        <f>SQRT((Inputs!$C$52+B80)^2+Inputs!$C$52^2-2*(Inputs!$C$52+B80)*Inputs!$C$52*COS(SQRT(A80^2+Inputs!$C$6^2)/Inputs!$C$52))</f>
        <v/>
      </c>
      <c r="E80" s="9">
        <f>(D80-C80)*1000</f>
        <v/>
      </c>
      <c r="F80" s="9">
        <f>E80/Inputs!$C$12</f>
        <v/>
      </c>
      <c r="G80" s="9">
        <f>2*E80/Inputs!$C$21*1000000</f>
        <v/>
      </c>
      <c r="H80" s="9">
        <f>SQRT(A80^2+Inputs!$C$6^2)</f>
        <v/>
      </c>
      <c r="I80" s="9">
        <f>DEGREES(ATAN(H80/B80))</f>
        <v/>
      </c>
      <c r="J80" s="9">
        <f>DEGREES((2*PI()/Inputs!$C$13)*Inputs!$C$15*SIN(RADIANS(I80)))</f>
        <v/>
      </c>
      <c r="K80" s="9">
        <f>(C80/D80)^4</f>
        <v/>
      </c>
      <c r="L80" s="9">
        <f>10*LOG10(K80)</f>
        <v/>
      </c>
      <c r="M80" s="9">
        <f>2*(Inputs!$C$9/(Inputs!$C$10^2))*A80</f>
        <v/>
      </c>
      <c r="N80" s="9">
        <f>M80*Inputs!$C$11</f>
        <v/>
      </c>
      <c r="O80" s="9">
        <f>1000*(D81-D79)/(A81-A79)*Inputs!$C$11</f>
        <v/>
      </c>
      <c r="P80" s="9">
        <f>-2*O80/Inputs!$C$13</f>
        <v/>
      </c>
      <c r="Q80" s="9">
        <f>-2*O80/Inputs!$C$14</f>
        <v/>
      </c>
      <c r="R80" s="9">
        <f>F80-Inputs!$C$16/2</f>
        <v/>
      </c>
      <c r="S80" s="9">
        <f>F80+Inputs!$C$16/2</f>
        <v/>
      </c>
      <c r="T80" s="9">
        <f>F80-Inputs!$C$17/2</f>
        <v/>
      </c>
      <c r="U80" s="9">
        <f>F80+Inputs!$C$17/2</f>
        <v/>
      </c>
      <c r="V80" s="9">
        <f>ABS(P80)</f>
        <v/>
      </c>
      <c r="W80" s="9">
        <f>ABS(Q80)</f>
        <v/>
      </c>
      <c r="X80" s="9">
        <f>IF(OR(Inputs!$C$27=TRUE,Inputs!$C$27="TRUE",Inputs!$C$27=1),1,0)*(Inputs!$C$51*(115*EXP(-(((0)-25)^2)/(4.5^2))+70*EXP(-(((0)+38)^2)/(7^2))*(0.55+0.45*SIN(2*PI()*(A80)/45))+24*SIN(2*PI()*(0)/9+(A80)/18)*EXP(-(((0)+5)^2)/(22^2))+18*SIN(2*PI()*(A80)/70))+Inputs!$C$28*EXP(-(((A80)-Inputs!$C$29)^2)/(2*Inputs!$C$31^2))*EXP(-(((0)-Inputs!$C$30)^2)/(2*Inputs!$C$32^2))+-Inputs!$C$33*EXP(-(((((A80)-Inputs!$C$34)^2)+(((0)-Inputs!$C$35)^2))/(2*Inputs!$C$36^2)))+Inputs!$C$37*(0.55*SIN(2*PI()*(A80)/Inputs!$C$39)+0.35*COS(2*PI()*(0)/Inputs!$C$40)+0.2*SIN(2*PI()*((A80)+(0))/(0.5*(Inputs!$C$39+Inputs!$C$40))))+Inputs!$C$38*SIN(2*PI()*(A80)/Inputs!$C$39)*SIN(2*PI()*(0)/Inputs!$C$40)+-Inputs!$C$41*EXP(-(((0)-Inputs!$C$43)^2)/(2*Inputs!$C$44^2))*EXP(-(((A80)-Inputs!$C$42)^2)/(2*Inputs!$C$45^2))+Inputs!$C$48*(0.7*(0.45*SIN(2*PI()*(((A80)/Inputs!$C$49)+Inputs!$C$47*0.137))+0.35*COS(2*PI()*(((0)/Inputs!$C$50)+Inputs!$C$47*0.173))+0.2*SIN(2*PI()*(((A80)+(0))/(0.5*(Inputs!$C$49+Inputs!$C$50))+Inputs!$C$47*0.097)))+0.3*(2*((SIN(((A80)*12.9898+(0)*78.233+Inputs!$C$47*37.719))*43758.5453)-INT((SIN(((A80)*12.9898+(0)*78.233+Inputs!$C$47*37.719))*43758.5453)))-1)))</f>
        <v/>
      </c>
      <c r="Y80" s="9">
        <f>IF(OR(Inputs!$C$27=TRUE,Inputs!$C$27="TRUE",Inputs!$C$27=1),1,0)*(Inputs!$C$51*(115*EXP(-(((Inputs!$C$6)-25)^2)/(4.5^2))+70*EXP(-(((Inputs!$C$6)+38)^2)/(7^2))*(0.55+0.45*SIN(2*PI()*(A80)/45))+24*SIN(2*PI()*(Inputs!$C$6)/9+(A80)/18)*EXP(-(((Inputs!$C$6)+5)^2)/(22^2))+18*SIN(2*PI()*(A80)/70))+Inputs!$C$28*EXP(-(((A80)-Inputs!$C$29)^2)/(2*Inputs!$C$31^2))*EXP(-(((Inputs!$C$6)-Inputs!$C$30)^2)/(2*Inputs!$C$32^2))+-Inputs!$C$33*EXP(-(((((A80)-Inputs!$C$34)^2)+(((Inputs!$C$6)-Inputs!$C$35)^2))/(2*Inputs!$C$36^2)))+Inputs!$C$37*(0.55*SIN(2*PI()*(A80)/Inputs!$C$39)+0.35*COS(2*PI()*(Inputs!$C$6)/Inputs!$C$40)+0.2*SIN(2*PI()*((A80)+(Inputs!$C$6))/(0.5*(Inputs!$C$39+Inputs!$C$40))))+Inputs!$C$38*SIN(2*PI()*(A80)/Inputs!$C$39)*SIN(2*PI()*(Inputs!$C$6)/Inputs!$C$40)+-Inputs!$C$41*EXP(-(((Inputs!$C$6)-Inputs!$C$43)^2)/(2*Inputs!$C$44^2))*EXP(-(((A80)-Inputs!$C$42)^2)/(2*Inputs!$C$45^2))+Inputs!$C$48*(0.7*(0.45*SIN(2*PI()*(((A80)/Inputs!$C$49)+Inputs!$C$47*0.137))+0.35*COS(2*PI()*(((Inputs!$C$6)/Inputs!$C$50)+Inputs!$C$47*0.173))+0.2*SIN(2*PI()*(((A80)+(Inputs!$C$6))/(0.5*(Inputs!$C$49+Inputs!$C$50))+Inputs!$C$47*0.097)))+0.3*(2*((SIN(((A80)*12.9898+(Inputs!$C$6)*78.233+Inputs!$C$47*37.719))*43758.5453)-INT((SIN(((A80)*12.9898+(Inputs!$C$6)*78.233+Inputs!$C$47*37.719))*43758.5453)))-1)))</f>
        <v/>
      </c>
      <c r="Z80" s="9">
        <f>B80-X80/1000</f>
        <v/>
      </c>
      <c r="AA80" s="9">
        <f>SQRT((Inputs!$C$52+B80)^2+(Inputs!$C$52+Y80/1000)^2-2*(Inputs!$C$52+B80)*(Inputs!$C$52+Y80/1000)*COS(SQRT(A80^2+Inputs!$C$6^2)/Inputs!$C$52))</f>
        <v/>
      </c>
      <c r="AB80" s="9">
        <f>(AA80-Z80)*1000</f>
        <v/>
      </c>
      <c r="AC80" s="9">
        <f>AB80/Inputs!$C$12</f>
        <v/>
      </c>
      <c r="AD80" s="9">
        <f>2*AB80/Inputs!$C$21*1000000</f>
        <v/>
      </c>
      <c r="AE80" s="9">
        <f>DEGREES(ATAN(H80/(B80-Y80/1000)))</f>
        <v/>
      </c>
      <c r="AF80" s="9">
        <f>DEGREES((2*PI()/Inputs!$C$13)*Inputs!$C$15*SIN(RADIANS(AE80)))</f>
        <v/>
      </c>
      <c r="AG80" s="9">
        <f>(Z80/AA80)^4</f>
        <v/>
      </c>
      <c r="AH80" s="9">
        <f>10*LOG10(AG80)</f>
        <v/>
      </c>
      <c r="AI80" s="9">
        <f>AC80-F80</f>
        <v/>
      </c>
      <c r="AJ80" s="9">
        <f>AD80-G80</f>
        <v/>
      </c>
      <c r="AK80" s="9">
        <f>Y80-X80</f>
        <v/>
      </c>
      <c r="AL80" s="9">
        <f>1000*(AA81-AA79)/(A81-A79)*Inputs!$C$11</f>
        <v/>
      </c>
      <c r="AM80" s="9">
        <f>-2*AL80/Inputs!$C$13</f>
        <v/>
      </c>
      <c r="AN80" s="9">
        <f>-2*AL80/Inputs!$C$14</f>
        <v/>
      </c>
      <c r="AO80" s="9">
        <f>ABS(AM80)</f>
        <v/>
      </c>
      <c r="AP80" s="9">
        <f>ABS(AN80)</f>
        <v/>
      </c>
      <c r="AQ80" s="9">
        <f>IF(OR(Inputs!$C$27=TRUE,Inputs!$C$27="TRUE",Inputs!$C$27=1),Inputs!$C$46/Inputs!$C$12,0)</f>
        <v/>
      </c>
      <c r="AR80" s="9">
        <f>AC80-AQ80</f>
        <v/>
      </c>
      <c r="AS80" s="9">
        <f>AC80+AQ80</f>
        <v/>
      </c>
    </row>
    <row r="81">
      <c r="A81" s="9">
        <f>Inputs!$C$7+79*(Inputs!$C$8-Inputs!$C$7)/240</f>
        <v/>
      </c>
      <c r="B81" s="9">
        <f>Inputs!$C$5+Inputs!$C$9*(A81/Inputs!$C$10)^2</f>
        <v/>
      </c>
      <c r="C81" s="9">
        <f>B81</f>
        <v/>
      </c>
      <c r="D81" s="9">
        <f>SQRT((Inputs!$C$52+B81)^2+Inputs!$C$52^2-2*(Inputs!$C$52+B81)*Inputs!$C$52*COS(SQRT(A81^2+Inputs!$C$6^2)/Inputs!$C$52))</f>
        <v/>
      </c>
      <c r="E81" s="9">
        <f>(D81-C81)*1000</f>
        <v/>
      </c>
      <c r="F81" s="9">
        <f>E81/Inputs!$C$12</f>
        <v/>
      </c>
      <c r="G81" s="9">
        <f>2*E81/Inputs!$C$21*1000000</f>
        <v/>
      </c>
      <c r="H81" s="9">
        <f>SQRT(A81^2+Inputs!$C$6^2)</f>
        <v/>
      </c>
      <c r="I81" s="9">
        <f>DEGREES(ATAN(H81/B81))</f>
        <v/>
      </c>
      <c r="J81" s="9">
        <f>DEGREES((2*PI()/Inputs!$C$13)*Inputs!$C$15*SIN(RADIANS(I81)))</f>
        <v/>
      </c>
      <c r="K81" s="9">
        <f>(C81/D81)^4</f>
        <v/>
      </c>
      <c r="L81" s="9">
        <f>10*LOG10(K81)</f>
        <v/>
      </c>
      <c r="M81" s="9">
        <f>2*(Inputs!$C$9/(Inputs!$C$10^2))*A81</f>
        <v/>
      </c>
      <c r="N81" s="9">
        <f>M81*Inputs!$C$11</f>
        <v/>
      </c>
      <c r="O81" s="9">
        <f>1000*(D82-D80)/(A82-A80)*Inputs!$C$11</f>
        <v/>
      </c>
      <c r="P81" s="9">
        <f>-2*O81/Inputs!$C$13</f>
        <v/>
      </c>
      <c r="Q81" s="9">
        <f>-2*O81/Inputs!$C$14</f>
        <v/>
      </c>
      <c r="R81" s="9">
        <f>F81-Inputs!$C$16/2</f>
        <v/>
      </c>
      <c r="S81" s="9">
        <f>F81+Inputs!$C$16/2</f>
        <v/>
      </c>
      <c r="T81" s="9">
        <f>F81-Inputs!$C$17/2</f>
        <v/>
      </c>
      <c r="U81" s="9">
        <f>F81+Inputs!$C$17/2</f>
        <v/>
      </c>
      <c r="V81" s="9">
        <f>ABS(P81)</f>
        <v/>
      </c>
      <c r="W81" s="9">
        <f>ABS(Q81)</f>
        <v/>
      </c>
      <c r="X81" s="9">
        <f>IF(OR(Inputs!$C$27=TRUE,Inputs!$C$27="TRUE",Inputs!$C$27=1),1,0)*(Inputs!$C$51*(115*EXP(-(((0)-25)^2)/(4.5^2))+70*EXP(-(((0)+38)^2)/(7^2))*(0.55+0.45*SIN(2*PI()*(A81)/45))+24*SIN(2*PI()*(0)/9+(A81)/18)*EXP(-(((0)+5)^2)/(22^2))+18*SIN(2*PI()*(A81)/70))+Inputs!$C$28*EXP(-(((A81)-Inputs!$C$29)^2)/(2*Inputs!$C$31^2))*EXP(-(((0)-Inputs!$C$30)^2)/(2*Inputs!$C$32^2))+-Inputs!$C$33*EXP(-(((((A81)-Inputs!$C$34)^2)+(((0)-Inputs!$C$35)^2))/(2*Inputs!$C$36^2)))+Inputs!$C$37*(0.55*SIN(2*PI()*(A81)/Inputs!$C$39)+0.35*COS(2*PI()*(0)/Inputs!$C$40)+0.2*SIN(2*PI()*((A81)+(0))/(0.5*(Inputs!$C$39+Inputs!$C$40))))+Inputs!$C$38*SIN(2*PI()*(A81)/Inputs!$C$39)*SIN(2*PI()*(0)/Inputs!$C$40)+-Inputs!$C$41*EXP(-(((0)-Inputs!$C$43)^2)/(2*Inputs!$C$44^2))*EXP(-(((A81)-Inputs!$C$42)^2)/(2*Inputs!$C$45^2))+Inputs!$C$48*(0.7*(0.45*SIN(2*PI()*(((A81)/Inputs!$C$49)+Inputs!$C$47*0.137))+0.35*COS(2*PI()*(((0)/Inputs!$C$50)+Inputs!$C$47*0.173))+0.2*SIN(2*PI()*(((A81)+(0))/(0.5*(Inputs!$C$49+Inputs!$C$50))+Inputs!$C$47*0.097)))+0.3*(2*((SIN(((A81)*12.9898+(0)*78.233+Inputs!$C$47*37.719))*43758.5453)-INT((SIN(((A81)*12.9898+(0)*78.233+Inputs!$C$47*37.719))*43758.5453)))-1)))</f>
        <v/>
      </c>
      <c r="Y81" s="9">
        <f>IF(OR(Inputs!$C$27=TRUE,Inputs!$C$27="TRUE",Inputs!$C$27=1),1,0)*(Inputs!$C$51*(115*EXP(-(((Inputs!$C$6)-25)^2)/(4.5^2))+70*EXP(-(((Inputs!$C$6)+38)^2)/(7^2))*(0.55+0.45*SIN(2*PI()*(A81)/45))+24*SIN(2*PI()*(Inputs!$C$6)/9+(A81)/18)*EXP(-(((Inputs!$C$6)+5)^2)/(22^2))+18*SIN(2*PI()*(A81)/70))+Inputs!$C$28*EXP(-(((A81)-Inputs!$C$29)^2)/(2*Inputs!$C$31^2))*EXP(-(((Inputs!$C$6)-Inputs!$C$30)^2)/(2*Inputs!$C$32^2))+-Inputs!$C$33*EXP(-(((((A81)-Inputs!$C$34)^2)+(((Inputs!$C$6)-Inputs!$C$35)^2))/(2*Inputs!$C$36^2)))+Inputs!$C$37*(0.55*SIN(2*PI()*(A81)/Inputs!$C$39)+0.35*COS(2*PI()*(Inputs!$C$6)/Inputs!$C$40)+0.2*SIN(2*PI()*((A81)+(Inputs!$C$6))/(0.5*(Inputs!$C$39+Inputs!$C$40))))+Inputs!$C$38*SIN(2*PI()*(A81)/Inputs!$C$39)*SIN(2*PI()*(Inputs!$C$6)/Inputs!$C$40)+-Inputs!$C$41*EXP(-(((Inputs!$C$6)-Inputs!$C$43)^2)/(2*Inputs!$C$44^2))*EXP(-(((A81)-Inputs!$C$42)^2)/(2*Inputs!$C$45^2))+Inputs!$C$48*(0.7*(0.45*SIN(2*PI()*(((A81)/Inputs!$C$49)+Inputs!$C$47*0.137))+0.35*COS(2*PI()*(((Inputs!$C$6)/Inputs!$C$50)+Inputs!$C$47*0.173))+0.2*SIN(2*PI()*(((A81)+(Inputs!$C$6))/(0.5*(Inputs!$C$49+Inputs!$C$50))+Inputs!$C$47*0.097)))+0.3*(2*((SIN(((A81)*12.9898+(Inputs!$C$6)*78.233+Inputs!$C$47*37.719))*43758.5453)-INT((SIN(((A81)*12.9898+(Inputs!$C$6)*78.233+Inputs!$C$47*37.719))*43758.5453)))-1)))</f>
        <v/>
      </c>
      <c r="Z81" s="9">
        <f>B81-X81/1000</f>
        <v/>
      </c>
      <c r="AA81" s="9">
        <f>SQRT((Inputs!$C$52+B81)^2+(Inputs!$C$52+Y81/1000)^2-2*(Inputs!$C$52+B81)*(Inputs!$C$52+Y81/1000)*COS(SQRT(A81^2+Inputs!$C$6^2)/Inputs!$C$52))</f>
        <v/>
      </c>
      <c r="AB81" s="9">
        <f>(AA81-Z81)*1000</f>
        <v/>
      </c>
      <c r="AC81" s="9">
        <f>AB81/Inputs!$C$12</f>
        <v/>
      </c>
      <c r="AD81" s="9">
        <f>2*AB81/Inputs!$C$21*1000000</f>
        <v/>
      </c>
      <c r="AE81" s="9">
        <f>DEGREES(ATAN(H81/(B81-Y81/1000)))</f>
        <v/>
      </c>
      <c r="AF81" s="9">
        <f>DEGREES((2*PI()/Inputs!$C$13)*Inputs!$C$15*SIN(RADIANS(AE81)))</f>
        <v/>
      </c>
      <c r="AG81" s="9">
        <f>(Z81/AA81)^4</f>
        <v/>
      </c>
      <c r="AH81" s="9">
        <f>10*LOG10(AG81)</f>
        <v/>
      </c>
      <c r="AI81" s="9">
        <f>AC81-F81</f>
        <v/>
      </c>
      <c r="AJ81" s="9">
        <f>AD81-G81</f>
        <v/>
      </c>
      <c r="AK81" s="9">
        <f>Y81-X81</f>
        <v/>
      </c>
      <c r="AL81" s="9">
        <f>1000*(AA82-AA80)/(A82-A80)*Inputs!$C$11</f>
        <v/>
      </c>
      <c r="AM81" s="9">
        <f>-2*AL81/Inputs!$C$13</f>
        <v/>
      </c>
      <c r="AN81" s="9">
        <f>-2*AL81/Inputs!$C$14</f>
        <v/>
      </c>
      <c r="AO81" s="9">
        <f>ABS(AM81)</f>
        <v/>
      </c>
      <c r="AP81" s="9">
        <f>ABS(AN81)</f>
        <v/>
      </c>
      <c r="AQ81" s="9">
        <f>IF(OR(Inputs!$C$27=TRUE,Inputs!$C$27="TRUE",Inputs!$C$27=1),Inputs!$C$46/Inputs!$C$12,0)</f>
        <v/>
      </c>
      <c r="AR81" s="9">
        <f>AC81-AQ81</f>
        <v/>
      </c>
      <c r="AS81" s="9">
        <f>AC81+AQ81</f>
        <v/>
      </c>
    </row>
    <row r="82">
      <c r="A82" s="9">
        <f>Inputs!$C$7+80*(Inputs!$C$8-Inputs!$C$7)/240</f>
        <v/>
      </c>
      <c r="B82" s="9">
        <f>Inputs!$C$5+Inputs!$C$9*(A82/Inputs!$C$10)^2</f>
        <v/>
      </c>
      <c r="C82" s="9">
        <f>B82</f>
        <v/>
      </c>
      <c r="D82" s="9">
        <f>SQRT((Inputs!$C$52+B82)^2+Inputs!$C$52^2-2*(Inputs!$C$52+B82)*Inputs!$C$52*COS(SQRT(A82^2+Inputs!$C$6^2)/Inputs!$C$52))</f>
        <v/>
      </c>
      <c r="E82" s="9">
        <f>(D82-C82)*1000</f>
        <v/>
      </c>
      <c r="F82" s="9">
        <f>E82/Inputs!$C$12</f>
        <v/>
      </c>
      <c r="G82" s="9">
        <f>2*E82/Inputs!$C$21*1000000</f>
        <v/>
      </c>
      <c r="H82" s="9">
        <f>SQRT(A82^2+Inputs!$C$6^2)</f>
        <v/>
      </c>
      <c r="I82" s="9">
        <f>DEGREES(ATAN(H82/B82))</f>
        <v/>
      </c>
      <c r="J82" s="9">
        <f>DEGREES((2*PI()/Inputs!$C$13)*Inputs!$C$15*SIN(RADIANS(I82)))</f>
        <v/>
      </c>
      <c r="K82" s="9">
        <f>(C82/D82)^4</f>
        <v/>
      </c>
      <c r="L82" s="9">
        <f>10*LOG10(K82)</f>
        <v/>
      </c>
      <c r="M82" s="9">
        <f>2*(Inputs!$C$9/(Inputs!$C$10^2))*A82</f>
        <v/>
      </c>
      <c r="N82" s="9">
        <f>M82*Inputs!$C$11</f>
        <v/>
      </c>
      <c r="O82" s="9">
        <f>1000*(D83-D81)/(A83-A81)*Inputs!$C$11</f>
        <v/>
      </c>
      <c r="P82" s="9">
        <f>-2*O82/Inputs!$C$13</f>
        <v/>
      </c>
      <c r="Q82" s="9">
        <f>-2*O82/Inputs!$C$14</f>
        <v/>
      </c>
      <c r="R82" s="9">
        <f>F82-Inputs!$C$16/2</f>
        <v/>
      </c>
      <c r="S82" s="9">
        <f>F82+Inputs!$C$16/2</f>
        <v/>
      </c>
      <c r="T82" s="9">
        <f>F82-Inputs!$C$17/2</f>
        <v/>
      </c>
      <c r="U82" s="9">
        <f>F82+Inputs!$C$17/2</f>
        <v/>
      </c>
      <c r="V82" s="9">
        <f>ABS(P82)</f>
        <v/>
      </c>
      <c r="W82" s="9">
        <f>ABS(Q82)</f>
        <v/>
      </c>
      <c r="X82" s="9">
        <f>IF(OR(Inputs!$C$27=TRUE,Inputs!$C$27="TRUE",Inputs!$C$27=1),1,0)*(Inputs!$C$51*(115*EXP(-(((0)-25)^2)/(4.5^2))+70*EXP(-(((0)+38)^2)/(7^2))*(0.55+0.45*SIN(2*PI()*(A82)/45))+24*SIN(2*PI()*(0)/9+(A82)/18)*EXP(-(((0)+5)^2)/(22^2))+18*SIN(2*PI()*(A82)/70))+Inputs!$C$28*EXP(-(((A82)-Inputs!$C$29)^2)/(2*Inputs!$C$31^2))*EXP(-(((0)-Inputs!$C$30)^2)/(2*Inputs!$C$32^2))+-Inputs!$C$33*EXP(-(((((A82)-Inputs!$C$34)^2)+(((0)-Inputs!$C$35)^2))/(2*Inputs!$C$36^2)))+Inputs!$C$37*(0.55*SIN(2*PI()*(A82)/Inputs!$C$39)+0.35*COS(2*PI()*(0)/Inputs!$C$40)+0.2*SIN(2*PI()*((A82)+(0))/(0.5*(Inputs!$C$39+Inputs!$C$40))))+Inputs!$C$38*SIN(2*PI()*(A82)/Inputs!$C$39)*SIN(2*PI()*(0)/Inputs!$C$40)+-Inputs!$C$41*EXP(-(((0)-Inputs!$C$43)^2)/(2*Inputs!$C$44^2))*EXP(-(((A82)-Inputs!$C$42)^2)/(2*Inputs!$C$45^2))+Inputs!$C$48*(0.7*(0.45*SIN(2*PI()*(((A82)/Inputs!$C$49)+Inputs!$C$47*0.137))+0.35*COS(2*PI()*(((0)/Inputs!$C$50)+Inputs!$C$47*0.173))+0.2*SIN(2*PI()*(((A82)+(0))/(0.5*(Inputs!$C$49+Inputs!$C$50))+Inputs!$C$47*0.097)))+0.3*(2*((SIN(((A82)*12.9898+(0)*78.233+Inputs!$C$47*37.719))*43758.5453)-INT((SIN(((A82)*12.9898+(0)*78.233+Inputs!$C$47*37.719))*43758.5453)))-1)))</f>
        <v/>
      </c>
      <c r="Y82" s="9">
        <f>IF(OR(Inputs!$C$27=TRUE,Inputs!$C$27="TRUE",Inputs!$C$27=1),1,0)*(Inputs!$C$51*(115*EXP(-(((Inputs!$C$6)-25)^2)/(4.5^2))+70*EXP(-(((Inputs!$C$6)+38)^2)/(7^2))*(0.55+0.45*SIN(2*PI()*(A82)/45))+24*SIN(2*PI()*(Inputs!$C$6)/9+(A82)/18)*EXP(-(((Inputs!$C$6)+5)^2)/(22^2))+18*SIN(2*PI()*(A82)/70))+Inputs!$C$28*EXP(-(((A82)-Inputs!$C$29)^2)/(2*Inputs!$C$31^2))*EXP(-(((Inputs!$C$6)-Inputs!$C$30)^2)/(2*Inputs!$C$32^2))+-Inputs!$C$33*EXP(-(((((A82)-Inputs!$C$34)^2)+(((Inputs!$C$6)-Inputs!$C$35)^2))/(2*Inputs!$C$36^2)))+Inputs!$C$37*(0.55*SIN(2*PI()*(A82)/Inputs!$C$39)+0.35*COS(2*PI()*(Inputs!$C$6)/Inputs!$C$40)+0.2*SIN(2*PI()*((A82)+(Inputs!$C$6))/(0.5*(Inputs!$C$39+Inputs!$C$40))))+Inputs!$C$38*SIN(2*PI()*(A82)/Inputs!$C$39)*SIN(2*PI()*(Inputs!$C$6)/Inputs!$C$40)+-Inputs!$C$41*EXP(-(((Inputs!$C$6)-Inputs!$C$43)^2)/(2*Inputs!$C$44^2))*EXP(-(((A82)-Inputs!$C$42)^2)/(2*Inputs!$C$45^2))+Inputs!$C$48*(0.7*(0.45*SIN(2*PI()*(((A82)/Inputs!$C$49)+Inputs!$C$47*0.137))+0.35*COS(2*PI()*(((Inputs!$C$6)/Inputs!$C$50)+Inputs!$C$47*0.173))+0.2*SIN(2*PI()*(((A82)+(Inputs!$C$6))/(0.5*(Inputs!$C$49+Inputs!$C$50))+Inputs!$C$47*0.097)))+0.3*(2*((SIN(((A82)*12.9898+(Inputs!$C$6)*78.233+Inputs!$C$47*37.719))*43758.5453)-INT((SIN(((A82)*12.9898+(Inputs!$C$6)*78.233+Inputs!$C$47*37.719))*43758.5453)))-1)))</f>
        <v/>
      </c>
      <c r="Z82" s="9">
        <f>B82-X82/1000</f>
        <v/>
      </c>
      <c r="AA82" s="9">
        <f>SQRT((Inputs!$C$52+B82)^2+(Inputs!$C$52+Y82/1000)^2-2*(Inputs!$C$52+B82)*(Inputs!$C$52+Y82/1000)*COS(SQRT(A82^2+Inputs!$C$6^2)/Inputs!$C$52))</f>
        <v/>
      </c>
      <c r="AB82" s="9">
        <f>(AA82-Z82)*1000</f>
        <v/>
      </c>
      <c r="AC82" s="9">
        <f>AB82/Inputs!$C$12</f>
        <v/>
      </c>
      <c r="AD82" s="9">
        <f>2*AB82/Inputs!$C$21*1000000</f>
        <v/>
      </c>
      <c r="AE82" s="9">
        <f>DEGREES(ATAN(H82/(B82-Y82/1000)))</f>
        <v/>
      </c>
      <c r="AF82" s="9">
        <f>DEGREES((2*PI()/Inputs!$C$13)*Inputs!$C$15*SIN(RADIANS(AE82)))</f>
        <v/>
      </c>
      <c r="AG82" s="9">
        <f>(Z82/AA82)^4</f>
        <v/>
      </c>
      <c r="AH82" s="9">
        <f>10*LOG10(AG82)</f>
        <v/>
      </c>
      <c r="AI82" s="9">
        <f>AC82-F82</f>
        <v/>
      </c>
      <c r="AJ82" s="9">
        <f>AD82-G82</f>
        <v/>
      </c>
      <c r="AK82" s="9">
        <f>Y82-X82</f>
        <v/>
      </c>
      <c r="AL82" s="9">
        <f>1000*(AA83-AA81)/(A83-A81)*Inputs!$C$11</f>
        <v/>
      </c>
      <c r="AM82" s="9">
        <f>-2*AL82/Inputs!$C$13</f>
        <v/>
      </c>
      <c r="AN82" s="9">
        <f>-2*AL82/Inputs!$C$14</f>
        <v/>
      </c>
      <c r="AO82" s="9">
        <f>ABS(AM82)</f>
        <v/>
      </c>
      <c r="AP82" s="9">
        <f>ABS(AN82)</f>
        <v/>
      </c>
      <c r="AQ82" s="9">
        <f>IF(OR(Inputs!$C$27=TRUE,Inputs!$C$27="TRUE",Inputs!$C$27=1),Inputs!$C$46/Inputs!$C$12,0)</f>
        <v/>
      </c>
      <c r="AR82" s="9">
        <f>AC82-AQ82</f>
        <v/>
      </c>
      <c r="AS82" s="9">
        <f>AC82+AQ82</f>
        <v/>
      </c>
    </row>
    <row r="83">
      <c r="A83" s="9">
        <f>Inputs!$C$7+81*(Inputs!$C$8-Inputs!$C$7)/240</f>
        <v/>
      </c>
      <c r="B83" s="9">
        <f>Inputs!$C$5+Inputs!$C$9*(A83/Inputs!$C$10)^2</f>
        <v/>
      </c>
      <c r="C83" s="9">
        <f>B83</f>
        <v/>
      </c>
      <c r="D83" s="9">
        <f>SQRT((Inputs!$C$52+B83)^2+Inputs!$C$52^2-2*(Inputs!$C$52+B83)*Inputs!$C$52*COS(SQRT(A83^2+Inputs!$C$6^2)/Inputs!$C$52))</f>
        <v/>
      </c>
      <c r="E83" s="9">
        <f>(D83-C83)*1000</f>
        <v/>
      </c>
      <c r="F83" s="9">
        <f>E83/Inputs!$C$12</f>
        <v/>
      </c>
      <c r="G83" s="9">
        <f>2*E83/Inputs!$C$21*1000000</f>
        <v/>
      </c>
      <c r="H83" s="9">
        <f>SQRT(A83^2+Inputs!$C$6^2)</f>
        <v/>
      </c>
      <c r="I83" s="9">
        <f>DEGREES(ATAN(H83/B83))</f>
        <v/>
      </c>
      <c r="J83" s="9">
        <f>DEGREES((2*PI()/Inputs!$C$13)*Inputs!$C$15*SIN(RADIANS(I83)))</f>
        <v/>
      </c>
      <c r="K83" s="9">
        <f>(C83/D83)^4</f>
        <v/>
      </c>
      <c r="L83" s="9">
        <f>10*LOG10(K83)</f>
        <v/>
      </c>
      <c r="M83" s="9">
        <f>2*(Inputs!$C$9/(Inputs!$C$10^2))*A83</f>
        <v/>
      </c>
      <c r="N83" s="9">
        <f>M83*Inputs!$C$11</f>
        <v/>
      </c>
      <c r="O83" s="9">
        <f>1000*(D84-D82)/(A84-A82)*Inputs!$C$11</f>
        <v/>
      </c>
      <c r="P83" s="9">
        <f>-2*O83/Inputs!$C$13</f>
        <v/>
      </c>
      <c r="Q83" s="9">
        <f>-2*O83/Inputs!$C$14</f>
        <v/>
      </c>
      <c r="R83" s="9">
        <f>F83-Inputs!$C$16/2</f>
        <v/>
      </c>
      <c r="S83" s="9">
        <f>F83+Inputs!$C$16/2</f>
        <v/>
      </c>
      <c r="T83" s="9">
        <f>F83-Inputs!$C$17/2</f>
        <v/>
      </c>
      <c r="U83" s="9">
        <f>F83+Inputs!$C$17/2</f>
        <v/>
      </c>
      <c r="V83" s="9">
        <f>ABS(P83)</f>
        <v/>
      </c>
      <c r="W83" s="9">
        <f>ABS(Q83)</f>
        <v/>
      </c>
      <c r="X83" s="9">
        <f>IF(OR(Inputs!$C$27=TRUE,Inputs!$C$27="TRUE",Inputs!$C$27=1),1,0)*(Inputs!$C$51*(115*EXP(-(((0)-25)^2)/(4.5^2))+70*EXP(-(((0)+38)^2)/(7^2))*(0.55+0.45*SIN(2*PI()*(A83)/45))+24*SIN(2*PI()*(0)/9+(A83)/18)*EXP(-(((0)+5)^2)/(22^2))+18*SIN(2*PI()*(A83)/70))+Inputs!$C$28*EXP(-(((A83)-Inputs!$C$29)^2)/(2*Inputs!$C$31^2))*EXP(-(((0)-Inputs!$C$30)^2)/(2*Inputs!$C$32^2))+-Inputs!$C$33*EXP(-(((((A83)-Inputs!$C$34)^2)+(((0)-Inputs!$C$35)^2))/(2*Inputs!$C$36^2)))+Inputs!$C$37*(0.55*SIN(2*PI()*(A83)/Inputs!$C$39)+0.35*COS(2*PI()*(0)/Inputs!$C$40)+0.2*SIN(2*PI()*((A83)+(0))/(0.5*(Inputs!$C$39+Inputs!$C$40))))+Inputs!$C$38*SIN(2*PI()*(A83)/Inputs!$C$39)*SIN(2*PI()*(0)/Inputs!$C$40)+-Inputs!$C$41*EXP(-(((0)-Inputs!$C$43)^2)/(2*Inputs!$C$44^2))*EXP(-(((A83)-Inputs!$C$42)^2)/(2*Inputs!$C$45^2))+Inputs!$C$48*(0.7*(0.45*SIN(2*PI()*(((A83)/Inputs!$C$49)+Inputs!$C$47*0.137))+0.35*COS(2*PI()*(((0)/Inputs!$C$50)+Inputs!$C$47*0.173))+0.2*SIN(2*PI()*(((A83)+(0))/(0.5*(Inputs!$C$49+Inputs!$C$50))+Inputs!$C$47*0.097)))+0.3*(2*((SIN(((A83)*12.9898+(0)*78.233+Inputs!$C$47*37.719))*43758.5453)-INT((SIN(((A83)*12.9898+(0)*78.233+Inputs!$C$47*37.719))*43758.5453)))-1)))</f>
        <v/>
      </c>
      <c r="Y83" s="9">
        <f>IF(OR(Inputs!$C$27=TRUE,Inputs!$C$27="TRUE",Inputs!$C$27=1),1,0)*(Inputs!$C$51*(115*EXP(-(((Inputs!$C$6)-25)^2)/(4.5^2))+70*EXP(-(((Inputs!$C$6)+38)^2)/(7^2))*(0.55+0.45*SIN(2*PI()*(A83)/45))+24*SIN(2*PI()*(Inputs!$C$6)/9+(A83)/18)*EXP(-(((Inputs!$C$6)+5)^2)/(22^2))+18*SIN(2*PI()*(A83)/70))+Inputs!$C$28*EXP(-(((A83)-Inputs!$C$29)^2)/(2*Inputs!$C$31^2))*EXP(-(((Inputs!$C$6)-Inputs!$C$30)^2)/(2*Inputs!$C$32^2))+-Inputs!$C$33*EXP(-(((((A83)-Inputs!$C$34)^2)+(((Inputs!$C$6)-Inputs!$C$35)^2))/(2*Inputs!$C$36^2)))+Inputs!$C$37*(0.55*SIN(2*PI()*(A83)/Inputs!$C$39)+0.35*COS(2*PI()*(Inputs!$C$6)/Inputs!$C$40)+0.2*SIN(2*PI()*((A83)+(Inputs!$C$6))/(0.5*(Inputs!$C$39+Inputs!$C$40))))+Inputs!$C$38*SIN(2*PI()*(A83)/Inputs!$C$39)*SIN(2*PI()*(Inputs!$C$6)/Inputs!$C$40)+-Inputs!$C$41*EXP(-(((Inputs!$C$6)-Inputs!$C$43)^2)/(2*Inputs!$C$44^2))*EXP(-(((A83)-Inputs!$C$42)^2)/(2*Inputs!$C$45^2))+Inputs!$C$48*(0.7*(0.45*SIN(2*PI()*(((A83)/Inputs!$C$49)+Inputs!$C$47*0.137))+0.35*COS(2*PI()*(((Inputs!$C$6)/Inputs!$C$50)+Inputs!$C$47*0.173))+0.2*SIN(2*PI()*(((A83)+(Inputs!$C$6))/(0.5*(Inputs!$C$49+Inputs!$C$50))+Inputs!$C$47*0.097)))+0.3*(2*((SIN(((A83)*12.9898+(Inputs!$C$6)*78.233+Inputs!$C$47*37.719))*43758.5453)-INT((SIN(((A83)*12.9898+(Inputs!$C$6)*78.233+Inputs!$C$47*37.719))*43758.5453)))-1)))</f>
        <v/>
      </c>
      <c r="Z83" s="9">
        <f>B83-X83/1000</f>
        <v/>
      </c>
      <c r="AA83" s="9">
        <f>SQRT((Inputs!$C$52+B83)^2+(Inputs!$C$52+Y83/1000)^2-2*(Inputs!$C$52+B83)*(Inputs!$C$52+Y83/1000)*COS(SQRT(A83^2+Inputs!$C$6^2)/Inputs!$C$52))</f>
        <v/>
      </c>
      <c r="AB83" s="9">
        <f>(AA83-Z83)*1000</f>
        <v/>
      </c>
      <c r="AC83" s="9">
        <f>AB83/Inputs!$C$12</f>
        <v/>
      </c>
      <c r="AD83" s="9">
        <f>2*AB83/Inputs!$C$21*1000000</f>
        <v/>
      </c>
      <c r="AE83" s="9">
        <f>DEGREES(ATAN(H83/(B83-Y83/1000)))</f>
        <v/>
      </c>
      <c r="AF83" s="9">
        <f>DEGREES((2*PI()/Inputs!$C$13)*Inputs!$C$15*SIN(RADIANS(AE83)))</f>
        <v/>
      </c>
      <c r="AG83" s="9">
        <f>(Z83/AA83)^4</f>
        <v/>
      </c>
      <c r="AH83" s="9">
        <f>10*LOG10(AG83)</f>
        <v/>
      </c>
      <c r="AI83" s="9">
        <f>AC83-F83</f>
        <v/>
      </c>
      <c r="AJ83" s="9">
        <f>AD83-G83</f>
        <v/>
      </c>
      <c r="AK83" s="9">
        <f>Y83-X83</f>
        <v/>
      </c>
      <c r="AL83" s="9">
        <f>1000*(AA84-AA82)/(A84-A82)*Inputs!$C$11</f>
        <v/>
      </c>
      <c r="AM83" s="9">
        <f>-2*AL83/Inputs!$C$13</f>
        <v/>
      </c>
      <c r="AN83" s="9">
        <f>-2*AL83/Inputs!$C$14</f>
        <v/>
      </c>
      <c r="AO83" s="9">
        <f>ABS(AM83)</f>
        <v/>
      </c>
      <c r="AP83" s="9">
        <f>ABS(AN83)</f>
        <v/>
      </c>
      <c r="AQ83" s="9">
        <f>IF(OR(Inputs!$C$27=TRUE,Inputs!$C$27="TRUE",Inputs!$C$27=1),Inputs!$C$46/Inputs!$C$12,0)</f>
        <v/>
      </c>
      <c r="AR83" s="9">
        <f>AC83-AQ83</f>
        <v/>
      </c>
      <c r="AS83" s="9">
        <f>AC83+AQ83</f>
        <v/>
      </c>
    </row>
    <row r="84">
      <c r="A84" s="9">
        <f>Inputs!$C$7+82*(Inputs!$C$8-Inputs!$C$7)/240</f>
        <v/>
      </c>
      <c r="B84" s="9">
        <f>Inputs!$C$5+Inputs!$C$9*(A84/Inputs!$C$10)^2</f>
        <v/>
      </c>
      <c r="C84" s="9">
        <f>B84</f>
        <v/>
      </c>
      <c r="D84" s="9">
        <f>SQRT((Inputs!$C$52+B84)^2+Inputs!$C$52^2-2*(Inputs!$C$52+B84)*Inputs!$C$52*COS(SQRT(A84^2+Inputs!$C$6^2)/Inputs!$C$52))</f>
        <v/>
      </c>
      <c r="E84" s="9">
        <f>(D84-C84)*1000</f>
        <v/>
      </c>
      <c r="F84" s="9">
        <f>E84/Inputs!$C$12</f>
        <v/>
      </c>
      <c r="G84" s="9">
        <f>2*E84/Inputs!$C$21*1000000</f>
        <v/>
      </c>
      <c r="H84" s="9">
        <f>SQRT(A84^2+Inputs!$C$6^2)</f>
        <v/>
      </c>
      <c r="I84" s="9">
        <f>DEGREES(ATAN(H84/B84))</f>
        <v/>
      </c>
      <c r="J84" s="9">
        <f>DEGREES((2*PI()/Inputs!$C$13)*Inputs!$C$15*SIN(RADIANS(I84)))</f>
        <v/>
      </c>
      <c r="K84" s="9">
        <f>(C84/D84)^4</f>
        <v/>
      </c>
      <c r="L84" s="9">
        <f>10*LOG10(K84)</f>
        <v/>
      </c>
      <c r="M84" s="9">
        <f>2*(Inputs!$C$9/(Inputs!$C$10^2))*A84</f>
        <v/>
      </c>
      <c r="N84" s="9">
        <f>M84*Inputs!$C$11</f>
        <v/>
      </c>
      <c r="O84" s="9">
        <f>1000*(D85-D83)/(A85-A83)*Inputs!$C$11</f>
        <v/>
      </c>
      <c r="P84" s="9">
        <f>-2*O84/Inputs!$C$13</f>
        <v/>
      </c>
      <c r="Q84" s="9">
        <f>-2*O84/Inputs!$C$14</f>
        <v/>
      </c>
      <c r="R84" s="9">
        <f>F84-Inputs!$C$16/2</f>
        <v/>
      </c>
      <c r="S84" s="9">
        <f>F84+Inputs!$C$16/2</f>
        <v/>
      </c>
      <c r="T84" s="9">
        <f>F84-Inputs!$C$17/2</f>
        <v/>
      </c>
      <c r="U84" s="9">
        <f>F84+Inputs!$C$17/2</f>
        <v/>
      </c>
      <c r="V84" s="9">
        <f>ABS(P84)</f>
        <v/>
      </c>
      <c r="W84" s="9">
        <f>ABS(Q84)</f>
        <v/>
      </c>
      <c r="X84" s="9">
        <f>IF(OR(Inputs!$C$27=TRUE,Inputs!$C$27="TRUE",Inputs!$C$27=1),1,0)*(Inputs!$C$51*(115*EXP(-(((0)-25)^2)/(4.5^2))+70*EXP(-(((0)+38)^2)/(7^2))*(0.55+0.45*SIN(2*PI()*(A84)/45))+24*SIN(2*PI()*(0)/9+(A84)/18)*EXP(-(((0)+5)^2)/(22^2))+18*SIN(2*PI()*(A84)/70))+Inputs!$C$28*EXP(-(((A84)-Inputs!$C$29)^2)/(2*Inputs!$C$31^2))*EXP(-(((0)-Inputs!$C$30)^2)/(2*Inputs!$C$32^2))+-Inputs!$C$33*EXP(-(((((A84)-Inputs!$C$34)^2)+(((0)-Inputs!$C$35)^2))/(2*Inputs!$C$36^2)))+Inputs!$C$37*(0.55*SIN(2*PI()*(A84)/Inputs!$C$39)+0.35*COS(2*PI()*(0)/Inputs!$C$40)+0.2*SIN(2*PI()*((A84)+(0))/(0.5*(Inputs!$C$39+Inputs!$C$40))))+Inputs!$C$38*SIN(2*PI()*(A84)/Inputs!$C$39)*SIN(2*PI()*(0)/Inputs!$C$40)+-Inputs!$C$41*EXP(-(((0)-Inputs!$C$43)^2)/(2*Inputs!$C$44^2))*EXP(-(((A84)-Inputs!$C$42)^2)/(2*Inputs!$C$45^2))+Inputs!$C$48*(0.7*(0.45*SIN(2*PI()*(((A84)/Inputs!$C$49)+Inputs!$C$47*0.137))+0.35*COS(2*PI()*(((0)/Inputs!$C$50)+Inputs!$C$47*0.173))+0.2*SIN(2*PI()*(((A84)+(0))/(0.5*(Inputs!$C$49+Inputs!$C$50))+Inputs!$C$47*0.097)))+0.3*(2*((SIN(((A84)*12.9898+(0)*78.233+Inputs!$C$47*37.719))*43758.5453)-INT((SIN(((A84)*12.9898+(0)*78.233+Inputs!$C$47*37.719))*43758.5453)))-1)))</f>
        <v/>
      </c>
      <c r="Y84" s="9">
        <f>IF(OR(Inputs!$C$27=TRUE,Inputs!$C$27="TRUE",Inputs!$C$27=1),1,0)*(Inputs!$C$51*(115*EXP(-(((Inputs!$C$6)-25)^2)/(4.5^2))+70*EXP(-(((Inputs!$C$6)+38)^2)/(7^2))*(0.55+0.45*SIN(2*PI()*(A84)/45))+24*SIN(2*PI()*(Inputs!$C$6)/9+(A84)/18)*EXP(-(((Inputs!$C$6)+5)^2)/(22^2))+18*SIN(2*PI()*(A84)/70))+Inputs!$C$28*EXP(-(((A84)-Inputs!$C$29)^2)/(2*Inputs!$C$31^2))*EXP(-(((Inputs!$C$6)-Inputs!$C$30)^2)/(2*Inputs!$C$32^2))+-Inputs!$C$33*EXP(-(((((A84)-Inputs!$C$34)^2)+(((Inputs!$C$6)-Inputs!$C$35)^2))/(2*Inputs!$C$36^2)))+Inputs!$C$37*(0.55*SIN(2*PI()*(A84)/Inputs!$C$39)+0.35*COS(2*PI()*(Inputs!$C$6)/Inputs!$C$40)+0.2*SIN(2*PI()*((A84)+(Inputs!$C$6))/(0.5*(Inputs!$C$39+Inputs!$C$40))))+Inputs!$C$38*SIN(2*PI()*(A84)/Inputs!$C$39)*SIN(2*PI()*(Inputs!$C$6)/Inputs!$C$40)+-Inputs!$C$41*EXP(-(((Inputs!$C$6)-Inputs!$C$43)^2)/(2*Inputs!$C$44^2))*EXP(-(((A84)-Inputs!$C$42)^2)/(2*Inputs!$C$45^2))+Inputs!$C$48*(0.7*(0.45*SIN(2*PI()*(((A84)/Inputs!$C$49)+Inputs!$C$47*0.137))+0.35*COS(2*PI()*(((Inputs!$C$6)/Inputs!$C$50)+Inputs!$C$47*0.173))+0.2*SIN(2*PI()*(((A84)+(Inputs!$C$6))/(0.5*(Inputs!$C$49+Inputs!$C$50))+Inputs!$C$47*0.097)))+0.3*(2*((SIN(((A84)*12.9898+(Inputs!$C$6)*78.233+Inputs!$C$47*37.719))*43758.5453)-INT((SIN(((A84)*12.9898+(Inputs!$C$6)*78.233+Inputs!$C$47*37.719))*43758.5453)))-1)))</f>
        <v/>
      </c>
      <c r="Z84" s="9">
        <f>B84-X84/1000</f>
        <v/>
      </c>
      <c r="AA84" s="9">
        <f>SQRT((Inputs!$C$52+B84)^2+(Inputs!$C$52+Y84/1000)^2-2*(Inputs!$C$52+B84)*(Inputs!$C$52+Y84/1000)*COS(SQRT(A84^2+Inputs!$C$6^2)/Inputs!$C$52))</f>
        <v/>
      </c>
      <c r="AB84" s="9">
        <f>(AA84-Z84)*1000</f>
        <v/>
      </c>
      <c r="AC84" s="9">
        <f>AB84/Inputs!$C$12</f>
        <v/>
      </c>
      <c r="AD84" s="9">
        <f>2*AB84/Inputs!$C$21*1000000</f>
        <v/>
      </c>
      <c r="AE84" s="9">
        <f>DEGREES(ATAN(H84/(B84-Y84/1000)))</f>
        <v/>
      </c>
      <c r="AF84" s="9">
        <f>DEGREES((2*PI()/Inputs!$C$13)*Inputs!$C$15*SIN(RADIANS(AE84)))</f>
        <v/>
      </c>
      <c r="AG84" s="9">
        <f>(Z84/AA84)^4</f>
        <v/>
      </c>
      <c r="AH84" s="9">
        <f>10*LOG10(AG84)</f>
        <v/>
      </c>
      <c r="AI84" s="9">
        <f>AC84-F84</f>
        <v/>
      </c>
      <c r="AJ84" s="9">
        <f>AD84-G84</f>
        <v/>
      </c>
      <c r="AK84" s="9">
        <f>Y84-X84</f>
        <v/>
      </c>
      <c r="AL84" s="9">
        <f>1000*(AA85-AA83)/(A85-A83)*Inputs!$C$11</f>
        <v/>
      </c>
      <c r="AM84" s="9">
        <f>-2*AL84/Inputs!$C$13</f>
        <v/>
      </c>
      <c r="AN84" s="9">
        <f>-2*AL84/Inputs!$C$14</f>
        <v/>
      </c>
      <c r="AO84" s="9">
        <f>ABS(AM84)</f>
        <v/>
      </c>
      <c r="AP84" s="9">
        <f>ABS(AN84)</f>
        <v/>
      </c>
      <c r="AQ84" s="9">
        <f>IF(OR(Inputs!$C$27=TRUE,Inputs!$C$27="TRUE",Inputs!$C$27=1),Inputs!$C$46/Inputs!$C$12,0)</f>
        <v/>
      </c>
      <c r="AR84" s="9">
        <f>AC84-AQ84</f>
        <v/>
      </c>
      <c r="AS84" s="9">
        <f>AC84+AQ84</f>
        <v/>
      </c>
    </row>
    <row r="85">
      <c r="A85" s="9">
        <f>Inputs!$C$7+83*(Inputs!$C$8-Inputs!$C$7)/240</f>
        <v/>
      </c>
      <c r="B85" s="9">
        <f>Inputs!$C$5+Inputs!$C$9*(A85/Inputs!$C$10)^2</f>
        <v/>
      </c>
      <c r="C85" s="9">
        <f>B85</f>
        <v/>
      </c>
      <c r="D85" s="9">
        <f>SQRT((Inputs!$C$52+B85)^2+Inputs!$C$52^2-2*(Inputs!$C$52+B85)*Inputs!$C$52*COS(SQRT(A85^2+Inputs!$C$6^2)/Inputs!$C$52))</f>
        <v/>
      </c>
      <c r="E85" s="9">
        <f>(D85-C85)*1000</f>
        <v/>
      </c>
      <c r="F85" s="9">
        <f>E85/Inputs!$C$12</f>
        <v/>
      </c>
      <c r="G85" s="9">
        <f>2*E85/Inputs!$C$21*1000000</f>
        <v/>
      </c>
      <c r="H85" s="9">
        <f>SQRT(A85^2+Inputs!$C$6^2)</f>
        <v/>
      </c>
      <c r="I85" s="9">
        <f>DEGREES(ATAN(H85/B85))</f>
        <v/>
      </c>
      <c r="J85" s="9">
        <f>DEGREES((2*PI()/Inputs!$C$13)*Inputs!$C$15*SIN(RADIANS(I85)))</f>
        <v/>
      </c>
      <c r="K85" s="9">
        <f>(C85/D85)^4</f>
        <v/>
      </c>
      <c r="L85" s="9">
        <f>10*LOG10(K85)</f>
        <v/>
      </c>
      <c r="M85" s="9">
        <f>2*(Inputs!$C$9/(Inputs!$C$10^2))*A85</f>
        <v/>
      </c>
      <c r="N85" s="9">
        <f>M85*Inputs!$C$11</f>
        <v/>
      </c>
      <c r="O85" s="9">
        <f>1000*(D86-D84)/(A86-A84)*Inputs!$C$11</f>
        <v/>
      </c>
      <c r="P85" s="9">
        <f>-2*O85/Inputs!$C$13</f>
        <v/>
      </c>
      <c r="Q85" s="9">
        <f>-2*O85/Inputs!$C$14</f>
        <v/>
      </c>
      <c r="R85" s="9">
        <f>F85-Inputs!$C$16/2</f>
        <v/>
      </c>
      <c r="S85" s="9">
        <f>F85+Inputs!$C$16/2</f>
        <v/>
      </c>
      <c r="T85" s="9">
        <f>F85-Inputs!$C$17/2</f>
        <v/>
      </c>
      <c r="U85" s="9">
        <f>F85+Inputs!$C$17/2</f>
        <v/>
      </c>
      <c r="V85" s="9">
        <f>ABS(P85)</f>
        <v/>
      </c>
      <c r="W85" s="9">
        <f>ABS(Q85)</f>
        <v/>
      </c>
      <c r="X85" s="9">
        <f>IF(OR(Inputs!$C$27=TRUE,Inputs!$C$27="TRUE",Inputs!$C$27=1),1,0)*(Inputs!$C$51*(115*EXP(-(((0)-25)^2)/(4.5^2))+70*EXP(-(((0)+38)^2)/(7^2))*(0.55+0.45*SIN(2*PI()*(A85)/45))+24*SIN(2*PI()*(0)/9+(A85)/18)*EXP(-(((0)+5)^2)/(22^2))+18*SIN(2*PI()*(A85)/70))+Inputs!$C$28*EXP(-(((A85)-Inputs!$C$29)^2)/(2*Inputs!$C$31^2))*EXP(-(((0)-Inputs!$C$30)^2)/(2*Inputs!$C$32^2))+-Inputs!$C$33*EXP(-(((((A85)-Inputs!$C$34)^2)+(((0)-Inputs!$C$35)^2))/(2*Inputs!$C$36^2)))+Inputs!$C$37*(0.55*SIN(2*PI()*(A85)/Inputs!$C$39)+0.35*COS(2*PI()*(0)/Inputs!$C$40)+0.2*SIN(2*PI()*((A85)+(0))/(0.5*(Inputs!$C$39+Inputs!$C$40))))+Inputs!$C$38*SIN(2*PI()*(A85)/Inputs!$C$39)*SIN(2*PI()*(0)/Inputs!$C$40)+-Inputs!$C$41*EXP(-(((0)-Inputs!$C$43)^2)/(2*Inputs!$C$44^2))*EXP(-(((A85)-Inputs!$C$42)^2)/(2*Inputs!$C$45^2))+Inputs!$C$48*(0.7*(0.45*SIN(2*PI()*(((A85)/Inputs!$C$49)+Inputs!$C$47*0.137))+0.35*COS(2*PI()*(((0)/Inputs!$C$50)+Inputs!$C$47*0.173))+0.2*SIN(2*PI()*(((A85)+(0))/(0.5*(Inputs!$C$49+Inputs!$C$50))+Inputs!$C$47*0.097)))+0.3*(2*((SIN(((A85)*12.9898+(0)*78.233+Inputs!$C$47*37.719))*43758.5453)-INT((SIN(((A85)*12.9898+(0)*78.233+Inputs!$C$47*37.719))*43758.5453)))-1)))</f>
        <v/>
      </c>
      <c r="Y85" s="9">
        <f>IF(OR(Inputs!$C$27=TRUE,Inputs!$C$27="TRUE",Inputs!$C$27=1),1,0)*(Inputs!$C$51*(115*EXP(-(((Inputs!$C$6)-25)^2)/(4.5^2))+70*EXP(-(((Inputs!$C$6)+38)^2)/(7^2))*(0.55+0.45*SIN(2*PI()*(A85)/45))+24*SIN(2*PI()*(Inputs!$C$6)/9+(A85)/18)*EXP(-(((Inputs!$C$6)+5)^2)/(22^2))+18*SIN(2*PI()*(A85)/70))+Inputs!$C$28*EXP(-(((A85)-Inputs!$C$29)^2)/(2*Inputs!$C$31^2))*EXP(-(((Inputs!$C$6)-Inputs!$C$30)^2)/(2*Inputs!$C$32^2))+-Inputs!$C$33*EXP(-(((((A85)-Inputs!$C$34)^2)+(((Inputs!$C$6)-Inputs!$C$35)^2))/(2*Inputs!$C$36^2)))+Inputs!$C$37*(0.55*SIN(2*PI()*(A85)/Inputs!$C$39)+0.35*COS(2*PI()*(Inputs!$C$6)/Inputs!$C$40)+0.2*SIN(2*PI()*((A85)+(Inputs!$C$6))/(0.5*(Inputs!$C$39+Inputs!$C$40))))+Inputs!$C$38*SIN(2*PI()*(A85)/Inputs!$C$39)*SIN(2*PI()*(Inputs!$C$6)/Inputs!$C$40)+-Inputs!$C$41*EXP(-(((Inputs!$C$6)-Inputs!$C$43)^2)/(2*Inputs!$C$44^2))*EXP(-(((A85)-Inputs!$C$42)^2)/(2*Inputs!$C$45^2))+Inputs!$C$48*(0.7*(0.45*SIN(2*PI()*(((A85)/Inputs!$C$49)+Inputs!$C$47*0.137))+0.35*COS(2*PI()*(((Inputs!$C$6)/Inputs!$C$50)+Inputs!$C$47*0.173))+0.2*SIN(2*PI()*(((A85)+(Inputs!$C$6))/(0.5*(Inputs!$C$49+Inputs!$C$50))+Inputs!$C$47*0.097)))+0.3*(2*((SIN(((A85)*12.9898+(Inputs!$C$6)*78.233+Inputs!$C$47*37.719))*43758.5453)-INT((SIN(((A85)*12.9898+(Inputs!$C$6)*78.233+Inputs!$C$47*37.719))*43758.5453)))-1)))</f>
        <v/>
      </c>
      <c r="Z85" s="9">
        <f>B85-X85/1000</f>
        <v/>
      </c>
      <c r="AA85" s="9">
        <f>SQRT((Inputs!$C$52+B85)^2+(Inputs!$C$52+Y85/1000)^2-2*(Inputs!$C$52+B85)*(Inputs!$C$52+Y85/1000)*COS(SQRT(A85^2+Inputs!$C$6^2)/Inputs!$C$52))</f>
        <v/>
      </c>
      <c r="AB85" s="9">
        <f>(AA85-Z85)*1000</f>
        <v/>
      </c>
      <c r="AC85" s="9">
        <f>AB85/Inputs!$C$12</f>
        <v/>
      </c>
      <c r="AD85" s="9">
        <f>2*AB85/Inputs!$C$21*1000000</f>
        <v/>
      </c>
      <c r="AE85" s="9">
        <f>DEGREES(ATAN(H85/(B85-Y85/1000)))</f>
        <v/>
      </c>
      <c r="AF85" s="9">
        <f>DEGREES((2*PI()/Inputs!$C$13)*Inputs!$C$15*SIN(RADIANS(AE85)))</f>
        <v/>
      </c>
      <c r="AG85" s="9">
        <f>(Z85/AA85)^4</f>
        <v/>
      </c>
      <c r="AH85" s="9">
        <f>10*LOG10(AG85)</f>
        <v/>
      </c>
      <c r="AI85" s="9">
        <f>AC85-F85</f>
        <v/>
      </c>
      <c r="AJ85" s="9">
        <f>AD85-G85</f>
        <v/>
      </c>
      <c r="AK85" s="9">
        <f>Y85-X85</f>
        <v/>
      </c>
      <c r="AL85" s="9">
        <f>1000*(AA86-AA84)/(A86-A84)*Inputs!$C$11</f>
        <v/>
      </c>
      <c r="AM85" s="9">
        <f>-2*AL85/Inputs!$C$13</f>
        <v/>
      </c>
      <c r="AN85" s="9">
        <f>-2*AL85/Inputs!$C$14</f>
        <v/>
      </c>
      <c r="AO85" s="9">
        <f>ABS(AM85)</f>
        <v/>
      </c>
      <c r="AP85" s="9">
        <f>ABS(AN85)</f>
        <v/>
      </c>
      <c r="AQ85" s="9">
        <f>IF(OR(Inputs!$C$27=TRUE,Inputs!$C$27="TRUE",Inputs!$C$27=1),Inputs!$C$46/Inputs!$C$12,0)</f>
        <v/>
      </c>
      <c r="AR85" s="9">
        <f>AC85-AQ85</f>
        <v/>
      </c>
      <c r="AS85" s="9">
        <f>AC85+AQ85</f>
        <v/>
      </c>
    </row>
    <row r="86">
      <c r="A86" s="9">
        <f>Inputs!$C$7+84*(Inputs!$C$8-Inputs!$C$7)/240</f>
        <v/>
      </c>
      <c r="B86" s="9">
        <f>Inputs!$C$5+Inputs!$C$9*(A86/Inputs!$C$10)^2</f>
        <v/>
      </c>
      <c r="C86" s="9">
        <f>B86</f>
        <v/>
      </c>
      <c r="D86" s="9">
        <f>SQRT((Inputs!$C$52+B86)^2+Inputs!$C$52^2-2*(Inputs!$C$52+B86)*Inputs!$C$52*COS(SQRT(A86^2+Inputs!$C$6^2)/Inputs!$C$52))</f>
        <v/>
      </c>
      <c r="E86" s="9">
        <f>(D86-C86)*1000</f>
        <v/>
      </c>
      <c r="F86" s="9">
        <f>E86/Inputs!$C$12</f>
        <v/>
      </c>
      <c r="G86" s="9">
        <f>2*E86/Inputs!$C$21*1000000</f>
        <v/>
      </c>
      <c r="H86" s="9">
        <f>SQRT(A86^2+Inputs!$C$6^2)</f>
        <v/>
      </c>
      <c r="I86" s="9">
        <f>DEGREES(ATAN(H86/B86))</f>
        <v/>
      </c>
      <c r="J86" s="9">
        <f>DEGREES((2*PI()/Inputs!$C$13)*Inputs!$C$15*SIN(RADIANS(I86)))</f>
        <v/>
      </c>
      <c r="K86" s="9">
        <f>(C86/D86)^4</f>
        <v/>
      </c>
      <c r="L86" s="9">
        <f>10*LOG10(K86)</f>
        <v/>
      </c>
      <c r="M86" s="9">
        <f>2*(Inputs!$C$9/(Inputs!$C$10^2))*A86</f>
        <v/>
      </c>
      <c r="N86" s="9">
        <f>M86*Inputs!$C$11</f>
        <v/>
      </c>
      <c r="O86" s="9">
        <f>1000*(D87-D85)/(A87-A85)*Inputs!$C$11</f>
        <v/>
      </c>
      <c r="P86" s="9">
        <f>-2*O86/Inputs!$C$13</f>
        <v/>
      </c>
      <c r="Q86" s="9">
        <f>-2*O86/Inputs!$C$14</f>
        <v/>
      </c>
      <c r="R86" s="9">
        <f>F86-Inputs!$C$16/2</f>
        <v/>
      </c>
      <c r="S86" s="9">
        <f>F86+Inputs!$C$16/2</f>
        <v/>
      </c>
      <c r="T86" s="9">
        <f>F86-Inputs!$C$17/2</f>
        <v/>
      </c>
      <c r="U86" s="9">
        <f>F86+Inputs!$C$17/2</f>
        <v/>
      </c>
      <c r="V86" s="9">
        <f>ABS(P86)</f>
        <v/>
      </c>
      <c r="W86" s="9">
        <f>ABS(Q86)</f>
        <v/>
      </c>
      <c r="X86" s="9">
        <f>IF(OR(Inputs!$C$27=TRUE,Inputs!$C$27="TRUE",Inputs!$C$27=1),1,0)*(Inputs!$C$51*(115*EXP(-(((0)-25)^2)/(4.5^2))+70*EXP(-(((0)+38)^2)/(7^2))*(0.55+0.45*SIN(2*PI()*(A86)/45))+24*SIN(2*PI()*(0)/9+(A86)/18)*EXP(-(((0)+5)^2)/(22^2))+18*SIN(2*PI()*(A86)/70))+Inputs!$C$28*EXP(-(((A86)-Inputs!$C$29)^2)/(2*Inputs!$C$31^2))*EXP(-(((0)-Inputs!$C$30)^2)/(2*Inputs!$C$32^2))+-Inputs!$C$33*EXP(-(((((A86)-Inputs!$C$34)^2)+(((0)-Inputs!$C$35)^2))/(2*Inputs!$C$36^2)))+Inputs!$C$37*(0.55*SIN(2*PI()*(A86)/Inputs!$C$39)+0.35*COS(2*PI()*(0)/Inputs!$C$40)+0.2*SIN(2*PI()*((A86)+(0))/(0.5*(Inputs!$C$39+Inputs!$C$40))))+Inputs!$C$38*SIN(2*PI()*(A86)/Inputs!$C$39)*SIN(2*PI()*(0)/Inputs!$C$40)+-Inputs!$C$41*EXP(-(((0)-Inputs!$C$43)^2)/(2*Inputs!$C$44^2))*EXP(-(((A86)-Inputs!$C$42)^2)/(2*Inputs!$C$45^2))+Inputs!$C$48*(0.7*(0.45*SIN(2*PI()*(((A86)/Inputs!$C$49)+Inputs!$C$47*0.137))+0.35*COS(2*PI()*(((0)/Inputs!$C$50)+Inputs!$C$47*0.173))+0.2*SIN(2*PI()*(((A86)+(0))/(0.5*(Inputs!$C$49+Inputs!$C$50))+Inputs!$C$47*0.097)))+0.3*(2*((SIN(((A86)*12.9898+(0)*78.233+Inputs!$C$47*37.719))*43758.5453)-INT((SIN(((A86)*12.9898+(0)*78.233+Inputs!$C$47*37.719))*43758.5453)))-1)))</f>
        <v/>
      </c>
      <c r="Y86" s="9">
        <f>IF(OR(Inputs!$C$27=TRUE,Inputs!$C$27="TRUE",Inputs!$C$27=1),1,0)*(Inputs!$C$51*(115*EXP(-(((Inputs!$C$6)-25)^2)/(4.5^2))+70*EXP(-(((Inputs!$C$6)+38)^2)/(7^2))*(0.55+0.45*SIN(2*PI()*(A86)/45))+24*SIN(2*PI()*(Inputs!$C$6)/9+(A86)/18)*EXP(-(((Inputs!$C$6)+5)^2)/(22^2))+18*SIN(2*PI()*(A86)/70))+Inputs!$C$28*EXP(-(((A86)-Inputs!$C$29)^2)/(2*Inputs!$C$31^2))*EXP(-(((Inputs!$C$6)-Inputs!$C$30)^2)/(2*Inputs!$C$32^2))+-Inputs!$C$33*EXP(-(((((A86)-Inputs!$C$34)^2)+(((Inputs!$C$6)-Inputs!$C$35)^2))/(2*Inputs!$C$36^2)))+Inputs!$C$37*(0.55*SIN(2*PI()*(A86)/Inputs!$C$39)+0.35*COS(2*PI()*(Inputs!$C$6)/Inputs!$C$40)+0.2*SIN(2*PI()*((A86)+(Inputs!$C$6))/(0.5*(Inputs!$C$39+Inputs!$C$40))))+Inputs!$C$38*SIN(2*PI()*(A86)/Inputs!$C$39)*SIN(2*PI()*(Inputs!$C$6)/Inputs!$C$40)+-Inputs!$C$41*EXP(-(((Inputs!$C$6)-Inputs!$C$43)^2)/(2*Inputs!$C$44^2))*EXP(-(((A86)-Inputs!$C$42)^2)/(2*Inputs!$C$45^2))+Inputs!$C$48*(0.7*(0.45*SIN(2*PI()*(((A86)/Inputs!$C$49)+Inputs!$C$47*0.137))+0.35*COS(2*PI()*(((Inputs!$C$6)/Inputs!$C$50)+Inputs!$C$47*0.173))+0.2*SIN(2*PI()*(((A86)+(Inputs!$C$6))/(0.5*(Inputs!$C$49+Inputs!$C$50))+Inputs!$C$47*0.097)))+0.3*(2*((SIN(((A86)*12.9898+(Inputs!$C$6)*78.233+Inputs!$C$47*37.719))*43758.5453)-INT((SIN(((A86)*12.9898+(Inputs!$C$6)*78.233+Inputs!$C$47*37.719))*43758.5453)))-1)))</f>
        <v/>
      </c>
      <c r="Z86" s="9">
        <f>B86-X86/1000</f>
        <v/>
      </c>
      <c r="AA86" s="9">
        <f>SQRT((Inputs!$C$52+B86)^2+(Inputs!$C$52+Y86/1000)^2-2*(Inputs!$C$52+B86)*(Inputs!$C$52+Y86/1000)*COS(SQRT(A86^2+Inputs!$C$6^2)/Inputs!$C$52))</f>
        <v/>
      </c>
      <c r="AB86" s="9">
        <f>(AA86-Z86)*1000</f>
        <v/>
      </c>
      <c r="AC86" s="9">
        <f>AB86/Inputs!$C$12</f>
        <v/>
      </c>
      <c r="AD86" s="9">
        <f>2*AB86/Inputs!$C$21*1000000</f>
        <v/>
      </c>
      <c r="AE86" s="9">
        <f>DEGREES(ATAN(H86/(B86-Y86/1000)))</f>
        <v/>
      </c>
      <c r="AF86" s="9">
        <f>DEGREES((2*PI()/Inputs!$C$13)*Inputs!$C$15*SIN(RADIANS(AE86)))</f>
        <v/>
      </c>
      <c r="AG86" s="9">
        <f>(Z86/AA86)^4</f>
        <v/>
      </c>
      <c r="AH86" s="9">
        <f>10*LOG10(AG86)</f>
        <v/>
      </c>
      <c r="AI86" s="9">
        <f>AC86-F86</f>
        <v/>
      </c>
      <c r="AJ86" s="9">
        <f>AD86-G86</f>
        <v/>
      </c>
      <c r="AK86" s="9">
        <f>Y86-X86</f>
        <v/>
      </c>
      <c r="AL86" s="9">
        <f>1000*(AA87-AA85)/(A87-A85)*Inputs!$C$11</f>
        <v/>
      </c>
      <c r="AM86" s="9">
        <f>-2*AL86/Inputs!$C$13</f>
        <v/>
      </c>
      <c r="AN86" s="9">
        <f>-2*AL86/Inputs!$C$14</f>
        <v/>
      </c>
      <c r="AO86" s="9">
        <f>ABS(AM86)</f>
        <v/>
      </c>
      <c r="AP86" s="9">
        <f>ABS(AN86)</f>
        <v/>
      </c>
      <c r="AQ86" s="9">
        <f>IF(OR(Inputs!$C$27=TRUE,Inputs!$C$27="TRUE",Inputs!$C$27=1),Inputs!$C$46/Inputs!$C$12,0)</f>
        <v/>
      </c>
      <c r="AR86" s="9">
        <f>AC86-AQ86</f>
        <v/>
      </c>
      <c r="AS86" s="9">
        <f>AC86+AQ86</f>
        <v/>
      </c>
    </row>
    <row r="87">
      <c r="A87" s="9">
        <f>Inputs!$C$7+85*(Inputs!$C$8-Inputs!$C$7)/240</f>
        <v/>
      </c>
      <c r="B87" s="9">
        <f>Inputs!$C$5+Inputs!$C$9*(A87/Inputs!$C$10)^2</f>
        <v/>
      </c>
      <c r="C87" s="9">
        <f>B87</f>
        <v/>
      </c>
      <c r="D87" s="9">
        <f>SQRT((Inputs!$C$52+B87)^2+Inputs!$C$52^2-2*(Inputs!$C$52+B87)*Inputs!$C$52*COS(SQRT(A87^2+Inputs!$C$6^2)/Inputs!$C$52))</f>
        <v/>
      </c>
      <c r="E87" s="9">
        <f>(D87-C87)*1000</f>
        <v/>
      </c>
      <c r="F87" s="9">
        <f>E87/Inputs!$C$12</f>
        <v/>
      </c>
      <c r="G87" s="9">
        <f>2*E87/Inputs!$C$21*1000000</f>
        <v/>
      </c>
      <c r="H87" s="9">
        <f>SQRT(A87^2+Inputs!$C$6^2)</f>
        <v/>
      </c>
      <c r="I87" s="9">
        <f>DEGREES(ATAN(H87/B87))</f>
        <v/>
      </c>
      <c r="J87" s="9">
        <f>DEGREES((2*PI()/Inputs!$C$13)*Inputs!$C$15*SIN(RADIANS(I87)))</f>
        <v/>
      </c>
      <c r="K87" s="9">
        <f>(C87/D87)^4</f>
        <v/>
      </c>
      <c r="L87" s="9">
        <f>10*LOG10(K87)</f>
        <v/>
      </c>
      <c r="M87" s="9">
        <f>2*(Inputs!$C$9/(Inputs!$C$10^2))*A87</f>
        <v/>
      </c>
      <c r="N87" s="9">
        <f>M87*Inputs!$C$11</f>
        <v/>
      </c>
      <c r="O87" s="9">
        <f>1000*(D88-D86)/(A88-A86)*Inputs!$C$11</f>
        <v/>
      </c>
      <c r="P87" s="9">
        <f>-2*O87/Inputs!$C$13</f>
        <v/>
      </c>
      <c r="Q87" s="9">
        <f>-2*O87/Inputs!$C$14</f>
        <v/>
      </c>
      <c r="R87" s="9">
        <f>F87-Inputs!$C$16/2</f>
        <v/>
      </c>
      <c r="S87" s="9">
        <f>F87+Inputs!$C$16/2</f>
        <v/>
      </c>
      <c r="T87" s="9">
        <f>F87-Inputs!$C$17/2</f>
        <v/>
      </c>
      <c r="U87" s="9">
        <f>F87+Inputs!$C$17/2</f>
        <v/>
      </c>
      <c r="V87" s="9">
        <f>ABS(P87)</f>
        <v/>
      </c>
      <c r="W87" s="9">
        <f>ABS(Q87)</f>
        <v/>
      </c>
      <c r="X87" s="9">
        <f>IF(OR(Inputs!$C$27=TRUE,Inputs!$C$27="TRUE",Inputs!$C$27=1),1,0)*(Inputs!$C$51*(115*EXP(-(((0)-25)^2)/(4.5^2))+70*EXP(-(((0)+38)^2)/(7^2))*(0.55+0.45*SIN(2*PI()*(A87)/45))+24*SIN(2*PI()*(0)/9+(A87)/18)*EXP(-(((0)+5)^2)/(22^2))+18*SIN(2*PI()*(A87)/70))+Inputs!$C$28*EXP(-(((A87)-Inputs!$C$29)^2)/(2*Inputs!$C$31^2))*EXP(-(((0)-Inputs!$C$30)^2)/(2*Inputs!$C$32^2))+-Inputs!$C$33*EXP(-(((((A87)-Inputs!$C$34)^2)+(((0)-Inputs!$C$35)^2))/(2*Inputs!$C$36^2)))+Inputs!$C$37*(0.55*SIN(2*PI()*(A87)/Inputs!$C$39)+0.35*COS(2*PI()*(0)/Inputs!$C$40)+0.2*SIN(2*PI()*((A87)+(0))/(0.5*(Inputs!$C$39+Inputs!$C$40))))+Inputs!$C$38*SIN(2*PI()*(A87)/Inputs!$C$39)*SIN(2*PI()*(0)/Inputs!$C$40)+-Inputs!$C$41*EXP(-(((0)-Inputs!$C$43)^2)/(2*Inputs!$C$44^2))*EXP(-(((A87)-Inputs!$C$42)^2)/(2*Inputs!$C$45^2))+Inputs!$C$48*(0.7*(0.45*SIN(2*PI()*(((A87)/Inputs!$C$49)+Inputs!$C$47*0.137))+0.35*COS(2*PI()*(((0)/Inputs!$C$50)+Inputs!$C$47*0.173))+0.2*SIN(2*PI()*(((A87)+(0))/(0.5*(Inputs!$C$49+Inputs!$C$50))+Inputs!$C$47*0.097)))+0.3*(2*((SIN(((A87)*12.9898+(0)*78.233+Inputs!$C$47*37.719))*43758.5453)-INT((SIN(((A87)*12.9898+(0)*78.233+Inputs!$C$47*37.719))*43758.5453)))-1)))</f>
        <v/>
      </c>
      <c r="Y87" s="9">
        <f>IF(OR(Inputs!$C$27=TRUE,Inputs!$C$27="TRUE",Inputs!$C$27=1),1,0)*(Inputs!$C$51*(115*EXP(-(((Inputs!$C$6)-25)^2)/(4.5^2))+70*EXP(-(((Inputs!$C$6)+38)^2)/(7^2))*(0.55+0.45*SIN(2*PI()*(A87)/45))+24*SIN(2*PI()*(Inputs!$C$6)/9+(A87)/18)*EXP(-(((Inputs!$C$6)+5)^2)/(22^2))+18*SIN(2*PI()*(A87)/70))+Inputs!$C$28*EXP(-(((A87)-Inputs!$C$29)^2)/(2*Inputs!$C$31^2))*EXP(-(((Inputs!$C$6)-Inputs!$C$30)^2)/(2*Inputs!$C$32^2))+-Inputs!$C$33*EXP(-(((((A87)-Inputs!$C$34)^2)+(((Inputs!$C$6)-Inputs!$C$35)^2))/(2*Inputs!$C$36^2)))+Inputs!$C$37*(0.55*SIN(2*PI()*(A87)/Inputs!$C$39)+0.35*COS(2*PI()*(Inputs!$C$6)/Inputs!$C$40)+0.2*SIN(2*PI()*((A87)+(Inputs!$C$6))/(0.5*(Inputs!$C$39+Inputs!$C$40))))+Inputs!$C$38*SIN(2*PI()*(A87)/Inputs!$C$39)*SIN(2*PI()*(Inputs!$C$6)/Inputs!$C$40)+-Inputs!$C$41*EXP(-(((Inputs!$C$6)-Inputs!$C$43)^2)/(2*Inputs!$C$44^2))*EXP(-(((A87)-Inputs!$C$42)^2)/(2*Inputs!$C$45^2))+Inputs!$C$48*(0.7*(0.45*SIN(2*PI()*(((A87)/Inputs!$C$49)+Inputs!$C$47*0.137))+0.35*COS(2*PI()*(((Inputs!$C$6)/Inputs!$C$50)+Inputs!$C$47*0.173))+0.2*SIN(2*PI()*(((A87)+(Inputs!$C$6))/(0.5*(Inputs!$C$49+Inputs!$C$50))+Inputs!$C$47*0.097)))+0.3*(2*((SIN(((A87)*12.9898+(Inputs!$C$6)*78.233+Inputs!$C$47*37.719))*43758.5453)-INT((SIN(((A87)*12.9898+(Inputs!$C$6)*78.233+Inputs!$C$47*37.719))*43758.5453)))-1)))</f>
        <v/>
      </c>
      <c r="Z87" s="9">
        <f>B87-X87/1000</f>
        <v/>
      </c>
      <c r="AA87" s="9">
        <f>SQRT((Inputs!$C$52+B87)^2+(Inputs!$C$52+Y87/1000)^2-2*(Inputs!$C$52+B87)*(Inputs!$C$52+Y87/1000)*COS(SQRT(A87^2+Inputs!$C$6^2)/Inputs!$C$52))</f>
        <v/>
      </c>
      <c r="AB87" s="9">
        <f>(AA87-Z87)*1000</f>
        <v/>
      </c>
      <c r="AC87" s="9">
        <f>AB87/Inputs!$C$12</f>
        <v/>
      </c>
      <c r="AD87" s="9">
        <f>2*AB87/Inputs!$C$21*1000000</f>
        <v/>
      </c>
      <c r="AE87" s="9">
        <f>DEGREES(ATAN(H87/(B87-Y87/1000)))</f>
        <v/>
      </c>
      <c r="AF87" s="9">
        <f>DEGREES((2*PI()/Inputs!$C$13)*Inputs!$C$15*SIN(RADIANS(AE87)))</f>
        <v/>
      </c>
      <c r="AG87" s="9">
        <f>(Z87/AA87)^4</f>
        <v/>
      </c>
      <c r="AH87" s="9">
        <f>10*LOG10(AG87)</f>
        <v/>
      </c>
      <c r="AI87" s="9">
        <f>AC87-F87</f>
        <v/>
      </c>
      <c r="AJ87" s="9">
        <f>AD87-G87</f>
        <v/>
      </c>
      <c r="AK87" s="9">
        <f>Y87-X87</f>
        <v/>
      </c>
      <c r="AL87" s="9">
        <f>1000*(AA88-AA86)/(A88-A86)*Inputs!$C$11</f>
        <v/>
      </c>
      <c r="AM87" s="9">
        <f>-2*AL87/Inputs!$C$13</f>
        <v/>
      </c>
      <c r="AN87" s="9">
        <f>-2*AL87/Inputs!$C$14</f>
        <v/>
      </c>
      <c r="AO87" s="9">
        <f>ABS(AM87)</f>
        <v/>
      </c>
      <c r="AP87" s="9">
        <f>ABS(AN87)</f>
        <v/>
      </c>
      <c r="AQ87" s="9">
        <f>IF(OR(Inputs!$C$27=TRUE,Inputs!$C$27="TRUE",Inputs!$C$27=1),Inputs!$C$46/Inputs!$C$12,0)</f>
        <v/>
      </c>
      <c r="AR87" s="9">
        <f>AC87-AQ87</f>
        <v/>
      </c>
      <c r="AS87" s="9">
        <f>AC87+AQ87</f>
        <v/>
      </c>
    </row>
    <row r="88">
      <c r="A88" s="9">
        <f>Inputs!$C$7+86*(Inputs!$C$8-Inputs!$C$7)/240</f>
        <v/>
      </c>
      <c r="B88" s="9">
        <f>Inputs!$C$5+Inputs!$C$9*(A88/Inputs!$C$10)^2</f>
        <v/>
      </c>
      <c r="C88" s="9">
        <f>B88</f>
        <v/>
      </c>
      <c r="D88" s="9">
        <f>SQRT((Inputs!$C$52+B88)^2+Inputs!$C$52^2-2*(Inputs!$C$52+B88)*Inputs!$C$52*COS(SQRT(A88^2+Inputs!$C$6^2)/Inputs!$C$52))</f>
        <v/>
      </c>
      <c r="E88" s="9">
        <f>(D88-C88)*1000</f>
        <v/>
      </c>
      <c r="F88" s="9">
        <f>E88/Inputs!$C$12</f>
        <v/>
      </c>
      <c r="G88" s="9">
        <f>2*E88/Inputs!$C$21*1000000</f>
        <v/>
      </c>
      <c r="H88" s="9">
        <f>SQRT(A88^2+Inputs!$C$6^2)</f>
        <v/>
      </c>
      <c r="I88" s="9">
        <f>DEGREES(ATAN(H88/B88))</f>
        <v/>
      </c>
      <c r="J88" s="9">
        <f>DEGREES((2*PI()/Inputs!$C$13)*Inputs!$C$15*SIN(RADIANS(I88)))</f>
        <v/>
      </c>
      <c r="K88" s="9">
        <f>(C88/D88)^4</f>
        <v/>
      </c>
      <c r="L88" s="9">
        <f>10*LOG10(K88)</f>
        <v/>
      </c>
      <c r="M88" s="9">
        <f>2*(Inputs!$C$9/(Inputs!$C$10^2))*A88</f>
        <v/>
      </c>
      <c r="N88" s="9">
        <f>M88*Inputs!$C$11</f>
        <v/>
      </c>
      <c r="O88" s="9">
        <f>1000*(D89-D87)/(A89-A87)*Inputs!$C$11</f>
        <v/>
      </c>
      <c r="P88" s="9">
        <f>-2*O88/Inputs!$C$13</f>
        <v/>
      </c>
      <c r="Q88" s="9">
        <f>-2*O88/Inputs!$C$14</f>
        <v/>
      </c>
      <c r="R88" s="9">
        <f>F88-Inputs!$C$16/2</f>
        <v/>
      </c>
      <c r="S88" s="9">
        <f>F88+Inputs!$C$16/2</f>
        <v/>
      </c>
      <c r="T88" s="9">
        <f>F88-Inputs!$C$17/2</f>
        <v/>
      </c>
      <c r="U88" s="9">
        <f>F88+Inputs!$C$17/2</f>
        <v/>
      </c>
      <c r="V88" s="9">
        <f>ABS(P88)</f>
        <v/>
      </c>
      <c r="W88" s="9">
        <f>ABS(Q88)</f>
        <v/>
      </c>
      <c r="X88" s="9">
        <f>IF(OR(Inputs!$C$27=TRUE,Inputs!$C$27="TRUE",Inputs!$C$27=1),1,0)*(Inputs!$C$51*(115*EXP(-(((0)-25)^2)/(4.5^2))+70*EXP(-(((0)+38)^2)/(7^2))*(0.55+0.45*SIN(2*PI()*(A88)/45))+24*SIN(2*PI()*(0)/9+(A88)/18)*EXP(-(((0)+5)^2)/(22^2))+18*SIN(2*PI()*(A88)/70))+Inputs!$C$28*EXP(-(((A88)-Inputs!$C$29)^2)/(2*Inputs!$C$31^2))*EXP(-(((0)-Inputs!$C$30)^2)/(2*Inputs!$C$32^2))+-Inputs!$C$33*EXP(-(((((A88)-Inputs!$C$34)^2)+(((0)-Inputs!$C$35)^2))/(2*Inputs!$C$36^2)))+Inputs!$C$37*(0.55*SIN(2*PI()*(A88)/Inputs!$C$39)+0.35*COS(2*PI()*(0)/Inputs!$C$40)+0.2*SIN(2*PI()*((A88)+(0))/(0.5*(Inputs!$C$39+Inputs!$C$40))))+Inputs!$C$38*SIN(2*PI()*(A88)/Inputs!$C$39)*SIN(2*PI()*(0)/Inputs!$C$40)+-Inputs!$C$41*EXP(-(((0)-Inputs!$C$43)^2)/(2*Inputs!$C$44^2))*EXP(-(((A88)-Inputs!$C$42)^2)/(2*Inputs!$C$45^2))+Inputs!$C$48*(0.7*(0.45*SIN(2*PI()*(((A88)/Inputs!$C$49)+Inputs!$C$47*0.137))+0.35*COS(2*PI()*(((0)/Inputs!$C$50)+Inputs!$C$47*0.173))+0.2*SIN(2*PI()*(((A88)+(0))/(0.5*(Inputs!$C$49+Inputs!$C$50))+Inputs!$C$47*0.097)))+0.3*(2*((SIN(((A88)*12.9898+(0)*78.233+Inputs!$C$47*37.719))*43758.5453)-INT((SIN(((A88)*12.9898+(0)*78.233+Inputs!$C$47*37.719))*43758.5453)))-1)))</f>
        <v/>
      </c>
      <c r="Y88" s="9">
        <f>IF(OR(Inputs!$C$27=TRUE,Inputs!$C$27="TRUE",Inputs!$C$27=1),1,0)*(Inputs!$C$51*(115*EXP(-(((Inputs!$C$6)-25)^2)/(4.5^2))+70*EXP(-(((Inputs!$C$6)+38)^2)/(7^2))*(0.55+0.45*SIN(2*PI()*(A88)/45))+24*SIN(2*PI()*(Inputs!$C$6)/9+(A88)/18)*EXP(-(((Inputs!$C$6)+5)^2)/(22^2))+18*SIN(2*PI()*(A88)/70))+Inputs!$C$28*EXP(-(((A88)-Inputs!$C$29)^2)/(2*Inputs!$C$31^2))*EXP(-(((Inputs!$C$6)-Inputs!$C$30)^2)/(2*Inputs!$C$32^2))+-Inputs!$C$33*EXP(-(((((A88)-Inputs!$C$34)^2)+(((Inputs!$C$6)-Inputs!$C$35)^2))/(2*Inputs!$C$36^2)))+Inputs!$C$37*(0.55*SIN(2*PI()*(A88)/Inputs!$C$39)+0.35*COS(2*PI()*(Inputs!$C$6)/Inputs!$C$40)+0.2*SIN(2*PI()*((A88)+(Inputs!$C$6))/(0.5*(Inputs!$C$39+Inputs!$C$40))))+Inputs!$C$38*SIN(2*PI()*(A88)/Inputs!$C$39)*SIN(2*PI()*(Inputs!$C$6)/Inputs!$C$40)+-Inputs!$C$41*EXP(-(((Inputs!$C$6)-Inputs!$C$43)^2)/(2*Inputs!$C$44^2))*EXP(-(((A88)-Inputs!$C$42)^2)/(2*Inputs!$C$45^2))+Inputs!$C$48*(0.7*(0.45*SIN(2*PI()*(((A88)/Inputs!$C$49)+Inputs!$C$47*0.137))+0.35*COS(2*PI()*(((Inputs!$C$6)/Inputs!$C$50)+Inputs!$C$47*0.173))+0.2*SIN(2*PI()*(((A88)+(Inputs!$C$6))/(0.5*(Inputs!$C$49+Inputs!$C$50))+Inputs!$C$47*0.097)))+0.3*(2*((SIN(((A88)*12.9898+(Inputs!$C$6)*78.233+Inputs!$C$47*37.719))*43758.5453)-INT((SIN(((A88)*12.9898+(Inputs!$C$6)*78.233+Inputs!$C$47*37.719))*43758.5453)))-1)))</f>
        <v/>
      </c>
      <c r="Z88" s="9">
        <f>B88-X88/1000</f>
        <v/>
      </c>
      <c r="AA88" s="9">
        <f>SQRT((Inputs!$C$52+B88)^2+(Inputs!$C$52+Y88/1000)^2-2*(Inputs!$C$52+B88)*(Inputs!$C$52+Y88/1000)*COS(SQRT(A88^2+Inputs!$C$6^2)/Inputs!$C$52))</f>
        <v/>
      </c>
      <c r="AB88" s="9">
        <f>(AA88-Z88)*1000</f>
        <v/>
      </c>
      <c r="AC88" s="9">
        <f>AB88/Inputs!$C$12</f>
        <v/>
      </c>
      <c r="AD88" s="9">
        <f>2*AB88/Inputs!$C$21*1000000</f>
        <v/>
      </c>
      <c r="AE88" s="9">
        <f>DEGREES(ATAN(H88/(B88-Y88/1000)))</f>
        <v/>
      </c>
      <c r="AF88" s="9">
        <f>DEGREES((2*PI()/Inputs!$C$13)*Inputs!$C$15*SIN(RADIANS(AE88)))</f>
        <v/>
      </c>
      <c r="AG88" s="9">
        <f>(Z88/AA88)^4</f>
        <v/>
      </c>
      <c r="AH88" s="9">
        <f>10*LOG10(AG88)</f>
        <v/>
      </c>
      <c r="AI88" s="9">
        <f>AC88-F88</f>
        <v/>
      </c>
      <c r="AJ88" s="9">
        <f>AD88-G88</f>
        <v/>
      </c>
      <c r="AK88" s="9">
        <f>Y88-X88</f>
        <v/>
      </c>
      <c r="AL88" s="9">
        <f>1000*(AA89-AA87)/(A89-A87)*Inputs!$C$11</f>
        <v/>
      </c>
      <c r="AM88" s="9">
        <f>-2*AL88/Inputs!$C$13</f>
        <v/>
      </c>
      <c r="AN88" s="9">
        <f>-2*AL88/Inputs!$C$14</f>
        <v/>
      </c>
      <c r="AO88" s="9">
        <f>ABS(AM88)</f>
        <v/>
      </c>
      <c r="AP88" s="9">
        <f>ABS(AN88)</f>
        <v/>
      </c>
      <c r="AQ88" s="9">
        <f>IF(OR(Inputs!$C$27=TRUE,Inputs!$C$27="TRUE",Inputs!$C$27=1),Inputs!$C$46/Inputs!$C$12,0)</f>
        <v/>
      </c>
      <c r="AR88" s="9">
        <f>AC88-AQ88</f>
        <v/>
      </c>
      <c r="AS88" s="9">
        <f>AC88+AQ88</f>
        <v/>
      </c>
    </row>
    <row r="89">
      <c r="A89" s="9">
        <f>Inputs!$C$7+87*(Inputs!$C$8-Inputs!$C$7)/240</f>
        <v/>
      </c>
      <c r="B89" s="9">
        <f>Inputs!$C$5+Inputs!$C$9*(A89/Inputs!$C$10)^2</f>
        <v/>
      </c>
      <c r="C89" s="9">
        <f>B89</f>
        <v/>
      </c>
      <c r="D89" s="9">
        <f>SQRT((Inputs!$C$52+B89)^2+Inputs!$C$52^2-2*(Inputs!$C$52+B89)*Inputs!$C$52*COS(SQRT(A89^2+Inputs!$C$6^2)/Inputs!$C$52))</f>
        <v/>
      </c>
      <c r="E89" s="9">
        <f>(D89-C89)*1000</f>
        <v/>
      </c>
      <c r="F89" s="9">
        <f>E89/Inputs!$C$12</f>
        <v/>
      </c>
      <c r="G89" s="9">
        <f>2*E89/Inputs!$C$21*1000000</f>
        <v/>
      </c>
      <c r="H89" s="9">
        <f>SQRT(A89^2+Inputs!$C$6^2)</f>
        <v/>
      </c>
      <c r="I89" s="9">
        <f>DEGREES(ATAN(H89/B89))</f>
        <v/>
      </c>
      <c r="J89" s="9">
        <f>DEGREES((2*PI()/Inputs!$C$13)*Inputs!$C$15*SIN(RADIANS(I89)))</f>
        <v/>
      </c>
      <c r="K89" s="9">
        <f>(C89/D89)^4</f>
        <v/>
      </c>
      <c r="L89" s="9">
        <f>10*LOG10(K89)</f>
        <v/>
      </c>
      <c r="M89" s="9">
        <f>2*(Inputs!$C$9/(Inputs!$C$10^2))*A89</f>
        <v/>
      </c>
      <c r="N89" s="9">
        <f>M89*Inputs!$C$11</f>
        <v/>
      </c>
      <c r="O89" s="9">
        <f>1000*(D90-D88)/(A90-A88)*Inputs!$C$11</f>
        <v/>
      </c>
      <c r="P89" s="9">
        <f>-2*O89/Inputs!$C$13</f>
        <v/>
      </c>
      <c r="Q89" s="9">
        <f>-2*O89/Inputs!$C$14</f>
        <v/>
      </c>
      <c r="R89" s="9">
        <f>F89-Inputs!$C$16/2</f>
        <v/>
      </c>
      <c r="S89" s="9">
        <f>F89+Inputs!$C$16/2</f>
        <v/>
      </c>
      <c r="T89" s="9">
        <f>F89-Inputs!$C$17/2</f>
        <v/>
      </c>
      <c r="U89" s="9">
        <f>F89+Inputs!$C$17/2</f>
        <v/>
      </c>
      <c r="V89" s="9">
        <f>ABS(P89)</f>
        <v/>
      </c>
      <c r="W89" s="9">
        <f>ABS(Q89)</f>
        <v/>
      </c>
      <c r="X89" s="9">
        <f>IF(OR(Inputs!$C$27=TRUE,Inputs!$C$27="TRUE",Inputs!$C$27=1),1,0)*(Inputs!$C$51*(115*EXP(-(((0)-25)^2)/(4.5^2))+70*EXP(-(((0)+38)^2)/(7^2))*(0.55+0.45*SIN(2*PI()*(A89)/45))+24*SIN(2*PI()*(0)/9+(A89)/18)*EXP(-(((0)+5)^2)/(22^2))+18*SIN(2*PI()*(A89)/70))+Inputs!$C$28*EXP(-(((A89)-Inputs!$C$29)^2)/(2*Inputs!$C$31^2))*EXP(-(((0)-Inputs!$C$30)^2)/(2*Inputs!$C$32^2))+-Inputs!$C$33*EXP(-(((((A89)-Inputs!$C$34)^2)+(((0)-Inputs!$C$35)^2))/(2*Inputs!$C$36^2)))+Inputs!$C$37*(0.55*SIN(2*PI()*(A89)/Inputs!$C$39)+0.35*COS(2*PI()*(0)/Inputs!$C$40)+0.2*SIN(2*PI()*((A89)+(0))/(0.5*(Inputs!$C$39+Inputs!$C$40))))+Inputs!$C$38*SIN(2*PI()*(A89)/Inputs!$C$39)*SIN(2*PI()*(0)/Inputs!$C$40)+-Inputs!$C$41*EXP(-(((0)-Inputs!$C$43)^2)/(2*Inputs!$C$44^2))*EXP(-(((A89)-Inputs!$C$42)^2)/(2*Inputs!$C$45^2))+Inputs!$C$48*(0.7*(0.45*SIN(2*PI()*(((A89)/Inputs!$C$49)+Inputs!$C$47*0.137))+0.35*COS(2*PI()*(((0)/Inputs!$C$50)+Inputs!$C$47*0.173))+0.2*SIN(2*PI()*(((A89)+(0))/(0.5*(Inputs!$C$49+Inputs!$C$50))+Inputs!$C$47*0.097)))+0.3*(2*((SIN(((A89)*12.9898+(0)*78.233+Inputs!$C$47*37.719))*43758.5453)-INT((SIN(((A89)*12.9898+(0)*78.233+Inputs!$C$47*37.719))*43758.5453)))-1)))</f>
        <v/>
      </c>
      <c r="Y89" s="9">
        <f>IF(OR(Inputs!$C$27=TRUE,Inputs!$C$27="TRUE",Inputs!$C$27=1),1,0)*(Inputs!$C$51*(115*EXP(-(((Inputs!$C$6)-25)^2)/(4.5^2))+70*EXP(-(((Inputs!$C$6)+38)^2)/(7^2))*(0.55+0.45*SIN(2*PI()*(A89)/45))+24*SIN(2*PI()*(Inputs!$C$6)/9+(A89)/18)*EXP(-(((Inputs!$C$6)+5)^2)/(22^2))+18*SIN(2*PI()*(A89)/70))+Inputs!$C$28*EXP(-(((A89)-Inputs!$C$29)^2)/(2*Inputs!$C$31^2))*EXP(-(((Inputs!$C$6)-Inputs!$C$30)^2)/(2*Inputs!$C$32^2))+-Inputs!$C$33*EXP(-(((((A89)-Inputs!$C$34)^2)+(((Inputs!$C$6)-Inputs!$C$35)^2))/(2*Inputs!$C$36^2)))+Inputs!$C$37*(0.55*SIN(2*PI()*(A89)/Inputs!$C$39)+0.35*COS(2*PI()*(Inputs!$C$6)/Inputs!$C$40)+0.2*SIN(2*PI()*((A89)+(Inputs!$C$6))/(0.5*(Inputs!$C$39+Inputs!$C$40))))+Inputs!$C$38*SIN(2*PI()*(A89)/Inputs!$C$39)*SIN(2*PI()*(Inputs!$C$6)/Inputs!$C$40)+-Inputs!$C$41*EXP(-(((Inputs!$C$6)-Inputs!$C$43)^2)/(2*Inputs!$C$44^2))*EXP(-(((A89)-Inputs!$C$42)^2)/(2*Inputs!$C$45^2))+Inputs!$C$48*(0.7*(0.45*SIN(2*PI()*(((A89)/Inputs!$C$49)+Inputs!$C$47*0.137))+0.35*COS(2*PI()*(((Inputs!$C$6)/Inputs!$C$50)+Inputs!$C$47*0.173))+0.2*SIN(2*PI()*(((A89)+(Inputs!$C$6))/(0.5*(Inputs!$C$49+Inputs!$C$50))+Inputs!$C$47*0.097)))+0.3*(2*((SIN(((A89)*12.9898+(Inputs!$C$6)*78.233+Inputs!$C$47*37.719))*43758.5453)-INT((SIN(((A89)*12.9898+(Inputs!$C$6)*78.233+Inputs!$C$47*37.719))*43758.5453)))-1)))</f>
        <v/>
      </c>
      <c r="Z89" s="9">
        <f>B89-X89/1000</f>
        <v/>
      </c>
      <c r="AA89" s="9">
        <f>SQRT((Inputs!$C$52+B89)^2+(Inputs!$C$52+Y89/1000)^2-2*(Inputs!$C$52+B89)*(Inputs!$C$52+Y89/1000)*COS(SQRT(A89^2+Inputs!$C$6^2)/Inputs!$C$52))</f>
        <v/>
      </c>
      <c r="AB89" s="9">
        <f>(AA89-Z89)*1000</f>
        <v/>
      </c>
      <c r="AC89" s="9">
        <f>AB89/Inputs!$C$12</f>
        <v/>
      </c>
      <c r="AD89" s="9">
        <f>2*AB89/Inputs!$C$21*1000000</f>
        <v/>
      </c>
      <c r="AE89" s="9">
        <f>DEGREES(ATAN(H89/(B89-Y89/1000)))</f>
        <v/>
      </c>
      <c r="AF89" s="9">
        <f>DEGREES((2*PI()/Inputs!$C$13)*Inputs!$C$15*SIN(RADIANS(AE89)))</f>
        <v/>
      </c>
      <c r="AG89" s="9">
        <f>(Z89/AA89)^4</f>
        <v/>
      </c>
      <c r="AH89" s="9">
        <f>10*LOG10(AG89)</f>
        <v/>
      </c>
      <c r="AI89" s="9">
        <f>AC89-F89</f>
        <v/>
      </c>
      <c r="AJ89" s="9">
        <f>AD89-G89</f>
        <v/>
      </c>
      <c r="AK89" s="9">
        <f>Y89-X89</f>
        <v/>
      </c>
      <c r="AL89" s="9">
        <f>1000*(AA90-AA88)/(A90-A88)*Inputs!$C$11</f>
        <v/>
      </c>
      <c r="AM89" s="9">
        <f>-2*AL89/Inputs!$C$13</f>
        <v/>
      </c>
      <c r="AN89" s="9">
        <f>-2*AL89/Inputs!$C$14</f>
        <v/>
      </c>
      <c r="AO89" s="9">
        <f>ABS(AM89)</f>
        <v/>
      </c>
      <c r="AP89" s="9">
        <f>ABS(AN89)</f>
        <v/>
      </c>
      <c r="AQ89" s="9">
        <f>IF(OR(Inputs!$C$27=TRUE,Inputs!$C$27="TRUE",Inputs!$C$27=1),Inputs!$C$46/Inputs!$C$12,0)</f>
        <v/>
      </c>
      <c r="AR89" s="9">
        <f>AC89-AQ89</f>
        <v/>
      </c>
      <c r="AS89" s="9">
        <f>AC89+AQ89</f>
        <v/>
      </c>
    </row>
    <row r="90">
      <c r="A90" s="9">
        <f>Inputs!$C$7+88*(Inputs!$C$8-Inputs!$C$7)/240</f>
        <v/>
      </c>
      <c r="B90" s="9">
        <f>Inputs!$C$5+Inputs!$C$9*(A90/Inputs!$C$10)^2</f>
        <v/>
      </c>
      <c r="C90" s="9">
        <f>B90</f>
        <v/>
      </c>
      <c r="D90" s="9">
        <f>SQRT((Inputs!$C$52+B90)^2+Inputs!$C$52^2-2*(Inputs!$C$52+B90)*Inputs!$C$52*COS(SQRT(A90^2+Inputs!$C$6^2)/Inputs!$C$52))</f>
        <v/>
      </c>
      <c r="E90" s="9">
        <f>(D90-C90)*1000</f>
        <v/>
      </c>
      <c r="F90" s="9">
        <f>E90/Inputs!$C$12</f>
        <v/>
      </c>
      <c r="G90" s="9">
        <f>2*E90/Inputs!$C$21*1000000</f>
        <v/>
      </c>
      <c r="H90" s="9">
        <f>SQRT(A90^2+Inputs!$C$6^2)</f>
        <v/>
      </c>
      <c r="I90" s="9">
        <f>DEGREES(ATAN(H90/B90))</f>
        <v/>
      </c>
      <c r="J90" s="9">
        <f>DEGREES((2*PI()/Inputs!$C$13)*Inputs!$C$15*SIN(RADIANS(I90)))</f>
        <v/>
      </c>
      <c r="K90" s="9">
        <f>(C90/D90)^4</f>
        <v/>
      </c>
      <c r="L90" s="9">
        <f>10*LOG10(K90)</f>
        <v/>
      </c>
      <c r="M90" s="9">
        <f>2*(Inputs!$C$9/(Inputs!$C$10^2))*A90</f>
        <v/>
      </c>
      <c r="N90" s="9">
        <f>M90*Inputs!$C$11</f>
        <v/>
      </c>
      <c r="O90" s="9">
        <f>1000*(D91-D89)/(A91-A89)*Inputs!$C$11</f>
        <v/>
      </c>
      <c r="P90" s="9">
        <f>-2*O90/Inputs!$C$13</f>
        <v/>
      </c>
      <c r="Q90" s="9">
        <f>-2*O90/Inputs!$C$14</f>
        <v/>
      </c>
      <c r="R90" s="9">
        <f>F90-Inputs!$C$16/2</f>
        <v/>
      </c>
      <c r="S90" s="9">
        <f>F90+Inputs!$C$16/2</f>
        <v/>
      </c>
      <c r="T90" s="9">
        <f>F90-Inputs!$C$17/2</f>
        <v/>
      </c>
      <c r="U90" s="9">
        <f>F90+Inputs!$C$17/2</f>
        <v/>
      </c>
      <c r="V90" s="9">
        <f>ABS(P90)</f>
        <v/>
      </c>
      <c r="W90" s="9">
        <f>ABS(Q90)</f>
        <v/>
      </c>
      <c r="X90" s="9">
        <f>IF(OR(Inputs!$C$27=TRUE,Inputs!$C$27="TRUE",Inputs!$C$27=1),1,0)*(Inputs!$C$51*(115*EXP(-(((0)-25)^2)/(4.5^2))+70*EXP(-(((0)+38)^2)/(7^2))*(0.55+0.45*SIN(2*PI()*(A90)/45))+24*SIN(2*PI()*(0)/9+(A90)/18)*EXP(-(((0)+5)^2)/(22^2))+18*SIN(2*PI()*(A90)/70))+Inputs!$C$28*EXP(-(((A90)-Inputs!$C$29)^2)/(2*Inputs!$C$31^2))*EXP(-(((0)-Inputs!$C$30)^2)/(2*Inputs!$C$32^2))+-Inputs!$C$33*EXP(-(((((A90)-Inputs!$C$34)^2)+(((0)-Inputs!$C$35)^2))/(2*Inputs!$C$36^2)))+Inputs!$C$37*(0.55*SIN(2*PI()*(A90)/Inputs!$C$39)+0.35*COS(2*PI()*(0)/Inputs!$C$40)+0.2*SIN(2*PI()*((A90)+(0))/(0.5*(Inputs!$C$39+Inputs!$C$40))))+Inputs!$C$38*SIN(2*PI()*(A90)/Inputs!$C$39)*SIN(2*PI()*(0)/Inputs!$C$40)+-Inputs!$C$41*EXP(-(((0)-Inputs!$C$43)^2)/(2*Inputs!$C$44^2))*EXP(-(((A90)-Inputs!$C$42)^2)/(2*Inputs!$C$45^2))+Inputs!$C$48*(0.7*(0.45*SIN(2*PI()*(((A90)/Inputs!$C$49)+Inputs!$C$47*0.137))+0.35*COS(2*PI()*(((0)/Inputs!$C$50)+Inputs!$C$47*0.173))+0.2*SIN(2*PI()*(((A90)+(0))/(0.5*(Inputs!$C$49+Inputs!$C$50))+Inputs!$C$47*0.097)))+0.3*(2*((SIN(((A90)*12.9898+(0)*78.233+Inputs!$C$47*37.719))*43758.5453)-INT((SIN(((A90)*12.9898+(0)*78.233+Inputs!$C$47*37.719))*43758.5453)))-1)))</f>
        <v/>
      </c>
      <c r="Y90" s="9">
        <f>IF(OR(Inputs!$C$27=TRUE,Inputs!$C$27="TRUE",Inputs!$C$27=1),1,0)*(Inputs!$C$51*(115*EXP(-(((Inputs!$C$6)-25)^2)/(4.5^2))+70*EXP(-(((Inputs!$C$6)+38)^2)/(7^2))*(0.55+0.45*SIN(2*PI()*(A90)/45))+24*SIN(2*PI()*(Inputs!$C$6)/9+(A90)/18)*EXP(-(((Inputs!$C$6)+5)^2)/(22^2))+18*SIN(2*PI()*(A90)/70))+Inputs!$C$28*EXP(-(((A90)-Inputs!$C$29)^2)/(2*Inputs!$C$31^2))*EXP(-(((Inputs!$C$6)-Inputs!$C$30)^2)/(2*Inputs!$C$32^2))+-Inputs!$C$33*EXP(-(((((A90)-Inputs!$C$34)^2)+(((Inputs!$C$6)-Inputs!$C$35)^2))/(2*Inputs!$C$36^2)))+Inputs!$C$37*(0.55*SIN(2*PI()*(A90)/Inputs!$C$39)+0.35*COS(2*PI()*(Inputs!$C$6)/Inputs!$C$40)+0.2*SIN(2*PI()*((A90)+(Inputs!$C$6))/(0.5*(Inputs!$C$39+Inputs!$C$40))))+Inputs!$C$38*SIN(2*PI()*(A90)/Inputs!$C$39)*SIN(2*PI()*(Inputs!$C$6)/Inputs!$C$40)+-Inputs!$C$41*EXP(-(((Inputs!$C$6)-Inputs!$C$43)^2)/(2*Inputs!$C$44^2))*EXP(-(((A90)-Inputs!$C$42)^2)/(2*Inputs!$C$45^2))+Inputs!$C$48*(0.7*(0.45*SIN(2*PI()*(((A90)/Inputs!$C$49)+Inputs!$C$47*0.137))+0.35*COS(2*PI()*(((Inputs!$C$6)/Inputs!$C$50)+Inputs!$C$47*0.173))+0.2*SIN(2*PI()*(((A90)+(Inputs!$C$6))/(0.5*(Inputs!$C$49+Inputs!$C$50))+Inputs!$C$47*0.097)))+0.3*(2*((SIN(((A90)*12.9898+(Inputs!$C$6)*78.233+Inputs!$C$47*37.719))*43758.5453)-INT((SIN(((A90)*12.9898+(Inputs!$C$6)*78.233+Inputs!$C$47*37.719))*43758.5453)))-1)))</f>
        <v/>
      </c>
      <c r="Z90" s="9">
        <f>B90-X90/1000</f>
        <v/>
      </c>
      <c r="AA90" s="9">
        <f>SQRT((Inputs!$C$52+B90)^2+(Inputs!$C$52+Y90/1000)^2-2*(Inputs!$C$52+B90)*(Inputs!$C$52+Y90/1000)*COS(SQRT(A90^2+Inputs!$C$6^2)/Inputs!$C$52))</f>
        <v/>
      </c>
      <c r="AB90" s="9">
        <f>(AA90-Z90)*1000</f>
        <v/>
      </c>
      <c r="AC90" s="9">
        <f>AB90/Inputs!$C$12</f>
        <v/>
      </c>
      <c r="AD90" s="9">
        <f>2*AB90/Inputs!$C$21*1000000</f>
        <v/>
      </c>
      <c r="AE90" s="9">
        <f>DEGREES(ATAN(H90/(B90-Y90/1000)))</f>
        <v/>
      </c>
      <c r="AF90" s="9">
        <f>DEGREES((2*PI()/Inputs!$C$13)*Inputs!$C$15*SIN(RADIANS(AE90)))</f>
        <v/>
      </c>
      <c r="AG90" s="9">
        <f>(Z90/AA90)^4</f>
        <v/>
      </c>
      <c r="AH90" s="9">
        <f>10*LOG10(AG90)</f>
        <v/>
      </c>
      <c r="AI90" s="9">
        <f>AC90-F90</f>
        <v/>
      </c>
      <c r="AJ90" s="9">
        <f>AD90-G90</f>
        <v/>
      </c>
      <c r="AK90" s="9">
        <f>Y90-X90</f>
        <v/>
      </c>
      <c r="AL90" s="9">
        <f>1000*(AA91-AA89)/(A91-A89)*Inputs!$C$11</f>
        <v/>
      </c>
      <c r="AM90" s="9">
        <f>-2*AL90/Inputs!$C$13</f>
        <v/>
      </c>
      <c r="AN90" s="9">
        <f>-2*AL90/Inputs!$C$14</f>
        <v/>
      </c>
      <c r="AO90" s="9">
        <f>ABS(AM90)</f>
        <v/>
      </c>
      <c r="AP90" s="9">
        <f>ABS(AN90)</f>
        <v/>
      </c>
      <c r="AQ90" s="9">
        <f>IF(OR(Inputs!$C$27=TRUE,Inputs!$C$27="TRUE",Inputs!$C$27=1),Inputs!$C$46/Inputs!$C$12,0)</f>
        <v/>
      </c>
      <c r="AR90" s="9">
        <f>AC90-AQ90</f>
        <v/>
      </c>
      <c r="AS90" s="9">
        <f>AC90+AQ90</f>
        <v/>
      </c>
    </row>
    <row r="91">
      <c r="A91" s="9">
        <f>Inputs!$C$7+89*(Inputs!$C$8-Inputs!$C$7)/240</f>
        <v/>
      </c>
      <c r="B91" s="9">
        <f>Inputs!$C$5+Inputs!$C$9*(A91/Inputs!$C$10)^2</f>
        <v/>
      </c>
      <c r="C91" s="9">
        <f>B91</f>
        <v/>
      </c>
      <c r="D91" s="9">
        <f>SQRT((Inputs!$C$52+B91)^2+Inputs!$C$52^2-2*(Inputs!$C$52+B91)*Inputs!$C$52*COS(SQRT(A91^2+Inputs!$C$6^2)/Inputs!$C$52))</f>
        <v/>
      </c>
      <c r="E91" s="9">
        <f>(D91-C91)*1000</f>
        <v/>
      </c>
      <c r="F91" s="9">
        <f>E91/Inputs!$C$12</f>
        <v/>
      </c>
      <c r="G91" s="9">
        <f>2*E91/Inputs!$C$21*1000000</f>
        <v/>
      </c>
      <c r="H91" s="9">
        <f>SQRT(A91^2+Inputs!$C$6^2)</f>
        <v/>
      </c>
      <c r="I91" s="9">
        <f>DEGREES(ATAN(H91/B91))</f>
        <v/>
      </c>
      <c r="J91" s="9">
        <f>DEGREES((2*PI()/Inputs!$C$13)*Inputs!$C$15*SIN(RADIANS(I91)))</f>
        <v/>
      </c>
      <c r="K91" s="9">
        <f>(C91/D91)^4</f>
        <v/>
      </c>
      <c r="L91" s="9">
        <f>10*LOG10(K91)</f>
        <v/>
      </c>
      <c r="M91" s="9">
        <f>2*(Inputs!$C$9/(Inputs!$C$10^2))*A91</f>
        <v/>
      </c>
      <c r="N91" s="9">
        <f>M91*Inputs!$C$11</f>
        <v/>
      </c>
      <c r="O91" s="9">
        <f>1000*(D92-D90)/(A92-A90)*Inputs!$C$11</f>
        <v/>
      </c>
      <c r="P91" s="9">
        <f>-2*O91/Inputs!$C$13</f>
        <v/>
      </c>
      <c r="Q91" s="9">
        <f>-2*O91/Inputs!$C$14</f>
        <v/>
      </c>
      <c r="R91" s="9">
        <f>F91-Inputs!$C$16/2</f>
        <v/>
      </c>
      <c r="S91" s="9">
        <f>F91+Inputs!$C$16/2</f>
        <v/>
      </c>
      <c r="T91" s="9">
        <f>F91-Inputs!$C$17/2</f>
        <v/>
      </c>
      <c r="U91" s="9">
        <f>F91+Inputs!$C$17/2</f>
        <v/>
      </c>
      <c r="V91" s="9">
        <f>ABS(P91)</f>
        <v/>
      </c>
      <c r="W91" s="9">
        <f>ABS(Q91)</f>
        <v/>
      </c>
      <c r="X91" s="9">
        <f>IF(OR(Inputs!$C$27=TRUE,Inputs!$C$27="TRUE",Inputs!$C$27=1),1,0)*(Inputs!$C$51*(115*EXP(-(((0)-25)^2)/(4.5^2))+70*EXP(-(((0)+38)^2)/(7^2))*(0.55+0.45*SIN(2*PI()*(A91)/45))+24*SIN(2*PI()*(0)/9+(A91)/18)*EXP(-(((0)+5)^2)/(22^2))+18*SIN(2*PI()*(A91)/70))+Inputs!$C$28*EXP(-(((A91)-Inputs!$C$29)^2)/(2*Inputs!$C$31^2))*EXP(-(((0)-Inputs!$C$30)^2)/(2*Inputs!$C$32^2))+-Inputs!$C$33*EXP(-(((((A91)-Inputs!$C$34)^2)+(((0)-Inputs!$C$35)^2))/(2*Inputs!$C$36^2)))+Inputs!$C$37*(0.55*SIN(2*PI()*(A91)/Inputs!$C$39)+0.35*COS(2*PI()*(0)/Inputs!$C$40)+0.2*SIN(2*PI()*((A91)+(0))/(0.5*(Inputs!$C$39+Inputs!$C$40))))+Inputs!$C$38*SIN(2*PI()*(A91)/Inputs!$C$39)*SIN(2*PI()*(0)/Inputs!$C$40)+-Inputs!$C$41*EXP(-(((0)-Inputs!$C$43)^2)/(2*Inputs!$C$44^2))*EXP(-(((A91)-Inputs!$C$42)^2)/(2*Inputs!$C$45^2))+Inputs!$C$48*(0.7*(0.45*SIN(2*PI()*(((A91)/Inputs!$C$49)+Inputs!$C$47*0.137))+0.35*COS(2*PI()*(((0)/Inputs!$C$50)+Inputs!$C$47*0.173))+0.2*SIN(2*PI()*(((A91)+(0))/(0.5*(Inputs!$C$49+Inputs!$C$50))+Inputs!$C$47*0.097)))+0.3*(2*((SIN(((A91)*12.9898+(0)*78.233+Inputs!$C$47*37.719))*43758.5453)-INT((SIN(((A91)*12.9898+(0)*78.233+Inputs!$C$47*37.719))*43758.5453)))-1)))</f>
        <v/>
      </c>
      <c r="Y91" s="9">
        <f>IF(OR(Inputs!$C$27=TRUE,Inputs!$C$27="TRUE",Inputs!$C$27=1),1,0)*(Inputs!$C$51*(115*EXP(-(((Inputs!$C$6)-25)^2)/(4.5^2))+70*EXP(-(((Inputs!$C$6)+38)^2)/(7^2))*(0.55+0.45*SIN(2*PI()*(A91)/45))+24*SIN(2*PI()*(Inputs!$C$6)/9+(A91)/18)*EXP(-(((Inputs!$C$6)+5)^2)/(22^2))+18*SIN(2*PI()*(A91)/70))+Inputs!$C$28*EXP(-(((A91)-Inputs!$C$29)^2)/(2*Inputs!$C$31^2))*EXP(-(((Inputs!$C$6)-Inputs!$C$30)^2)/(2*Inputs!$C$32^2))+-Inputs!$C$33*EXP(-(((((A91)-Inputs!$C$34)^2)+(((Inputs!$C$6)-Inputs!$C$35)^2))/(2*Inputs!$C$36^2)))+Inputs!$C$37*(0.55*SIN(2*PI()*(A91)/Inputs!$C$39)+0.35*COS(2*PI()*(Inputs!$C$6)/Inputs!$C$40)+0.2*SIN(2*PI()*((A91)+(Inputs!$C$6))/(0.5*(Inputs!$C$39+Inputs!$C$40))))+Inputs!$C$38*SIN(2*PI()*(A91)/Inputs!$C$39)*SIN(2*PI()*(Inputs!$C$6)/Inputs!$C$40)+-Inputs!$C$41*EXP(-(((Inputs!$C$6)-Inputs!$C$43)^2)/(2*Inputs!$C$44^2))*EXP(-(((A91)-Inputs!$C$42)^2)/(2*Inputs!$C$45^2))+Inputs!$C$48*(0.7*(0.45*SIN(2*PI()*(((A91)/Inputs!$C$49)+Inputs!$C$47*0.137))+0.35*COS(2*PI()*(((Inputs!$C$6)/Inputs!$C$50)+Inputs!$C$47*0.173))+0.2*SIN(2*PI()*(((A91)+(Inputs!$C$6))/(0.5*(Inputs!$C$49+Inputs!$C$50))+Inputs!$C$47*0.097)))+0.3*(2*((SIN(((A91)*12.9898+(Inputs!$C$6)*78.233+Inputs!$C$47*37.719))*43758.5453)-INT((SIN(((A91)*12.9898+(Inputs!$C$6)*78.233+Inputs!$C$47*37.719))*43758.5453)))-1)))</f>
        <v/>
      </c>
      <c r="Z91" s="9">
        <f>B91-X91/1000</f>
        <v/>
      </c>
      <c r="AA91" s="9">
        <f>SQRT((Inputs!$C$52+B91)^2+(Inputs!$C$52+Y91/1000)^2-2*(Inputs!$C$52+B91)*(Inputs!$C$52+Y91/1000)*COS(SQRT(A91^2+Inputs!$C$6^2)/Inputs!$C$52))</f>
        <v/>
      </c>
      <c r="AB91" s="9">
        <f>(AA91-Z91)*1000</f>
        <v/>
      </c>
      <c r="AC91" s="9">
        <f>AB91/Inputs!$C$12</f>
        <v/>
      </c>
      <c r="AD91" s="9">
        <f>2*AB91/Inputs!$C$21*1000000</f>
        <v/>
      </c>
      <c r="AE91" s="9">
        <f>DEGREES(ATAN(H91/(B91-Y91/1000)))</f>
        <v/>
      </c>
      <c r="AF91" s="9">
        <f>DEGREES((2*PI()/Inputs!$C$13)*Inputs!$C$15*SIN(RADIANS(AE91)))</f>
        <v/>
      </c>
      <c r="AG91" s="9">
        <f>(Z91/AA91)^4</f>
        <v/>
      </c>
      <c r="AH91" s="9">
        <f>10*LOG10(AG91)</f>
        <v/>
      </c>
      <c r="AI91" s="9">
        <f>AC91-F91</f>
        <v/>
      </c>
      <c r="AJ91" s="9">
        <f>AD91-G91</f>
        <v/>
      </c>
      <c r="AK91" s="9">
        <f>Y91-X91</f>
        <v/>
      </c>
      <c r="AL91" s="9">
        <f>1000*(AA92-AA90)/(A92-A90)*Inputs!$C$11</f>
        <v/>
      </c>
      <c r="AM91" s="9">
        <f>-2*AL91/Inputs!$C$13</f>
        <v/>
      </c>
      <c r="AN91" s="9">
        <f>-2*AL91/Inputs!$C$14</f>
        <v/>
      </c>
      <c r="AO91" s="9">
        <f>ABS(AM91)</f>
        <v/>
      </c>
      <c r="AP91" s="9">
        <f>ABS(AN91)</f>
        <v/>
      </c>
      <c r="AQ91" s="9">
        <f>IF(OR(Inputs!$C$27=TRUE,Inputs!$C$27="TRUE",Inputs!$C$27=1),Inputs!$C$46/Inputs!$C$12,0)</f>
        <v/>
      </c>
      <c r="AR91" s="9">
        <f>AC91-AQ91</f>
        <v/>
      </c>
      <c r="AS91" s="9">
        <f>AC91+AQ91</f>
        <v/>
      </c>
    </row>
    <row r="92">
      <c r="A92" s="9">
        <f>Inputs!$C$7+90*(Inputs!$C$8-Inputs!$C$7)/240</f>
        <v/>
      </c>
      <c r="B92" s="9">
        <f>Inputs!$C$5+Inputs!$C$9*(A92/Inputs!$C$10)^2</f>
        <v/>
      </c>
      <c r="C92" s="9">
        <f>B92</f>
        <v/>
      </c>
      <c r="D92" s="9">
        <f>SQRT((Inputs!$C$52+B92)^2+Inputs!$C$52^2-2*(Inputs!$C$52+B92)*Inputs!$C$52*COS(SQRT(A92^2+Inputs!$C$6^2)/Inputs!$C$52))</f>
        <v/>
      </c>
      <c r="E92" s="9">
        <f>(D92-C92)*1000</f>
        <v/>
      </c>
      <c r="F92" s="9">
        <f>E92/Inputs!$C$12</f>
        <v/>
      </c>
      <c r="G92" s="9">
        <f>2*E92/Inputs!$C$21*1000000</f>
        <v/>
      </c>
      <c r="H92" s="9">
        <f>SQRT(A92^2+Inputs!$C$6^2)</f>
        <v/>
      </c>
      <c r="I92" s="9">
        <f>DEGREES(ATAN(H92/B92))</f>
        <v/>
      </c>
      <c r="J92" s="9">
        <f>DEGREES((2*PI()/Inputs!$C$13)*Inputs!$C$15*SIN(RADIANS(I92)))</f>
        <v/>
      </c>
      <c r="K92" s="9">
        <f>(C92/D92)^4</f>
        <v/>
      </c>
      <c r="L92" s="9">
        <f>10*LOG10(K92)</f>
        <v/>
      </c>
      <c r="M92" s="9">
        <f>2*(Inputs!$C$9/(Inputs!$C$10^2))*A92</f>
        <v/>
      </c>
      <c r="N92" s="9">
        <f>M92*Inputs!$C$11</f>
        <v/>
      </c>
      <c r="O92" s="9">
        <f>1000*(D93-D91)/(A93-A91)*Inputs!$C$11</f>
        <v/>
      </c>
      <c r="P92" s="9">
        <f>-2*O92/Inputs!$C$13</f>
        <v/>
      </c>
      <c r="Q92" s="9">
        <f>-2*O92/Inputs!$C$14</f>
        <v/>
      </c>
      <c r="R92" s="9">
        <f>F92-Inputs!$C$16/2</f>
        <v/>
      </c>
      <c r="S92" s="9">
        <f>F92+Inputs!$C$16/2</f>
        <v/>
      </c>
      <c r="T92" s="9">
        <f>F92-Inputs!$C$17/2</f>
        <v/>
      </c>
      <c r="U92" s="9">
        <f>F92+Inputs!$C$17/2</f>
        <v/>
      </c>
      <c r="V92" s="9">
        <f>ABS(P92)</f>
        <v/>
      </c>
      <c r="W92" s="9">
        <f>ABS(Q92)</f>
        <v/>
      </c>
      <c r="X92" s="9">
        <f>IF(OR(Inputs!$C$27=TRUE,Inputs!$C$27="TRUE",Inputs!$C$27=1),1,0)*(Inputs!$C$51*(115*EXP(-(((0)-25)^2)/(4.5^2))+70*EXP(-(((0)+38)^2)/(7^2))*(0.55+0.45*SIN(2*PI()*(A92)/45))+24*SIN(2*PI()*(0)/9+(A92)/18)*EXP(-(((0)+5)^2)/(22^2))+18*SIN(2*PI()*(A92)/70))+Inputs!$C$28*EXP(-(((A92)-Inputs!$C$29)^2)/(2*Inputs!$C$31^2))*EXP(-(((0)-Inputs!$C$30)^2)/(2*Inputs!$C$32^2))+-Inputs!$C$33*EXP(-(((((A92)-Inputs!$C$34)^2)+(((0)-Inputs!$C$35)^2))/(2*Inputs!$C$36^2)))+Inputs!$C$37*(0.55*SIN(2*PI()*(A92)/Inputs!$C$39)+0.35*COS(2*PI()*(0)/Inputs!$C$40)+0.2*SIN(2*PI()*((A92)+(0))/(0.5*(Inputs!$C$39+Inputs!$C$40))))+Inputs!$C$38*SIN(2*PI()*(A92)/Inputs!$C$39)*SIN(2*PI()*(0)/Inputs!$C$40)+-Inputs!$C$41*EXP(-(((0)-Inputs!$C$43)^2)/(2*Inputs!$C$44^2))*EXP(-(((A92)-Inputs!$C$42)^2)/(2*Inputs!$C$45^2))+Inputs!$C$48*(0.7*(0.45*SIN(2*PI()*(((A92)/Inputs!$C$49)+Inputs!$C$47*0.137))+0.35*COS(2*PI()*(((0)/Inputs!$C$50)+Inputs!$C$47*0.173))+0.2*SIN(2*PI()*(((A92)+(0))/(0.5*(Inputs!$C$49+Inputs!$C$50))+Inputs!$C$47*0.097)))+0.3*(2*((SIN(((A92)*12.9898+(0)*78.233+Inputs!$C$47*37.719))*43758.5453)-INT((SIN(((A92)*12.9898+(0)*78.233+Inputs!$C$47*37.719))*43758.5453)))-1)))</f>
        <v/>
      </c>
      <c r="Y92" s="9">
        <f>IF(OR(Inputs!$C$27=TRUE,Inputs!$C$27="TRUE",Inputs!$C$27=1),1,0)*(Inputs!$C$51*(115*EXP(-(((Inputs!$C$6)-25)^2)/(4.5^2))+70*EXP(-(((Inputs!$C$6)+38)^2)/(7^2))*(0.55+0.45*SIN(2*PI()*(A92)/45))+24*SIN(2*PI()*(Inputs!$C$6)/9+(A92)/18)*EXP(-(((Inputs!$C$6)+5)^2)/(22^2))+18*SIN(2*PI()*(A92)/70))+Inputs!$C$28*EXP(-(((A92)-Inputs!$C$29)^2)/(2*Inputs!$C$31^2))*EXP(-(((Inputs!$C$6)-Inputs!$C$30)^2)/(2*Inputs!$C$32^2))+-Inputs!$C$33*EXP(-(((((A92)-Inputs!$C$34)^2)+(((Inputs!$C$6)-Inputs!$C$35)^2))/(2*Inputs!$C$36^2)))+Inputs!$C$37*(0.55*SIN(2*PI()*(A92)/Inputs!$C$39)+0.35*COS(2*PI()*(Inputs!$C$6)/Inputs!$C$40)+0.2*SIN(2*PI()*((A92)+(Inputs!$C$6))/(0.5*(Inputs!$C$39+Inputs!$C$40))))+Inputs!$C$38*SIN(2*PI()*(A92)/Inputs!$C$39)*SIN(2*PI()*(Inputs!$C$6)/Inputs!$C$40)+-Inputs!$C$41*EXP(-(((Inputs!$C$6)-Inputs!$C$43)^2)/(2*Inputs!$C$44^2))*EXP(-(((A92)-Inputs!$C$42)^2)/(2*Inputs!$C$45^2))+Inputs!$C$48*(0.7*(0.45*SIN(2*PI()*(((A92)/Inputs!$C$49)+Inputs!$C$47*0.137))+0.35*COS(2*PI()*(((Inputs!$C$6)/Inputs!$C$50)+Inputs!$C$47*0.173))+0.2*SIN(2*PI()*(((A92)+(Inputs!$C$6))/(0.5*(Inputs!$C$49+Inputs!$C$50))+Inputs!$C$47*0.097)))+0.3*(2*((SIN(((A92)*12.9898+(Inputs!$C$6)*78.233+Inputs!$C$47*37.719))*43758.5453)-INT((SIN(((A92)*12.9898+(Inputs!$C$6)*78.233+Inputs!$C$47*37.719))*43758.5453)))-1)))</f>
        <v/>
      </c>
      <c r="Z92" s="9">
        <f>B92-X92/1000</f>
        <v/>
      </c>
      <c r="AA92" s="9">
        <f>SQRT((Inputs!$C$52+B92)^2+(Inputs!$C$52+Y92/1000)^2-2*(Inputs!$C$52+B92)*(Inputs!$C$52+Y92/1000)*COS(SQRT(A92^2+Inputs!$C$6^2)/Inputs!$C$52))</f>
        <v/>
      </c>
      <c r="AB92" s="9">
        <f>(AA92-Z92)*1000</f>
        <v/>
      </c>
      <c r="AC92" s="9">
        <f>AB92/Inputs!$C$12</f>
        <v/>
      </c>
      <c r="AD92" s="9">
        <f>2*AB92/Inputs!$C$21*1000000</f>
        <v/>
      </c>
      <c r="AE92" s="9">
        <f>DEGREES(ATAN(H92/(B92-Y92/1000)))</f>
        <v/>
      </c>
      <c r="AF92" s="9">
        <f>DEGREES((2*PI()/Inputs!$C$13)*Inputs!$C$15*SIN(RADIANS(AE92)))</f>
        <v/>
      </c>
      <c r="AG92" s="9">
        <f>(Z92/AA92)^4</f>
        <v/>
      </c>
      <c r="AH92" s="9">
        <f>10*LOG10(AG92)</f>
        <v/>
      </c>
      <c r="AI92" s="9">
        <f>AC92-F92</f>
        <v/>
      </c>
      <c r="AJ92" s="9">
        <f>AD92-G92</f>
        <v/>
      </c>
      <c r="AK92" s="9">
        <f>Y92-X92</f>
        <v/>
      </c>
      <c r="AL92" s="9">
        <f>1000*(AA93-AA91)/(A93-A91)*Inputs!$C$11</f>
        <v/>
      </c>
      <c r="AM92" s="9">
        <f>-2*AL92/Inputs!$C$13</f>
        <v/>
      </c>
      <c r="AN92" s="9">
        <f>-2*AL92/Inputs!$C$14</f>
        <v/>
      </c>
      <c r="AO92" s="9">
        <f>ABS(AM92)</f>
        <v/>
      </c>
      <c r="AP92" s="9">
        <f>ABS(AN92)</f>
        <v/>
      </c>
      <c r="AQ92" s="9">
        <f>IF(OR(Inputs!$C$27=TRUE,Inputs!$C$27="TRUE",Inputs!$C$27=1),Inputs!$C$46/Inputs!$C$12,0)</f>
        <v/>
      </c>
      <c r="AR92" s="9">
        <f>AC92-AQ92</f>
        <v/>
      </c>
      <c r="AS92" s="9">
        <f>AC92+AQ92</f>
        <v/>
      </c>
    </row>
    <row r="93">
      <c r="A93" s="9">
        <f>Inputs!$C$7+91*(Inputs!$C$8-Inputs!$C$7)/240</f>
        <v/>
      </c>
      <c r="B93" s="9">
        <f>Inputs!$C$5+Inputs!$C$9*(A93/Inputs!$C$10)^2</f>
        <v/>
      </c>
      <c r="C93" s="9">
        <f>B93</f>
        <v/>
      </c>
      <c r="D93" s="9">
        <f>SQRT((Inputs!$C$52+B93)^2+Inputs!$C$52^2-2*(Inputs!$C$52+B93)*Inputs!$C$52*COS(SQRT(A93^2+Inputs!$C$6^2)/Inputs!$C$52))</f>
        <v/>
      </c>
      <c r="E93" s="9">
        <f>(D93-C93)*1000</f>
        <v/>
      </c>
      <c r="F93" s="9">
        <f>E93/Inputs!$C$12</f>
        <v/>
      </c>
      <c r="G93" s="9">
        <f>2*E93/Inputs!$C$21*1000000</f>
        <v/>
      </c>
      <c r="H93" s="9">
        <f>SQRT(A93^2+Inputs!$C$6^2)</f>
        <v/>
      </c>
      <c r="I93" s="9">
        <f>DEGREES(ATAN(H93/B93))</f>
        <v/>
      </c>
      <c r="J93" s="9">
        <f>DEGREES((2*PI()/Inputs!$C$13)*Inputs!$C$15*SIN(RADIANS(I93)))</f>
        <v/>
      </c>
      <c r="K93" s="9">
        <f>(C93/D93)^4</f>
        <v/>
      </c>
      <c r="L93" s="9">
        <f>10*LOG10(K93)</f>
        <v/>
      </c>
      <c r="M93" s="9">
        <f>2*(Inputs!$C$9/(Inputs!$C$10^2))*A93</f>
        <v/>
      </c>
      <c r="N93" s="9">
        <f>M93*Inputs!$C$11</f>
        <v/>
      </c>
      <c r="O93" s="9">
        <f>1000*(D94-D92)/(A94-A92)*Inputs!$C$11</f>
        <v/>
      </c>
      <c r="P93" s="9">
        <f>-2*O93/Inputs!$C$13</f>
        <v/>
      </c>
      <c r="Q93" s="9">
        <f>-2*O93/Inputs!$C$14</f>
        <v/>
      </c>
      <c r="R93" s="9">
        <f>F93-Inputs!$C$16/2</f>
        <v/>
      </c>
      <c r="S93" s="9">
        <f>F93+Inputs!$C$16/2</f>
        <v/>
      </c>
      <c r="T93" s="9">
        <f>F93-Inputs!$C$17/2</f>
        <v/>
      </c>
      <c r="U93" s="9">
        <f>F93+Inputs!$C$17/2</f>
        <v/>
      </c>
      <c r="V93" s="9">
        <f>ABS(P93)</f>
        <v/>
      </c>
      <c r="W93" s="9">
        <f>ABS(Q93)</f>
        <v/>
      </c>
      <c r="X93" s="9">
        <f>IF(OR(Inputs!$C$27=TRUE,Inputs!$C$27="TRUE",Inputs!$C$27=1),1,0)*(Inputs!$C$51*(115*EXP(-(((0)-25)^2)/(4.5^2))+70*EXP(-(((0)+38)^2)/(7^2))*(0.55+0.45*SIN(2*PI()*(A93)/45))+24*SIN(2*PI()*(0)/9+(A93)/18)*EXP(-(((0)+5)^2)/(22^2))+18*SIN(2*PI()*(A93)/70))+Inputs!$C$28*EXP(-(((A93)-Inputs!$C$29)^2)/(2*Inputs!$C$31^2))*EXP(-(((0)-Inputs!$C$30)^2)/(2*Inputs!$C$32^2))+-Inputs!$C$33*EXP(-(((((A93)-Inputs!$C$34)^2)+(((0)-Inputs!$C$35)^2))/(2*Inputs!$C$36^2)))+Inputs!$C$37*(0.55*SIN(2*PI()*(A93)/Inputs!$C$39)+0.35*COS(2*PI()*(0)/Inputs!$C$40)+0.2*SIN(2*PI()*((A93)+(0))/(0.5*(Inputs!$C$39+Inputs!$C$40))))+Inputs!$C$38*SIN(2*PI()*(A93)/Inputs!$C$39)*SIN(2*PI()*(0)/Inputs!$C$40)+-Inputs!$C$41*EXP(-(((0)-Inputs!$C$43)^2)/(2*Inputs!$C$44^2))*EXP(-(((A93)-Inputs!$C$42)^2)/(2*Inputs!$C$45^2))+Inputs!$C$48*(0.7*(0.45*SIN(2*PI()*(((A93)/Inputs!$C$49)+Inputs!$C$47*0.137))+0.35*COS(2*PI()*(((0)/Inputs!$C$50)+Inputs!$C$47*0.173))+0.2*SIN(2*PI()*(((A93)+(0))/(0.5*(Inputs!$C$49+Inputs!$C$50))+Inputs!$C$47*0.097)))+0.3*(2*((SIN(((A93)*12.9898+(0)*78.233+Inputs!$C$47*37.719))*43758.5453)-INT((SIN(((A93)*12.9898+(0)*78.233+Inputs!$C$47*37.719))*43758.5453)))-1)))</f>
        <v/>
      </c>
      <c r="Y93" s="9">
        <f>IF(OR(Inputs!$C$27=TRUE,Inputs!$C$27="TRUE",Inputs!$C$27=1),1,0)*(Inputs!$C$51*(115*EXP(-(((Inputs!$C$6)-25)^2)/(4.5^2))+70*EXP(-(((Inputs!$C$6)+38)^2)/(7^2))*(0.55+0.45*SIN(2*PI()*(A93)/45))+24*SIN(2*PI()*(Inputs!$C$6)/9+(A93)/18)*EXP(-(((Inputs!$C$6)+5)^2)/(22^2))+18*SIN(2*PI()*(A93)/70))+Inputs!$C$28*EXP(-(((A93)-Inputs!$C$29)^2)/(2*Inputs!$C$31^2))*EXP(-(((Inputs!$C$6)-Inputs!$C$30)^2)/(2*Inputs!$C$32^2))+-Inputs!$C$33*EXP(-(((((A93)-Inputs!$C$34)^2)+(((Inputs!$C$6)-Inputs!$C$35)^2))/(2*Inputs!$C$36^2)))+Inputs!$C$37*(0.55*SIN(2*PI()*(A93)/Inputs!$C$39)+0.35*COS(2*PI()*(Inputs!$C$6)/Inputs!$C$40)+0.2*SIN(2*PI()*((A93)+(Inputs!$C$6))/(0.5*(Inputs!$C$39+Inputs!$C$40))))+Inputs!$C$38*SIN(2*PI()*(A93)/Inputs!$C$39)*SIN(2*PI()*(Inputs!$C$6)/Inputs!$C$40)+-Inputs!$C$41*EXP(-(((Inputs!$C$6)-Inputs!$C$43)^2)/(2*Inputs!$C$44^2))*EXP(-(((A93)-Inputs!$C$42)^2)/(2*Inputs!$C$45^2))+Inputs!$C$48*(0.7*(0.45*SIN(2*PI()*(((A93)/Inputs!$C$49)+Inputs!$C$47*0.137))+0.35*COS(2*PI()*(((Inputs!$C$6)/Inputs!$C$50)+Inputs!$C$47*0.173))+0.2*SIN(2*PI()*(((A93)+(Inputs!$C$6))/(0.5*(Inputs!$C$49+Inputs!$C$50))+Inputs!$C$47*0.097)))+0.3*(2*((SIN(((A93)*12.9898+(Inputs!$C$6)*78.233+Inputs!$C$47*37.719))*43758.5453)-INT((SIN(((A93)*12.9898+(Inputs!$C$6)*78.233+Inputs!$C$47*37.719))*43758.5453)))-1)))</f>
        <v/>
      </c>
      <c r="Z93" s="9">
        <f>B93-X93/1000</f>
        <v/>
      </c>
      <c r="AA93" s="9">
        <f>SQRT((Inputs!$C$52+B93)^2+(Inputs!$C$52+Y93/1000)^2-2*(Inputs!$C$52+B93)*(Inputs!$C$52+Y93/1000)*COS(SQRT(A93^2+Inputs!$C$6^2)/Inputs!$C$52))</f>
        <v/>
      </c>
      <c r="AB93" s="9">
        <f>(AA93-Z93)*1000</f>
        <v/>
      </c>
      <c r="AC93" s="9">
        <f>AB93/Inputs!$C$12</f>
        <v/>
      </c>
      <c r="AD93" s="9">
        <f>2*AB93/Inputs!$C$21*1000000</f>
        <v/>
      </c>
      <c r="AE93" s="9">
        <f>DEGREES(ATAN(H93/(B93-Y93/1000)))</f>
        <v/>
      </c>
      <c r="AF93" s="9">
        <f>DEGREES((2*PI()/Inputs!$C$13)*Inputs!$C$15*SIN(RADIANS(AE93)))</f>
        <v/>
      </c>
      <c r="AG93" s="9">
        <f>(Z93/AA93)^4</f>
        <v/>
      </c>
      <c r="AH93" s="9">
        <f>10*LOG10(AG93)</f>
        <v/>
      </c>
      <c r="AI93" s="9">
        <f>AC93-F93</f>
        <v/>
      </c>
      <c r="AJ93" s="9">
        <f>AD93-G93</f>
        <v/>
      </c>
      <c r="AK93" s="9">
        <f>Y93-X93</f>
        <v/>
      </c>
      <c r="AL93" s="9">
        <f>1000*(AA94-AA92)/(A94-A92)*Inputs!$C$11</f>
        <v/>
      </c>
      <c r="AM93" s="9">
        <f>-2*AL93/Inputs!$C$13</f>
        <v/>
      </c>
      <c r="AN93" s="9">
        <f>-2*AL93/Inputs!$C$14</f>
        <v/>
      </c>
      <c r="AO93" s="9">
        <f>ABS(AM93)</f>
        <v/>
      </c>
      <c r="AP93" s="9">
        <f>ABS(AN93)</f>
        <v/>
      </c>
      <c r="AQ93" s="9">
        <f>IF(OR(Inputs!$C$27=TRUE,Inputs!$C$27="TRUE",Inputs!$C$27=1),Inputs!$C$46/Inputs!$C$12,0)</f>
        <v/>
      </c>
      <c r="AR93" s="9">
        <f>AC93-AQ93</f>
        <v/>
      </c>
      <c r="AS93" s="9">
        <f>AC93+AQ93</f>
        <v/>
      </c>
    </row>
    <row r="94">
      <c r="A94" s="9">
        <f>Inputs!$C$7+92*(Inputs!$C$8-Inputs!$C$7)/240</f>
        <v/>
      </c>
      <c r="B94" s="9">
        <f>Inputs!$C$5+Inputs!$C$9*(A94/Inputs!$C$10)^2</f>
        <v/>
      </c>
      <c r="C94" s="9">
        <f>B94</f>
        <v/>
      </c>
      <c r="D94" s="9">
        <f>SQRT((Inputs!$C$52+B94)^2+Inputs!$C$52^2-2*(Inputs!$C$52+B94)*Inputs!$C$52*COS(SQRT(A94^2+Inputs!$C$6^2)/Inputs!$C$52))</f>
        <v/>
      </c>
      <c r="E94" s="9">
        <f>(D94-C94)*1000</f>
        <v/>
      </c>
      <c r="F94" s="9">
        <f>E94/Inputs!$C$12</f>
        <v/>
      </c>
      <c r="G94" s="9">
        <f>2*E94/Inputs!$C$21*1000000</f>
        <v/>
      </c>
      <c r="H94" s="9">
        <f>SQRT(A94^2+Inputs!$C$6^2)</f>
        <v/>
      </c>
      <c r="I94" s="9">
        <f>DEGREES(ATAN(H94/B94))</f>
        <v/>
      </c>
      <c r="J94" s="9">
        <f>DEGREES((2*PI()/Inputs!$C$13)*Inputs!$C$15*SIN(RADIANS(I94)))</f>
        <v/>
      </c>
      <c r="K94" s="9">
        <f>(C94/D94)^4</f>
        <v/>
      </c>
      <c r="L94" s="9">
        <f>10*LOG10(K94)</f>
        <v/>
      </c>
      <c r="M94" s="9">
        <f>2*(Inputs!$C$9/(Inputs!$C$10^2))*A94</f>
        <v/>
      </c>
      <c r="N94" s="9">
        <f>M94*Inputs!$C$11</f>
        <v/>
      </c>
      <c r="O94" s="9">
        <f>1000*(D95-D93)/(A95-A93)*Inputs!$C$11</f>
        <v/>
      </c>
      <c r="P94" s="9">
        <f>-2*O94/Inputs!$C$13</f>
        <v/>
      </c>
      <c r="Q94" s="9">
        <f>-2*O94/Inputs!$C$14</f>
        <v/>
      </c>
      <c r="R94" s="9">
        <f>F94-Inputs!$C$16/2</f>
        <v/>
      </c>
      <c r="S94" s="9">
        <f>F94+Inputs!$C$16/2</f>
        <v/>
      </c>
      <c r="T94" s="9">
        <f>F94-Inputs!$C$17/2</f>
        <v/>
      </c>
      <c r="U94" s="9">
        <f>F94+Inputs!$C$17/2</f>
        <v/>
      </c>
      <c r="V94" s="9">
        <f>ABS(P94)</f>
        <v/>
      </c>
      <c r="W94" s="9">
        <f>ABS(Q94)</f>
        <v/>
      </c>
      <c r="X94" s="9">
        <f>IF(OR(Inputs!$C$27=TRUE,Inputs!$C$27="TRUE",Inputs!$C$27=1),1,0)*(Inputs!$C$51*(115*EXP(-(((0)-25)^2)/(4.5^2))+70*EXP(-(((0)+38)^2)/(7^2))*(0.55+0.45*SIN(2*PI()*(A94)/45))+24*SIN(2*PI()*(0)/9+(A94)/18)*EXP(-(((0)+5)^2)/(22^2))+18*SIN(2*PI()*(A94)/70))+Inputs!$C$28*EXP(-(((A94)-Inputs!$C$29)^2)/(2*Inputs!$C$31^2))*EXP(-(((0)-Inputs!$C$30)^2)/(2*Inputs!$C$32^2))+-Inputs!$C$33*EXP(-(((((A94)-Inputs!$C$34)^2)+(((0)-Inputs!$C$35)^2))/(2*Inputs!$C$36^2)))+Inputs!$C$37*(0.55*SIN(2*PI()*(A94)/Inputs!$C$39)+0.35*COS(2*PI()*(0)/Inputs!$C$40)+0.2*SIN(2*PI()*((A94)+(0))/(0.5*(Inputs!$C$39+Inputs!$C$40))))+Inputs!$C$38*SIN(2*PI()*(A94)/Inputs!$C$39)*SIN(2*PI()*(0)/Inputs!$C$40)+-Inputs!$C$41*EXP(-(((0)-Inputs!$C$43)^2)/(2*Inputs!$C$44^2))*EXP(-(((A94)-Inputs!$C$42)^2)/(2*Inputs!$C$45^2))+Inputs!$C$48*(0.7*(0.45*SIN(2*PI()*(((A94)/Inputs!$C$49)+Inputs!$C$47*0.137))+0.35*COS(2*PI()*(((0)/Inputs!$C$50)+Inputs!$C$47*0.173))+0.2*SIN(2*PI()*(((A94)+(0))/(0.5*(Inputs!$C$49+Inputs!$C$50))+Inputs!$C$47*0.097)))+0.3*(2*((SIN(((A94)*12.9898+(0)*78.233+Inputs!$C$47*37.719))*43758.5453)-INT((SIN(((A94)*12.9898+(0)*78.233+Inputs!$C$47*37.719))*43758.5453)))-1)))</f>
        <v/>
      </c>
      <c r="Y94" s="9">
        <f>IF(OR(Inputs!$C$27=TRUE,Inputs!$C$27="TRUE",Inputs!$C$27=1),1,0)*(Inputs!$C$51*(115*EXP(-(((Inputs!$C$6)-25)^2)/(4.5^2))+70*EXP(-(((Inputs!$C$6)+38)^2)/(7^2))*(0.55+0.45*SIN(2*PI()*(A94)/45))+24*SIN(2*PI()*(Inputs!$C$6)/9+(A94)/18)*EXP(-(((Inputs!$C$6)+5)^2)/(22^2))+18*SIN(2*PI()*(A94)/70))+Inputs!$C$28*EXP(-(((A94)-Inputs!$C$29)^2)/(2*Inputs!$C$31^2))*EXP(-(((Inputs!$C$6)-Inputs!$C$30)^2)/(2*Inputs!$C$32^2))+-Inputs!$C$33*EXP(-(((((A94)-Inputs!$C$34)^2)+(((Inputs!$C$6)-Inputs!$C$35)^2))/(2*Inputs!$C$36^2)))+Inputs!$C$37*(0.55*SIN(2*PI()*(A94)/Inputs!$C$39)+0.35*COS(2*PI()*(Inputs!$C$6)/Inputs!$C$40)+0.2*SIN(2*PI()*((A94)+(Inputs!$C$6))/(0.5*(Inputs!$C$39+Inputs!$C$40))))+Inputs!$C$38*SIN(2*PI()*(A94)/Inputs!$C$39)*SIN(2*PI()*(Inputs!$C$6)/Inputs!$C$40)+-Inputs!$C$41*EXP(-(((Inputs!$C$6)-Inputs!$C$43)^2)/(2*Inputs!$C$44^2))*EXP(-(((A94)-Inputs!$C$42)^2)/(2*Inputs!$C$45^2))+Inputs!$C$48*(0.7*(0.45*SIN(2*PI()*(((A94)/Inputs!$C$49)+Inputs!$C$47*0.137))+0.35*COS(2*PI()*(((Inputs!$C$6)/Inputs!$C$50)+Inputs!$C$47*0.173))+0.2*SIN(2*PI()*(((A94)+(Inputs!$C$6))/(0.5*(Inputs!$C$49+Inputs!$C$50))+Inputs!$C$47*0.097)))+0.3*(2*((SIN(((A94)*12.9898+(Inputs!$C$6)*78.233+Inputs!$C$47*37.719))*43758.5453)-INT((SIN(((A94)*12.9898+(Inputs!$C$6)*78.233+Inputs!$C$47*37.719))*43758.5453)))-1)))</f>
        <v/>
      </c>
      <c r="Z94" s="9">
        <f>B94-X94/1000</f>
        <v/>
      </c>
      <c r="AA94" s="9">
        <f>SQRT((Inputs!$C$52+B94)^2+(Inputs!$C$52+Y94/1000)^2-2*(Inputs!$C$52+B94)*(Inputs!$C$52+Y94/1000)*COS(SQRT(A94^2+Inputs!$C$6^2)/Inputs!$C$52))</f>
        <v/>
      </c>
      <c r="AB94" s="9">
        <f>(AA94-Z94)*1000</f>
        <v/>
      </c>
      <c r="AC94" s="9">
        <f>AB94/Inputs!$C$12</f>
        <v/>
      </c>
      <c r="AD94" s="9">
        <f>2*AB94/Inputs!$C$21*1000000</f>
        <v/>
      </c>
      <c r="AE94" s="9">
        <f>DEGREES(ATAN(H94/(B94-Y94/1000)))</f>
        <v/>
      </c>
      <c r="AF94" s="9">
        <f>DEGREES((2*PI()/Inputs!$C$13)*Inputs!$C$15*SIN(RADIANS(AE94)))</f>
        <v/>
      </c>
      <c r="AG94" s="9">
        <f>(Z94/AA94)^4</f>
        <v/>
      </c>
      <c r="AH94" s="9">
        <f>10*LOG10(AG94)</f>
        <v/>
      </c>
      <c r="AI94" s="9">
        <f>AC94-F94</f>
        <v/>
      </c>
      <c r="AJ94" s="9">
        <f>AD94-G94</f>
        <v/>
      </c>
      <c r="AK94" s="9">
        <f>Y94-X94</f>
        <v/>
      </c>
      <c r="AL94" s="9">
        <f>1000*(AA95-AA93)/(A95-A93)*Inputs!$C$11</f>
        <v/>
      </c>
      <c r="AM94" s="9">
        <f>-2*AL94/Inputs!$C$13</f>
        <v/>
      </c>
      <c r="AN94" s="9">
        <f>-2*AL94/Inputs!$C$14</f>
        <v/>
      </c>
      <c r="AO94" s="9">
        <f>ABS(AM94)</f>
        <v/>
      </c>
      <c r="AP94" s="9">
        <f>ABS(AN94)</f>
        <v/>
      </c>
      <c r="AQ94" s="9">
        <f>IF(OR(Inputs!$C$27=TRUE,Inputs!$C$27="TRUE",Inputs!$C$27=1),Inputs!$C$46/Inputs!$C$12,0)</f>
        <v/>
      </c>
      <c r="AR94" s="9">
        <f>AC94-AQ94</f>
        <v/>
      </c>
      <c r="AS94" s="9">
        <f>AC94+AQ94</f>
        <v/>
      </c>
    </row>
    <row r="95">
      <c r="A95" s="9">
        <f>Inputs!$C$7+93*(Inputs!$C$8-Inputs!$C$7)/240</f>
        <v/>
      </c>
      <c r="B95" s="9">
        <f>Inputs!$C$5+Inputs!$C$9*(A95/Inputs!$C$10)^2</f>
        <v/>
      </c>
      <c r="C95" s="9">
        <f>B95</f>
        <v/>
      </c>
      <c r="D95" s="9">
        <f>SQRT((Inputs!$C$52+B95)^2+Inputs!$C$52^2-2*(Inputs!$C$52+B95)*Inputs!$C$52*COS(SQRT(A95^2+Inputs!$C$6^2)/Inputs!$C$52))</f>
        <v/>
      </c>
      <c r="E95" s="9">
        <f>(D95-C95)*1000</f>
        <v/>
      </c>
      <c r="F95" s="9">
        <f>E95/Inputs!$C$12</f>
        <v/>
      </c>
      <c r="G95" s="9">
        <f>2*E95/Inputs!$C$21*1000000</f>
        <v/>
      </c>
      <c r="H95" s="9">
        <f>SQRT(A95^2+Inputs!$C$6^2)</f>
        <v/>
      </c>
      <c r="I95" s="9">
        <f>DEGREES(ATAN(H95/B95))</f>
        <v/>
      </c>
      <c r="J95" s="9">
        <f>DEGREES((2*PI()/Inputs!$C$13)*Inputs!$C$15*SIN(RADIANS(I95)))</f>
        <v/>
      </c>
      <c r="K95" s="9">
        <f>(C95/D95)^4</f>
        <v/>
      </c>
      <c r="L95" s="9">
        <f>10*LOG10(K95)</f>
        <v/>
      </c>
      <c r="M95" s="9">
        <f>2*(Inputs!$C$9/(Inputs!$C$10^2))*A95</f>
        <v/>
      </c>
      <c r="N95" s="9">
        <f>M95*Inputs!$C$11</f>
        <v/>
      </c>
      <c r="O95" s="9">
        <f>1000*(D96-D94)/(A96-A94)*Inputs!$C$11</f>
        <v/>
      </c>
      <c r="P95" s="9">
        <f>-2*O95/Inputs!$C$13</f>
        <v/>
      </c>
      <c r="Q95" s="9">
        <f>-2*O95/Inputs!$C$14</f>
        <v/>
      </c>
      <c r="R95" s="9">
        <f>F95-Inputs!$C$16/2</f>
        <v/>
      </c>
      <c r="S95" s="9">
        <f>F95+Inputs!$C$16/2</f>
        <v/>
      </c>
      <c r="T95" s="9">
        <f>F95-Inputs!$C$17/2</f>
        <v/>
      </c>
      <c r="U95" s="9">
        <f>F95+Inputs!$C$17/2</f>
        <v/>
      </c>
      <c r="V95" s="9">
        <f>ABS(P95)</f>
        <v/>
      </c>
      <c r="W95" s="9">
        <f>ABS(Q95)</f>
        <v/>
      </c>
      <c r="X95" s="9">
        <f>IF(OR(Inputs!$C$27=TRUE,Inputs!$C$27="TRUE",Inputs!$C$27=1),1,0)*(Inputs!$C$51*(115*EXP(-(((0)-25)^2)/(4.5^2))+70*EXP(-(((0)+38)^2)/(7^2))*(0.55+0.45*SIN(2*PI()*(A95)/45))+24*SIN(2*PI()*(0)/9+(A95)/18)*EXP(-(((0)+5)^2)/(22^2))+18*SIN(2*PI()*(A95)/70))+Inputs!$C$28*EXP(-(((A95)-Inputs!$C$29)^2)/(2*Inputs!$C$31^2))*EXP(-(((0)-Inputs!$C$30)^2)/(2*Inputs!$C$32^2))+-Inputs!$C$33*EXP(-(((((A95)-Inputs!$C$34)^2)+(((0)-Inputs!$C$35)^2))/(2*Inputs!$C$36^2)))+Inputs!$C$37*(0.55*SIN(2*PI()*(A95)/Inputs!$C$39)+0.35*COS(2*PI()*(0)/Inputs!$C$40)+0.2*SIN(2*PI()*((A95)+(0))/(0.5*(Inputs!$C$39+Inputs!$C$40))))+Inputs!$C$38*SIN(2*PI()*(A95)/Inputs!$C$39)*SIN(2*PI()*(0)/Inputs!$C$40)+-Inputs!$C$41*EXP(-(((0)-Inputs!$C$43)^2)/(2*Inputs!$C$44^2))*EXP(-(((A95)-Inputs!$C$42)^2)/(2*Inputs!$C$45^2))+Inputs!$C$48*(0.7*(0.45*SIN(2*PI()*(((A95)/Inputs!$C$49)+Inputs!$C$47*0.137))+0.35*COS(2*PI()*(((0)/Inputs!$C$50)+Inputs!$C$47*0.173))+0.2*SIN(2*PI()*(((A95)+(0))/(0.5*(Inputs!$C$49+Inputs!$C$50))+Inputs!$C$47*0.097)))+0.3*(2*((SIN(((A95)*12.9898+(0)*78.233+Inputs!$C$47*37.719))*43758.5453)-INT((SIN(((A95)*12.9898+(0)*78.233+Inputs!$C$47*37.719))*43758.5453)))-1)))</f>
        <v/>
      </c>
      <c r="Y95" s="9">
        <f>IF(OR(Inputs!$C$27=TRUE,Inputs!$C$27="TRUE",Inputs!$C$27=1),1,0)*(Inputs!$C$51*(115*EXP(-(((Inputs!$C$6)-25)^2)/(4.5^2))+70*EXP(-(((Inputs!$C$6)+38)^2)/(7^2))*(0.55+0.45*SIN(2*PI()*(A95)/45))+24*SIN(2*PI()*(Inputs!$C$6)/9+(A95)/18)*EXP(-(((Inputs!$C$6)+5)^2)/(22^2))+18*SIN(2*PI()*(A95)/70))+Inputs!$C$28*EXP(-(((A95)-Inputs!$C$29)^2)/(2*Inputs!$C$31^2))*EXP(-(((Inputs!$C$6)-Inputs!$C$30)^2)/(2*Inputs!$C$32^2))+-Inputs!$C$33*EXP(-(((((A95)-Inputs!$C$34)^2)+(((Inputs!$C$6)-Inputs!$C$35)^2))/(2*Inputs!$C$36^2)))+Inputs!$C$37*(0.55*SIN(2*PI()*(A95)/Inputs!$C$39)+0.35*COS(2*PI()*(Inputs!$C$6)/Inputs!$C$40)+0.2*SIN(2*PI()*((A95)+(Inputs!$C$6))/(0.5*(Inputs!$C$39+Inputs!$C$40))))+Inputs!$C$38*SIN(2*PI()*(A95)/Inputs!$C$39)*SIN(2*PI()*(Inputs!$C$6)/Inputs!$C$40)+-Inputs!$C$41*EXP(-(((Inputs!$C$6)-Inputs!$C$43)^2)/(2*Inputs!$C$44^2))*EXP(-(((A95)-Inputs!$C$42)^2)/(2*Inputs!$C$45^2))+Inputs!$C$48*(0.7*(0.45*SIN(2*PI()*(((A95)/Inputs!$C$49)+Inputs!$C$47*0.137))+0.35*COS(2*PI()*(((Inputs!$C$6)/Inputs!$C$50)+Inputs!$C$47*0.173))+0.2*SIN(2*PI()*(((A95)+(Inputs!$C$6))/(0.5*(Inputs!$C$49+Inputs!$C$50))+Inputs!$C$47*0.097)))+0.3*(2*((SIN(((A95)*12.9898+(Inputs!$C$6)*78.233+Inputs!$C$47*37.719))*43758.5453)-INT((SIN(((A95)*12.9898+(Inputs!$C$6)*78.233+Inputs!$C$47*37.719))*43758.5453)))-1)))</f>
        <v/>
      </c>
      <c r="Z95" s="9">
        <f>B95-X95/1000</f>
        <v/>
      </c>
      <c r="AA95" s="9">
        <f>SQRT((Inputs!$C$52+B95)^2+(Inputs!$C$52+Y95/1000)^2-2*(Inputs!$C$52+B95)*(Inputs!$C$52+Y95/1000)*COS(SQRT(A95^2+Inputs!$C$6^2)/Inputs!$C$52))</f>
        <v/>
      </c>
      <c r="AB95" s="9">
        <f>(AA95-Z95)*1000</f>
        <v/>
      </c>
      <c r="AC95" s="9">
        <f>AB95/Inputs!$C$12</f>
        <v/>
      </c>
      <c r="AD95" s="9">
        <f>2*AB95/Inputs!$C$21*1000000</f>
        <v/>
      </c>
      <c r="AE95" s="9">
        <f>DEGREES(ATAN(H95/(B95-Y95/1000)))</f>
        <v/>
      </c>
      <c r="AF95" s="9">
        <f>DEGREES((2*PI()/Inputs!$C$13)*Inputs!$C$15*SIN(RADIANS(AE95)))</f>
        <v/>
      </c>
      <c r="AG95" s="9">
        <f>(Z95/AA95)^4</f>
        <v/>
      </c>
      <c r="AH95" s="9">
        <f>10*LOG10(AG95)</f>
        <v/>
      </c>
      <c r="AI95" s="9">
        <f>AC95-F95</f>
        <v/>
      </c>
      <c r="AJ95" s="9">
        <f>AD95-G95</f>
        <v/>
      </c>
      <c r="AK95" s="9">
        <f>Y95-X95</f>
        <v/>
      </c>
      <c r="AL95" s="9">
        <f>1000*(AA96-AA94)/(A96-A94)*Inputs!$C$11</f>
        <v/>
      </c>
      <c r="AM95" s="9">
        <f>-2*AL95/Inputs!$C$13</f>
        <v/>
      </c>
      <c r="AN95" s="9">
        <f>-2*AL95/Inputs!$C$14</f>
        <v/>
      </c>
      <c r="AO95" s="9">
        <f>ABS(AM95)</f>
        <v/>
      </c>
      <c r="AP95" s="9">
        <f>ABS(AN95)</f>
        <v/>
      </c>
      <c r="AQ95" s="9">
        <f>IF(OR(Inputs!$C$27=TRUE,Inputs!$C$27="TRUE",Inputs!$C$27=1),Inputs!$C$46/Inputs!$C$12,0)</f>
        <v/>
      </c>
      <c r="AR95" s="9">
        <f>AC95-AQ95</f>
        <v/>
      </c>
      <c r="AS95" s="9">
        <f>AC95+AQ95</f>
        <v/>
      </c>
    </row>
    <row r="96">
      <c r="A96" s="9">
        <f>Inputs!$C$7+94*(Inputs!$C$8-Inputs!$C$7)/240</f>
        <v/>
      </c>
      <c r="B96" s="9">
        <f>Inputs!$C$5+Inputs!$C$9*(A96/Inputs!$C$10)^2</f>
        <v/>
      </c>
      <c r="C96" s="9">
        <f>B96</f>
        <v/>
      </c>
      <c r="D96" s="9">
        <f>SQRT((Inputs!$C$52+B96)^2+Inputs!$C$52^2-2*(Inputs!$C$52+B96)*Inputs!$C$52*COS(SQRT(A96^2+Inputs!$C$6^2)/Inputs!$C$52))</f>
        <v/>
      </c>
      <c r="E96" s="9">
        <f>(D96-C96)*1000</f>
        <v/>
      </c>
      <c r="F96" s="9">
        <f>E96/Inputs!$C$12</f>
        <v/>
      </c>
      <c r="G96" s="9">
        <f>2*E96/Inputs!$C$21*1000000</f>
        <v/>
      </c>
      <c r="H96" s="9">
        <f>SQRT(A96^2+Inputs!$C$6^2)</f>
        <v/>
      </c>
      <c r="I96" s="9">
        <f>DEGREES(ATAN(H96/B96))</f>
        <v/>
      </c>
      <c r="J96" s="9">
        <f>DEGREES((2*PI()/Inputs!$C$13)*Inputs!$C$15*SIN(RADIANS(I96)))</f>
        <v/>
      </c>
      <c r="K96" s="9">
        <f>(C96/D96)^4</f>
        <v/>
      </c>
      <c r="L96" s="9">
        <f>10*LOG10(K96)</f>
        <v/>
      </c>
      <c r="M96" s="9">
        <f>2*(Inputs!$C$9/(Inputs!$C$10^2))*A96</f>
        <v/>
      </c>
      <c r="N96" s="9">
        <f>M96*Inputs!$C$11</f>
        <v/>
      </c>
      <c r="O96" s="9">
        <f>1000*(D97-D95)/(A97-A95)*Inputs!$C$11</f>
        <v/>
      </c>
      <c r="P96" s="9">
        <f>-2*O96/Inputs!$C$13</f>
        <v/>
      </c>
      <c r="Q96" s="9">
        <f>-2*O96/Inputs!$C$14</f>
        <v/>
      </c>
      <c r="R96" s="9">
        <f>F96-Inputs!$C$16/2</f>
        <v/>
      </c>
      <c r="S96" s="9">
        <f>F96+Inputs!$C$16/2</f>
        <v/>
      </c>
      <c r="T96" s="9">
        <f>F96-Inputs!$C$17/2</f>
        <v/>
      </c>
      <c r="U96" s="9">
        <f>F96+Inputs!$C$17/2</f>
        <v/>
      </c>
      <c r="V96" s="9">
        <f>ABS(P96)</f>
        <v/>
      </c>
      <c r="W96" s="9">
        <f>ABS(Q96)</f>
        <v/>
      </c>
      <c r="X96" s="9">
        <f>IF(OR(Inputs!$C$27=TRUE,Inputs!$C$27="TRUE",Inputs!$C$27=1),1,0)*(Inputs!$C$51*(115*EXP(-(((0)-25)^2)/(4.5^2))+70*EXP(-(((0)+38)^2)/(7^2))*(0.55+0.45*SIN(2*PI()*(A96)/45))+24*SIN(2*PI()*(0)/9+(A96)/18)*EXP(-(((0)+5)^2)/(22^2))+18*SIN(2*PI()*(A96)/70))+Inputs!$C$28*EXP(-(((A96)-Inputs!$C$29)^2)/(2*Inputs!$C$31^2))*EXP(-(((0)-Inputs!$C$30)^2)/(2*Inputs!$C$32^2))+-Inputs!$C$33*EXP(-(((((A96)-Inputs!$C$34)^2)+(((0)-Inputs!$C$35)^2))/(2*Inputs!$C$36^2)))+Inputs!$C$37*(0.55*SIN(2*PI()*(A96)/Inputs!$C$39)+0.35*COS(2*PI()*(0)/Inputs!$C$40)+0.2*SIN(2*PI()*((A96)+(0))/(0.5*(Inputs!$C$39+Inputs!$C$40))))+Inputs!$C$38*SIN(2*PI()*(A96)/Inputs!$C$39)*SIN(2*PI()*(0)/Inputs!$C$40)+-Inputs!$C$41*EXP(-(((0)-Inputs!$C$43)^2)/(2*Inputs!$C$44^2))*EXP(-(((A96)-Inputs!$C$42)^2)/(2*Inputs!$C$45^2))+Inputs!$C$48*(0.7*(0.45*SIN(2*PI()*(((A96)/Inputs!$C$49)+Inputs!$C$47*0.137))+0.35*COS(2*PI()*(((0)/Inputs!$C$50)+Inputs!$C$47*0.173))+0.2*SIN(2*PI()*(((A96)+(0))/(0.5*(Inputs!$C$49+Inputs!$C$50))+Inputs!$C$47*0.097)))+0.3*(2*((SIN(((A96)*12.9898+(0)*78.233+Inputs!$C$47*37.719))*43758.5453)-INT((SIN(((A96)*12.9898+(0)*78.233+Inputs!$C$47*37.719))*43758.5453)))-1)))</f>
        <v/>
      </c>
      <c r="Y96" s="9">
        <f>IF(OR(Inputs!$C$27=TRUE,Inputs!$C$27="TRUE",Inputs!$C$27=1),1,0)*(Inputs!$C$51*(115*EXP(-(((Inputs!$C$6)-25)^2)/(4.5^2))+70*EXP(-(((Inputs!$C$6)+38)^2)/(7^2))*(0.55+0.45*SIN(2*PI()*(A96)/45))+24*SIN(2*PI()*(Inputs!$C$6)/9+(A96)/18)*EXP(-(((Inputs!$C$6)+5)^2)/(22^2))+18*SIN(2*PI()*(A96)/70))+Inputs!$C$28*EXP(-(((A96)-Inputs!$C$29)^2)/(2*Inputs!$C$31^2))*EXP(-(((Inputs!$C$6)-Inputs!$C$30)^2)/(2*Inputs!$C$32^2))+-Inputs!$C$33*EXP(-(((((A96)-Inputs!$C$34)^2)+(((Inputs!$C$6)-Inputs!$C$35)^2))/(2*Inputs!$C$36^2)))+Inputs!$C$37*(0.55*SIN(2*PI()*(A96)/Inputs!$C$39)+0.35*COS(2*PI()*(Inputs!$C$6)/Inputs!$C$40)+0.2*SIN(2*PI()*((A96)+(Inputs!$C$6))/(0.5*(Inputs!$C$39+Inputs!$C$40))))+Inputs!$C$38*SIN(2*PI()*(A96)/Inputs!$C$39)*SIN(2*PI()*(Inputs!$C$6)/Inputs!$C$40)+-Inputs!$C$41*EXP(-(((Inputs!$C$6)-Inputs!$C$43)^2)/(2*Inputs!$C$44^2))*EXP(-(((A96)-Inputs!$C$42)^2)/(2*Inputs!$C$45^2))+Inputs!$C$48*(0.7*(0.45*SIN(2*PI()*(((A96)/Inputs!$C$49)+Inputs!$C$47*0.137))+0.35*COS(2*PI()*(((Inputs!$C$6)/Inputs!$C$50)+Inputs!$C$47*0.173))+0.2*SIN(2*PI()*(((A96)+(Inputs!$C$6))/(0.5*(Inputs!$C$49+Inputs!$C$50))+Inputs!$C$47*0.097)))+0.3*(2*((SIN(((A96)*12.9898+(Inputs!$C$6)*78.233+Inputs!$C$47*37.719))*43758.5453)-INT((SIN(((A96)*12.9898+(Inputs!$C$6)*78.233+Inputs!$C$47*37.719))*43758.5453)))-1)))</f>
        <v/>
      </c>
      <c r="Z96" s="9">
        <f>B96-X96/1000</f>
        <v/>
      </c>
      <c r="AA96" s="9">
        <f>SQRT((Inputs!$C$52+B96)^2+(Inputs!$C$52+Y96/1000)^2-2*(Inputs!$C$52+B96)*(Inputs!$C$52+Y96/1000)*COS(SQRT(A96^2+Inputs!$C$6^2)/Inputs!$C$52))</f>
        <v/>
      </c>
      <c r="AB96" s="9">
        <f>(AA96-Z96)*1000</f>
        <v/>
      </c>
      <c r="AC96" s="9">
        <f>AB96/Inputs!$C$12</f>
        <v/>
      </c>
      <c r="AD96" s="9">
        <f>2*AB96/Inputs!$C$21*1000000</f>
        <v/>
      </c>
      <c r="AE96" s="9">
        <f>DEGREES(ATAN(H96/(B96-Y96/1000)))</f>
        <v/>
      </c>
      <c r="AF96" s="9">
        <f>DEGREES((2*PI()/Inputs!$C$13)*Inputs!$C$15*SIN(RADIANS(AE96)))</f>
        <v/>
      </c>
      <c r="AG96" s="9">
        <f>(Z96/AA96)^4</f>
        <v/>
      </c>
      <c r="AH96" s="9">
        <f>10*LOG10(AG96)</f>
        <v/>
      </c>
      <c r="AI96" s="9">
        <f>AC96-F96</f>
        <v/>
      </c>
      <c r="AJ96" s="9">
        <f>AD96-G96</f>
        <v/>
      </c>
      <c r="AK96" s="9">
        <f>Y96-X96</f>
        <v/>
      </c>
      <c r="AL96" s="9">
        <f>1000*(AA97-AA95)/(A97-A95)*Inputs!$C$11</f>
        <v/>
      </c>
      <c r="AM96" s="9">
        <f>-2*AL96/Inputs!$C$13</f>
        <v/>
      </c>
      <c r="AN96" s="9">
        <f>-2*AL96/Inputs!$C$14</f>
        <v/>
      </c>
      <c r="AO96" s="9">
        <f>ABS(AM96)</f>
        <v/>
      </c>
      <c r="AP96" s="9">
        <f>ABS(AN96)</f>
        <v/>
      </c>
      <c r="AQ96" s="9">
        <f>IF(OR(Inputs!$C$27=TRUE,Inputs!$C$27="TRUE",Inputs!$C$27=1),Inputs!$C$46/Inputs!$C$12,0)</f>
        <v/>
      </c>
      <c r="AR96" s="9">
        <f>AC96-AQ96</f>
        <v/>
      </c>
      <c r="AS96" s="9">
        <f>AC96+AQ96</f>
        <v/>
      </c>
    </row>
    <row r="97">
      <c r="A97" s="9">
        <f>Inputs!$C$7+95*(Inputs!$C$8-Inputs!$C$7)/240</f>
        <v/>
      </c>
      <c r="B97" s="9">
        <f>Inputs!$C$5+Inputs!$C$9*(A97/Inputs!$C$10)^2</f>
        <v/>
      </c>
      <c r="C97" s="9">
        <f>B97</f>
        <v/>
      </c>
      <c r="D97" s="9">
        <f>SQRT((Inputs!$C$52+B97)^2+Inputs!$C$52^2-2*(Inputs!$C$52+B97)*Inputs!$C$52*COS(SQRT(A97^2+Inputs!$C$6^2)/Inputs!$C$52))</f>
        <v/>
      </c>
      <c r="E97" s="9">
        <f>(D97-C97)*1000</f>
        <v/>
      </c>
      <c r="F97" s="9">
        <f>E97/Inputs!$C$12</f>
        <v/>
      </c>
      <c r="G97" s="9">
        <f>2*E97/Inputs!$C$21*1000000</f>
        <v/>
      </c>
      <c r="H97" s="9">
        <f>SQRT(A97^2+Inputs!$C$6^2)</f>
        <v/>
      </c>
      <c r="I97" s="9">
        <f>DEGREES(ATAN(H97/B97))</f>
        <v/>
      </c>
      <c r="J97" s="9">
        <f>DEGREES((2*PI()/Inputs!$C$13)*Inputs!$C$15*SIN(RADIANS(I97)))</f>
        <v/>
      </c>
      <c r="K97" s="9">
        <f>(C97/D97)^4</f>
        <v/>
      </c>
      <c r="L97" s="9">
        <f>10*LOG10(K97)</f>
        <v/>
      </c>
      <c r="M97" s="9">
        <f>2*(Inputs!$C$9/(Inputs!$C$10^2))*A97</f>
        <v/>
      </c>
      <c r="N97" s="9">
        <f>M97*Inputs!$C$11</f>
        <v/>
      </c>
      <c r="O97" s="9">
        <f>1000*(D98-D96)/(A98-A96)*Inputs!$C$11</f>
        <v/>
      </c>
      <c r="P97" s="9">
        <f>-2*O97/Inputs!$C$13</f>
        <v/>
      </c>
      <c r="Q97" s="9">
        <f>-2*O97/Inputs!$C$14</f>
        <v/>
      </c>
      <c r="R97" s="9">
        <f>F97-Inputs!$C$16/2</f>
        <v/>
      </c>
      <c r="S97" s="9">
        <f>F97+Inputs!$C$16/2</f>
        <v/>
      </c>
      <c r="T97" s="9">
        <f>F97-Inputs!$C$17/2</f>
        <v/>
      </c>
      <c r="U97" s="9">
        <f>F97+Inputs!$C$17/2</f>
        <v/>
      </c>
      <c r="V97" s="9">
        <f>ABS(P97)</f>
        <v/>
      </c>
      <c r="W97" s="9">
        <f>ABS(Q97)</f>
        <v/>
      </c>
      <c r="X97" s="9">
        <f>IF(OR(Inputs!$C$27=TRUE,Inputs!$C$27="TRUE",Inputs!$C$27=1),1,0)*(Inputs!$C$51*(115*EXP(-(((0)-25)^2)/(4.5^2))+70*EXP(-(((0)+38)^2)/(7^2))*(0.55+0.45*SIN(2*PI()*(A97)/45))+24*SIN(2*PI()*(0)/9+(A97)/18)*EXP(-(((0)+5)^2)/(22^2))+18*SIN(2*PI()*(A97)/70))+Inputs!$C$28*EXP(-(((A97)-Inputs!$C$29)^2)/(2*Inputs!$C$31^2))*EXP(-(((0)-Inputs!$C$30)^2)/(2*Inputs!$C$32^2))+-Inputs!$C$33*EXP(-(((((A97)-Inputs!$C$34)^2)+(((0)-Inputs!$C$35)^2))/(2*Inputs!$C$36^2)))+Inputs!$C$37*(0.55*SIN(2*PI()*(A97)/Inputs!$C$39)+0.35*COS(2*PI()*(0)/Inputs!$C$40)+0.2*SIN(2*PI()*((A97)+(0))/(0.5*(Inputs!$C$39+Inputs!$C$40))))+Inputs!$C$38*SIN(2*PI()*(A97)/Inputs!$C$39)*SIN(2*PI()*(0)/Inputs!$C$40)+-Inputs!$C$41*EXP(-(((0)-Inputs!$C$43)^2)/(2*Inputs!$C$44^2))*EXP(-(((A97)-Inputs!$C$42)^2)/(2*Inputs!$C$45^2))+Inputs!$C$48*(0.7*(0.45*SIN(2*PI()*(((A97)/Inputs!$C$49)+Inputs!$C$47*0.137))+0.35*COS(2*PI()*(((0)/Inputs!$C$50)+Inputs!$C$47*0.173))+0.2*SIN(2*PI()*(((A97)+(0))/(0.5*(Inputs!$C$49+Inputs!$C$50))+Inputs!$C$47*0.097)))+0.3*(2*((SIN(((A97)*12.9898+(0)*78.233+Inputs!$C$47*37.719))*43758.5453)-INT((SIN(((A97)*12.9898+(0)*78.233+Inputs!$C$47*37.719))*43758.5453)))-1)))</f>
        <v/>
      </c>
      <c r="Y97" s="9">
        <f>IF(OR(Inputs!$C$27=TRUE,Inputs!$C$27="TRUE",Inputs!$C$27=1),1,0)*(Inputs!$C$51*(115*EXP(-(((Inputs!$C$6)-25)^2)/(4.5^2))+70*EXP(-(((Inputs!$C$6)+38)^2)/(7^2))*(0.55+0.45*SIN(2*PI()*(A97)/45))+24*SIN(2*PI()*(Inputs!$C$6)/9+(A97)/18)*EXP(-(((Inputs!$C$6)+5)^2)/(22^2))+18*SIN(2*PI()*(A97)/70))+Inputs!$C$28*EXP(-(((A97)-Inputs!$C$29)^2)/(2*Inputs!$C$31^2))*EXP(-(((Inputs!$C$6)-Inputs!$C$30)^2)/(2*Inputs!$C$32^2))+-Inputs!$C$33*EXP(-(((((A97)-Inputs!$C$34)^2)+(((Inputs!$C$6)-Inputs!$C$35)^2))/(2*Inputs!$C$36^2)))+Inputs!$C$37*(0.55*SIN(2*PI()*(A97)/Inputs!$C$39)+0.35*COS(2*PI()*(Inputs!$C$6)/Inputs!$C$40)+0.2*SIN(2*PI()*((A97)+(Inputs!$C$6))/(0.5*(Inputs!$C$39+Inputs!$C$40))))+Inputs!$C$38*SIN(2*PI()*(A97)/Inputs!$C$39)*SIN(2*PI()*(Inputs!$C$6)/Inputs!$C$40)+-Inputs!$C$41*EXP(-(((Inputs!$C$6)-Inputs!$C$43)^2)/(2*Inputs!$C$44^2))*EXP(-(((A97)-Inputs!$C$42)^2)/(2*Inputs!$C$45^2))+Inputs!$C$48*(0.7*(0.45*SIN(2*PI()*(((A97)/Inputs!$C$49)+Inputs!$C$47*0.137))+0.35*COS(2*PI()*(((Inputs!$C$6)/Inputs!$C$50)+Inputs!$C$47*0.173))+0.2*SIN(2*PI()*(((A97)+(Inputs!$C$6))/(0.5*(Inputs!$C$49+Inputs!$C$50))+Inputs!$C$47*0.097)))+0.3*(2*((SIN(((A97)*12.9898+(Inputs!$C$6)*78.233+Inputs!$C$47*37.719))*43758.5453)-INT((SIN(((A97)*12.9898+(Inputs!$C$6)*78.233+Inputs!$C$47*37.719))*43758.5453)))-1)))</f>
        <v/>
      </c>
      <c r="Z97" s="9">
        <f>B97-X97/1000</f>
        <v/>
      </c>
      <c r="AA97" s="9">
        <f>SQRT((Inputs!$C$52+B97)^2+(Inputs!$C$52+Y97/1000)^2-2*(Inputs!$C$52+B97)*(Inputs!$C$52+Y97/1000)*COS(SQRT(A97^2+Inputs!$C$6^2)/Inputs!$C$52))</f>
        <v/>
      </c>
      <c r="AB97" s="9">
        <f>(AA97-Z97)*1000</f>
        <v/>
      </c>
      <c r="AC97" s="9">
        <f>AB97/Inputs!$C$12</f>
        <v/>
      </c>
      <c r="AD97" s="9">
        <f>2*AB97/Inputs!$C$21*1000000</f>
        <v/>
      </c>
      <c r="AE97" s="9">
        <f>DEGREES(ATAN(H97/(B97-Y97/1000)))</f>
        <v/>
      </c>
      <c r="AF97" s="9">
        <f>DEGREES((2*PI()/Inputs!$C$13)*Inputs!$C$15*SIN(RADIANS(AE97)))</f>
        <v/>
      </c>
      <c r="AG97" s="9">
        <f>(Z97/AA97)^4</f>
        <v/>
      </c>
      <c r="AH97" s="9">
        <f>10*LOG10(AG97)</f>
        <v/>
      </c>
      <c r="AI97" s="9">
        <f>AC97-F97</f>
        <v/>
      </c>
      <c r="AJ97" s="9">
        <f>AD97-G97</f>
        <v/>
      </c>
      <c r="AK97" s="9">
        <f>Y97-X97</f>
        <v/>
      </c>
      <c r="AL97" s="9">
        <f>1000*(AA98-AA96)/(A98-A96)*Inputs!$C$11</f>
        <v/>
      </c>
      <c r="AM97" s="9">
        <f>-2*AL97/Inputs!$C$13</f>
        <v/>
      </c>
      <c r="AN97" s="9">
        <f>-2*AL97/Inputs!$C$14</f>
        <v/>
      </c>
      <c r="AO97" s="9">
        <f>ABS(AM97)</f>
        <v/>
      </c>
      <c r="AP97" s="9">
        <f>ABS(AN97)</f>
        <v/>
      </c>
      <c r="AQ97" s="9">
        <f>IF(OR(Inputs!$C$27=TRUE,Inputs!$C$27="TRUE",Inputs!$C$27=1),Inputs!$C$46/Inputs!$C$12,0)</f>
        <v/>
      </c>
      <c r="AR97" s="9">
        <f>AC97-AQ97</f>
        <v/>
      </c>
      <c r="AS97" s="9">
        <f>AC97+AQ97</f>
        <v/>
      </c>
    </row>
    <row r="98">
      <c r="A98" s="9">
        <f>Inputs!$C$7+96*(Inputs!$C$8-Inputs!$C$7)/240</f>
        <v/>
      </c>
      <c r="B98" s="9">
        <f>Inputs!$C$5+Inputs!$C$9*(A98/Inputs!$C$10)^2</f>
        <v/>
      </c>
      <c r="C98" s="9">
        <f>B98</f>
        <v/>
      </c>
      <c r="D98" s="9">
        <f>SQRT((Inputs!$C$52+B98)^2+Inputs!$C$52^2-2*(Inputs!$C$52+B98)*Inputs!$C$52*COS(SQRT(A98^2+Inputs!$C$6^2)/Inputs!$C$52))</f>
        <v/>
      </c>
      <c r="E98" s="9">
        <f>(D98-C98)*1000</f>
        <v/>
      </c>
      <c r="F98" s="9">
        <f>E98/Inputs!$C$12</f>
        <v/>
      </c>
      <c r="G98" s="9">
        <f>2*E98/Inputs!$C$21*1000000</f>
        <v/>
      </c>
      <c r="H98" s="9">
        <f>SQRT(A98^2+Inputs!$C$6^2)</f>
        <v/>
      </c>
      <c r="I98" s="9">
        <f>DEGREES(ATAN(H98/B98))</f>
        <v/>
      </c>
      <c r="J98" s="9">
        <f>DEGREES((2*PI()/Inputs!$C$13)*Inputs!$C$15*SIN(RADIANS(I98)))</f>
        <v/>
      </c>
      <c r="K98" s="9">
        <f>(C98/D98)^4</f>
        <v/>
      </c>
      <c r="L98" s="9">
        <f>10*LOG10(K98)</f>
        <v/>
      </c>
      <c r="M98" s="9">
        <f>2*(Inputs!$C$9/(Inputs!$C$10^2))*A98</f>
        <v/>
      </c>
      <c r="N98" s="9">
        <f>M98*Inputs!$C$11</f>
        <v/>
      </c>
      <c r="O98" s="9">
        <f>1000*(D99-D97)/(A99-A97)*Inputs!$C$11</f>
        <v/>
      </c>
      <c r="P98" s="9">
        <f>-2*O98/Inputs!$C$13</f>
        <v/>
      </c>
      <c r="Q98" s="9">
        <f>-2*O98/Inputs!$C$14</f>
        <v/>
      </c>
      <c r="R98" s="9">
        <f>F98-Inputs!$C$16/2</f>
        <v/>
      </c>
      <c r="S98" s="9">
        <f>F98+Inputs!$C$16/2</f>
        <v/>
      </c>
      <c r="T98" s="9">
        <f>F98-Inputs!$C$17/2</f>
        <v/>
      </c>
      <c r="U98" s="9">
        <f>F98+Inputs!$C$17/2</f>
        <v/>
      </c>
      <c r="V98" s="9">
        <f>ABS(P98)</f>
        <v/>
      </c>
      <c r="W98" s="9">
        <f>ABS(Q98)</f>
        <v/>
      </c>
      <c r="X98" s="9">
        <f>IF(OR(Inputs!$C$27=TRUE,Inputs!$C$27="TRUE",Inputs!$C$27=1),1,0)*(Inputs!$C$51*(115*EXP(-(((0)-25)^2)/(4.5^2))+70*EXP(-(((0)+38)^2)/(7^2))*(0.55+0.45*SIN(2*PI()*(A98)/45))+24*SIN(2*PI()*(0)/9+(A98)/18)*EXP(-(((0)+5)^2)/(22^2))+18*SIN(2*PI()*(A98)/70))+Inputs!$C$28*EXP(-(((A98)-Inputs!$C$29)^2)/(2*Inputs!$C$31^2))*EXP(-(((0)-Inputs!$C$30)^2)/(2*Inputs!$C$32^2))+-Inputs!$C$33*EXP(-(((((A98)-Inputs!$C$34)^2)+(((0)-Inputs!$C$35)^2))/(2*Inputs!$C$36^2)))+Inputs!$C$37*(0.55*SIN(2*PI()*(A98)/Inputs!$C$39)+0.35*COS(2*PI()*(0)/Inputs!$C$40)+0.2*SIN(2*PI()*((A98)+(0))/(0.5*(Inputs!$C$39+Inputs!$C$40))))+Inputs!$C$38*SIN(2*PI()*(A98)/Inputs!$C$39)*SIN(2*PI()*(0)/Inputs!$C$40)+-Inputs!$C$41*EXP(-(((0)-Inputs!$C$43)^2)/(2*Inputs!$C$44^2))*EXP(-(((A98)-Inputs!$C$42)^2)/(2*Inputs!$C$45^2))+Inputs!$C$48*(0.7*(0.45*SIN(2*PI()*(((A98)/Inputs!$C$49)+Inputs!$C$47*0.137))+0.35*COS(2*PI()*(((0)/Inputs!$C$50)+Inputs!$C$47*0.173))+0.2*SIN(2*PI()*(((A98)+(0))/(0.5*(Inputs!$C$49+Inputs!$C$50))+Inputs!$C$47*0.097)))+0.3*(2*((SIN(((A98)*12.9898+(0)*78.233+Inputs!$C$47*37.719))*43758.5453)-INT((SIN(((A98)*12.9898+(0)*78.233+Inputs!$C$47*37.719))*43758.5453)))-1)))</f>
        <v/>
      </c>
      <c r="Y98" s="9">
        <f>IF(OR(Inputs!$C$27=TRUE,Inputs!$C$27="TRUE",Inputs!$C$27=1),1,0)*(Inputs!$C$51*(115*EXP(-(((Inputs!$C$6)-25)^2)/(4.5^2))+70*EXP(-(((Inputs!$C$6)+38)^2)/(7^2))*(0.55+0.45*SIN(2*PI()*(A98)/45))+24*SIN(2*PI()*(Inputs!$C$6)/9+(A98)/18)*EXP(-(((Inputs!$C$6)+5)^2)/(22^2))+18*SIN(2*PI()*(A98)/70))+Inputs!$C$28*EXP(-(((A98)-Inputs!$C$29)^2)/(2*Inputs!$C$31^2))*EXP(-(((Inputs!$C$6)-Inputs!$C$30)^2)/(2*Inputs!$C$32^2))+-Inputs!$C$33*EXP(-(((((A98)-Inputs!$C$34)^2)+(((Inputs!$C$6)-Inputs!$C$35)^2))/(2*Inputs!$C$36^2)))+Inputs!$C$37*(0.55*SIN(2*PI()*(A98)/Inputs!$C$39)+0.35*COS(2*PI()*(Inputs!$C$6)/Inputs!$C$40)+0.2*SIN(2*PI()*((A98)+(Inputs!$C$6))/(0.5*(Inputs!$C$39+Inputs!$C$40))))+Inputs!$C$38*SIN(2*PI()*(A98)/Inputs!$C$39)*SIN(2*PI()*(Inputs!$C$6)/Inputs!$C$40)+-Inputs!$C$41*EXP(-(((Inputs!$C$6)-Inputs!$C$43)^2)/(2*Inputs!$C$44^2))*EXP(-(((A98)-Inputs!$C$42)^2)/(2*Inputs!$C$45^2))+Inputs!$C$48*(0.7*(0.45*SIN(2*PI()*(((A98)/Inputs!$C$49)+Inputs!$C$47*0.137))+0.35*COS(2*PI()*(((Inputs!$C$6)/Inputs!$C$50)+Inputs!$C$47*0.173))+0.2*SIN(2*PI()*(((A98)+(Inputs!$C$6))/(0.5*(Inputs!$C$49+Inputs!$C$50))+Inputs!$C$47*0.097)))+0.3*(2*((SIN(((A98)*12.9898+(Inputs!$C$6)*78.233+Inputs!$C$47*37.719))*43758.5453)-INT((SIN(((A98)*12.9898+(Inputs!$C$6)*78.233+Inputs!$C$47*37.719))*43758.5453)))-1)))</f>
        <v/>
      </c>
      <c r="Z98" s="9">
        <f>B98-X98/1000</f>
        <v/>
      </c>
      <c r="AA98" s="9">
        <f>SQRT((Inputs!$C$52+B98)^2+(Inputs!$C$52+Y98/1000)^2-2*(Inputs!$C$52+B98)*(Inputs!$C$52+Y98/1000)*COS(SQRT(A98^2+Inputs!$C$6^2)/Inputs!$C$52))</f>
        <v/>
      </c>
      <c r="AB98" s="9">
        <f>(AA98-Z98)*1000</f>
        <v/>
      </c>
      <c r="AC98" s="9">
        <f>AB98/Inputs!$C$12</f>
        <v/>
      </c>
      <c r="AD98" s="9">
        <f>2*AB98/Inputs!$C$21*1000000</f>
        <v/>
      </c>
      <c r="AE98" s="9">
        <f>DEGREES(ATAN(H98/(B98-Y98/1000)))</f>
        <v/>
      </c>
      <c r="AF98" s="9">
        <f>DEGREES((2*PI()/Inputs!$C$13)*Inputs!$C$15*SIN(RADIANS(AE98)))</f>
        <v/>
      </c>
      <c r="AG98" s="9">
        <f>(Z98/AA98)^4</f>
        <v/>
      </c>
      <c r="AH98" s="9">
        <f>10*LOG10(AG98)</f>
        <v/>
      </c>
      <c r="AI98" s="9">
        <f>AC98-F98</f>
        <v/>
      </c>
      <c r="AJ98" s="9">
        <f>AD98-G98</f>
        <v/>
      </c>
      <c r="AK98" s="9">
        <f>Y98-X98</f>
        <v/>
      </c>
      <c r="AL98" s="9">
        <f>1000*(AA99-AA97)/(A99-A97)*Inputs!$C$11</f>
        <v/>
      </c>
      <c r="AM98" s="9">
        <f>-2*AL98/Inputs!$C$13</f>
        <v/>
      </c>
      <c r="AN98" s="9">
        <f>-2*AL98/Inputs!$C$14</f>
        <v/>
      </c>
      <c r="AO98" s="9">
        <f>ABS(AM98)</f>
        <v/>
      </c>
      <c r="AP98" s="9">
        <f>ABS(AN98)</f>
        <v/>
      </c>
      <c r="AQ98" s="9">
        <f>IF(OR(Inputs!$C$27=TRUE,Inputs!$C$27="TRUE",Inputs!$C$27=1),Inputs!$C$46/Inputs!$C$12,0)</f>
        <v/>
      </c>
      <c r="AR98" s="9">
        <f>AC98-AQ98</f>
        <v/>
      </c>
      <c r="AS98" s="9">
        <f>AC98+AQ98</f>
        <v/>
      </c>
    </row>
    <row r="99">
      <c r="A99" s="9">
        <f>Inputs!$C$7+97*(Inputs!$C$8-Inputs!$C$7)/240</f>
        <v/>
      </c>
      <c r="B99" s="9">
        <f>Inputs!$C$5+Inputs!$C$9*(A99/Inputs!$C$10)^2</f>
        <v/>
      </c>
      <c r="C99" s="9">
        <f>B99</f>
        <v/>
      </c>
      <c r="D99" s="9">
        <f>SQRT((Inputs!$C$52+B99)^2+Inputs!$C$52^2-2*(Inputs!$C$52+B99)*Inputs!$C$52*COS(SQRT(A99^2+Inputs!$C$6^2)/Inputs!$C$52))</f>
        <v/>
      </c>
      <c r="E99" s="9">
        <f>(D99-C99)*1000</f>
        <v/>
      </c>
      <c r="F99" s="9">
        <f>E99/Inputs!$C$12</f>
        <v/>
      </c>
      <c r="G99" s="9">
        <f>2*E99/Inputs!$C$21*1000000</f>
        <v/>
      </c>
      <c r="H99" s="9">
        <f>SQRT(A99^2+Inputs!$C$6^2)</f>
        <v/>
      </c>
      <c r="I99" s="9">
        <f>DEGREES(ATAN(H99/B99))</f>
        <v/>
      </c>
      <c r="J99" s="9">
        <f>DEGREES((2*PI()/Inputs!$C$13)*Inputs!$C$15*SIN(RADIANS(I99)))</f>
        <v/>
      </c>
      <c r="K99" s="9">
        <f>(C99/D99)^4</f>
        <v/>
      </c>
      <c r="L99" s="9">
        <f>10*LOG10(K99)</f>
        <v/>
      </c>
      <c r="M99" s="9">
        <f>2*(Inputs!$C$9/(Inputs!$C$10^2))*A99</f>
        <v/>
      </c>
      <c r="N99" s="9">
        <f>M99*Inputs!$C$11</f>
        <v/>
      </c>
      <c r="O99" s="9">
        <f>1000*(D100-D98)/(A100-A98)*Inputs!$C$11</f>
        <v/>
      </c>
      <c r="P99" s="9">
        <f>-2*O99/Inputs!$C$13</f>
        <v/>
      </c>
      <c r="Q99" s="9">
        <f>-2*O99/Inputs!$C$14</f>
        <v/>
      </c>
      <c r="R99" s="9">
        <f>F99-Inputs!$C$16/2</f>
        <v/>
      </c>
      <c r="S99" s="9">
        <f>F99+Inputs!$C$16/2</f>
        <v/>
      </c>
      <c r="T99" s="9">
        <f>F99-Inputs!$C$17/2</f>
        <v/>
      </c>
      <c r="U99" s="9">
        <f>F99+Inputs!$C$17/2</f>
        <v/>
      </c>
      <c r="V99" s="9">
        <f>ABS(P99)</f>
        <v/>
      </c>
      <c r="W99" s="9">
        <f>ABS(Q99)</f>
        <v/>
      </c>
      <c r="X99" s="9">
        <f>IF(OR(Inputs!$C$27=TRUE,Inputs!$C$27="TRUE",Inputs!$C$27=1),1,0)*(Inputs!$C$51*(115*EXP(-(((0)-25)^2)/(4.5^2))+70*EXP(-(((0)+38)^2)/(7^2))*(0.55+0.45*SIN(2*PI()*(A99)/45))+24*SIN(2*PI()*(0)/9+(A99)/18)*EXP(-(((0)+5)^2)/(22^2))+18*SIN(2*PI()*(A99)/70))+Inputs!$C$28*EXP(-(((A99)-Inputs!$C$29)^2)/(2*Inputs!$C$31^2))*EXP(-(((0)-Inputs!$C$30)^2)/(2*Inputs!$C$32^2))+-Inputs!$C$33*EXP(-(((((A99)-Inputs!$C$34)^2)+(((0)-Inputs!$C$35)^2))/(2*Inputs!$C$36^2)))+Inputs!$C$37*(0.55*SIN(2*PI()*(A99)/Inputs!$C$39)+0.35*COS(2*PI()*(0)/Inputs!$C$40)+0.2*SIN(2*PI()*((A99)+(0))/(0.5*(Inputs!$C$39+Inputs!$C$40))))+Inputs!$C$38*SIN(2*PI()*(A99)/Inputs!$C$39)*SIN(2*PI()*(0)/Inputs!$C$40)+-Inputs!$C$41*EXP(-(((0)-Inputs!$C$43)^2)/(2*Inputs!$C$44^2))*EXP(-(((A99)-Inputs!$C$42)^2)/(2*Inputs!$C$45^2))+Inputs!$C$48*(0.7*(0.45*SIN(2*PI()*(((A99)/Inputs!$C$49)+Inputs!$C$47*0.137))+0.35*COS(2*PI()*(((0)/Inputs!$C$50)+Inputs!$C$47*0.173))+0.2*SIN(2*PI()*(((A99)+(0))/(0.5*(Inputs!$C$49+Inputs!$C$50))+Inputs!$C$47*0.097)))+0.3*(2*((SIN(((A99)*12.9898+(0)*78.233+Inputs!$C$47*37.719))*43758.5453)-INT((SIN(((A99)*12.9898+(0)*78.233+Inputs!$C$47*37.719))*43758.5453)))-1)))</f>
        <v/>
      </c>
      <c r="Y99" s="9">
        <f>IF(OR(Inputs!$C$27=TRUE,Inputs!$C$27="TRUE",Inputs!$C$27=1),1,0)*(Inputs!$C$51*(115*EXP(-(((Inputs!$C$6)-25)^2)/(4.5^2))+70*EXP(-(((Inputs!$C$6)+38)^2)/(7^2))*(0.55+0.45*SIN(2*PI()*(A99)/45))+24*SIN(2*PI()*(Inputs!$C$6)/9+(A99)/18)*EXP(-(((Inputs!$C$6)+5)^2)/(22^2))+18*SIN(2*PI()*(A99)/70))+Inputs!$C$28*EXP(-(((A99)-Inputs!$C$29)^2)/(2*Inputs!$C$31^2))*EXP(-(((Inputs!$C$6)-Inputs!$C$30)^2)/(2*Inputs!$C$32^2))+-Inputs!$C$33*EXP(-(((((A99)-Inputs!$C$34)^2)+(((Inputs!$C$6)-Inputs!$C$35)^2))/(2*Inputs!$C$36^2)))+Inputs!$C$37*(0.55*SIN(2*PI()*(A99)/Inputs!$C$39)+0.35*COS(2*PI()*(Inputs!$C$6)/Inputs!$C$40)+0.2*SIN(2*PI()*((A99)+(Inputs!$C$6))/(0.5*(Inputs!$C$39+Inputs!$C$40))))+Inputs!$C$38*SIN(2*PI()*(A99)/Inputs!$C$39)*SIN(2*PI()*(Inputs!$C$6)/Inputs!$C$40)+-Inputs!$C$41*EXP(-(((Inputs!$C$6)-Inputs!$C$43)^2)/(2*Inputs!$C$44^2))*EXP(-(((A99)-Inputs!$C$42)^2)/(2*Inputs!$C$45^2))+Inputs!$C$48*(0.7*(0.45*SIN(2*PI()*(((A99)/Inputs!$C$49)+Inputs!$C$47*0.137))+0.35*COS(2*PI()*(((Inputs!$C$6)/Inputs!$C$50)+Inputs!$C$47*0.173))+0.2*SIN(2*PI()*(((A99)+(Inputs!$C$6))/(0.5*(Inputs!$C$49+Inputs!$C$50))+Inputs!$C$47*0.097)))+0.3*(2*((SIN(((A99)*12.9898+(Inputs!$C$6)*78.233+Inputs!$C$47*37.719))*43758.5453)-INT((SIN(((A99)*12.9898+(Inputs!$C$6)*78.233+Inputs!$C$47*37.719))*43758.5453)))-1)))</f>
        <v/>
      </c>
      <c r="Z99" s="9">
        <f>B99-X99/1000</f>
        <v/>
      </c>
      <c r="AA99" s="9">
        <f>SQRT((Inputs!$C$52+B99)^2+(Inputs!$C$52+Y99/1000)^2-2*(Inputs!$C$52+B99)*(Inputs!$C$52+Y99/1000)*COS(SQRT(A99^2+Inputs!$C$6^2)/Inputs!$C$52))</f>
        <v/>
      </c>
      <c r="AB99" s="9">
        <f>(AA99-Z99)*1000</f>
        <v/>
      </c>
      <c r="AC99" s="9">
        <f>AB99/Inputs!$C$12</f>
        <v/>
      </c>
      <c r="AD99" s="9">
        <f>2*AB99/Inputs!$C$21*1000000</f>
        <v/>
      </c>
      <c r="AE99" s="9">
        <f>DEGREES(ATAN(H99/(B99-Y99/1000)))</f>
        <v/>
      </c>
      <c r="AF99" s="9">
        <f>DEGREES((2*PI()/Inputs!$C$13)*Inputs!$C$15*SIN(RADIANS(AE99)))</f>
        <v/>
      </c>
      <c r="AG99" s="9">
        <f>(Z99/AA99)^4</f>
        <v/>
      </c>
      <c r="AH99" s="9">
        <f>10*LOG10(AG99)</f>
        <v/>
      </c>
      <c r="AI99" s="9">
        <f>AC99-F99</f>
        <v/>
      </c>
      <c r="AJ99" s="9">
        <f>AD99-G99</f>
        <v/>
      </c>
      <c r="AK99" s="9">
        <f>Y99-X99</f>
        <v/>
      </c>
      <c r="AL99" s="9">
        <f>1000*(AA100-AA98)/(A100-A98)*Inputs!$C$11</f>
        <v/>
      </c>
      <c r="AM99" s="9">
        <f>-2*AL99/Inputs!$C$13</f>
        <v/>
      </c>
      <c r="AN99" s="9">
        <f>-2*AL99/Inputs!$C$14</f>
        <v/>
      </c>
      <c r="AO99" s="9">
        <f>ABS(AM99)</f>
        <v/>
      </c>
      <c r="AP99" s="9">
        <f>ABS(AN99)</f>
        <v/>
      </c>
      <c r="AQ99" s="9">
        <f>IF(OR(Inputs!$C$27=TRUE,Inputs!$C$27="TRUE",Inputs!$C$27=1),Inputs!$C$46/Inputs!$C$12,0)</f>
        <v/>
      </c>
      <c r="AR99" s="9">
        <f>AC99-AQ99</f>
        <v/>
      </c>
      <c r="AS99" s="9">
        <f>AC99+AQ99</f>
        <v/>
      </c>
    </row>
    <row r="100">
      <c r="A100" s="9">
        <f>Inputs!$C$7+98*(Inputs!$C$8-Inputs!$C$7)/240</f>
        <v/>
      </c>
      <c r="B100" s="9">
        <f>Inputs!$C$5+Inputs!$C$9*(A100/Inputs!$C$10)^2</f>
        <v/>
      </c>
      <c r="C100" s="9">
        <f>B100</f>
        <v/>
      </c>
      <c r="D100" s="9">
        <f>SQRT((Inputs!$C$52+B100)^2+Inputs!$C$52^2-2*(Inputs!$C$52+B100)*Inputs!$C$52*COS(SQRT(A100^2+Inputs!$C$6^2)/Inputs!$C$52))</f>
        <v/>
      </c>
      <c r="E100" s="9">
        <f>(D100-C100)*1000</f>
        <v/>
      </c>
      <c r="F100" s="9">
        <f>E100/Inputs!$C$12</f>
        <v/>
      </c>
      <c r="G100" s="9">
        <f>2*E100/Inputs!$C$21*1000000</f>
        <v/>
      </c>
      <c r="H100" s="9">
        <f>SQRT(A100^2+Inputs!$C$6^2)</f>
        <v/>
      </c>
      <c r="I100" s="9">
        <f>DEGREES(ATAN(H100/B100))</f>
        <v/>
      </c>
      <c r="J100" s="9">
        <f>DEGREES((2*PI()/Inputs!$C$13)*Inputs!$C$15*SIN(RADIANS(I100)))</f>
        <v/>
      </c>
      <c r="K100" s="9">
        <f>(C100/D100)^4</f>
        <v/>
      </c>
      <c r="L100" s="9">
        <f>10*LOG10(K100)</f>
        <v/>
      </c>
      <c r="M100" s="9">
        <f>2*(Inputs!$C$9/(Inputs!$C$10^2))*A100</f>
        <v/>
      </c>
      <c r="N100" s="9">
        <f>M100*Inputs!$C$11</f>
        <v/>
      </c>
      <c r="O100" s="9">
        <f>1000*(D101-D99)/(A101-A99)*Inputs!$C$11</f>
        <v/>
      </c>
      <c r="P100" s="9">
        <f>-2*O100/Inputs!$C$13</f>
        <v/>
      </c>
      <c r="Q100" s="9">
        <f>-2*O100/Inputs!$C$14</f>
        <v/>
      </c>
      <c r="R100" s="9">
        <f>F100-Inputs!$C$16/2</f>
        <v/>
      </c>
      <c r="S100" s="9">
        <f>F100+Inputs!$C$16/2</f>
        <v/>
      </c>
      <c r="T100" s="9">
        <f>F100-Inputs!$C$17/2</f>
        <v/>
      </c>
      <c r="U100" s="9">
        <f>F100+Inputs!$C$17/2</f>
        <v/>
      </c>
      <c r="V100" s="9">
        <f>ABS(P100)</f>
        <v/>
      </c>
      <c r="W100" s="9">
        <f>ABS(Q100)</f>
        <v/>
      </c>
      <c r="X100" s="9">
        <f>IF(OR(Inputs!$C$27=TRUE,Inputs!$C$27="TRUE",Inputs!$C$27=1),1,0)*(Inputs!$C$51*(115*EXP(-(((0)-25)^2)/(4.5^2))+70*EXP(-(((0)+38)^2)/(7^2))*(0.55+0.45*SIN(2*PI()*(A100)/45))+24*SIN(2*PI()*(0)/9+(A100)/18)*EXP(-(((0)+5)^2)/(22^2))+18*SIN(2*PI()*(A100)/70))+Inputs!$C$28*EXP(-(((A100)-Inputs!$C$29)^2)/(2*Inputs!$C$31^2))*EXP(-(((0)-Inputs!$C$30)^2)/(2*Inputs!$C$32^2))+-Inputs!$C$33*EXP(-(((((A100)-Inputs!$C$34)^2)+(((0)-Inputs!$C$35)^2))/(2*Inputs!$C$36^2)))+Inputs!$C$37*(0.55*SIN(2*PI()*(A100)/Inputs!$C$39)+0.35*COS(2*PI()*(0)/Inputs!$C$40)+0.2*SIN(2*PI()*((A100)+(0))/(0.5*(Inputs!$C$39+Inputs!$C$40))))+Inputs!$C$38*SIN(2*PI()*(A100)/Inputs!$C$39)*SIN(2*PI()*(0)/Inputs!$C$40)+-Inputs!$C$41*EXP(-(((0)-Inputs!$C$43)^2)/(2*Inputs!$C$44^2))*EXP(-(((A100)-Inputs!$C$42)^2)/(2*Inputs!$C$45^2))+Inputs!$C$48*(0.7*(0.45*SIN(2*PI()*(((A100)/Inputs!$C$49)+Inputs!$C$47*0.137))+0.35*COS(2*PI()*(((0)/Inputs!$C$50)+Inputs!$C$47*0.173))+0.2*SIN(2*PI()*(((A100)+(0))/(0.5*(Inputs!$C$49+Inputs!$C$50))+Inputs!$C$47*0.097)))+0.3*(2*((SIN(((A100)*12.9898+(0)*78.233+Inputs!$C$47*37.719))*43758.5453)-INT((SIN(((A100)*12.9898+(0)*78.233+Inputs!$C$47*37.719))*43758.5453)))-1)))</f>
        <v/>
      </c>
      <c r="Y100" s="9">
        <f>IF(OR(Inputs!$C$27=TRUE,Inputs!$C$27="TRUE",Inputs!$C$27=1),1,0)*(Inputs!$C$51*(115*EXP(-(((Inputs!$C$6)-25)^2)/(4.5^2))+70*EXP(-(((Inputs!$C$6)+38)^2)/(7^2))*(0.55+0.45*SIN(2*PI()*(A100)/45))+24*SIN(2*PI()*(Inputs!$C$6)/9+(A100)/18)*EXP(-(((Inputs!$C$6)+5)^2)/(22^2))+18*SIN(2*PI()*(A100)/70))+Inputs!$C$28*EXP(-(((A100)-Inputs!$C$29)^2)/(2*Inputs!$C$31^2))*EXP(-(((Inputs!$C$6)-Inputs!$C$30)^2)/(2*Inputs!$C$32^2))+-Inputs!$C$33*EXP(-(((((A100)-Inputs!$C$34)^2)+(((Inputs!$C$6)-Inputs!$C$35)^2))/(2*Inputs!$C$36^2)))+Inputs!$C$37*(0.55*SIN(2*PI()*(A100)/Inputs!$C$39)+0.35*COS(2*PI()*(Inputs!$C$6)/Inputs!$C$40)+0.2*SIN(2*PI()*((A100)+(Inputs!$C$6))/(0.5*(Inputs!$C$39+Inputs!$C$40))))+Inputs!$C$38*SIN(2*PI()*(A100)/Inputs!$C$39)*SIN(2*PI()*(Inputs!$C$6)/Inputs!$C$40)+-Inputs!$C$41*EXP(-(((Inputs!$C$6)-Inputs!$C$43)^2)/(2*Inputs!$C$44^2))*EXP(-(((A100)-Inputs!$C$42)^2)/(2*Inputs!$C$45^2))+Inputs!$C$48*(0.7*(0.45*SIN(2*PI()*(((A100)/Inputs!$C$49)+Inputs!$C$47*0.137))+0.35*COS(2*PI()*(((Inputs!$C$6)/Inputs!$C$50)+Inputs!$C$47*0.173))+0.2*SIN(2*PI()*(((A100)+(Inputs!$C$6))/(0.5*(Inputs!$C$49+Inputs!$C$50))+Inputs!$C$47*0.097)))+0.3*(2*((SIN(((A100)*12.9898+(Inputs!$C$6)*78.233+Inputs!$C$47*37.719))*43758.5453)-INT((SIN(((A100)*12.9898+(Inputs!$C$6)*78.233+Inputs!$C$47*37.719))*43758.5453)))-1)))</f>
        <v/>
      </c>
      <c r="Z100" s="9">
        <f>B100-X100/1000</f>
        <v/>
      </c>
      <c r="AA100" s="9">
        <f>SQRT((Inputs!$C$52+B100)^2+(Inputs!$C$52+Y100/1000)^2-2*(Inputs!$C$52+B100)*(Inputs!$C$52+Y100/1000)*COS(SQRT(A100^2+Inputs!$C$6^2)/Inputs!$C$52))</f>
        <v/>
      </c>
      <c r="AB100" s="9">
        <f>(AA100-Z100)*1000</f>
        <v/>
      </c>
      <c r="AC100" s="9">
        <f>AB100/Inputs!$C$12</f>
        <v/>
      </c>
      <c r="AD100" s="9">
        <f>2*AB100/Inputs!$C$21*1000000</f>
        <v/>
      </c>
      <c r="AE100" s="9">
        <f>DEGREES(ATAN(H100/(B100-Y100/1000)))</f>
        <v/>
      </c>
      <c r="AF100" s="9">
        <f>DEGREES((2*PI()/Inputs!$C$13)*Inputs!$C$15*SIN(RADIANS(AE100)))</f>
        <v/>
      </c>
      <c r="AG100" s="9">
        <f>(Z100/AA100)^4</f>
        <v/>
      </c>
      <c r="AH100" s="9">
        <f>10*LOG10(AG100)</f>
        <v/>
      </c>
      <c r="AI100" s="9">
        <f>AC100-F100</f>
        <v/>
      </c>
      <c r="AJ100" s="9">
        <f>AD100-G100</f>
        <v/>
      </c>
      <c r="AK100" s="9">
        <f>Y100-X100</f>
        <v/>
      </c>
      <c r="AL100" s="9">
        <f>1000*(AA101-AA99)/(A101-A99)*Inputs!$C$11</f>
        <v/>
      </c>
      <c r="AM100" s="9">
        <f>-2*AL100/Inputs!$C$13</f>
        <v/>
      </c>
      <c r="AN100" s="9">
        <f>-2*AL100/Inputs!$C$14</f>
        <v/>
      </c>
      <c r="AO100" s="9">
        <f>ABS(AM100)</f>
        <v/>
      </c>
      <c r="AP100" s="9">
        <f>ABS(AN100)</f>
        <v/>
      </c>
      <c r="AQ100" s="9">
        <f>IF(OR(Inputs!$C$27=TRUE,Inputs!$C$27="TRUE",Inputs!$C$27=1),Inputs!$C$46/Inputs!$C$12,0)</f>
        <v/>
      </c>
      <c r="AR100" s="9">
        <f>AC100-AQ100</f>
        <v/>
      </c>
      <c r="AS100" s="9">
        <f>AC100+AQ100</f>
        <v/>
      </c>
    </row>
    <row r="101">
      <c r="A101" s="9">
        <f>Inputs!$C$7+99*(Inputs!$C$8-Inputs!$C$7)/240</f>
        <v/>
      </c>
      <c r="B101" s="9">
        <f>Inputs!$C$5+Inputs!$C$9*(A101/Inputs!$C$10)^2</f>
        <v/>
      </c>
      <c r="C101" s="9">
        <f>B101</f>
        <v/>
      </c>
      <c r="D101" s="9">
        <f>SQRT((Inputs!$C$52+B101)^2+Inputs!$C$52^2-2*(Inputs!$C$52+B101)*Inputs!$C$52*COS(SQRT(A101^2+Inputs!$C$6^2)/Inputs!$C$52))</f>
        <v/>
      </c>
      <c r="E101" s="9">
        <f>(D101-C101)*1000</f>
        <v/>
      </c>
      <c r="F101" s="9">
        <f>E101/Inputs!$C$12</f>
        <v/>
      </c>
      <c r="G101" s="9">
        <f>2*E101/Inputs!$C$21*1000000</f>
        <v/>
      </c>
      <c r="H101" s="9">
        <f>SQRT(A101^2+Inputs!$C$6^2)</f>
        <v/>
      </c>
      <c r="I101" s="9">
        <f>DEGREES(ATAN(H101/B101))</f>
        <v/>
      </c>
      <c r="J101" s="9">
        <f>DEGREES((2*PI()/Inputs!$C$13)*Inputs!$C$15*SIN(RADIANS(I101)))</f>
        <v/>
      </c>
      <c r="K101" s="9">
        <f>(C101/D101)^4</f>
        <v/>
      </c>
      <c r="L101" s="9">
        <f>10*LOG10(K101)</f>
        <v/>
      </c>
      <c r="M101" s="9">
        <f>2*(Inputs!$C$9/(Inputs!$C$10^2))*A101</f>
        <v/>
      </c>
      <c r="N101" s="9">
        <f>M101*Inputs!$C$11</f>
        <v/>
      </c>
      <c r="O101" s="9">
        <f>1000*(D102-D100)/(A102-A100)*Inputs!$C$11</f>
        <v/>
      </c>
      <c r="P101" s="9">
        <f>-2*O101/Inputs!$C$13</f>
        <v/>
      </c>
      <c r="Q101" s="9">
        <f>-2*O101/Inputs!$C$14</f>
        <v/>
      </c>
      <c r="R101" s="9">
        <f>F101-Inputs!$C$16/2</f>
        <v/>
      </c>
      <c r="S101" s="9">
        <f>F101+Inputs!$C$16/2</f>
        <v/>
      </c>
      <c r="T101" s="9">
        <f>F101-Inputs!$C$17/2</f>
        <v/>
      </c>
      <c r="U101" s="9">
        <f>F101+Inputs!$C$17/2</f>
        <v/>
      </c>
      <c r="V101" s="9">
        <f>ABS(P101)</f>
        <v/>
      </c>
      <c r="W101" s="9">
        <f>ABS(Q101)</f>
        <v/>
      </c>
      <c r="X101" s="9">
        <f>IF(OR(Inputs!$C$27=TRUE,Inputs!$C$27="TRUE",Inputs!$C$27=1),1,0)*(Inputs!$C$51*(115*EXP(-(((0)-25)^2)/(4.5^2))+70*EXP(-(((0)+38)^2)/(7^2))*(0.55+0.45*SIN(2*PI()*(A101)/45))+24*SIN(2*PI()*(0)/9+(A101)/18)*EXP(-(((0)+5)^2)/(22^2))+18*SIN(2*PI()*(A101)/70))+Inputs!$C$28*EXP(-(((A101)-Inputs!$C$29)^2)/(2*Inputs!$C$31^2))*EXP(-(((0)-Inputs!$C$30)^2)/(2*Inputs!$C$32^2))+-Inputs!$C$33*EXP(-(((((A101)-Inputs!$C$34)^2)+(((0)-Inputs!$C$35)^2))/(2*Inputs!$C$36^2)))+Inputs!$C$37*(0.55*SIN(2*PI()*(A101)/Inputs!$C$39)+0.35*COS(2*PI()*(0)/Inputs!$C$40)+0.2*SIN(2*PI()*((A101)+(0))/(0.5*(Inputs!$C$39+Inputs!$C$40))))+Inputs!$C$38*SIN(2*PI()*(A101)/Inputs!$C$39)*SIN(2*PI()*(0)/Inputs!$C$40)+-Inputs!$C$41*EXP(-(((0)-Inputs!$C$43)^2)/(2*Inputs!$C$44^2))*EXP(-(((A101)-Inputs!$C$42)^2)/(2*Inputs!$C$45^2))+Inputs!$C$48*(0.7*(0.45*SIN(2*PI()*(((A101)/Inputs!$C$49)+Inputs!$C$47*0.137))+0.35*COS(2*PI()*(((0)/Inputs!$C$50)+Inputs!$C$47*0.173))+0.2*SIN(2*PI()*(((A101)+(0))/(0.5*(Inputs!$C$49+Inputs!$C$50))+Inputs!$C$47*0.097)))+0.3*(2*((SIN(((A101)*12.9898+(0)*78.233+Inputs!$C$47*37.719))*43758.5453)-INT((SIN(((A101)*12.9898+(0)*78.233+Inputs!$C$47*37.719))*43758.5453)))-1)))</f>
        <v/>
      </c>
      <c r="Y101" s="9">
        <f>IF(OR(Inputs!$C$27=TRUE,Inputs!$C$27="TRUE",Inputs!$C$27=1),1,0)*(Inputs!$C$51*(115*EXP(-(((Inputs!$C$6)-25)^2)/(4.5^2))+70*EXP(-(((Inputs!$C$6)+38)^2)/(7^2))*(0.55+0.45*SIN(2*PI()*(A101)/45))+24*SIN(2*PI()*(Inputs!$C$6)/9+(A101)/18)*EXP(-(((Inputs!$C$6)+5)^2)/(22^2))+18*SIN(2*PI()*(A101)/70))+Inputs!$C$28*EXP(-(((A101)-Inputs!$C$29)^2)/(2*Inputs!$C$31^2))*EXP(-(((Inputs!$C$6)-Inputs!$C$30)^2)/(2*Inputs!$C$32^2))+-Inputs!$C$33*EXP(-(((((A101)-Inputs!$C$34)^2)+(((Inputs!$C$6)-Inputs!$C$35)^2))/(2*Inputs!$C$36^2)))+Inputs!$C$37*(0.55*SIN(2*PI()*(A101)/Inputs!$C$39)+0.35*COS(2*PI()*(Inputs!$C$6)/Inputs!$C$40)+0.2*SIN(2*PI()*((A101)+(Inputs!$C$6))/(0.5*(Inputs!$C$39+Inputs!$C$40))))+Inputs!$C$38*SIN(2*PI()*(A101)/Inputs!$C$39)*SIN(2*PI()*(Inputs!$C$6)/Inputs!$C$40)+-Inputs!$C$41*EXP(-(((Inputs!$C$6)-Inputs!$C$43)^2)/(2*Inputs!$C$44^2))*EXP(-(((A101)-Inputs!$C$42)^2)/(2*Inputs!$C$45^2))+Inputs!$C$48*(0.7*(0.45*SIN(2*PI()*(((A101)/Inputs!$C$49)+Inputs!$C$47*0.137))+0.35*COS(2*PI()*(((Inputs!$C$6)/Inputs!$C$50)+Inputs!$C$47*0.173))+0.2*SIN(2*PI()*(((A101)+(Inputs!$C$6))/(0.5*(Inputs!$C$49+Inputs!$C$50))+Inputs!$C$47*0.097)))+0.3*(2*((SIN(((A101)*12.9898+(Inputs!$C$6)*78.233+Inputs!$C$47*37.719))*43758.5453)-INT((SIN(((A101)*12.9898+(Inputs!$C$6)*78.233+Inputs!$C$47*37.719))*43758.5453)))-1)))</f>
        <v/>
      </c>
      <c r="Z101" s="9">
        <f>B101-X101/1000</f>
        <v/>
      </c>
      <c r="AA101" s="9">
        <f>SQRT((Inputs!$C$52+B101)^2+(Inputs!$C$52+Y101/1000)^2-2*(Inputs!$C$52+B101)*(Inputs!$C$52+Y101/1000)*COS(SQRT(A101^2+Inputs!$C$6^2)/Inputs!$C$52))</f>
        <v/>
      </c>
      <c r="AB101" s="9">
        <f>(AA101-Z101)*1000</f>
        <v/>
      </c>
      <c r="AC101" s="9">
        <f>AB101/Inputs!$C$12</f>
        <v/>
      </c>
      <c r="AD101" s="9">
        <f>2*AB101/Inputs!$C$21*1000000</f>
        <v/>
      </c>
      <c r="AE101" s="9">
        <f>DEGREES(ATAN(H101/(B101-Y101/1000)))</f>
        <v/>
      </c>
      <c r="AF101" s="9">
        <f>DEGREES((2*PI()/Inputs!$C$13)*Inputs!$C$15*SIN(RADIANS(AE101)))</f>
        <v/>
      </c>
      <c r="AG101" s="9">
        <f>(Z101/AA101)^4</f>
        <v/>
      </c>
      <c r="AH101" s="9">
        <f>10*LOG10(AG101)</f>
        <v/>
      </c>
      <c r="AI101" s="9">
        <f>AC101-F101</f>
        <v/>
      </c>
      <c r="AJ101" s="9">
        <f>AD101-G101</f>
        <v/>
      </c>
      <c r="AK101" s="9">
        <f>Y101-X101</f>
        <v/>
      </c>
      <c r="AL101" s="9">
        <f>1000*(AA102-AA100)/(A102-A100)*Inputs!$C$11</f>
        <v/>
      </c>
      <c r="AM101" s="9">
        <f>-2*AL101/Inputs!$C$13</f>
        <v/>
      </c>
      <c r="AN101" s="9">
        <f>-2*AL101/Inputs!$C$14</f>
        <v/>
      </c>
      <c r="AO101" s="9">
        <f>ABS(AM101)</f>
        <v/>
      </c>
      <c r="AP101" s="9">
        <f>ABS(AN101)</f>
        <v/>
      </c>
      <c r="AQ101" s="9">
        <f>IF(OR(Inputs!$C$27=TRUE,Inputs!$C$27="TRUE",Inputs!$C$27=1),Inputs!$C$46/Inputs!$C$12,0)</f>
        <v/>
      </c>
      <c r="AR101" s="9">
        <f>AC101-AQ101</f>
        <v/>
      </c>
      <c r="AS101" s="9">
        <f>AC101+AQ101</f>
        <v/>
      </c>
    </row>
    <row r="102">
      <c r="A102" s="9">
        <f>Inputs!$C$7+100*(Inputs!$C$8-Inputs!$C$7)/240</f>
        <v/>
      </c>
      <c r="B102" s="9">
        <f>Inputs!$C$5+Inputs!$C$9*(A102/Inputs!$C$10)^2</f>
        <v/>
      </c>
      <c r="C102" s="9">
        <f>B102</f>
        <v/>
      </c>
      <c r="D102" s="9">
        <f>SQRT((Inputs!$C$52+B102)^2+Inputs!$C$52^2-2*(Inputs!$C$52+B102)*Inputs!$C$52*COS(SQRT(A102^2+Inputs!$C$6^2)/Inputs!$C$52))</f>
        <v/>
      </c>
      <c r="E102" s="9">
        <f>(D102-C102)*1000</f>
        <v/>
      </c>
      <c r="F102" s="9">
        <f>E102/Inputs!$C$12</f>
        <v/>
      </c>
      <c r="G102" s="9">
        <f>2*E102/Inputs!$C$21*1000000</f>
        <v/>
      </c>
      <c r="H102" s="9">
        <f>SQRT(A102^2+Inputs!$C$6^2)</f>
        <v/>
      </c>
      <c r="I102" s="9">
        <f>DEGREES(ATAN(H102/B102))</f>
        <v/>
      </c>
      <c r="J102" s="9">
        <f>DEGREES((2*PI()/Inputs!$C$13)*Inputs!$C$15*SIN(RADIANS(I102)))</f>
        <v/>
      </c>
      <c r="K102" s="9">
        <f>(C102/D102)^4</f>
        <v/>
      </c>
      <c r="L102" s="9">
        <f>10*LOG10(K102)</f>
        <v/>
      </c>
      <c r="M102" s="9">
        <f>2*(Inputs!$C$9/(Inputs!$C$10^2))*A102</f>
        <v/>
      </c>
      <c r="N102" s="9">
        <f>M102*Inputs!$C$11</f>
        <v/>
      </c>
      <c r="O102" s="9">
        <f>1000*(D103-D101)/(A103-A101)*Inputs!$C$11</f>
        <v/>
      </c>
      <c r="P102" s="9">
        <f>-2*O102/Inputs!$C$13</f>
        <v/>
      </c>
      <c r="Q102" s="9">
        <f>-2*O102/Inputs!$C$14</f>
        <v/>
      </c>
      <c r="R102" s="9">
        <f>F102-Inputs!$C$16/2</f>
        <v/>
      </c>
      <c r="S102" s="9">
        <f>F102+Inputs!$C$16/2</f>
        <v/>
      </c>
      <c r="T102" s="9">
        <f>F102-Inputs!$C$17/2</f>
        <v/>
      </c>
      <c r="U102" s="9">
        <f>F102+Inputs!$C$17/2</f>
        <v/>
      </c>
      <c r="V102" s="9">
        <f>ABS(P102)</f>
        <v/>
      </c>
      <c r="W102" s="9">
        <f>ABS(Q102)</f>
        <v/>
      </c>
      <c r="X102" s="9">
        <f>IF(OR(Inputs!$C$27=TRUE,Inputs!$C$27="TRUE",Inputs!$C$27=1),1,0)*(Inputs!$C$51*(115*EXP(-(((0)-25)^2)/(4.5^2))+70*EXP(-(((0)+38)^2)/(7^2))*(0.55+0.45*SIN(2*PI()*(A102)/45))+24*SIN(2*PI()*(0)/9+(A102)/18)*EXP(-(((0)+5)^2)/(22^2))+18*SIN(2*PI()*(A102)/70))+Inputs!$C$28*EXP(-(((A102)-Inputs!$C$29)^2)/(2*Inputs!$C$31^2))*EXP(-(((0)-Inputs!$C$30)^2)/(2*Inputs!$C$32^2))+-Inputs!$C$33*EXP(-(((((A102)-Inputs!$C$34)^2)+(((0)-Inputs!$C$35)^2))/(2*Inputs!$C$36^2)))+Inputs!$C$37*(0.55*SIN(2*PI()*(A102)/Inputs!$C$39)+0.35*COS(2*PI()*(0)/Inputs!$C$40)+0.2*SIN(2*PI()*((A102)+(0))/(0.5*(Inputs!$C$39+Inputs!$C$40))))+Inputs!$C$38*SIN(2*PI()*(A102)/Inputs!$C$39)*SIN(2*PI()*(0)/Inputs!$C$40)+-Inputs!$C$41*EXP(-(((0)-Inputs!$C$43)^2)/(2*Inputs!$C$44^2))*EXP(-(((A102)-Inputs!$C$42)^2)/(2*Inputs!$C$45^2))+Inputs!$C$48*(0.7*(0.45*SIN(2*PI()*(((A102)/Inputs!$C$49)+Inputs!$C$47*0.137))+0.35*COS(2*PI()*(((0)/Inputs!$C$50)+Inputs!$C$47*0.173))+0.2*SIN(2*PI()*(((A102)+(0))/(0.5*(Inputs!$C$49+Inputs!$C$50))+Inputs!$C$47*0.097)))+0.3*(2*((SIN(((A102)*12.9898+(0)*78.233+Inputs!$C$47*37.719))*43758.5453)-INT((SIN(((A102)*12.9898+(0)*78.233+Inputs!$C$47*37.719))*43758.5453)))-1)))</f>
        <v/>
      </c>
      <c r="Y102" s="9">
        <f>IF(OR(Inputs!$C$27=TRUE,Inputs!$C$27="TRUE",Inputs!$C$27=1),1,0)*(Inputs!$C$51*(115*EXP(-(((Inputs!$C$6)-25)^2)/(4.5^2))+70*EXP(-(((Inputs!$C$6)+38)^2)/(7^2))*(0.55+0.45*SIN(2*PI()*(A102)/45))+24*SIN(2*PI()*(Inputs!$C$6)/9+(A102)/18)*EXP(-(((Inputs!$C$6)+5)^2)/(22^2))+18*SIN(2*PI()*(A102)/70))+Inputs!$C$28*EXP(-(((A102)-Inputs!$C$29)^2)/(2*Inputs!$C$31^2))*EXP(-(((Inputs!$C$6)-Inputs!$C$30)^2)/(2*Inputs!$C$32^2))+-Inputs!$C$33*EXP(-(((((A102)-Inputs!$C$34)^2)+(((Inputs!$C$6)-Inputs!$C$35)^2))/(2*Inputs!$C$36^2)))+Inputs!$C$37*(0.55*SIN(2*PI()*(A102)/Inputs!$C$39)+0.35*COS(2*PI()*(Inputs!$C$6)/Inputs!$C$40)+0.2*SIN(2*PI()*((A102)+(Inputs!$C$6))/(0.5*(Inputs!$C$39+Inputs!$C$40))))+Inputs!$C$38*SIN(2*PI()*(A102)/Inputs!$C$39)*SIN(2*PI()*(Inputs!$C$6)/Inputs!$C$40)+-Inputs!$C$41*EXP(-(((Inputs!$C$6)-Inputs!$C$43)^2)/(2*Inputs!$C$44^2))*EXP(-(((A102)-Inputs!$C$42)^2)/(2*Inputs!$C$45^2))+Inputs!$C$48*(0.7*(0.45*SIN(2*PI()*(((A102)/Inputs!$C$49)+Inputs!$C$47*0.137))+0.35*COS(2*PI()*(((Inputs!$C$6)/Inputs!$C$50)+Inputs!$C$47*0.173))+0.2*SIN(2*PI()*(((A102)+(Inputs!$C$6))/(0.5*(Inputs!$C$49+Inputs!$C$50))+Inputs!$C$47*0.097)))+0.3*(2*((SIN(((A102)*12.9898+(Inputs!$C$6)*78.233+Inputs!$C$47*37.719))*43758.5453)-INT((SIN(((A102)*12.9898+(Inputs!$C$6)*78.233+Inputs!$C$47*37.719))*43758.5453)))-1)))</f>
        <v/>
      </c>
      <c r="Z102" s="9">
        <f>B102-X102/1000</f>
        <v/>
      </c>
      <c r="AA102" s="9">
        <f>SQRT((Inputs!$C$52+B102)^2+(Inputs!$C$52+Y102/1000)^2-2*(Inputs!$C$52+B102)*(Inputs!$C$52+Y102/1000)*COS(SQRT(A102^2+Inputs!$C$6^2)/Inputs!$C$52))</f>
        <v/>
      </c>
      <c r="AB102" s="9">
        <f>(AA102-Z102)*1000</f>
        <v/>
      </c>
      <c r="AC102" s="9">
        <f>AB102/Inputs!$C$12</f>
        <v/>
      </c>
      <c r="AD102" s="9">
        <f>2*AB102/Inputs!$C$21*1000000</f>
        <v/>
      </c>
      <c r="AE102" s="9">
        <f>DEGREES(ATAN(H102/(B102-Y102/1000)))</f>
        <v/>
      </c>
      <c r="AF102" s="9">
        <f>DEGREES((2*PI()/Inputs!$C$13)*Inputs!$C$15*SIN(RADIANS(AE102)))</f>
        <v/>
      </c>
      <c r="AG102" s="9">
        <f>(Z102/AA102)^4</f>
        <v/>
      </c>
      <c r="AH102" s="9">
        <f>10*LOG10(AG102)</f>
        <v/>
      </c>
      <c r="AI102" s="9">
        <f>AC102-F102</f>
        <v/>
      </c>
      <c r="AJ102" s="9">
        <f>AD102-G102</f>
        <v/>
      </c>
      <c r="AK102" s="9">
        <f>Y102-X102</f>
        <v/>
      </c>
      <c r="AL102" s="9">
        <f>1000*(AA103-AA101)/(A103-A101)*Inputs!$C$11</f>
        <v/>
      </c>
      <c r="AM102" s="9">
        <f>-2*AL102/Inputs!$C$13</f>
        <v/>
      </c>
      <c r="AN102" s="9">
        <f>-2*AL102/Inputs!$C$14</f>
        <v/>
      </c>
      <c r="AO102" s="9">
        <f>ABS(AM102)</f>
        <v/>
      </c>
      <c r="AP102" s="9">
        <f>ABS(AN102)</f>
        <v/>
      </c>
      <c r="AQ102" s="9">
        <f>IF(OR(Inputs!$C$27=TRUE,Inputs!$C$27="TRUE",Inputs!$C$27=1),Inputs!$C$46/Inputs!$C$12,0)</f>
        <v/>
      </c>
      <c r="AR102" s="9">
        <f>AC102-AQ102</f>
        <v/>
      </c>
      <c r="AS102" s="9">
        <f>AC102+AQ102</f>
        <v/>
      </c>
    </row>
    <row r="103">
      <c r="A103" s="9">
        <f>Inputs!$C$7+101*(Inputs!$C$8-Inputs!$C$7)/240</f>
        <v/>
      </c>
      <c r="B103" s="9">
        <f>Inputs!$C$5+Inputs!$C$9*(A103/Inputs!$C$10)^2</f>
        <v/>
      </c>
      <c r="C103" s="9">
        <f>B103</f>
        <v/>
      </c>
      <c r="D103" s="9">
        <f>SQRT((Inputs!$C$52+B103)^2+Inputs!$C$52^2-2*(Inputs!$C$52+B103)*Inputs!$C$52*COS(SQRT(A103^2+Inputs!$C$6^2)/Inputs!$C$52))</f>
        <v/>
      </c>
      <c r="E103" s="9">
        <f>(D103-C103)*1000</f>
        <v/>
      </c>
      <c r="F103" s="9">
        <f>E103/Inputs!$C$12</f>
        <v/>
      </c>
      <c r="G103" s="9">
        <f>2*E103/Inputs!$C$21*1000000</f>
        <v/>
      </c>
      <c r="H103" s="9">
        <f>SQRT(A103^2+Inputs!$C$6^2)</f>
        <v/>
      </c>
      <c r="I103" s="9">
        <f>DEGREES(ATAN(H103/B103))</f>
        <v/>
      </c>
      <c r="J103" s="9">
        <f>DEGREES((2*PI()/Inputs!$C$13)*Inputs!$C$15*SIN(RADIANS(I103)))</f>
        <v/>
      </c>
      <c r="K103" s="9">
        <f>(C103/D103)^4</f>
        <v/>
      </c>
      <c r="L103" s="9">
        <f>10*LOG10(K103)</f>
        <v/>
      </c>
      <c r="M103" s="9">
        <f>2*(Inputs!$C$9/(Inputs!$C$10^2))*A103</f>
        <v/>
      </c>
      <c r="N103" s="9">
        <f>M103*Inputs!$C$11</f>
        <v/>
      </c>
      <c r="O103" s="9">
        <f>1000*(D104-D102)/(A104-A102)*Inputs!$C$11</f>
        <v/>
      </c>
      <c r="P103" s="9">
        <f>-2*O103/Inputs!$C$13</f>
        <v/>
      </c>
      <c r="Q103" s="9">
        <f>-2*O103/Inputs!$C$14</f>
        <v/>
      </c>
      <c r="R103" s="9">
        <f>F103-Inputs!$C$16/2</f>
        <v/>
      </c>
      <c r="S103" s="9">
        <f>F103+Inputs!$C$16/2</f>
        <v/>
      </c>
      <c r="T103" s="9">
        <f>F103-Inputs!$C$17/2</f>
        <v/>
      </c>
      <c r="U103" s="9">
        <f>F103+Inputs!$C$17/2</f>
        <v/>
      </c>
      <c r="V103" s="9">
        <f>ABS(P103)</f>
        <v/>
      </c>
      <c r="W103" s="9">
        <f>ABS(Q103)</f>
        <v/>
      </c>
      <c r="X103" s="9">
        <f>IF(OR(Inputs!$C$27=TRUE,Inputs!$C$27="TRUE",Inputs!$C$27=1),1,0)*(Inputs!$C$51*(115*EXP(-(((0)-25)^2)/(4.5^2))+70*EXP(-(((0)+38)^2)/(7^2))*(0.55+0.45*SIN(2*PI()*(A103)/45))+24*SIN(2*PI()*(0)/9+(A103)/18)*EXP(-(((0)+5)^2)/(22^2))+18*SIN(2*PI()*(A103)/70))+Inputs!$C$28*EXP(-(((A103)-Inputs!$C$29)^2)/(2*Inputs!$C$31^2))*EXP(-(((0)-Inputs!$C$30)^2)/(2*Inputs!$C$32^2))+-Inputs!$C$33*EXP(-(((((A103)-Inputs!$C$34)^2)+(((0)-Inputs!$C$35)^2))/(2*Inputs!$C$36^2)))+Inputs!$C$37*(0.55*SIN(2*PI()*(A103)/Inputs!$C$39)+0.35*COS(2*PI()*(0)/Inputs!$C$40)+0.2*SIN(2*PI()*((A103)+(0))/(0.5*(Inputs!$C$39+Inputs!$C$40))))+Inputs!$C$38*SIN(2*PI()*(A103)/Inputs!$C$39)*SIN(2*PI()*(0)/Inputs!$C$40)+-Inputs!$C$41*EXP(-(((0)-Inputs!$C$43)^2)/(2*Inputs!$C$44^2))*EXP(-(((A103)-Inputs!$C$42)^2)/(2*Inputs!$C$45^2))+Inputs!$C$48*(0.7*(0.45*SIN(2*PI()*(((A103)/Inputs!$C$49)+Inputs!$C$47*0.137))+0.35*COS(2*PI()*(((0)/Inputs!$C$50)+Inputs!$C$47*0.173))+0.2*SIN(2*PI()*(((A103)+(0))/(0.5*(Inputs!$C$49+Inputs!$C$50))+Inputs!$C$47*0.097)))+0.3*(2*((SIN(((A103)*12.9898+(0)*78.233+Inputs!$C$47*37.719))*43758.5453)-INT((SIN(((A103)*12.9898+(0)*78.233+Inputs!$C$47*37.719))*43758.5453)))-1)))</f>
        <v/>
      </c>
      <c r="Y103" s="9">
        <f>IF(OR(Inputs!$C$27=TRUE,Inputs!$C$27="TRUE",Inputs!$C$27=1),1,0)*(Inputs!$C$51*(115*EXP(-(((Inputs!$C$6)-25)^2)/(4.5^2))+70*EXP(-(((Inputs!$C$6)+38)^2)/(7^2))*(0.55+0.45*SIN(2*PI()*(A103)/45))+24*SIN(2*PI()*(Inputs!$C$6)/9+(A103)/18)*EXP(-(((Inputs!$C$6)+5)^2)/(22^2))+18*SIN(2*PI()*(A103)/70))+Inputs!$C$28*EXP(-(((A103)-Inputs!$C$29)^2)/(2*Inputs!$C$31^2))*EXP(-(((Inputs!$C$6)-Inputs!$C$30)^2)/(2*Inputs!$C$32^2))+-Inputs!$C$33*EXP(-(((((A103)-Inputs!$C$34)^2)+(((Inputs!$C$6)-Inputs!$C$35)^2))/(2*Inputs!$C$36^2)))+Inputs!$C$37*(0.55*SIN(2*PI()*(A103)/Inputs!$C$39)+0.35*COS(2*PI()*(Inputs!$C$6)/Inputs!$C$40)+0.2*SIN(2*PI()*((A103)+(Inputs!$C$6))/(0.5*(Inputs!$C$39+Inputs!$C$40))))+Inputs!$C$38*SIN(2*PI()*(A103)/Inputs!$C$39)*SIN(2*PI()*(Inputs!$C$6)/Inputs!$C$40)+-Inputs!$C$41*EXP(-(((Inputs!$C$6)-Inputs!$C$43)^2)/(2*Inputs!$C$44^2))*EXP(-(((A103)-Inputs!$C$42)^2)/(2*Inputs!$C$45^2))+Inputs!$C$48*(0.7*(0.45*SIN(2*PI()*(((A103)/Inputs!$C$49)+Inputs!$C$47*0.137))+0.35*COS(2*PI()*(((Inputs!$C$6)/Inputs!$C$50)+Inputs!$C$47*0.173))+0.2*SIN(2*PI()*(((A103)+(Inputs!$C$6))/(0.5*(Inputs!$C$49+Inputs!$C$50))+Inputs!$C$47*0.097)))+0.3*(2*((SIN(((A103)*12.9898+(Inputs!$C$6)*78.233+Inputs!$C$47*37.719))*43758.5453)-INT((SIN(((A103)*12.9898+(Inputs!$C$6)*78.233+Inputs!$C$47*37.719))*43758.5453)))-1)))</f>
        <v/>
      </c>
      <c r="Z103" s="9">
        <f>B103-X103/1000</f>
        <v/>
      </c>
      <c r="AA103" s="9">
        <f>SQRT((Inputs!$C$52+B103)^2+(Inputs!$C$52+Y103/1000)^2-2*(Inputs!$C$52+B103)*(Inputs!$C$52+Y103/1000)*COS(SQRT(A103^2+Inputs!$C$6^2)/Inputs!$C$52))</f>
        <v/>
      </c>
      <c r="AB103" s="9">
        <f>(AA103-Z103)*1000</f>
        <v/>
      </c>
      <c r="AC103" s="9">
        <f>AB103/Inputs!$C$12</f>
        <v/>
      </c>
      <c r="AD103" s="9">
        <f>2*AB103/Inputs!$C$21*1000000</f>
        <v/>
      </c>
      <c r="AE103" s="9">
        <f>DEGREES(ATAN(H103/(B103-Y103/1000)))</f>
        <v/>
      </c>
      <c r="AF103" s="9">
        <f>DEGREES((2*PI()/Inputs!$C$13)*Inputs!$C$15*SIN(RADIANS(AE103)))</f>
        <v/>
      </c>
      <c r="AG103" s="9">
        <f>(Z103/AA103)^4</f>
        <v/>
      </c>
      <c r="AH103" s="9">
        <f>10*LOG10(AG103)</f>
        <v/>
      </c>
      <c r="AI103" s="9">
        <f>AC103-F103</f>
        <v/>
      </c>
      <c r="AJ103" s="9">
        <f>AD103-G103</f>
        <v/>
      </c>
      <c r="AK103" s="9">
        <f>Y103-X103</f>
        <v/>
      </c>
      <c r="AL103" s="9">
        <f>1000*(AA104-AA102)/(A104-A102)*Inputs!$C$11</f>
        <v/>
      </c>
      <c r="AM103" s="9">
        <f>-2*AL103/Inputs!$C$13</f>
        <v/>
      </c>
      <c r="AN103" s="9">
        <f>-2*AL103/Inputs!$C$14</f>
        <v/>
      </c>
      <c r="AO103" s="9">
        <f>ABS(AM103)</f>
        <v/>
      </c>
      <c r="AP103" s="9">
        <f>ABS(AN103)</f>
        <v/>
      </c>
      <c r="AQ103" s="9">
        <f>IF(OR(Inputs!$C$27=TRUE,Inputs!$C$27="TRUE",Inputs!$C$27=1),Inputs!$C$46/Inputs!$C$12,0)</f>
        <v/>
      </c>
      <c r="AR103" s="9">
        <f>AC103-AQ103</f>
        <v/>
      </c>
      <c r="AS103" s="9">
        <f>AC103+AQ103</f>
        <v/>
      </c>
    </row>
    <row r="104">
      <c r="A104" s="9">
        <f>Inputs!$C$7+102*(Inputs!$C$8-Inputs!$C$7)/240</f>
        <v/>
      </c>
      <c r="B104" s="9">
        <f>Inputs!$C$5+Inputs!$C$9*(A104/Inputs!$C$10)^2</f>
        <v/>
      </c>
      <c r="C104" s="9">
        <f>B104</f>
        <v/>
      </c>
      <c r="D104" s="9">
        <f>SQRT((Inputs!$C$52+B104)^2+Inputs!$C$52^2-2*(Inputs!$C$52+B104)*Inputs!$C$52*COS(SQRT(A104^2+Inputs!$C$6^2)/Inputs!$C$52))</f>
        <v/>
      </c>
      <c r="E104" s="9">
        <f>(D104-C104)*1000</f>
        <v/>
      </c>
      <c r="F104" s="9">
        <f>E104/Inputs!$C$12</f>
        <v/>
      </c>
      <c r="G104" s="9">
        <f>2*E104/Inputs!$C$21*1000000</f>
        <v/>
      </c>
      <c r="H104" s="9">
        <f>SQRT(A104^2+Inputs!$C$6^2)</f>
        <v/>
      </c>
      <c r="I104" s="9">
        <f>DEGREES(ATAN(H104/B104))</f>
        <v/>
      </c>
      <c r="J104" s="9">
        <f>DEGREES((2*PI()/Inputs!$C$13)*Inputs!$C$15*SIN(RADIANS(I104)))</f>
        <v/>
      </c>
      <c r="K104" s="9">
        <f>(C104/D104)^4</f>
        <v/>
      </c>
      <c r="L104" s="9">
        <f>10*LOG10(K104)</f>
        <v/>
      </c>
      <c r="M104" s="9">
        <f>2*(Inputs!$C$9/(Inputs!$C$10^2))*A104</f>
        <v/>
      </c>
      <c r="N104" s="9">
        <f>M104*Inputs!$C$11</f>
        <v/>
      </c>
      <c r="O104" s="9">
        <f>1000*(D105-D103)/(A105-A103)*Inputs!$C$11</f>
        <v/>
      </c>
      <c r="P104" s="9">
        <f>-2*O104/Inputs!$C$13</f>
        <v/>
      </c>
      <c r="Q104" s="9">
        <f>-2*O104/Inputs!$C$14</f>
        <v/>
      </c>
      <c r="R104" s="9">
        <f>F104-Inputs!$C$16/2</f>
        <v/>
      </c>
      <c r="S104" s="9">
        <f>F104+Inputs!$C$16/2</f>
        <v/>
      </c>
      <c r="T104" s="9">
        <f>F104-Inputs!$C$17/2</f>
        <v/>
      </c>
      <c r="U104" s="9">
        <f>F104+Inputs!$C$17/2</f>
        <v/>
      </c>
      <c r="V104" s="9">
        <f>ABS(P104)</f>
        <v/>
      </c>
      <c r="W104" s="9">
        <f>ABS(Q104)</f>
        <v/>
      </c>
      <c r="X104" s="9">
        <f>IF(OR(Inputs!$C$27=TRUE,Inputs!$C$27="TRUE",Inputs!$C$27=1),1,0)*(Inputs!$C$51*(115*EXP(-(((0)-25)^2)/(4.5^2))+70*EXP(-(((0)+38)^2)/(7^2))*(0.55+0.45*SIN(2*PI()*(A104)/45))+24*SIN(2*PI()*(0)/9+(A104)/18)*EXP(-(((0)+5)^2)/(22^2))+18*SIN(2*PI()*(A104)/70))+Inputs!$C$28*EXP(-(((A104)-Inputs!$C$29)^2)/(2*Inputs!$C$31^2))*EXP(-(((0)-Inputs!$C$30)^2)/(2*Inputs!$C$32^2))+-Inputs!$C$33*EXP(-(((((A104)-Inputs!$C$34)^2)+(((0)-Inputs!$C$35)^2))/(2*Inputs!$C$36^2)))+Inputs!$C$37*(0.55*SIN(2*PI()*(A104)/Inputs!$C$39)+0.35*COS(2*PI()*(0)/Inputs!$C$40)+0.2*SIN(2*PI()*((A104)+(0))/(0.5*(Inputs!$C$39+Inputs!$C$40))))+Inputs!$C$38*SIN(2*PI()*(A104)/Inputs!$C$39)*SIN(2*PI()*(0)/Inputs!$C$40)+-Inputs!$C$41*EXP(-(((0)-Inputs!$C$43)^2)/(2*Inputs!$C$44^2))*EXP(-(((A104)-Inputs!$C$42)^2)/(2*Inputs!$C$45^2))+Inputs!$C$48*(0.7*(0.45*SIN(2*PI()*(((A104)/Inputs!$C$49)+Inputs!$C$47*0.137))+0.35*COS(2*PI()*(((0)/Inputs!$C$50)+Inputs!$C$47*0.173))+0.2*SIN(2*PI()*(((A104)+(0))/(0.5*(Inputs!$C$49+Inputs!$C$50))+Inputs!$C$47*0.097)))+0.3*(2*((SIN(((A104)*12.9898+(0)*78.233+Inputs!$C$47*37.719))*43758.5453)-INT((SIN(((A104)*12.9898+(0)*78.233+Inputs!$C$47*37.719))*43758.5453)))-1)))</f>
        <v/>
      </c>
      <c r="Y104" s="9">
        <f>IF(OR(Inputs!$C$27=TRUE,Inputs!$C$27="TRUE",Inputs!$C$27=1),1,0)*(Inputs!$C$51*(115*EXP(-(((Inputs!$C$6)-25)^2)/(4.5^2))+70*EXP(-(((Inputs!$C$6)+38)^2)/(7^2))*(0.55+0.45*SIN(2*PI()*(A104)/45))+24*SIN(2*PI()*(Inputs!$C$6)/9+(A104)/18)*EXP(-(((Inputs!$C$6)+5)^2)/(22^2))+18*SIN(2*PI()*(A104)/70))+Inputs!$C$28*EXP(-(((A104)-Inputs!$C$29)^2)/(2*Inputs!$C$31^2))*EXP(-(((Inputs!$C$6)-Inputs!$C$30)^2)/(2*Inputs!$C$32^2))+-Inputs!$C$33*EXP(-(((((A104)-Inputs!$C$34)^2)+(((Inputs!$C$6)-Inputs!$C$35)^2))/(2*Inputs!$C$36^2)))+Inputs!$C$37*(0.55*SIN(2*PI()*(A104)/Inputs!$C$39)+0.35*COS(2*PI()*(Inputs!$C$6)/Inputs!$C$40)+0.2*SIN(2*PI()*((A104)+(Inputs!$C$6))/(0.5*(Inputs!$C$39+Inputs!$C$40))))+Inputs!$C$38*SIN(2*PI()*(A104)/Inputs!$C$39)*SIN(2*PI()*(Inputs!$C$6)/Inputs!$C$40)+-Inputs!$C$41*EXP(-(((Inputs!$C$6)-Inputs!$C$43)^2)/(2*Inputs!$C$44^2))*EXP(-(((A104)-Inputs!$C$42)^2)/(2*Inputs!$C$45^2))+Inputs!$C$48*(0.7*(0.45*SIN(2*PI()*(((A104)/Inputs!$C$49)+Inputs!$C$47*0.137))+0.35*COS(2*PI()*(((Inputs!$C$6)/Inputs!$C$50)+Inputs!$C$47*0.173))+0.2*SIN(2*PI()*(((A104)+(Inputs!$C$6))/(0.5*(Inputs!$C$49+Inputs!$C$50))+Inputs!$C$47*0.097)))+0.3*(2*((SIN(((A104)*12.9898+(Inputs!$C$6)*78.233+Inputs!$C$47*37.719))*43758.5453)-INT((SIN(((A104)*12.9898+(Inputs!$C$6)*78.233+Inputs!$C$47*37.719))*43758.5453)))-1)))</f>
        <v/>
      </c>
      <c r="Z104" s="9">
        <f>B104-X104/1000</f>
        <v/>
      </c>
      <c r="AA104" s="9">
        <f>SQRT((Inputs!$C$52+B104)^2+(Inputs!$C$52+Y104/1000)^2-2*(Inputs!$C$52+B104)*(Inputs!$C$52+Y104/1000)*COS(SQRT(A104^2+Inputs!$C$6^2)/Inputs!$C$52))</f>
        <v/>
      </c>
      <c r="AB104" s="9">
        <f>(AA104-Z104)*1000</f>
        <v/>
      </c>
      <c r="AC104" s="9">
        <f>AB104/Inputs!$C$12</f>
        <v/>
      </c>
      <c r="AD104" s="9">
        <f>2*AB104/Inputs!$C$21*1000000</f>
        <v/>
      </c>
      <c r="AE104" s="9">
        <f>DEGREES(ATAN(H104/(B104-Y104/1000)))</f>
        <v/>
      </c>
      <c r="AF104" s="9">
        <f>DEGREES((2*PI()/Inputs!$C$13)*Inputs!$C$15*SIN(RADIANS(AE104)))</f>
        <v/>
      </c>
      <c r="AG104" s="9">
        <f>(Z104/AA104)^4</f>
        <v/>
      </c>
      <c r="AH104" s="9">
        <f>10*LOG10(AG104)</f>
        <v/>
      </c>
      <c r="AI104" s="9">
        <f>AC104-F104</f>
        <v/>
      </c>
      <c r="AJ104" s="9">
        <f>AD104-G104</f>
        <v/>
      </c>
      <c r="AK104" s="9">
        <f>Y104-X104</f>
        <v/>
      </c>
      <c r="AL104" s="9">
        <f>1000*(AA105-AA103)/(A105-A103)*Inputs!$C$11</f>
        <v/>
      </c>
      <c r="AM104" s="9">
        <f>-2*AL104/Inputs!$C$13</f>
        <v/>
      </c>
      <c r="AN104" s="9">
        <f>-2*AL104/Inputs!$C$14</f>
        <v/>
      </c>
      <c r="AO104" s="9">
        <f>ABS(AM104)</f>
        <v/>
      </c>
      <c r="AP104" s="9">
        <f>ABS(AN104)</f>
        <v/>
      </c>
      <c r="AQ104" s="9">
        <f>IF(OR(Inputs!$C$27=TRUE,Inputs!$C$27="TRUE",Inputs!$C$27=1),Inputs!$C$46/Inputs!$C$12,0)</f>
        <v/>
      </c>
      <c r="AR104" s="9">
        <f>AC104-AQ104</f>
        <v/>
      </c>
      <c r="AS104" s="9">
        <f>AC104+AQ104</f>
        <v/>
      </c>
    </row>
    <row r="105">
      <c r="A105" s="9">
        <f>Inputs!$C$7+103*(Inputs!$C$8-Inputs!$C$7)/240</f>
        <v/>
      </c>
      <c r="B105" s="9">
        <f>Inputs!$C$5+Inputs!$C$9*(A105/Inputs!$C$10)^2</f>
        <v/>
      </c>
      <c r="C105" s="9">
        <f>B105</f>
        <v/>
      </c>
      <c r="D105" s="9">
        <f>SQRT((Inputs!$C$52+B105)^2+Inputs!$C$52^2-2*(Inputs!$C$52+B105)*Inputs!$C$52*COS(SQRT(A105^2+Inputs!$C$6^2)/Inputs!$C$52))</f>
        <v/>
      </c>
      <c r="E105" s="9">
        <f>(D105-C105)*1000</f>
        <v/>
      </c>
      <c r="F105" s="9">
        <f>E105/Inputs!$C$12</f>
        <v/>
      </c>
      <c r="G105" s="9">
        <f>2*E105/Inputs!$C$21*1000000</f>
        <v/>
      </c>
      <c r="H105" s="9">
        <f>SQRT(A105^2+Inputs!$C$6^2)</f>
        <v/>
      </c>
      <c r="I105" s="9">
        <f>DEGREES(ATAN(H105/B105))</f>
        <v/>
      </c>
      <c r="J105" s="9">
        <f>DEGREES((2*PI()/Inputs!$C$13)*Inputs!$C$15*SIN(RADIANS(I105)))</f>
        <v/>
      </c>
      <c r="K105" s="9">
        <f>(C105/D105)^4</f>
        <v/>
      </c>
      <c r="L105" s="9">
        <f>10*LOG10(K105)</f>
        <v/>
      </c>
      <c r="M105" s="9">
        <f>2*(Inputs!$C$9/(Inputs!$C$10^2))*A105</f>
        <v/>
      </c>
      <c r="N105" s="9">
        <f>M105*Inputs!$C$11</f>
        <v/>
      </c>
      <c r="O105" s="9">
        <f>1000*(D106-D104)/(A106-A104)*Inputs!$C$11</f>
        <v/>
      </c>
      <c r="P105" s="9">
        <f>-2*O105/Inputs!$C$13</f>
        <v/>
      </c>
      <c r="Q105" s="9">
        <f>-2*O105/Inputs!$C$14</f>
        <v/>
      </c>
      <c r="R105" s="9">
        <f>F105-Inputs!$C$16/2</f>
        <v/>
      </c>
      <c r="S105" s="9">
        <f>F105+Inputs!$C$16/2</f>
        <v/>
      </c>
      <c r="T105" s="9">
        <f>F105-Inputs!$C$17/2</f>
        <v/>
      </c>
      <c r="U105" s="9">
        <f>F105+Inputs!$C$17/2</f>
        <v/>
      </c>
      <c r="V105" s="9">
        <f>ABS(P105)</f>
        <v/>
      </c>
      <c r="W105" s="9">
        <f>ABS(Q105)</f>
        <v/>
      </c>
      <c r="X105" s="9">
        <f>IF(OR(Inputs!$C$27=TRUE,Inputs!$C$27="TRUE",Inputs!$C$27=1),1,0)*(Inputs!$C$51*(115*EXP(-(((0)-25)^2)/(4.5^2))+70*EXP(-(((0)+38)^2)/(7^2))*(0.55+0.45*SIN(2*PI()*(A105)/45))+24*SIN(2*PI()*(0)/9+(A105)/18)*EXP(-(((0)+5)^2)/(22^2))+18*SIN(2*PI()*(A105)/70))+Inputs!$C$28*EXP(-(((A105)-Inputs!$C$29)^2)/(2*Inputs!$C$31^2))*EXP(-(((0)-Inputs!$C$30)^2)/(2*Inputs!$C$32^2))+-Inputs!$C$33*EXP(-(((((A105)-Inputs!$C$34)^2)+(((0)-Inputs!$C$35)^2))/(2*Inputs!$C$36^2)))+Inputs!$C$37*(0.55*SIN(2*PI()*(A105)/Inputs!$C$39)+0.35*COS(2*PI()*(0)/Inputs!$C$40)+0.2*SIN(2*PI()*((A105)+(0))/(0.5*(Inputs!$C$39+Inputs!$C$40))))+Inputs!$C$38*SIN(2*PI()*(A105)/Inputs!$C$39)*SIN(2*PI()*(0)/Inputs!$C$40)+-Inputs!$C$41*EXP(-(((0)-Inputs!$C$43)^2)/(2*Inputs!$C$44^2))*EXP(-(((A105)-Inputs!$C$42)^2)/(2*Inputs!$C$45^2))+Inputs!$C$48*(0.7*(0.45*SIN(2*PI()*(((A105)/Inputs!$C$49)+Inputs!$C$47*0.137))+0.35*COS(2*PI()*(((0)/Inputs!$C$50)+Inputs!$C$47*0.173))+0.2*SIN(2*PI()*(((A105)+(0))/(0.5*(Inputs!$C$49+Inputs!$C$50))+Inputs!$C$47*0.097)))+0.3*(2*((SIN(((A105)*12.9898+(0)*78.233+Inputs!$C$47*37.719))*43758.5453)-INT((SIN(((A105)*12.9898+(0)*78.233+Inputs!$C$47*37.719))*43758.5453)))-1)))</f>
        <v/>
      </c>
      <c r="Y105" s="9">
        <f>IF(OR(Inputs!$C$27=TRUE,Inputs!$C$27="TRUE",Inputs!$C$27=1),1,0)*(Inputs!$C$51*(115*EXP(-(((Inputs!$C$6)-25)^2)/(4.5^2))+70*EXP(-(((Inputs!$C$6)+38)^2)/(7^2))*(0.55+0.45*SIN(2*PI()*(A105)/45))+24*SIN(2*PI()*(Inputs!$C$6)/9+(A105)/18)*EXP(-(((Inputs!$C$6)+5)^2)/(22^2))+18*SIN(2*PI()*(A105)/70))+Inputs!$C$28*EXP(-(((A105)-Inputs!$C$29)^2)/(2*Inputs!$C$31^2))*EXP(-(((Inputs!$C$6)-Inputs!$C$30)^2)/(2*Inputs!$C$32^2))+-Inputs!$C$33*EXP(-(((((A105)-Inputs!$C$34)^2)+(((Inputs!$C$6)-Inputs!$C$35)^2))/(2*Inputs!$C$36^2)))+Inputs!$C$37*(0.55*SIN(2*PI()*(A105)/Inputs!$C$39)+0.35*COS(2*PI()*(Inputs!$C$6)/Inputs!$C$40)+0.2*SIN(2*PI()*((A105)+(Inputs!$C$6))/(0.5*(Inputs!$C$39+Inputs!$C$40))))+Inputs!$C$38*SIN(2*PI()*(A105)/Inputs!$C$39)*SIN(2*PI()*(Inputs!$C$6)/Inputs!$C$40)+-Inputs!$C$41*EXP(-(((Inputs!$C$6)-Inputs!$C$43)^2)/(2*Inputs!$C$44^2))*EXP(-(((A105)-Inputs!$C$42)^2)/(2*Inputs!$C$45^2))+Inputs!$C$48*(0.7*(0.45*SIN(2*PI()*(((A105)/Inputs!$C$49)+Inputs!$C$47*0.137))+0.35*COS(2*PI()*(((Inputs!$C$6)/Inputs!$C$50)+Inputs!$C$47*0.173))+0.2*SIN(2*PI()*(((A105)+(Inputs!$C$6))/(0.5*(Inputs!$C$49+Inputs!$C$50))+Inputs!$C$47*0.097)))+0.3*(2*((SIN(((A105)*12.9898+(Inputs!$C$6)*78.233+Inputs!$C$47*37.719))*43758.5453)-INT((SIN(((A105)*12.9898+(Inputs!$C$6)*78.233+Inputs!$C$47*37.719))*43758.5453)))-1)))</f>
        <v/>
      </c>
      <c r="Z105" s="9">
        <f>B105-X105/1000</f>
        <v/>
      </c>
      <c r="AA105" s="9">
        <f>SQRT((Inputs!$C$52+B105)^2+(Inputs!$C$52+Y105/1000)^2-2*(Inputs!$C$52+B105)*(Inputs!$C$52+Y105/1000)*COS(SQRT(A105^2+Inputs!$C$6^2)/Inputs!$C$52))</f>
        <v/>
      </c>
      <c r="AB105" s="9">
        <f>(AA105-Z105)*1000</f>
        <v/>
      </c>
      <c r="AC105" s="9">
        <f>AB105/Inputs!$C$12</f>
        <v/>
      </c>
      <c r="AD105" s="9">
        <f>2*AB105/Inputs!$C$21*1000000</f>
        <v/>
      </c>
      <c r="AE105" s="9">
        <f>DEGREES(ATAN(H105/(B105-Y105/1000)))</f>
        <v/>
      </c>
      <c r="AF105" s="9">
        <f>DEGREES((2*PI()/Inputs!$C$13)*Inputs!$C$15*SIN(RADIANS(AE105)))</f>
        <v/>
      </c>
      <c r="AG105" s="9">
        <f>(Z105/AA105)^4</f>
        <v/>
      </c>
      <c r="AH105" s="9">
        <f>10*LOG10(AG105)</f>
        <v/>
      </c>
      <c r="AI105" s="9">
        <f>AC105-F105</f>
        <v/>
      </c>
      <c r="AJ105" s="9">
        <f>AD105-G105</f>
        <v/>
      </c>
      <c r="AK105" s="9">
        <f>Y105-X105</f>
        <v/>
      </c>
      <c r="AL105" s="9">
        <f>1000*(AA106-AA104)/(A106-A104)*Inputs!$C$11</f>
        <v/>
      </c>
      <c r="AM105" s="9">
        <f>-2*AL105/Inputs!$C$13</f>
        <v/>
      </c>
      <c r="AN105" s="9">
        <f>-2*AL105/Inputs!$C$14</f>
        <v/>
      </c>
      <c r="AO105" s="9">
        <f>ABS(AM105)</f>
        <v/>
      </c>
      <c r="AP105" s="9">
        <f>ABS(AN105)</f>
        <v/>
      </c>
      <c r="AQ105" s="9">
        <f>IF(OR(Inputs!$C$27=TRUE,Inputs!$C$27="TRUE",Inputs!$C$27=1),Inputs!$C$46/Inputs!$C$12,0)</f>
        <v/>
      </c>
      <c r="AR105" s="9">
        <f>AC105-AQ105</f>
        <v/>
      </c>
      <c r="AS105" s="9">
        <f>AC105+AQ105</f>
        <v/>
      </c>
    </row>
    <row r="106">
      <c r="A106" s="9">
        <f>Inputs!$C$7+104*(Inputs!$C$8-Inputs!$C$7)/240</f>
        <v/>
      </c>
      <c r="B106" s="9">
        <f>Inputs!$C$5+Inputs!$C$9*(A106/Inputs!$C$10)^2</f>
        <v/>
      </c>
      <c r="C106" s="9">
        <f>B106</f>
        <v/>
      </c>
      <c r="D106" s="9">
        <f>SQRT((Inputs!$C$52+B106)^2+Inputs!$C$52^2-2*(Inputs!$C$52+B106)*Inputs!$C$52*COS(SQRT(A106^2+Inputs!$C$6^2)/Inputs!$C$52))</f>
        <v/>
      </c>
      <c r="E106" s="9">
        <f>(D106-C106)*1000</f>
        <v/>
      </c>
      <c r="F106" s="9">
        <f>E106/Inputs!$C$12</f>
        <v/>
      </c>
      <c r="G106" s="9">
        <f>2*E106/Inputs!$C$21*1000000</f>
        <v/>
      </c>
      <c r="H106" s="9">
        <f>SQRT(A106^2+Inputs!$C$6^2)</f>
        <v/>
      </c>
      <c r="I106" s="9">
        <f>DEGREES(ATAN(H106/B106))</f>
        <v/>
      </c>
      <c r="J106" s="9">
        <f>DEGREES((2*PI()/Inputs!$C$13)*Inputs!$C$15*SIN(RADIANS(I106)))</f>
        <v/>
      </c>
      <c r="K106" s="9">
        <f>(C106/D106)^4</f>
        <v/>
      </c>
      <c r="L106" s="9">
        <f>10*LOG10(K106)</f>
        <v/>
      </c>
      <c r="M106" s="9">
        <f>2*(Inputs!$C$9/(Inputs!$C$10^2))*A106</f>
        <v/>
      </c>
      <c r="N106" s="9">
        <f>M106*Inputs!$C$11</f>
        <v/>
      </c>
      <c r="O106" s="9">
        <f>1000*(D107-D105)/(A107-A105)*Inputs!$C$11</f>
        <v/>
      </c>
      <c r="P106" s="9">
        <f>-2*O106/Inputs!$C$13</f>
        <v/>
      </c>
      <c r="Q106" s="9">
        <f>-2*O106/Inputs!$C$14</f>
        <v/>
      </c>
      <c r="R106" s="9">
        <f>F106-Inputs!$C$16/2</f>
        <v/>
      </c>
      <c r="S106" s="9">
        <f>F106+Inputs!$C$16/2</f>
        <v/>
      </c>
      <c r="T106" s="9">
        <f>F106-Inputs!$C$17/2</f>
        <v/>
      </c>
      <c r="U106" s="9">
        <f>F106+Inputs!$C$17/2</f>
        <v/>
      </c>
      <c r="V106" s="9">
        <f>ABS(P106)</f>
        <v/>
      </c>
      <c r="W106" s="9">
        <f>ABS(Q106)</f>
        <v/>
      </c>
      <c r="X106" s="9">
        <f>IF(OR(Inputs!$C$27=TRUE,Inputs!$C$27="TRUE",Inputs!$C$27=1),1,0)*(Inputs!$C$51*(115*EXP(-(((0)-25)^2)/(4.5^2))+70*EXP(-(((0)+38)^2)/(7^2))*(0.55+0.45*SIN(2*PI()*(A106)/45))+24*SIN(2*PI()*(0)/9+(A106)/18)*EXP(-(((0)+5)^2)/(22^2))+18*SIN(2*PI()*(A106)/70))+Inputs!$C$28*EXP(-(((A106)-Inputs!$C$29)^2)/(2*Inputs!$C$31^2))*EXP(-(((0)-Inputs!$C$30)^2)/(2*Inputs!$C$32^2))+-Inputs!$C$33*EXP(-(((((A106)-Inputs!$C$34)^2)+(((0)-Inputs!$C$35)^2))/(2*Inputs!$C$36^2)))+Inputs!$C$37*(0.55*SIN(2*PI()*(A106)/Inputs!$C$39)+0.35*COS(2*PI()*(0)/Inputs!$C$40)+0.2*SIN(2*PI()*((A106)+(0))/(0.5*(Inputs!$C$39+Inputs!$C$40))))+Inputs!$C$38*SIN(2*PI()*(A106)/Inputs!$C$39)*SIN(2*PI()*(0)/Inputs!$C$40)+-Inputs!$C$41*EXP(-(((0)-Inputs!$C$43)^2)/(2*Inputs!$C$44^2))*EXP(-(((A106)-Inputs!$C$42)^2)/(2*Inputs!$C$45^2))+Inputs!$C$48*(0.7*(0.45*SIN(2*PI()*(((A106)/Inputs!$C$49)+Inputs!$C$47*0.137))+0.35*COS(2*PI()*(((0)/Inputs!$C$50)+Inputs!$C$47*0.173))+0.2*SIN(2*PI()*(((A106)+(0))/(0.5*(Inputs!$C$49+Inputs!$C$50))+Inputs!$C$47*0.097)))+0.3*(2*((SIN(((A106)*12.9898+(0)*78.233+Inputs!$C$47*37.719))*43758.5453)-INT((SIN(((A106)*12.9898+(0)*78.233+Inputs!$C$47*37.719))*43758.5453)))-1)))</f>
        <v/>
      </c>
      <c r="Y106" s="9">
        <f>IF(OR(Inputs!$C$27=TRUE,Inputs!$C$27="TRUE",Inputs!$C$27=1),1,0)*(Inputs!$C$51*(115*EXP(-(((Inputs!$C$6)-25)^2)/(4.5^2))+70*EXP(-(((Inputs!$C$6)+38)^2)/(7^2))*(0.55+0.45*SIN(2*PI()*(A106)/45))+24*SIN(2*PI()*(Inputs!$C$6)/9+(A106)/18)*EXP(-(((Inputs!$C$6)+5)^2)/(22^2))+18*SIN(2*PI()*(A106)/70))+Inputs!$C$28*EXP(-(((A106)-Inputs!$C$29)^2)/(2*Inputs!$C$31^2))*EXP(-(((Inputs!$C$6)-Inputs!$C$30)^2)/(2*Inputs!$C$32^2))+-Inputs!$C$33*EXP(-(((((A106)-Inputs!$C$34)^2)+(((Inputs!$C$6)-Inputs!$C$35)^2))/(2*Inputs!$C$36^2)))+Inputs!$C$37*(0.55*SIN(2*PI()*(A106)/Inputs!$C$39)+0.35*COS(2*PI()*(Inputs!$C$6)/Inputs!$C$40)+0.2*SIN(2*PI()*((A106)+(Inputs!$C$6))/(0.5*(Inputs!$C$39+Inputs!$C$40))))+Inputs!$C$38*SIN(2*PI()*(A106)/Inputs!$C$39)*SIN(2*PI()*(Inputs!$C$6)/Inputs!$C$40)+-Inputs!$C$41*EXP(-(((Inputs!$C$6)-Inputs!$C$43)^2)/(2*Inputs!$C$44^2))*EXP(-(((A106)-Inputs!$C$42)^2)/(2*Inputs!$C$45^2))+Inputs!$C$48*(0.7*(0.45*SIN(2*PI()*(((A106)/Inputs!$C$49)+Inputs!$C$47*0.137))+0.35*COS(2*PI()*(((Inputs!$C$6)/Inputs!$C$50)+Inputs!$C$47*0.173))+0.2*SIN(2*PI()*(((A106)+(Inputs!$C$6))/(0.5*(Inputs!$C$49+Inputs!$C$50))+Inputs!$C$47*0.097)))+0.3*(2*((SIN(((A106)*12.9898+(Inputs!$C$6)*78.233+Inputs!$C$47*37.719))*43758.5453)-INT((SIN(((A106)*12.9898+(Inputs!$C$6)*78.233+Inputs!$C$47*37.719))*43758.5453)))-1)))</f>
        <v/>
      </c>
      <c r="Z106" s="9">
        <f>B106-X106/1000</f>
        <v/>
      </c>
      <c r="AA106" s="9">
        <f>SQRT((Inputs!$C$52+B106)^2+(Inputs!$C$52+Y106/1000)^2-2*(Inputs!$C$52+B106)*(Inputs!$C$52+Y106/1000)*COS(SQRT(A106^2+Inputs!$C$6^2)/Inputs!$C$52))</f>
        <v/>
      </c>
      <c r="AB106" s="9">
        <f>(AA106-Z106)*1000</f>
        <v/>
      </c>
      <c r="AC106" s="9">
        <f>AB106/Inputs!$C$12</f>
        <v/>
      </c>
      <c r="AD106" s="9">
        <f>2*AB106/Inputs!$C$21*1000000</f>
        <v/>
      </c>
      <c r="AE106" s="9">
        <f>DEGREES(ATAN(H106/(B106-Y106/1000)))</f>
        <v/>
      </c>
      <c r="AF106" s="9">
        <f>DEGREES((2*PI()/Inputs!$C$13)*Inputs!$C$15*SIN(RADIANS(AE106)))</f>
        <v/>
      </c>
      <c r="AG106" s="9">
        <f>(Z106/AA106)^4</f>
        <v/>
      </c>
      <c r="AH106" s="9">
        <f>10*LOG10(AG106)</f>
        <v/>
      </c>
      <c r="AI106" s="9">
        <f>AC106-F106</f>
        <v/>
      </c>
      <c r="AJ106" s="9">
        <f>AD106-G106</f>
        <v/>
      </c>
      <c r="AK106" s="9">
        <f>Y106-X106</f>
        <v/>
      </c>
      <c r="AL106" s="9">
        <f>1000*(AA107-AA105)/(A107-A105)*Inputs!$C$11</f>
        <v/>
      </c>
      <c r="AM106" s="9">
        <f>-2*AL106/Inputs!$C$13</f>
        <v/>
      </c>
      <c r="AN106" s="9">
        <f>-2*AL106/Inputs!$C$14</f>
        <v/>
      </c>
      <c r="AO106" s="9">
        <f>ABS(AM106)</f>
        <v/>
      </c>
      <c r="AP106" s="9">
        <f>ABS(AN106)</f>
        <v/>
      </c>
      <c r="AQ106" s="9">
        <f>IF(OR(Inputs!$C$27=TRUE,Inputs!$C$27="TRUE",Inputs!$C$27=1),Inputs!$C$46/Inputs!$C$12,0)</f>
        <v/>
      </c>
      <c r="AR106" s="9">
        <f>AC106-AQ106</f>
        <v/>
      </c>
      <c r="AS106" s="9">
        <f>AC106+AQ106</f>
        <v/>
      </c>
    </row>
    <row r="107">
      <c r="A107" s="9">
        <f>Inputs!$C$7+105*(Inputs!$C$8-Inputs!$C$7)/240</f>
        <v/>
      </c>
      <c r="B107" s="9">
        <f>Inputs!$C$5+Inputs!$C$9*(A107/Inputs!$C$10)^2</f>
        <v/>
      </c>
      <c r="C107" s="9">
        <f>B107</f>
        <v/>
      </c>
      <c r="D107" s="9">
        <f>SQRT((Inputs!$C$52+B107)^2+Inputs!$C$52^2-2*(Inputs!$C$52+B107)*Inputs!$C$52*COS(SQRT(A107^2+Inputs!$C$6^2)/Inputs!$C$52))</f>
        <v/>
      </c>
      <c r="E107" s="9">
        <f>(D107-C107)*1000</f>
        <v/>
      </c>
      <c r="F107" s="9">
        <f>E107/Inputs!$C$12</f>
        <v/>
      </c>
      <c r="G107" s="9">
        <f>2*E107/Inputs!$C$21*1000000</f>
        <v/>
      </c>
      <c r="H107" s="9">
        <f>SQRT(A107^2+Inputs!$C$6^2)</f>
        <v/>
      </c>
      <c r="I107" s="9">
        <f>DEGREES(ATAN(H107/B107))</f>
        <v/>
      </c>
      <c r="J107" s="9">
        <f>DEGREES((2*PI()/Inputs!$C$13)*Inputs!$C$15*SIN(RADIANS(I107)))</f>
        <v/>
      </c>
      <c r="K107" s="9">
        <f>(C107/D107)^4</f>
        <v/>
      </c>
      <c r="L107" s="9">
        <f>10*LOG10(K107)</f>
        <v/>
      </c>
      <c r="M107" s="9">
        <f>2*(Inputs!$C$9/(Inputs!$C$10^2))*A107</f>
        <v/>
      </c>
      <c r="N107" s="9">
        <f>M107*Inputs!$C$11</f>
        <v/>
      </c>
      <c r="O107" s="9">
        <f>1000*(D108-D106)/(A108-A106)*Inputs!$C$11</f>
        <v/>
      </c>
      <c r="P107" s="9">
        <f>-2*O107/Inputs!$C$13</f>
        <v/>
      </c>
      <c r="Q107" s="9">
        <f>-2*O107/Inputs!$C$14</f>
        <v/>
      </c>
      <c r="R107" s="9">
        <f>F107-Inputs!$C$16/2</f>
        <v/>
      </c>
      <c r="S107" s="9">
        <f>F107+Inputs!$C$16/2</f>
        <v/>
      </c>
      <c r="T107" s="9">
        <f>F107-Inputs!$C$17/2</f>
        <v/>
      </c>
      <c r="U107" s="9">
        <f>F107+Inputs!$C$17/2</f>
        <v/>
      </c>
      <c r="V107" s="9">
        <f>ABS(P107)</f>
        <v/>
      </c>
      <c r="W107" s="9">
        <f>ABS(Q107)</f>
        <v/>
      </c>
      <c r="X107" s="9">
        <f>IF(OR(Inputs!$C$27=TRUE,Inputs!$C$27="TRUE",Inputs!$C$27=1),1,0)*(Inputs!$C$51*(115*EXP(-(((0)-25)^2)/(4.5^2))+70*EXP(-(((0)+38)^2)/(7^2))*(0.55+0.45*SIN(2*PI()*(A107)/45))+24*SIN(2*PI()*(0)/9+(A107)/18)*EXP(-(((0)+5)^2)/(22^2))+18*SIN(2*PI()*(A107)/70))+Inputs!$C$28*EXP(-(((A107)-Inputs!$C$29)^2)/(2*Inputs!$C$31^2))*EXP(-(((0)-Inputs!$C$30)^2)/(2*Inputs!$C$32^2))+-Inputs!$C$33*EXP(-(((((A107)-Inputs!$C$34)^2)+(((0)-Inputs!$C$35)^2))/(2*Inputs!$C$36^2)))+Inputs!$C$37*(0.55*SIN(2*PI()*(A107)/Inputs!$C$39)+0.35*COS(2*PI()*(0)/Inputs!$C$40)+0.2*SIN(2*PI()*((A107)+(0))/(0.5*(Inputs!$C$39+Inputs!$C$40))))+Inputs!$C$38*SIN(2*PI()*(A107)/Inputs!$C$39)*SIN(2*PI()*(0)/Inputs!$C$40)+-Inputs!$C$41*EXP(-(((0)-Inputs!$C$43)^2)/(2*Inputs!$C$44^2))*EXP(-(((A107)-Inputs!$C$42)^2)/(2*Inputs!$C$45^2))+Inputs!$C$48*(0.7*(0.45*SIN(2*PI()*(((A107)/Inputs!$C$49)+Inputs!$C$47*0.137))+0.35*COS(2*PI()*(((0)/Inputs!$C$50)+Inputs!$C$47*0.173))+0.2*SIN(2*PI()*(((A107)+(0))/(0.5*(Inputs!$C$49+Inputs!$C$50))+Inputs!$C$47*0.097)))+0.3*(2*((SIN(((A107)*12.9898+(0)*78.233+Inputs!$C$47*37.719))*43758.5453)-INT((SIN(((A107)*12.9898+(0)*78.233+Inputs!$C$47*37.719))*43758.5453)))-1)))</f>
        <v/>
      </c>
      <c r="Y107" s="9">
        <f>IF(OR(Inputs!$C$27=TRUE,Inputs!$C$27="TRUE",Inputs!$C$27=1),1,0)*(Inputs!$C$51*(115*EXP(-(((Inputs!$C$6)-25)^2)/(4.5^2))+70*EXP(-(((Inputs!$C$6)+38)^2)/(7^2))*(0.55+0.45*SIN(2*PI()*(A107)/45))+24*SIN(2*PI()*(Inputs!$C$6)/9+(A107)/18)*EXP(-(((Inputs!$C$6)+5)^2)/(22^2))+18*SIN(2*PI()*(A107)/70))+Inputs!$C$28*EXP(-(((A107)-Inputs!$C$29)^2)/(2*Inputs!$C$31^2))*EXP(-(((Inputs!$C$6)-Inputs!$C$30)^2)/(2*Inputs!$C$32^2))+-Inputs!$C$33*EXP(-(((((A107)-Inputs!$C$34)^2)+(((Inputs!$C$6)-Inputs!$C$35)^2))/(2*Inputs!$C$36^2)))+Inputs!$C$37*(0.55*SIN(2*PI()*(A107)/Inputs!$C$39)+0.35*COS(2*PI()*(Inputs!$C$6)/Inputs!$C$40)+0.2*SIN(2*PI()*((A107)+(Inputs!$C$6))/(0.5*(Inputs!$C$39+Inputs!$C$40))))+Inputs!$C$38*SIN(2*PI()*(A107)/Inputs!$C$39)*SIN(2*PI()*(Inputs!$C$6)/Inputs!$C$40)+-Inputs!$C$41*EXP(-(((Inputs!$C$6)-Inputs!$C$43)^2)/(2*Inputs!$C$44^2))*EXP(-(((A107)-Inputs!$C$42)^2)/(2*Inputs!$C$45^2))+Inputs!$C$48*(0.7*(0.45*SIN(2*PI()*(((A107)/Inputs!$C$49)+Inputs!$C$47*0.137))+0.35*COS(2*PI()*(((Inputs!$C$6)/Inputs!$C$50)+Inputs!$C$47*0.173))+0.2*SIN(2*PI()*(((A107)+(Inputs!$C$6))/(0.5*(Inputs!$C$49+Inputs!$C$50))+Inputs!$C$47*0.097)))+0.3*(2*((SIN(((A107)*12.9898+(Inputs!$C$6)*78.233+Inputs!$C$47*37.719))*43758.5453)-INT((SIN(((A107)*12.9898+(Inputs!$C$6)*78.233+Inputs!$C$47*37.719))*43758.5453)))-1)))</f>
        <v/>
      </c>
      <c r="Z107" s="9">
        <f>B107-X107/1000</f>
        <v/>
      </c>
      <c r="AA107" s="9">
        <f>SQRT((Inputs!$C$52+B107)^2+(Inputs!$C$52+Y107/1000)^2-2*(Inputs!$C$52+B107)*(Inputs!$C$52+Y107/1000)*COS(SQRT(A107^2+Inputs!$C$6^2)/Inputs!$C$52))</f>
        <v/>
      </c>
      <c r="AB107" s="9">
        <f>(AA107-Z107)*1000</f>
        <v/>
      </c>
      <c r="AC107" s="9">
        <f>AB107/Inputs!$C$12</f>
        <v/>
      </c>
      <c r="AD107" s="9">
        <f>2*AB107/Inputs!$C$21*1000000</f>
        <v/>
      </c>
      <c r="AE107" s="9">
        <f>DEGREES(ATAN(H107/(B107-Y107/1000)))</f>
        <v/>
      </c>
      <c r="AF107" s="9">
        <f>DEGREES((2*PI()/Inputs!$C$13)*Inputs!$C$15*SIN(RADIANS(AE107)))</f>
        <v/>
      </c>
      <c r="AG107" s="9">
        <f>(Z107/AA107)^4</f>
        <v/>
      </c>
      <c r="AH107" s="9">
        <f>10*LOG10(AG107)</f>
        <v/>
      </c>
      <c r="AI107" s="9">
        <f>AC107-F107</f>
        <v/>
      </c>
      <c r="AJ107" s="9">
        <f>AD107-G107</f>
        <v/>
      </c>
      <c r="AK107" s="9">
        <f>Y107-X107</f>
        <v/>
      </c>
      <c r="AL107" s="9">
        <f>1000*(AA108-AA106)/(A108-A106)*Inputs!$C$11</f>
        <v/>
      </c>
      <c r="AM107" s="9">
        <f>-2*AL107/Inputs!$C$13</f>
        <v/>
      </c>
      <c r="AN107" s="9">
        <f>-2*AL107/Inputs!$C$14</f>
        <v/>
      </c>
      <c r="AO107" s="9">
        <f>ABS(AM107)</f>
        <v/>
      </c>
      <c r="AP107" s="9">
        <f>ABS(AN107)</f>
        <v/>
      </c>
      <c r="AQ107" s="9">
        <f>IF(OR(Inputs!$C$27=TRUE,Inputs!$C$27="TRUE",Inputs!$C$27=1),Inputs!$C$46/Inputs!$C$12,0)</f>
        <v/>
      </c>
      <c r="AR107" s="9">
        <f>AC107-AQ107</f>
        <v/>
      </c>
      <c r="AS107" s="9">
        <f>AC107+AQ107</f>
        <v/>
      </c>
    </row>
    <row r="108">
      <c r="A108" s="9">
        <f>Inputs!$C$7+106*(Inputs!$C$8-Inputs!$C$7)/240</f>
        <v/>
      </c>
      <c r="B108" s="9">
        <f>Inputs!$C$5+Inputs!$C$9*(A108/Inputs!$C$10)^2</f>
        <v/>
      </c>
      <c r="C108" s="9">
        <f>B108</f>
        <v/>
      </c>
      <c r="D108" s="9">
        <f>SQRT((Inputs!$C$52+B108)^2+Inputs!$C$52^2-2*(Inputs!$C$52+B108)*Inputs!$C$52*COS(SQRT(A108^2+Inputs!$C$6^2)/Inputs!$C$52))</f>
        <v/>
      </c>
      <c r="E108" s="9">
        <f>(D108-C108)*1000</f>
        <v/>
      </c>
      <c r="F108" s="9">
        <f>E108/Inputs!$C$12</f>
        <v/>
      </c>
      <c r="G108" s="9">
        <f>2*E108/Inputs!$C$21*1000000</f>
        <v/>
      </c>
      <c r="H108" s="9">
        <f>SQRT(A108^2+Inputs!$C$6^2)</f>
        <v/>
      </c>
      <c r="I108" s="9">
        <f>DEGREES(ATAN(H108/B108))</f>
        <v/>
      </c>
      <c r="J108" s="9">
        <f>DEGREES((2*PI()/Inputs!$C$13)*Inputs!$C$15*SIN(RADIANS(I108)))</f>
        <v/>
      </c>
      <c r="K108" s="9">
        <f>(C108/D108)^4</f>
        <v/>
      </c>
      <c r="L108" s="9">
        <f>10*LOG10(K108)</f>
        <v/>
      </c>
      <c r="M108" s="9">
        <f>2*(Inputs!$C$9/(Inputs!$C$10^2))*A108</f>
        <v/>
      </c>
      <c r="N108" s="9">
        <f>M108*Inputs!$C$11</f>
        <v/>
      </c>
      <c r="O108" s="9">
        <f>1000*(D109-D107)/(A109-A107)*Inputs!$C$11</f>
        <v/>
      </c>
      <c r="P108" s="9">
        <f>-2*O108/Inputs!$C$13</f>
        <v/>
      </c>
      <c r="Q108" s="9">
        <f>-2*O108/Inputs!$C$14</f>
        <v/>
      </c>
      <c r="R108" s="9">
        <f>F108-Inputs!$C$16/2</f>
        <v/>
      </c>
      <c r="S108" s="9">
        <f>F108+Inputs!$C$16/2</f>
        <v/>
      </c>
      <c r="T108" s="9">
        <f>F108-Inputs!$C$17/2</f>
        <v/>
      </c>
      <c r="U108" s="9">
        <f>F108+Inputs!$C$17/2</f>
        <v/>
      </c>
      <c r="V108" s="9">
        <f>ABS(P108)</f>
        <v/>
      </c>
      <c r="W108" s="9">
        <f>ABS(Q108)</f>
        <v/>
      </c>
      <c r="X108" s="9">
        <f>IF(OR(Inputs!$C$27=TRUE,Inputs!$C$27="TRUE",Inputs!$C$27=1),1,0)*(Inputs!$C$51*(115*EXP(-(((0)-25)^2)/(4.5^2))+70*EXP(-(((0)+38)^2)/(7^2))*(0.55+0.45*SIN(2*PI()*(A108)/45))+24*SIN(2*PI()*(0)/9+(A108)/18)*EXP(-(((0)+5)^2)/(22^2))+18*SIN(2*PI()*(A108)/70))+Inputs!$C$28*EXP(-(((A108)-Inputs!$C$29)^2)/(2*Inputs!$C$31^2))*EXP(-(((0)-Inputs!$C$30)^2)/(2*Inputs!$C$32^2))+-Inputs!$C$33*EXP(-(((((A108)-Inputs!$C$34)^2)+(((0)-Inputs!$C$35)^2))/(2*Inputs!$C$36^2)))+Inputs!$C$37*(0.55*SIN(2*PI()*(A108)/Inputs!$C$39)+0.35*COS(2*PI()*(0)/Inputs!$C$40)+0.2*SIN(2*PI()*((A108)+(0))/(0.5*(Inputs!$C$39+Inputs!$C$40))))+Inputs!$C$38*SIN(2*PI()*(A108)/Inputs!$C$39)*SIN(2*PI()*(0)/Inputs!$C$40)+-Inputs!$C$41*EXP(-(((0)-Inputs!$C$43)^2)/(2*Inputs!$C$44^2))*EXP(-(((A108)-Inputs!$C$42)^2)/(2*Inputs!$C$45^2))+Inputs!$C$48*(0.7*(0.45*SIN(2*PI()*(((A108)/Inputs!$C$49)+Inputs!$C$47*0.137))+0.35*COS(2*PI()*(((0)/Inputs!$C$50)+Inputs!$C$47*0.173))+0.2*SIN(2*PI()*(((A108)+(0))/(0.5*(Inputs!$C$49+Inputs!$C$50))+Inputs!$C$47*0.097)))+0.3*(2*((SIN(((A108)*12.9898+(0)*78.233+Inputs!$C$47*37.719))*43758.5453)-INT((SIN(((A108)*12.9898+(0)*78.233+Inputs!$C$47*37.719))*43758.5453)))-1)))</f>
        <v/>
      </c>
      <c r="Y108" s="9">
        <f>IF(OR(Inputs!$C$27=TRUE,Inputs!$C$27="TRUE",Inputs!$C$27=1),1,0)*(Inputs!$C$51*(115*EXP(-(((Inputs!$C$6)-25)^2)/(4.5^2))+70*EXP(-(((Inputs!$C$6)+38)^2)/(7^2))*(0.55+0.45*SIN(2*PI()*(A108)/45))+24*SIN(2*PI()*(Inputs!$C$6)/9+(A108)/18)*EXP(-(((Inputs!$C$6)+5)^2)/(22^2))+18*SIN(2*PI()*(A108)/70))+Inputs!$C$28*EXP(-(((A108)-Inputs!$C$29)^2)/(2*Inputs!$C$31^2))*EXP(-(((Inputs!$C$6)-Inputs!$C$30)^2)/(2*Inputs!$C$32^2))+-Inputs!$C$33*EXP(-(((((A108)-Inputs!$C$34)^2)+(((Inputs!$C$6)-Inputs!$C$35)^2))/(2*Inputs!$C$36^2)))+Inputs!$C$37*(0.55*SIN(2*PI()*(A108)/Inputs!$C$39)+0.35*COS(2*PI()*(Inputs!$C$6)/Inputs!$C$40)+0.2*SIN(2*PI()*((A108)+(Inputs!$C$6))/(0.5*(Inputs!$C$39+Inputs!$C$40))))+Inputs!$C$38*SIN(2*PI()*(A108)/Inputs!$C$39)*SIN(2*PI()*(Inputs!$C$6)/Inputs!$C$40)+-Inputs!$C$41*EXP(-(((Inputs!$C$6)-Inputs!$C$43)^2)/(2*Inputs!$C$44^2))*EXP(-(((A108)-Inputs!$C$42)^2)/(2*Inputs!$C$45^2))+Inputs!$C$48*(0.7*(0.45*SIN(2*PI()*(((A108)/Inputs!$C$49)+Inputs!$C$47*0.137))+0.35*COS(2*PI()*(((Inputs!$C$6)/Inputs!$C$50)+Inputs!$C$47*0.173))+0.2*SIN(2*PI()*(((A108)+(Inputs!$C$6))/(0.5*(Inputs!$C$49+Inputs!$C$50))+Inputs!$C$47*0.097)))+0.3*(2*((SIN(((A108)*12.9898+(Inputs!$C$6)*78.233+Inputs!$C$47*37.719))*43758.5453)-INT((SIN(((A108)*12.9898+(Inputs!$C$6)*78.233+Inputs!$C$47*37.719))*43758.5453)))-1)))</f>
        <v/>
      </c>
      <c r="Z108" s="9">
        <f>B108-X108/1000</f>
        <v/>
      </c>
      <c r="AA108" s="9">
        <f>SQRT((Inputs!$C$52+B108)^2+(Inputs!$C$52+Y108/1000)^2-2*(Inputs!$C$52+B108)*(Inputs!$C$52+Y108/1000)*COS(SQRT(A108^2+Inputs!$C$6^2)/Inputs!$C$52))</f>
        <v/>
      </c>
      <c r="AB108" s="9">
        <f>(AA108-Z108)*1000</f>
        <v/>
      </c>
      <c r="AC108" s="9">
        <f>AB108/Inputs!$C$12</f>
        <v/>
      </c>
      <c r="AD108" s="9">
        <f>2*AB108/Inputs!$C$21*1000000</f>
        <v/>
      </c>
      <c r="AE108" s="9">
        <f>DEGREES(ATAN(H108/(B108-Y108/1000)))</f>
        <v/>
      </c>
      <c r="AF108" s="9">
        <f>DEGREES((2*PI()/Inputs!$C$13)*Inputs!$C$15*SIN(RADIANS(AE108)))</f>
        <v/>
      </c>
      <c r="AG108" s="9">
        <f>(Z108/AA108)^4</f>
        <v/>
      </c>
      <c r="AH108" s="9">
        <f>10*LOG10(AG108)</f>
        <v/>
      </c>
      <c r="AI108" s="9">
        <f>AC108-F108</f>
        <v/>
      </c>
      <c r="AJ108" s="9">
        <f>AD108-G108</f>
        <v/>
      </c>
      <c r="AK108" s="9">
        <f>Y108-X108</f>
        <v/>
      </c>
      <c r="AL108" s="9">
        <f>1000*(AA109-AA107)/(A109-A107)*Inputs!$C$11</f>
        <v/>
      </c>
      <c r="AM108" s="9">
        <f>-2*AL108/Inputs!$C$13</f>
        <v/>
      </c>
      <c r="AN108" s="9">
        <f>-2*AL108/Inputs!$C$14</f>
        <v/>
      </c>
      <c r="AO108" s="9">
        <f>ABS(AM108)</f>
        <v/>
      </c>
      <c r="AP108" s="9">
        <f>ABS(AN108)</f>
        <v/>
      </c>
      <c r="AQ108" s="9">
        <f>IF(OR(Inputs!$C$27=TRUE,Inputs!$C$27="TRUE",Inputs!$C$27=1),Inputs!$C$46/Inputs!$C$12,0)</f>
        <v/>
      </c>
      <c r="AR108" s="9">
        <f>AC108-AQ108</f>
        <v/>
      </c>
      <c r="AS108" s="9">
        <f>AC108+AQ108</f>
        <v/>
      </c>
    </row>
    <row r="109">
      <c r="A109" s="9">
        <f>Inputs!$C$7+107*(Inputs!$C$8-Inputs!$C$7)/240</f>
        <v/>
      </c>
      <c r="B109" s="9">
        <f>Inputs!$C$5+Inputs!$C$9*(A109/Inputs!$C$10)^2</f>
        <v/>
      </c>
      <c r="C109" s="9">
        <f>B109</f>
        <v/>
      </c>
      <c r="D109" s="9">
        <f>SQRT((Inputs!$C$52+B109)^2+Inputs!$C$52^2-2*(Inputs!$C$52+B109)*Inputs!$C$52*COS(SQRT(A109^2+Inputs!$C$6^2)/Inputs!$C$52))</f>
        <v/>
      </c>
      <c r="E109" s="9">
        <f>(D109-C109)*1000</f>
        <v/>
      </c>
      <c r="F109" s="9">
        <f>E109/Inputs!$C$12</f>
        <v/>
      </c>
      <c r="G109" s="9">
        <f>2*E109/Inputs!$C$21*1000000</f>
        <v/>
      </c>
      <c r="H109" s="9">
        <f>SQRT(A109^2+Inputs!$C$6^2)</f>
        <v/>
      </c>
      <c r="I109" s="9">
        <f>DEGREES(ATAN(H109/B109))</f>
        <v/>
      </c>
      <c r="J109" s="9">
        <f>DEGREES((2*PI()/Inputs!$C$13)*Inputs!$C$15*SIN(RADIANS(I109)))</f>
        <v/>
      </c>
      <c r="K109" s="9">
        <f>(C109/D109)^4</f>
        <v/>
      </c>
      <c r="L109" s="9">
        <f>10*LOG10(K109)</f>
        <v/>
      </c>
      <c r="M109" s="9">
        <f>2*(Inputs!$C$9/(Inputs!$C$10^2))*A109</f>
        <v/>
      </c>
      <c r="N109" s="9">
        <f>M109*Inputs!$C$11</f>
        <v/>
      </c>
      <c r="O109" s="9">
        <f>1000*(D110-D108)/(A110-A108)*Inputs!$C$11</f>
        <v/>
      </c>
      <c r="P109" s="9">
        <f>-2*O109/Inputs!$C$13</f>
        <v/>
      </c>
      <c r="Q109" s="9">
        <f>-2*O109/Inputs!$C$14</f>
        <v/>
      </c>
      <c r="R109" s="9">
        <f>F109-Inputs!$C$16/2</f>
        <v/>
      </c>
      <c r="S109" s="9">
        <f>F109+Inputs!$C$16/2</f>
        <v/>
      </c>
      <c r="T109" s="9">
        <f>F109-Inputs!$C$17/2</f>
        <v/>
      </c>
      <c r="U109" s="9">
        <f>F109+Inputs!$C$17/2</f>
        <v/>
      </c>
      <c r="V109" s="9">
        <f>ABS(P109)</f>
        <v/>
      </c>
      <c r="W109" s="9">
        <f>ABS(Q109)</f>
        <v/>
      </c>
      <c r="X109" s="9">
        <f>IF(OR(Inputs!$C$27=TRUE,Inputs!$C$27="TRUE",Inputs!$C$27=1),1,0)*(Inputs!$C$51*(115*EXP(-(((0)-25)^2)/(4.5^2))+70*EXP(-(((0)+38)^2)/(7^2))*(0.55+0.45*SIN(2*PI()*(A109)/45))+24*SIN(2*PI()*(0)/9+(A109)/18)*EXP(-(((0)+5)^2)/(22^2))+18*SIN(2*PI()*(A109)/70))+Inputs!$C$28*EXP(-(((A109)-Inputs!$C$29)^2)/(2*Inputs!$C$31^2))*EXP(-(((0)-Inputs!$C$30)^2)/(2*Inputs!$C$32^2))+-Inputs!$C$33*EXP(-(((((A109)-Inputs!$C$34)^2)+(((0)-Inputs!$C$35)^2))/(2*Inputs!$C$36^2)))+Inputs!$C$37*(0.55*SIN(2*PI()*(A109)/Inputs!$C$39)+0.35*COS(2*PI()*(0)/Inputs!$C$40)+0.2*SIN(2*PI()*((A109)+(0))/(0.5*(Inputs!$C$39+Inputs!$C$40))))+Inputs!$C$38*SIN(2*PI()*(A109)/Inputs!$C$39)*SIN(2*PI()*(0)/Inputs!$C$40)+-Inputs!$C$41*EXP(-(((0)-Inputs!$C$43)^2)/(2*Inputs!$C$44^2))*EXP(-(((A109)-Inputs!$C$42)^2)/(2*Inputs!$C$45^2))+Inputs!$C$48*(0.7*(0.45*SIN(2*PI()*(((A109)/Inputs!$C$49)+Inputs!$C$47*0.137))+0.35*COS(2*PI()*(((0)/Inputs!$C$50)+Inputs!$C$47*0.173))+0.2*SIN(2*PI()*(((A109)+(0))/(0.5*(Inputs!$C$49+Inputs!$C$50))+Inputs!$C$47*0.097)))+0.3*(2*((SIN(((A109)*12.9898+(0)*78.233+Inputs!$C$47*37.719))*43758.5453)-INT((SIN(((A109)*12.9898+(0)*78.233+Inputs!$C$47*37.719))*43758.5453)))-1)))</f>
        <v/>
      </c>
      <c r="Y109" s="9">
        <f>IF(OR(Inputs!$C$27=TRUE,Inputs!$C$27="TRUE",Inputs!$C$27=1),1,0)*(Inputs!$C$51*(115*EXP(-(((Inputs!$C$6)-25)^2)/(4.5^2))+70*EXP(-(((Inputs!$C$6)+38)^2)/(7^2))*(0.55+0.45*SIN(2*PI()*(A109)/45))+24*SIN(2*PI()*(Inputs!$C$6)/9+(A109)/18)*EXP(-(((Inputs!$C$6)+5)^2)/(22^2))+18*SIN(2*PI()*(A109)/70))+Inputs!$C$28*EXP(-(((A109)-Inputs!$C$29)^2)/(2*Inputs!$C$31^2))*EXP(-(((Inputs!$C$6)-Inputs!$C$30)^2)/(2*Inputs!$C$32^2))+-Inputs!$C$33*EXP(-(((((A109)-Inputs!$C$34)^2)+(((Inputs!$C$6)-Inputs!$C$35)^2))/(2*Inputs!$C$36^2)))+Inputs!$C$37*(0.55*SIN(2*PI()*(A109)/Inputs!$C$39)+0.35*COS(2*PI()*(Inputs!$C$6)/Inputs!$C$40)+0.2*SIN(2*PI()*((A109)+(Inputs!$C$6))/(0.5*(Inputs!$C$39+Inputs!$C$40))))+Inputs!$C$38*SIN(2*PI()*(A109)/Inputs!$C$39)*SIN(2*PI()*(Inputs!$C$6)/Inputs!$C$40)+-Inputs!$C$41*EXP(-(((Inputs!$C$6)-Inputs!$C$43)^2)/(2*Inputs!$C$44^2))*EXP(-(((A109)-Inputs!$C$42)^2)/(2*Inputs!$C$45^2))+Inputs!$C$48*(0.7*(0.45*SIN(2*PI()*(((A109)/Inputs!$C$49)+Inputs!$C$47*0.137))+0.35*COS(2*PI()*(((Inputs!$C$6)/Inputs!$C$50)+Inputs!$C$47*0.173))+0.2*SIN(2*PI()*(((A109)+(Inputs!$C$6))/(0.5*(Inputs!$C$49+Inputs!$C$50))+Inputs!$C$47*0.097)))+0.3*(2*((SIN(((A109)*12.9898+(Inputs!$C$6)*78.233+Inputs!$C$47*37.719))*43758.5453)-INT((SIN(((A109)*12.9898+(Inputs!$C$6)*78.233+Inputs!$C$47*37.719))*43758.5453)))-1)))</f>
        <v/>
      </c>
      <c r="Z109" s="9">
        <f>B109-X109/1000</f>
        <v/>
      </c>
      <c r="AA109" s="9">
        <f>SQRT((Inputs!$C$52+B109)^2+(Inputs!$C$52+Y109/1000)^2-2*(Inputs!$C$52+B109)*(Inputs!$C$52+Y109/1000)*COS(SQRT(A109^2+Inputs!$C$6^2)/Inputs!$C$52))</f>
        <v/>
      </c>
      <c r="AB109" s="9">
        <f>(AA109-Z109)*1000</f>
        <v/>
      </c>
      <c r="AC109" s="9">
        <f>AB109/Inputs!$C$12</f>
        <v/>
      </c>
      <c r="AD109" s="9">
        <f>2*AB109/Inputs!$C$21*1000000</f>
        <v/>
      </c>
      <c r="AE109" s="9">
        <f>DEGREES(ATAN(H109/(B109-Y109/1000)))</f>
        <v/>
      </c>
      <c r="AF109" s="9">
        <f>DEGREES((2*PI()/Inputs!$C$13)*Inputs!$C$15*SIN(RADIANS(AE109)))</f>
        <v/>
      </c>
      <c r="AG109" s="9">
        <f>(Z109/AA109)^4</f>
        <v/>
      </c>
      <c r="AH109" s="9">
        <f>10*LOG10(AG109)</f>
        <v/>
      </c>
      <c r="AI109" s="9">
        <f>AC109-F109</f>
        <v/>
      </c>
      <c r="AJ109" s="9">
        <f>AD109-G109</f>
        <v/>
      </c>
      <c r="AK109" s="9">
        <f>Y109-X109</f>
        <v/>
      </c>
      <c r="AL109" s="9">
        <f>1000*(AA110-AA108)/(A110-A108)*Inputs!$C$11</f>
        <v/>
      </c>
      <c r="AM109" s="9">
        <f>-2*AL109/Inputs!$C$13</f>
        <v/>
      </c>
      <c r="AN109" s="9">
        <f>-2*AL109/Inputs!$C$14</f>
        <v/>
      </c>
      <c r="AO109" s="9">
        <f>ABS(AM109)</f>
        <v/>
      </c>
      <c r="AP109" s="9">
        <f>ABS(AN109)</f>
        <v/>
      </c>
      <c r="AQ109" s="9">
        <f>IF(OR(Inputs!$C$27=TRUE,Inputs!$C$27="TRUE",Inputs!$C$27=1),Inputs!$C$46/Inputs!$C$12,0)</f>
        <v/>
      </c>
      <c r="AR109" s="9">
        <f>AC109-AQ109</f>
        <v/>
      </c>
      <c r="AS109" s="9">
        <f>AC109+AQ109</f>
        <v/>
      </c>
    </row>
    <row r="110">
      <c r="A110" s="9">
        <f>Inputs!$C$7+108*(Inputs!$C$8-Inputs!$C$7)/240</f>
        <v/>
      </c>
      <c r="B110" s="9">
        <f>Inputs!$C$5+Inputs!$C$9*(A110/Inputs!$C$10)^2</f>
        <v/>
      </c>
      <c r="C110" s="9">
        <f>B110</f>
        <v/>
      </c>
      <c r="D110" s="9">
        <f>SQRT((Inputs!$C$52+B110)^2+Inputs!$C$52^2-2*(Inputs!$C$52+B110)*Inputs!$C$52*COS(SQRT(A110^2+Inputs!$C$6^2)/Inputs!$C$52))</f>
        <v/>
      </c>
      <c r="E110" s="9">
        <f>(D110-C110)*1000</f>
        <v/>
      </c>
      <c r="F110" s="9">
        <f>E110/Inputs!$C$12</f>
        <v/>
      </c>
      <c r="G110" s="9">
        <f>2*E110/Inputs!$C$21*1000000</f>
        <v/>
      </c>
      <c r="H110" s="9">
        <f>SQRT(A110^2+Inputs!$C$6^2)</f>
        <v/>
      </c>
      <c r="I110" s="9">
        <f>DEGREES(ATAN(H110/B110))</f>
        <v/>
      </c>
      <c r="J110" s="9">
        <f>DEGREES((2*PI()/Inputs!$C$13)*Inputs!$C$15*SIN(RADIANS(I110)))</f>
        <v/>
      </c>
      <c r="K110" s="9">
        <f>(C110/D110)^4</f>
        <v/>
      </c>
      <c r="L110" s="9">
        <f>10*LOG10(K110)</f>
        <v/>
      </c>
      <c r="M110" s="9">
        <f>2*(Inputs!$C$9/(Inputs!$C$10^2))*A110</f>
        <v/>
      </c>
      <c r="N110" s="9">
        <f>M110*Inputs!$C$11</f>
        <v/>
      </c>
      <c r="O110" s="9">
        <f>1000*(D111-D109)/(A111-A109)*Inputs!$C$11</f>
        <v/>
      </c>
      <c r="P110" s="9">
        <f>-2*O110/Inputs!$C$13</f>
        <v/>
      </c>
      <c r="Q110" s="9">
        <f>-2*O110/Inputs!$C$14</f>
        <v/>
      </c>
      <c r="R110" s="9">
        <f>F110-Inputs!$C$16/2</f>
        <v/>
      </c>
      <c r="S110" s="9">
        <f>F110+Inputs!$C$16/2</f>
        <v/>
      </c>
      <c r="T110" s="9">
        <f>F110-Inputs!$C$17/2</f>
        <v/>
      </c>
      <c r="U110" s="9">
        <f>F110+Inputs!$C$17/2</f>
        <v/>
      </c>
      <c r="V110" s="9">
        <f>ABS(P110)</f>
        <v/>
      </c>
      <c r="W110" s="9">
        <f>ABS(Q110)</f>
        <v/>
      </c>
      <c r="X110" s="9">
        <f>IF(OR(Inputs!$C$27=TRUE,Inputs!$C$27="TRUE",Inputs!$C$27=1),1,0)*(Inputs!$C$51*(115*EXP(-(((0)-25)^2)/(4.5^2))+70*EXP(-(((0)+38)^2)/(7^2))*(0.55+0.45*SIN(2*PI()*(A110)/45))+24*SIN(2*PI()*(0)/9+(A110)/18)*EXP(-(((0)+5)^2)/(22^2))+18*SIN(2*PI()*(A110)/70))+Inputs!$C$28*EXP(-(((A110)-Inputs!$C$29)^2)/(2*Inputs!$C$31^2))*EXP(-(((0)-Inputs!$C$30)^2)/(2*Inputs!$C$32^2))+-Inputs!$C$33*EXP(-(((((A110)-Inputs!$C$34)^2)+(((0)-Inputs!$C$35)^2))/(2*Inputs!$C$36^2)))+Inputs!$C$37*(0.55*SIN(2*PI()*(A110)/Inputs!$C$39)+0.35*COS(2*PI()*(0)/Inputs!$C$40)+0.2*SIN(2*PI()*((A110)+(0))/(0.5*(Inputs!$C$39+Inputs!$C$40))))+Inputs!$C$38*SIN(2*PI()*(A110)/Inputs!$C$39)*SIN(2*PI()*(0)/Inputs!$C$40)+-Inputs!$C$41*EXP(-(((0)-Inputs!$C$43)^2)/(2*Inputs!$C$44^2))*EXP(-(((A110)-Inputs!$C$42)^2)/(2*Inputs!$C$45^2))+Inputs!$C$48*(0.7*(0.45*SIN(2*PI()*(((A110)/Inputs!$C$49)+Inputs!$C$47*0.137))+0.35*COS(2*PI()*(((0)/Inputs!$C$50)+Inputs!$C$47*0.173))+0.2*SIN(2*PI()*(((A110)+(0))/(0.5*(Inputs!$C$49+Inputs!$C$50))+Inputs!$C$47*0.097)))+0.3*(2*((SIN(((A110)*12.9898+(0)*78.233+Inputs!$C$47*37.719))*43758.5453)-INT((SIN(((A110)*12.9898+(0)*78.233+Inputs!$C$47*37.719))*43758.5453)))-1)))</f>
        <v/>
      </c>
      <c r="Y110" s="9">
        <f>IF(OR(Inputs!$C$27=TRUE,Inputs!$C$27="TRUE",Inputs!$C$27=1),1,0)*(Inputs!$C$51*(115*EXP(-(((Inputs!$C$6)-25)^2)/(4.5^2))+70*EXP(-(((Inputs!$C$6)+38)^2)/(7^2))*(0.55+0.45*SIN(2*PI()*(A110)/45))+24*SIN(2*PI()*(Inputs!$C$6)/9+(A110)/18)*EXP(-(((Inputs!$C$6)+5)^2)/(22^2))+18*SIN(2*PI()*(A110)/70))+Inputs!$C$28*EXP(-(((A110)-Inputs!$C$29)^2)/(2*Inputs!$C$31^2))*EXP(-(((Inputs!$C$6)-Inputs!$C$30)^2)/(2*Inputs!$C$32^2))+-Inputs!$C$33*EXP(-(((((A110)-Inputs!$C$34)^2)+(((Inputs!$C$6)-Inputs!$C$35)^2))/(2*Inputs!$C$36^2)))+Inputs!$C$37*(0.55*SIN(2*PI()*(A110)/Inputs!$C$39)+0.35*COS(2*PI()*(Inputs!$C$6)/Inputs!$C$40)+0.2*SIN(2*PI()*((A110)+(Inputs!$C$6))/(0.5*(Inputs!$C$39+Inputs!$C$40))))+Inputs!$C$38*SIN(2*PI()*(A110)/Inputs!$C$39)*SIN(2*PI()*(Inputs!$C$6)/Inputs!$C$40)+-Inputs!$C$41*EXP(-(((Inputs!$C$6)-Inputs!$C$43)^2)/(2*Inputs!$C$44^2))*EXP(-(((A110)-Inputs!$C$42)^2)/(2*Inputs!$C$45^2))+Inputs!$C$48*(0.7*(0.45*SIN(2*PI()*(((A110)/Inputs!$C$49)+Inputs!$C$47*0.137))+0.35*COS(2*PI()*(((Inputs!$C$6)/Inputs!$C$50)+Inputs!$C$47*0.173))+0.2*SIN(2*PI()*(((A110)+(Inputs!$C$6))/(0.5*(Inputs!$C$49+Inputs!$C$50))+Inputs!$C$47*0.097)))+0.3*(2*((SIN(((A110)*12.9898+(Inputs!$C$6)*78.233+Inputs!$C$47*37.719))*43758.5453)-INT((SIN(((A110)*12.9898+(Inputs!$C$6)*78.233+Inputs!$C$47*37.719))*43758.5453)))-1)))</f>
        <v/>
      </c>
      <c r="Z110" s="9">
        <f>B110-X110/1000</f>
        <v/>
      </c>
      <c r="AA110" s="9">
        <f>SQRT((Inputs!$C$52+B110)^2+(Inputs!$C$52+Y110/1000)^2-2*(Inputs!$C$52+B110)*(Inputs!$C$52+Y110/1000)*COS(SQRT(A110^2+Inputs!$C$6^2)/Inputs!$C$52))</f>
        <v/>
      </c>
      <c r="AB110" s="9">
        <f>(AA110-Z110)*1000</f>
        <v/>
      </c>
      <c r="AC110" s="9">
        <f>AB110/Inputs!$C$12</f>
        <v/>
      </c>
      <c r="AD110" s="9">
        <f>2*AB110/Inputs!$C$21*1000000</f>
        <v/>
      </c>
      <c r="AE110" s="9">
        <f>DEGREES(ATAN(H110/(B110-Y110/1000)))</f>
        <v/>
      </c>
      <c r="AF110" s="9">
        <f>DEGREES((2*PI()/Inputs!$C$13)*Inputs!$C$15*SIN(RADIANS(AE110)))</f>
        <v/>
      </c>
      <c r="AG110" s="9">
        <f>(Z110/AA110)^4</f>
        <v/>
      </c>
      <c r="AH110" s="9">
        <f>10*LOG10(AG110)</f>
        <v/>
      </c>
      <c r="AI110" s="9">
        <f>AC110-F110</f>
        <v/>
      </c>
      <c r="AJ110" s="9">
        <f>AD110-G110</f>
        <v/>
      </c>
      <c r="AK110" s="9">
        <f>Y110-X110</f>
        <v/>
      </c>
      <c r="AL110" s="9">
        <f>1000*(AA111-AA109)/(A111-A109)*Inputs!$C$11</f>
        <v/>
      </c>
      <c r="AM110" s="9">
        <f>-2*AL110/Inputs!$C$13</f>
        <v/>
      </c>
      <c r="AN110" s="9">
        <f>-2*AL110/Inputs!$C$14</f>
        <v/>
      </c>
      <c r="AO110" s="9">
        <f>ABS(AM110)</f>
        <v/>
      </c>
      <c r="AP110" s="9">
        <f>ABS(AN110)</f>
        <v/>
      </c>
      <c r="AQ110" s="9">
        <f>IF(OR(Inputs!$C$27=TRUE,Inputs!$C$27="TRUE",Inputs!$C$27=1),Inputs!$C$46/Inputs!$C$12,0)</f>
        <v/>
      </c>
      <c r="AR110" s="9">
        <f>AC110-AQ110</f>
        <v/>
      </c>
      <c r="AS110" s="9">
        <f>AC110+AQ110</f>
        <v/>
      </c>
    </row>
    <row r="111">
      <c r="A111" s="9">
        <f>Inputs!$C$7+109*(Inputs!$C$8-Inputs!$C$7)/240</f>
        <v/>
      </c>
      <c r="B111" s="9">
        <f>Inputs!$C$5+Inputs!$C$9*(A111/Inputs!$C$10)^2</f>
        <v/>
      </c>
      <c r="C111" s="9">
        <f>B111</f>
        <v/>
      </c>
      <c r="D111" s="9">
        <f>SQRT((Inputs!$C$52+B111)^2+Inputs!$C$52^2-2*(Inputs!$C$52+B111)*Inputs!$C$52*COS(SQRT(A111^2+Inputs!$C$6^2)/Inputs!$C$52))</f>
        <v/>
      </c>
      <c r="E111" s="9">
        <f>(D111-C111)*1000</f>
        <v/>
      </c>
      <c r="F111" s="9">
        <f>E111/Inputs!$C$12</f>
        <v/>
      </c>
      <c r="G111" s="9">
        <f>2*E111/Inputs!$C$21*1000000</f>
        <v/>
      </c>
      <c r="H111" s="9">
        <f>SQRT(A111^2+Inputs!$C$6^2)</f>
        <v/>
      </c>
      <c r="I111" s="9">
        <f>DEGREES(ATAN(H111/B111))</f>
        <v/>
      </c>
      <c r="J111" s="9">
        <f>DEGREES((2*PI()/Inputs!$C$13)*Inputs!$C$15*SIN(RADIANS(I111)))</f>
        <v/>
      </c>
      <c r="K111" s="9">
        <f>(C111/D111)^4</f>
        <v/>
      </c>
      <c r="L111" s="9">
        <f>10*LOG10(K111)</f>
        <v/>
      </c>
      <c r="M111" s="9">
        <f>2*(Inputs!$C$9/(Inputs!$C$10^2))*A111</f>
        <v/>
      </c>
      <c r="N111" s="9">
        <f>M111*Inputs!$C$11</f>
        <v/>
      </c>
      <c r="O111" s="9">
        <f>1000*(D112-D110)/(A112-A110)*Inputs!$C$11</f>
        <v/>
      </c>
      <c r="P111" s="9">
        <f>-2*O111/Inputs!$C$13</f>
        <v/>
      </c>
      <c r="Q111" s="9">
        <f>-2*O111/Inputs!$C$14</f>
        <v/>
      </c>
      <c r="R111" s="9">
        <f>F111-Inputs!$C$16/2</f>
        <v/>
      </c>
      <c r="S111" s="9">
        <f>F111+Inputs!$C$16/2</f>
        <v/>
      </c>
      <c r="T111" s="9">
        <f>F111-Inputs!$C$17/2</f>
        <v/>
      </c>
      <c r="U111" s="9">
        <f>F111+Inputs!$C$17/2</f>
        <v/>
      </c>
      <c r="V111" s="9">
        <f>ABS(P111)</f>
        <v/>
      </c>
      <c r="W111" s="9">
        <f>ABS(Q111)</f>
        <v/>
      </c>
      <c r="X111" s="9">
        <f>IF(OR(Inputs!$C$27=TRUE,Inputs!$C$27="TRUE",Inputs!$C$27=1),1,0)*(Inputs!$C$51*(115*EXP(-(((0)-25)^2)/(4.5^2))+70*EXP(-(((0)+38)^2)/(7^2))*(0.55+0.45*SIN(2*PI()*(A111)/45))+24*SIN(2*PI()*(0)/9+(A111)/18)*EXP(-(((0)+5)^2)/(22^2))+18*SIN(2*PI()*(A111)/70))+Inputs!$C$28*EXP(-(((A111)-Inputs!$C$29)^2)/(2*Inputs!$C$31^2))*EXP(-(((0)-Inputs!$C$30)^2)/(2*Inputs!$C$32^2))+-Inputs!$C$33*EXP(-(((((A111)-Inputs!$C$34)^2)+(((0)-Inputs!$C$35)^2))/(2*Inputs!$C$36^2)))+Inputs!$C$37*(0.55*SIN(2*PI()*(A111)/Inputs!$C$39)+0.35*COS(2*PI()*(0)/Inputs!$C$40)+0.2*SIN(2*PI()*((A111)+(0))/(0.5*(Inputs!$C$39+Inputs!$C$40))))+Inputs!$C$38*SIN(2*PI()*(A111)/Inputs!$C$39)*SIN(2*PI()*(0)/Inputs!$C$40)+-Inputs!$C$41*EXP(-(((0)-Inputs!$C$43)^2)/(2*Inputs!$C$44^2))*EXP(-(((A111)-Inputs!$C$42)^2)/(2*Inputs!$C$45^2))+Inputs!$C$48*(0.7*(0.45*SIN(2*PI()*(((A111)/Inputs!$C$49)+Inputs!$C$47*0.137))+0.35*COS(2*PI()*(((0)/Inputs!$C$50)+Inputs!$C$47*0.173))+0.2*SIN(2*PI()*(((A111)+(0))/(0.5*(Inputs!$C$49+Inputs!$C$50))+Inputs!$C$47*0.097)))+0.3*(2*((SIN(((A111)*12.9898+(0)*78.233+Inputs!$C$47*37.719))*43758.5453)-INT((SIN(((A111)*12.9898+(0)*78.233+Inputs!$C$47*37.719))*43758.5453)))-1)))</f>
        <v/>
      </c>
      <c r="Y111" s="9">
        <f>IF(OR(Inputs!$C$27=TRUE,Inputs!$C$27="TRUE",Inputs!$C$27=1),1,0)*(Inputs!$C$51*(115*EXP(-(((Inputs!$C$6)-25)^2)/(4.5^2))+70*EXP(-(((Inputs!$C$6)+38)^2)/(7^2))*(0.55+0.45*SIN(2*PI()*(A111)/45))+24*SIN(2*PI()*(Inputs!$C$6)/9+(A111)/18)*EXP(-(((Inputs!$C$6)+5)^2)/(22^2))+18*SIN(2*PI()*(A111)/70))+Inputs!$C$28*EXP(-(((A111)-Inputs!$C$29)^2)/(2*Inputs!$C$31^2))*EXP(-(((Inputs!$C$6)-Inputs!$C$30)^2)/(2*Inputs!$C$32^2))+-Inputs!$C$33*EXP(-(((((A111)-Inputs!$C$34)^2)+(((Inputs!$C$6)-Inputs!$C$35)^2))/(2*Inputs!$C$36^2)))+Inputs!$C$37*(0.55*SIN(2*PI()*(A111)/Inputs!$C$39)+0.35*COS(2*PI()*(Inputs!$C$6)/Inputs!$C$40)+0.2*SIN(2*PI()*((A111)+(Inputs!$C$6))/(0.5*(Inputs!$C$39+Inputs!$C$40))))+Inputs!$C$38*SIN(2*PI()*(A111)/Inputs!$C$39)*SIN(2*PI()*(Inputs!$C$6)/Inputs!$C$40)+-Inputs!$C$41*EXP(-(((Inputs!$C$6)-Inputs!$C$43)^2)/(2*Inputs!$C$44^2))*EXP(-(((A111)-Inputs!$C$42)^2)/(2*Inputs!$C$45^2))+Inputs!$C$48*(0.7*(0.45*SIN(2*PI()*(((A111)/Inputs!$C$49)+Inputs!$C$47*0.137))+0.35*COS(2*PI()*(((Inputs!$C$6)/Inputs!$C$50)+Inputs!$C$47*0.173))+0.2*SIN(2*PI()*(((A111)+(Inputs!$C$6))/(0.5*(Inputs!$C$49+Inputs!$C$50))+Inputs!$C$47*0.097)))+0.3*(2*((SIN(((A111)*12.9898+(Inputs!$C$6)*78.233+Inputs!$C$47*37.719))*43758.5453)-INT((SIN(((A111)*12.9898+(Inputs!$C$6)*78.233+Inputs!$C$47*37.719))*43758.5453)))-1)))</f>
        <v/>
      </c>
      <c r="Z111" s="9">
        <f>B111-X111/1000</f>
        <v/>
      </c>
      <c r="AA111" s="9">
        <f>SQRT((Inputs!$C$52+B111)^2+(Inputs!$C$52+Y111/1000)^2-2*(Inputs!$C$52+B111)*(Inputs!$C$52+Y111/1000)*COS(SQRT(A111^2+Inputs!$C$6^2)/Inputs!$C$52))</f>
        <v/>
      </c>
      <c r="AB111" s="9">
        <f>(AA111-Z111)*1000</f>
        <v/>
      </c>
      <c r="AC111" s="9">
        <f>AB111/Inputs!$C$12</f>
        <v/>
      </c>
      <c r="AD111" s="9">
        <f>2*AB111/Inputs!$C$21*1000000</f>
        <v/>
      </c>
      <c r="AE111" s="9">
        <f>DEGREES(ATAN(H111/(B111-Y111/1000)))</f>
        <v/>
      </c>
      <c r="AF111" s="9">
        <f>DEGREES((2*PI()/Inputs!$C$13)*Inputs!$C$15*SIN(RADIANS(AE111)))</f>
        <v/>
      </c>
      <c r="AG111" s="9">
        <f>(Z111/AA111)^4</f>
        <v/>
      </c>
      <c r="AH111" s="9">
        <f>10*LOG10(AG111)</f>
        <v/>
      </c>
      <c r="AI111" s="9">
        <f>AC111-F111</f>
        <v/>
      </c>
      <c r="AJ111" s="9">
        <f>AD111-G111</f>
        <v/>
      </c>
      <c r="AK111" s="9">
        <f>Y111-X111</f>
        <v/>
      </c>
      <c r="AL111" s="9">
        <f>1000*(AA112-AA110)/(A112-A110)*Inputs!$C$11</f>
        <v/>
      </c>
      <c r="AM111" s="9">
        <f>-2*AL111/Inputs!$C$13</f>
        <v/>
      </c>
      <c r="AN111" s="9">
        <f>-2*AL111/Inputs!$C$14</f>
        <v/>
      </c>
      <c r="AO111" s="9">
        <f>ABS(AM111)</f>
        <v/>
      </c>
      <c r="AP111" s="9">
        <f>ABS(AN111)</f>
        <v/>
      </c>
      <c r="AQ111" s="9">
        <f>IF(OR(Inputs!$C$27=TRUE,Inputs!$C$27="TRUE",Inputs!$C$27=1),Inputs!$C$46/Inputs!$C$12,0)</f>
        <v/>
      </c>
      <c r="AR111" s="9">
        <f>AC111-AQ111</f>
        <v/>
      </c>
      <c r="AS111" s="9">
        <f>AC111+AQ111</f>
        <v/>
      </c>
    </row>
    <row r="112">
      <c r="A112" s="9">
        <f>Inputs!$C$7+110*(Inputs!$C$8-Inputs!$C$7)/240</f>
        <v/>
      </c>
      <c r="B112" s="9">
        <f>Inputs!$C$5+Inputs!$C$9*(A112/Inputs!$C$10)^2</f>
        <v/>
      </c>
      <c r="C112" s="9">
        <f>B112</f>
        <v/>
      </c>
      <c r="D112" s="9">
        <f>SQRT((Inputs!$C$52+B112)^2+Inputs!$C$52^2-2*(Inputs!$C$52+B112)*Inputs!$C$52*COS(SQRT(A112^2+Inputs!$C$6^2)/Inputs!$C$52))</f>
        <v/>
      </c>
      <c r="E112" s="9">
        <f>(D112-C112)*1000</f>
        <v/>
      </c>
      <c r="F112" s="9">
        <f>E112/Inputs!$C$12</f>
        <v/>
      </c>
      <c r="G112" s="9">
        <f>2*E112/Inputs!$C$21*1000000</f>
        <v/>
      </c>
      <c r="H112" s="9">
        <f>SQRT(A112^2+Inputs!$C$6^2)</f>
        <v/>
      </c>
      <c r="I112" s="9">
        <f>DEGREES(ATAN(H112/B112))</f>
        <v/>
      </c>
      <c r="J112" s="9">
        <f>DEGREES((2*PI()/Inputs!$C$13)*Inputs!$C$15*SIN(RADIANS(I112)))</f>
        <v/>
      </c>
      <c r="K112" s="9">
        <f>(C112/D112)^4</f>
        <v/>
      </c>
      <c r="L112" s="9">
        <f>10*LOG10(K112)</f>
        <v/>
      </c>
      <c r="M112" s="9">
        <f>2*(Inputs!$C$9/(Inputs!$C$10^2))*A112</f>
        <v/>
      </c>
      <c r="N112" s="9">
        <f>M112*Inputs!$C$11</f>
        <v/>
      </c>
      <c r="O112" s="9">
        <f>1000*(D113-D111)/(A113-A111)*Inputs!$C$11</f>
        <v/>
      </c>
      <c r="P112" s="9">
        <f>-2*O112/Inputs!$C$13</f>
        <v/>
      </c>
      <c r="Q112" s="9">
        <f>-2*O112/Inputs!$C$14</f>
        <v/>
      </c>
      <c r="R112" s="9">
        <f>F112-Inputs!$C$16/2</f>
        <v/>
      </c>
      <c r="S112" s="9">
        <f>F112+Inputs!$C$16/2</f>
        <v/>
      </c>
      <c r="T112" s="9">
        <f>F112-Inputs!$C$17/2</f>
        <v/>
      </c>
      <c r="U112" s="9">
        <f>F112+Inputs!$C$17/2</f>
        <v/>
      </c>
      <c r="V112" s="9">
        <f>ABS(P112)</f>
        <v/>
      </c>
      <c r="W112" s="9">
        <f>ABS(Q112)</f>
        <v/>
      </c>
      <c r="X112" s="9">
        <f>IF(OR(Inputs!$C$27=TRUE,Inputs!$C$27="TRUE",Inputs!$C$27=1),1,0)*(Inputs!$C$51*(115*EXP(-(((0)-25)^2)/(4.5^2))+70*EXP(-(((0)+38)^2)/(7^2))*(0.55+0.45*SIN(2*PI()*(A112)/45))+24*SIN(2*PI()*(0)/9+(A112)/18)*EXP(-(((0)+5)^2)/(22^2))+18*SIN(2*PI()*(A112)/70))+Inputs!$C$28*EXP(-(((A112)-Inputs!$C$29)^2)/(2*Inputs!$C$31^2))*EXP(-(((0)-Inputs!$C$30)^2)/(2*Inputs!$C$32^2))+-Inputs!$C$33*EXP(-(((((A112)-Inputs!$C$34)^2)+(((0)-Inputs!$C$35)^2))/(2*Inputs!$C$36^2)))+Inputs!$C$37*(0.55*SIN(2*PI()*(A112)/Inputs!$C$39)+0.35*COS(2*PI()*(0)/Inputs!$C$40)+0.2*SIN(2*PI()*((A112)+(0))/(0.5*(Inputs!$C$39+Inputs!$C$40))))+Inputs!$C$38*SIN(2*PI()*(A112)/Inputs!$C$39)*SIN(2*PI()*(0)/Inputs!$C$40)+-Inputs!$C$41*EXP(-(((0)-Inputs!$C$43)^2)/(2*Inputs!$C$44^2))*EXP(-(((A112)-Inputs!$C$42)^2)/(2*Inputs!$C$45^2))+Inputs!$C$48*(0.7*(0.45*SIN(2*PI()*(((A112)/Inputs!$C$49)+Inputs!$C$47*0.137))+0.35*COS(2*PI()*(((0)/Inputs!$C$50)+Inputs!$C$47*0.173))+0.2*SIN(2*PI()*(((A112)+(0))/(0.5*(Inputs!$C$49+Inputs!$C$50))+Inputs!$C$47*0.097)))+0.3*(2*((SIN(((A112)*12.9898+(0)*78.233+Inputs!$C$47*37.719))*43758.5453)-INT((SIN(((A112)*12.9898+(0)*78.233+Inputs!$C$47*37.719))*43758.5453)))-1)))</f>
        <v/>
      </c>
      <c r="Y112" s="9">
        <f>IF(OR(Inputs!$C$27=TRUE,Inputs!$C$27="TRUE",Inputs!$C$27=1),1,0)*(Inputs!$C$51*(115*EXP(-(((Inputs!$C$6)-25)^2)/(4.5^2))+70*EXP(-(((Inputs!$C$6)+38)^2)/(7^2))*(0.55+0.45*SIN(2*PI()*(A112)/45))+24*SIN(2*PI()*(Inputs!$C$6)/9+(A112)/18)*EXP(-(((Inputs!$C$6)+5)^2)/(22^2))+18*SIN(2*PI()*(A112)/70))+Inputs!$C$28*EXP(-(((A112)-Inputs!$C$29)^2)/(2*Inputs!$C$31^2))*EXP(-(((Inputs!$C$6)-Inputs!$C$30)^2)/(2*Inputs!$C$32^2))+-Inputs!$C$33*EXP(-(((((A112)-Inputs!$C$34)^2)+(((Inputs!$C$6)-Inputs!$C$35)^2))/(2*Inputs!$C$36^2)))+Inputs!$C$37*(0.55*SIN(2*PI()*(A112)/Inputs!$C$39)+0.35*COS(2*PI()*(Inputs!$C$6)/Inputs!$C$40)+0.2*SIN(2*PI()*((A112)+(Inputs!$C$6))/(0.5*(Inputs!$C$39+Inputs!$C$40))))+Inputs!$C$38*SIN(2*PI()*(A112)/Inputs!$C$39)*SIN(2*PI()*(Inputs!$C$6)/Inputs!$C$40)+-Inputs!$C$41*EXP(-(((Inputs!$C$6)-Inputs!$C$43)^2)/(2*Inputs!$C$44^2))*EXP(-(((A112)-Inputs!$C$42)^2)/(2*Inputs!$C$45^2))+Inputs!$C$48*(0.7*(0.45*SIN(2*PI()*(((A112)/Inputs!$C$49)+Inputs!$C$47*0.137))+0.35*COS(2*PI()*(((Inputs!$C$6)/Inputs!$C$50)+Inputs!$C$47*0.173))+0.2*SIN(2*PI()*(((A112)+(Inputs!$C$6))/(0.5*(Inputs!$C$49+Inputs!$C$50))+Inputs!$C$47*0.097)))+0.3*(2*((SIN(((A112)*12.9898+(Inputs!$C$6)*78.233+Inputs!$C$47*37.719))*43758.5453)-INT((SIN(((A112)*12.9898+(Inputs!$C$6)*78.233+Inputs!$C$47*37.719))*43758.5453)))-1)))</f>
        <v/>
      </c>
      <c r="Z112" s="9">
        <f>B112-X112/1000</f>
        <v/>
      </c>
      <c r="AA112" s="9">
        <f>SQRT((Inputs!$C$52+B112)^2+(Inputs!$C$52+Y112/1000)^2-2*(Inputs!$C$52+B112)*(Inputs!$C$52+Y112/1000)*COS(SQRT(A112^2+Inputs!$C$6^2)/Inputs!$C$52))</f>
        <v/>
      </c>
      <c r="AB112" s="9">
        <f>(AA112-Z112)*1000</f>
        <v/>
      </c>
      <c r="AC112" s="9">
        <f>AB112/Inputs!$C$12</f>
        <v/>
      </c>
      <c r="AD112" s="9">
        <f>2*AB112/Inputs!$C$21*1000000</f>
        <v/>
      </c>
      <c r="AE112" s="9">
        <f>DEGREES(ATAN(H112/(B112-Y112/1000)))</f>
        <v/>
      </c>
      <c r="AF112" s="9">
        <f>DEGREES((2*PI()/Inputs!$C$13)*Inputs!$C$15*SIN(RADIANS(AE112)))</f>
        <v/>
      </c>
      <c r="AG112" s="9">
        <f>(Z112/AA112)^4</f>
        <v/>
      </c>
      <c r="AH112" s="9">
        <f>10*LOG10(AG112)</f>
        <v/>
      </c>
      <c r="AI112" s="9">
        <f>AC112-F112</f>
        <v/>
      </c>
      <c r="AJ112" s="9">
        <f>AD112-G112</f>
        <v/>
      </c>
      <c r="AK112" s="9">
        <f>Y112-X112</f>
        <v/>
      </c>
      <c r="AL112" s="9">
        <f>1000*(AA113-AA111)/(A113-A111)*Inputs!$C$11</f>
        <v/>
      </c>
      <c r="AM112" s="9">
        <f>-2*AL112/Inputs!$C$13</f>
        <v/>
      </c>
      <c r="AN112" s="9">
        <f>-2*AL112/Inputs!$C$14</f>
        <v/>
      </c>
      <c r="AO112" s="9">
        <f>ABS(AM112)</f>
        <v/>
      </c>
      <c r="AP112" s="9">
        <f>ABS(AN112)</f>
        <v/>
      </c>
      <c r="AQ112" s="9">
        <f>IF(OR(Inputs!$C$27=TRUE,Inputs!$C$27="TRUE",Inputs!$C$27=1),Inputs!$C$46/Inputs!$C$12,0)</f>
        <v/>
      </c>
      <c r="AR112" s="9">
        <f>AC112-AQ112</f>
        <v/>
      </c>
      <c r="AS112" s="9">
        <f>AC112+AQ112</f>
        <v/>
      </c>
    </row>
    <row r="113">
      <c r="A113" s="9">
        <f>Inputs!$C$7+111*(Inputs!$C$8-Inputs!$C$7)/240</f>
        <v/>
      </c>
      <c r="B113" s="9">
        <f>Inputs!$C$5+Inputs!$C$9*(A113/Inputs!$C$10)^2</f>
        <v/>
      </c>
      <c r="C113" s="9">
        <f>B113</f>
        <v/>
      </c>
      <c r="D113" s="9">
        <f>SQRT((Inputs!$C$52+B113)^2+Inputs!$C$52^2-2*(Inputs!$C$52+B113)*Inputs!$C$52*COS(SQRT(A113^2+Inputs!$C$6^2)/Inputs!$C$52))</f>
        <v/>
      </c>
      <c r="E113" s="9">
        <f>(D113-C113)*1000</f>
        <v/>
      </c>
      <c r="F113" s="9">
        <f>E113/Inputs!$C$12</f>
        <v/>
      </c>
      <c r="G113" s="9">
        <f>2*E113/Inputs!$C$21*1000000</f>
        <v/>
      </c>
      <c r="H113" s="9">
        <f>SQRT(A113^2+Inputs!$C$6^2)</f>
        <v/>
      </c>
      <c r="I113" s="9">
        <f>DEGREES(ATAN(H113/B113))</f>
        <v/>
      </c>
      <c r="J113" s="9">
        <f>DEGREES((2*PI()/Inputs!$C$13)*Inputs!$C$15*SIN(RADIANS(I113)))</f>
        <v/>
      </c>
      <c r="K113" s="9">
        <f>(C113/D113)^4</f>
        <v/>
      </c>
      <c r="L113" s="9">
        <f>10*LOG10(K113)</f>
        <v/>
      </c>
      <c r="M113" s="9">
        <f>2*(Inputs!$C$9/(Inputs!$C$10^2))*A113</f>
        <v/>
      </c>
      <c r="N113" s="9">
        <f>M113*Inputs!$C$11</f>
        <v/>
      </c>
      <c r="O113" s="9">
        <f>1000*(D114-D112)/(A114-A112)*Inputs!$C$11</f>
        <v/>
      </c>
      <c r="P113" s="9">
        <f>-2*O113/Inputs!$C$13</f>
        <v/>
      </c>
      <c r="Q113" s="9">
        <f>-2*O113/Inputs!$C$14</f>
        <v/>
      </c>
      <c r="R113" s="9">
        <f>F113-Inputs!$C$16/2</f>
        <v/>
      </c>
      <c r="S113" s="9">
        <f>F113+Inputs!$C$16/2</f>
        <v/>
      </c>
      <c r="T113" s="9">
        <f>F113-Inputs!$C$17/2</f>
        <v/>
      </c>
      <c r="U113" s="9">
        <f>F113+Inputs!$C$17/2</f>
        <v/>
      </c>
      <c r="V113" s="9">
        <f>ABS(P113)</f>
        <v/>
      </c>
      <c r="W113" s="9">
        <f>ABS(Q113)</f>
        <v/>
      </c>
      <c r="X113" s="9">
        <f>IF(OR(Inputs!$C$27=TRUE,Inputs!$C$27="TRUE",Inputs!$C$27=1),1,0)*(Inputs!$C$51*(115*EXP(-(((0)-25)^2)/(4.5^2))+70*EXP(-(((0)+38)^2)/(7^2))*(0.55+0.45*SIN(2*PI()*(A113)/45))+24*SIN(2*PI()*(0)/9+(A113)/18)*EXP(-(((0)+5)^2)/(22^2))+18*SIN(2*PI()*(A113)/70))+Inputs!$C$28*EXP(-(((A113)-Inputs!$C$29)^2)/(2*Inputs!$C$31^2))*EXP(-(((0)-Inputs!$C$30)^2)/(2*Inputs!$C$32^2))+-Inputs!$C$33*EXP(-(((((A113)-Inputs!$C$34)^2)+(((0)-Inputs!$C$35)^2))/(2*Inputs!$C$36^2)))+Inputs!$C$37*(0.55*SIN(2*PI()*(A113)/Inputs!$C$39)+0.35*COS(2*PI()*(0)/Inputs!$C$40)+0.2*SIN(2*PI()*((A113)+(0))/(0.5*(Inputs!$C$39+Inputs!$C$40))))+Inputs!$C$38*SIN(2*PI()*(A113)/Inputs!$C$39)*SIN(2*PI()*(0)/Inputs!$C$40)+-Inputs!$C$41*EXP(-(((0)-Inputs!$C$43)^2)/(2*Inputs!$C$44^2))*EXP(-(((A113)-Inputs!$C$42)^2)/(2*Inputs!$C$45^2))+Inputs!$C$48*(0.7*(0.45*SIN(2*PI()*(((A113)/Inputs!$C$49)+Inputs!$C$47*0.137))+0.35*COS(2*PI()*(((0)/Inputs!$C$50)+Inputs!$C$47*0.173))+0.2*SIN(2*PI()*(((A113)+(0))/(0.5*(Inputs!$C$49+Inputs!$C$50))+Inputs!$C$47*0.097)))+0.3*(2*((SIN(((A113)*12.9898+(0)*78.233+Inputs!$C$47*37.719))*43758.5453)-INT((SIN(((A113)*12.9898+(0)*78.233+Inputs!$C$47*37.719))*43758.5453)))-1)))</f>
        <v/>
      </c>
      <c r="Y113" s="9">
        <f>IF(OR(Inputs!$C$27=TRUE,Inputs!$C$27="TRUE",Inputs!$C$27=1),1,0)*(Inputs!$C$51*(115*EXP(-(((Inputs!$C$6)-25)^2)/(4.5^2))+70*EXP(-(((Inputs!$C$6)+38)^2)/(7^2))*(0.55+0.45*SIN(2*PI()*(A113)/45))+24*SIN(2*PI()*(Inputs!$C$6)/9+(A113)/18)*EXP(-(((Inputs!$C$6)+5)^2)/(22^2))+18*SIN(2*PI()*(A113)/70))+Inputs!$C$28*EXP(-(((A113)-Inputs!$C$29)^2)/(2*Inputs!$C$31^2))*EXP(-(((Inputs!$C$6)-Inputs!$C$30)^2)/(2*Inputs!$C$32^2))+-Inputs!$C$33*EXP(-(((((A113)-Inputs!$C$34)^2)+(((Inputs!$C$6)-Inputs!$C$35)^2))/(2*Inputs!$C$36^2)))+Inputs!$C$37*(0.55*SIN(2*PI()*(A113)/Inputs!$C$39)+0.35*COS(2*PI()*(Inputs!$C$6)/Inputs!$C$40)+0.2*SIN(2*PI()*((A113)+(Inputs!$C$6))/(0.5*(Inputs!$C$39+Inputs!$C$40))))+Inputs!$C$38*SIN(2*PI()*(A113)/Inputs!$C$39)*SIN(2*PI()*(Inputs!$C$6)/Inputs!$C$40)+-Inputs!$C$41*EXP(-(((Inputs!$C$6)-Inputs!$C$43)^2)/(2*Inputs!$C$44^2))*EXP(-(((A113)-Inputs!$C$42)^2)/(2*Inputs!$C$45^2))+Inputs!$C$48*(0.7*(0.45*SIN(2*PI()*(((A113)/Inputs!$C$49)+Inputs!$C$47*0.137))+0.35*COS(2*PI()*(((Inputs!$C$6)/Inputs!$C$50)+Inputs!$C$47*0.173))+0.2*SIN(2*PI()*(((A113)+(Inputs!$C$6))/(0.5*(Inputs!$C$49+Inputs!$C$50))+Inputs!$C$47*0.097)))+0.3*(2*((SIN(((A113)*12.9898+(Inputs!$C$6)*78.233+Inputs!$C$47*37.719))*43758.5453)-INT((SIN(((A113)*12.9898+(Inputs!$C$6)*78.233+Inputs!$C$47*37.719))*43758.5453)))-1)))</f>
        <v/>
      </c>
      <c r="Z113" s="9">
        <f>B113-X113/1000</f>
        <v/>
      </c>
      <c r="AA113" s="9">
        <f>SQRT((Inputs!$C$52+B113)^2+(Inputs!$C$52+Y113/1000)^2-2*(Inputs!$C$52+B113)*(Inputs!$C$52+Y113/1000)*COS(SQRT(A113^2+Inputs!$C$6^2)/Inputs!$C$52))</f>
        <v/>
      </c>
      <c r="AB113" s="9">
        <f>(AA113-Z113)*1000</f>
        <v/>
      </c>
      <c r="AC113" s="9">
        <f>AB113/Inputs!$C$12</f>
        <v/>
      </c>
      <c r="AD113" s="9">
        <f>2*AB113/Inputs!$C$21*1000000</f>
        <v/>
      </c>
      <c r="AE113" s="9">
        <f>DEGREES(ATAN(H113/(B113-Y113/1000)))</f>
        <v/>
      </c>
      <c r="AF113" s="9">
        <f>DEGREES((2*PI()/Inputs!$C$13)*Inputs!$C$15*SIN(RADIANS(AE113)))</f>
        <v/>
      </c>
      <c r="AG113" s="9">
        <f>(Z113/AA113)^4</f>
        <v/>
      </c>
      <c r="AH113" s="9">
        <f>10*LOG10(AG113)</f>
        <v/>
      </c>
      <c r="AI113" s="9">
        <f>AC113-F113</f>
        <v/>
      </c>
      <c r="AJ113" s="9">
        <f>AD113-G113</f>
        <v/>
      </c>
      <c r="AK113" s="9">
        <f>Y113-X113</f>
        <v/>
      </c>
      <c r="AL113" s="9">
        <f>1000*(AA114-AA112)/(A114-A112)*Inputs!$C$11</f>
        <v/>
      </c>
      <c r="AM113" s="9">
        <f>-2*AL113/Inputs!$C$13</f>
        <v/>
      </c>
      <c r="AN113" s="9">
        <f>-2*AL113/Inputs!$C$14</f>
        <v/>
      </c>
      <c r="AO113" s="9">
        <f>ABS(AM113)</f>
        <v/>
      </c>
      <c r="AP113" s="9">
        <f>ABS(AN113)</f>
        <v/>
      </c>
      <c r="AQ113" s="9">
        <f>IF(OR(Inputs!$C$27=TRUE,Inputs!$C$27="TRUE",Inputs!$C$27=1),Inputs!$C$46/Inputs!$C$12,0)</f>
        <v/>
      </c>
      <c r="AR113" s="9">
        <f>AC113-AQ113</f>
        <v/>
      </c>
      <c r="AS113" s="9">
        <f>AC113+AQ113</f>
        <v/>
      </c>
    </row>
    <row r="114">
      <c r="A114" s="9">
        <f>Inputs!$C$7+112*(Inputs!$C$8-Inputs!$C$7)/240</f>
        <v/>
      </c>
      <c r="B114" s="9">
        <f>Inputs!$C$5+Inputs!$C$9*(A114/Inputs!$C$10)^2</f>
        <v/>
      </c>
      <c r="C114" s="9">
        <f>B114</f>
        <v/>
      </c>
      <c r="D114" s="9">
        <f>SQRT((Inputs!$C$52+B114)^2+Inputs!$C$52^2-2*(Inputs!$C$52+B114)*Inputs!$C$52*COS(SQRT(A114^2+Inputs!$C$6^2)/Inputs!$C$52))</f>
        <v/>
      </c>
      <c r="E114" s="9">
        <f>(D114-C114)*1000</f>
        <v/>
      </c>
      <c r="F114" s="9">
        <f>E114/Inputs!$C$12</f>
        <v/>
      </c>
      <c r="G114" s="9">
        <f>2*E114/Inputs!$C$21*1000000</f>
        <v/>
      </c>
      <c r="H114" s="9">
        <f>SQRT(A114^2+Inputs!$C$6^2)</f>
        <v/>
      </c>
      <c r="I114" s="9">
        <f>DEGREES(ATAN(H114/B114))</f>
        <v/>
      </c>
      <c r="J114" s="9">
        <f>DEGREES((2*PI()/Inputs!$C$13)*Inputs!$C$15*SIN(RADIANS(I114)))</f>
        <v/>
      </c>
      <c r="K114" s="9">
        <f>(C114/D114)^4</f>
        <v/>
      </c>
      <c r="L114" s="9">
        <f>10*LOG10(K114)</f>
        <v/>
      </c>
      <c r="M114" s="9">
        <f>2*(Inputs!$C$9/(Inputs!$C$10^2))*A114</f>
        <v/>
      </c>
      <c r="N114" s="9">
        <f>M114*Inputs!$C$11</f>
        <v/>
      </c>
      <c r="O114" s="9">
        <f>1000*(D115-D113)/(A115-A113)*Inputs!$C$11</f>
        <v/>
      </c>
      <c r="P114" s="9">
        <f>-2*O114/Inputs!$C$13</f>
        <v/>
      </c>
      <c r="Q114" s="9">
        <f>-2*O114/Inputs!$C$14</f>
        <v/>
      </c>
      <c r="R114" s="9">
        <f>F114-Inputs!$C$16/2</f>
        <v/>
      </c>
      <c r="S114" s="9">
        <f>F114+Inputs!$C$16/2</f>
        <v/>
      </c>
      <c r="T114" s="9">
        <f>F114-Inputs!$C$17/2</f>
        <v/>
      </c>
      <c r="U114" s="9">
        <f>F114+Inputs!$C$17/2</f>
        <v/>
      </c>
      <c r="V114" s="9">
        <f>ABS(P114)</f>
        <v/>
      </c>
      <c r="W114" s="9">
        <f>ABS(Q114)</f>
        <v/>
      </c>
      <c r="X114" s="9">
        <f>IF(OR(Inputs!$C$27=TRUE,Inputs!$C$27="TRUE",Inputs!$C$27=1),1,0)*(Inputs!$C$51*(115*EXP(-(((0)-25)^2)/(4.5^2))+70*EXP(-(((0)+38)^2)/(7^2))*(0.55+0.45*SIN(2*PI()*(A114)/45))+24*SIN(2*PI()*(0)/9+(A114)/18)*EXP(-(((0)+5)^2)/(22^2))+18*SIN(2*PI()*(A114)/70))+Inputs!$C$28*EXP(-(((A114)-Inputs!$C$29)^2)/(2*Inputs!$C$31^2))*EXP(-(((0)-Inputs!$C$30)^2)/(2*Inputs!$C$32^2))+-Inputs!$C$33*EXP(-(((((A114)-Inputs!$C$34)^2)+(((0)-Inputs!$C$35)^2))/(2*Inputs!$C$36^2)))+Inputs!$C$37*(0.55*SIN(2*PI()*(A114)/Inputs!$C$39)+0.35*COS(2*PI()*(0)/Inputs!$C$40)+0.2*SIN(2*PI()*((A114)+(0))/(0.5*(Inputs!$C$39+Inputs!$C$40))))+Inputs!$C$38*SIN(2*PI()*(A114)/Inputs!$C$39)*SIN(2*PI()*(0)/Inputs!$C$40)+-Inputs!$C$41*EXP(-(((0)-Inputs!$C$43)^2)/(2*Inputs!$C$44^2))*EXP(-(((A114)-Inputs!$C$42)^2)/(2*Inputs!$C$45^2))+Inputs!$C$48*(0.7*(0.45*SIN(2*PI()*(((A114)/Inputs!$C$49)+Inputs!$C$47*0.137))+0.35*COS(2*PI()*(((0)/Inputs!$C$50)+Inputs!$C$47*0.173))+0.2*SIN(2*PI()*(((A114)+(0))/(0.5*(Inputs!$C$49+Inputs!$C$50))+Inputs!$C$47*0.097)))+0.3*(2*((SIN(((A114)*12.9898+(0)*78.233+Inputs!$C$47*37.719))*43758.5453)-INT((SIN(((A114)*12.9898+(0)*78.233+Inputs!$C$47*37.719))*43758.5453)))-1)))</f>
        <v/>
      </c>
      <c r="Y114" s="9">
        <f>IF(OR(Inputs!$C$27=TRUE,Inputs!$C$27="TRUE",Inputs!$C$27=1),1,0)*(Inputs!$C$51*(115*EXP(-(((Inputs!$C$6)-25)^2)/(4.5^2))+70*EXP(-(((Inputs!$C$6)+38)^2)/(7^2))*(0.55+0.45*SIN(2*PI()*(A114)/45))+24*SIN(2*PI()*(Inputs!$C$6)/9+(A114)/18)*EXP(-(((Inputs!$C$6)+5)^2)/(22^2))+18*SIN(2*PI()*(A114)/70))+Inputs!$C$28*EXP(-(((A114)-Inputs!$C$29)^2)/(2*Inputs!$C$31^2))*EXP(-(((Inputs!$C$6)-Inputs!$C$30)^2)/(2*Inputs!$C$32^2))+-Inputs!$C$33*EXP(-(((((A114)-Inputs!$C$34)^2)+(((Inputs!$C$6)-Inputs!$C$35)^2))/(2*Inputs!$C$36^2)))+Inputs!$C$37*(0.55*SIN(2*PI()*(A114)/Inputs!$C$39)+0.35*COS(2*PI()*(Inputs!$C$6)/Inputs!$C$40)+0.2*SIN(2*PI()*((A114)+(Inputs!$C$6))/(0.5*(Inputs!$C$39+Inputs!$C$40))))+Inputs!$C$38*SIN(2*PI()*(A114)/Inputs!$C$39)*SIN(2*PI()*(Inputs!$C$6)/Inputs!$C$40)+-Inputs!$C$41*EXP(-(((Inputs!$C$6)-Inputs!$C$43)^2)/(2*Inputs!$C$44^2))*EXP(-(((A114)-Inputs!$C$42)^2)/(2*Inputs!$C$45^2))+Inputs!$C$48*(0.7*(0.45*SIN(2*PI()*(((A114)/Inputs!$C$49)+Inputs!$C$47*0.137))+0.35*COS(2*PI()*(((Inputs!$C$6)/Inputs!$C$50)+Inputs!$C$47*0.173))+0.2*SIN(2*PI()*(((A114)+(Inputs!$C$6))/(0.5*(Inputs!$C$49+Inputs!$C$50))+Inputs!$C$47*0.097)))+0.3*(2*((SIN(((A114)*12.9898+(Inputs!$C$6)*78.233+Inputs!$C$47*37.719))*43758.5453)-INT((SIN(((A114)*12.9898+(Inputs!$C$6)*78.233+Inputs!$C$47*37.719))*43758.5453)))-1)))</f>
        <v/>
      </c>
      <c r="Z114" s="9">
        <f>B114-X114/1000</f>
        <v/>
      </c>
      <c r="AA114" s="9">
        <f>SQRT((Inputs!$C$52+B114)^2+(Inputs!$C$52+Y114/1000)^2-2*(Inputs!$C$52+B114)*(Inputs!$C$52+Y114/1000)*COS(SQRT(A114^2+Inputs!$C$6^2)/Inputs!$C$52))</f>
        <v/>
      </c>
      <c r="AB114" s="9">
        <f>(AA114-Z114)*1000</f>
        <v/>
      </c>
      <c r="AC114" s="9">
        <f>AB114/Inputs!$C$12</f>
        <v/>
      </c>
      <c r="AD114" s="9">
        <f>2*AB114/Inputs!$C$21*1000000</f>
        <v/>
      </c>
      <c r="AE114" s="9">
        <f>DEGREES(ATAN(H114/(B114-Y114/1000)))</f>
        <v/>
      </c>
      <c r="AF114" s="9">
        <f>DEGREES((2*PI()/Inputs!$C$13)*Inputs!$C$15*SIN(RADIANS(AE114)))</f>
        <v/>
      </c>
      <c r="AG114" s="9">
        <f>(Z114/AA114)^4</f>
        <v/>
      </c>
      <c r="AH114" s="9">
        <f>10*LOG10(AG114)</f>
        <v/>
      </c>
      <c r="AI114" s="9">
        <f>AC114-F114</f>
        <v/>
      </c>
      <c r="AJ114" s="9">
        <f>AD114-G114</f>
        <v/>
      </c>
      <c r="AK114" s="9">
        <f>Y114-X114</f>
        <v/>
      </c>
      <c r="AL114" s="9">
        <f>1000*(AA115-AA113)/(A115-A113)*Inputs!$C$11</f>
        <v/>
      </c>
      <c r="AM114" s="9">
        <f>-2*AL114/Inputs!$C$13</f>
        <v/>
      </c>
      <c r="AN114" s="9">
        <f>-2*AL114/Inputs!$C$14</f>
        <v/>
      </c>
      <c r="AO114" s="9">
        <f>ABS(AM114)</f>
        <v/>
      </c>
      <c r="AP114" s="9">
        <f>ABS(AN114)</f>
        <v/>
      </c>
      <c r="AQ114" s="9">
        <f>IF(OR(Inputs!$C$27=TRUE,Inputs!$C$27="TRUE",Inputs!$C$27=1),Inputs!$C$46/Inputs!$C$12,0)</f>
        <v/>
      </c>
      <c r="AR114" s="9">
        <f>AC114-AQ114</f>
        <v/>
      </c>
      <c r="AS114" s="9">
        <f>AC114+AQ114</f>
        <v/>
      </c>
    </row>
    <row r="115">
      <c r="A115" s="9">
        <f>Inputs!$C$7+113*(Inputs!$C$8-Inputs!$C$7)/240</f>
        <v/>
      </c>
      <c r="B115" s="9">
        <f>Inputs!$C$5+Inputs!$C$9*(A115/Inputs!$C$10)^2</f>
        <v/>
      </c>
      <c r="C115" s="9">
        <f>B115</f>
        <v/>
      </c>
      <c r="D115" s="9">
        <f>SQRT((Inputs!$C$52+B115)^2+Inputs!$C$52^2-2*(Inputs!$C$52+B115)*Inputs!$C$52*COS(SQRT(A115^2+Inputs!$C$6^2)/Inputs!$C$52))</f>
        <v/>
      </c>
      <c r="E115" s="9">
        <f>(D115-C115)*1000</f>
        <v/>
      </c>
      <c r="F115" s="9">
        <f>E115/Inputs!$C$12</f>
        <v/>
      </c>
      <c r="G115" s="9">
        <f>2*E115/Inputs!$C$21*1000000</f>
        <v/>
      </c>
      <c r="H115" s="9">
        <f>SQRT(A115^2+Inputs!$C$6^2)</f>
        <v/>
      </c>
      <c r="I115" s="9">
        <f>DEGREES(ATAN(H115/B115))</f>
        <v/>
      </c>
      <c r="J115" s="9">
        <f>DEGREES((2*PI()/Inputs!$C$13)*Inputs!$C$15*SIN(RADIANS(I115)))</f>
        <v/>
      </c>
      <c r="K115" s="9">
        <f>(C115/D115)^4</f>
        <v/>
      </c>
      <c r="L115" s="9">
        <f>10*LOG10(K115)</f>
        <v/>
      </c>
      <c r="M115" s="9">
        <f>2*(Inputs!$C$9/(Inputs!$C$10^2))*A115</f>
        <v/>
      </c>
      <c r="N115" s="9">
        <f>M115*Inputs!$C$11</f>
        <v/>
      </c>
      <c r="O115" s="9">
        <f>1000*(D116-D114)/(A116-A114)*Inputs!$C$11</f>
        <v/>
      </c>
      <c r="P115" s="9">
        <f>-2*O115/Inputs!$C$13</f>
        <v/>
      </c>
      <c r="Q115" s="9">
        <f>-2*O115/Inputs!$C$14</f>
        <v/>
      </c>
      <c r="R115" s="9">
        <f>F115-Inputs!$C$16/2</f>
        <v/>
      </c>
      <c r="S115" s="9">
        <f>F115+Inputs!$C$16/2</f>
        <v/>
      </c>
      <c r="T115" s="9">
        <f>F115-Inputs!$C$17/2</f>
        <v/>
      </c>
      <c r="U115" s="9">
        <f>F115+Inputs!$C$17/2</f>
        <v/>
      </c>
      <c r="V115" s="9">
        <f>ABS(P115)</f>
        <v/>
      </c>
      <c r="W115" s="9">
        <f>ABS(Q115)</f>
        <v/>
      </c>
      <c r="X115" s="9">
        <f>IF(OR(Inputs!$C$27=TRUE,Inputs!$C$27="TRUE",Inputs!$C$27=1),1,0)*(Inputs!$C$51*(115*EXP(-(((0)-25)^2)/(4.5^2))+70*EXP(-(((0)+38)^2)/(7^2))*(0.55+0.45*SIN(2*PI()*(A115)/45))+24*SIN(2*PI()*(0)/9+(A115)/18)*EXP(-(((0)+5)^2)/(22^2))+18*SIN(2*PI()*(A115)/70))+Inputs!$C$28*EXP(-(((A115)-Inputs!$C$29)^2)/(2*Inputs!$C$31^2))*EXP(-(((0)-Inputs!$C$30)^2)/(2*Inputs!$C$32^2))+-Inputs!$C$33*EXP(-(((((A115)-Inputs!$C$34)^2)+(((0)-Inputs!$C$35)^2))/(2*Inputs!$C$36^2)))+Inputs!$C$37*(0.55*SIN(2*PI()*(A115)/Inputs!$C$39)+0.35*COS(2*PI()*(0)/Inputs!$C$40)+0.2*SIN(2*PI()*((A115)+(0))/(0.5*(Inputs!$C$39+Inputs!$C$40))))+Inputs!$C$38*SIN(2*PI()*(A115)/Inputs!$C$39)*SIN(2*PI()*(0)/Inputs!$C$40)+-Inputs!$C$41*EXP(-(((0)-Inputs!$C$43)^2)/(2*Inputs!$C$44^2))*EXP(-(((A115)-Inputs!$C$42)^2)/(2*Inputs!$C$45^2))+Inputs!$C$48*(0.7*(0.45*SIN(2*PI()*(((A115)/Inputs!$C$49)+Inputs!$C$47*0.137))+0.35*COS(2*PI()*(((0)/Inputs!$C$50)+Inputs!$C$47*0.173))+0.2*SIN(2*PI()*(((A115)+(0))/(0.5*(Inputs!$C$49+Inputs!$C$50))+Inputs!$C$47*0.097)))+0.3*(2*((SIN(((A115)*12.9898+(0)*78.233+Inputs!$C$47*37.719))*43758.5453)-INT((SIN(((A115)*12.9898+(0)*78.233+Inputs!$C$47*37.719))*43758.5453)))-1)))</f>
        <v/>
      </c>
      <c r="Y115" s="9">
        <f>IF(OR(Inputs!$C$27=TRUE,Inputs!$C$27="TRUE",Inputs!$C$27=1),1,0)*(Inputs!$C$51*(115*EXP(-(((Inputs!$C$6)-25)^2)/(4.5^2))+70*EXP(-(((Inputs!$C$6)+38)^2)/(7^2))*(0.55+0.45*SIN(2*PI()*(A115)/45))+24*SIN(2*PI()*(Inputs!$C$6)/9+(A115)/18)*EXP(-(((Inputs!$C$6)+5)^2)/(22^2))+18*SIN(2*PI()*(A115)/70))+Inputs!$C$28*EXP(-(((A115)-Inputs!$C$29)^2)/(2*Inputs!$C$31^2))*EXP(-(((Inputs!$C$6)-Inputs!$C$30)^2)/(2*Inputs!$C$32^2))+-Inputs!$C$33*EXP(-(((((A115)-Inputs!$C$34)^2)+(((Inputs!$C$6)-Inputs!$C$35)^2))/(2*Inputs!$C$36^2)))+Inputs!$C$37*(0.55*SIN(2*PI()*(A115)/Inputs!$C$39)+0.35*COS(2*PI()*(Inputs!$C$6)/Inputs!$C$40)+0.2*SIN(2*PI()*((A115)+(Inputs!$C$6))/(0.5*(Inputs!$C$39+Inputs!$C$40))))+Inputs!$C$38*SIN(2*PI()*(A115)/Inputs!$C$39)*SIN(2*PI()*(Inputs!$C$6)/Inputs!$C$40)+-Inputs!$C$41*EXP(-(((Inputs!$C$6)-Inputs!$C$43)^2)/(2*Inputs!$C$44^2))*EXP(-(((A115)-Inputs!$C$42)^2)/(2*Inputs!$C$45^2))+Inputs!$C$48*(0.7*(0.45*SIN(2*PI()*(((A115)/Inputs!$C$49)+Inputs!$C$47*0.137))+0.35*COS(2*PI()*(((Inputs!$C$6)/Inputs!$C$50)+Inputs!$C$47*0.173))+0.2*SIN(2*PI()*(((A115)+(Inputs!$C$6))/(0.5*(Inputs!$C$49+Inputs!$C$50))+Inputs!$C$47*0.097)))+0.3*(2*((SIN(((A115)*12.9898+(Inputs!$C$6)*78.233+Inputs!$C$47*37.719))*43758.5453)-INT((SIN(((A115)*12.9898+(Inputs!$C$6)*78.233+Inputs!$C$47*37.719))*43758.5453)))-1)))</f>
        <v/>
      </c>
      <c r="Z115" s="9">
        <f>B115-X115/1000</f>
        <v/>
      </c>
      <c r="AA115" s="9">
        <f>SQRT((Inputs!$C$52+B115)^2+(Inputs!$C$52+Y115/1000)^2-2*(Inputs!$C$52+B115)*(Inputs!$C$52+Y115/1000)*COS(SQRT(A115^2+Inputs!$C$6^2)/Inputs!$C$52))</f>
        <v/>
      </c>
      <c r="AB115" s="9">
        <f>(AA115-Z115)*1000</f>
        <v/>
      </c>
      <c r="AC115" s="9">
        <f>AB115/Inputs!$C$12</f>
        <v/>
      </c>
      <c r="AD115" s="9">
        <f>2*AB115/Inputs!$C$21*1000000</f>
        <v/>
      </c>
      <c r="AE115" s="9">
        <f>DEGREES(ATAN(H115/(B115-Y115/1000)))</f>
        <v/>
      </c>
      <c r="AF115" s="9">
        <f>DEGREES((2*PI()/Inputs!$C$13)*Inputs!$C$15*SIN(RADIANS(AE115)))</f>
        <v/>
      </c>
      <c r="AG115" s="9">
        <f>(Z115/AA115)^4</f>
        <v/>
      </c>
      <c r="AH115" s="9">
        <f>10*LOG10(AG115)</f>
        <v/>
      </c>
      <c r="AI115" s="9">
        <f>AC115-F115</f>
        <v/>
      </c>
      <c r="AJ115" s="9">
        <f>AD115-G115</f>
        <v/>
      </c>
      <c r="AK115" s="9">
        <f>Y115-X115</f>
        <v/>
      </c>
      <c r="AL115" s="9">
        <f>1000*(AA116-AA114)/(A116-A114)*Inputs!$C$11</f>
        <v/>
      </c>
      <c r="AM115" s="9">
        <f>-2*AL115/Inputs!$C$13</f>
        <v/>
      </c>
      <c r="AN115" s="9">
        <f>-2*AL115/Inputs!$C$14</f>
        <v/>
      </c>
      <c r="AO115" s="9">
        <f>ABS(AM115)</f>
        <v/>
      </c>
      <c r="AP115" s="9">
        <f>ABS(AN115)</f>
        <v/>
      </c>
      <c r="AQ115" s="9">
        <f>IF(OR(Inputs!$C$27=TRUE,Inputs!$C$27="TRUE",Inputs!$C$27=1),Inputs!$C$46/Inputs!$C$12,0)</f>
        <v/>
      </c>
      <c r="AR115" s="9">
        <f>AC115-AQ115</f>
        <v/>
      </c>
      <c r="AS115" s="9">
        <f>AC115+AQ115</f>
        <v/>
      </c>
    </row>
    <row r="116">
      <c r="A116" s="9">
        <f>Inputs!$C$7+114*(Inputs!$C$8-Inputs!$C$7)/240</f>
        <v/>
      </c>
      <c r="B116" s="9">
        <f>Inputs!$C$5+Inputs!$C$9*(A116/Inputs!$C$10)^2</f>
        <v/>
      </c>
      <c r="C116" s="9">
        <f>B116</f>
        <v/>
      </c>
      <c r="D116" s="9">
        <f>SQRT((Inputs!$C$52+B116)^2+Inputs!$C$52^2-2*(Inputs!$C$52+B116)*Inputs!$C$52*COS(SQRT(A116^2+Inputs!$C$6^2)/Inputs!$C$52))</f>
        <v/>
      </c>
      <c r="E116" s="9">
        <f>(D116-C116)*1000</f>
        <v/>
      </c>
      <c r="F116" s="9">
        <f>E116/Inputs!$C$12</f>
        <v/>
      </c>
      <c r="G116" s="9">
        <f>2*E116/Inputs!$C$21*1000000</f>
        <v/>
      </c>
      <c r="H116" s="9">
        <f>SQRT(A116^2+Inputs!$C$6^2)</f>
        <v/>
      </c>
      <c r="I116" s="9">
        <f>DEGREES(ATAN(H116/B116))</f>
        <v/>
      </c>
      <c r="J116" s="9">
        <f>DEGREES((2*PI()/Inputs!$C$13)*Inputs!$C$15*SIN(RADIANS(I116)))</f>
        <v/>
      </c>
      <c r="K116" s="9">
        <f>(C116/D116)^4</f>
        <v/>
      </c>
      <c r="L116" s="9">
        <f>10*LOG10(K116)</f>
        <v/>
      </c>
      <c r="M116" s="9">
        <f>2*(Inputs!$C$9/(Inputs!$C$10^2))*A116</f>
        <v/>
      </c>
      <c r="N116" s="9">
        <f>M116*Inputs!$C$11</f>
        <v/>
      </c>
      <c r="O116" s="9">
        <f>1000*(D117-D115)/(A117-A115)*Inputs!$C$11</f>
        <v/>
      </c>
      <c r="P116" s="9">
        <f>-2*O116/Inputs!$C$13</f>
        <v/>
      </c>
      <c r="Q116" s="9">
        <f>-2*O116/Inputs!$C$14</f>
        <v/>
      </c>
      <c r="R116" s="9">
        <f>F116-Inputs!$C$16/2</f>
        <v/>
      </c>
      <c r="S116" s="9">
        <f>F116+Inputs!$C$16/2</f>
        <v/>
      </c>
      <c r="T116" s="9">
        <f>F116-Inputs!$C$17/2</f>
        <v/>
      </c>
      <c r="U116" s="9">
        <f>F116+Inputs!$C$17/2</f>
        <v/>
      </c>
      <c r="V116" s="9">
        <f>ABS(P116)</f>
        <v/>
      </c>
      <c r="W116" s="9">
        <f>ABS(Q116)</f>
        <v/>
      </c>
      <c r="X116" s="9">
        <f>IF(OR(Inputs!$C$27=TRUE,Inputs!$C$27="TRUE",Inputs!$C$27=1),1,0)*(Inputs!$C$51*(115*EXP(-(((0)-25)^2)/(4.5^2))+70*EXP(-(((0)+38)^2)/(7^2))*(0.55+0.45*SIN(2*PI()*(A116)/45))+24*SIN(2*PI()*(0)/9+(A116)/18)*EXP(-(((0)+5)^2)/(22^2))+18*SIN(2*PI()*(A116)/70))+Inputs!$C$28*EXP(-(((A116)-Inputs!$C$29)^2)/(2*Inputs!$C$31^2))*EXP(-(((0)-Inputs!$C$30)^2)/(2*Inputs!$C$32^2))+-Inputs!$C$33*EXP(-(((((A116)-Inputs!$C$34)^2)+(((0)-Inputs!$C$35)^2))/(2*Inputs!$C$36^2)))+Inputs!$C$37*(0.55*SIN(2*PI()*(A116)/Inputs!$C$39)+0.35*COS(2*PI()*(0)/Inputs!$C$40)+0.2*SIN(2*PI()*((A116)+(0))/(0.5*(Inputs!$C$39+Inputs!$C$40))))+Inputs!$C$38*SIN(2*PI()*(A116)/Inputs!$C$39)*SIN(2*PI()*(0)/Inputs!$C$40)+-Inputs!$C$41*EXP(-(((0)-Inputs!$C$43)^2)/(2*Inputs!$C$44^2))*EXP(-(((A116)-Inputs!$C$42)^2)/(2*Inputs!$C$45^2))+Inputs!$C$48*(0.7*(0.45*SIN(2*PI()*(((A116)/Inputs!$C$49)+Inputs!$C$47*0.137))+0.35*COS(2*PI()*(((0)/Inputs!$C$50)+Inputs!$C$47*0.173))+0.2*SIN(2*PI()*(((A116)+(0))/(0.5*(Inputs!$C$49+Inputs!$C$50))+Inputs!$C$47*0.097)))+0.3*(2*((SIN(((A116)*12.9898+(0)*78.233+Inputs!$C$47*37.719))*43758.5453)-INT((SIN(((A116)*12.9898+(0)*78.233+Inputs!$C$47*37.719))*43758.5453)))-1)))</f>
        <v/>
      </c>
      <c r="Y116" s="9">
        <f>IF(OR(Inputs!$C$27=TRUE,Inputs!$C$27="TRUE",Inputs!$C$27=1),1,0)*(Inputs!$C$51*(115*EXP(-(((Inputs!$C$6)-25)^2)/(4.5^2))+70*EXP(-(((Inputs!$C$6)+38)^2)/(7^2))*(0.55+0.45*SIN(2*PI()*(A116)/45))+24*SIN(2*PI()*(Inputs!$C$6)/9+(A116)/18)*EXP(-(((Inputs!$C$6)+5)^2)/(22^2))+18*SIN(2*PI()*(A116)/70))+Inputs!$C$28*EXP(-(((A116)-Inputs!$C$29)^2)/(2*Inputs!$C$31^2))*EXP(-(((Inputs!$C$6)-Inputs!$C$30)^2)/(2*Inputs!$C$32^2))+-Inputs!$C$33*EXP(-(((((A116)-Inputs!$C$34)^2)+(((Inputs!$C$6)-Inputs!$C$35)^2))/(2*Inputs!$C$36^2)))+Inputs!$C$37*(0.55*SIN(2*PI()*(A116)/Inputs!$C$39)+0.35*COS(2*PI()*(Inputs!$C$6)/Inputs!$C$40)+0.2*SIN(2*PI()*((A116)+(Inputs!$C$6))/(0.5*(Inputs!$C$39+Inputs!$C$40))))+Inputs!$C$38*SIN(2*PI()*(A116)/Inputs!$C$39)*SIN(2*PI()*(Inputs!$C$6)/Inputs!$C$40)+-Inputs!$C$41*EXP(-(((Inputs!$C$6)-Inputs!$C$43)^2)/(2*Inputs!$C$44^2))*EXP(-(((A116)-Inputs!$C$42)^2)/(2*Inputs!$C$45^2))+Inputs!$C$48*(0.7*(0.45*SIN(2*PI()*(((A116)/Inputs!$C$49)+Inputs!$C$47*0.137))+0.35*COS(2*PI()*(((Inputs!$C$6)/Inputs!$C$50)+Inputs!$C$47*0.173))+0.2*SIN(2*PI()*(((A116)+(Inputs!$C$6))/(0.5*(Inputs!$C$49+Inputs!$C$50))+Inputs!$C$47*0.097)))+0.3*(2*((SIN(((A116)*12.9898+(Inputs!$C$6)*78.233+Inputs!$C$47*37.719))*43758.5453)-INT((SIN(((A116)*12.9898+(Inputs!$C$6)*78.233+Inputs!$C$47*37.719))*43758.5453)))-1)))</f>
        <v/>
      </c>
      <c r="Z116" s="9">
        <f>B116-X116/1000</f>
        <v/>
      </c>
      <c r="AA116" s="9">
        <f>SQRT((Inputs!$C$52+B116)^2+(Inputs!$C$52+Y116/1000)^2-2*(Inputs!$C$52+B116)*(Inputs!$C$52+Y116/1000)*COS(SQRT(A116^2+Inputs!$C$6^2)/Inputs!$C$52))</f>
        <v/>
      </c>
      <c r="AB116" s="9">
        <f>(AA116-Z116)*1000</f>
        <v/>
      </c>
      <c r="AC116" s="9">
        <f>AB116/Inputs!$C$12</f>
        <v/>
      </c>
      <c r="AD116" s="9">
        <f>2*AB116/Inputs!$C$21*1000000</f>
        <v/>
      </c>
      <c r="AE116" s="9">
        <f>DEGREES(ATAN(H116/(B116-Y116/1000)))</f>
        <v/>
      </c>
      <c r="AF116" s="9">
        <f>DEGREES((2*PI()/Inputs!$C$13)*Inputs!$C$15*SIN(RADIANS(AE116)))</f>
        <v/>
      </c>
      <c r="AG116" s="9">
        <f>(Z116/AA116)^4</f>
        <v/>
      </c>
      <c r="AH116" s="9">
        <f>10*LOG10(AG116)</f>
        <v/>
      </c>
      <c r="AI116" s="9">
        <f>AC116-F116</f>
        <v/>
      </c>
      <c r="AJ116" s="9">
        <f>AD116-G116</f>
        <v/>
      </c>
      <c r="AK116" s="9">
        <f>Y116-X116</f>
        <v/>
      </c>
      <c r="AL116" s="9">
        <f>1000*(AA117-AA115)/(A117-A115)*Inputs!$C$11</f>
        <v/>
      </c>
      <c r="AM116" s="9">
        <f>-2*AL116/Inputs!$C$13</f>
        <v/>
      </c>
      <c r="AN116" s="9">
        <f>-2*AL116/Inputs!$C$14</f>
        <v/>
      </c>
      <c r="AO116" s="9">
        <f>ABS(AM116)</f>
        <v/>
      </c>
      <c r="AP116" s="9">
        <f>ABS(AN116)</f>
        <v/>
      </c>
      <c r="AQ116" s="9">
        <f>IF(OR(Inputs!$C$27=TRUE,Inputs!$C$27="TRUE",Inputs!$C$27=1),Inputs!$C$46/Inputs!$C$12,0)</f>
        <v/>
      </c>
      <c r="AR116" s="9">
        <f>AC116-AQ116</f>
        <v/>
      </c>
      <c r="AS116" s="9">
        <f>AC116+AQ116</f>
        <v/>
      </c>
    </row>
    <row r="117">
      <c r="A117" s="9">
        <f>Inputs!$C$7+115*(Inputs!$C$8-Inputs!$C$7)/240</f>
        <v/>
      </c>
      <c r="B117" s="9">
        <f>Inputs!$C$5+Inputs!$C$9*(A117/Inputs!$C$10)^2</f>
        <v/>
      </c>
      <c r="C117" s="9">
        <f>B117</f>
        <v/>
      </c>
      <c r="D117" s="9">
        <f>SQRT((Inputs!$C$52+B117)^2+Inputs!$C$52^2-2*(Inputs!$C$52+B117)*Inputs!$C$52*COS(SQRT(A117^2+Inputs!$C$6^2)/Inputs!$C$52))</f>
        <v/>
      </c>
      <c r="E117" s="9">
        <f>(D117-C117)*1000</f>
        <v/>
      </c>
      <c r="F117" s="9">
        <f>E117/Inputs!$C$12</f>
        <v/>
      </c>
      <c r="G117" s="9">
        <f>2*E117/Inputs!$C$21*1000000</f>
        <v/>
      </c>
      <c r="H117" s="9">
        <f>SQRT(A117^2+Inputs!$C$6^2)</f>
        <v/>
      </c>
      <c r="I117" s="9">
        <f>DEGREES(ATAN(H117/B117))</f>
        <v/>
      </c>
      <c r="J117" s="9">
        <f>DEGREES((2*PI()/Inputs!$C$13)*Inputs!$C$15*SIN(RADIANS(I117)))</f>
        <v/>
      </c>
      <c r="K117" s="9">
        <f>(C117/D117)^4</f>
        <v/>
      </c>
      <c r="L117" s="9">
        <f>10*LOG10(K117)</f>
        <v/>
      </c>
      <c r="M117" s="9">
        <f>2*(Inputs!$C$9/(Inputs!$C$10^2))*A117</f>
        <v/>
      </c>
      <c r="N117" s="9">
        <f>M117*Inputs!$C$11</f>
        <v/>
      </c>
      <c r="O117" s="9">
        <f>1000*(D118-D116)/(A118-A116)*Inputs!$C$11</f>
        <v/>
      </c>
      <c r="P117" s="9">
        <f>-2*O117/Inputs!$C$13</f>
        <v/>
      </c>
      <c r="Q117" s="9">
        <f>-2*O117/Inputs!$C$14</f>
        <v/>
      </c>
      <c r="R117" s="9">
        <f>F117-Inputs!$C$16/2</f>
        <v/>
      </c>
      <c r="S117" s="9">
        <f>F117+Inputs!$C$16/2</f>
        <v/>
      </c>
      <c r="T117" s="9">
        <f>F117-Inputs!$C$17/2</f>
        <v/>
      </c>
      <c r="U117" s="9">
        <f>F117+Inputs!$C$17/2</f>
        <v/>
      </c>
      <c r="V117" s="9">
        <f>ABS(P117)</f>
        <v/>
      </c>
      <c r="W117" s="9">
        <f>ABS(Q117)</f>
        <v/>
      </c>
      <c r="X117" s="9">
        <f>IF(OR(Inputs!$C$27=TRUE,Inputs!$C$27="TRUE",Inputs!$C$27=1),1,0)*(Inputs!$C$51*(115*EXP(-(((0)-25)^2)/(4.5^2))+70*EXP(-(((0)+38)^2)/(7^2))*(0.55+0.45*SIN(2*PI()*(A117)/45))+24*SIN(2*PI()*(0)/9+(A117)/18)*EXP(-(((0)+5)^2)/(22^2))+18*SIN(2*PI()*(A117)/70))+Inputs!$C$28*EXP(-(((A117)-Inputs!$C$29)^2)/(2*Inputs!$C$31^2))*EXP(-(((0)-Inputs!$C$30)^2)/(2*Inputs!$C$32^2))+-Inputs!$C$33*EXP(-(((((A117)-Inputs!$C$34)^2)+(((0)-Inputs!$C$35)^2))/(2*Inputs!$C$36^2)))+Inputs!$C$37*(0.55*SIN(2*PI()*(A117)/Inputs!$C$39)+0.35*COS(2*PI()*(0)/Inputs!$C$40)+0.2*SIN(2*PI()*((A117)+(0))/(0.5*(Inputs!$C$39+Inputs!$C$40))))+Inputs!$C$38*SIN(2*PI()*(A117)/Inputs!$C$39)*SIN(2*PI()*(0)/Inputs!$C$40)+-Inputs!$C$41*EXP(-(((0)-Inputs!$C$43)^2)/(2*Inputs!$C$44^2))*EXP(-(((A117)-Inputs!$C$42)^2)/(2*Inputs!$C$45^2))+Inputs!$C$48*(0.7*(0.45*SIN(2*PI()*(((A117)/Inputs!$C$49)+Inputs!$C$47*0.137))+0.35*COS(2*PI()*(((0)/Inputs!$C$50)+Inputs!$C$47*0.173))+0.2*SIN(2*PI()*(((A117)+(0))/(0.5*(Inputs!$C$49+Inputs!$C$50))+Inputs!$C$47*0.097)))+0.3*(2*((SIN(((A117)*12.9898+(0)*78.233+Inputs!$C$47*37.719))*43758.5453)-INT((SIN(((A117)*12.9898+(0)*78.233+Inputs!$C$47*37.719))*43758.5453)))-1)))</f>
        <v/>
      </c>
      <c r="Y117" s="9">
        <f>IF(OR(Inputs!$C$27=TRUE,Inputs!$C$27="TRUE",Inputs!$C$27=1),1,0)*(Inputs!$C$51*(115*EXP(-(((Inputs!$C$6)-25)^2)/(4.5^2))+70*EXP(-(((Inputs!$C$6)+38)^2)/(7^2))*(0.55+0.45*SIN(2*PI()*(A117)/45))+24*SIN(2*PI()*(Inputs!$C$6)/9+(A117)/18)*EXP(-(((Inputs!$C$6)+5)^2)/(22^2))+18*SIN(2*PI()*(A117)/70))+Inputs!$C$28*EXP(-(((A117)-Inputs!$C$29)^2)/(2*Inputs!$C$31^2))*EXP(-(((Inputs!$C$6)-Inputs!$C$30)^2)/(2*Inputs!$C$32^2))+-Inputs!$C$33*EXP(-(((((A117)-Inputs!$C$34)^2)+(((Inputs!$C$6)-Inputs!$C$35)^2))/(2*Inputs!$C$36^2)))+Inputs!$C$37*(0.55*SIN(2*PI()*(A117)/Inputs!$C$39)+0.35*COS(2*PI()*(Inputs!$C$6)/Inputs!$C$40)+0.2*SIN(2*PI()*((A117)+(Inputs!$C$6))/(0.5*(Inputs!$C$39+Inputs!$C$40))))+Inputs!$C$38*SIN(2*PI()*(A117)/Inputs!$C$39)*SIN(2*PI()*(Inputs!$C$6)/Inputs!$C$40)+-Inputs!$C$41*EXP(-(((Inputs!$C$6)-Inputs!$C$43)^2)/(2*Inputs!$C$44^2))*EXP(-(((A117)-Inputs!$C$42)^2)/(2*Inputs!$C$45^2))+Inputs!$C$48*(0.7*(0.45*SIN(2*PI()*(((A117)/Inputs!$C$49)+Inputs!$C$47*0.137))+0.35*COS(2*PI()*(((Inputs!$C$6)/Inputs!$C$50)+Inputs!$C$47*0.173))+0.2*SIN(2*PI()*(((A117)+(Inputs!$C$6))/(0.5*(Inputs!$C$49+Inputs!$C$50))+Inputs!$C$47*0.097)))+0.3*(2*((SIN(((A117)*12.9898+(Inputs!$C$6)*78.233+Inputs!$C$47*37.719))*43758.5453)-INT((SIN(((A117)*12.9898+(Inputs!$C$6)*78.233+Inputs!$C$47*37.719))*43758.5453)))-1)))</f>
        <v/>
      </c>
      <c r="Z117" s="9">
        <f>B117-X117/1000</f>
        <v/>
      </c>
      <c r="AA117" s="9">
        <f>SQRT((Inputs!$C$52+B117)^2+(Inputs!$C$52+Y117/1000)^2-2*(Inputs!$C$52+B117)*(Inputs!$C$52+Y117/1000)*COS(SQRT(A117^2+Inputs!$C$6^2)/Inputs!$C$52))</f>
        <v/>
      </c>
      <c r="AB117" s="9">
        <f>(AA117-Z117)*1000</f>
        <v/>
      </c>
      <c r="AC117" s="9">
        <f>AB117/Inputs!$C$12</f>
        <v/>
      </c>
      <c r="AD117" s="9">
        <f>2*AB117/Inputs!$C$21*1000000</f>
        <v/>
      </c>
      <c r="AE117" s="9">
        <f>DEGREES(ATAN(H117/(B117-Y117/1000)))</f>
        <v/>
      </c>
      <c r="AF117" s="9">
        <f>DEGREES((2*PI()/Inputs!$C$13)*Inputs!$C$15*SIN(RADIANS(AE117)))</f>
        <v/>
      </c>
      <c r="AG117" s="9">
        <f>(Z117/AA117)^4</f>
        <v/>
      </c>
      <c r="AH117" s="9">
        <f>10*LOG10(AG117)</f>
        <v/>
      </c>
      <c r="AI117" s="9">
        <f>AC117-F117</f>
        <v/>
      </c>
      <c r="AJ117" s="9">
        <f>AD117-G117</f>
        <v/>
      </c>
      <c r="AK117" s="9">
        <f>Y117-X117</f>
        <v/>
      </c>
      <c r="AL117" s="9">
        <f>1000*(AA118-AA116)/(A118-A116)*Inputs!$C$11</f>
        <v/>
      </c>
      <c r="AM117" s="9">
        <f>-2*AL117/Inputs!$C$13</f>
        <v/>
      </c>
      <c r="AN117" s="9">
        <f>-2*AL117/Inputs!$C$14</f>
        <v/>
      </c>
      <c r="AO117" s="9">
        <f>ABS(AM117)</f>
        <v/>
      </c>
      <c r="AP117" s="9">
        <f>ABS(AN117)</f>
        <v/>
      </c>
      <c r="AQ117" s="9">
        <f>IF(OR(Inputs!$C$27=TRUE,Inputs!$C$27="TRUE",Inputs!$C$27=1),Inputs!$C$46/Inputs!$C$12,0)</f>
        <v/>
      </c>
      <c r="AR117" s="9">
        <f>AC117-AQ117</f>
        <v/>
      </c>
      <c r="AS117" s="9">
        <f>AC117+AQ117</f>
        <v/>
      </c>
    </row>
    <row r="118">
      <c r="A118" s="9">
        <f>Inputs!$C$7+116*(Inputs!$C$8-Inputs!$C$7)/240</f>
        <v/>
      </c>
      <c r="B118" s="9">
        <f>Inputs!$C$5+Inputs!$C$9*(A118/Inputs!$C$10)^2</f>
        <v/>
      </c>
      <c r="C118" s="9">
        <f>B118</f>
        <v/>
      </c>
      <c r="D118" s="9">
        <f>SQRT((Inputs!$C$52+B118)^2+Inputs!$C$52^2-2*(Inputs!$C$52+B118)*Inputs!$C$52*COS(SQRT(A118^2+Inputs!$C$6^2)/Inputs!$C$52))</f>
        <v/>
      </c>
      <c r="E118" s="9">
        <f>(D118-C118)*1000</f>
        <v/>
      </c>
      <c r="F118" s="9">
        <f>E118/Inputs!$C$12</f>
        <v/>
      </c>
      <c r="G118" s="9">
        <f>2*E118/Inputs!$C$21*1000000</f>
        <v/>
      </c>
      <c r="H118" s="9">
        <f>SQRT(A118^2+Inputs!$C$6^2)</f>
        <v/>
      </c>
      <c r="I118" s="9">
        <f>DEGREES(ATAN(H118/B118))</f>
        <v/>
      </c>
      <c r="J118" s="9">
        <f>DEGREES((2*PI()/Inputs!$C$13)*Inputs!$C$15*SIN(RADIANS(I118)))</f>
        <v/>
      </c>
      <c r="K118" s="9">
        <f>(C118/D118)^4</f>
        <v/>
      </c>
      <c r="L118" s="9">
        <f>10*LOG10(K118)</f>
        <v/>
      </c>
      <c r="M118" s="9">
        <f>2*(Inputs!$C$9/(Inputs!$C$10^2))*A118</f>
        <v/>
      </c>
      <c r="N118" s="9">
        <f>M118*Inputs!$C$11</f>
        <v/>
      </c>
      <c r="O118" s="9">
        <f>1000*(D119-D117)/(A119-A117)*Inputs!$C$11</f>
        <v/>
      </c>
      <c r="P118" s="9">
        <f>-2*O118/Inputs!$C$13</f>
        <v/>
      </c>
      <c r="Q118" s="9">
        <f>-2*O118/Inputs!$C$14</f>
        <v/>
      </c>
      <c r="R118" s="9">
        <f>F118-Inputs!$C$16/2</f>
        <v/>
      </c>
      <c r="S118" s="9">
        <f>F118+Inputs!$C$16/2</f>
        <v/>
      </c>
      <c r="T118" s="9">
        <f>F118-Inputs!$C$17/2</f>
        <v/>
      </c>
      <c r="U118" s="9">
        <f>F118+Inputs!$C$17/2</f>
        <v/>
      </c>
      <c r="V118" s="9">
        <f>ABS(P118)</f>
        <v/>
      </c>
      <c r="W118" s="9">
        <f>ABS(Q118)</f>
        <v/>
      </c>
      <c r="X118" s="9">
        <f>IF(OR(Inputs!$C$27=TRUE,Inputs!$C$27="TRUE",Inputs!$C$27=1),1,0)*(Inputs!$C$51*(115*EXP(-(((0)-25)^2)/(4.5^2))+70*EXP(-(((0)+38)^2)/(7^2))*(0.55+0.45*SIN(2*PI()*(A118)/45))+24*SIN(2*PI()*(0)/9+(A118)/18)*EXP(-(((0)+5)^2)/(22^2))+18*SIN(2*PI()*(A118)/70))+Inputs!$C$28*EXP(-(((A118)-Inputs!$C$29)^2)/(2*Inputs!$C$31^2))*EXP(-(((0)-Inputs!$C$30)^2)/(2*Inputs!$C$32^2))+-Inputs!$C$33*EXP(-(((((A118)-Inputs!$C$34)^2)+(((0)-Inputs!$C$35)^2))/(2*Inputs!$C$36^2)))+Inputs!$C$37*(0.55*SIN(2*PI()*(A118)/Inputs!$C$39)+0.35*COS(2*PI()*(0)/Inputs!$C$40)+0.2*SIN(2*PI()*((A118)+(0))/(0.5*(Inputs!$C$39+Inputs!$C$40))))+Inputs!$C$38*SIN(2*PI()*(A118)/Inputs!$C$39)*SIN(2*PI()*(0)/Inputs!$C$40)+-Inputs!$C$41*EXP(-(((0)-Inputs!$C$43)^2)/(2*Inputs!$C$44^2))*EXP(-(((A118)-Inputs!$C$42)^2)/(2*Inputs!$C$45^2))+Inputs!$C$48*(0.7*(0.45*SIN(2*PI()*(((A118)/Inputs!$C$49)+Inputs!$C$47*0.137))+0.35*COS(2*PI()*(((0)/Inputs!$C$50)+Inputs!$C$47*0.173))+0.2*SIN(2*PI()*(((A118)+(0))/(0.5*(Inputs!$C$49+Inputs!$C$50))+Inputs!$C$47*0.097)))+0.3*(2*((SIN(((A118)*12.9898+(0)*78.233+Inputs!$C$47*37.719))*43758.5453)-INT((SIN(((A118)*12.9898+(0)*78.233+Inputs!$C$47*37.719))*43758.5453)))-1)))</f>
        <v/>
      </c>
      <c r="Y118" s="9">
        <f>IF(OR(Inputs!$C$27=TRUE,Inputs!$C$27="TRUE",Inputs!$C$27=1),1,0)*(Inputs!$C$51*(115*EXP(-(((Inputs!$C$6)-25)^2)/(4.5^2))+70*EXP(-(((Inputs!$C$6)+38)^2)/(7^2))*(0.55+0.45*SIN(2*PI()*(A118)/45))+24*SIN(2*PI()*(Inputs!$C$6)/9+(A118)/18)*EXP(-(((Inputs!$C$6)+5)^2)/(22^2))+18*SIN(2*PI()*(A118)/70))+Inputs!$C$28*EXP(-(((A118)-Inputs!$C$29)^2)/(2*Inputs!$C$31^2))*EXP(-(((Inputs!$C$6)-Inputs!$C$30)^2)/(2*Inputs!$C$32^2))+-Inputs!$C$33*EXP(-(((((A118)-Inputs!$C$34)^2)+(((Inputs!$C$6)-Inputs!$C$35)^2))/(2*Inputs!$C$36^2)))+Inputs!$C$37*(0.55*SIN(2*PI()*(A118)/Inputs!$C$39)+0.35*COS(2*PI()*(Inputs!$C$6)/Inputs!$C$40)+0.2*SIN(2*PI()*((A118)+(Inputs!$C$6))/(0.5*(Inputs!$C$39+Inputs!$C$40))))+Inputs!$C$38*SIN(2*PI()*(A118)/Inputs!$C$39)*SIN(2*PI()*(Inputs!$C$6)/Inputs!$C$40)+-Inputs!$C$41*EXP(-(((Inputs!$C$6)-Inputs!$C$43)^2)/(2*Inputs!$C$44^2))*EXP(-(((A118)-Inputs!$C$42)^2)/(2*Inputs!$C$45^2))+Inputs!$C$48*(0.7*(0.45*SIN(2*PI()*(((A118)/Inputs!$C$49)+Inputs!$C$47*0.137))+0.35*COS(2*PI()*(((Inputs!$C$6)/Inputs!$C$50)+Inputs!$C$47*0.173))+0.2*SIN(2*PI()*(((A118)+(Inputs!$C$6))/(0.5*(Inputs!$C$49+Inputs!$C$50))+Inputs!$C$47*0.097)))+0.3*(2*((SIN(((A118)*12.9898+(Inputs!$C$6)*78.233+Inputs!$C$47*37.719))*43758.5453)-INT((SIN(((A118)*12.9898+(Inputs!$C$6)*78.233+Inputs!$C$47*37.719))*43758.5453)))-1)))</f>
        <v/>
      </c>
      <c r="Z118" s="9">
        <f>B118-X118/1000</f>
        <v/>
      </c>
      <c r="AA118" s="9">
        <f>SQRT((Inputs!$C$52+B118)^2+(Inputs!$C$52+Y118/1000)^2-2*(Inputs!$C$52+B118)*(Inputs!$C$52+Y118/1000)*COS(SQRT(A118^2+Inputs!$C$6^2)/Inputs!$C$52))</f>
        <v/>
      </c>
      <c r="AB118" s="9">
        <f>(AA118-Z118)*1000</f>
        <v/>
      </c>
      <c r="AC118" s="9">
        <f>AB118/Inputs!$C$12</f>
        <v/>
      </c>
      <c r="AD118" s="9">
        <f>2*AB118/Inputs!$C$21*1000000</f>
        <v/>
      </c>
      <c r="AE118" s="9">
        <f>DEGREES(ATAN(H118/(B118-Y118/1000)))</f>
        <v/>
      </c>
      <c r="AF118" s="9">
        <f>DEGREES((2*PI()/Inputs!$C$13)*Inputs!$C$15*SIN(RADIANS(AE118)))</f>
        <v/>
      </c>
      <c r="AG118" s="9">
        <f>(Z118/AA118)^4</f>
        <v/>
      </c>
      <c r="AH118" s="9">
        <f>10*LOG10(AG118)</f>
        <v/>
      </c>
      <c r="AI118" s="9">
        <f>AC118-F118</f>
        <v/>
      </c>
      <c r="AJ118" s="9">
        <f>AD118-G118</f>
        <v/>
      </c>
      <c r="AK118" s="9">
        <f>Y118-X118</f>
        <v/>
      </c>
      <c r="AL118" s="9">
        <f>1000*(AA119-AA117)/(A119-A117)*Inputs!$C$11</f>
        <v/>
      </c>
      <c r="AM118" s="9">
        <f>-2*AL118/Inputs!$C$13</f>
        <v/>
      </c>
      <c r="AN118" s="9">
        <f>-2*AL118/Inputs!$C$14</f>
        <v/>
      </c>
      <c r="AO118" s="9">
        <f>ABS(AM118)</f>
        <v/>
      </c>
      <c r="AP118" s="9">
        <f>ABS(AN118)</f>
        <v/>
      </c>
      <c r="AQ118" s="9">
        <f>IF(OR(Inputs!$C$27=TRUE,Inputs!$C$27="TRUE",Inputs!$C$27=1),Inputs!$C$46/Inputs!$C$12,0)</f>
        <v/>
      </c>
      <c r="AR118" s="9">
        <f>AC118-AQ118</f>
        <v/>
      </c>
      <c r="AS118" s="9">
        <f>AC118+AQ118</f>
        <v/>
      </c>
    </row>
    <row r="119">
      <c r="A119" s="9">
        <f>Inputs!$C$7+117*(Inputs!$C$8-Inputs!$C$7)/240</f>
        <v/>
      </c>
      <c r="B119" s="9">
        <f>Inputs!$C$5+Inputs!$C$9*(A119/Inputs!$C$10)^2</f>
        <v/>
      </c>
      <c r="C119" s="9">
        <f>B119</f>
        <v/>
      </c>
      <c r="D119" s="9">
        <f>SQRT((Inputs!$C$52+B119)^2+Inputs!$C$52^2-2*(Inputs!$C$52+B119)*Inputs!$C$52*COS(SQRT(A119^2+Inputs!$C$6^2)/Inputs!$C$52))</f>
        <v/>
      </c>
      <c r="E119" s="9">
        <f>(D119-C119)*1000</f>
        <v/>
      </c>
      <c r="F119" s="9">
        <f>E119/Inputs!$C$12</f>
        <v/>
      </c>
      <c r="G119" s="9">
        <f>2*E119/Inputs!$C$21*1000000</f>
        <v/>
      </c>
      <c r="H119" s="9">
        <f>SQRT(A119^2+Inputs!$C$6^2)</f>
        <v/>
      </c>
      <c r="I119" s="9">
        <f>DEGREES(ATAN(H119/B119))</f>
        <v/>
      </c>
      <c r="J119" s="9">
        <f>DEGREES((2*PI()/Inputs!$C$13)*Inputs!$C$15*SIN(RADIANS(I119)))</f>
        <v/>
      </c>
      <c r="K119" s="9">
        <f>(C119/D119)^4</f>
        <v/>
      </c>
      <c r="L119" s="9">
        <f>10*LOG10(K119)</f>
        <v/>
      </c>
      <c r="M119" s="9">
        <f>2*(Inputs!$C$9/(Inputs!$C$10^2))*A119</f>
        <v/>
      </c>
      <c r="N119" s="9">
        <f>M119*Inputs!$C$11</f>
        <v/>
      </c>
      <c r="O119" s="9">
        <f>1000*(D120-D118)/(A120-A118)*Inputs!$C$11</f>
        <v/>
      </c>
      <c r="P119" s="9">
        <f>-2*O119/Inputs!$C$13</f>
        <v/>
      </c>
      <c r="Q119" s="9">
        <f>-2*O119/Inputs!$C$14</f>
        <v/>
      </c>
      <c r="R119" s="9">
        <f>F119-Inputs!$C$16/2</f>
        <v/>
      </c>
      <c r="S119" s="9">
        <f>F119+Inputs!$C$16/2</f>
        <v/>
      </c>
      <c r="T119" s="9">
        <f>F119-Inputs!$C$17/2</f>
        <v/>
      </c>
      <c r="U119" s="9">
        <f>F119+Inputs!$C$17/2</f>
        <v/>
      </c>
      <c r="V119" s="9">
        <f>ABS(P119)</f>
        <v/>
      </c>
      <c r="W119" s="9">
        <f>ABS(Q119)</f>
        <v/>
      </c>
      <c r="X119" s="9">
        <f>IF(OR(Inputs!$C$27=TRUE,Inputs!$C$27="TRUE",Inputs!$C$27=1),1,0)*(Inputs!$C$51*(115*EXP(-(((0)-25)^2)/(4.5^2))+70*EXP(-(((0)+38)^2)/(7^2))*(0.55+0.45*SIN(2*PI()*(A119)/45))+24*SIN(2*PI()*(0)/9+(A119)/18)*EXP(-(((0)+5)^2)/(22^2))+18*SIN(2*PI()*(A119)/70))+Inputs!$C$28*EXP(-(((A119)-Inputs!$C$29)^2)/(2*Inputs!$C$31^2))*EXP(-(((0)-Inputs!$C$30)^2)/(2*Inputs!$C$32^2))+-Inputs!$C$33*EXP(-(((((A119)-Inputs!$C$34)^2)+(((0)-Inputs!$C$35)^2))/(2*Inputs!$C$36^2)))+Inputs!$C$37*(0.55*SIN(2*PI()*(A119)/Inputs!$C$39)+0.35*COS(2*PI()*(0)/Inputs!$C$40)+0.2*SIN(2*PI()*((A119)+(0))/(0.5*(Inputs!$C$39+Inputs!$C$40))))+Inputs!$C$38*SIN(2*PI()*(A119)/Inputs!$C$39)*SIN(2*PI()*(0)/Inputs!$C$40)+-Inputs!$C$41*EXP(-(((0)-Inputs!$C$43)^2)/(2*Inputs!$C$44^2))*EXP(-(((A119)-Inputs!$C$42)^2)/(2*Inputs!$C$45^2))+Inputs!$C$48*(0.7*(0.45*SIN(2*PI()*(((A119)/Inputs!$C$49)+Inputs!$C$47*0.137))+0.35*COS(2*PI()*(((0)/Inputs!$C$50)+Inputs!$C$47*0.173))+0.2*SIN(2*PI()*(((A119)+(0))/(0.5*(Inputs!$C$49+Inputs!$C$50))+Inputs!$C$47*0.097)))+0.3*(2*((SIN(((A119)*12.9898+(0)*78.233+Inputs!$C$47*37.719))*43758.5453)-INT((SIN(((A119)*12.9898+(0)*78.233+Inputs!$C$47*37.719))*43758.5453)))-1)))</f>
        <v/>
      </c>
      <c r="Y119" s="9">
        <f>IF(OR(Inputs!$C$27=TRUE,Inputs!$C$27="TRUE",Inputs!$C$27=1),1,0)*(Inputs!$C$51*(115*EXP(-(((Inputs!$C$6)-25)^2)/(4.5^2))+70*EXP(-(((Inputs!$C$6)+38)^2)/(7^2))*(0.55+0.45*SIN(2*PI()*(A119)/45))+24*SIN(2*PI()*(Inputs!$C$6)/9+(A119)/18)*EXP(-(((Inputs!$C$6)+5)^2)/(22^2))+18*SIN(2*PI()*(A119)/70))+Inputs!$C$28*EXP(-(((A119)-Inputs!$C$29)^2)/(2*Inputs!$C$31^2))*EXP(-(((Inputs!$C$6)-Inputs!$C$30)^2)/(2*Inputs!$C$32^2))+-Inputs!$C$33*EXP(-(((((A119)-Inputs!$C$34)^2)+(((Inputs!$C$6)-Inputs!$C$35)^2))/(2*Inputs!$C$36^2)))+Inputs!$C$37*(0.55*SIN(2*PI()*(A119)/Inputs!$C$39)+0.35*COS(2*PI()*(Inputs!$C$6)/Inputs!$C$40)+0.2*SIN(2*PI()*((A119)+(Inputs!$C$6))/(0.5*(Inputs!$C$39+Inputs!$C$40))))+Inputs!$C$38*SIN(2*PI()*(A119)/Inputs!$C$39)*SIN(2*PI()*(Inputs!$C$6)/Inputs!$C$40)+-Inputs!$C$41*EXP(-(((Inputs!$C$6)-Inputs!$C$43)^2)/(2*Inputs!$C$44^2))*EXP(-(((A119)-Inputs!$C$42)^2)/(2*Inputs!$C$45^2))+Inputs!$C$48*(0.7*(0.45*SIN(2*PI()*(((A119)/Inputs!$C$49)+Inputs!$C$47*0.137))+0.35*COS(2*PI()*(((Inputs!$C$6)/Inputs!$C$50)+Inputs!$C$47*0.173))+0.2*SIN(2*PI()*(((A119)+(Inputs!$C$6))/(0.5*(Inputs!$C$49+Inputs!$C$50))+Inputs!$C$47*0.097)))+0.3*(2*((SIN(((A119)*12.9898+(Inputs!$C$6)*78.233+Inputs!$C$47*37.719))*43758.5453)-INT((SIN(((A119)*12.9898+(Inputs!$C$6)*78.233+Inputs!$C$47*37.719))*43758.5453)))-1)))</f>
        <v/>
      </c>
      <c r="Z119" s="9">
        <f>B119-X119/1000</f>
        <v/>
      </c>
      <c r="AA119" s="9">
        <f>SQRT((Inputs!$C$52+B119)^2+(Inputs!$C$52+Y119/1000)^2-2*(Inputs!$C$52+B119)*(Inputs!$C$52+Y119/1000)*COS(SQRT(A119^2+Inputs!$C$6^2)/Inputs!$C$52))</f>
        <v/>
      </c>
      <c r="AB119" s="9">
        <f>(AA119-Z119)*1000</f>
        <v/>
      </c>
      <c r="AC119" s="9">
        <f>AB119/Inputs!$C$12</f>
        <v/>
      </c>
      <c r="AD119" s="9">
        <f>2*AB119/Inputs!$C$21*1000000</f>
        <v/>
      </c>
      <c r="AE119" s="9">
        <f>DEGREES(ATAN(H119/(B119-Y119/1000)))</f>
        <v/>
      </c>
      <c r="AF119" s="9">
        <f>DEGREES((2*PI()/Inputs!$C$13)*Inputs!$C$15*SIN(RADIANS(AE119)))</f>
        <v/>
      </c>
      <c r="AG119" s="9">
        <f>(Z119/AA119)^4</f>
        <v/>
      </c>
      <c r="AH119" s="9">
        <f>10*LOG10(AG119)</f>
        <v/>
      </c>
      <c r="AI119" s="9">
        <f>AC119-F119</f>
        <v/>
      </c>
      <c r="AJ119" s="9">
        <f>AD119-G119</f>
        <v/>
      </c>
      <c r="AK119" s="9">
        <f>Y119-X119</f>
        <v/>
      </c>
      <c r="AL119" s="9">
        <f>1000*(AA120-AA118)/(A120-A118)*Inputs!$C$11</f>
        <v/>
      </c>
      <c r="AM119" s="9">
        <f>-2*AL119/Inputs!$C$13</f>
        <v/>
      </c>
      <c r="AN119" s="9">
        <f>-2*AL119/Inputs!$C$14</f>
        <v/>
      </c>
      <c r="AO119" s="9">
        <f>ABS(AM119)</f>
        <v/>
      </c>
      <c r="AP119" s="9">
        <f>ABS(AN119)</f>
        <v/>
      </c>
      <c r="AQ119" s="9">
        <f>IF(OR(Inputs!$C$27=TRUE,Inputs!$C$27="TRUE",Inputs!$C$27=1),Inputs!$C$46/Inputs!$C$12,0)</f>
        <v/>
      </c>
      <c r="AR119" s="9">
        <f>AC119-AQ119</f>
        <v/>
      </c>
      <c r="AS119" s="9">
        <f>AC119+AQ119</f>
        <v/>
      </c>
    </row>
    <row r="120">
      <c r="A120" s="9">
        <f>Inputs!$C$7+118*(Inputs!$C$8-Inputs!$C$7)/240</f>
        <v/>
      </c>
      <c r="B120" s="9">
        <f>Inputs!$C$5+Inputs!$C$9*(A120/Inputs!$C$10)^2</f>
        <v/>
      </c>
      <c r="C120" s="9">
        <f>B120</f>
        <v/>
      </c>
      <c r="D120" s="9">
        <f>SQRT((Inputs!$C$52+B120)^2+Inputs!$C$52^2-2*(Inputs!$C$52+B120)*Inputs!$C$52*COS(SQRT(A120^2+Inputs!$C$6^2)/Inputs!$C$52))</f>
        <v/>
      </c>
      <c r="E120" s="9">
        <f>(D120-C120)*1000</f>
        <v/>
      </c>
      <c r="F120" s="9">
        <f>E120/Inputs!$C$12</f>
        <v/>
      </c>
      <c r="G120" s="9">
        <f>2*E120/Inputs!$C$21*1000000</f>
        <v/>
      </c>
      <c r="H120" s="9">
        <f>SQRT(A120^2+Inputs!$C$6^2)</f>
        <v/>
      </c>
      <c r="I120" s="9">
        <f>DEGREES(ATAN(H120/B120))</f>
        <v/>
      </c>
      <c r="J120" s="9">
        <f>DEGREES((2*PI()/Inputs!$C$13)*Inputs!$C$15*SIN(RADIANS(I120)))</f>
        <v/>
      </c>
      <c r="K120" s="9">
        <f>(C120/D120)^4</f>
        <v/>
      </c>
      <c r="L120" s="9">
        <f>10*LOG10(K120)</f>
        <v/>
      </c>
      <c r="M120" s="9">
        <f>2*(Inputs!$C$9/(Inputs!$C$10^2))*A120</f>
        <v/>
      </c>
      <c r="N120" s="9">
        <f>M120*Inputs!$C$11</f>
        <v/>
      </c>
      <c r="O120" s="9">
        <f>1000*(D121-D119)/(A121-A119)*Inputs!$C$11</f>
        <v/>
      </c>
      <c r="P120" s="9">
        <f>-2*O120/Inputs!$C$13</f>
        <v/>
      </c>
      <c r="Q120" s="9">
        <f>-2*O120/Inputs!$C$14</f>
        <v/>
      </c>
      <c r="R120" s="9">
        <f>F120-Inputs!$C$16/2</f>
        <v/>
      </c>
      <c r="S120" s="9">
        <f>F120+Inputs!$C$16/2</f>
        <v/>
      </c>
      <c r="T120" s="9">
        <f>F120-Inputs!$C$17/2</f>
        <v/>
      </c>
      <c r="U120" s="9">
        <f>F120+Inputs!$C$17/2</f>
        <v/>
      </c>
      <c r="V120" s="9">
        <f>ABS(P120)</f>
        <v/>
      </c>
      <c r="W120" s="9">
        <f>ABS(Q120)</f>
        <v/>
      </c>
      <c r="X120" s="9">
        <f>IF(OR(Inputs!$C$27=TRUE,Inputs!$C$27="TRUE",Inputs!$C$27=1),1,0)*(Inputs!$C$51*(115*EXP(-(((0)-25)^2)/(4.5^2))+70*EXP(-(((0)+38)^2)/(7^2))*(0.55+0.45*SIN(2*PI()*(A120)/45))+24*SIN(2*PI()*(0)/9+(A120)/18)*EXP(-(((0)+5)^2)/(22^2))+18*SIN(2*PI()*(A120)/70))+Inputs!$C$28*EXP(-(((A120)-Inputs!$C$29)^2)/(2*Inputs!$C$31^2))*EXP(-(((0)-Inputs!$C$30)^2)/(2*Inputs!$C$32^2))+-Inputs!$C$33*EXP(-(((((A120)-Inputs!$C$34)^2)+(((0)-Inputs!$C$35)^2))/(2*Inputs!$C$36^2)))+Inputs!$C$37*(0.55*SIN(2*PI()*(A120)/Inputs!$C$39)+0.35*COS(2*PI()*(0)/Inputs!$C$40)+0.2*SIN(2*PI()*((A120)+(0))/(0.5*(Inputs!$C$39+Inputs!$C$40))))+Inputs!$C$38*SIN(2*PI()*(A120)/Inputs!$C$39)*SIN(2*PI()*(0)/Inputs!$C$40)+-Inputs!$C$41*EXP(-(((0)-Inputs!$C$43)^2)/(2*Inputs!$C$44^2))*EXP(-(((A120)-Inputs!$C$42)^2)/(2*Inputs!$C$45^2))+Inputs!$C$48*(0.7*(0.45*SIN(2*PI()*(((A120)/Inputs!$C$49)+Inputs!$C$47*0.137))+0.35*COS(2*PI()*(((0)/Inputs!$C$50)+Inputs!$C$47*0.173))+0.2*SIN(2*PI()*(((A120)+(0))/(0.5*(Inputs!$C$49+Inputs!$C$50))+Inputs!$C$47*0.097)))+0.3*(2*((SIN(((A120)*12.9898+(0)*78.233+Inputs!$C$47*37.719))*43758.5453)-INT((SIN(((A120)*12.9898+(0)*78.233+Inputs!$C$47*37.719))*43758.5453)))-1)))</f>
        <v/>
      </c>
      <c r="Y120" s="9">
        <f>IF(OR(Inputs!$C$27=TRUE,Inputs!$C$27="TRUE",Inputs!$C$27=1),1,0)*(Inputs!$C$51*(115*EXP(-(((Inputs!$C$6)-25)^2)/(4.5^2))+70*EXP(-(((Inputs!$C$6)+38)^2)/(7^2))*(0.55+0.45*SIN(2*PI()*(A120)/45))+24*SIN(2*PI()*(Inputs!$C$6)/9+(A120)/18)*EXP(-(((Inputs!$C$6)+5)^2)/(22^2))+18*SIN(2*PI()*(A120)/70))+Inputs!$C$28*EXP(-(((A120)-Inputs!$C$29)^2)/(2*Inputs!$C$31^2))*EXP(-(((Inputs!$C$6)-Inputs!$C$30)^2)/(2*Inputs!$C$32^2))+-Inputs!$C$33*EXP(-(((((A120)-Inputs!$C$34)^2)+(((Inputs!$C$6)-Inputs!$C$35)^2))/(2*Inputs!$C$36^2)))+Inputs!$C$37*(0.55*SIN(2*PI()*(A120)/Inputs!$C$39)+0.35*COS(2*PI()*(Inputs!$C$6)/Inputs!$C$40)+0.2*SIN(2*PI()*((A120)+(Inputs!$C$6))/(0.5*(Inputs!$C$39+Inputs!$C$40))))+Inputs!$C$38*SIN(2*PI()*(A120)/Inputs!$C$39)*SIN(2*PI()*(Inputs!$C$6)/Inputs!$C$40)+-Inputs!$C$41*EXP(-(((Inputs!$C$6)-Inputs!$C$43)^2)/(2*Inputs!$C$44^2))*EXP(-(((A120)-Inputs!$C$42)^2)/(2*Inputs!$C$45^2))+Inputs!$C$48*(0.7*(0.45*SIN(2*PI()*(((A120)/Inputs!$C$49)+Inputs!$C$47*0.137))+0.35*COS(2*PI()*(((Inputs!$C$6)/Inputs!$C$50)+Inputs!$C$47*0.173))+0.2*SIN(2*PI()*(((A120)+(Inputs!$C$6))/(0.5*(Inputs!$C$49+Inputs!$C$50))+Inputs!$C$47*0.097)))+0.3*(2*((SIN(((A120)*12.9898+(Inputs!$C$6)*78.233+Inputs!$C$47*37.719))*43758.5453)-INT((SIN(((A120)*12.9898+(Inputs!$C$6)*78.233+Inputs!$C$47*37.719))*43758.5453)))-1)))</f>
        <v/>
      </c>
      <c r="Z120" s="9">
        <f>B120-X120/1000</f>
        <v/>
      </c>
      <c r="AA120" s="9">
        <f>SQRT((Inputs!$C$52+B120)^2+(Inputs!$C$52+Y120/1000)^2-2*(Inputs!$C$52+B120)*(Inputs!$C$52+Y120/1000)*COS(SQRT(A120^2+Inputs!$C$6^2)/Inputs!$C$52))</f>
        <v/>
      </c>
      <c r="AB120" s="9">
        <f>(AA120-Z120)*1000</f>
        <v/>
      </c>
      <c r="AC120" s="9">
        <f>AB120/Inputs!$C$12</f>
        <v/>
      </c>
      <c r="AD120" s="9">
        <f>2*AB120/Inputs!$C$21*1000000</f>
        <v/>
      </c>
      <c r="AE120" s="9">
        <f>DEGREES(ATAN(H120/(B120-Y120/1000)))</f>
        <v/>
      </c>
      <c r="AF120" s="9">
        <f>DEGREES((2*PI()/Inputs!$C$13)*Inputs!$C$15*SIN(RADIANS(AE120)))</f>
        <v/>
      </c>
      <c r="AG120" s="9">
        <f>(Z120/AA120)^4</f>
        <v/>
      </c>
      <c r="AH120" s="9">
        <f>10*LOG10(AG120)</f>
        <v/>
      </c>
      <c r="AI120" s="9">
        <f>AC120-F120</f>
        <v/>
      </c>
      <c r="AJ120" s="9">
        <f>AD120-G120</f>
        <v/>
      </c>
      <c r="AK120" s="9">
        <f>Y120-X120</f>
        <v/>
      </c>
      <c r="AL120" s="9">
        <f>1000*(AA121-AA119)/(A121-A119)*Inputs!$C$11</f>
        <v/>
      </c>
      <c r="AM120" s="9">
        <f>-2*AL120/Inputs!$C$13</f>
        <v/>
      </c>
      <c r="AN120" s="9">
        <f>-2*AL120/Inputs!$C$14</f>
        <v/>
      </c>
      <c r="AO120" s="9">
        <f>ABS(AM120)</f>
        <v/>
      </c>
      <c r="AP120" s="9">
        <f>ABS(AN120)</f>
        <v/>
      </c>
      <c r="AQ120" s="9">
        <f>IF(OR(Inputs!$C$27=TRUE,Inputs!$C$27="TRUE",Inputs!$C$27=1),Inputs!$C$46/Inputs!$C$12,0)</f>
        <v/>
      </c>
      <c r="AR120" s="9">
        <f>AC120-AQ120</f>
        <v/>
      </c>
      <c r="AS120" s="9">
        <f>AC120+AQ120</f>
        <v/>
      </c>
    </row>
    <row r="121">
      <c r="A121" s="9">
        <f>Inputs!$C$7+119*(Inputs!$C$8-Inputs!$C$7)/240</f>
        <v/>
      </c>
      <c r="B121" s="9">
        <f>Inputs!$C$5+Inputs!$C$9*(A121/Inputs!$C$10)^2</f>
        <v/>
      </c>
      <c r="C121" s="9">
        <f>B121</f>
        <v/>
      </c>
      <c r="D121" s="9">
        <f>SQRT((Inputs!$C$52+B121)^2+Inputs!$C$52^2-2*(Inputs!$C$52+B121)*Inputs!$C$52*COS(SQRT(A121^2+Inputs!$C$6^2)/Inputs!$C$52))</f>
        <v/>
      </c>
      <c r="E121" s="9">
        <f>(D121-C121)*1000</f>
        <v/>
      </c>
      <c r="F121" s="9">
        <f>E121/Inputs!$C$12</f>
        <v/>
      </c>
      <c r="G121" s="9">
        <f>2*E121/Inputs!$C$21*1000000</f>
        <v/>
      </c>
      <c r="H121" s="9">
        <f>SQRT(A121^2+Inputs!$C$6^2)</f>
        <v/>
      </c>
      <c r="I121" s="9">
        <f>DEGREES(ATAN(H121/B121))</f>
        <v/>
      </c>
      <c r="J121" s="9">
        <f>DEGREES((2*PI()/Inputs!$C$13)*Inputs!$C$15*SIN(RADIANS(I121)))</f>
        <v/>
      </c>
      <c r="K121" s="9">
        <f>(C121/D121)^4</f>
        <v/>
      </c>
      <c r="L121" s="9">
        <f>10*LOG10(K121)</f>
        <v/>
      </c>
      <c r="M121" s="9">
        <f>2*(Inputs!$C$9/(Inputs!$C$10^2))*A121</f>
        <v/>
      </c>
      <c r="N121" s="9">
        <f>M121*Inputs!$C$11</f>
        <v/>
      </c>
      <c r="O121" s="9">
        <f>1000*(D122-D120)/(A122-A120)*Inputs!$C$11</f>
        <v/>
      </c>
      <c r="P121" s="9">
        <f>-2*O121/Inputs!$C$13</f>
        <v/>
      </c>
      <c r="Q121" s="9">
        <f>-2*O121/Inputs!$C$14</f>
        <v/>
      </c>
      <c r="R121" s="9">
        <f>F121-Inputs!$C$16/2</f>
        <v/>
      </c>
      <c r="S121" s="9">
        <f>F121+Inputs!$C$16/2</f>
        <v/>
      </c>
      <c r="T121" s="9">
        <f>F121-Inputs!$C$17/2</f>
        <v/>
      </c>
      <c r="U121" s="9">
        <f>F121+Inputs!$C$17/2</f>
        <v/>
      </c>
      <c r="V121" s="9">
        <f>ABS(P121)</f>
        <v/>
      </c>
      <c r="W121" s="9">
        <f>ABS(Q121)</f>
        <v/>
      </c>
      <c r="X121" s="9">
        <f>IF(OR(Inputs!$C$27=TRUE,Inputs!$C$27="TRUE",Inputs!$C$27=1),1,0)*(Inputs!$C$51*(115*EXP(-(((0)-25)^2)/(4.5^2))+70*EXP(-(((0)+38)^2)/(7^2))*(0.55+0.45*SIN(2*PI()*(A121)/45))+24*SIN(2*PI()*(0)/9+(A121)/18)*EXP(-(((0)+5)^2)/(22^2))+18*SIN(2*PI()*(A121)/70))+Inputs!$C$28*EXP(-(((A121)-Inputs!$C$29)^2)/(2*Inputs!$C$31^2))*EXP(-(((0)-Inputs!$C$30)^2)/(2*Inputs!$C$32^2))+-Inputs!$C$33*EXP(-(((((A121)-Inputs!$C$34)^2)+(((0)-Inputs!$C$35)^2))/(2*Inputs!$C$36^2)))+Inputs!$C$37*(0.55*SIN(2*PI()*(A121)/Inputs!$C$39)+0.35*COS(2*PI()*(0)/Inputs!$C$40)+0.2*SIN(2*PI()*((A121)+(0))/(0.5*(Inputs!$C$39+Inputs!$C$40))))+Inputs!$C$38*SIN(2*PI()*(A121)/Inputs!$C$39)*SIN(2*PI()*(0)/Inputs!$C$40)+-Inputs!$C$41*EXP(-(((0)-Inputs!$C$43)^2)/(2*Inputs!$C$44^2))*EXP(-(((A121)-Inputs!$C$42)^2)/(2*Inputs!$C$45^2))+Inputs!$C$48*(0.7*(0.45*SIN(2*PI()*(((A121)/Inputs!$C$49)+Inputs!$C$47*0.137))+0.35*COS(2*PI()*(((0)/Inputs!$C$50)+Inputs!$C$47*0.173))+0.2*SIN(2*PI()*(((A121)+(0))/(0.5*(Inputs!$C$49+Inputs!$C$50))+Inputs!$C$47*0.097)))+0.3*(2*((SIN(((A121)*12.9898+(0)*78.233+Inputs!$C$47*37.719))*43758.5453)-INT((SIN(((A121)*12.9898+(0)*78.233+Inputs!$C$47*37.719))*43758.5453)))-1)))</f>
        <v/>
      </c>
      <c r="Y121" s="9">
        <f>IF(OR(Inputs!$C$27=TRUE,Inputs!$C$27="TRUE",Inputs!$C$27=1),1,0)*(Inputs!$C$51*(115*EXP(-(((Inputs!$C$6)-25)^2)/(4.5^2))+70*EXP(-(((Inputs!$C$6)+38)^2)/(7^2))*(0.55+0.45*SIN(2*PI()*(A121)/45))+24*SIN(2*PI()*(Inputs!$C$6)/9+(A121)/18)*EXP(-(((Inputs!$C$6)+5)^2)/(22^2))+18*SIN(2*PI()*(A121)/70))+Inputs!$C$28*EXP(-(((A121)-Inputs!$C$29)^2)/(2*Inputs!$C$31^2))*EXP(-(((Inputs!$C$6)-Inputs!$C$30)^2)/(2*Inputs!$C$32^2))+-Inputs!$C$33*EXP(-(((((A121)-Inputs!$C$34)^2)+(((Inputs!$C$6)-Inputs!$C$35)^2))/(2*Inputs!$C$36^2)))+Inputs!$C$37*(0.55*SIN(2*PI()*(A121)/Inputs!$C$39)+0.35*COS(2*PI()*(Inputs!$C$6)/Inputs!$C$40)+0.2*SIN(2*PI()*((A121)+(Inputs!$C$6))/(0.5*(Inputs!$C$39+Inputs!$C$40))))+Inputs!$C$38*SIN(2*PI()*(A121)/Inputs!$C$39)*SIN(2*PI()*(Inputs!$C$6)/Inputs!$C$40)+-Inputs!$C$41*EXP(-(((Inputs!$C$6)-Inputs!$C$43)^2)/(2*Inputs!$C$44^2))*EXP(-(((A121)-Inputs!$C$42)^2)/(2*Inputs!$C$45^2))+Inputs!$C$48*(0.7*(0.45*SIN(2*PI()*(((A121)/Inputs!$C$49)+Inputs!$C$47*0.137))+0.35*COS(2*PI()*(((Inputs!$C$6)/Inputs!$C$50)+Inputs!$C$47*0.173))+0.2*SIN(2*PI()*(((A121)+(Inputs!$C$6))/(0.5*(Inputs!$C$49+Inputs!$C$50))+Inputs!$C$47*0.097)))+0.3*(2*((SIN(((A121)*12.9898+(Inputs!$C$6)*78.233+Inputs!$C$47*37.719))*43758.5453)-INT((SIN(((A121)*12.9898+(Inputs!$C$6)*78.233+Inputs!$C$47*37.719))*43758.5453)))-1)))</f>
        <v/>
      </c>
      <c r="Z121" s="9">
        <f>B121-X121/1000</f>
        <v/>
      </c>
      <c r="AA121" s="9">
        <f>SQRT((Inputs!$C$52+B121)^2+(Inputs!$C$52+Y121/1000)^2-2*(Inputs!$C$52+B121)*(Inputs!$C$52+Y121/1000)*COS(SQRT(A121^2+Inputs!$C$6^2)/Inputs!$C$52))</f>
        <v/>
      </c>
      <c r="AB121" s="9">
        <f>(AA121-Z121)*1000</f>
        <v/>
      </c>
      <c r="AC121" s="9">
        <f>AB121/Inputs!$C$12</f>
        <v/>
      </c>
      <c r="AD121" s="9">
        <f>2*AB121/Inputs!$C$21*1000000</f>
        <v/>
      </c>
      <c r="AE121" s="9">
        <f>DEGREES(ATAN(H121/(B121-Y121/1000)))</f>
        <v/>
      </c>
      <c r="AF121" s="9">
        <f>DEGREES((2*PI()/Inputs!$C$13)*Inputs!$C$15*SIN(RADIANS(AE121)))</f>
        <v/>
      </c>
      <c r="AG121" s="9">
        <f>(Z121/AA121)^4</f>
        <v/>
      </c>
      <c r="AH121" s="9">
        <f>10*LOG10(AG121)</f>
        <v/>
      </c>
      <c r="AI121" s="9">
        <f>AC121-F121</f>
        <v/>
      </c>
      <c r="AJ121" s="9">
        <f>AD121-G121</f>
        <v/>
      </c>
      <c r="AK121" s="9">
        <f>Y121-X121</f>
        <v/>
      </c>
      <c r="AL121" s="9">
        <f>1000*(AA122-AA120)/(A122-A120)*Inputs!$C$11</f>
        <v/>
      </c>
      <c r="AM121" s="9">
        <f>-2*AL121/Inputs!$C$13</f>
        <v/>
      </c>
      <c r="AN121" s="9">
        <f>-2*AL121/Inputs!$C$14</f>
        <v/>
      </c>
      <c r="AO121" s="9">
        <f>ABS(AM121)</f>
        <v/>
      </c>
      <c r="AP121" s="9">
        <f>ABS(AN121)</f>
        <v/>
      </c>
      <c r="AQ121" s="9">
        <f>IF(OR(Inputs!$C$27=TRUE,Inputs!$C$27="TRUE",Inputs!$C$27=1),Inputs!$C$46/Inputs!$C$12,0)</f>
        <v/>
      </c>
      <c r="AR121" s="9">
        <f>AC121-AQ121</f>
        <v/>
      </c>
      <c r="AS121" s="9">
        <f>AC121+AQ121</f>
        <v/>
      </c>
    </row>
    <row r="122">
      <c r="A122" s="9">
        <f>Inputs!$C$7+120*(Inputs!$C$8-Inputs!$C$7)/240</f>
        <v/>
      </c>
      <c r="B122" s="9">
        <f>Inputs!$C$5+Inputs!$C$9*(A122/Inputs!$C$10)^2</f>
        <v/>
      </c>
      <c r="C122" s="9">
        <f>B122</f>
        <v/>
      </c>
      <c r="D122" s="9">
        <f>SQRT((Inputs!$C$52+B122)^2+Inputs!$C$52^2-2*(Inputs!$C$52+B122)*Inputs!$C$52*COS(SQRT(A122^2+Inputs!$C$6^2)/Inputs!$C$52))</f>
        <v/>
      </c>
      <c r="E122" s="9">
        <f>(D122-C122)*1000</f>
        <v/>
      </c>
      <c r="F122" s="9">
        <f>E122/Inputs!$C$12</f>
        <v/>
      </c>
      <c r="G122" s="9">
        <f>2*E122/Inputs!$C$21*1000000</f>
        <v/>
      </c>
      <c r="H122" s="9">
        <f>SQRT(A122^2+Inputs!$C$6^2)</f>
        <v/>
      </c>
      <c r="I122" s="9">
        <f>DEGREES(ATAN(H122/B122))</f>
        <v/>
      </c>
      <c r="J122" s="9">
        <f>DEGREES((2*PI()/Inputs!$C$13)*Inputs!$C$15*SIN(RADIANS(I122)))</f>
        <v/>
      </c>
      <c r="K122" s="9">
        <f>(C122/D122)^4</f>
        <v/>
      </c>
      <c r="L122" s="9">
        <f>10*LOG10(K122)</f>
        <v/>
      </c>
      <c r="M122" s="9">
        <f>2*(Inputs!$C$9/(Inputs!$C$10^2))*A122</f>
        <v/>
      </c>
      <c r="N122" s="9">
        <f>M122*Inputs!$C$11</f>
        <v/>
      </c>
      <c r="O122" s="9">
        <f>1000*(D123-D121)/(A123-A121)*Inputs!$C$11</f>
        <v/>
      </c>
      <c r="P122" s="9">
        <f>-2*O122/Inputs!$C$13</f>
        <v/>
      </c>
      <c r="Q122" s="9">
        <f>-2*O122/Inputs!$C$14</f>
        <v/>
      </c>
      <c r="R122" s="9">
        <f>F122-Inputs!$C$16/2</f>
        <v/>
      </c>
      <c r="S122" s="9">
        <f>F122+Inputs!$C$16/2</f>
        <v/>
      </c>
      <c r="T122" s="9">
        <f>F122-Inputs!$C$17/2</f>
        <v/>
      </c>
      <c r="U122" s="9">
        <f>F122+Inputs!$C$17/2</f>
        <v/>
      </c>
      <c r="V122" s="9">
        <f>ABS(P122)</f>
        <v/>
      </c>
      <c r="W122" s="9">
        <f>ABS(Q122)</f>
        <v/>
      </c>
      <c r="X122" s="9">
        <f>IF(OR(Inputs!$C$27=TRUE,Inputs!$C$27="TRUE",Inputs!$C$27=1),1,0)*(Inputs!$C$51*(115*EXP(-(((0)-25)^2)/(4.5^2))+70*EXP(-(((0)+38)^2)/(7^2))*(0.55+0.45*SIN(2*PI()*(A122)/45))+24*SIN(2*PI()*(0)/9+(A122)/18)*EXP(-(((0)+5)^2)/(22^2))+18*SIN(2*PI()*(A122)/70))+Inputs!$C$28*EXP(-(((A122)-Inputs!$C$29)^2)/(2*Inputs!$C$31^2))*EXP(-(((0)-Inputs!$C$30)^2)/(2*Inputs!$C$32^2))+-Inputs!$C$33*EXP(-(((((A122)-Inputs!$C$34)^2)+(((0)-Inputs!$C$35)^2))/(2*Inputs!$C$36^2)))+Inputs!$C$37*(0.55*SIN(2*PI()*(A122)/Inputs!$C$39)+0.35*COS(2*PI()*(0)/Inputs!$C$40)+0.2*SIN(2*PI()*((A122)+(0))/(0.5*(Inputs!$C$39+Inputs!$C$40))))+Inputs!$C$38*SIN(2*PI()*(A122)/Inputs!$C$39)*SIN(2*PI()*(0)/Inputs!$C$40)+-Inputs!$C$41*EXP(-(((0)-Inputs!$C$43)^2)/(2*Inputs!$C$44^2))*EXP(-(((A122)-Inputs!$C$42)^2)/(2*Inputs!$C$45^2))+Inputs!$C$48*(0.7*(0.45*SIN(2*PI()*(((A122)/Inputs!$C$49)+Inputs!$C$47*0.137))+0.35*COS(2*PI()*(((0)/Inputs!$C$50)+Inputs!$C$47*0.173))+0.2*SIN(2*PI()*(((A122)+(0))/(0.5*(Inputs!$C$49+Inputs!$C$50))+Inputs!$C$47*0.097)))+0.3*(2*((SIN(((A122)*12.9898+(0)*78.233+Inputs!$C$47*37.719))*43758.5453)-INT((SIN(((A122)*12.9898+(0)*78.233+Inputs!$C$47*37.719))*43758.5453)))-1)))</f>
        <v/>
      </c>
      <c r="Y122" s="9">
        <f>IF(OR(Inputs!$C$27=TRUE,Inputs!$C$27="TRUE",Inputs!$C$27=1),1,0)*(Inputs!$C$51*(115*EXP(-(((Inputs!$C$6)-25)^2)/(4.5^2))+70*EXP(-(((Inputs!$C$6)+38)^2)/(7^2))*(0.55+0.45*SIN(2*PI()*(A122)/45))+24*SIN(2*PI()*(Inputs!$C$6)/9+(A122)/18)*EXP(-(((Inputs!$C$6)+5)^2)/(22^2))+18*SIN(2*PI()*(A122)/70))+Inputs!$C$28*EXP(-(((A122)-Inputs!$C$29)^2)/(2*Inputs!$C$31^2))*EXP(-(((Inputs!$C$6)-Inputs!$C$30)^2)/(2*Inputs!$C$32^2))+-Inputs!$C$33*EXP(-(((((A122)-Inputs!$C$34)^2)+(((Inputs!$C$6)-Inputs!$C$35)^2))/(2*Inputs!$C$36^2)))+Inputs!$C$37*(0.55*SIN(2*PI()*(A122)/Inputs!$C$39)+0.35*COS(2*PI()*(Inputs!$C$6)/Inputs!$C$40)+0.2*SIN(2*PI()*((A122)+(Inputs!$C$6))/(0.5*(Inputs!$C$39+Inputs!$C$40))))+Inputs!$C$38*SIN(2*PI()*(A122)/Inputs!$C$39)*SIN(2*PI()*(Inputs!$C$6)/Inputs!$C$40)+-Inputs!$C$41*EXP(-(((Inputs!$C$6)-Inputs!$C$43)^2)/(2*Inputs!$C$44^2))*EXP(-(((A122)-Inputs!$C$42)^2)/(2*Inputs!$C$45^2))+Inputs!$C$48*(0.7*(0.45*SIN(2*PI()*(((A122)/Inputs!$C$49)+Inputs!$C$47*0.137))+0.35*COS(2*PI()*(((Inputs!$C$6)/Inputs!$C$50)+Inputs!$C$47*0.173))+0.2*SIN(2*PI()*(((A122)+(Inputs!$C$6))/(0.5*(Inputs!$C$49+Inputs!$C$50))+Inputs!$C$47*0.097)))+0.3*(2*((SIN(((A122)*12.9898+(Inputs!$C$6)*78.233+Inputs!$C$47*37.719))*43758.5453)-INT((SIN(((A122)*12.9898+(Inputs!$C$6)*78.233+Inputs!$C$47*37.719))*43758.5453)))-1)))</f>
        <v/>
      </c>
      <c r="Z122" s="9">
        <f>B122-X122/1000</f>
        <v/>
      </c>
      <c r="AA122" s="9">
        <f>SQRT((Inputs!$C$52+B122)^2+(Inputs!$C$52+Y122/1000)^2-2*(Inputs!$C$52+B122)*(Inputs!$C$52+Y122/1000)*COS(SQRT(A122^2+Inputs!$C$6^2)/Inputs!$C$52))</f>
        <v/>
      </c>
      <c r="AB122" s="9">
        <f>(AA122-Z122)*1000</f>
        <v/>
      </c>
      <c r="AC122" s="9">
        <f>AB122/Inputs!$C$12</f>
        <v/>
      </c>
      <c r="AD122" s="9">
        <f>2*AB122/Inputs!$C$21*1000000</f>
        <v/>
      </c>
      <c r="AE122" s="9">
        <f>DEGREES(ATAN(H122/(B122-Y122/1000)))</f>
        <v/>
      </c>
      <c r="AF122" s="9">
        <f>DEGREES((2*PI()/Inputs!$C$13)*Inputs!$C$15*SIN(RADIANS(AE122)))</f>
        <v/>
      </c>
      <c r="AG122" s="9">
        <f>(Z122/AA122)^4</f>
        <v/>
      </c>
      <c r="AH122" s="9">
        <f>10*LOG10(AG122)</f>
        <v/>
      </c>
      <c r="AI122" s="9">
        <f>AC122-F122</f>
        <v/>
      </c>
      <c r="AJ122" s="9">
        <f>AD122-G122</f>
        <v/>
      </c>
      <c r="AK122" s="9">
        <f>Y122-X122</f>
        <v/>
      </c>
      <c r="AL122" s="9">
        <f>1000*(AA123-AA121)/(A123-A121)*Inputs!$C$11</f>
        <v/>
      </c>
      <c r="AM122" s="9">
        <f>-2*AL122/Inputs!$C$13</f>
        <v/>
      </c>
      <c r="AN122" s="9">
        <f>-2*AL122/Inputs!$C$14</f>
        <v/>
      </c>
      <c r="AO122" s="9">
        <f>ABS(AM122)</f>
        <v/>
      </c>
      <c r="AP122" s="9">
        <f>ABS(AN122)</f>
        <v/>
      </c>
      <c r="AQ122" s="9">
        <f>IF(OR(Inputs!$C$27=TRUE,Inputs!$C$27="TRUE",Inputs!$C$27=1),Inputs!$C$46/Inputs!$C$12,0)</f>
        <v/>
      </c>
      <c r="AR122" s="9">
        <f>AC122-AQ122</f>
        <v/>
      </c>
      <c r="AS122" s="9">
        <f>AC122+AQ122</f>
        <v/>
      </c>
    </row>
    <row r="123">
      <c r="A123" s="9">
        <f>Inputs!$C$7+121*(Inputs!$C$8-Inputs!$C$7)/240</f>
        <v/>
      </c>
      <c r="B123" s="9">
        <f>Inputs!$C$5+Inputs!$C$9*(A123/Inputs!$C$10)^2</f>
        <v/>
      </c>
      <c r="C123" s="9">
        <f>B123</f>
        <v/>
      </c>
      <c r="D123" s="9">
        <f>SQRT((Inputs!$C$52+B123)^2+Inputs!$C$52^2-2*(Inputs!$C$52+B123)*Inputs!$C$52*COS(SQRT(A123^2+Inputs!$C$6^2)/Inputs!$C$52))</f>
        <v/>
      </c>
      <c r="E123" s="9">
        <f>(D123-C123)*1000</f>
        <v/>
      </c>
      <c r="F123" s="9">
        <f>E123/Inputs!$C$12</f>
        <v/>
      </c>
      <c r="G123" s="9">
        <f>2*E123/Inputs!$C$21*1000000</f>
        <v/>
      </c>
      <c r="H123" s="9">
        <f>SQRT(A123^2+Inputs!$C$6^2)</f>
        <v/>
      </c>
      <c r="I123" s="9">
        <f>DEGREES(ATAN(H123/B123))</f>
        <v/>
      </c>
      <c r="J123" s="9">
        <f>DEGREES((2*PI()/Inputs!$C$13)*Inputs!$C$15*SIN(RADIANS(I123)))</f>
        <v/>
      </c>
      <c r="K123" s="9">
        <f>(C123/D123)^4</f>
        <v/>
      </c>
      <c r="L123" s="9">
        <f>10*LOG10(K123)</f>
        <v/>
      </c>
      <c r="M123" s="9">
        <f>2*(Inputs!$C$9/(Inputs!$C$10^2))*A123</f>
        <v/>
      </c>
      <c r="N123" s="9">
        <f>M123*Inputs!$C$11</f>
        <v/>
      </c>
      <c r="O123" s="9">
        <f>1000*(D124-D122)/(A124-A122)*Inputs!$C$11</f>
        <v/>
      </c>
      <c r="P123" s="9">
        <f>-2*O123/Inputs!$C$13</f>
        <v/>
      </c>
      <c r="Q123" s="9">
        <f>-2*O123/Inputs!$C$14</f>
        <v/>
      </c>
      <c r="R123" s="9">
        <f>F123-Inputs!$C$16/2</f>
        <v/>
      </c>
      <c r="S123" s="9">
        <f>F123+Inputs!$C$16/2</f>
        <v/>
      </c>
      <c r="T123" s="9">
        <f>F123-Inputs!$C$17/2</f>
        <v/>
      </c>
      <c r="U123" s="9">
        <f>F123+Inputs!$C$17/2</f>
        <v/>
      </c>
      <c r="V123" s="9">
        <f>ABS(P123)</f>
        <v/>
      </c>
      <c r="W123" s="9">
        <f>ABS(Q123)</f>
        <v/>
      </c>
      <c r="X123" s="9">
        <f>IF(OR(Inputs!$C$27=TRUE,Inputs!$C$27="TRUE",Inputs!$C$27=1),1,0)*(Inputs!$C$51*(115*EXP(-(((0)-25)^2)/(4.5^2))+70*EXP(-(((0)+38)^2)/(7^2))*(0.55+0.45*SIN(2*PI()*(A123)/45))+24*SIN(2*PI()*(0)/9+(A123)/18)*EXP(-(((0)+5)^2)/(22^2))+18*SIN(2*PI()*(A123)/70))+Inputs!$C$28*EXP(-(((A123)-Inputs!$C$29)^2)/(2*Inputs!$C$31^2))*EXP(-(((0)-Inputs!$C$30)^2)/(2*Inputs!$C$32^2))+-Inputs!$C$33*EXP(-(((((A123)-Inputs!$C$34)^2)+(((0)-Inputs!$C$35)^2))/(2*Inputs!$C$36^2)))+Inputs!$C$37*(0.55*SIN(2*PI()*(A123)/Inputs!$C$39)+0.35*COS(2*PI()*(0)/Inputs!$C$40)+0.2*SIN(2*PI()*((A123)+(0))/(0.5*(Inputs!$C$39+Inputs!$C$40))))+Inputs!$C$38*SIN(2*PI()*(A123)/Inputs!$C$39)*SIN(2*PI()*(0)/Inputs!$C$40)+-Inputs!$C$41*EXP(-(((0)-Inputs!$C$43)^2)/(2*Inputs!$C$44^2))*EXP(-(((A123)-Inputs!$C$42)^2)/(2*Inputs!$C$45^2))+Inputs!$C$48*(0.7*(0.45*SIN(2*PI()*(((A123)/Inputs!$C$49)+Inputs!$C$47*0.137))+0.35*COS(2*PI()*(((0)/Inputs!$C$50)+Inputs!$C$47*0.173))+0.2*SIN(2*PI()*(((A123)+(0))/(0.5*(Inputs!$C$49+Inputs!$C$50))+Inputs!$C$47*0.097)))+0.3*(2*((SIN(((A123)*12.9898+(0)*78.233+Inputs!$C$47*37.719))*43758.5453)-INT((SIN(((A123)*12.9898+(0)*78.233+Inputs!$C$47*37.719))*43758.5453)))-1)))</f>
        <v/>
      </c>
      <c r="Y123" s="9">
        <f>IF(OR(Inputs!$C$27=TRUE,Inputs!$C$27="TRUE",Inputs!$C$27=1),1,0)*(Inputs!$C$51*(115*EXP(-(((Inputs!$C$6)-25)^2)/(4.5^2))+70*EXP(-(((Inputs!$C$6)+38)^2)/(7^2))*(0.55+0.45*SIN(2*PI()*(A123)/45))+24*SIN(2*PI()*(Inputs!$C$6)/9+(A123)/18)*EXP(-(((Inputs!$C$6)+5)^2)/(22^2))+18*SIN(2*PI()*(A123)/70))+Inputs!$C$28*EXP(-(((A123)-Inputs!$C$29)^2)/(2*Inputs!$C$31^2))*EXP(-(((Inputs!$C$6)-Inputs!$C$30)^2)/(2*Inputs!$C$32^2))+-Inputs!$C$33*EXP(-(((((A123)-Inputs!$C$34)^2)+(((Inputs!$C$6)-Inputs!$C$35)^2))/(2*Inputs!$C$36^2)))+Inputs!$C$37*(0.55*SIN(2*PI()*(A123)/Inputs!$C$39)+0.35*COS(2*PI()*(Inputs!$C$6)/Inputs!$C$40)+0.2*SIN(2*PI()*((A123)+(Inputs!$C$6))/(0.5*(Inputs!$C$39+Inputs!$C$40))))+Inputs!$C$38*SIN(2*PI()*(A123)/Inputs!$C$39)*SIN(2*PI()*(Inputs!$C$6)/Inputs!$C$40)+-Inputs!$C$41*EXP(-(((Inputs!$C$6)-Inputs!$C$43)^2)/(2*Inputs!$C$44^2))*EXP(-(((A123)-Inputs!$C$42)^2)/(2*Inputs!$C$45^2))+Inputs!$C$48*(0.7*(0.45*SIN(2*PI()*(((A123)/Inputs!$C$49)+Inputs!$C$47*0.137))+0.35*COS(2*PI()*(((Inputs!$C$6)/Inputs!$C$50)+Inputs!$C$47*0.173))+0.2*SIN(2*PI()*(((A123)+(Inputs!$C$6))/(0.5*(Inputs!$C$49+Inputs!$C$50))+Inputs!$C$47*0.097)))+0.3*(2*((SIN(((A123)*12.9898+(Inputs!$C$6)*78.233+Inputs!$C$47*37.719))*43758.5453)-INT((SIN(((A123)*12.9898+(Inputs!$C$6)*78.233+Inputs!$C$47*37.719))*43758.5453)))-1)))</f>
        <v/>
      </c>
      <c r="Z123" s="9">
        <f>B123-X123/1000</f>
        <v/>
      </c>
      <c r="AA123" s="9">
        <f>SQRT((Inputs!$C$52+B123)^2+(Inputs!$C$52+Y123/1000)^2-2*(Inputs!$C$52+B123)*(Inputs!$C$52+Y123/1000)*COS(SQRT(A123^2+Inputs!$C$6^2)/Inputs!$C$52))</f>
        <v/>
      </c>
      <c r="AB123" s="9">
        <f>(AA123-Z123)*1000</f>
        <v/>
      </c>
      <c r="AC123" s="9">
        <f>AB123/Inputs!$C$12</f>
        <v/>
      </c>
      <c r="AD123" s="9">
        <f>2*AB123/Inputs!$C$21*1000000</f>
        <v/>
      </c>
      <c r="AE123" s="9">
        <f>DEGREES(ATAN(H123/(B123-Y123/1000)))</f>
        <v/>
      </c>
      <c r="AF123" s="9">
        <f>DEGREES((2*PI()/Inputs!$C$13)*Inputs!$C$15*SIN(RADIANS(AE123)))</f>
        <v/>
      </c>
      <c r="AG123" s="9">
        <f>(Z123/AA123)^4</f>
        <v/>
      </c>
      <c r="AH123" s="9">
        <f>10*LOG10(AG123)</f>
        <v/>
      </c>
      <c r="AI123" s="9">
        <f>AC123-F123</f>
        <v/>
      </c>
      <c r="AJ123" s="9">
        <f>AD123-G123</f>
        <v/>
      </c>
      <c r="AK123" s="9">
        <f>Y123-X123</f>
        <v/>
      </c>
      <c r="AL123" s="9">
        <f>1000*(AA124-AA122)/(A124-A122)*Inputs!$C$11</f>
        <v/>
      </c>
      <c r="AM123" s="9">
        <f>-2*AL123/Inputs!$C$13</f>
        <v/>
      </c>
      <c r="AN123" s="9">
        <f>-2*AL123/Inputs!$C$14</f>
        <v/>
      </c>
      <c r="AO123" s="9">
        <f>ABS(AM123)</f>
        <v/>
      </c>
      <c r="AP123" s="9">
        <f>ABS(AN123)</f>
        <v/>
      </c>
      <c r="AQ123" s="9">
        <f>IF(OR(Inputs!$C$27=TRUE,Inputs!$C$27="TRUE",Inputs!$C$27=1),Inputs!$C$46/Inputs!$C$12,0)</f>
        <v/>
      </c>
      <c r="AR123" s="9">
        <f>AC123-AQ123</f>
        <v/>
      </c>
      <c r="AS123" s="9">
        <f>AC123+AQ123</f>
        <v/>
      </c>
    </row>
    <row r="124">
      <c r="A124" s="9">
        <f>Inputs!$C$7+122*(Inputs!$C$8-Inputs!$C$7)/240</f>
        <v/>
      </c>
      <c r="B124" s="9">
        <f>Inputs!$C$5+Inputs!$C$9*(A124/Inputs!$C$10)^2</f>
        <v/>
      </c>
      <c r="C124" s="9">
        <f>B124</f>
        <v/>
      </c>
      <c r="D124" s="9">
        <f>SQRT((Inputs!$C$52+B124)^2+Inputs!$C$52^2-2*(Inputs!$C$52+B124)*Inputs!$C$52*COS(SQRT(A124^2+Inputs!$C$6^2)/Inputs!$C$52))</f>
        <v/>
      </c>
      <c r="E124" s="9">
        <f>(D124-C124)*1000</f>
        <v/>
      </c>
      <c r="F124" s="9">
        <f>E124/Inputs!$C$12</f>
        <v/>
      </c>
      <c r="G124" s="9">
        <f>2*E124/Inputs!$C$21*1000000</f>
        <v/>
      </c>
      <c r="H124" s="9">
        <f>SQRT(A124^2+Inputs!$C$6^2)</f>
        <v/>
      </c>
      <c r="I124" s="9">
        <f>DEGREES(ATAN(H124/B124))</f>
        <v/>
      </c>
      <c r="J124" s="9">
        <f>DEGREES((2*PI()/Inputs!$C$13)*Inputs!$C$15*SIN(RADIANS(I124)))</f>
        <v/>
      </c>
      <c r="K124" s="9">
        <f>(C124/D124)^4</f>
        <v/>
      </c>
      <c r="L124" s="9">
        <f>10*LOG10(K124)</f>
        <v/>
      </c>
      <c r="M124" s="9">
        <f>2*(Inputs!$C$9/(Inputs!$C$10^2))*A124</f>
        <v/>
      </c>
      <c r="N124" s="9">
        <f>M124*Inputs!$C$11</f>
        <v/>
      </c>
      <c r="O124" s="9">
        <f>1000*(D125-D123)/(A125-A123)*Inputs!$C$11</f>
        <v/>
      </c>
      <c r="P124" s="9">
        <f>-2*O124/Inputs!$C$13</f>
        <v/>
      </c>
      <c r="Q124" s="9">
        <f>-2*O124/Inputs!$C$14</f>
        <v/>
      </c>
      <c r="R124" s="9">
        <f>F124-Inputs!$C$16/2</f>
        <v/>
      </c>
      <c r="S124" s="9">
        <f>F124+Inputs!$C$16/2</f>
        <v/>
      </c>
      <c r="T124" s="9">
        <f>F124-Inputs!$C$17/2</f>
        <v/>
      </c>
      <c r="U124" s="9">
        <f>F124+Inputs!$C$17/2</f>
        <v/>
      </c>
      <c r="V124" s="9">
        <f>ABS(P124)</f>
        <v/>
      </c>
      <c r="W124" s="9">
        <f>ABS(Q124)</f>
        <v/>
      </c>
      <c r="X124" s="9">
        <f>IF(OR(Inputs!$C$27=TRUE,Inputs!$C$27="TRUE",Inputs!$C$27=1),1,0)*(Inputs!$C$51*(115*EXP(-(((0)-25)^2)/(4.5^2))+70*EXP(-(((0)+38)^2)/(7^2))*(0.55+0.45*SIN(2*PI()*(A124)/45))+24*SIN(2*PI()*(0)/9+(A124)/18)*EXP(-(((0)+5)^2)/(22^2))+18*SIN(2*PI()*(A124)/70))+Inputs!$C$28*EXP(-(((A124)-Inputs!$C$29)^2)/(2*Inputs!$C$31^2))*EXP(-(((0)-Inputs!$C$30)^2)/(2*Inputs!$C$32^2))+-Inputs!$C$33*EXP(-(((((A124)-Inputs!$C$34)^2)+(((0)-Inputs!$C$35)^2))/(2*Inputs!$C$36^2)))+Inputs!$C$37*(0.55*SIN(2*PI()*(A124)/Inputs!$C$39)+0.35*COS(2*PI()*(0)/Inputs!$C$40)+0.2*SIN(2*PI()*((A124)+(0))/(0.5*(Inputs!$C$39+Inputs!$C$40))))+Inputs!$C$38*SIN(2*PI()*(A124)/Inputs!$C$39)*SIN(2*PI()*(0)/Inputs!$C$40)+-Inputs!$C$41*EXP(-(((0)-Inputs!$C$43)^2)/(2*Inputs!$C$44^2))*EXP(-(((A124)-Inputs!$C$42)^2)/(2*Inputs!$C$45^2))+Inputs!$C$48*(0.7*(0.45*SIN(2*PI()*(((A124)/Inputs!$C$49)+Inputs!$C$47*0.137))+0.35*COS(2*PI()*(((0)/Inputs!$C$50)+Inputs!$C$47*0.173))+0.2*SIN(2*PI()*(((A124)+(0))/(0.5*(Inputs!$C$49+Inputs!$C$50))+Inputs!$C$47*0.097)))+0.3*(2*((SIN(((A124)*12.9898+(0)*78.233+Inputs!$C$47*37.719))*43758.5453)-INT((SIN(((A124)*12.9898+(0)*78.233+Inputs!$C$47*37.719))*43758.5453)))-1)))</f>
        <v/>
      </c>
      <c r="Y124" s="9">
        <f>IF(OR(Inputs!$C$27=TRUE,Inputs!$C$27="TRUE",Inputs!$C$27=1),1,0)*(Inputs!$C$51*(115*EXP(-(((Inputs!$C$6)-25)^2)/(4.5^2))+70*EXP(-(((Inputs!$C$6)+38)^2)/(7^2))*(0.55+0.45*SIN(2*PI()*(A124)/45))+24*SIN(2*PI()*(Inputs!$C$6)/9+(A124)/18)*EXP(-(((Inputs!$C$6)+5)^2)/(22^2))+18*SIN(2*PI()*(A124)/70))+Inputs!$C$28*EXP(-(((A124)-Inputs!$C$29)^2)/(2*Inputs!$C$31^2))*EXP(-(((Inputs!$C$6)-Inputs!$C$30)^2)/(2*Inputs!$C$32^2))+-Inputs!$C$33*EXP(-(((((A124)-Inputs!$C$34)^2)+(((Inputs!$C$6)-Inputs!$C$35)^2))/(2*Inputs!$C$36^2)))+Inputs!$C$37*(0.55*SIN(2*PI()*(A124)/Inputs!$C$39)+0.35*COS(2*PI()*(Inputs!$C$6)/Inputs!$C$40)+0.2*SIN(2*PI()*((A124)+(Inputs!$C$6))/(0.5*(Inputs!$C$39+Inputs!$C$40))))+Inputs!$C$38*SIN(2*PI()*(A124)/Inputs!$C$39)*SIN(2*PI()*(Inputs!$C$6)/Inputs!$C$40)+-Inputs!$C$41*EXP(-(((Inputs!$C$6)-Inputs!$C$43)^2)/(2*Inputs!$C$44^2))*EXP(-(((A124)-Inputs!$C$42)^2)/(2*Inputs!$C$45^2))+Inputs!$C$48*(0.7*(0.45*SIN(2*PI()*(((A124)/Inputs!$C$49)+Inputs!$C$47*0.137))+0.35*COS(2*PI()*(((Inputs!$C$6)/Inputs!$C$50)+Inputs!$C$47*0.173))+0.2*SIN(2*PI()*(((A124)+(Inputs!$C$6))/(0.5*(Inputs!$C$49+Inputs!$C$50))+Inputs!$C$47*0.097)))+0.3*(2*((SIN(((A124)*12.9898+(Inputs!$C$6)*78.233+Inputs!$C$47*37.719))*43758.5453)-INT((SIN(((A124)*12.9898+(Inputs!$C$6)*78.233+Inputs!$C$47*37.719))*43758.5453)))-1)))</f>
        <v/>
      </c>
      <c r="Z124" s="9">
        <f>B124-X124/1000</f>
        <v/>
      </c>
      <c r="AA124" s="9">
        <f>SQRT((Inputs!$C$52+B124)^2+(Inputs!$C$52+Y124/1000)^2-2*(Inputs!$C$52+B124)*(Inputs!$C$52+Y124/1000)*COS(SQRT(A124^2+Inputs!$C$6^2)/Inputs!$C$52))</f>
        <v/>
      </c>
      <c r="AB124" s="9">
        <f>(AA124-Z124)*1000</f>
        <v/>
      </c>
      <c r="AC124" s="9">
        <f>AB124/Inputs!$C$12</f>
        <v/>
      </c>
      <c r="AD124" s="9">
        <f>2*AB124/Inputs!$C$21*1000000</f>
        <v/>
      </c>
      <c r="AE124" s="9">
        <f>DEGREES(ATAN(H124/(B124-Y124/1000)))</f>
        <v/>
      </c>
      <c r="AF124" s="9">
        <f>DEGREES((2*PI()/Inputs!$C$13)*Inputs!$C$15*SIN(RADIANS(AE124)))</f>
        <v/>
      </c>
      <c r="AG124" s="9">
        <f>(Z124/AA124)^4</f>
        <v/>
      </c>
      <c r="AH124" s="9">
        <f>10*LOG10(AG124)</f>
        <v/>
      </c>
      <c r="AI124" s="9">
        <f>AC124-F124</f>
        <v/>
      </c>
      <c r="AJ124" s="9">
        <f>AD124-G124</f>
        <v/>
      </c>
      <c r="AK124" s="9">
        <f>Y124-X124</f>
        <v/>
      </c>
      <c r="AL124" s="9">
        <f>1000*(AA125-AA123)/(A125-A123)*Inputs!$C$11</f>
        <v/>
      </c>
      <c r="AM124" s="9">
        <f>-2*AL124/Inputs!$C$13</f>
        <v/>
      </c>
      <c r="AN124" s="9">
        <f>-2*AL124/Inputs!$C$14</f>
        <v/>
      </c>
      <c r="AO124" s="9">
        <f>ABS(AM124)</f>
        <v/>
      </c>
      <c r="AP124" s="9">
        <f>ABS(AN124)</f>
        <v/>
      </c>
      <c r="AQ124" s="9">
        <f>IF(OR(Inputs!$C$27=TRUE,Inputs!$C$27="TRUE",Inputs!$C$27=1),Inputs!$C$46/Inputs!$C$12,0)</f>
        <v/>
      </c>
      <c r="AR124" s="9">
        <f>AC124-AQ124</f>
        <v/>
      </c>
      <c r="AS124" s="9">
        <f>AC124+AQ124</f>
        <v/>
      </c>
    </row>
    <row r="125">
      <c r="A125" s="9">
        <f>Inputs!$C$7+123*(Inputs!$C$8-Inputs!$C$7)/240</f>
        <v/>
      </c>
      <c r="B125" s="9">
        <f>Inputs!$C$5+Inputs!$C$9*(A125/Inputs!$C$10)^2</f>
        <v/>
      </c>
      <c r="C125" s="9">
        <f>B125</f>
        <v/>
      </c>
      <c r="D125" s="9">
        <f>SQRT((Inputs!$C$52+B125)^2+Inputs!$C$52^2-2*(Inputs!$C$52+B125)*Inputs!$C$52*COS(SQRT(A125^2+Inputs!$C$6^2)/Inputs!$C$52))</f>
        <v/>
      </c>
      <c r="E125" s="9">
        <f>(D125-C125)*1000</f>
        <v/>
      </c>
      <c r="F125" s="9">
        <f>E125/Inputs!$C$12</f>
        <v/>
      </c>
      <c r="G125" s="9">
        <f>2*E125/Inputs!$C$21*1000000</f>
        <v/>
      </c>
      <c r="H125" s="9">
        <f>SQRT(A125^2+Inputs!$C$6^2)</f>
        <v/>
      </c>
      <c r="I125" s="9">
        <f>DEGREES(ATAN(H125/B125))</f>
        <v/>
      </c>
      <c r="J125" s="9">
        <f>DEGREES((2*PI()/Inputs!$C$13)*Inputs!$C$15*SIN(RADIANS(I125)))</f>
        <v/>
      </c>
      <c r="K125" s="9">
        <f>(C125/D125)^4</f>
        <v/>
      </c>
      <c r="L125" s="9">
        <f>10*LOG10(K125)</f>
        <v/>
      </c>
      <c r="M125" s="9">
        <f>2*(Inputs!$C$9/(Inputs!$C$10^2))*A125</f>
        <v/>
      </c>
      <c r="N125" s="9">
        <f>M125*Inputs!$C$11</f>
        <v/>
      </c>
      <c r="O125" s="9">
        <f>1000*(D126-D124)/(A126-A124)*Inputs!$C$11</f>
        <v/>
      </c>
      <c r="P125" s="9">
        <f>-2*O125/Inputs!$C$13</f>
        <v/>
      </c>
      <c r="Q125" s="9">
        <f>-2*O125/Inputs!$C$14</f>
        <v/>
      </c>
      <c r="R125" s="9">
        <f>F125-Inputs!$C$16/2</f>
        <v/>
      </c>
      <c r="S125" s="9">
        <f>F125+Inputs!$C$16/2</f>
        <v/>
      </c>
      <c r="T125" s="9">
        <f>F125-Inputs!$C$17/2</f>
        <v/>
      </c>
      <c r="U125" s="9">
        <f>F125+Inputs!$C$17/2</f>
        <v/>
      </c>
      <c r="V125" s="9">
        <f>ABS(P125)</f>
        <v/>
      </c>
      <c r="W125" s="9">
        <f>ABS(Q125)</f>
        <v/>
      </c>
      <c r="X125" s="9">
        <f>IF(OR(Inputs!$C$27=TRUE,Inputs!$C$27="TRUE",Inputs!$C$27=1),1,0)*(Inputs!$C$51*(115*EXP(-(((0)-25)^2)/(4.5^2))+70*EXP(-(((0)+38)^2)/(7^2))*(0.55+0.45*SIN(2*PI()*(A125)/45))+24*SIN(2*PI()*(0)/9+(A125)/18)*EXP(-(((0)+5)^2)/(22^2))+18*SIN(2*PI()*(A125)/70))+Inputs!$C$28*EXP(-(((A125)-Inputs!$C$29)^2)/(2*Inputs!$C$31^2))*EXP(-(((0)-Inputs!$C$30)^2)/(2*Inputs!$C$32^2))+-Inputs!$C$33*EXP(-(((((A125)-Inputs!$C$34)^2)+(((0)-Inputs!$C$35)^2))/(2*Inputs!$C$36^2)))+Inputs!$C$37*(0.55*SIN(2*PI()*(A125)/Inputs!$C$39)+0.35*COS(2*PI()*(0)/Inputs!$C$40)+0.2*SIN(2*PI()*((A125)+(0))/(0.5*(Inputs!$C$39+Inputs!$C$40))))+Inputs!$C$38*SIN(2*PI()*(A125)/Inputs!$C$39)*SIN(2*PI()*(0)/Inputs!$C$40)+-Inputs!$C$41*EXP(-(((0)-Inputs!$C$43)^2)/(2*Inputs!$C$44^2))*EXP(-(((A125)-Inputs!$C$42)^2)/(2*Inputs!$C$45^2))+Inputs!$C$48*(0.7*(0.45*SIN(2*PI()*(((A125)/Inputs!$C$49)+Inputs!$C$47*0.137))+0.35*COS(2*PI()*(((0)/Inputs!$C$50)+Inputs!$C$47*0.173))+0.2*SIN(2*PI()*(((A125)+(0))/(0.5*(Inputs!$C$49+Inputs!$C$50))+Inputs!$C$47*0.097)))+0.3*(2*((SIN(((A125)*12.9898+(0)*78.233+Inputs!$C$47*37.719))*43758.5453)-INT((SIN(((A125)*12.9898+(0)*78.233+Inputs!$C$47*37.719))*43758.5453)))-1)))</f>
        <v/>
      </c>
      <c r="Y125" s="9">
        <f>IF(OR(Inputs!$C$27=TRUE,Inputs!$C$27="TRUE",Inputs!$C$27=1),1,0)*(Inputs!$C$51*(115*EXP(-(((Inputs!$C$6)-25)^2)/(4.5^2))+70*EXP(-(((Inputs!$C$6)+38)^2)/(7^2))*(0.55+0.45*SIN(2*PI()*(A125)/45))+24*SIN(2*PI()*(Inputs!$C$6)/9+(A125)/18)*EXP(-(((Inputs!$C$6)+5)^2)/(22^2))+18*SIN(2*PI()*(A125)/70))+Inputs!$C$28*EXP(-(((A125)-Inputs!$C$29)^2)/(2*Inputs!$C$31^2))*EXP(-(((Inputs!$C$6)-Inputs!$C$30)^2)/(2*Inputs!$C$32^2))+-Inputs!$C$33*EXP(-(((((A125)-Inputs!$C$34)^2)+(((Inputs!$C$6)-Inputs!$C$35)^2))/(2*Inputs!$C$36^2)))+Inputs!$C$37*(0.55*SIN(2*PI()*(A125)/Inputs!$C$39)+0.35*COS(2*PI()*(Inputs!$C$6)/Inputs!$C$40)+0.2*SIN(2*PI()*((A125)+(Inputs!$C$6))/(0.5*(Inputs!$C$39+Inputs!$C$40))))+Inputs!$C$38*SIN(2*PI()*(A125)/Inputs!$C$39)*SIN(2*PI()*(Inputs!$C$6)/Inputs!$C$40)+-Inputs!$C$41*EXP(-(((Inputs!$C$6)-Inputs!$C$43)^2)/(2*Inputs!$C$44^2))*EXP(-(((A125)-Inputs!$C$42)^2)/(2*Inputs!$C$45^2))+Inputs!$C$48*(0.7*(0.45*SIN(2*PI()*(((A125)/Inputs!$C$49)+Inputs!$C$47*0.137))+0.35*COS(2*PI()*(((Inputs!$C$6)/Inputs!$C$50)+Inputs!$C$47*0.173))+0.2*SIN(2*PI()*(((A125)+(Inputs!$C$6))/(0.5*(Inputs!$C$49+Inputs!$C$50))+Inputs!$C$47*0.097)))+0.3*(2*((SIN(((A125)*12.9898+(Inputs!$C$6)*78.233+Inputs!$C$47*37.719))*43758.5453)-INT((SIN(((A125)*12.9898+(Inputs!$C$6)*78.233+Inputs!$C$47*37.719))*43758.5453)))-1)))</f>
        <v/>
      </c>
      <c r="Z125" s="9">
        <f>B125-X125/1000</f>
        <v/>
      </c>
      <c r="AA125" s="9">
        <f>SQRT((Inputs!$C$52+B125)^2+(Inputs!$C$52+Y125/1000)^2-2*(Inputs!$C$52+B125)*(Inputs!$C$52+Y125/1000)*COS(SQRT(A125^2+Inputs!$C$6^2)/Inputs!$C$52))</f>
        <v/>
      </c>
      <c r="AB125" s="9">
        <f>(AA125-Z125)*1000</f>
        <v/>
      </c>
      <c r="AC125" s="9">
        <f>AB125/Inputs!$C$12</f>
        <v/>
      </c>
      <c r="AD125" s="9">
        <f>2*AB125/Inputs!$C$21*1000000</f>
        <v/>
      </c>
      <c r="AE125" s="9">
        <f>DEGREES(ATAN(H125/(B125-Y125/1000)))</f>
        <v/>
      </c>
      <c r="AF125" s="9">
        <f>DEGREES((2*PI()/Inputs!$C$13)*Inputs!$C$15*SIN(RADIANS(AE125)))</f>
        <v/>
      </c>
      <c r="AG125" s="9">
        <f>(Z125/AA125)^4</f>
        <v/>
      </c>
      <c r="AH125" s="9">
        <f>10*LOG10(AG125)</f>
        <v/>
      </c>
      <c r="AI125" s="9">
        <f>AC125-F125</f>
        <v/>
      </c>
      <c r="AJ125" s="9">
        <f>AD125-G125</f>
        <v/>
      </c>
      <c r="AK125" s="9">
        <f>Y125-X125</f>
        <v/>
      </c>
      <c r="AL125" s="9">
        <f>1000*(AA126-AA124)/(A126-A124)*Inputs!$C$11</f>
        <v/>
      </c>
      <c r="AM125" s="9">
        <f>-2*AL125/Inputs!$C$13</f>
        <v/>
      </c>
      <c r="AN125" s="9">
        <f>-2*AL125/Inputs!$C$14</f>
        <v/>
      </c>
      <c r="AO125" s="9">
        <f>ABS(AM125)</f>
        <v/>
      </c>
      <c r="AP125" s="9">
        <f>ABS(AN125)</f>
        <v/>
      </c>
      <c r="AQ125" s="9">
        <f>IF(OR(Inputs!$C$27=TRUE,Inputs!$C$27="TRUE",Inputs!$C$27=1),Inputs!$C$46/Inputs!$C$12,0)</f>
        <v/>
      </c>
      <c r="AR125" s="9">
        <f>AC125-AQ125</f>
        <v/>
      </c>
      <c r="AS125" s="9">
        <f>AC125+AQ125</f>
        <v/>
      </c>
    </row>
    <row r="126">
      <c r="A126" s="9">
        <f>Inputs!$C$7+124*(Inputs!$C$8-Inputs!$C$7)/240</f>
        <v/>
      </c>
      <c r="B126" s="9">
        <f>Inputs!$C$5+Inputs!$C$9*(A126/Inputs!$C$10)^2</f>
        <v/>
      </c>
      <c r="C126" s="9">
        <f>B126</f>
        <v/>
      </c>
      <c r="D126" s="9">
        <f>SQRT((Inputs!$C$52+B126)^2+Inputs!$C$52^2-2*(Inputs!$C$52+B126)*Inputs!$C$52*COS(SQRT(A126^2+Inputs!$C$6^2)/Inputs!$C$52))</f>
        <v/>
      </c>
      <c r="E126" s="9">
        <f>(D126-C126)*1000</f>
        <v/>
      </c>
      <c r="F126" s="9">
        <f>E126/Inputs!$C$12</f>
        <v/>
      </c>
      <c r="G126" s="9">
        <f>2*E126/Inputs!$C$21*1000000</f>
        <v/>
      </c>
      <c r="H126" s="9">
        <f>SQRT(A126^2+Inputs!$C$6^2)</f>
        <v/>
      </c>
      <c r="I126" s="9">
        <f>DEGREES(ATAN(H126/B126))</f>
        <v/>
      </c>
      <c r="J126" s="9">
        <f>DEGREES((2*PI()/Inputs!$C$13)*Inputs!$C$15*SIN(RADIANS(I126)))</f>
        <v/>
      </c>
      <c r="K126" s="9">
        <f>(C126/D126)^4</f>
        <v/>
      </c>
      <c r="L126" s="9">
        <f>10*LOG10(K126)</f>
        <v/>
      </c>
      <c r="M126" s="9">
        <f>2*(Inputs!$C$9/(Inputs!$C$10^2))*A126</f>
        <v/>
      </c>
      <c r="N126" s="9">
        <f>M126*Inputs!$C$11</f>
        <v/>
      </c>
      <c r="O126" s="9">
        <f>1000*(D127-D125)/(A127-A125)*Inputs!$C$11</f>
        <v/>
      </c>
      <c r="P126" s="9">
        <f>-2*O126/Inputs!$C$13</f>
        <v/>
      </c>
      <c r="Q126" s="9">
        <f>-2*O126/Inputs!$C$14</f>
        <v/>
      </c>
      <c r="R126" s="9">
        <f>F126-Inputs!$C$16/2</f>
        <v/>
      </c>
      <c r="S126" s="9">
        <f>F126+Inputs!$C$16/2</f>
        <v/>
      </c>
      <c r="T126" s="9">
        <f>F126-Inputs!$C$17/2</f>
        <v/>
      </c>
      <c r="U126" s="9">
        <f>F126+Inputs!$C$17/2</f>
        <v/>
      </c>
      <c r="V126" s="9">
        <f>ABS(P126)</f>
        <v/>
      </c>
      <c r="W126" s="9">
        <f>ABS(Q126)</f>
        <v/>
      </c>
      <c r="X126" s="9">
        <f>IF(OR(Inputs!$C$27=TRUE,Inputs!$C$27="TRUE",Inputs!$C$27=1),1,0)*(Inputs!$C$51*(115*EXP(-(((0)-25)^2)/(4.5^2))+70*EXP(-(((0)+38)^2)/(7^2))*(0.55+0.45*SIN(2*PI()*(A126)/45))+24*SIN(2*PI()*(0)/9+(A126)/18)*EXP(-(((0)+5)^2)/(22^2))+18*SIN(2*PI()*(A126)/70))+Inputs!$C$28*EXP(-(((A126)-Inputs!$C$29)^2)/(2*Inputs!$C$31^2))*EXP(-(((0)-Inputs!$C$30)^2)/(2*Inputs!$C$32^2))+-Inputs!$C$33*EXP(-(((((A126)-Inputs!$C$34)^2)+(((0)-Inputs!$C$35)^2))/(2*Inputs!$C$36^2)))+Inputs!$C$37*(0.55*SIN(2*PI()*(A126)/Inputs!$C$39)+0.35*COS(2*PI()*(0)/Inputs!$C$40)+0.2*SIN(2*PI()*((A126)+(0))/(0.5*(Inputs!$C$39+Inputs!$C$40))))+Inputs!$C$38*SIN(2*PI()*(A126)/Inputs!$C$39)*SIN(2*PI()*(0)/Inputs!$C$40)+-Inputs!$C$41*EXP(-(((0)-Inputs!$C$43)^2)/(2*Inputs!$C$44^2))*EXP(-(((A126)-Inputs!$C$42)^2)/(2*Inputs!$C$45^2))+Inputs!$C$48*(0.7*(0.45*SIN(2*PI()*(((A126)/Inputs!$C$49)+Inputs!$C$47*0.137))+0.35*COS(2*PI()*(((0)/Inputs!$C$50)+Inputs!$C$47*0.173))+0.2*SIN(2*PI()*(((A126)+(0))/(0.5*(Inputs!$C$49+Inputs!$C$50))+Inputs!$C$47*0.097)))+0.3*(2*((SIN(((A126)*12.9898+(0)*78.233+Inputs!$C$47*37.719))*43758.5453)-INT((SIN(((A126)*12.9898+(0)*78.233+Inputs!$C$47*37.719))*43758.5453)))-1)))</f>
        <v/>
      </c>
      <c r="Y126" s="9">
        <f>IF(OR(Inputs!$C$27=TRUE,Inputs!$C$27="TRUE",Inputs!$C$27=1),1,0)*(Inputs!$C$51*(115*EXP(-(((Inputs!$C$6)-25)^2)/(4.5^2))+70*EXP(-(((Inputs!$C$6)+38)^2)/(7^2))*(0.55+0.45*SIN(2*PI()*(A126)/45))+24*SIN(2*PI()*(Inputs!$C$6)/9+(A126)/18)*EXP(-(((Inputs!$C$6)+5)^2)/(22^2))+18*SIN(2*PI()*(A126)/70))+Inputs!$C$28*EXP(-(((A126)-Inputs!$C$29)^2)/(2*Inputs!$C$31^2))*EXP(-(((Inputs!$C$6)-Inputs!$C$30)^2)/(2*Inputs!$C$32^2))+-Inputs!$C$33*EXP(-(((((A126)-Inputs!$C$34)^2)+(((Inputs!$C$6)-Inputs!$C$35)^2))/(2*Inputs!$C$36^2)))+Inputs!$C$37*(0.55*SIN(2*PI()*(A126)/Inputs!$C$39)+0.35*COS(2*PI()*(Inputs!$C$6)/Inputs!$C$40)+0.2*SIN(2*PI()*((A126)+(Inputs!$C$6))/(0.5*(Inputs!$C$39+Inputs!$C$40))))+Inputs!$C$38*SIN(2*PI()*(A126)/Inputs!$C$39)*SIN(2*PI()*(Inputs!$C$6)/Inputs!$C$40)+-Inputs!$C$41*EXP(-(((Inputs!$C$6)-Inputs!$C$43)^2)/(2*Inputs!$C$44^2))*EXP(-(((A126)-Inputs!$C$42)^2)/(2*Inputs!$C$45^2))+Inputs!$C$48*(0.7*(0.45*SIN(2*PI()*(((A126)/Inputs!$C$49)+Inputs!$C$47*0.137))+0.35*COS(2*PI()*(((Inputs!$C$6)/Inputs!$C$50)+Inputs!$C$47*0.173))+0.2*SIN(2*PI()*(((A126)+(Inputs!$C$6))/(0.5*(Inputs!$C$49+Inputs!$C$50))+Inputs!$C$47*0.097)))+0.3*(2*((SIN(((A126)*12.9898+(Inputs!$C$6)*78.233+Inputs!$C$47*37.719))*43758.5453)-INT((SIN(((A126)*12.9898+(Inputs!$C$6)*78.233+Inputs!$C$47*37.719))*43758.5453)))-1)))</f>
        <v/>
      </c>
      <c r="Z126" s="9">
        <f>B126-X126/1000</f>
        <v/>
      </c>
      <c r="AA126" s="9">
        <f>SQRT((Inputs!$C$52+B126)^2+(Inputs!$C$52+Y126/1000)^2-2*(Inputs!$C$52+B126)*(Inputs!$C$52+Y126/1000)*COS(SQRT(A126^2+Inputs!$C$6^2)/Inputs!$C$52))</f>
        <v/>
      </c>
      <c r="AB126" s="9">
        <f>(AA126-Z126)*1000</f>
        <v/>
      </c>
      <c r="AC126" s="9">
        <f>AB126/Inputs!$C$12</f>
        <v/>
      </c>
      <c r="AD126" s="9">
        <f>2*AB126/Inputs!$C$21*1000000</f>
        <v/>
      </c>
      <c r="AE126" s="9">
        <f>DEGREES(ATAN(H126/(B126-Y126/1000)))</f>
        <v/>
      </c>
      <c r="AF126" s="9">
        <f>DEGREES((2*PI()/Inputs!$C$13)*Inputs!$C$15*SIN(RADIANS(AE126)))</f>
        <v/>
      </c>
      <c r="AG126" s="9">
        <f>(Z126/AA126)^4</f>
        <v/>
      </c>
      <c r="AH126" s="9">
        <f>10*LOG10(AG126)</f>
        <v/>
      </c>
      <c r="AI126" s="9">
        <f>AC126-F126</f>
        <v/>
      </c>
      <c r="AJ126" s="9">
        <f>AD126-G126</f>
        <v/>
      </c>
      <c r="AK126" s="9">
        <f>Y126-X126</f>
        <v/>
      </c>
      <c r="AL126" s="9">
        <f>1000*(AA127-AA125)/(A127-A125)*Inputs!$C$11</f>
        <v/>
      </c>
      <c r="AM126" s="9">
        <f>-2*AL126/Inputs!$C$13</f>
        <v/>
      </c>
      <c r="AN126" s="9">
        <f>-2*AL126/Inputs!$C$14</f>
        <v/>
      </c>
      <c r="AO126" s="9">
        <f>ABS(AM126)</f>
        <v/>
      </c>
      <c r="AP126" s="9">
        <f>ABS(AN126)</f>
        <v/>
      </c>
      <c r="AQ126" s="9">
        <f>IF(OR(Inputs!$C$27=TRUE,Inputs!$C$27="TRUE",Inputs!$C$27=1),Inputs!$C$46/Inputs!$C$12,0)</f>
        <v/>
      </c>
      <c r="AR126" s="9">
        <f>AC126-AQ126</f>
        <v/>
      </c>
      <c r="AS126" s="9">
        <f>AC126+AQ126</f>
        <v/>
      </c>
    </row>
    <row r="127">
      <c r="A127" s="9">
        <f>Inputs!$C$7+125*(Inputs!$C$8-Inputs!$C$7)/240</f>
        <v/>
      </c>
      <c r="B127" s="9">
        <f>Inputs!$C$5+Inputs!$C$9*(A127/Inputs!$C$10)^2</f>
        <v/>
      </c>
      <c r="C127" s="9">
        <f>B127</f>
        <v/>
      </c>
      <c r="D127" s="9">
        <f>SQRT((Inputs!$C$52+B127)^2+Inputs!$C$52^2-2*(Inputs!$C$52+B127)*Inputs!$C$52*COS(SQRT(A127^2+Inputs!$C$6^2)/Inputs!$C$52))</f>
        <v/>
      </c>
      <c r="E127" s="9">
        <f>(D127-C127)*1000</f>
        <v/>
      </c>
      <c r="F127" s="9">
        <f>E127/Inputs!$C$12</f>
        <v/>
      </c>
      <c r="G127" s="9">
        <f>2*E127/Inputs!$C$21*1000000</f>
        <v/>
      </c>
      <c r="H127" s="9">
        <f>SQRT(A127^2+Inputs!$C$6^2)</f>
        <v/>
      </c>
      <c r="I127" s="9">
        <f>DEGREES(ATAN(H127/B127))</f>
        <v/>
      </c>
      <c r="J127" s="9">
        <f>DEGREES((2*PI()/Inputs!$C$13)*Inputs!$C$15*SIN(RADIANS(I127)))</f>
        <v/>
      </c>
      <c r="K127" s="9">
        <f>(C127/D127)^4</f>
        <v/>
      </c>
      <c r="L127" s="9">
        <f>10*LOG10(K127)</f>
        <v/>
      </c>
      <c r="M127" s="9">
        <f>2*(Inputs!$C$9/(Inputs!$C$10^2))*A127</f>
        <v/>
      </c>
      <c r="N127" s="9">
        <f>M127*Inputs!$C$11</f>
        <v/>
      </c>
      <c r="O127" s="9">
        <f>1000*(D128-D126)/(A128-A126)*Inputs!$C$11</f>
        <v/>
      </c>
      <c r="P127" s="9">
        <f>-2*O127/Inputs!$C$13</f>
        <v/>
      </c>
      <c r="Q127" s="9">
        <f>-2*O127/Inputs!$C$14</f>
        <v/>
      </c>
      <c r="R127" s="9">
        <f>F127-Inputs!$C$16/2</f>
        <v/>
      </c>
      <c r="S127" s="9">
        <f>F127+Inputs!$C$16/2</f>
        <v/>
      </c>
      <c r="T127" s="9">
        <f>F127-Inputs!$C$17/2</f>
        <v/>
      </c>
      <c r="U127" s="9">
        <f>F127+Inputs!$C$17/2</f>
        <v/>
      </c>
      <c r="V127" s="9">
        <f>ABS(P127)</f>
        <v/>
      </c>
      <c r="W127" s="9">
        <f>ABS(Q127)</f>
        <v/>
      </c>
      <c r="X127" s="9">
        <f>IF(OR(Inputs!$C$27=TRUE,Inputs!$C$27="TRUE",Inputs!$C$27=1),1,0)*(Inputs!$C$51*(115*EXP(-(((0)-25)^2)/(4.5^2))+70*EXP(-(((0)+38)^2)/(7^2))*(0.55+0.45*SIN(2*PI()*(A127)/45))+24*SIN(2*PI()*(0)/9+(A127)/18)*EXP(-(((0)+5)^2)/(22^2))+18*SIN(2*PI()*(A127)/70))+Inputs!$C$28*EXP(-(((A127)-Inputs!$C$29)^2)/(2*Inputs!$C$31^2))*EXP(-(((0)-Inputs!$C$30)^2)/(2*Inputs!$C$32^2))+-Inputs!$C$33*EXP(-(((((A127)-Inputs!$C$34)^2)+(((0)-Inputs!$C$35)^2))/(2*Inputs!$C$36^2)))+Inputs!$C$37*(0.55*SIN(2*PI()*(A127)/Inputs!$C$39)+0.35*COS(2*PI()*(0)/Inputs!$C$40)+0.2*SIN(2*PI()*((A127)+(0))/(0.5*(Inputs!$C$39+Inputs!$C$40))))+Inputs!$C$38*SIN(2*PI()*(A127)/Inputs!$C$39)*SIN(2*PI()*(0)/Inputs!$C$40)+-Inputs!$C$41*EXP(-(((0)-Inputs!$C$43)^2)/(2*Inputs!$C$44^2))*EXP(-(((A127)-Inputs!$C$42)^2)/(2*Inputs!$C$45^2))+Inputs!$C$48*(0.7*(0.45*SIN(2*PI()*(((A127)/Inputs!$C$49)+Inputs!$C$47*0.137))+0.35*COS(2*PI()*(((0)/Inputs!$C$50)+Inputs!$C$47*0.173))+0.2*SIN(2*PI()*(((A127)+(0))/(0.5*(Inputs!$C$49+Inputs!$C$50))+Inputs!$C$47*0.097)))+0.3*(2*((SIN(((A127)*12.9898+(0)*78.233+Inputs!$C$47*37.719))*43758.5453)-INT((SIN(((A127)*12.9898+(0)*78.233+Inputs!$C$47*37.719))*43758.5453)))-1)))</f>
        <v/>
      </c>
      <c r="Y127" s="9">
        <f>IF(OR(Inputs!$C$27=TRUE,Inputs!$C$27="TRUE",Inputs!$C$27=1),1,0)*(Inputs!$C$51*(115*EXP(-(((Inputs!$C$6)-25)^2)/(4.5^2))+70*EXP(-(((Inputs!$C$6)+38)^2)/(7^2))*(0.55+0.45*SIN(2*PI()*(A127)/45))+24*SIN(2*PI()*(Inputs!$C$6)/9+(A127)/18)*EXP(-(((Inputs!$C$6)+5)^2)/(22^2))+18*SIN(2*PI()*(A127)/70))+Inputs!$C$28*EXP(-(((A127)-Inputs!$C$29)^2)/(2*Inputs!$C$31^2))*EXP(-(((Inputs!$C$6)-Inputs!$C$30)^2)/(2*Inputs!$C$32^2))+-Inputs!$C$33*EXP(-(((((A127)-Inputs!$C$34)^2)+(((Inputs!$C$6)-Inputs!$C$35)^2))/(2*Inputs!$C$36^2)))+Inputs!$C$37*(0.55*SIN(2*PI()*(A127)/Inputs!$C$39)+0.35*COS(2*PI()*(Inputs!$C$6)/Inputs!$C$40)+0.2*SIN(2*PI()*((A127)+(Inputs!$C$6))/(0.5*(Inputs!$C$39+Inputs!$C$40))))+Inputs!$C$38*SIN(2*PI()*(A127)/Inputs!$C$39)*SIN(2*PI()*(Inputs!$C$6)/Inputs!$C$40)+-Inputs!$C$41*EXP(-(((Inputs!$C$6)-Inputs!$C$43)^2)/(2*Inputs!$C$44^2))*EXP(-(((A127)-Inputs!$C$42)^2)/(2*Inputs!$C$45^2))+Inputs!$C$48*(0.7*(0.45*SIN(2*PI()*(((A127)/Inputs!$C$49)+Inputs!$C$47*0.137))+0.35*COS(2*PI()*(((Inputs!$C$6)/Inputs!$C$50)+Inputs!$C$47*0.173))+0.2*SIN(2*PI()*(((A127)+(Inputs!$C$6))/(0.5*(Inputs!$C$49+Inputs!$C$50))+Inputs!$C$47*0.097)))+0.3*(2*((SIN(((A127)*12.9898+(Inputs!$C$6)*78.233+Inputs!$C$47*37.719))*43758.5453)-INT((SIN(((A127)*12.9898+(Inputs!$C$6)*78.233+Inputs!$C$47*37.719))*43758.5453)))-1)))</f>
        <v/>
      </c>
      <c r="Z127" s="9">
        <f>B127-X127/1000</f>
        <v/>
      </c>
      <c r="AA127" s="9">
        <f>SQRT((Inputs!$C$52+B127)^2+(Inputs!$C$52+Y127/1000)^2-2*(Inputs!$C$52+B127)*(Inputs!$C$52+Y127/1000)*COS(SQRT(A127^2+Inputs!$C$6^2)/Inputs!$C$52))</f>
        <v/>
      </c>
      <c r="AB127" s="9">
        <f>(AA127-Z127)*1000</f>
        <v/>
      </c>
      <c r="AC127" s="9">
        <f>AB127/Inputs!$C$12</f>
        <v/>
      </c>
      <c r="AD127" s="9">
        <f>2*AB127/Inputs!$C$21*1000000</f>
        <v/>
      </c>
      <c r="AE127" s="9">
        <f>DEGREES(ATAN(H127/(B127-Y127/1000)))</f>
        <v/>
      </c>
      <c r="AF127" s="9">
        <f>DEGREES((2*PI()/Inputs!$C$13)*Inputs!$C$15*SIN(RADIANS(AE127)))</f>
        <v/>
      </c>
      <c r="AG127" s="9">
        <f>(Z127/AA127)^4</f>
        <v/>
      </c>
      <c r="AH127" s="9">
        <f>10*LOG10(AG127)</f>
        <v/>
      </c>
      <c r="AI127" s="9">
        <f>AC127-F127</f>
        <v/>
      </c>
      <c r="AJ127" s="9">
        <f>AD127-G127</f>
        <v/>
      </c>
      <c r="AK127" s="9">
        <f>Y127-X127</f>
        <v/>
      </c>
      <c r="AL127" s="9">
        <f>1000*(AA128-AA126)/(A128-A126)*Inputs!$C$11</f>
        <v/>
      </c>
      <c r="AM127" s="9">
        <f>-2*AL127/Inputs!$C$13</f>
        <v/>
      </c>
      <c r="AN127" s="9">
        <f>-2*AL127/Inputs!$C$14</f>
        <v/>
      </c>
      <c r="AO127" s="9">
        <f>ABS(AM127)</f>
        <v/>
      </c>
      <c r="AP127" s="9">
        <f>ABS(AN127)</f>
        <v/>
      </c>
      <c r="AQ127" s="9">
        <f>IF(OR(Inputs!$C$27=TRUE,Inputs!$C$27="TRUE",Inputs!$C$27=1),Inputs!$C$46/Inputs!$C$12,0)</f>
        <v/>
      </c>
      <c r="AR127" s="9">
        <f>AC127-AQ127</f>
        <v/>
      </c>
      <c r="AS127" s="9">
        <f>AC127+AQ127</f>
        <v/>
      </c>
    </row>
    <row r="128">
      <c r="A128" s="9">
        <f>Inputs!$C$7+126*(Inputs!$C$8-Inputs!$C$7)/240</f>
        <v/>
      </c>
      <c r="B128" s="9">
        <f>Inputs!$C$5+Inputs!$C$9*(A128/Inputs!$C$10)^2</f>
        <v/>
      </c>
      <c r="C128" s="9">
        <f>B128</f>
        <v/>
      </c>
      <c r="D128" s="9">
        <f>SQRT((Inputs!$C$52+B128)^2+Inputs!$C$52^2-2*(Inputs!$C$52+B128)*Inputs!$C$52*COS(SQRT(A128^2+Inputs!$C$6^2)/Inputs!$C$52))</f>
        <v/>
      </c>
      <c r="E128" s="9">
        <f>(D128-C128)*1000</f>
        <v/>
      </c>
      <c r="F128" s="9">
        <f>E128/Inputs!$C$12</f>
        <v/>
      </c>
      <c r="G128" s="9">
        <f>2*E128/Inputs!$C$21*1000000</f>
        <v/>
      </c>
      <c r="H128" s="9">
        <f>SQRT(A128^2+Inputs!$C$6^2)</f>
        <v/>
      </c>
      <c r="I128" s="9">
        <f>DEGREES(ATAN(H128/B128))</f>
        <v/>
      </c>
      <c r="J128" s="9">
        <f>DEGREES((2*PI()/Inputs!$C$13)*Inputs!$C$15*SIN(RADIANS(I128)))</f>
        <v/>
      </c>
      <c r="K128" s="9">
        <f>(C128/D128)^4</f>
        <v/>
      </c>
      <c r="L128" s="9">
        <f>10*LOG10(K128)</f>
        <v/>
      </c>
      <c r="M128" s="9">
        <f>2*(Inputs!$C$9/(Inputs!$C$10^2))*A128</f>
        <v/>
      </c>
      <c r="N128" s="9">
        <f>M128*Inputs!$C$11</f>
        <v/>
      </c>
      <c r="O128" s="9">
        <f>1000*(D129-D127)/(A129-A127)*Inputs!$C$11</f>
        <v/>
      </c>
      <c r="P128" s="9">
        <f>-2*O128/Inputs!$C$13</f>
        <v/>
      </c>
      <c r="Q128" s="9">
        <f>-2*O128/Inputs!$C$14</f>
        <v/>
      </c>
      <c r="R128" s="9">
        <f>F128-Inputs!$C$16/2</f>
        <v/>
      </c>
      <c r="S128" s="9">
        <f>F128+Inputs!$C$16/2</f>
        <v/>
      </c>
      <c r="T128" s="9">
        <f>F128-Inputs!$C$17/2</f>
        <v/>
      </c>
      <c r="U128" s="9">
        <f>F128+Inputs!$C$17/2</f>
        <v/>
      </c>
      <c r="V128" s="9">
        <f>ABS(P128)</f>
        <v/>
      </c>
      <c r="W128" s="9">
        <f>ABS(Q128)</f>
        <v/>
      </c>
      <c r="X128" s="9">
        <f>IF(OR(Inputs!$C$27=TRUE,Inputs!$C$27="TRUE",Inputs!$C$27=1),1,0)*(Inputs!$C$51*(115*EXP(-(((0)-25)^2)/(4.5^2))+70*EXP(-(((0)+38)^2)/(7^2))*(0.55+0.45*SIN(2*PI()*(A128)/45))+24*SIN(2*PI()*(0)/9+(A128)/18)*EXP(-(((0)+5)^2)/(22^2))+18*SIN(2*PI()*(A128)/70))+Inputs!$C$28*EXP(-(((A128)-Inputs!$C$29)^2)/(2*Inputs!$C$31^2))*EXP(-(((0)-Inputs!$C$30)^2)/(2*Inputs!$C$32^2))+-Inputs!$C$33*EXP(-(((((A128)-Inputs!$C$34)^2)+(((0)-Inputs!$C$35)^2))/(2*Inputs!$C$36^2)))+Inputs!$C$37*(0.55*SIN(2*PI()*(A128)/Inputs!$C$39)+0.35*COS(2*PI()*(0)/Inputs!$C$40)+0.2*SIN(2*PI()*((A128)+(0))/(0.5*(Inputs!$C$39+Inputs!$C$40))))+Inputs!$C$38*SIN(2*PI()*(A128)/Inputs!$C$39)*SIN(2*PI()*(0)/Inputs!$C$40)+-Inputs!$C$41*EXP(-(((0)-Inputs!$C$43)^2)/(2*Inputs!$C$44^2))*EXP(-(((A128)-Inputs!$C$42)^2)/(2*Inputs!$C$45^2))+Inputs!$C$48*(0.7*(0.45*SIN(2*PI()*(((A128)/Inputs!$C$49)+Inputs!$C$47*0.137))+0.35*COS(2*PI()*(((0)/Inputs!$C$50)+Inputs!$C$47*0.173))+0.2*SIN(2*PI()*(((A128)+(0))/(0.5*(Inputs!$C$49+Inputs!$C$50))+Inputs!$C$47*0.097)))+0.3*(2*((SIN(((A128)*12.9898+(0)*78.233+Inputs!$C$47*37.719))*43758.5453)-INT((SIN(((A128)*12.9898+(0)*78.233+Inputs!$C$47*37.719))*43758.5453)))-1)))</f>
        <v/>
      </c>
      <c r="Y128" s="9">
        <f>IF(OR(Inputs!$C$27=TRUE,Inputs!$C$27="TRUE",Inputs!$C$27=1),1,0)*(Inputs!$C$51*(115*EXP(-(((Inputs!$C$6)-25)^2)/(4.5^2))+70*EXP(-(((Inputs!$C$6)+38)^2)/(7^2))*(0.55+0.45*SIN(2*PI()*(A128)/45))+24*SIN(2*PI()*(Inputs!$C$6)/9+(A128)/18)*EXP(-(((Inputs!$C$6)+5)^2)/(22^2))+18*SIN(2*PI()*(A128)/70))+Inputs!$C$28*EXP(-(((A128)-Inputs!$C$29)^2)/(2*Inputs!$C$31^2))*EXP(-(((Inputs!$C$6)-Inputs!$C$30)^2)/(2*Inputs!$C$32^2))+-Inputs!$C$33*EXP(-(((((A128)-Inputs!$C$34)^2)+(((Inputs!$C$6)-Inputs!$C$35)^2))/(2*Inputs!$C$36^2)))+Inputs!$C$37*(0.55*SIN(2*PI()*(A128)/Inputs!$C$39)+0.35*COS(2*PI()*(Inputs!$C$6)/Inputs!$C$40)+0.2*SIN(2*PI()*((A128)+(Inputs!$C$6))/(0.5*(Inputs!$C$39+Inputs!$C$40))))+Inputs!$C$38*SIN(2*PI()*(A128)/Inputs!$C$39)*SIN(2*PI()*(Inputs!$C$6)/Inputs!$C$40)+-Inputs!$C$41*EXP(-(((Inputs!$C$6)-Inputs!$C$43)^2)/(2*Inputs!$C$44^2))*EXP(-(((A128)-Inputs!$C$42)^2)/(2*Inputs!$C$45^2))+Inputs!$C$48*(0.7*(0.45*SIN(2*PI()*(((A128)/Inputs!$C$49)+Inputs!$C$47*0.137))+0.35*COS(2*PI()*(((Inputs!$C$6)/Inputs!$C$50)+Inputs!$C$47*0.173))+0.2*SIN(2*PI()*(((A128)+(Inputs!$C$6))/(0.5*(Inputs!$C$49+Inputs!$C$50))+Inputs!$C$47*0.097)))+0.3*(2*((SIN(((A128)*12.9898+(Inputs!$C$6)*78.233+Inputs!$C$47*37.719))*43758.5453)-INT((SIN(((A128)*12.9898+(Inputs!$C$6)*78.233+Inputs!$C$47*37.719))*43758.5453)))-1)))</f>
        <v/>
      </c>
      <c r="Z128" s="9">
        <f>B128-X128/1000</f>
        <v/>
      </c>
      <c r="AA128" s="9">
        <f>SQRT((Inputs!$C$52+B128)^2+(Inputs!$C$52+Y128/1000)^2-2*(Inputs!$C$52+B128)*(Inputs!$C$52+Y128/1000)*COS(SQRT(A128^2+Inputs!$C$6^2)/Inputs!$C$52))</f>
        <v/>
      </c>
      <c r="AB128" s="9">
        <f>(AA128-Z128)*1000</f>
        <v/>
      </c>
      <c r="AC128" s="9">
        <f>AB128/Inputs!$C$12</f>
        <v/>
      </c>
      <c r="AD128" s="9">
        <f>2*AB128/Inputs!$C$21*1000000</f>
        <v/>
      </c>
      <c r="AE128" s="9">
        <f>DEGREES(ATAN(H128/(B128-Y128/1000)))</f>
        <v/>
      </c>
      <c r="AF128" s="9">
        <f>DEGREES((2*PI()/Inputs!$C$13)*Inputs!$C$15*SIN(RADIANS(AE128)))</f>
        <v/>
      </c>
      <c r="AG128" s="9">
        <f>(Z128/AA128)^4</f>
        <v/>
      </c>
      <c r="AH128" s="9">
        <f>10*LOG10(AG128)</f>
        <v/>
      </c>
      <c r="AI128" s="9">
        <f>AC128-F128</f>
        <v/>
      </c>
      <c r="AJ128" s="9">
        <f>AD128-G128</f>
        <v/>
      </c>
      <c r="AK128" s="9">
        <f>Y128-X128</f>
        <v/>
      </c>
      <c r="AL128" s="9">
        <f>1000*(AA129-AA127)/(A129-A127)*Inputs!$C$11</f>
        <v/>
      </c>
      <c r="AM128" s="9">
        <f>-2*AL128/Inputs!$C$13</f>
        <v/>
      </c>
      <c r="AN128" s="9">
        <f>-2*AL128/Inputs!$C$14</f>
        <v/>
      </c>
      <c r="AO128" s="9">
        <f>ABS(AM128)</f>
        <v/>
      </c>
      <c r="AP128" s="9">
        <f>ABS(AN128)</f>
        <v/>
      </c>
      <c r="AQ128" s="9">
        <f>IF(OR(Inputs!$C$27=TRUE,Inputs!$C$27="TRUE",Inputs!$C$27=1),Inputs!$C$46/Inputs!$C$12,0)</f>
        <v/>
      </c>
      <c r="AR128" s="9">
        <f>AC128-AQ128</f>
        <v/>
      </c>
      <c r="AS128" s="9">
        <f>AC128+AQ128</f>
        <v/>
      </c>
    </row>
    <row r="129">
      <c r="A129" s="9">
        <f>Inputs!$C$7+127*(Inputs!$C$8-Inputs!$C$7)/240</f>
        <v/>
      </c>
      <c r="B129" s="9">
        <f>Inputs!$C$5+Inputs!$C$9*(A129/Inputs!$C$10)^2</f>
        <v/>
      </c>
      <c r="C129" s="9">
        <f>B129</f>
        <v/>
      </c>
      <c r="D129" s="9">
        <f>SQRT((Inputs!$C$52+B129)^2+Inputs!$C$52^2-2*(Inputs!$C$52+B129)*Inputs!$C$52*COS(SQRT(A129^2+Inputs!$C$6^2)/Inputs!$C$52))</f>
        <v/>
      </c>
      <c r="E129" s="9">
        <f>(D129-C129)*1000</f>
        <v/>
      </c>
      <c r="F129" s="9">
        <f>E129/Inputs!$C$12</f>
        <v/>
      </c>
      <c r="G129" s="9">
        <f>2*E129/Inputs!$C$21*1000000</f>
        <v/>
      </c>
      <c r="H129" s="9">
        <f>SQRT(A129^2+Inputs!$C$6^2)</f>
        <v/>
      </c>
      <c r="I129" s="9">
        <f>DEGREES(ATAN(H129/B129))</f>
        <v/>
      </c>
      <c r="J129" s="9">
        <f>DEGREES((2*PI()/Inputs!$C$13)*Inputs!$C$15*SIN(RADIANS(I129)))</f>
        <v/>
      </c>
      <c r="K129" s="9">
        <f>(C129/D129)^4</f>
        <v/>
      </c>
      <c r="L129" s="9">
        <f>10*LOG10(K129)</f>
        <v/>
      </c>
      <c r="M129" s="9">
        <f>2*(Inputs!$C$9/(Inputs!$C$10^2))*A129</f>
        <v/>
      </c>
      <c r="N129" s="9">
        <f>M129*Inputs!$C$11</f>
        <v/>
      </c>
      <c r="O129" s="9">
        <f>1000*(D130-D128)/(A130-A128)*Inputs!$C$11</f>
        <v/>
      </c>
      <c r="P129" s="9">
        <f>-2*O129/Inputs!$C$13</f>
        <v/>
      </c>
      <c r="Q129" s="9">
        <f>-2*O129/Inputs!$C$14</f>
        <v/>
      </c>
      <c r="R129" s="9">
        <f>F129-Inputs!$C$16/2</f>
        <v/>
      </c>
      <c r="S129" s="9">
        <f>F129+Inputs!$C$16/2</f>
        <v/>
      </c>
      <c r="T129" s="9">
        <f>F129-Inputs!$C$17/2</f>
        <v/>
      </c>
      <c r="U129" s="9">
        <f>F129+Inputs!$C$17/2</f>
        <v/>
      </c>
      <c r="V129" s="9">
        <f>ABS(P129)</f>
        <v/>
      </c>
      <c r="W129" s="9">
        <f>ABS(Q129)</f>
        <v/>
      </c>
      <c r="X129" s="9">
        <f>IF(OR(Inputs!$C$27=TRUE,Inputs!$C$27="TRUE",Inputs!$C$27=1),1,0)*(Inputs!$C$51*(115*EXP(-(((0)-25)^2)/(4.5^2))+70*EXP(-(((0)+38)^2)/(7^2))*(0.55+0.45*SIN(2*PI()*(A129)/45))+24*SIN(2*PI()*(0)/9+(A129)/18)*EXP(-(((0)+5)^2)/(22^2))+18*SIN(2*PI()*(A129)/70))+Inputs!$C$28*EXP(-(((A129)-Inputs!$C$29)^2)/(2*Inputs!$C$31^2))*EXP(-(((0)-Inputs!$C$30)^2)/(2*Inputs!$C$32^2))+-Inputs!$C$33*EXP(-(((((A129)-Inputs!$C$34)^2)+(((0)-Inputs!$C$35)^2))/(2*Inputs!$C$36^2)))+Inputs!$C$37*(0.55*SIN(2*PI()*(A129)/Inputs!$C$39)+0.35*COS(2*PI()*(0)/Inputs!$C$40)+0.2*SIN(2*PI()*((A129)+(0))/(0.5*(Inputs!$C$39+Inputs!$C$40))))+Inputs!$C$38*SIN(2*PI()*(A129)/Inputs!$C$39)*SIN(2*PI()*(0)/Inputs!$C$40)+-Inputs!$C$41*EXP(-(((0)-Inputs!$C$43)^2)/(2*Inputs!$C$44^2))*EXP(-(((A129)-Inputs!$C$42)^2)/(2*Inputs!$C$45^2))+Inputs!$C$48*(0.7*(0.45*SIN(2*PI()*(((A129)/Inputs!$C$49)+Inputs!$C$47*0.137))+0.35*COS(2*PI()*(((0)/Inputs!$C$50)+Inputs!$C$47*0.173))+0.2*SIN(2*PI()*(((A129)+(0))/(0.5*(Inputs!$C$49+Inputs!$C$50))+Inputs!$C$47*0.097)))+0.3*(2*((SIN(((A129)*12.9898+(0)*78.233+Inputs!$C$47*37.719))*43758.5453)-INT((SIN(((A129)*12.9898+(0)*78.233+Inputs!$C$47*37.719))*43758.5453)))-1)))</f>
        <v/>
      </c>
      <c r="Y129" s="9">
        <f>IF(OR(Inputs!$C$27=TRUE,Inputs!$C$27="TRUE",Inputs!$C$27=1),1,0)*(Inputs!$C$51*(115*EXP(-(((Inputs!$C$6)-25)^2)/(4.5^2))+70*EXP(-(((Inputs!$C$6)+38)^2)/(7^2))*(0.55+0.45*SIN(2*PI()*(A129)/45))+24*SIN(2*PI()*(Inputs!$C$6)/9+(A129)/18)*EXP(-(((Inputs!$C$6)+5)^2)/(22^2))+18*SIN(2*PI()*(A129)/70))+Inputs!$C$28*EXP(-(((A129)-Inputs!$C$29)^2)/(2*Inputs!$C$31^2))*EXP(-(((Inputs!$C$6)-Inputs!$C$30)^2)/(2*Inputs!$C$32^2))+-Inputs!$C$33*EXP(-(((((A129)-Inputs!$C$34)^2)+(((Inputs!$C$6)-Inputs!$C$35)^2))/(2*Inputs!$C$36^2)))+Inputs!$C$37*(0.55*SIN(2*PI()*(A129)/Inputs!$C$39)+0.35*COS(2*PI()*(Inputs!$C$6)/Inputs!$C$40)+0.2*SIN(2*PI()*((A129)+(Inputs!$C$6))/(0.5*(Inputs!$C$39+Inputs!$C$40))))+Inputs!$C$38*SIN(2*PI()*(A129)/Inputs!$C$39)*SIN(2*PI()*(Inputs!$C$6)/Inputs!$C$40)+-Inputs!$C$41*EXP(-(((Inputs!$C$6)-Inputs!$C$43)^2)/(2*Inputs!$C$44^2))*EXP(-(((A129)-Inputs!$C$42)^2)/(2*Inputs!$C$45^2))+Inputs!$C$48*(0.7*(0.45*SIN(2*PI()*(((A129)/Inputs!$C$49)+Inputs!$C$47*0.137))+0.35*COS(2*PI()*(((Inputs!$C$6)/Inputs!$C$50)+Inputs!$C$47*0.173))+0.2*SIN(2*PI()*(((A129)+(Inputs!$C$6))/(0.5*(Inputs!$C$49+Inputs!$C$50))+Inputs!$C$47*0.097)))+0.3*(2*((SIN(((A129)*12.9898+(Inputs!$C$6)*78.233+Inputs!$C$47*37.719))*43758.5453)-INT((SIN(((A129)*12.9898+(Inputs!$C$6)*78.233+Inputs!$C$47*37.719))*43758.5453)))-1)))</f>
        <v/>
      </c>
      <c r="Z129" s="9">
        <f>B129-X129/1000</f>
        <v/>
      </c>
      <c r="AA129" s="9">
        <f>SQRT((Inputs!$C$52+B129)^2+(Inputs!$C$52+Y129/1000)^2-2*(Inputs!$C$52+B129)*(Inputs!$C$52+Y129/1000)*COS(SQRT(A129^2+Inputs!$C$6^2)/Inputs!$C$52))</f>
        <v/>
      </c>
      <c r="AB129" s="9">
        <f>(AA129-Z129)*1000</f>
        <v/>
      </c>
      <c r="AC129" s="9">
        <f>AB129/Inputs!$C$12</f>
        <v/>
      </c>
      <c r="AD129" s="9">
        <f>2*AB129/Inputs!$C$21*1000000</f>
        <v/>
      </c>
      <c r="AE129" s="9">
        <f>DEGREES(ATAN(H129/(B129-Y129/1000)))</f>
        <v/>
      </c>
      <c r="AF129" s="9">
        <f>DEGREES((2*PI()/Inputs!$C$13)*Inputs!$C$15*SIN(RADIANS(AE129)))</f>
        <v/>
      </c>
      <c r="AG129" s="9">
        <f>(Z129/AA129)^4</f>
        <v/>
      </c>
      <c r="AH129" s="9">
        <f>10*LOG10(AG129)</f>
        <v/>
      </c>
      <c r="AI129" s="9">
        <f>AC129-F129</f>
        <v/>
      </c>
      <c r="AJ129" s="9">
        <f>AD129-G129</f>
        <v/>
      </c>
      <c r="AK129" s="9">
        <f>Y129-X129</f>
        <v/>
      </c>
      <c r="AL129" s="9">
        <f>1000*(AA130-AA128)/(A130-A128)*Inputs!$C$11</f>
        <v/>
      </c>
      <c r="AM129" s="9">
        <f>-2*AL129/Inputs!$C$13</f>
        <v/>
      </c>
      <c r="AN129" s="9">
        <f>-2*AL129/Inputs!$C$14</f>
        <v/>
      </c>
      <c r="AO129" s="9">
        <f>ABS(AM129)</f>
        <v/>
      </c>
      <c r="AP129" s="9">
        <f>ABS(AN129)</f>
        <v/>
      </c>
      <c r="AQ129" s="9">
        <f>IF(OR(Inputs!$C$27=TRUE,Inputs!$C$27="TRUE",Inputs!$C$27=1),Inputs!$C$46/Inputs!$C$12,0)</f>
        <v/>
      </c>
      <c r="AR129" s="9">
        <f>AC129-AQ129</f>
        <v/>
      </c>
      <c r="AS129" s="9">
        <f>AC129+AQ129</f>
        <v/>
      </c>
    </row>
    <row r="130">
      <c r="A130" s="9">
        <f>Inputs!$C$7+128*(Inputs!$C$8-Inputs!$C$7)/240</f>
        <v/>
      </c>
      <c r="B130" s="9">
        <f>Inputs!$C$5+Inputs!$C$9*(A130/Inputs!$C$10)^2</f>
        <v/>
      </c>
      <c r="C130" s="9">
        <f>B130</f>
        <v/>
      </c>
      <c r="D130" s="9">
        <f>SQRT((Inputs!$C$52+B130)^2+Inputs!$C$52^2-2*(Inputs!$C$52+B130)*Inputs!$C$52*COS(SQRT(A130^2+Inputs!$C$6^2)/Inputs!$C$52))</f>
        <v/>
      </c>
      <c r="E130" s="9">
        <f>(D130-C130)*1000</f>
        <v/>
      </c>
      <c r="F130" s="9">
        <f>E130/Inputs!$C$12</f>
        <v/>
      </c>
      <c r="G130" s="9">
        <f>2*E130/Inputs!$C$21*1000000</f>
        <v/>
      </c>
      <c r="H130" s="9">
        <f>SQRT(A130^2+Inputs!$C$6^2)</f>
        <v/>
      </c>
      <c r="I130" s="9">
        <f>DEGREES(ATAN(H130/B130))</f>
        <v/>
      </c>
      <c r="J130" s="9">
        <f>DEGREES((2*PI()/Inputs!$C$13)*Inputs!$C$15*SIN(RADIANS(I130)))</f>
        <v/>
      </c>
      <c r="K130" s="9">
        <f>(C130/D130)^4</f>
        <v/>
      </c>
      <c r="L130" s="9">
        <f>10*LOG10(K130)</f>
        <v/>
      </c>
      <c r="M130" s="9">
        <f>2*(Inputs!$C$9/(Inputs!$C$10^2))*A130</f>
        <v/>
      </c>
      <c r="N130" s="9">
        <f>M130*Inputs!$C$11</f>
        <v/>
      </c>
      <c r="O130" s="9">
        <f>1000*(D131-D129)/(A131-A129)*Inputs!$C$11</f>
        <v/>
      </c>
      <c r="P130" s="9">
        <f>-2*O130/Inputs!$C$13</f>
        <v/>
      </c>
      <c r="Q130" s="9">
        <f>-2*O130/Inputs!$C$14</f>
        <v/>
      </c>
      <c r="R130" s="9">
        <f>F130-Inputs!$C$16/2</f>
        <v/>
      </c>
      <c r="S130" s="9">
        <f>F130+Inputs!$C$16/2</f>
        <v/>
      </c>
      <c r="T130" s="9">
        <f>F130-Inputs!$C$17/2</f>
        <v/>
      </c>
      <c r="U130" s="9">
        <f>F130+Inputs!$C$17/2</f>
        <v/>
      </c>
      <c r="V130" s="9">
        <f>ABS(P130)</f>
        <v/>
      </c>
      <c r="W130" s="9">
        <f>ABS(Q130)</f>
        <v/>
      </c>
      <c r="X130" s="9">
        <f>IF(OR(Inputs!$C$27=TRUE,Inputs!$C$27="TRUE",Inputs!$C$27=1),1,0)*(Inputs!$C$51*(115*EXP(-(((0)-25)^2)/(4.5^2))+70*EXP(-(((0)+38)^2)/(7^2))*(0.55+0.45*SIN(2*PI()*(A130)/45))+24*SIN(2*PI()*(0)/9+(A130)/18)*EXP(-(((0)+5)^2)/(22^2))+18*SIN(2*PI()*(A130)/70))+Inputs!$C$28*EXP(-(((A130)-Inputs!$C$29)^2)/(2*Inputs!$C$31^2))*EXP(-(((0)-Inputs!$C$30)^2)/(2*Inputs!$C$32^2))+-Inputs!$C$33*EXP(-(((((A130)-Inputs!$C$34)^2)+(((0)-Inputs!$C$35)^2))/(2*Inputs!$C$36^2)))+Inputs!$C$37*(0.55*SIN(2*PI()*(A130)/Inputs!$C$39)+0.35*COS(2*PI()*(0)/Inputs!$C$40)+0.2*SIN(2*PI()*((A130)+(0))/(0.5*(Inputs!$C$39+Inputs!$C$40))))+Inputs!$C$38*SIN(2*PI()*(A130)/Inputs!$C$39)*SIN(2*PI()*(0)/Inputs!$C$40)+-Inputs!$C$41*EXP(-(((0)-Inputs!$C$43)^2)/(2*Inputs!$C$44^2))*EXP(-(((A130)-Inputs!$C$42)^2)/(2*Inputs!$C$45^2))+Inputs!$C$48*(0.7*(0.45*SIN(2*PI()*(((A130)/Inputs!$C$49)+Inputs!$C$47*0.137))+0.35*COS(2*PI()*(((0)/Inputs!$C$50)+Inputs!$C$47*0.173))+0.2*SIN(2*PI()*(((A130)+(0))/(0.5*(Inputs!$C$49+Inputs!$C$50))+Inputs!$C$47*0.097)))+0.3*(2*((SIN(((A130)*12.9898+(0)*78.233+Inputs!$C$47*37.719))*43758.5453)-INT((SIN(((A130)*12.9898+(0)*78.233+Inputs!$C$47*37.719))*43758.5453)))-1)))</f>
        <v/>
      </c>
      <c r="Y130" s="9">
        <f>IF(OR(Inputs!$C$27=TRUE,Inputs!$C$27="TRUE",Inputs!$C$27=1),1,0)*(Inputs!$C$51*(115*EXP(-(((Inputs!$C$6)-25)^2)/(4.5^2))+70*EXP(-(((Inputs!$C$6)+38)^2)/(7^2))*(0.55+0.45*SIN(2*PI()*(A130)/45))+24*SIN(2*PI()*(Inputs!$C$6)/9+(A130)/18)*EXP(-(((Inputs!$C$6)+5)^2)/(22^2))+18*SIN(2*PI()*(A130)/70))+Inputs!$C$28*EXP(-(((A130)-Inputs!$C$29)^2)/(2*Inputs!$C$31^2))*EXP(-(((Inputs!$C$6)-Inputs!$C$30)^2)/(2*Inputs!$C$32^2))+-Inputs!$C$33*EXP(-(((((A130)-Inputs!$C$34)^2)+(((Inputs!$C$6)-Inputs!$C$35)^2))/(2*Inputs!$C$36^2)))+Inputs!$C$37*(0.55*SIN(2*PI()*(A130)/Inputs!$C$39)+0.35*COS(2*PI()*(Inputs!$C$6)/Inputs!$C$40)+0.2*SIN(2*PI()*((A130)+(Inputs!$C$6))/(0.5*(Inputs!$C$39+Inputs!$C$40))))+Inputs!$C$38*SIN(2*PI()*(A130)/Inputs!$C$39)*SIN(2*PI()*(Inputs!$C$6)/Inputs!$C$40)+-Inputs!$C$41*EXP(-(((Inputs!$C$6)-Inputs!$C$43)^2)/(2*Inputs!$C$44^2))*EXP(-(((A130)-Inputs!$C$42)^2)/(2*Inputs!$C$45^2))+Inputs!$C$48*(0.7*(0.45*SIN(2*PI()*(((A130)/Inputs!$C$49)+Inputs!$C$47*0.137))+0.35*COS(2*PI()*(((Inputs!$C$6)/Inputs!$C$50)+Inputs!$C$47*0.173))+0.2*SIN(2*PI()*(((A130)+(Inputs!$C$6))/(0.5*(Inputs!$C$49+Inputs!$C$50))+Inputs!$C$47*0.097)))+0.3*(2*((SIN(((A130)*12.9898+(Inputs!$C$6)*78.233+Inputs!$C$47*37.719))*43758.5453)-INT((SIN(((A130)*12.9898+(Inputs!$C$6)*78.233+Inputs!$C$47*37.719))*43758.5453)))-1)))</f>
        <v/>
      </c>
      <c r="Z130" s="9">
        <f>B130-X130/1000</f>
        <v/>
      </c>
      <c r="AA130" s="9">
        <f>SQRT((Inputs!$C$52+B130)^2+(Inputs!$C$52+Y130/1000)^2-2*(Inputs!$C$52+B130)*(Inputs!$C$52+Y130/1000)*COS(SQRT(A130^2+Inputs!$C$6^2)/Inputs!$C$52))</f>
        <v/>
      </c>
      <c r="AB130" s="9">
        <f>(AA130-Z130)*1000</f>
        <v/>
      </c>
      <c r="AC130" s="9">
        <f>AB130/Inputs!$C$12</f>
        <v/>
      </c>
      <c r="AD130" s="9">
        <f>2*AB130/Inputs!$C$21*1000000</f>
        <v/>
      </c>
      <c r="AE130" s="9">
        <f>DEGREES(ATAN(H130/(B130-Y130/1000)))</f>
        <v/>
      </c>
      <c r="AF130" s="9">
        <f>DEGREES((2*PI()/Inputs!$C$13)*Inputs!$C$15*SIN(RADIANS(AE130)))</f>
        <v/>
      </c>
      <c r="AG130" s="9">
        <f>(Z130/AA130)^4</f>
        <v/>
      </c>
      <c r="AH130" s="9">
        <f>10*LOG10(AG130)</f>
        <v/>
      </c>
      <c r="AI130" s="9">
        <f>AC130-F130</f>
        <v/>
      </c>
      <c r="AJ130" s="9">
        <f>AD130-G130</f>
        <v/>
      </c>
      <c r="AK130" s="9">
        <f>Y130-X130</f>
        <v/>
      </c>
      <c r="AL130" s="9">
        <f>1000*(AA131-AA129)/(A131-A129)*Inputs!$C$11</f>
        <v/>
      </c>
      <c r="AM130" s="9">
        <f>-2*AL130/Inputs!$C$13</f>
        <v/>
      </c>
      <c r="AN130" s="9">
        <f>-2*AL130/Inputs!$C$14</f>
        <v/>
      </c>
      <c r="AO130" s="9">
        <f>ABS(AM130)</f>
        <v/>
      </c>
      <c r="AP130" s="9">
        <f>ABS(AN130)</f>
        <v/>
      </c>
      <c r="AQ130" s="9">
        <f>IF(OR(Inputs!$C$27=TRUE,Inputs!$C$27="TRUE",Inputs!$C$27=1),Inputs!$C$46/Inputs!$C$12,0)</f>
        <v/>
      </c>
      <c r="AR130" s="9">
        <f>AC130-AQ130</f>
        <v/>
      </c>
      <c r="AS130" s="9">
        <f>AC130+AQ130</f>
        <v/>
      </c>
    </row>
    <row r="131">
      <c r="A131" s="9">
        <f>Inputs!$C$7+129*(Inputs!$C$8-Inputs!$C$7)/240</f>
        <v/>
      </c>
      <c r="B131" s="9">
        <f>Inputs!$C$5+Inputs!$C$9*(A131/Inputs!$C$10)^2</f>
        <v/>
      </c>
      <c r="C131" s="9">
        <f>B131</f>
        <v/>
      </c>
      <c r="D131" s="9">
        <f>SQRT((Inputs!$C$52+B131)^2+Inputs!$C$52^2-2*(Inputs!$C$52+B131)*Inputs!$C$52*COS(SQRT(A131^2+Inputs!$C$6^2)/Inputs!$C$52))</f>
        <v/>
      </c>
      <c r="E131" s="9">
        <f>(D131-C131)*1000</f>
        <v/>
      </c>
      <c r="F131" s="9">
        <f>E131/Inputs!$C$12</f>
        <v/>
      </c>
      <c r="G131" s="9">
        <f>2*E131/Inputs!$C$21*1000000</f>
        <v/>
      </c>
      <c r="H131" s="9">
        <f>SQRT(A131^2+Inputs!$C$6^2)</f>
        <v/>
      </c>
      <c r="I131" s="9">
        <f>DEGREES(ATAN(H131/B131))</f>
        <v/>
      </c>
      <c r="J131" s="9">
        <f>DEGREES((2*PI()/Inputs!$C$13)*Inputs!$C$15*SIN(RADIANS(I131)))</f>
        <v/>
      </c>
      <c r="K131" s="9">
        <f>(C131/D131)^4</f>
        <v/>
      </c>
      <c r="L131" s="9">
        <f>10*LOG10(K131)</f>
        <v/>
      </c>
      <c r="M131" s="9">
        <f>2*(Inputs!$C$9/(Inputs!$C$10^2))*A131</f>
        <v/>
      </c>
      <c r="N131" s="9">
        <f>M131*Inputs!$C$11</f>
        <v/>
      </c>
      <c r="O131" s="9">
        <f>1000*(D132-D130)/(A132-A130)*Inputs!$C$11</f>
        <v/>
      </c>
      <c r="P131" s="9">
        <f>-2*O131/Inputs!$C$13</f>
        <v/>
      </c>
      <c r="Q131" s="9">
        <f>-2*O131/Inputs!$C$14</f>
        <v/>
      </c>
      <c r="R131" s="9">
        <f>F131-Inputs!$C$16/2</f>
        <v/>
      </c>
      <c r="S131" s="9">
        <f>F131+Inputs!$C$16/2</f>
        <v/>
      </c>
      <c r="T131" s="9">
        <f>F131-Inputs!$C$17/2</f>
        <v/>
      </c>
      <c r="U131" s="9">
        <f>F131+Inputs!$C$17/2</f>
        <v/>
      </c>
      <c r="V131" s="9">
        <f>ABS(P131)</f>
        <v/>
      </c>
      <c r="W131" s="9">
        <f>ABS(Q131)</f>
        <v/>
      </c>
      <c r="X131" s="9">
        <f>IF(OR(Inputs!$C$27=TRUE,Inputs!$C$27="TRUE",Inputs!$C$27=1),1,0)*(Inputs!$C$51*(115*EXP(-(((0)-25)^2)/(4.5^2))+70*EXP(-(((0)+38)^2)/(7^2))*(0.55+0.45*SIN(2*PI()*(A131)/45))+24*SIN(2*PI()*(0)/9+(A131)/18)*EXP(-(((0)+5)^2)/(22^2))+18*SIN(2*PI()*(A131)/70))+Inputs!$C$28*EXP(-(((A131)-Inputs!$C$29)^2)/(2*Inputs!$C$31^2))*EXP(-(((0)-Inputs!$C$30)^2)/(2*Inputs!$C$32^2))+-Inputs!$C$33*EXP(-(((((A131)-Inputs!$C$34)^2)+(((0)-Inputs!$C$35)^2))/(2*Inputs!$C$36^2)))+Inputs!$C$37*(0.55*SIN(2*PI()*(A131)/Inputs!$C$39)+0.35*COS(2*PI()*(0)/Inputs!$C$40)+0.2*SIN(2*PI()*((A131)+(0))/(0.5*(Inputs!$C$39+Inputs!$C$40))))+Inputs!$C$38*SIN(2*PI()*(A131)/Inputs!$C$39)*SIN(2*PI()*(0)/Inputs!$C$40)+-Inputs!$C$41*EXP(-(((0)-Inputs!$C$43)^2)/(2*Inputs!$C$44^2))*EXP(-(((A131)-Inputs!$C$42)^2)/(2*Inputs!$C$45^2))+Inputs!$C$48*(0.7*(0.45*SIN(2*PI()*(((A131)/Inputs!$C$49)+Inputs!$C$47*0.137))+0.35*COS(2*PI()*(((0)/Inputs!$C$50)+Inputs!$C$47*0.173))+0.2*SIN(2*PI()*(((A131)+(0))/(0.5*(Inputs!$C$49+Inputs!$C$50))+Inputs!$C$47*0.097)))+0.3*(2*((SIN(((A131)*12.9898+(0)*78.233+Inputs!$C$47*37.719))*43758.5453)-INT((SIN(((A131)*12.9898+(0)*78.233+Inputs!$C$47*37.719))*43758.5453)))-1)))</f>
        <v/>
      </c>
      <c r="Y131" s="9">
        <f>IF(OR(Inputs!$C$27=TRUE,Inputs!$C$27="TRUE",Inputs!$C$27=1),1,0)*(Inputs!$C$51*(115*EXP(-(((Inputs!$C$6)-25)^2)/(4.5^2))+70*EXP(-(((Inputs!$C$6)+38)^2)/(7^2))*(0.55+0.45*SIN(2*PI()*(A131)/45))+24*SIN(2*PI()*(Inputs!$C$6)/9+(A131)/18)*EXP(-(((Inputs!$C$6)+5)^2)/(22^2))+18*SIN(2*PI()*(A131)/70))+Inputs!$C$28*EXP(-(((A131)-Inputs!$C$29)^2)/(2*Inputs!$C$31^2))*EXP(-(((Inputs!$C$6)-Inputs!$C$30)^2)/(2*Inputs!$C$32^2))+-Inputs!$C$33*EXP(-(((((A131)-Inputs!$C$34)^2)+(((Inputs!$C$6)-Inputs!$C$35)^2))/(2*Inputs!$C$36^2)))+Inputs!$C$37*(0.55*SIN(2*PI()*(A131)/Inputs!$C$39)+0.35*COS(2*PI()*(Inputs!$C$6)/Inputs!$C$40)+0.2*SIN(2*PI()*((A131)+(Inputs!$C$6))/(0.5*(Inputs!$C$39+Inputs!$C$40))))+Inputs!$C$38*SIN(2*PI()*(A131)/Inputs!$C$39)*SIN(2*PI()*(Inputs!$C$6)/Inputs!$C$40)+-Inputs!$C$41*EXP(-(((Inputs!$C$6)-Inputs!$C$43)^2)/(2*Inputs!$C$44^2))*EXP(-(((A131)-Inputs!$C$42)^2)/(2*Inputs!$C$45^2))+Inputs!$C$48*(0.7*(0.45*SIN(2*PI()*(((A131)/Inputs!$C$49)+Inputs!$C$47*0.137))+0.35*COS(2*PI()*(((Inputs!$C$6)/Inputs!$C$50)+Inputs!$C$47*0.173))+0.2*SIN(2*PI()*(((A131)+(Inputs!$C$6))/(0.5*(Inputs!$C$49+Inputs!$C$50))+Inputs!$C$47*0.097)))+0.3*(2*((SIN(((A131)*12.9898+(Inputs!$C$6)*78.233+Inputs!$C$47*37.719))*43758.5453)-INT((SIN(((A131)*12.9898+(Inputs!$C$6)*78.233+Inputs!$C$47*37.719))*43758.5453)))-1)))</f>
        <v/>
      </c>
      <c r="Z131" s="9">
        <f>B131-X131/1000</f>
        <v/>
      </c>
      <c r="AA131" s="9">
        <f>SQRT((Inputs!$C$52+B131)^2+(Inputs!$C$52+Y131/1000)^2-2*(Inputs!$C$52+B131)*(Inputs!$C$52+Y131/1000)*COS(SQRT(A131^2+Inputs!$C$6^2)/Inputs!$C$52))</f>
        <v/>
      </c>
      <c r="AB131" s="9">
        <f>(AA131-Z131)*1000</f>
        <v/>
      </c>
      <c r="AC131" s="9">
        <f>AB131/Inputs!$C$12</f>
        <v/>
      </c>
      <c r="AD131" s="9">
        <f>2*AB131/Inputs!$C$21*1000000</f>
        <v/>
      </c>
      <c r="AE131" s="9">
        <f>DEGREES(ATAN(H131/(B131-Y131/1000)))</f>
        <v/>
      </c>
      <c r="AF131" s="9">
        <f>DEGREES((2*PI()/Inputs!$C$13)*Inputs!$C$15*SIN(RADIANS(AE131)))</f>
        <v/>
      </c>
      <c r="AG131" s="9">
        <f>(Z131/AA131)^4</f>
        <v/>
      </c>
      <c r="AH131" s="9">
        <f>10*LOG10(AG131)</f>
        <v/>
      </c>
      <c r="AI131" s="9">
        <f>AC131-F131</f>
        <v/>
      </c>
      <c r="AJ131" s="9">
        <f>AD131-G131</f>
        <v/>
      </c>
      <c r="AK131" s="9">
        <f>Y131-X131</f>
        <v/>
      </c>
      <c r="AL131" s="9">
        <f>1000*(AA132-AA130)/(A132-A130)*Inputs!$C$11</f>
        <v/>
      </c>
      <c r="AM131" s="9">
        <f>-2*AL131/Inputs!$C$13</f>
        <v/>
      </c>
      <c r="AN131" s="9">
        <f>-2*AL131/Inputs!$C$14</f>
        <v/>
      </c>
      <c r="AO131" s="9">
        <f>ABS(AM131)</f>
        <v/>
      </c>
      <c r="AP131" s="9">
        <f>ABS(AN131)</f>
        <v/>
      </c>
      <c r="AQ131" s="9">
        <f>IF(OR(Inputs!$C$27=TRUE,Inputs!$C$27="TRUE",Inputs!$C$27=1),Inputs!$C$46/Inputs!$C$12,0)</f>
        <v/>
      </c>
      <c r="AR131" s="9">
        <f>AC131-AQ131</f>
        <v/>
      </c>
      <c r="AS131" s="9">
        <f>AC131+AQ131</f>
        <v/>
      </c>
    </row>
    <row r="132">
      <c r="A132" s="9">
        <f>Inputs!$C$7+130*(Inputs!$C$8-Inputs!$C$7)/240</f>
        <v/>
      </c>
      <c r="B132" s="9">
        <f>Inputs!$C$5+Inputs!$C$9*(A132/Inputs!$C$10)^2</f>
        <v/>
      </c>
      <c r="C132" s="9">
        <f>B132</f>
        <v/>
      </c>
      <c r="D132" s="9">
        <f>SQRT((Inputs!$C$52+B132)^2+Inputs!$C$52^2-2*(Inputs!$C$52+B132)*Inputs!$C$52*COS(SQRT(A132^2+Inputs!$C$6^2)/Inputs!$C$52))</f>
        <v/>
      </c>
      <c r="E132" s="9">
        <f>(D132-C132)*1000</f>
        <v/>
      </c>
      <c r="F132" s="9">
        <f>E132/Inputs!$C$12</f>
        <v/>
      </c>
      <c r="G132" s="9">
        <f>2*E132/Inputs!$C$21*1000000</f>
        <v/>
      </c>
      <c r="H132" s="9">
        <f>SQRT(A132^2+Inputs!$C$6^2)</f>
        <v/>
      </c>
      <c r="I132" s="9">
        <f>DEGREES(ATAN(H132/B132))</f>
        <v/>
      </c>
      <c r="J132" s="9">
        <f>DEGREES((2*PI()/Inputs!$C$13)*Inputs!$C$15*SIN(RADIANS(I132)))</f>
        <v/>
      </c>
      <c r="K132" s="9">
        <f>(C132/D132)^4</f>
        <v/>
      </c>
      <c r="L132" s="9">
        <f>10*LOG10(K132)</f>
        <v/>
      </c>
      <c r="M132" s="9">
        <f>2*(Inputs!$C$9/(Inputs!$C$10^2))*A132</f>
        <v/>
      </c>
      <c r="N132" s="9">
        <f>M132*Inputs!$C$11</f>
        <v/>
      </c>
      <c r="O132" s="9">
        <f>1000*(D133-D131)/(A133-A131)*Inputs!$C$11</f>
        <v/>
      </c>
      <c r="P132" s="9">
        <f>-2*O132/Inputs!$C$13</f>
        <v/>
      </c>
      <c r="Q132" s="9">
        <f>-2*O132/Inputs!$C$14</f>
        <v/>
      </c>
      <c r="R132" s="9">
        <f>F132-Inputs!$C$16/2</f>
        <v/>
      </c>
      <c r="S132" s="9">
        <f>F132+Inputs!$C$16/2</f>
        <v/>
      </c>
      <c r="T132" s="9">
        <f>F132-Inputs!$C$17/2</f>
        <v/>
      </c>
      <c r="U132" s="9">
        <f>F132+Inputs!$C$17/2</f>
        <v/>
      </c>
      <c r="V132" s="9">
        <f>ABS(P132)</f>
        <v/>
      </c>
      <c r="W132" s="9">
        <f>ABS(Q132)</f>
        <v/>
      </c>
      <c r="X132" s="9">
        <f>IF(OR(Inputs!$C$27=TRUE,Inputs!$C$27="TRUE",Inputs!$C$27=1),1,0)*(Inputs!$C$51*(115*EXP(-(((0)-25)^2)/(4.5^2))+70*EXP(-(((0)+38)^2)/(7^2))*(0.55+0.45*SIN(2*PI()*(A132)/45))+24*SIN(2*PI()*(0)/9+(A132)/18)*EXP(-(((0)+5)^2)/(22^2))+18*SIN(2*PI()*(A132)/70))+Inputs!$C$28*EXP(-(((A132)-Inputs!$C$29)^2)/(2*Inputs!$C$31^2))*EXP(-(((0)-Inputs!$C$30)^2)/(2*Inputs!$C$32^2))+-Inputs!$C$33*EXP(-(((((A132)-Inputs!$C$34)^2)+(((0)-Inputs!$C$35)^2))/(2*Inputs!$C$36^2)))+Inputs!$C$37*(0.55*SIN(2*PI()*(A132)/Inputs!$C$39)+0.35*COS(2*PI()*(0)/Inputs!$C$40)+0.2*SIN(2*PI()*((A132)+(0))/(0.5*(Inputs!$C$39+Inputs!$C$40))))+Inputs!$C$38*SIN(2*PI()*(A132)/Inputs!$C$39)*SIN(2*PI()*(0)/Inputs!$C$40)+-Inputs!$C$41*EXP(-(((0)-Inputs!$C$43)^2)/(2*Inputs!$C$44^2))*EXP(-(((A132)-Inputs!$C$42)^2)/(2*Inputs!$C$45^2))+Inputs!$C$48*(0.7*(0.45*SIN(2*PI()*(((A132)/Inputs!$C$49)+Inputs!$C$47*0.137))+0.35*COS(2*PI()*(((0)/Inputs!$C$50)+Inputs!$C$47*0.173))+0.2*SIN(2*PI()*(((A132)+(0))/(0.5*(Inputs!$C$49+Inputs!$C$50))+Inputs!$C$47*0.097)))+0.3*(2*((SIN(((A132)*12.9898+(0)*78.233+Inputs!$C$47*37.719))*43758.5453)-INT((SIN(((A132)*12.9898+(0)*78.233+Inputs!$C$47*37.719))*43758.5453)))-1)))</f>
        <v/>
      </c>
      <c r="Y132" s="9">
        <f>IF(OR(Inputs!$C$27=TRUE,Inputs!$C$27="TRUE",Inputs!$C$27=1),1,0)*(Inputs!$C$51*(115*EXP(-(((Inputs!$C$6)-25)^2)/(4.5^2))+70*EXP(-(((Inputs!$C$6)+38)^2)/(7^2))*(0.55+0.45*SIN(2*PI()*(A132)/45))+24*SIN(2*PI()*(Inputs!$C$6)/9+(A132)/18)*EXP(-(((Inputs!$C$6)+5)^2)/(22^2))+18*SIN(2*PI()*(A132)/70))+Inputs!$C$28*EXP(-(((A132)-Inputs!$C$29)^2)/(2*Inputs!$C$31^2))*EXP(-(((Inputs!$C$6)-Inputs!$C$30)^2)/(2*Inputs!$C$32^2))+-Inputs!$C$33*EXP(-(((((A132)-Inputs!$C$34)^2)+(((Inputs!$C$6)-Inputs!$C$35)^2))/(2*Inputs!$C$36^2)))+Inputs!$C$37*(0.55*SIN(2*PI()*(A132)/Inputs!$C$39)+0.35*COS(2*PI()*(Inputs!$C$6)/Inputs!$C$40)+0.2*SIN(2*PI()*((A132)+(Inputs!$C$6))/(0.5*(Inputs!$C$39+Inputs!$C$40))))+Inputs!$C$38*SIN(2*PI()*(A132)/Inputs!$C$39)*SIN(2*PI()*(Inputs!$C$6)/Inputs!$C$40)+-Inputs!$C$41*EXP(-(((Inputs!$C$6)-Inputs!$C$43)^2)/(2*Inputs!$C$44^2))*EXP(-(((A132)-Inputs!$C$42)^2)/(2*Inputs!$C$45^2))+Inputs!$C$48*(0.7*(0.45*SIN(2*PI()*(((A132)/Inputs!$C$49)+Inputs!$C$47*0.137))+0.35*COS(2*PI()*(((Inputs!$C$6)/Inputs!$C$50)+Inputs!$C$47*0.173))+0.2*SIN(2*PI()*(((A132)+(Inputs!$C$6))/(0.5*(Inputs!$C$49+Inputs!$C$50))+Inputs!$C$47*0.097)))+0.3*(2*((SIN(((A132)*12.9898+(Inputs!$C$6)*78.233+Inputs!$C$47*37.719))*43758.5453)-INT((SIN(((A132)*12.9898+(Inputs!$C$6)*78.233+Inputs!$C$47*37.719))*43758.5453)))-1)))</f>
        <v/>
      </c>
      <c r="Z132" s="9">
        <f>B132-X132/1000</f>
        <v/>
      </c>
      <c r="AA132" s="9">
        <f>SQRT((Inputs!$C$52+B132)^2+(Inputs!$C$52+Y132/1000)^2-2*(Inputs!$C$52+B132)*(Inputs!$C$52+Y132/1000)*COS(SQRT(A132^2+Inputs!$C$6^2)/Inputs!$C$52))</f>
        <v/>
      </c>
      <c r="AB132" s="9">
        <f>(AA132-Z132)*1000</f>
        <v/>
      </c>
      <c r="AC132" s="9">
        <f>AB132/Inputs!$C$12</f>
        <v/>
      </c>
      <c r="AD132" s="9">
        <f>2*AB132/Inputs!$C$21*1000000</f>
        <v/>
      </c>
      <c r="AE132" s="9">
        <f>DEGREES(ATAN(H132/(B132-Y132/1000)))</f>
        <v/>
      </c>
      <c r="AF132" s="9">
        <f>DEGREES((2*PI()/Inputs!$C$13)*Inputs!$C$15*SIN(RADIANS(AE132)))</f>
        <v/>
      </c>
      <c r="AG132" s="9">
        <f>(Z132/AA132)^4</f>
        <v/>
      </c>
      <c r="AH132" s="9">
        <f>10*LOG10(AG132)</f>
        <v/>
      </c>
      <c r="AI132" s="9">
        <f>AC132-F132</f>
        <v/>
      </c>
      <c r="AJ132" s="9">
        <f>AD132-G132</f>
        <v/>
      </c>
      <c r="AK132" s="9">
        <f>Y132-X132</f>
        <v/>
      </c>
      <c r="AL132" s="9">
        <f>1000*(AA133-AA131)/(A133-A131)*Inputs!$C$11</f>
        <v/>
      </c>
      <c r="AM132" s="9">
        <f>-2*AL132/Inputs!$C$13</f>
        <v/>
      </c>
      <c r="AN132" s="9">
        <f>-2*AL132/Inputs!$C$14</f>
        <v/>
      </c>
      <c r="AO132" s="9">
        <f>ABS(AM132)</f>
        <v/>
      </c>
      <c r="AP132" s="9">
        <f>ABS(AN132)</f>
        <v/>
      </c>
      <c r="AQ132" s="9">
        <f>IF(OR(Inputs!$C$27=TRUE,Inputs!$C$27="TRUE",Inputs!$C$27=1),Inputs!$C$46/Inputs!$C$12,0)</f>
        <v/>
      </c>
      <c r="AR132" s="9">
        <f>AC132-AQ132</f>
        <v/>
      </c>
      <c r="AS132" s="9">
        <f>AC132+AQ132</f>
        <v/>
      </c>
    </row>
    <row r="133">
      <c r="A133" s="9">
        <f>Inputs!$C$7+131*(Inputs!$C$8-Inputs!$C$7)/240</f>
        <v/>
      </c>
      <c r="B133" s="9">
        <f>Inputs!$C$5+Inputs!$C$9*(A133/Inputs!$C$10)^2</f>
        <v/>
      </c>
      <c r="C133" s="9">
        <f>B133</f>
        <v/>
      </c>
      <c r="D133" s="9">
        <f>SQRT((Inputs!$C$52+B133)^2+Inputs!$C$52^2-2*(Inputs!$C$52+B133)*Inputs!$C$52*COS(SQRT(A133^2+Inputs!$C$6^2)/Inputs!$C$52))</f>
        <v/>
      </c>
      <c r="E133" s="9">
        <f>(D133-C133)*1000</f>
        <v/>
      </c>
      <c r="F133" s="9">
        <f>E133/Inputs!$C$12</f>
        <v/>
      </c>
      <c r="G133" s="9">
        <f>2*E133/Inputs!$C$21*1000000</f>
        <v/>
      </c>
      <c r="H133" s="9">
        <f>SQRT(A133^2+Inputs!$C$6^2)</f>
        <v/>
      </c>
      <c r="I133" s="9">
        <f>DEGREES(ATAN(H133/B133))</f>
        <v/>
      </c>
      <c r="J133" s="9">
        <f>DEGREES((2*PI()/Inputs!$C$13)*Inputs!$C$15*SIN(RADIANS(I133)))</f>
        <v/>
      </c>
      <c r="K133" s="9">
        <f>(C133/D133)^4</f>
        <v/>
      </c>
      <c r="L133" s="9">
        <f>10*LOG10(K133)</f>
        <v/>
      </c>
      <c r="M133" s="9">
        <f>2*(Inputs!$C$9/(Inputs!$C$10^2))*A133</f>
        <v/>
      </c>
      <c r="N133" s="9">
        <f>M133*Inputs!$C$11</f>
        <v/>
      </c>
      <c r="O133" s="9">
        <f>1000*(D134-D132)/(A134-A132)*Inputs!$C$11</f>
        <v/>
      </c>
      <c r="P133" s="9">
        <f>-2*O133/Inputs!$C$13</f>
        <v/>
      </c>
      <c r="Q133" s="9">
        <f>-2*O133/Inputs!$C$14</f>
        <v/>
      </c>
      <c r="R133" s="9">
        <f>F133-Inputs!$C$16/2</f>
        <v/>
      </c>
      <c r="S133" s="9">
        <f>F133+Inputs!$C$16/2</f>
        <v/>
      </c>
      <c r="T133" s="9">
        <f>F133-Inputs!$C$17/2</f>
        <v/>
      </c>
      <c r="U133" s="9">
        <f>F133+Inputs!$C$17/2</f>
        <v/>
      </c>
      <c r="V133" s="9">
        <f>ABS(P133)</f>
        <v/>
      </c>
      <c r="W133" s="9">
        <f>ABS(Q133)</f>
        <v/>
      </c>
      <c r="X133" s="9">
        <f>IF(OR(Inputs!$C$27=TRUE,Inputs!$C$27="TRUE",Inputs!$C$27=1),1,0)*(Inputs!$C$51*(115*EXP(-(((0)-25)^2)/(4.5^2))+70*EXP(-(((0)+38)^2)/(7^2))*(0.55+0.45*SIN(2*PI()*(A133)/45))+24*SIN(2*PI()*(0)/9+(A133)/18)*EXP(-(((0)+5)^2)/(22^2))+18*SIN(2*PI()*(A133)/70))+Inputs!$C$28*EXP(-(((A133)-Inputs!$C$29)^2)/(2*Inputs!$C$31^2))*EXP(-(((0)-Inputs!$C$30)^2)/(2*Inputs!$C$32^2))+-Inputs!$C$33*EXP(-(((((A133)-Inputs!$C$34)^2)+(((0)-Inputs!$C$35)^2))/(2*Inputs!$C$36^2)))+Inputs!$C$37*(0.55*SIN(2*PI()*(A133)/Inputs!$C$39)+0.35*COS(2*PI()*(0)/Inputs!$C$40)+0.2*SIN(2*PI()*((A133)+(0))/(0.5*(Inputs!$C$39+Inputs!$C$40))))+Inputs!$C$38*SIN(2*PI()*(A133)/Inputs!$C$39)*SIN(2*PI()*(0)/Inputs!$C$40)+-Inputs!$C$41*EXP(-(((0)-Inputs!$C$43)^2)/(2*Inputs!$C$44^2))*EXP(-(((A133)-Inputs!$C$42)^2)/(2*Inputs!$C$45^2))+Inputs!$C$48*(0.7*(0.45*SIN(2*PI()*(((A133)/Inputs!$C$49)+Inputs!$C$47*0.137))+0.35*COS(2*PI()*(((0)/Inputs!$C$50)+Inputs!$C$47*0.173))+0.2*SIN(2*PI()*(((A133)+(0))/(0.5*(Inputs!$C$49+Inputs!$C$50))+Inputs!$C$47*0.097)))+0.3*(2*((SIN(((A133)*12.9898+(0)*78.233+Inputs!$C$47*37.719))*43758.5453)-INT((SIN(((A133)*12.9898+(0)*78.233+Inputs!$C$47*37.719))*43758.5453)))-1)))</f>
        <v/>
      </c>
      <c r="Y133" s="9">
        <f>IF(OR(Inputs!$C$27=TRUE,Inputs!$C$27="TRUE",Inputs!$C$27=1),1,0)*(Inputs!$C$51*(115*EXP(-(((Inputs!$C$6)-25)^2)/(4.5^2))+70*EXP(-(((Inputs!$C$6)+38)^2)/(7^2))*(0.55+0.45*SIN(2*PI()*(A133)/45))+24*SIN(2*PI()*(Inputs!$C$6)/9+(A133)/18)*EXP(-(((Inputs!$C$6)+5)^2)/(22^2))+18*SIN(2*PI()*(A133)/70))+Inputs!$C$28*EXP(-(((A133)-Inputs!$C$29)^2)/(2*Inputs!$C$31^2))*EXP(-(((Inputs!$C$6)-Inputs!$C$30)^2)/(2*Inputs!$C$32^2))+-Inputs!$C$33*EXP(-(((((A133)-Inputs!$C$34)^2)+(((Inputs!$C$6)-Inputs!$C$35)^2))/(2*Inputs!$C$36^2)))+Inputs!$C$37*(0.55*SIN(2*PI()*(A133)/Inputs!$C$39)+0.35*COS(2*PI()*(Inputs!$C$6)/Inputs!$C$40)+0.2*SIN(2*PI()*((A133)+(Inputs!$C$6))/(0.5*(Inputs!$C$39+Inputs!$C$40))))+Inputs!$C$38*SIN(2*PI()*(A133)/Inputs!$C$39)*SIN(2*PI()*(Inputs!$C$6)/Inputs!$C$40)+-Inputs!$C$41*EXP(-(((Inputs!$C$6)-Inputs!$C$43)^2)/(2*Inputs!$C$44^2))*EXP(-(((A133)-Inputs!$C$42)^2)/(2*Inputs!$C$45^2))+Inputs!$C$48*(0.7*(0.45*SIN(2*PI()*(((A133)/Inputs!$C$49)+Inputs!$C$47*0.137))+0.35*COS(2*PI()*(((Inputs!$C$6)/Inputs!$C$50)+Inputs!$C$47*0.173))+0.2*SIN(2*PI()*(((A133)+(Inputs!$C$6))/(0.5*(Inputs!$C$49+Inputs!$C$50))+Inputs!$C$47*0.097)))+0.3*(2*((SIN(((A133)*12.9898+(Inputs!$C$6)*78.233+Inputs!$C$47*37.719))*43758.5453)-INT((SIN(((A133)*12.9898+(Inputs!$C$6)*78.233+Inputs!$C$47*37.719))*43758.5453)))-1)))</f>
        <v/>
      </c>
      <c r="Z133" s="9">
        <f>B133-X133/1000</f>
        <v/>
      </c>
      <c r="AA133" s="9">
        <f>SQRT((Inputs!$C$52+B133)^2+(Inputs!$C$52+Y133/1000)^2-2*(Inputs!$C$52+B133)*(Inputs!$C$52+Y133/1000)*COS(SQRT(A133^2+Inputs!$C$6^2)/Inputs!$C$52))</f>
        <v/>
      </c>
      <c r="AB133" s="9">
        <f>(AA133-Z133)*1000</f>
        <v/>
      </c>
      <c r="AC133" s="9">
        <f>AB133/Inputs!$C$12</f>
        <v/>
      </c>
      <c r="AD133" s="9">
        <f>2*AB133/Inputs!$C$21*1000000</f>
        <v/>
      </c>
      <c r="AE133" s="9">
        <f>DEGREES(ATAN(H133/(B133-Y133/1000)))</f>
        <v/>
      </c>
      <c r="AF133" s="9">
        <f>DEGREES((2*PI()/Inputs!$C$13)*Inputs!$C$15*SIN(RADIANS(AE133)))</f>
        <v/>
      </c>
      <c r="AG133" s="9">
        <f>(Z133/AA133)^4</f>
        <v/>
      </c>
      <c r="AH133" s="9">
        <f>10*LOG10(AG133)</f>
        <v/>
      </c>
      <c r="AI133" s="9">
        <f>AC133-F133</f>
        <v/>
      </c>
      <c r="AJ133" s="9">
        <f>AD133-G133</f>
        <v/>
      </c>
      <c r="AK133" s="9">
        <f>Y133-X133</f>
        <v/>
      </c>
      <c r="AL133" s="9">
        <f>1000*(AA134-AA132)/(A134-A132)*Inputs!$C$11</f>
        <v/>
      </c>
      <c r="AM133" s="9">
        <f>-2*AL133/Inputs!$C$13</f>
        <v/>
      </c>
      <c r="AN133" s="9">
        <f>-2*AL133/Inputs!$C$14</f>
        <v/>
      </c>
      <c r="AO133" s="9">
        <f>ABS(AM133)</f>
        <v/>
      </c>
      <c r="AP133" s="9">
        <f>ABS(AN133)</f>
        <v/>
      </c>
      <c r="AQ133" s="9">
        <f>IF(OR(Inputs!$C$27=TRUE,Inputs!$C$27="TRUE",Inputs!$C$27=1),Inputs!$C$46/Inputs!$C$12,0)</f>
        <v/>
      </c>
      <c r="AR133" s="9">
        <f>AC133-AQ133</f>
        <v/>
      </c>
      <c r="AS133" s="9">
        <f>AC133+AQ133</f>
        <v/>
      </c>
    </row>
    <row r="134">
      <c r="A134" s="9">
        <f>Inputs!$C$7+132*(Inputs!$C$8-Inputs!$C$7)/240</f>
        <v/>
      </c>
      <c r="B134" s="9">
        <f>Inputs!$C$5+Inputs!$C$9*(A134/Inputs!$C$10)^2</f>
        <v/>
      </c>
      <c r="C134" s="9">
        <f>B134</f>
        <v/>
      </c>
      <c r="D134" s="9">
        <f>SQRT((Inputs!$C$52+B134)^2+Inputs!$C$52^2-2*(Inputs!$C$52+B134)*Inputs!$C$52*COS(SQRT(A134^2+Inputs!$C$6^2)/Inputs!$C$52))</f>
        <v/>
      </c>
      <c r="E134" s="9">
        <f>(D134-C134)*1000</f>
        <v/>
      </c>
      <c r="F134" s="9">
        <f>E134/Inputs!$C$12</f>
        <v/>
      </c>
      <c r="G134" s="9">
        <f>2*E134/Inputs!$C$21*1000000</f>
        <v/>
      </c>
      <c r="H134" s="9">
        <f>SQRT(A134^2+Inputs!$C$6^2)</f>
        <v/>
      </c>
      <c r="I134" s="9">
        <f>DEGREES(ATAN(H134/B134))</f>
        <v/>
      </c>
      <c r="J134" s="9">
        <f>DEGREES((2*PI()/Inputs!$C$13)*Inputs!$C$15*SIN(RADIANS(I134)))</f>
        <v/>
      </c>
      <c r="K134" s="9">
        <f>(C134/D134)^4</f>
        <v/>
      </c>
      <c r="L134" s="9">
        <f>10*LOG10(K134)</f>
        <v/>
      </c>
      <c r="M134" s="9">
        <f>2*(Inputs!$C$9/(Inputs!$C$10^2))*A134</f>
        <v/>
      </c>
      <c r="N134" s="9">
        <f>M134*Inputs!$C$11</f>
        <v/>
      </c>
      <c r="O134" s="9">
        <f>1000*(D135-D133)/(A135-A133)*Inputs!$C$11</f>
        <v/>
      </c>
      <c r="P134" s="9">
        <f>-2*O134/Inputs!$C$13</f>
        <v/>
      </c>
      <c r="Q134" s="9">
        <f>-2*O134/Inputs!$C$14</f>
        <v/>
      </c>
      <c r="R134" s="9">
        <f>F134-Inputs!$C$16/2</f>
        <v/>
      </c>
      <c r="S134" s="9">
        <f>F134+Inputs!$C$16/2</f>
        <v/>
      </c>
      <c r="T134" s="9">
        <f>F134-Inputs!$C$17/2</f>
        <v/>
      </c>
      <c r="U134" s="9">
        <f>F134+Inputs!$C$17/2</f>
        <v/>
      </c>
      <c r="V134" s="9">
        <f>ABS(P134)</f>
        <v/>
      </c>
      <c r="W134" s="9">
        <f>ABS(Q134)</f>
        <v/>
      </c>
      <c r="X134" s="9">
        <f>IF(OR(Inputs!$C$27=TRUE,Inputs!$C$27="TRUE",Inputs!$C$27=1),1,0)*(Inputs!$C$51*(115*EXP(-(((0)-25)^2)/(4.5^2))+70*EXP(-(((0)+38)^2)/(7^2))*(0.55+0.45*SIN(2*PI()*(A134)/45))+24*SIN(2*PI()*(0)/9+(A134)/18)*EXP(-(((0)+5)^2)/(22^2))+18*SIN(2*PI()*(A134)/70))+Inputs!$C$28*EXP(-(((A134)-Inputs!$C$29)^2)/(2*Inputs!$C$31^2))*EXP(-(((0)-Inputs!$C$30)^2)/(2*Inputs!$C$32^2))+-Inputs!$C$33*EXP(-(((((A134)-Inputs!$C$34)^2)+(((0)-Inputs!$C$35)^2))/(2*Inputs!$C$36^2)))+Inputs!$C$37*(0.55*SIN(2*PI()*(A134)/Inputs!$C$39)+0.35*COS(2*PI()*(0)/Inputs!$C$40)+0.2*SIN(2*PI()*((A134)+(0))/(0.5*(Inputs!$C$39+Inputs!$C$40))))+Inputs!$C$38*SIN(2*PI()*(A134)/Inputs!$C$39)*SIN(2*PI()*(0)/Inputs!$C$40)+-Inputs!$C$41*EXP(-(((0)-Inputs!$C$43)^2)/(2*Inputs!$C$44^2))*EXP(-(((A134)-Inputs!$C$42)^2)/(2*Inputs!$C$45^2))+Inputs!$C$48*(0.7*(0.45*SIN(2*PI()*(((A134)/Inputs!$C$49)+Inputs!$C$47*0.137))+0.35*COS(2*PI()*(((0)/Inputs!$C$50)+Inputs!$C$47*0.173))+0.2*SIN(2*PI()*(((A134)+(0))/(0.5*(Inputs!$C$49+Inputs!$C$50))+Inputs!$C$47*0.097)))+0.3*(2*((SIN(((A134)*12.9898+(0)*78.233+Inputs!$C$47*37.719))*43758.5453)-INT((SIN(((A134)*12.9898+(0)*78.233+Inputs!$C$47*37.719))*43758.5453)))-1)))</f>
        <v/>
      </c>
      <c r="Y134" s="9">
        <f>IF(OR(Inputs!$C$27=TRUE,Inputs!$C$27="TRUE",Inputs!$C$27=1),1,0)*(Inputs!$C$51*(115*EXP(-(((Inputs!$C$6)-25)^2)/(4.5^2))+70*EXP(-(((Inputs!$C$6)+38)^2)/(7^2))*(0.55+0.45*SIN(2*PI()*(A134)/45))+24*SIN(2*PI()*(Inputs!$C$6)/9+(A134)/18)*EXP(-(((Inputs!$C$6)+5)^2)/(22^2))+18*SIN(2*PI()*(A134)/70))+Inputs!$C$28*EXP(-(((A134)-Inputs!$C$29)^2)/(2*Inputs!$C$31^2))*EXP(-(((Inputs!$C$6)-Inputs!$C$30)^2)/(2*Inputs!$C$32^2))+-Inputs!$C$33*EXP(-(((((A134)-Inputs!$C$34)^2)+(((Inputs!$C$6)-Inputs!$C$35)^2))/(2*Inputs!$C$36^2)))+Inputs!$C$37*(0.55*SIN(2*PI()*(A134)/Inputs!$C$39)+0.35*COS(2*PI()*(Inputs!$C$6)/Inputs!$C$40)+0.2*SIN(2*PI()*((A134)+(Inputs!$C$6))/(0.5*(Inputs!$C$39+Inputs!$C$40))))+Inputs!$C$38*SIN(2*PI()*(A134)/Inputs!$C$39)*SIN(2*PI()*(Inputs!$C$6)/Inputs!$C$40)+-Inputs!$C$41*EXP(-(((Inputs!$C$6)-Inputs!$C$43)^2)/(2*Inputs!$C$44^2))*EXP(-(((A134)-Inputs!$C$42)^2)/(2*Inputs!$C$45^2))+Inputs!$C$48*(0.7*(0.45*SIN(2*PI()*(((A134)/Inputs!$C$49)+Inputs!$C$47*0.137))+0.35*COS(2*PI()*(((Inputs!$C$6)/Inputs!$C$50)+Inputs!$C$47*0.173))+0.2*SIN(2*PI()*(((A134)+(Inputs!$C$6))/(0.5*(Inputs!$C$49+Inputs!$C$50))+Inputs!$C$47*0.097)))+0.3*(2*((SIN(((A134)*12.9898+(Inputs!$C$6)*78.233+Inputs!$C$47*37.719))*43758.5453)-INT((SIN(((A134)*12.9898+(Inputs!$C$6)*78.233+Inputs!$C$47*37.719))*43758.5453)))-1)))</f>
        <v/>
      </c>
      <c r="Z134" s="9">
        <f>B134-X134/1000</f>
        <v/>
      </c>
      <c r="AA134" s="9">
        <f>SQRT((Inputs!$C$52+B134)^2+(Inputs!$C$52+Y134/1000)^2-2*(Inputs!$C$52+B134)*(Inputs!$C$52+Y134/1000)*COS(SQRT(A134^2+Inputs!$C$6^2)/Inputs!$C$52))</f>
        <v/>
      </c>
      <c r="AB134" s="9">
        <f>(AA134-Z134)*1000</f>
        <v/>
      </c>
      <c r="AC134" s="9">
        <f>AB134/Inputs!$C$12</f>
        <v/>
      </c>
      <c r="AD134" s="9">
        <f>2*AB134/Inputs!$C$21*1000000</f>
        <v/>
      </c>
      <c r="AE134" s="9">
        <f>DEGREES(ATAN(H134/(B134-Y134/1000)))</f>
        <v/>
      </c>
      <c r="AF134" s="9">
        <f>DEGREES((2*PI()/Inputs!$C$13)*Inputs!$C$15*SIN(RADIANS(AE134)))</f>
        <v/>
      </c>
      <c r="AG134" s="9">
        <f>(Z134/AA134)^4</f>
        <v/>
      </c>
      <c r="AH134" s="9">
        <f>10*LOG10(AG134)</f>
        <v/>
      </c>
      <c r="AI134" s="9">
        <f>AC134-F134</f>
        <v/>
      </c>
      <c r="AJ134" s="9">
        <f>AD134-G134</f>
        <v/>
      </c>
      <c r="AK134" s="9">
        <f>Y134-X134</f>
        <v/>
      </c>
      <c r="AL134" s="9">
        <f>1000*(AA135-AA133)/(A135-A133)*Inputs!$C$11</f>
        <v/>
      </c>
      <c r="AM134" s="9">
        <f>-2*AL134/Inputs!$C$13</f>
        <v/>
      </c>
      <c r="AN134" s="9">
        <f>-2*AL134/Inputs!$C$14</f>
        <v/>
      </c>
      <c r="AO134" s="9">
        <f>ABS(AM134)</f>
        <v/>
      </c>
      <c r="AP134" s="9">
        <f>ABS(AN134)</f>
        <v/>
      </c>
      <c r="AQ134" s="9">
        <f>IF(OR(Inputs!$C$27=TRUE,Inputs!$C$27="TRUE",Inputs!$C$27=1),Inputs!$C$46/Inputs!$C$12,0)</f>
        <v/>
      </c>
      <c r="AR134" s="9">
        <f>AC134-AQ134</f>
        <v/>
      </c>
      <c r="AS134" s="9">
        <f>AC134+AQ134</f>
        <v/>
      </c>
    </row>
    <row r="135">
      <c r="A135" s="9">
        <f>Inputs!$C$7+133*(Inputs!$C$8-Inputs!$C$7)/240</f>
        <v/>
      </c>
      <c r="B135" s="9">
        <f>Inputs!$C$5+Inputs!$C$9*(A135/Inputs!$C$10)^2</f>
        <v/>
      </c>
      <c r="C135" s="9">
        <f>B135</f>
        <v/>
      </c>
      <c r="D135" s="9">
        <f>SQRT((Inputs!$C$52+B135)^2+Inputs!$C$52^2-2*(Inputs!$C$52+B135)*Inputs!$C$52*COS(SQRT(A135^2+Inputs!$C$6^2)/Inputs!$C$52))</f>
        <v/>
      </c>
      <c r="E135" s="9">
        <f>(D135-C135)*1000</f>
        <v/>
      </c>
      <c r="F135" s="9">
        <f>E135/Inputs!$C$12</f>
        <v/>
      </c>
      <c r="G135" s="9">
        <f>2*E135/Inputs!$C$21*1000000</f>
        <v/>
      </c>
      <c r="H135" s="9">
        <f>SQRT(A135^2+Inputs!$C$6^2)</f>
        <v/>
      </c>
      <c r="I135" s="9">
        <f>DEGREES(ATAN(H135/B135))</f>
        <v/>
      </c>
      <c r="J135" s="9">
        <f>DEGREES((2*PI()/Inputs!$C$13)*Inputs!$C$15*SIN(RADIANS(I135)))</f>
        <v/>
      </c>
      <c r="K135" s="9">
        <f>(C135/D135)^4</f>
        <v/>
      </c>
      <c r="L135" s="9">
        <f>10*LOG10(K135)</f>
        <v/>
      </c>
      <c r="M135" s="9">
        <f>2*(Inputs!$C$9/(Inputs!$C$10^2))*A135</f>
        <v/>
      </c>
      <c r="N135" s="9">
        <f>M135*Inputs!$C$11</f>
        <v/>
      </c>
      <c r="O135" s="9">
        <f>1000*(D136-D134)/(A136-A134)*Inputs!$C$11</f>
        <v/>
      </c>
      <c r="P135" s="9">
        <f>-2*O135/Inputs!$C$13</f>
        <v/>
      </c>
      <c r="Q135" s="9">
        <f>-2*O135/Inputs!$C$14</f>
        <v/>
      </c>
      <c r="R135" s="9">
        <f>F135-Inputs!$C$16/2</f>
        <v/>
      </c>
      <c r="S135" s="9">
        <f>F135+Inputs!$C$16/2</f>
        <v/>
      </c>
      <c r="T135" s="9">
        <f>F135-Inputs!$C$17/2</f>
        <v/>
      </c>
      <c r="U135" s="9">
        <f>F135+Inputs!$C$17/2</f>
        <v/>
      </c>
      <c r="V135" s="9">
        <f>ABS(P135)</f>
        <v/>
      </c>
      <c r="W135" s="9">
        <f>ABS(Q135)</f>
        <v/>
      </c>
      <c r="X135" s="9">
        <f>IF(OR(Inputs!$C$27=TRUE,Inputs!$C$27="TRUE",Inputs!$C$27=1),1,0)*(Inputs!$C$51*(115*EXP(-(((0)-25)^2)/(4.5^2))+70*EXP(-(((0)+38)^2)/(7^2))*(0.55+0.45*SIN(2*PI()*(A135)/45))+24*SIN(2*PI()*(0)/9+(A135)/18)*EXP(-(((0)+5)^2)/(22^2))+18*SIN(2*PI()*(A135)/70))+Inputs!$C$28*EXP(-(((A135)-Inputs!$C$29)^2)/(2*Inputs!$C$31^2))*EXP(-(((0)-Inputs!$C$30)^2)/(2*Inputs!$C$32^2))+-Inputs!$C$33*EXP(-(((((A135)-Inputs!$C$34)^2)+(((0)-Inputs!$C$35)^2))/(2*Inputs!$C$36^2)))+Inputs!$C$37*(0.55*SIN(2*PI()*(A135)/Inputs!$C$39)+0.35*COS(2*PI()*(0)/Inputs!$C$40)+0.2*SIN(2*PI()*((A135)+(0))/(0.5*(Inputs!$C$39+Inputs!$C$40))))+Inputs!$C$38*SIN(2*PI()*(A135)/Inputs!$C$39)*SIN(2*PI()*(0)/Inputs!$C$40)+-Inputs!$C$41*EXP(-(((0)-Inputs!$C$43)^2)/(2*Inputs!$C$44^2))*EXP(-(((A135)-Inputs!$C$42)^2)/(2*Inputs!$C$45^2))+Inputs!$C$48*(0.7*(0.45*SIN(2*PI()*(((A135)/Inputs!$C$49)+Inputs!$C$47*0.137))+0.35*COS(2*PI()*(((0)/Inputs!$C$50)+Inputs!$C$47*0.173))+0.2*SIN(2*PI()*(((A135)+(0))/(0.5*(Inputs!$C$49+Inputs!$C$50))+Inputs!$C$47*0.097)))+0.3*(2*((SIN(((A135)*12.9898+(0)*78.233+Inputs!$C$47*37.719))*43758.5453)-INT((SIN(((A135)*12.9898+(0)*78.233+Inputs!$C$47*37.719))*43758.5453)))-1)))</f>
        <v/>
      </c>
      <c r="Y135" s="9">
        <f>IF(OR(Inputs!$C$27=TRUE,Inputs!$C$27="TRUE",Inputs!$C$27=1),1,0)*(Inputs!$C$51*(115*EXP(-(((Inputs!$C$6)-25)^2)/(4.5^2))+70*EXP(-(((Inputs!$C$6)+38)^2)/(7^2))*(0.55+0.45*SIN(2*PI()*(A135)/45))+24*SIN(2*PI()*(Inputs!$C$6)/9+(A135)/18)*EXP(-(((Inputs!$C$6)+5)^2)/(22^2))+18*SIN(2*PI()*(A135)/70))+Inputs!$C$28*EXP(-(((A135)-Inputs!$C$29)^2)/(2*Inputs!$C$31^2))*EXP(-(((Inputs!$C$6)-Inputs!$C$30)^2)/(2*Inputs!$C$32^2))+-Inputs!$C$33*EXP(-(((((A135)-Inputs!$C$34)^2)+(((Inputs!$C$6)-Inputs!$C$35)^2))/(2*Inputs!$C$36^2)))+Inputs!$C$37*(0.55*SIN(2*PI()*(A135)/Inputs!$C$39)+0.35*COS(2*PI()*(Inputs!$C$6)/Inputs!$C$40)+0.2*SIN(2*PI()*((A135)+(Inputs!$C$6))/(0.5*(Inputs!$C$39+Inputs!$C$40))))+Inputs!$C$38*SIN(2*PI()*(A135)/Inputs!$C$39)*SIN(2*PI()*(Inputs!$C$6)/Inputs!$C$40)+-Inputs!$C$41*EXP(-(((Inputs!$C$6)-Inputs!$C$43)^2)/(2*Inputs!$C$44^2))*EXP(-(((A135)-Inputs!$C$42)^2)/(2*Inputs!$C$45^2))+Inputs!$C$48*(0.7*(0.45*SIN(2*PI()*(((A135)/Inputs!$C$49)+Inputs!$C$47*0.137))+0.35*COS(2*PI()*(((Inputs!$C$6)/Inputs!$C$50)+Inputs!$C$47*0.173))+0.2*SIN(2*PI()*(((A135)+(Inputs!$C$6))/(0.5*(Inputs!$C$49+Inputs!$C$50))+Inputs!$C$47*0.097)))+0.3*(2*((SIN(((A135)*12.9898+(Inputs!$C$6)*78.233+Inputs!$C$47*37.719))*43758.5453)-INT((SIN(((A135)*12.9898+(Inputs!$C$6)*78.233+Inputs!$C$47*37.719))*43758.5453)))-1)))</f>
        <v/>
      </c>
      <c r="Z135" s="9">
        <f>B135-X135/1000</f>
        <v/>
      </c>
      <c r="AA135" s="9">
        <f>SQRT((Inputs!$C$52+B135)^2+(Inputs!$C$52+Y135/1000)^2-2*(Inputs!$C$52+B135)*(Inputs!$C$52+Y135/1000)*COS(SQRT(A135^2+Inputs!$C$6^2)/Inputs!$C$52))</f>
        <v/>
      </c>
      <c r="AB135" s="9">
        <f>(AA135-Z135)*1000</f>
        <v/>
      </c>
      <c r="AC135" s="9">
        <f>AB135/Inputs!$C$12</f>
        <v/>
      </c>
      <c r="AD135" s="9">
        <f>2*AB135/Inputs!$C$21*1000000</f>
        <v/>
      </c>
      <c r="AE135" s="9">
        <f>DEGREES(ATAN(H135/(B135-Y135/1000)))</f>
        <v/>
      </c>
      <c r="AF135" s="9">
        <f>DEGREES((2*PI()/Inputs!$C$13)*Inputs!$C$15*SIN(RADIANS(AE135)))</f>
        <v/>
      </c>
      <c r="AG135" s="9">
        <f>(Z135/AA135)^4</f>
        <v/>
      </c>
      <c r="AH135" s="9">
        <f>10*LOG10(AG135)</f>
        <v/>
      </c>
      <c r="AI135" s="9">
        <f>AC135-F135</f>
        <v/>
      </c>
      <c r="AJ135" s="9">
        <f>AD135-G135</f>
        <v/>
      </c>
      <c r="AK135" s="9">
        <f>Y135-X135</f>
        <v/>
      </c>
      <c r="AL135" s="9">
        <f>1000*(AA136-AA134)/(A136-A134)*Inputs!$C$11</f>
        <v/>
      </c>
      <c r="AM135" s="9">
        <f>-2*AL135/Inputs!$C$13</f>
        <v/>
      </c>
      <c r="AN135" s="9">
        <f>-2*AL135/Inputs!$C$14</f>
        <v/>
      </c>
      <c r="AO135" s="9">
        <f>ABS(AM135)</f>
        <v/>
      </c>
      <c r="AP135" s="9">
        <f>ABS(AN135)</f>
        <v/>
      </c>
      <c r="AQ135" s="9">
        <f>IF(OR(Inputs!$C$27=TRUE,Inputs!$C$27="TRUE",Inputs!$C$27=1),Inputs!$C$46/Inputs!$C$12,0)</f>
        <v/>
      </c>
      <c r="AR135" s="9">
        <f>AC135-AQ135</f>
        <v/>
      </c>
      <c r="AS135" s="9">
        <f>AC135+AQ135</f>
        <v/>
      </c>
    </row>
    <row r="136">
      <c r="A136" s="9">
        <f>Inputs!$C$7+134*(Inputs!$C$8-Inputs!$C$7)/240</f>
        <v/>
      </c>
      <c r="B136" s="9">
        <f>Inputs!$C$5+Inputs!$C$9*(A136/Inputs!$C$10)^2</f>
        <v/>
      </c>
      <c r="C136" s="9">
        <f>B136</f>
        <v/>
      </c>
      <c r="D136" s="9">
        <f>SQRT((Inputs!$C$52+B136)^2+Inputs!$C$52^2-2*(Inputs!$C$52+B136)*Inputs!$C$52*COS(SQRT(A136^2+Inputs!$C$6^2)/Inputs!$C$52))</f>
        <v/>
      </c>
      <c r="E136" s="9">
        <f>(D136-C136)*1000</f>
        <v/>
      </c>
      <c r="F136" s="9">
        <f>E136/Inputs!$C$12</f>
        <v/>
      </c>
      <c r="G136" s="9">
        <f>2*E136/Inputs!$C$21*1000000</f>
        <v/>
      </c>
      <c r="H136" s="9">
        <f>SQRT(A136^2+Inputs!$C$6^2)</f>
        <v/>
      </c>
      <c r="I136" s="9">
        <f>DEGREES(ATAN(H136/B136))</f>
        <v/>
      </c>
      <c r="J136" s="9">
        <f>DEGREES((2*PI()/Inputs!$C$13)*Inputs!$C$15*SIN(RADIANS(I136)))</f>
        <v/>
      </c>
      <c r="K136" s="9">
        <f>(C136/D136)^4</f>
        <v/>
      </c>
      <c r="L136" s="9">
        <f>10*LOG10(K136)</f>
        <v/>
      </c>
      <c r="M136" s="9">
        <f>2*(Inputs!$C$9/(Inputs!$C$10^2))*A136</f>
        <v/>
      </c>
      <c r="N136" s="9">
        <f>M136*Inputs!$C$11</f>
        <v/>
      </c>
      <c r="O136" s="9">
        <f>1000*(D137-D135)/(A137-A135)*Inputs!$C$11</f>
        <v/>
      </c>
      <c r="P136" s="9">
        <f>-2*O136/Inputs!$C$13</f>
        <v/>
      </c>
      <c r="Q136" s="9">
        <f>-2*O136/Inputs!$C$14</f>
        <v/>
      </c>
      <c r="R136" s="9">
        <f>F136-Inputs!$C$16/2</f>
        <v/>
      </c>
      <c r="S136" s="9">
        <f>F136+Inputs!$C$16/2</f>
        <v/>
      </c>
      <c r="T136" s="9">
        <f>F136-Inputs!$C$17/2</f>
        <v/>
      </c>
      <c r="U136" s="9">
        <f>F136+Inputs!$C$17/2</f>
        <v/>
      </c>
      <c r="V136" s="9">
        <f>ABS(P136)</f>
        <v/>
      </c>
      <c r="W136" s="9">
        <f>ABS(Q136)</f>
        <v/>
      </c>
      <c r="X136" s="9">
        <f>IF(OR(Inputs!$C$27=TRUE,Inputs!$C$27="TRUE",Inputs!$C$27=1),1,0)*(Inputs!$C$51*(115*EXP(-(((0)-25)^2)/(4.5^2))+70*EXP(-(((0)+38)^2)/(7^2))*(0.55+0.45*SIN(2*PI()*(A136)/45))+24*SIN(2*PI()*(0)/9+(A136)/18)*EXP(-(((0)+5)^2)/(22^2))+18*SIN(2*PI()*(A136)/70))+Inputs!$C$28*EXP(-(((A136)-Inputs!$C$29)^2)/(2*Inputs!$C$31^2))*EXP(-(((0)-Inputs!$C$30)^2)/(2*Inputs!$C$32^2))+-Inputs!$C$33*EXP(-(((((A136)-Inputs!$C$34)^2)+(((0)-Inputs!$C$35)^2))/(2*Inputs!$C$36^2)))+Inputs!$C$37*(0.55*SIN(2*PI()*(A136)/Inputs!$C$39)+0.35*COS(2*PI()*(0)/Inputs!$C$40)+0.2*SIN(2*PI()*((A136)+(0))/(0.5*(Inputs!$C$39+Inputs!$C$40))))+Inputs!$C$38*SIN(2*PI()*(A136)/Inputs!$C$39)*SIN(2*PI()*(0)/Inputs!$C$40)+-Inputs!$C$41*EXP(-(((0)-Inputs!$C$43)^2)/(2*Inputs!$C$44^2))*EXP(-(((A136)-Inputs!$C$42)^2)/(2*Inputs!$C$45^2))+Inputs!$C$48*(0.7*(0.45*SIN(2*PI()*(((A136)/Inputs!$C$49)+Inputs!$C$47*0.137))+0.35*COS(2*PI()*(((0)/Inputs!$C$50)+Inputs!$C$47*0.173))+0.2*SIN(2*PI()*(((A136)+(0))/(0.5*(Inputs!$C$49+Inputs!$C$50))+Inputs!$C$47*0.097)))+0.3*(2*((SIN(((A136)*12.9898+(0)*78.233+Inputs!$C$47*37.719))*43758.5453)-INT((SIN(((A136)*12.9898+(0)*78.233+Inputs!$C$47*37.719))*43758.5453)))-1)))</f>
        <v/>
      </c>
      <c r="Y136" s="9">
        <f>IF(OR(Inputs!$C$27=TRUE,Inputs!$C$27="TRUE",Inputs!$C$27=1),1,0)*(Inputs!$C$51*(115*EXP(-(((Inputs!$C$6)-25)^2)/(4.5^2))+70*EXP(-(((Inputs!$C$6)+38)^2)/(7^2))*(0.55+0.45*SIN(2*PI()*(A136)/45))+24*SIN(2*PI()*(Inputs!$C$6)/9+(A136)/18)*EXP(-(((Inputs!$C$6)+5)^2)/(22^2))+18*SIN(2*PI()*(A136)/70))+Inputs!$C$28*EXP(-(((A136)-Inputs!$C$29)^2)/(2*Inputs!$C$31^2))*EXP(-(((Inputs!$C$6)-Inputs!$C$30)^2)/(2*Inputs!$C$32^2))+-Inputs!$C$33*EXP(-(((((A136)-Inputs!$C$34)^2)+(((Inputs!$C$6)-Inputs!$C$35)^2))/(2*Inputs!$C$36^2)))+Inputs!$C$37*(0.55*SIN(2*PI()*(A136)/Inputs!$C$39)+0.35*COS(2*PI()*(Inputs!$C$6)/Inputs!$C$40)+0.2*SIN(2*PI()*((A136)+(Inputs!$C$6))/(0.5*(Inputs!$C$39+Inputs!$C$40))))+Inputs!$C$38*SIN(2*PI()*(A136)/Inputs!$C$39)*SIN(2*PI()*(Inputs!$C$6)/Inputs!$C$40)+-Inputs!$C$41*EXP(-(((Inputs!$C$6)-Inputs!$C$43)^2)/(2*Inputs!$C$44^2))*EXP(-(((A136)-Inputs!$C$42)^2)/(2*Inputs!$C$45^2))+Inputs!$C$48*(0.7*(0.45*SIN(2*PI()*(((A136)/Inputs!$C$49)+Inputs!$C$47*0.137))+0.35*COS(2*PI()*(((Inputs!$C$6)/Inputs!$C$50)+Inputs!$C$47*0.173))+0.2*SIN(2*PI()*(((A136)+(Inputs!$C$6))/(0.5*(Inputs!$C$49+Inputs!$C$50))+Inputs!$C$47*0.097)))+0.3*(2*((SIN(((A136)*12.9898+(Inputs!$C$6)*78.233+Inputs!$C$47*37.719))*43758.5453)-INT((SIN(((A136)*12.9898+(Inputs!$C$6)*78.233+Inputs!$C$47*37.719))*43758.5453)))-1)))</f>
        <v/>
      </c>
      <c r="Z136" s="9">
        <f>B136-X136/1000</f>
        <v/>
      </c>
      <c r="AA136" s="9">
        <f>SQRT((Inputs!$C$52+B136)^2+(Inputs!$C$52+Y136/1000)^2-2*(Inputs!$C$52+B136)*(Inputs!$C$52+Y136/1000)*COS(SQRT(A136^2+Inputs!$C$6^2)/Inputs!$C$52))</f>
        <v/>
      </c>
      <c r="AB136" s="9">
        <f>(AA136-Z136)*1000</f>
        <v/>
      </c>
      <c r="AC136" s="9">
        <f>AB136/Inputs!$C$12</f>
        <v/>
      </c>
      <c r="AD136" s="9">
        <f>2*AB136/Inputs!$C$21*1000000</f>
        <v/>
      </c>
      <c r="AE136" s="9">
        <f>DEGREES(ATAN(H136/(B136-Y136/1000)))</f>
        <v/>
      </c>
      <c r="AF136" s="9">
        <f>DEGREES((2*PI()/Inputs!$C$13)*Inputs!$C$15*SIN(RADIANS(AE136)))</f>
        <v/>
      </c>
      <c r="AG136" s="9">
        <f>(Z136/AA136)^4</f>
        <v/>
      </c>
      <c r="AH136" s="9">
        <f>10*LOG10(AG136)</f>
        <v/>
      </c>
      <c r="AI136" s="9">
        <f>AC136-F136</f>
        <v/>
      </c>
      <c r="AJ136" s="9">
        <f>AD136-G136</f>
        <v/>
      </c>
      <c r="AK136" s="9">
        <f>Y136-X136</f>
        <v/>
      </c>
      <c r="AL136" s="9">
        <f>1000*(AA137-AA135)/(A137-A135)*Inputs!$C$11</f>
        <v/>
      </c>
      <c r="AM136" s="9">
        <f>-2*AL136/Inputs!$C$13</f>
        <v/>
      </c>
      <c r="AN136" s="9">
        <f>-2*AL136/Inputs!$C$14</f>
        <v/>
      </c>
      <c r="AO136" s="9">
        <f>ABS(AM136)</f>
        <v/>
      </c>
      <c r="AP136" s="9">
        <f>ABS(AN136)</f>
        <v/>
      </c>
      <c r="AQ136" s="9">
        <f>IF(OR(Inputs!$C$27=TRUE,Inputs!$C$27="TRUE",Inputs!$C$27=1),Inputs!$C$46/Inputs!$C$12,0)</f>
        <v/>
      </c>
      <c r="AR136" s="9">
        <f>AC136-AQ136</f>
        <v/>
      </c>
      <c r="AS136" s="9">
        <f>AC136+AQ136</f>
        <v/>
      </c>
    </row>
    <row r="137">
      <c r="A137" s="9">
        <f>Inputs!$C$7+135*(Inputs!$C$8-Inputs!$C$7)/240</f>
        <v/>
      </c>
      <c r="B137" s="9">
        <f>Inputs!$C$5+Inputs!$C$9*(A137/Inputs!$C$10)^2</f>
        <v/>
      </c>
      <c r="C137" s="9">
        <f>B137</f>
        <v/>
      </c>
      <c r="D137" s="9">
        <f>SQRT((Inputs!$C$52+B137)^2+Inputs!$C$52^2-2*(Inputs!$C$52+B137)*Inputs!$C$52*COS(SQRT(A137^2+Inputs!$C$6^2)/Inputs!$C$52))</f>
        <v/>
      </c>
      <c r="E137" s="9">
        <f>(D137-C137)*1000</f>
        <v/>
      </c>
      <c r="F137" s="9">
        <f>E137/Inputs!$C$12</f>
        <v/>
      </c>
      <c r="G137" s="9">
        <f>2*E137/Inputs!$C$21*1000000</f>
        <v/>
      </c>
      <c r="H137" s="9">
        <f>SQRT(A137^2+Inputs!$C$6^2)</f>
        <v/>
      </c>
      <c r="I137" s="9">
        <f>DEGREES(ATAN(H137/B137))</f>
        <v/>
      </c>
      <c r="J137" s="9">
        <f>DEGREES((2*PI()/Inputs!$C$13)*Inputs!$C$15*SIN(RADIANS(I137)))</f>
        <v/>
      </c>
      <c r="K137" s="9">
        <f>(C137/D137)^4</f>
        <v/>
      </c>
      <c r="L137" s="9">
        <f>10*LOG10(K137)</f>
        <v/>
      </c>
      <c r="M137" s="9">
        <f>2*(Inputs!$C$9/(Inputs!$C$10^2))*A137</f>
        <v/>
      </c>
      <c r="N137" s="9">
        <f>M137*Inputs!$C$11</f>
        <v/>
      </c>
      <c r="O137" s="9">
        <f>1000*(D138-D136)/(A138-A136)*Inputs!$C$11</f>
        <v/>
      </c>
      <c r="P137" s="9">
        <f>-2*O137/Inputs!$C$13</f>
        <v/>
      </c>
      <c r="Q137" s="9">
        <f>-2*O137/Inputs!$C$14</f>
        <v/>
      </c>
      <c r="R137" s="9">
        <f>F137-Inputs!$C$16/2</f>
        <v/>
      </c>
      <c r="S137" s="9">
        <f>F137+Inputs!$C$16/2</f>
        <v/>
      </c>
      <c r="T137" s="9">
        <f>F137-Inputs!$C$17/2</f>
        <v/>
      </c>
      <c r="U137" s="9">
        <f>F137+Inputs!$C$17/2</f>
        <v/>
      </c>
      <c r="V137" s="9">
        <f>ABS(P137)</f>
        <v/>
      </c>
      <c r="W137" s="9">
        <f>ABS(Q137)</f>
        <v/>
      </c>
      <c r="X137" s="9">
        <f>IF(OR(Inputs!$C$27=TRUE,Inputs!$C$27="TRUE",Inputs!$C$27=1),1,0)*(Inputs!$C$51*(115*EXP(-(((0)-25)^2)/(4.5^2))+70*EXP(-(((0)+38)^2)/(7^2))*(0.55+0.45*SIN(2*PI()*(A137)/45))+24*SIN(2*PI()*(0)/9+(A137)/18)*EXP(-(((0)+5)^2)/(22^2))+18*SIN(2*PI()*(A137)/70))+Inputs!$C$28*EXP(-(((A137)-Inputs!$C$29)^2)/(2*Inputs!$C$31^2))*EXP(-(((0)-Inputs!$C$30)^2)/(2*Inputs!$C$32^2))+-Inputs!$C$33*EXP(-(((((A137)-Inputs!$C$34)^2)+(((0)-Inputs!$C$35)^2))/(2*Inputs!$C$36^2)))+Inputs!$C$37*(0.55*SIN(2*PI()*(A137)/Inputs!$C$39)+0.35*COS(2*PI()*(0)/Inputs!$C$40)+0.2*SIN(2*PI()*((A137)+(0))/(0.5*(Inputs!$C$39+Inputs!$C$40))))+Inputs!$C$38*SIN(2*PI()*(A137)/Inputs!$C$39)*SIN(2*PI()*(0)/Inputs!$C$40)+-Inputs!$C$41*EXP(-(((0)-Inputs!$C$43)^2)/(2*Inputs!$C$44^2))*EXP(-(((A137)-Inputs!$C$42)^2)/(2*Inputs!$C$45^2))+Inputs!$C$48*(0.7*(0.45*SIN(2*PI()*(((A137)/Inputs!$C$49)+Inputs!$C$47*0.137))+0.35*COS(2*PI()*(((0)/Inputs!$C$50)+Inputs!$C$47*0.173))+0.2*SIN(2*PI()*(((A137)+(0))/(0.5*(Inputs!$C$49+Inputs!$C$50))+Inputs!$C$47*0.097)))+0.3*(2*((SIN(((A137)*12.9898+(0)*78.233+Inputs!$C$47*37.719))*43758.5453)-INT((SIN(((A137)*12.9898+(0)*78.233+Inputs!$C$47*37.719))*43758.5453)))-1)))</f>
        <v/>
      </c>
      <c r="Y137" s="9">
        <f>IF(OR(Inputs!$C$27=TRUE,Inputs!$C$27="TRUE",Inputs!$C$27=1),1,0)*(Inputs!$C$51*(115*EXP(-(((Inputs!$C$6)-25)^2)/(4.5^2))+70*EXP(-(((Inputs!$C$6)+38)^2)/(7^2))*(0.55+0.45*SIN(2*PI()*(A137)/45))+24*SIN(2*PI()*(Inputs!$C$6)/9+(A137)/18)*EXP(-(((Inputs!$C$6)+5)^2)/(22^2))+18*SIN(2*PI()*(A137)/70))+Inputs!$C$28*EXP(-(((A137)-Inputs!$C$29)^2)/(2*Inputs!$C$31^2))*EXP(-(((Inputs!$C$6)-Inputs!$C$30)^2)/(2*Inputs!$C$32^2))+-Inputs!$C$33*EXP(-(((((A137)-Inputs!$C$34)^2)+(((Inputs!$C$6)-Inputs!$C$35)^2))/(2*Inputs!$C$36^2)))+Inputs!$C$37*(0.55*SIN(2*PI()*(A137)/Inputs!$C$39)+0.35*COS(2*PI()*(Inputs!$C$6)/Inputs!$C$40)+0.2*SIN(2*PI()*((A137)+(Inputs!$C$6))/(0.5*(Inputs!$C$39+Inputs!$C$40))))+Inputs!$C$38*SIN(2*PI()*(A137)/Inputs!$C$39)*SIN(2*PI()*(Inputs!$C$6)/Inputs!$C$40)+-Inputs!$C$41*EXP(-(((Inputs!$C$6)-Inputs!$C$43)^2)/(2*Inputs!$C$44^2))*EXP(-(((A137)-Inputs!$C$42)^2)/(2*Inputs!$C$45^2))+Inputs!$C$48*(0.7*(0.45*SIN(2*PI()*(((A137)/Inputs!$C$49)+Inputs!$C$47*0.137))+0.35*COS(2*PI()*(((Inputs!$C$6)/Inputs!$C$50)+Inputs!$C$47*0.173))+0.2*SIN(2*PI()*(((A137)+(Inputs!$C$6))/(0.5*(Inputs!$C$49+Inputs!$C$50))+Inputs!$C$47*0.097)))+0.3*(2*((SIN(((A137)*12.9898+(Inputs!$C$6)*78.233+Inputs!$C$47*37.719))*43758.5453)-INT((SIN(((A137)*12.9898+(Inputs!$C$6)*78.233+Inputs!$C$47*37.719))*43758.5453)))-1)))</f>
        <v/>
      </c>
      <c r="Z137" s="9">
        <f>B137-X137/1000</f>
        <v/>
      </c>
      <c r="AA137" s="9">
        <f>SQRT((Inputs!$C$52+B137)^2+(Inputs!$C$52+Y137/1000)^2-2*(Inputs!$C$52+B137)*(Inputs!$C$52+Y137/1000)*COS(SQRT(A137^2+Inputs!$C$6^2)/Inputs!$C$52))</f>
        <v/>
      </c>
      <c r="AB137" s="9">
        <f>(AA137-Z137)*1000</f>
        <v/>
      </c>
      <c r="AC137" s="9">
        <f>AB137/Inputs!$C$12</f>
        <v/>
      </c>
      <c r="AD137" s="9">
        <f>2*AB137/Inputs!$C$21*1000000</f>
        <v/>
      </c>
      <c r="AE137" s="9">
        <f>DEGREES(ATAN(H137/(B137-Y137/1000)))</f>
        <v/>
      </c>
      <c r="AF137" s="9">
        <f>DEGREES((2*PI()/Inputs!$C$13)*Inputs!$C$15*SIN(RADIANS(AE137)))</f>
        <v/>
      </c>
      <c r="AG137" s="9">
        <f>(Z137/AA137)^4</f>
        <v/>
      </c>
      <c r="AH137" s="9">
        <f>10*LOG10(AG137)</f>
        <v/>
      </c>
      <c r="AI137" s="9">
        <f>AC137-F137</f>
        <v/>
      </c>
      <c r="AJ137" s="9">
        <f>AD137-G137</f>
        <v/>
      </c>
      <c r="AK137" s="9">
        <f>Y137-X137</f>
        <v/>
      </c>
      <c r="AL137" s="9">
        <f>1000*(AA138-AA136)/(A138-A136)*Inputs!$C$11</f>
        <v/>
      </c>
      <c r="AM137" s="9">
        <f>-2*AL137/Inputs!$C$13</f>
        <v/>
      </c>
      <c r="AN137" s="9">
        <f>-2*AL137/Inputs!$C$14</f>
        <v/>
      </c>
      <c r="AO137" s="9">
        <f>ABS(AM137)</f>
        <v/>
      </c>
      <c r="AP137" s="9">
        <f>ABS(AN137)</f>
        <v/>
      </c>
      <c r="AQ137" s="9">
        <f>IF(OR(Inputs!$C$27=TRUE,Inputs!$C$27="TRUE",Inputs!$C$27=1),Inputs!$C$46/Inputs!$C$12,0)</f>
        <v/>
      </c>
      <c r="AR137" s="9">
        <f>AC137-AQ137</f>
        <v/>
      </c>
      <c r="AS137" s="9">
        <f>AC137+AQ137</f>
        <v/>
      </c>
    </row>
    <row r="138">
      <c r="A138" s="9">
        <f>Inputs!$C$7+136*(Inputs!$C$8-Inputs!$C$7)/240</f>
        <v/>
      </c>
      <c r="B138" s="9">
        <f>Inputs!$C$5+Inputs!$C$9*(A138/Inputs!$C$10)^2</f>
        <v/>
      </c>
      <c r="C138" s="9">
        <f>B138</f>
        <v/>
      </c>
      <c r="D138" s="9">
        <f>SQRT((Inputs!$C$52+B138)^2+Inputs!$C$52^2-2*(Inputs!$C$52+B138)*Inputs!$C$52*COS(SQRT(A138^2+Inputs!$C$6^2)/Inputs!$C$52))</f>
        <v/>
      </c>
      <c r="E138" s="9">
        <f>(D138-C138)*1000</f>
        <v/>
      </c>
      <c r="F138" s="9">
        <f>E138/Inputs!$C$12</f>
        <v/>
      </c>
      <c r="G138" s="9">
        <f>2*E138/Inputs!$C$21*1000000</f>
        <v/>
      </c>
      <c r="H138" s="9">
        <f>SQRT(A138^2+Inputs!$C$6^2)</f>
        <v/>
      </c>
      <c r="I138" s="9">
        <f>DEGREES(ATAN(H138/B138))</f>
        <v/>
      </c>
      <c r="J138" s="9">
        <f>DEGREES((2*PI()/Inputs!$C$13)*Inputs!$C$15*SIN(RADIANS(I138)))</f>
        <v/>
      </c>
      <c r="K138" s="9">
        <f>(C138/D138)^4</f>
        <v/>
      </c>
      <c r="L138" s="9">
        <f>10*LOG10(K138)</f>
        <v/>
      </c>
      <c r="M138" s="9">
        <f>2*(Inputs!$C$9/(Inputs!$C$10^2))*A138</f>
        <v/>
      </c>
      <c r="N138" s="9">
        <f>M138*Inputs!$C$11</f>
        <v/>
      </c>
      <c r="O138" s="9">
        <f>1000*(D139-D137)/(A139-A137)*Inputs!$C$11</f>
        <v/>
      </c>
      <c r="P138" s="9">
        <f>-2*O138/Inputs!$C$13</f>
        <v/>
      </c>
      <c r="Q138" s="9">
        <f>-2*O138/Inputs!$C$14</f>
        <v/>
      </c>
      <c r="R138" s="9">
        <f>F138-Inputs!$C$16/2</f>
        <v/>
      </c>
      <c r="S138" s="9">
        <f>F138+Inputs!$C$16/2</f>
        <v/>
      </c>
      <c r="T138" s="9">
        <f>F138-Inputs!$C$17/2</f>
        <v/>
      </c>
      <c r="U138" s="9">
        <f>F138+Inputs!$C$17/2</f>
        <v/>
      </c>
      <c r="V138" s="9">
        <f>ABS(P138)</f>
        <v/>
      </c>
      <c r="W138" s="9">
        <f>ABS(Q138)</f>
        <v/>
      </c>
      <c r="X138" s="9">
        <f>IF(OR(Inputs!$C$27=TRUE,Inputs!$C$27="TRUE",Inputs!$C$27=1),1,0)*(Inputs!$C$51*(115*EXP(-(((0)-25)^2)/(4.5^2))+70*EXP(-(((0)+38)^2)/(7^2))*(0.55+0.45*SIN(2*PI()*(A138)/45))+24*SIN(2*PI()*(0)/9+(A138)/18)*EXP(-(((0)+5)^2)/(22^2))+18*SIN(2*PI()*(A138)/70))+Inputs!$C$28*EXP(-(((A138)-Inputs!$C$29)^2)/(2*Inputs!$C$31^2))*EXP(-(((0)-Inputs!$C$30)^2)/(2*Inputs!$C$32^2))+-Inputs!$C$33*EXP(-(((((A138)-Inputs!$C$34)^2)+(((0)-Inputs!$C$35)^2))/(2*Inputs!$C$36^2)))+Inputs!$C$37*(0.55*SIN(2*PI()*(A138)/Inputs!$C$39)+0.35*COS(2*PI()*(0)/Inputs!$C$40)+0.2*SIN(2*PI()*((A138)+(0))/(0.5*(Inputs!$C$39+Inputs!$C$40))))+Inputs!$C$38*SIN(2*PI()*(A138)/Inputs!$C$39)*SIN(2*PI()*(0)/Inputs!$C$40)+-Inputs!$C$41*EXP(-(((0)-Inputs!$C$43)^2)/(2*Inputs!$C$44^2))*EXP(-(((A138)-Inputs!$C$42)^2)/(2*Inputs!$C$45^2))+Inputs!$C$48*(0.7*(0.45*SIN(2*PI()*(((A138)/Inputs!$C$49)+Inputs!$C$47*0.137))+0.35*COS(2*PI()*(((0)/Inputs!$C$50)+Inputs!$C$47*0.173))+0.2*SIN(2*PI()*(((A138)+(0))/(0.5*(Inputs!$C$49+Inputs!$C$50))+Inputs!$C$47*0.097)))+0.3*(2*((SIN(((A138)*12.9898+(0)*78.233+Inputs!$C$47*37.719))*43758.5453)-INT((SIN(((A138)*12.9898+(0)*78.233+Inputs!$C$47*37.719))*43758.5453)))-1)))</f>
        <v/>
      </c>
      <c r="Y138" s="9">
        <f>IF(OR(Inputs!$C$27=TRUE,Inputs!$C$27="TRUE",Inputs!$C$27=1),1,0)*(Inputs!$C$51*(115*EXP(-(((Inputs!$C$6)-25)^2)/(4.5^2))+70*EXP(-(((Inputs!$C$6)+38)^2)/(7^2))*(0.55+0.45*SIN(2*PI()*(A138)/45))+24*SIN(2*PI()*(Inputs!$C$6)/9+(A138)/18)*EXP(-(((Inputs!$C$6)+5)^2)/(22^2))+18*SIN(2*PI()*(A138)/70))+Inputs!$C$28*EXP(-(((A138)-Inputs!$C$29)^2)/(2*Inputs!$C$31^2))*EXP(-(((Inputs!$C$6)-Inputs!$C$30)^2)/(2*Inputs!$C$32^2))+-Inputs!$C$33*EXP(-(((((A138)-Inputs!$C$34)^2)+(((Inputs!$C$6)-Inputs!$C$35)^2))/(2*Inputs!$C$36^2)))+Inputs!$C$37*(0.55*SIN(2*PI()*(A138)/Inputs!$C$39)+0.35*COS(2*PI()*(Inputs!$C$6)/Inputs!$C$40)+0.2*SIN(2*PI()*((A138)+(Inputs!$C$6))/(0.5*(Inputs!$C$39+Inputs!$C$40))))+Inputs!$C$38*SIN(2*PI()*(A138)/Inputs!$C$39)*SIN(2*PI()*(Inputs!$C$6)/Inputs!$C$40)+-Inputs!$C$41*EXP(-(((Inputs!$C$6)-Inputs!$C$43)^2)/(2*Inputs!$C$44^2))*EXP(-(((A138)-Inputs!$C$42)^2)/(2*Inputs!$C$45^2))+Inputs!$C$48*(0.7*(0.45*SIN(2*PI()*(((A138)/Inputs!$C$49)+Inputs!$C$47*0.137))+0.35*COS(2*PI()*(((Inputs!$C$6)/Inputs!$C$50)+Inputs!$C$47*0.173))+0.2*SIN(2*PI()*(((A138)+(Inputs!$C$6))/(0.5*(Inputs!$C$49+Inputs!$C$50))+Inputs!$C$47*0.097)))+0.3*(2*((SIN(((A138)*12.9898+(Inputs!$C$6)*78.233+Inputs!$C$47*37.719))*43758.5453)-INT((SIN(((A138)*12.9898+(Inputs!$C$6)*78.233+Inputs!$C$47*37.719))*43758.5453)))-1)))</f>
        <v/>
      </c>
      <c r="Z138" s="9">
        <f>B138-X138/1000</f>
        <v/>
      </c>
      <c r="AA138" s="9">
        <f>SQRT((Inputs!$C$52+B138)^2+(Inputs!$C$52+Y138/1000)^2-2*(Inputs!$C$52+B138)*(Inputs!$C$52+Y138/1000)*COS(SQRT(A138^2+Inputs!$C$6^2)/Inputs!$C$52))</f>
        <v/>
      </c>
      <c r="AB138" s="9">
        <f>(AA138-Z138)*1000</f>
        <v/>
      </c>
      <c r="AC138" s="9">
        <f>AB138/Inputs!$C$12</f>
        <v/>
      </c>
      <c r="AD138" s="9">
        <f>2*AB138/Inputs!$C$21*1000000</f>
        <v/>
      </c>
      <c r="AE138" s="9">
        <f>DEGREES(ATAN(H138/(B138-Y138/1000)))</f>
        <v/>
      </c>
      <c r="AF138" s="9">
        <f>DEGREES((2*PI()/Inputs!$C$13)*Inputs!$C$15*SIN(RADIANS(AE138)))</f>
        <v/>
      </c>
      <c r="AG138" s="9">
        <f>(Z138/AA138)^4</f>
        <v/>
      </c>
      <c r="AH138" s="9">
        <f>10*LOG10(AG138)</f>
        <v/>
      </c>
      <c r="AI138" s="9">
        <f>AC138-F138</f>
        <v/>
      </c>
      <c r="AJ138" s="9">
        <f>AD138-G138</f>
        <v/>
      </c>
      <c r="AK138" s="9">
        <f>Y138-X138</f>
        <v/>
      </c>
      <c r="AL138" s="9">
        <f>1000*(AA139-AA137)/(A139-A137)*Inputs!$C$11</f>
        <v/>
      </c>
      <c r="AM138" s="9">
        <f>-2*AL138/Inputs!$C$13</f>
        <v/>
      </c>
      <c r="AN138" s="9">
        <f>-2*AL138/Inputs!$C$14</f>
        <v/>
      </c>
      <c r="AO138" s="9">
        <f>ABS(AM138)</f>
        <v/>
      </c>
      <c r="AP138" s="9">
        <f>ABS(AN138)</f>
        <v/>
      </c>
      <c r="AQ138" s="9">
        <f>IF(OR(Inputs!$C$27=TRUE,Inputs!$C$27="TRUE",Inputs!$C$27=1),Inputs!$C$46/Inputs!$C$12,0)</f>
        <v/>
      </c>
      <c r="AR138" s="9">
        <f>AC138-AQ138</f>
        <v/>
      </c>
      <c r="AS138" s="9">
        <f>AC138+AQ138</f>
        <v/>
      </c>
    </row>
    <row r="139">
      <c r="A139" s="9">
        <f>Inputs!$C$7+137*(Inputs!$C$8-Inputs!$C$7)/240</f>
        <v/>
      </c>
      <c r="B139" s="9">
        <f>Inputs!$C$5+Inputs!$C$9*(A139/Inputs!$C$10)^2</f>
        <v/>
      </c>
      <c r="C139" s="9">
        <f>B139</f>
        <v/>
      </c>
      <c r="D139" s="9">
        <f>SQRT((Inputs!$C$52+B139)^2+Inputs!$C$52^2-2*(Inputs!$C$52+B139)*Inputs!$C$52*COS(SQRT(A139^2+Inputs!$C$6^2)/Inputs!$C$52))</f>
        <v/>
      </c>
      <c r="E139" s="9">
        <f>(D139-C139)*1000</f>
        <v/>
      </c>
      <c r="F139" s="9">
        <f>E139/Inputs!$C$12</f>
        <v/>
      </c>
      <c r="G139" s="9">
        <f>2*E139/Inputs!$C$21*1000000</f>
        <v/>
      </c>
      <c r="H139" s="9">
        <f>SQRT(A139^2+Inputs!$C$6^2)</f>
        <v/>
      </c>
      <c r="I139" s="9">
        <f>DEGREES(ATAN(H139/B139))</f>
        <v/>
      </c>
      <c r="J139" s="9">
        <f>DEGREES((2*PI()/Inputs!$C$13)*Inputs!$C$15*SIN(RADIANS(I139)))</f>
        <v/>
      </c>
      <c r="K139" s="9">
        <f>(C139/D139)^4</f>
        <v/>
      </c>
      <c r="L139" s="9">
        <f>10*LOG10(K139)</f>
        <v/>
      </c>
      <c r="M139" s="9">
        <f>2*(Inputs!$C$9/(Inputs!$C$10^2))*A139</f>
        <v/>
      </c>
      <c r="N139" s="9">
        <f>M139*Inputs!$C$11</f>
        <v/>
      </c>
      <c r="O139" s="9">
        <f>1000*(D140-D138)/(A140-A138)*Inputs!$C$11</f>
        <v/>
      </c>
      <c r="P139" s="9">
        <f>-2*O139/Inputs!$C$13</f>
        <v/>
      </c>
      <c r="Q139" s="9">
        <f>-2*O139/Inputs!$C$14</f>
        <v/>
      </c>
      <c r="R139" s="9">
        <f>F139-Inputs!$C$16/2</f>
        <v/>
      </c>
      <c r="S139" s="9">
        <f>F139+Inputs!$C$16/2</f>
        <v/>
      </c>
      <c r="T139" s="9">
        <f>F139-Inputs!$C$17/2</f>
        <v/>
      </c>
      <c r="U139" s="9">
        <f>F139+Inputs!$C$17/2</f>
        <v/>
      </c>
      <c r="V139" s="9">
        <f>ABS(P139)</f>
        <v/>
      </c>
      <c r="W139" s="9">
        <f>ABS(Q139)</f>
        <v/>
      </c>
      <c r="X139" s="9">
        <f>IF(OR(Inputs!$C$27=TRUE,Inputs!$C$27="TRUE",Inputs!$C$27=1),1,0)*(Inputs!$C$51*(115*EXP(-(((0)-25)^2)/(4.5^2))+70*EXP(-(((0)+38)^2)/(7^2))*(0.55+0.45*SIN(2*PI()*(A139)/45))+24*SIN(2*PI()*(0)/9+(A139)/18)*EXP(-(((0)+5)^2)/(22^2))+18*SIN(2*PI()*(A139)/70))+Inputs!$C$28*EXP(-(((A139)-Inputs!$C$29)^2)/(2*Inputs!$C$31^2))*EXP(-(((0)-Inputs!$C$30)^2)/(2*Inputs!$C$32^2))+-Inputs!$C$33*EXP(-(((((A139)-Inputs!$C$34)^2)+(((0)-Inputs!$C$35)^2))/(2*Inputs!$C$36^2)))+Inputs!$C$37*(0.55*SIN(2*PI()*(A139)/Inputs!$C$39)+0.35*COS(2*PI()*(0)/Inputs!$C$40)+0.2*SIN(2*PI()*((A139)+(0))/(0.5*(Inputs!$C$39+Inputs!$C$40))))+Inputs!$C$38*SIN(2*PI()*(A139)/Inputs!$C$39)*SIN(2*PI()*(0)/Inputs!$C$40)+-Inputs!$C$41*EXP(-(((0)-Inputs!$C$43)^2)/(2*Inputs!$C$44^2))*EXP(-(((A139)-Inputs!$C$42)^2)/(2*Inputs!$C$45^2))+Inputs!$C$48*(0.7*(0.45*SIN(2*PI()*(((A139)/Inputs!$C$49)+Inputs!$C$47*0.137))+0.35*COS(2*PI()*(((0)/Inputs!$C$50)+Inputs!$C$47*0.173))+0.2*SIN(2*PI()*(((A139)+(0))/(0.5*(Inputs!$C$49+Inputs!$C$50))+Inputs!$C$47*0.097)))+0.3*(2*((SIN(((A139)*12.9898+(0)*78.233+Inputs!$C$47*37.719))*43758.5453)-INT((SIN(((A139)*12.9898+(0)*78.233+Inputs!$C$47*37.719))*43758.5453)))-1)))</f>
        <v/>
      </c>
      <c r="Y139" s="9">
        <f>IF(OR(Inputs!$C$27=TRUE,Inputs!$C$27="TRUE",Inputs!$C$27=1),1,0)*(Inputs!$C$51*(115*EXP(-(((Inputs!$C$6)-25)^2)/(4.5^2))+70*EXP(-(((Inputs!$C$6)+38)^2)/(7^2))*(0.55+0.45*SIN(2*PI()*(A139)/45))+24*SIN(2*PI()*(Inputs!$C$6)/9+(A139)/18)*EXP(-(((Inputs!$C$6)+5)^2)/(22^2))+18*SIN(2*PI()*(A139)/70))+Inputs!$C$28*EXP(-(((A139)-Inputs!$C$29)^2)/(2*Inputs!$C$31^2))*EXP(-(((Inputs!$C$6)-Inputs!$C$30)^2)/(2*Inputs!$C$32^2))+-Inputs!$C$33*EXP(-(((((A139)-Inputs!$C$34)^2)+(((Inputs!$C$6)-Inputs!$C$35)^2))/(2*Inputs!$C$36^2)))+Inputs!$C$37*(0.55*SIN(2*PI()*(A139)/Inputs!$C$39)+0.35*COS(2*PI()*(Inputs!$C$6)/Inputs!$C$40)+0.2*SIN(2*PI()*((A139)+(Inputs!$C$6))/(0.5*(Inputs!$C$39+Inputs!$C$40))))+Inputs!$C$38*SIN(2*PI()*(A139)/Inputs!$C$39)*SIN(2*PI()*(Inputs!$C$6)/Inputs!$C$40)+-Inputs!$C$41*EXP(-(((Inputs!$C$6)-Inputs!$C$43)^2)/(2*Inputs!$C$44^2))*EXP(-(((A139)-Inputs!$C$42)^2)/(2*Inputs!$C$45^2))+Inputs!$C$48*(0.7*(0.45*SIN(2*PI()*(((A139)/Inputs!$C$49)+Inputs!$C$47*0.137))+0.35*COS(2*PI()*(((Inputs!$C$6)/Inputs!$C$50)+Inputs!$C$47*0.173))+0.2*SIN(2*PI()*(((A139)+(Inputs!$C$6))/(0.5*(Inputs!$C$49+Inputs!$C$50))+Inputs!$C$47*0.097)))+0.3*(2*((SIN(((A139)*12.9898+(Inputs!$C$6)*78.233+Inputs!$C$47*37.719))*43758.5453)-INT((SIN(((A139)*12.9898+(Inputs!$C$6)*78.233+Inputs!$C$47*37.719))*43758.5453)))-1)))</f>
        <v/>
      </c>
      <c r="Z139" s="9">
        <f>B139-X139/1000</f>
        <v/>
      </c>
      <c r="AA139" s="9">
        <f>SQRT((Inputs!$C$52+B139)^2+(Inputs!$C$52+Y139/1000)^2-2*(Inputs!$C$52+B139)*(Inputs!$C$52+Y139/1000)*COS(SQRT(A139^2+Inputs!$C$6^2)/Inputs!$C$52))</f>
        <v/>
      </c>
      <c r="AB139" s="9">
        <f>(AA139-Z139)*1000</f>
        <v/>
      </c>
      <c r="AC139" s="9">
        <f>AB139/Inputs!$C$12</f>
        <v/>
      </c>
      <c r="AD139" s="9">
        <f>2*AB139/Inputs!$C$21*1000000</f>
        <v/>
      </c>
      <c r="AE139" s="9">
        <f>DEGREES(ATAN(H139/(B139-Y139/1000)))</f>
        <v/>
      </c>
      <c r="AF139" s="9">
        <f>DEGREES((2*PI()/Inputs!$C$13)*Inputs!$C$15*SIN(RADIANS(AE139)))</f>
        <v/>
      </c>
      <c r="AG139" s="9">
        <f>(Z139/AA139)^4</f>
        <v/>
      </c>
      <c r="AH139" s="9">
        <f>10*LOG10(AG139)</f>
        <v/>
      </c>
      <c r="AI139" s="9">
        <f>AC139-F139</f>
        <v/>
      </c>
      <c r="AJ139" s="9">
        <f>AD139-G139</f>
        <v/>
      </c>
      <c r="AK139" s="9">
        <f>Y139-X139</f>
        <v/>
      </c>
      <c r="AL139" s="9">
        <f>1000*(AA140-AA138)/(A140-A138)*Inputs!$C$11</f>
        <v/>
      </c>
      <c r="AM139" s="9">
        <f>-2*AL139/Inputs!$C$13</f>
        <v/>
      </c>
      <c r="AN139" s="9">
        <f>-2*AL139/Inputs!$C$14</f>
        <v/>
      </c>
      <c r="AO139" s="9">
        <f>ABS(AM139)</f>
        <v/>
      </c>
      <c r="AP139" s="9">
        <f>ABS(AN139)</f>
        <v/>
      </c>
      <c r="AQ139" s="9">
        <f>IF(OR(Inputs!$C$27=TRUE,Inputs!$C$27="TRUE",Inputs!$C$27=1),Inputs!$C$46/Inputs!$C$12,0)</f>
        <v/>
      </c>
      <c r="AR139" s="9">
        <f>AC139-AQ139</f>
        <v/>
      </c>
      <c r="AS139" s="9">
        <f>AC139+AQ139</f>
        <v/>
      </c>
    </row>
    <row r="140">
      <c r="A140" s="9">
        <f>Inputs!$C$7+138*(Inputs!$C$8-Inputs!$C$7)/240</f>
        <v/>
      </c>
      <c r="B140" s="9">
        <f>Inputs!$C$5+Inputs!$C$9*(A140/Inputs!$C$10)^2</f>
        <v/>
      </c>
      <c r="C140" s="9">
        <f>B140</f>
        <v/>
      </c>
      <c r="D140" s="9">
        <f>SQRT((Inputs!$C$52+B140)^2+Inputs!$C$52^2-2*(Inputs!$C$52+B140)*Inputs!$C$52*COS(SQRT(A140^2+Inputs!$C$6^2)/Inputs!$C$52))</f>
        <v/>
      </c>
      <c r="E140" s="9">
        <f>(D140-C140)*1000</f>
        <v/>
      </c>
      <c r="F140" s="9">
        <f>E140/Inputs!$C$12</f>
        <v/>
      </c>
      <c r="G140" s="9">
        <f>2*E140/Inputs!$C$21*1000000</f>
        <v/>
      </c>
      <c r="H140" s="9">
        <f>SQRT(A140^2+Inputs!$C$6^2)</f>
        <v/>
      </c>
      <c r="I140" s="9">
        <f>DEGREES(ATAN(H140/B140))</f>
        <v/>
      </c>
      <c r="J140" s="9">
        <f>DEGREES((2*PI()/Inputs!$C$13)*Inputs!$C$15*SIN(RADIANS(I140)))</f>
        <v/>
      </c>
      <c r="K140" s="9">
        <f>(C140/D140)^4</f>
        <v/>
      </c>
      <c r="L140" s="9">
        <f>10*LOG10(K140)</f>
        <v/>
      </c>
      <c r="M140" s="9">
        <f>2*(Inputs!$C$9/(Inputs!$C$10^2))*A140</f>
        <v/>
      </c>
      <c r="N140" s="9">
        <f>M140*Inputs!$C$11</f>
        <v/>
      </c>
      <c r="O140" s="9">
        <f>1000*(D141-D139)/(A141-A139)*Inputs!$C$11</f>
        <v/>
      </c>
      <c r="P140" s="9">
        <f>-2*O140/Inputs!$C$13</f>
        <v/>
      </c>
      <c r="Q140" s="9">
        <f>-2*O140/Inputs!$C$14</f>
        <v/>
      </c>
      <c r="R140" s="9">
        <f>F140-Inputs!$C$16/2</f>
        <v/>
      </c>
      <c r="S140" s="9">
        <f>F140+Inputs!$C$16/2</f>
        <v/>
      </c>
      <c r="T140" s="9">
        <f>F140-Inputs!$C$17/2</f>
        <v/>
      </c>
      <c r="U140" s="9">
        <f>F140+Inputs!$C$17/2</f>
        <v/>
      </c>
      <c r="V140" s="9">
        <f>ABS(P140)</f>
        <v/>
      </c>
      <c r="W140" s="9">
        <f>ABS(Q140)</f>
        <v/>
      </c>
      <c r="X140" s="9">
        <f>IF(OR(Inputs!$C$27=TRUE,Inputs!$C$27="TRUE",Inputs!$C$27=1),1,0)*(Inputs!$C$51*(115*EXP(-(((0)-25)^2)/(4.5^2))+70*EXP(-(((0)+38)^2)/(7^2))*(0.55+0.45*SIN(2*PI()*(A140)/45))+24*SIN(2*PI()*(0)/9+(A140)/18)*EXP(-(((0)+5)^2)/(22^2))+18*SIN(2*PI()*(A140)/70))+Inputs!$C$28*EXP(-(((A140)-Inputs!$C$29)^2)/(2*Inputs!$C$31^2))*EXP(-(((0)-Inputs!$C$30)^2)/(2*Inputs!$C$32^2))+-Inputs!$C$33*EXP(-(((((A140)-Inputs!$C$34)^2)+(((0)-Inputs!$C$35)^2))/(2*Inputs!$C$36^2)))+Inputs!$C$37*(0.55*SIN(2*PI()*(A140)/Inputs!$C$39)+0.35*COS(2*PI()*(0)/Inputs!$C$40)+0.2*SIN(2*PI()*((A140)+(0))/(0.5*(Inputs!$C$39+Inputs!$C$40))))+Inputs!$C$38*SIN(2*PI()*(A140)/Inputs!$C$39)*SIN(2*PI()*(0)/Inputs!$C$40)+-Inputs!$C$41*EXP(-(((0)-Inputs!$C$43)^2)/(2*Inputs!$C$44^2))*EXP(-(((A140)-Inputs!$C$42)^2)/(2*Inputs!$C$45^2))+Inputs!$C$48*(0.7*(0.45*SIN(2*PI()*(((A140)/Inputs!$C$49)+Inputs!$C$47*0.137))+0.35*COS(2*PI()*(((0)/Inputs!$C$50)+Inputs!$C$47*0.173))+0.2*SIN(2*PI()*(((A140)+(0))/(0.5*(Inputs!$C$49+Inputs!$C$50))+Inputs!$C$47*0.097)))+0.3*(2*((SIN(((A140)*12.9898+(0)*78.233+Inputs!$C$47*37.719))*43758.5453)-INT((SIN(((A140)*12.9898+(0)*78.233+Inputs!$C$47*37.719))*43758.5453)))-1)))</f>
        <v/>
      </c>
      <c r="Y140" s="9">
        <f>IF(OR(Inputs!$C$27=TRUE,Inputs!$C$27="TRUE",Inputs!$C$27=1),1,0)*(Inputs!$C$51*(115*EXP(-(((Inputs!$C$6)-25)^2)/(4.5^2))+70*EXP(-(((Inputs!$C$6)+38)^2)/(7^2))*(0.55+0.45*SIN(2*PI()*(A140)/45))+24*SIN(2*PI()*(Inputs!$C$6)/9+(A140)/18)*EXP(-(((Inputs!$C$6)+5)^2)/(22^2))+18*SIN(2*PI()*(A140)/70))+Inputs!$C$28*EXP(-(((A140)-Inputs!$C$29)^2)/(2*Inputs!$C$31^2))*EXP(-(((Inputs!$C$6)-Inputs!$C$30)^2)/(2*Inputs!$C$32^2))+-Inputs!$C$33*EXP(-(((((A140)-Inputs!$C$34)^2)+(((Inputs!$C$6)-Inputs!$C$35)^2))/(2*Inputs!$C$36^2)))+Inputs!$C$37*(0.55*SIN(2*PI()*(A140)/Inputs!$C$39)+0.35*COS(2*PI()*(Inputs!$C$6)/Inputs!$C$40)+0.2*SIN(2*PI()*((A140)+(Inputs!$C$6))/(0.5*(Inputs!$C$39+Inputs!$C$40))))+Inputs!$C$38*SIN(2*PI()*(A140)/Inputs!$C$39)*SIN(2*PI()*(Inputs!$C$6)/Inputs!$C$40)+-Inputs!$C$41*EXP(-(((Inputs!$C$6)-Inputs!$C$43)^2)/(2*Inputs!$C$44^2))*EXP(-(((A140)-Inputs!$C$42)^2)/(2*Inputs!$C$45^2))+Inputs!$C$48*(0.7*(0.45*SIN(2*PI()*(((A140)/Inputs!$C$49)+Inputs!$C$47*0.137))+0.35*COS(2*PI()*(((Inputs!$C$6)/Inputs!$C$50)+Inputs!$C$47*0.173))+0.2*SIN(2*PI()*(((A140)+(Inputs!$C$6))/(0.5*(Inputs!$C$49+Inputs!$C$50))+Inputs!$C$47*0.097)))+0.3*(2*((SIN(((A140)*12.9898+(Inputs!$C$6)*78.233+Inputs!$C$47*37.719))*43758.5453)-INT((SIN(((A140)*12.9898+(Inputs!$C$6)*78.233+Inputs!$C$47*37.719))*43758.5453)))-1)))</f>
        <v/>
      </c>
      <c r="Z140" s="9">
        <f>B140-X140/1000</f>
        <v/>
      </c>
      <c r="AA140" s="9">
        <f>SQRT((Inputs!$C$52+B140)^2+(Inputs!$C$52+Y140/1000)^2-2*(Inputs!$C$52+B140)*(Inputs!$C$52+Y140/1000)*COS(SQRT(A140^2+Inputs!$C$6^2)/Inputs!$C$52))</f>
        <v/>
      </c>
      <c r="AB140" s="9">
        <f>(AA140-Z140)*1000</f>
        <v/>
      </c>
      <c r="AC140" s="9">
        <f>AB140/Inputs!$C$12</f>
        <v/>
      </c>
      <c r="AD140" s="9">
        <f>2*AB140/Inputs!$C$21*1000000</f>
        <v/>
      </c>
      <c r="AE140" s="9">
        <f>DEGREES(ATAN(H140/(B140-Y140/1000)))</f>
        <v/>
      </c>
      <c r="AF140" s="9">
        <f>DEGREES((2*PI()/Inputs!$C$13)*Inputs!$C$15*SIN(RADIANS(AE140)))</f>
        <v/>
      </c>
      <c r="AG140" s="9">
        <f>(Z140/AA140)^4</f>
        <v/>
      </c>
      <c r="AH140" s="9">
        <f>10*LOG10(AG140)</f>
        <v/>
      </c>
      <c r="AI140" s="9">
        <f>AC140-F140</f>
        <v/>
      </c>
      <c r="AJ140" s="9">
        <f>AD140-G140</f>
        <v/>
      </c>
      <c r="AK140" s="9">
        <f>Y140-X140</f>
        <v/>
      </c>
      <c r="AL140" s="9">
        <f>1000*(AA141-AA139)/(A141-A139)*Inputs!$C$11</f>
        <v/>
      </c>
      <c r="AM140" s="9">
        <f>-2*AL140/Inputs!$C$13</f>
        <v/>
      </c>
      <c r="AN140" s="9">
        <f>-2*AL140/Inputs!$C$14</f>
        <v/>
      </c>
      <c r="AO140" s="9">
        <f>ABS(AM140)</f>
        <v/>
      </c>
      <c r="AP140" s="9">
        <f>ABS(AN140)</f>
        <v/>
      </c>
      <c r="AQ140" s="9">
        <f>IF(OR(Inputs!$C$27=TRUE,Inputs!$C$27="TRUE",Inputs!$C$27=1),Inputs!$C$46/Inputs!$C$12,0)</f>
        <v/>
      </c>
      <c r="AR140" s="9">
        <f>AC140-AQ140</f>
        <v/>
      </c>
      <c r="AS140" s="9">
        <f>AC140+AQ140</f>
        <v/>
      </c>
    </row>
    <row r="141">
      <c r="A141" s="9">
        <f>Inputs!$C$7+139*(Inputs!$C$8-Inputs!$C$7)/240</f>
        <v/>
      </c>
      <c r="B141" s="9">
        <f>Inputs!$C$5+Inputs!$C$9*(A141/Inputs!$C$10)^2</f>
        <v/>
      </c>
      <c r="C141" s="9">
        <f>B141</f>
        <v/>
      </c>
      <c r="D141" s="9">
        <f>SQRT((Inputs!$C$52+B141)^2+Inputs!$C$52^2-2*(Inputs!$C$52+B141)*Inputs!$C$52*COS(SQRT(A141^2+Inputs!$C$6^2)/Inputs!$C$52))</f>
        <v/>
      </c>
      <c r="E141" s="9">
        <f>(D141-C141)*1000</f>
        <v/>
      </c>
      <c r="F141" s="9">
        <f>E141/Inputs!$C$12</f>
        <v/>
      </c>
      <c r="G141" s="9">
        <f>2*E141/Inputs!$C$21*1000000</f>
        <v/>
      </c>
      <c r="H141" s="9">
        <f>SQRT(A141^2+Inputs!$C$6^2)</f>
        <v/>
      </c>
      <c r="I141" s="9">
        <f>DEGREES(ATAN(H141/B141))</f>
        <v/>
      </c>
      <c r="J141" s="9">
        <f>DEGREES((2*PI()/Inputs!$C$13)*Inputs!$C$15*SIN(RADIANS(I141)))</f>
        <v/>
      </c>
      <c r="K141" s="9">
        <f>(C141/D141)^4</f>
        <v/>
      </c>
      <c r="L141" s="9">
        <f>10*LOG10(K141)</f>
        <v/>
      </c>
      <c r="M141" s="9">
        <f>2*(Inputs!$C$9/(Inputs!$C$10^2))*A141</f>
        <v/>
      </c>
      <c r="N141" s="9">
        <f>M141*Inputs!$C$11</f>
        <v/>
      </c>
      <c r="O141" s="9">
        <f>1000*(D142-D140)/(A142-A140)*Inputs!$C$11</f>
        <v/>
      </c>
      <c r="P141" s="9">
        <f>-2*O141/Inputs!$C$13</f>
        <v/>
      </c>
      <c r="Q141" s="9">
        <f>-2*O141/Inputs!$C$14</f>
        <v/>
      </c>
      <c r="R141" s="9">
        <f>F141-Inputs!$C$16/2</f>
        <v/>
      </c>
      <c r="S141" s="9">
        <f>F141+Inputs!$C$16/2</f>
        <v/>
      </c>
      <c r="T141" s="9">
        <f>F141-Inputs!$C$17/2</f>
        <v/>
      </c>
      <c r="U141" s="9">
        <f>F141+Inputs!$C$17/2</f>
        <v/>
      </c>
      <c r="V141" s="9">
        <f>ABS(P141)</f>
        <v/>
      </c>
      <c r="W141" s="9">
        <f>ABS(Q141)</f>
        <v/>
      </c>
      <c r="X141" s="9">
        <f>IF(OR(Inputs!$C$27=TRUE,Inputs!$C$27="TRUE",Inputs!$C$27=1),1,0)*(Inputs!$C$51*(115*EXP(-(((0)-25)^2)/(4.5^2))+70*EXP(-(((0)+38)^2)/(7^2))*(0.55+0.45*SIN(2*PI()*(A141)/45))+24*SIN(2*PI()*(0)/9+(A141)/18)*EXP(-(((0)+5)^2)/(22^2))+18*SIN(2*PI()*(A141)/70))+Inputs!$C$28*EXP(-(((A141)-Inputs!$C$29)^2)/(2*Inputs!$C$31^2))*EXP(-(((0)-Inputs!$C$30)^2)/(2*Inputs!$C$32^2))+-Inputs!$C$33*EXP(-(((((A141)-Inputs!$C$34)^2)+(((0)-Inputs!$C$35)^2))/(2*Inputs!$C$36^2)))+Inputs!$C$37*(0.55*SIN(2*PI()*(A141)/Inputs!$C$39)+0.35*COS(2*PI()*(0)/Inputs!$C$40)+0.2*SIN(2*PI()*((A141)+(0))/(0.5*(Inputs!$C$39+Inputs!$C$40))))+Inputs!$C$38*SIN(2*PI()*(A141)/Inputs!$C$39)*SIN(2*PI()*(0)/Inputs!$C$40)+-Inputs!$C$41*EXP(-(((0)-Inputs!$C$43)^2)/(2*Inputs!$C$44^2))*EXP(-(((A141)-Inputs!$C$42)^2)/(2*Inputs!$C$45^2))+Inputs!$C$48*(0.7*(0.45*SIN(2*PI()*(((A141)/Inputs!$C$49)+Inputs!$C$47*0.137))+0.35*COS(2*PI()*(((0)/Inputs!$C$50)+Inputs!$C$47*0.173))+0.2*SIN(2*PI()*(((A141)+(0))/(0.5*(Inputs!$C$49+Inputs!$C$50))+Inputs!$C$47*0.097)))+0.3*(2*((SIN(((A141)*12.9898+(0)*78.233+Inputs!$C$47*37.719))*43758.5453)-INT((SIN(((A141)*12.9898+(0)*78.233+Inputs!$C$47*37.719))*43758.5453)))-1)))</f>
        <v/>
      </c>
      <c r="Y141" s="9">
        <f>IF(OR(Inputs!$C$27=TRUE,Inputs!$C$27="TRUE",Inputs!$C$27=1),1,0)*(Inputs!$C$51*(115*EXP(-(((Inputs!$C$6)-25)^2)/(4.5^2))+70*EXP(-(((Inputs!$C$6)+38)^2)/(7^2))*(0.55+0.45*SIN(2*PI()*(A141)/45))+24*SIN(2*PI()*(Inputs!$C$6)/9+(A141)/18)*EXP(-(((Inputs!$C$6)+5)^2)/(22^2))+18*SIN(2*PI()*(A141)/70))+Inputs!$C$28*EXP(-(((A141)-Inputs!$C$29)^2)/(2*Inputs!$C$31^2))*EXP(-(((Inputs!$C$6)-Inputs!$C$30)^2)/(2*Inputs!$C$32^2))+-Inputs!$C$33*EXP(-(((((A141)-Inputs!$C$34)^2)+(((Inputs!$C$6)-Inputs!$C$35)^2))/(2*Inputs!$C$36^2)))+Inputs!$C$37*(0.55*SIN(2*PI()*(A141)/Inputs!$C$39)+0.35*COS(2*PI()*(Inputs!$C$6)/Inputs!$C$40)+0.2*SIN(2*PI()*((A141)+(Inputs!$C$6))/(0.5*(Inputs!$C$39+Inputs!$C$40))))+Inputs!$C$38*SIN(2*PI()*(A141)/Inputs!$C$39)*SIN(2*PI()*(Inputs!$C$6)/Inputs!$C$40)+-Inputs!$C$41*EXP(-(((Inputs!$C$6)-Inputs!$C$43)^2)/(2*Inputs!$C$44^2))*EXP(-(((A141)-Inputs!$C$42)^2)/(2*Inputs!$C$45^2))+Inputs!$C$48*(0.7*(0.45*SIN(2*PI()*(((A141)/Inputs!$C$49)+Inputs!$C$47*0.137))+0.35*COS(2*PI()*(((Inputs!$C$6)/Inputs!$C$50)+Inputs!$C$47*0.173))+0.2*SIN(2*PI()*(((A141)+(Inputs!$C$6))/(0.5*(Inputs!$C$49+Inputs!$C$50))+Inputs!$C$47*0.097)))+0.3*(2*((SIN(((A141)*12.9898+(Inputs!$C$6)*78.233+Inputs!$C$47*37.719))*43758.5453)-INT((SIN(((A141)*12.9898+(Inputs!$C$6)*78.233+Inputs!$C$47*37.719))*43758.5453)))-1)))</f>
        <v/>
      </c>
      <c r="Z141" s="9">
        <f>B141-X141/1000</f>
        <v/>
      </c>
      <c r="AA141" s="9">
        <f>SQRT((Inputs!$C$52+B141)^2+(Inputs!$C$52+Y141/1000)^2-2*(Inputs!$C$52+B141)*(Inputs!$C$52+Y141/1000)*COS(SQRT(A141^2+Inputs!$C$6^2)/Inputs!$C$52))</f>
        <v/>
      </c>
      <c r="AB141" s="9">
        <f>(AA141-Z141)*1000</f>
        <v/>
      </c>
      <c r="AC141" s="9">
        <f>AB141/Inputs!$C$12</f>
        <v/>
      </c>
      <c r="AD141" s="9">
        <f>2*AB141/Inputs!$C$21*1000000</f>
        <v/>
      </c>
      <c r="AE141" s="9">
        <f>DEGREES(ATAN(H141/(B141-Y141/1000)))</f>
        <v/>
      </c>
      <c r="AF141" s="9">
        <f>DEGREES((2*PI()/Inputs!$C$13)*Inputs!$C$15*SIN(RADIANS(AE141)))</f>
        <v/>
      </c>
      <c r="AG141" s="9">
        <f>(Z141/AA141)^4</f>
        <v/>
      </c>
      <c r="AH141" s="9">
        <f>10*LOG10(AG141)</f>
        <v/>
      </c>
      <c r="AI141" s="9">
        <f>AC141-F141</f>
        <v/>
      </c>
      <c r="AJ141" s="9">
        <f>AD141-G141</f>
        <v/>
      </c>
      <c r="AK141" s="9">
        <f>Y141-X141</f>
        <v/>
      </c>
      <c r="AL141" s="9">
        <f>1000*(AA142-AA140)/(A142-A140)*Inputs!$C$11</f>
        <v/>
      </c>
      <c r="AM141" s="9">
        <f>-2*AL141/Inputs!$C$13</f>
        <v/>
      </c>
      <c r="AN141" s="9">
        <f>-2*AL141/Inputs!$C$14</f>
        <v/>
      </c>
      <c r="AO141" s="9">
        <f>ABS(AM141)</f>
        <v/>
      </c>
      <c r="AP141" s="9">
        <f>ABS(AN141)</f>
        <v/>
      </c>
      <c r="AQ141" s="9">
        <f>IF(OR(Inputs!$C$27=TRUE,Inputs!$C$27="TRUE",Inputs!$C$27=1),Inputs!$C$46/Inputs!$C$12,0)</f>
        <v/>
      </c>
      <c r="AR141" s="9">
        <f>AC141-AQ141</f>
        <v/>
      </c>
      <c r="AS141" s="9">
        <f>AC141+AQ141</f>
        <v/>
      </c>
    </row>
    <row r="142">
      <c r="A142" s="9">
        <f>Inputs!$C$7+140*(Inputs!$C$8-Inputs!$C$7)/240</f>
        <v/>
      </c>
      <c r="B142" s="9">
        <f>Inputs!$C$5+Inputs!$C$9*(A142/Inputs!$C$10)^2</f>
        <v/>
      </c>
      <c r="C142" s="9">
        <f>B142</f>
        <v/>
      </c>
      <c r="D142" s="9">
        <f>SQRT((Inputs!$C$52+B142)^2+Inputs!$C$52^2-2*(Inputs!$C$52+B142)*Inputs!$C$52*COS(SQRT(A142^2+Inputs!$C$6^2)/Inputs!$C$52))</f>
        <v/>
      </c>
      <c r="E142" s="9">
        <f>(D142-C142)*1000</f>
        <v/>
      </c>
      <c r="F142" s="9">
        <f>E142/Inputs!$C$12</f>
        <v/>
      </c>
      <c r="G142" s="9">
        <f>2*E142/Inputs!$C$21*1000000</f>
        <v/>
      </c>
      <c r="H142" s="9">
        <f>SQRT(A142^2+Inputs!$C$6^2)</f>
        <v/>
      </c>
      <c r="I142" s="9">
        <f>DEGREES(ATAN(H142/B142))</f>
        <v/>
      </c>
      <c r="J142" s="9">
        <f>DEGREES((2*PI()/Inputs!$C$13)*Inputs!$C$15*SIN(RADIANS(I142)))</f>
        <v/>
      </c>
      <c r="K142" s="9">
        <f>(C142/D142)^4</f>
        <v/>
      </c>
      <c r="L142" s="9">
        <f>10*LOG10(K142)</f>
        <v/>
      </c>
      <c r="M142" s="9">
        <f>2*(Inputs!$C$9/(Inputs!$C$10^2))*A142</f>
        <v/>
      </c>
      <c r="N142" s="9">
        <f>M142*Inputs!$C$11</f>
        <v/>
      </c>
      <c r="O142" s="9">
        <f>1000*(D143-D141)/(A143-A141)*Inputs!$C$11</f>
        <v/>
      </c>
      <c r="P142" s="9">
        <f>-2*O142/Inputs!$C$13</f>
        <v/>
      </c>
      <c r="Q142" s="9">
        <f>-2*O142/Inputs!$C$14</f>
        <v/>
      </c>
      <c r="R142" s="9">
        <f>F142-Inputs!$C$16/2</f>
        <v/>
      </c>
      <c r="S142" s="9">
        <f>F142+Inputs!$C$16/2</f>
        <v/>
      </c>
      <c r="T142" s="9">
        <f>F142-Inputs!$C$17/2</f>
        <v/>
      </c>
      <c r="U142" s="9">
        <f>F142+Inputs!$C$17/2</f>
        <v/>
      </c>
      <c r="V142" s="9">
        <f>ABS(P142)</f>
        <v/>
      </c>
      <c r="W142" s="9">
        <f>ABS(Q142)</f>
        <v/>
      </c>
      <c r="X142" s="9">
        <f>IF(OR(Inputs!$C$27=TRUE,Inputs!$C$27="TRUE",Inputs!$C$27=1),1,0)*(Inputs!$C$51*(115*EXP(-(((0)-25)^2)/(4.5^2))+70*EXP(-(((0)+38)^2)/(7^2))*(0.55+0.45*SIN(2*PI()*(A142)/45))+24*SIN(2*PI()*(0)/9+(A142)/18)*EXP(-(((0)+5)^2)/(22^2))+18*SIN(2*PI()*(A142)/70))+Inputs!$C$28*EXP(-(((A142)-Inputs!$C$29)^2)/(2*Inputs!$C$31^2))*EXP(-(((0)-Inputs!$C$30)^2)/(2*Inputs!$C$32^2))+-Inputs!$C$33*EXP(-(((((A142)-Inputs!$C$34)^2)+(((0)-Inputs!$C$35)^2))/(2*Inputs!$C$36^2)))+Inputs!$C$37*(0.55*SIN(2*PI()*(A142)/Inputs!$C$39)+0.35*COS(2*PI()*(0)/Inputs!$C$40)+0.2*SIN(2*PI()*((A142)+(0))/(0.5*(Inputs!$C$39+Inputs!$C$40))))+Inputs!$C$38*SIN(2*PI()*(A142)/Inputs!$C$39)*SIN(2*PI()*(0)/Inputs!$C$40)+-Inputs!$C$41*EXP(-(((0)-Inputs!$C$43)^2)/(2*Inputs!$C$44^2))*EXP(-(((A142)-Inputs!$C$42)^2)/(2*Inputs!$C$45^2))+Inputs!$C$48*(0.7*(0.45*SIN(2*PI()*(((A142)/Inputs!$C$49)+Inputs!$C$47*0.137))+0.35*COS(2*PI()*(((0)/Inputs!$C$50)+Inputs!$C$47*0.173))+0.2*SIN(2*PI()*(((A142)+(0))/(0.5*(Inputs!$C$49+Inputs!$C$50))+Inputs!$C$47*0.097)))+0.3*(2*((SIN(((A142)*12.9898+(0)*78.233+Inputs!$C$47*37.719))*43758.5453)-INT((SIN(((A142)*12.9898+(0)*78.233+Inputs!$C$47*37.719))*43758.5453)))-1)))</f>
        <v/>
      </c>
      <c r="Y142" s="9">
        <f>IF(OR(Inputs!$C$27=TRUE,Inputs!$C$27="TRUE",Inputs!$C$27=1),1,0)*(Inputs!$C$51*(115*EXP(-(((Inputs!$C$6)-25)^2)/(4.5^2))+70*EXP(-(((Inputs!$C$6)+38)^2)/(7^2))*(0.55+0.45*SIN(2*PI()*(A142)/45))+24*SIN(2*PI()*(Inputs!$C$6)/9+(A142)/18)*EXP(-(((Inputs!$C$6)+5)^2)/(22^2))+18*SIN(2*PI()*(A142)/70))+Inputs!$C$28*EXP(-(((A142)-Inputs!$C$29)^2)/(2*Inputs!$C$31^2))*EXP(-(((Inputs!$C$6)-Inputs!$C$30)^2)/(2*Inputs!$C$32^2))+-Inputs!$C$33*EXP(-(((((A142)-Inputs!$C$34)^2)+(((Inputs!$C$6)-Inputs!$C$35)^2))/(2*Inputs!$C$36^2)))+Inputs!$C$37*(0.55*SIN(2*PI()*(A142)/Inputs!$C$39)+0.35*COS(2*PI()*(Inputs!$C$6)/Inputs!$C$40)+0.2*SIN(2*PI()*((A142)+(Inputs!$C$6))/(0.5*(Inputs!$C$39+Inputs!$C$40))))+Inputs!$C$38*SIN(2*PI()*(A142)/Inputs!$C$39)*SIN(2*PI()*(Inputs!$C$6)/Inputs!$C$40)+-Inputs!$C$41*EXP(-(((Inputs!$C$6)-Inputs!$C$43)^2)/(2*Inputs!$C$44^2))*EXP(-(((A142)-Inputs!$C$42)^2)/(2*Inputs!$C$45^2))+Inputs!$C$48*(0.7*(0.45*SIN(2*PI()*(((A142)/Inputs!$C$49)+Inputs!$C$47*0.137))+0.35*COS(2*PI()*(((Inputs!$C$6)/Inputs!$C$50)+Inputs!$C$47*0.173))+0.2*SIN(2*PI()*(((A142)+(Inputs!$C$6))/(0.5*(Inputs!$C$49+Inputs!$C$50))+Inputs!$C$47*0.097)))+0.3*(2*((SIN(((A142)*12.9898+(Inputs!$C$6)*78.233+Inputs!$C$47*37.719))*43758.5453)-INT((SIN(((A142)*12.9898+(Inputs!$C$6)*78.233+Inputs!$C$47*37.719))*43758.5453)))-1)))</f>
        <v/>
      </c>
      <c r="Z142" s="9">
        <f>B142-X142/1000</f>
        <v/>
      </c>
      <c r="AA142" s="9">
        <f>SQRT((Inputs!$C$52+B142)^2+(Inputs!$C$52+Y142/1000)^2-2*(Inputs!$C$52+B142)*(Inputs!$C$52+Y142/1000)*COS(SQRT(A142^2+Inputs!$C$6^2)/Inputs!$C$52))</f>
        <v/>
      </c>
      <c r="AB142" s="9">
        <f>(AA142-Z142)*1000</f>
        <v/>
      </c>
      <c r="AC142" s="9">
        <f>AB142/Inputs!$C$12</f>
        <v/>
      </c>
      <c r="AD142" s="9">
        <f>2*AB142/Inputs!$C$21*1000000</f>
        <v/>
      </c>
      <c r="AE142" s="9">
        <f>DEGREES(ATAN(H142/(B142-Y142/1000)))</f>
        <v/>
      </c>
      <c r="AF142" s="9">
        <f>DEGREES((2*PI()/Inputs!$C$13)*Inputs!$C$15*SIN(RADIANS(AE142)))</f>
        <v/>
      </c>
      <c r="AG142" s="9">
        <f>(Z142/AA142)^4</f>
        <v/>
      </c>
      <c r="AH142" s="9">
        <f>10*LOG10(AG142)</f>
        <v/>
      </c>
      <c r="AI142" s="9">
        <f>AC142-F142</f>
        <v/>
      </c>
      <c r="AJ142" s="9">
        <f>AD142-G142</f>
        <v/>
      </c>
      <c r="AK142" s="9">
        <f>Y142-X142</f>
        <v/>
      </c>
      <c r="AL142" s="9">
        <f>1000*(AA143-AA141)/(A143-A141)*Inputs!$C$11</f>
        <v/>
      </c>
      <c r="AM142" s="9">
        <f>-2*AL142/Inputs!$C$13</f>
        <v/>
      </c>
      <c r="AN142" s="9">
        <f>-2*AL142/Inputs!$C$14</f>
        <v/>
      </c>
      <c r="AO142" s="9">
        <f>ABS(AM142)</f>
        <v/>
      </c>
      <c r="AP142" s="9">
        <f>ABS(AN142)</f>
        <v/>
      </c>
      <c r="AQ142" s="9">
        <f>IF(OR(Inputs!$C$27=TRUE,Inputs!$C$27="TRUE",Inputs!$C$27=1),Inputs!$C$46/Inputs!$C$12,0)</f>
        <v/>
      </c>
      <c r="AR142" s="9">
        <f>AC142-AQ142</f>
        <v/>
      </c>
      <c r="AS142" s="9">
        <f>AC142+AQ142</f>
        <v/>
      </c>
    </row>
    <row r="143">
      <c r="A143" s="9">
        <f>Inputs!$C$7+141*(Inputs!$C$8-Inputs!$C$7)/240</f>
        <v/>
      </c>
      <c r="B143" s="9">
        <f>Inputs!$C$5+Inputs!$C$9*(A143/Inputs!$C$10)^2</f>
        <v/>
      </c>
      <c r="C143" s="9">
        <f>B143</f>
        <v/>
      </c>
      <c r="D143" s="9">
        <f>SQRT((Inputs!$C$52+B143)^2+Inputs!$C$52^2-2*(Inputs!$C$52+B143)*Inputs!$C$52*COS(SQRT(A143^2+Inputs!$C$6^2)/Inputs!$C$52))</f>
        <v/>
      </c>
      <c r="E143" s="9">
        <f>(D143-C143)*1000</f>
        <v/>
      </c>
      <c r="F143" s="9">
        <f>E143/Inputs!$C$12</f>
        <v/>
      </c>
      <c r="G143" s="9">
        <f>2*E143/Inputs!$C$21*1000000</f>
        <v/>
      </c>
      <c r="H143" s="9">
        <f>SQRT(A143^2+Inputs!$C$6^2)</f>
        <v/>
      </c>
      <c r="I143" s="9">
        <f>DEGREES(ATAN(H143/B143))</f>
        <v/>
      </c>
      <c r="J143" s="9">
        <f>DEGREES((2*PI()/Inputs!$C$13)*Inputs!$C$15*SIN(RADIANS(I143)))</f>
        <v/>
      </c>
      <c r="K143" s="9">
        <f>(C143/D143)^4</f>
        <v/>
      </c>
      <c r="L143" s="9">
        <f>10*LOG10(K143)</f>
        <v/>
      </c>
      <c r="M143" s="9">
        <f>2*(Inputs!$C$9/(Inputs!$C$10^2))*A143</f>
        <v/>
      </c>
      <c r="N143" s="9">
        <f>M143*Inputs!$C$11</f>
        <v/>
      </c>
      <c r="O143" s="9">
        <f>1000*(D144-D142)/(A144-A142)*Inputs!$C$11</f>
        <v/>
      </c>
      <c r="P143" s="9">
        <f>-2*O143/Inputs!$C$13</f>
        <v/>
      </c>
      <c r="Q143" s="9">
        <f>-2*O143/Inputs!$C$14</f>
        <v/>
      </c>
      <c r="R143" s="9">
        <f>F143-Inputs!$C$16/2</f>
        <v/>
      </c>
      <c r="S143" s="9">
        <f>F143+Inputs!$C$16/2</f>
        <v/>
      </c>
      <c r="T143" s="9">
        <f>F143-Inputs!$C$17/2</f>
        <v/>
      </c>
      <c r="U143" s="9">
        <f>F143+Inputs!$C$17/2</f>
        <v/>
      </c>
      <c r="V143" s="9">
        <f>ABS(P143)</f>
        <v/>
      </c>
      <c r="W143" s="9">
        <f>ABS(Q143)</f>
        <v/>
      </c>
      <c r="X143" s="9">
        <f>IF(OR(Inputs!$C$27=TRUE,Inputs!$C$27="TRUE",Inputs!$C$27=1),1,0)*(Inputs!$C$51*(115*EXP(-(((0)-25)^2)/(4.5^2))+70*EXP(-(((0)+38)^2)/(7^2))*(0.55+0.45*SIN(2*PI()*(A143)/45))+24*SIN(2*PI()*(0)/9+(A143)/18)*EXP(-(((0)+5)^2)/(22^2))+18*SIN(2*PI()*(A143)/70))+Inputs!$C$28*EXP(-(((A143)-Inputs!$C$29)^2)/(2*Inputs!$C$31^2))*EXP(-(((0)-Inputs!$C$30)^2)/(2*Inputs!$C$32^2))+-Inputs!$C$33*EXP(-(((((A143)-Inputs!$C$34)^2)+(((0)-Inputs!$C$35)^2))/(2*Inputs!$C$36^2)))+Inputs!$C$37*(0.55*SIN(2*PI()*(A143)/Inputs!$C$39)+0.35*COS(2*PI()*(0)/Inputs!$C$40)+0.2*SIN(2*PI()*((A143)+(0))/(0.5*(Inputs!$C$39+Inputs!$C$40))))+Inputs!$C$38*SIN(2*PI()*(A143)/Inputs!$C$39)*SIN(2*PI()*(0)/Inputs!$C$40)+-Inputs!$C$41*EXP(-(((0)-Inputs!$C$43)^2)/(2*Inputs!$C$44^2))*EXP(-(((A143)-Inputs!$C$42)^2)/(2*Inputs!$C$45^2))+Inputs!$C$48*(0.7*(0.45*SIN(2*PI()*(((A143)/Inputs!$C$49)+Inputs!$C$47*0.137))+0.35*COS(2*PI()*(((0)/Inputs!$C$50)+Inputs!$C$47*0.173))+0.2*SIN(2*PI()*(((A143)+(0))/(0.5*(Inputs!$C$49+Inputs!$C$50))+Inputs!$C$47*0.097)))+0.3*(2*((SIN(((A143)*12.9898+(0)*78.233+Inputs!$C$47*37.719))*43758.5453)-INT((SIN(((A143)*12.9898+(0)*78.233+Inputs!$C$47*37.719))*43758.5453)))-1)))</f>
        <v/>
      </c>
      <c r="Y143" s="9">
        <f>IF(OR(Inputs!$C$27=TRUE,Inputs!$C$27="TRUE",Inputs!$C$27=1),1,0)*(Inputs!$C$51*(115*EXP(-(((Inputs!$C$6)-25)^2)/(4.5^2))+70*EXP(-(((Inputs!$C$6)+38)^2)/(7^2))*(0.55+0.45*SIN(2*PI()*(A143)/45))+24*SIN(2*PI()*(Inputs!$C$6)/9+(A143)/18)*EXP(-(((Inputs!$C$6)+5)^2)/(22^2))+18*SIN(2*PI()*(A143)/70))+Inputs!$C$28*EXP(-(((A143)-Inputs!$C$29)^2)/(2*Inputs!$C$31^2))*EXP(-(((Inputs!$C$6)-Inputs!$C$30)^2)/(2*Inputs!$C$32^2))+-Inputs!$C$33*EXP(-(((((A143)-Inputs!$C$34)^2)+(((Inputs!$C$6)-Inputs!$C$35)^2))/(2*Inputs!$C$36^2)))+Inputs!$C$37*(0.55*SIN(2*PI()*(A143)/Inputs!$C$39)+0.35*COS(2*PI()*(Inputs!$C$6)/Inputs!$C$40)+0.2*SIN(2*PI()*((A143)+(Inputs!$C$6))/(0.5*(Inputs!$C$39+Inputs!$C$40))))+Inputs!$C$38*SIN(2*PI()*(A143)/Inputs!$C$39)*SIN(2*PI()*(Inputs!$C$6)/Inputs!$C$40)+-Inputs!$C$41*EXP(-(((Inputs!$C$6)-Inputs!$C$43)^2)/(2*Inputs!$C$44^2))*EXP(-(((A143)-Inputs!$C$42)^2)/(2*Inputs!$C$45^2))+Inputs!$C$48*(0.7*(0.45*SIN(2*PI()*(((A143)/Inputs!$C$49)+Inputs!$C$47*0.137))+0.35*COS(2*PI()*(((Inputs!$C$6)/Inputs!$C$50)+Inputs!$C$47*0.173))+0.2*SIN(2*PI()*(((A143)+(Inputs!$C$6))/(0.5*(Inputs!$C$49+Inputs!$C$50))+Inputs!$C$47*0.097)))+0.3*(2*((SIN(((A143)*12.9898+(Inputs!$C$6)*78.233+Inputs!$C$47*37.719))*43758.5453)-INT((SIN(((A143)*12.9898+(Inputs!$C$6)*78.233+Inputs!$C$47*37.719))*43758.5453)))-1)))</f>
        <v/>
      </c>
      <c r="Z143" s="9">
        <f>B143-X143/1000</f>
        <v/>
      </c>
      <c r="AA143" s="9">
        <f>SQRT((Inputs!$C$52+B143)^2+(Inputs!$C$52+Y143/1000)^2-2*(Inputs!$C$52+B143)*(Inputs!$C$52+Y143/1000)*COS(SQRT(A143^2+Inputs!$C$6^2)/Inputs!$C$52))</f>
        <v/>
      </c>
      <c r="AB143" s="9">
        <f>(AA143-Z143)*1000</f>
        <v/>
      </c>
      <c r="AC143" s="9">
        <f>AB143/Inputs!$C$12</f>
        <v/>
      </c>
      <c r="AD143" s="9">
        <f>2*AB143/Inputs!$C$21*1000000</f>
        <v/>
      </c>
      <c r="AE143" s="9">
        <f>DEGREES(ATAN(H143/(B143-Y143/1000)))</f>
        <v/>
      </c>
      <c r="AF143" s="9">
        <f>DEGREES((2*PI()/Inputs!$C$13)*Inputs!$C$15*SIN(RADIANS(AE143)))</f>
        <v/>
      </c>
      <c r="AG143" s="9">
        <f>(Z143/AA143)^4</f>
        <v/>
      </c>
      <c r="AH143" s="9">
        <f>10*LOG10(AG143)</f>
        <v/>
      </c>
      <c r="AI143" s="9">
        <f>AC143-F143</f>
        <v/>
      </c>
      <c r="AJ143" s="9">
        <f>AD143-G143</f>
        <v/>
      </c>
      <c r="AK143" s="9">
        <f>Y143-X143</f>
        <v/>
      </c>
      <c r="AL143" s="9">
        <f>1000*(AA144-AA142)/(A144-A142)*Inputs!$C$11</f>
        <v/>
      </c>
      <c r="AM143" s="9">
        <f>-2*AL143/Inputs!$C$13</f>
        <v/>
      </c>
      <c r="AN143" s="9">
        <f>-2*AL143/Inputs!$C$14</f>
        <v/>
      </c>
      <c r="AO143" s="9">
        <f>ABS(AM143)</f>
        <v/>
      </c>
      <c r="AP143" s="9">
        <f>ABS(AN143)</f>
        <v/>
      </c>
      <c r="AQ143" s="9">
        <f>IF(OR(Inputs!$C$27=TRUE,Inputs!$C$27="TRUE",Inputs!$C$27=1),Inputs!$C$46/Inputs!$C$12,0)</f>
        <v/>
      </c>
      <c r="AR143" s="9">
        <f>AC143-AQ143</f>
        <v/>
      </c>
      <c r="AS143" s="9">
        <f>AC143+AQ143</f>
        <v/>
      </c>
    </row>
    <row r="144">
      <c r="A144" s="9">
        <f>Inputs!$C$7+142*(Inputs!$C$8-Inputs!$C$7)/240</f>
        <v/>
      </c>
      <c r="B144" s="9">
        <f>Inputs!$C$5+Inputs!$C$9*(A144/Inputs!$C$10)^2</f>
        <v/>
      </c>
      <c r="C144" s="9">
        <f>B144</f>
        <v/>
      </c>
      <c r="D144" s="9">
        <f>SQRT((Inputs!$C$52+B144)^2+Inputs!$C$52^2-2*(Inputs!$C$52+B144)*Inputs!$C$52*COS(SQRT(A144^2+Inputs!$C$6^2)/Inputs!$C$52))</f>
        <v/>
      </c>
      <c r="E144" s="9">
        <f>(D144-C144)*1000</f>
        <v/>
      </c>
      <c r="F144" s="9">
        <f>E144/Inputs!$C$12</f>
        <v/>
      </c>
      <c r="G144" s="9">
        <f>2*E144/Inputs!$C$21*1000000</f>
        <v/>
      </c>
      <c r="H144" s="9">
        <f>SQRT(A144^2+Inputs!$C$6^2)</f>
        <v/>
      </c>
      <c r="I144" s="9">
        <f>DEGREES(ATAN(H144/B144))</f>
        <v/>
      </c>
      <c r="J144" s="9">
        <f>DEGREES((2*PI()/Inputs!$C$13)*Inputs!$C$15*SIN(RADIANS(I144)))</f>
        <v/>
      </c>
      <c r="K144" s="9">
        <f>(C144/D144)^4</f>
        <v/>
      </c>
      <c r="L144" s="9">
        <f>10*LOG10(K144)</f>
        <v/>
      </c>
      <c r="M144" s="9">
        <f>2*(Inputs!$C$9/(Inputs!$C$10^2))*A144</f>
        <v/>
      </c>
      <c r="N144" s="9">
        <f>M144*Inputs!$C$11</f>
        <v/>
      </c>
      <c r="O144" s="9">
        <f>1000*(D145-D143)/(A145-A143)*Inputs!$C$11</f>
        <v/>
      </c>
      <c r="P144" s="9">
        <f>-2*O144/Inputs!$C$13</f>
        <v/>
      </c>
      <c r="Q144" s="9">
        <f>-2*O144/Inputs!$C$14</f>
        <v/>
      </c>
      <c r="R144" s="9">
        <f>F144-Inputs!$C$16/2</f>
        <v/>
      </c>
      <c r="S144" s="9">
        <f>F144+Inputs!$C$16/2</f>
        <v/>
      </c>
      <c r="T144" s="9">
        <f>F144-Inputs!$C$17/2</f>
        <v/>
      </c>
      <c r="U144" s="9">
        <f>F144+Inputs!$C$17/2</f>
        <v/>
      </c>
      <c r="V144" s="9">
        <f>ABS(P144)</f>
        <v/>
      </c>
      <c r="W144" s="9">
        <f>ABS(Q144)</f>
        <v/>
      </c>
      <c r="X144" s="9">
        <f>IF(OR(Inputs!$C$27=TRUE,Inputs!$C$27="TRUE",Inputs!$C$27=1),1,0)*(Inputs!$C$51*(115*EXP(-(((0)-25)^2)/(4.5^2))+70*EXP(-(((0)+38)^2)/(7^2))*(0.55+0.45*SIN(2*PI()*(A144)/45))+24*SIN(2*PI()*(0)/9+(A144)/18)*EXP(-(((0)+5)^2)/(22^2))+18*SIN(2*PI()*(A144)/70))+Inputs!$C$28*EXP(-(((A144)-Inputs!$C$29)^2)/(2*Inputs!$C$31^2))*EXP(-(((0)-Inputs!$C$30)^2)/(2*Inputs!$C$32^2))+-Inputs!$C$33*EXP(-(((((A144)-Inputs!$C$34)^2)+(((0)-Inputs!$C$35)^2))/(2*Inputs!$C$36^2)))+Inputs!$C$37*(0.55*SIN(2*PI()*(A144)/Inputs!$C$39)+0.35*COS(2*PI()*(0)/Inputs!$C$40)+0.2*SIN(2*PI()*((A144)+(0))/(0.5*(Inputs!$C$39+Inputs!$C$40))))+Inputs!$C$38*SIN(2*PI()*(A144)/Inputs!$C$39)*SIN(2*PI()*(0)/Inputs!$C$40)+-Inputs!$C$41*EXP(-(((0)-Inputs!$C$43)^2)/(2*Inputs!$C$44^2))*EXP(-(((A144)-Inputs!$C$42)^2)/(2*Inputs!$C$45^2))+Inputs!$C$48*(0.7*(0.45*SIN(2*PI()*(((A144)/Inputs!$C$49)+Inputs!$C$47*0.137))+0.35*COS(2*PI()*(((0)/Inputs!$C$50)+Inputs!$C$47*0.173))+0.2*SIN(2*PI()*(((A144)+(0))/(0.5*(Inputs!$C$49+Inputs!$C$50))+Inputs!$C$47*0.097)))+0.3*(2*((SIN(((A144)*12.9898+(0)*78.233+Inputs!$C$47*37.719))*43758.5453)-INT((SIN(((A144)*12.9898+(0)*78.233+Inputs!$C$47*37.719))*43758.5453)))-1)))</f>
        <v/>
      </c>
      <c r="Y144" s="9">
        <f>IF(OR(Inputs!$C$27=TRUE,Inputs!$C$27="TRUE",Inputs!$C$27=1),1,0)*(Inputs!$C$51*(115*EXP(-(((Inputs!$C$6)-25)^2)/(4.5^2))+70*EXP(-(((Inputs!$C$6)+38)^2)/(7^2))*(0.55+0.45*SIN(2*PI()*(A144)/45))+24*SIN(2*PI()*(Inputs!$C$6)/9+(A144)/18)*EXP(-(((Inputs!$C$6)+5)^2)/(22^2))+18*SIN(2*PI()*(A144)/70))+Inputs!$C$28*EXP(-(((A144)-Inputs!$C$29)^2)/(2*Inputs!$C$31^2))*EXP(-(((Inputs!$C$6)-Inputs!$C$30)^2)/(2*Inputs!$C$32^2))+-Inputs!$C$33*EXP(-(((((A144)-Inputs!$C$34)^2)+(((Inputs!$C$6)-Inputs!$C$35)^2))/(2*Inputs!$C$36^2)))+Inputs!$C$37*(0.55*SIN(2*PI()*(A144)/Inputs!$C$39)+0.35*COS(2*PI()*(Inputs!$C$6)/Inputs!$C$40)+0.2*SIN(2*PI()*((A144)+(Inputs!$C$6))/(0.5*(Inputs!$C$39+Inputs!$C$40))))+Inputs!$C$38*SIN(2*PI()*(A144)/Inputs!$C$39)*SIN(2*PI()*(Inputs!$C$6)/Inputs!$C$40)+-Inputs!$C$41*EXP(-(((Inputs!$C$6)-Inputs!$C$43)^2)/(2*Inputs!$C$44^2))*EXP(-(((A144)-Inputs!$C$42)^2)/(2*Inputs!$C$45^2))+Inputs!$C$48*(0.7*(0.45*SIN(2*PI()*(((A144)/Inputs!$C$49)+Inputs!$C$47*0.137))+0.35*COS(2*PI()*(((Inputs!$C$6)/Inputs!$C$50)+Inputs!$C$47*0.173))+0.2*SIN(2*PI()*(((A144)+(Inputs!$C$6))/(0.5*(Inputs!$C$49+Inputs!$C$50))+Inputs!$C$47*0.097)))+0.3*(2*((SIN(((A144)*12.9898+(Inputs!$C$6)*78.233+Inputs!$C$47*37.719))*43758.5453)-INT((SIN(((A144)*12.9898+(Inputs!$C$6)*78.233+Inputs!$C$47*37.719))*43758.5453)))-1)))</f>
        <v/>
      </c>
      <c r="Z144" s="9">
        <f>B144-X144/1000</f>
        <v/>
      </c>
      <c r="AA144" s="9">
        <f>SQRT((Inputs!$C$52+B144)^2+(Inputs!$C$52+Y144/1000)^2-2*(Inputs!$C$52+B144)*(Inputs!$C$52+Y144/1000)*COS(SQRT(A144^2+Inputs!$C$6^2)/Inputs!$C$52))</f>
        <v/>
      </c>
      <c r="AB144" s="9">
        <f>(AA144-Z144)*1000</f>
        <v/>
      </c>
      <c r="AC144" s="9">
        <f>AB144/Inputs!$C$12</f>
        <v/>
      </c>
      <c r="AD144" s="9">
        <f>2*AB144/Inputs!$C$21*1000000</f>
        <v/>
      </c>
      <c r="AE144" s="9">
        <f>DEGREES(ATAN(H144/(B144-Y144/1000)))</f>
        <v/>
      </c>
      <c r="AF144" s="9">
        <f>DEGREES((2*PI()/Inputs!$C$13)*Inputs!$C$15*SIN(RADIANS(AE144)))</f>
        <v/>
      </c>
      <c r="AG144" s="9">
        <f>(Z144/AA144)^4</f>
        <v/>
      </c>
      <c r="AH144" s="9">
        <f>10*LOG10(AG144)</f>
        <v/>
      </c>
      <c r="AI144" s="9">
        <f>AC144-F144</f>
        <v/>
      </c>
      <c r="AJ144" s="9">
        <f>AD144-G144</f>
        <v/>
      </c>
      <c r="AK144" s="9">
        <f>Y144-X144</f>
        <v/>
      </c>
      <c r="AL144" s="9">
        <f>1000*(AA145-AA143)/(A145-A143)*Inputs!$C$11</f>
        <v/>
      </c>
      <c r="AM144" s="9">
        <f>-2*AL144/Inputs!$C$13</f>
        <v/>
      </c>
      <c r="AN144" s="9">
        <f>-2*AL144/Inputs!$C$14</f>
        <v/>
      </c>
      <c r="AO144" s="9">
        <f>ABS(AM144)</f>
        <v/>
      </c>
      <c r="AP144" s="9">
        <f>ABS(AN144)</f>
        <v/>
      </c>
      <c r="AQ144" s="9">
        <f>IF(OR(Inputs!$C$27=TRUE,Inputs!$C$27="TRUE",Inputs!$C$27=1),Inputs!$C$46/Inputs!$C$12,0)</f>
        <v/>
      </c>
      <c r="AR144" s="9">
        <f>AC144-AQ144</f>
        <v/>
      </c>
      <c r="AS144" s="9">
        <f>AC144+AQ144</f>
        <v/>
      </c>
    </row>
    <row r="145">
      <c r="A145" s="9">
        <f>Inputs!$C$7+143*(Inputs!$C$8-Inputs!$C$7)/240</f>
        <v/>
      </c>
      <c r="B145" s="9">
        <f>Inputs!$C$5+Inputs!$C$9*(A145/Inputs!$C$10)^2</f>
        <v/>
      </c>
      <c r="C145" s="9">
        <f>B145</f>
        <v/>
      </c>
      <c r="D145" s="9">
        <f>SQRT((Inputs!$C$52+B145)^2+Inputs!$C$52^2-2*(Inputs!$C$52+B145)*Inputs!$C$52*COS(SQRT(A145^2+Inputs!$C$6^2)/Inputs!$C$52))</f>
        <v/>
      </c>
      <c r="E145" s="9">
        <f>(D145-C145)*1000</f>
        <v/>
      </c>
      <c r="F145" s="9">
        <f>E145/Inputs!$C$12</f>
        <v/>
      </c>
      <c r="G145" s="9">
        <f>2*E145/Inputs!$C$21*1000000</f>
        <v/>
      </c>
      <c r="H145" s="9">
        <f>SQRT(A145^2+Inputs!$C$6^2)</f>
        <v/>
      </c>
      <c r="I145" s="9">
        <f>DEGREES(ATAN(H145/B145))</f>
        <v/>
      </c>
      <c r="J145" s="9">
        <f>DEGREES((2*PI()/Inputs!$C$13)*Inputs!$C$15*SIN(RADIANS(I145)))</f>
        <v/>
      </c>
      <c r="K145" s="9">
        <f>(C145/D145)^4</f>
        <v/>
      </c>
      <c r="L145" s="9">
        <f>10*LOG10(K145)</f>
        <v/>
      </c>
      <c r="M145" s="9">
        <f>2*(Inputs!$C$9/(Inputs!$C$10^2))*A145</f>
        <v/>
      </c>
      <c r="N145" s="9">
        <f>M145*Inputs!$C$11</f>
        <v/>
      </c>
      <c r="O145" s="9">
        <f>1000*(D146-D144)/(A146-A144)*Inputs!$C$11</f>
        <v/>
      </c>
      <c r="P145" s="9">
        <f>-2*O145/Inputs!$C$13</f>
        <v/>
      </c>
      <c r="Q145" s="9">
        <f>-2*O145/Inputs!$C$14</f>
        <v/>
      </c>
      <c r="R145" s="9">
        <f>F145-Inputs!$C$16/2</f>
        <v/>
      </c>
      <c r="S145" s="9">
        <f>F145+Inputs!$C$16/2</f>
        <v/>
      </c>
      <c r="T145" s="9">
        <f>F145-Inputs!$C$17/2</f>
        <v/>
      </c>
      <c r="U145" s="9">
        <f>F145+Inputs!$C$17/2</f>
        <v/>
      </c>
      <c r="V145" s="9">
        <f>ABS(P145)</f>
        <v/>
      </c>
      <c r="W145" s="9">
        <f>ABS(Q145)</f>
        <v/>
      </c>
      <c r="X145" s="9">
        <f>IF(OR(Inputs!$C$27=TRUE,Inputs!$C$27="TRUE",Inputs!$C$27=1),1,0)*(Inputs!$C$51*(115*EXP(-(((0)-25)^2)/(4.5^2))+70*EXP(-(((0)+38)^2)/(7^2))*(0.55+0.45*SIN(2*PI()*(A145)/45))+24*SIN(2*PI()*(0)/9+(A145)/18)*EXP(-(((0)+5)^2)/(22^2))+18*SIN(2*PI()*(A145)/70))+Inputs!$C$28*EXP(-(((A145)-Inputs!$C$29)^2)/(2*Inputs!$C$31^2))*EXP(-(((0)-Inputs!$C$30)^2)/(2*Inputs!$C$32^2))+-Inputs!$C$33*EXP(-(((((A145)-Inputs!$C$34)^2)+(((0)-Inputs!$C$35)^2))/(2*Inputs!$C$36^2)))+Inputs!$C$37*(0.55*SIN(2*PI()*(A145)/Inputs!$C$39)+0.35*COS(2*PI()*(0)/Inputs!$C$40)+0.2*SIN(2*PI()*((A145)+(0))/(0.5*(Inputs!$C$39+Inputs!$C$40))))+Inputs!$C$38*SIN(2*PI()*(A145)/Inputs!$C$39)*SIN(2*PI()*(0)/Inputs!$C$40)+-Inputs!$C$41*EXP(-(((0)-Inputs!$C$43)^2)/(2*Inputs!$C$44^2))*EXP(-(((A145)-Inputs!$C$42)^2)/(2*Inputs!$C$45^2))+Inputs!$C$48*(0.7*(0.45*SIN(2*PI()*(((A145)/Inputs!$C$49)+Inputs!$C$47*0.137))+0.35*COS(2*PI()*(((0)/Inputs!$C$50)+Inputs!$C$47*0.173))+0.2*SIN(2*PI()*(((A145)+(0))/(0.5*(Inputs!$C$49+Inputs!$C$50))+Inputs!$C$47*0.097)))+0.3*(2*((SIN(((A145)*12.9898+(0)*78.233+Inputs!$C$47*37.719))*43758.5453)-INT((SIN(((A145)*12.9898+(0)*78.233+Inputs!$C$47*37.719))*43758.5453)))-1)))</f>
        <v/>
      </c>
      <c r="Y145" s="9">
        <f>IF(OR(Inputs!$C$27=TRUE,Inputs!$C$27="TRUE",Inputs!$C$27=1),1,0)*(Inputs!$C$51*(115*EXP(-(((Inputs!$C$6)-25)^2)/(4.5^2))+70*EXP(-(((Inputs!$C$6)+38)^2)/(7^2))*(0.55+0.45*SIN(2*PI()*(A145)/45))+24*SIN(2*PI()*(Inputs!$C$6)/9+(A145)/18)*EXP(-(((Inputs!$C$6)+5)^2)/(22^2))+18*SIN(2*PI()*(A145)/70))+Inputs!$C$28*EXP(-(((A145)-Inputs!$C$29)^2)/(2*Inputs!$C$31^2))*EXP(-(((Inputs!$C$6)-Inputs!$C$30)^2)/(2*Inputs!$C$32^2))+-Inputs!$C$33*EXP(-(((((A145)-Inputs!$C$34)^2)+(((Inputs!$C$6)-Inputs!$C$35)^2))/(2*Inputs!$C$36^2)))+Inputs!$C$37*(0.55*SIN(2*PI()*(A145)/Inputs!$C$39)+0.35*COS(2*PI()*(Inputs!$C$6)/Inputs!$C$40)+0.2*SIN(2*PI()*((A145)+(Inputs!$C$6))/(0.5*(Inputs!$C$39+Inputs!$C$40))))+Inputs!$C$38*SIN(2*PI()*(A145)/Inputs!$C$39)*SIN(2*PI()*(Inputs!$C$6)/Inputs!$C$40)+-Inputs!$C$41*EXP(-(((Inputs!$C$6)-Inputs!$C$43)^2)/(2*Inputs!$C$44^2))*EXP(-(((A145)-Inputs!$C$42)^2)/(2*Inputs!$C$45^2))+Inputs!$C$48*(0.7*(0.45*SIN(2*PI()*(((A145)/Inputs!$C$49)+Inputs!$C$47*0.137))+0.35*COS(2*PI()*(((Inputs!$C$6)/Inputs!$C$50)+Inputs!$C$47*0.173))+0.2*SIN(2*PI()*(((A145)+(Inputs!$C$6))/(0.5*(Inputs!$C$49+Inputs!$C$50))+Inputs!$C$47*0.097)))+0.3*(2*((SIN(((A145)*12.9898+(Inputs!$C$6)*78.233+Inputs!$C$47*37.719))*43758.5453)-INT((SIN(((A145)*12.9898+(Inputs!$C$6)*78.233+Inputs!$C$47*37.719))*43758.5453)))-1)))</f>
        <v/>
      </c>
      <c r="Z145" s="9">
        <f>B145-X145/1000</f>
        <v/>
      </c>
      <c r="AA145" s="9">
        <f>SQRT((Inputs!$C$52+B145)^2+(Inputs!$C$52+Y145/1000)^2-2*(Inputs!$C$52+B145)*(Inputs!$C$52+Y145/1000)*COS(SQRT(A145^2+Inputs!$C$6^2)/Inputs!$C$52))</f>
        <v/>
      </c>
      <c r="AB145" s="9">
        <f>(AA145-Z145)*1000</f>
        <v/>
      </c>
      <c r="AC145" s="9">
        <f>AB145/Inputs!$C$12</f>
        <v/>
      </c>
      <c r="AD145" s="9">
        <f>2*AB145/Inputs!$C$21*1000000</f>
        <v/>
      </c>
      <c r="AE145" s="9">
        <f>DEGREES(ATAN(H145/(B145-Y145/1000)))</f>
        <v/>
      </c>
      <c r="AF145" s="9">
        <f>DEGREES((2*PI()/Inputs!$C$13)*Inputs!$C$15*SIN(RADIANS(AE145)))</f>
        <v/>
      </c>
      <c r="AG145" s="9">
        <f>(Z145/AA145)^4</f>
        <v/>
      </c>
      <c r="AH145" s="9">
        <f>10*LOG10(AG145)</f>
        <v/>
      </c>
      <c r="AI145" s="9">
        <f>AC145-F145</f>
        <v/>
      </c>
      <c r="AJ145" s="9">
        <f>AD145-G145</f>
        <v/>
      </c>
      <c r="AK145" s="9">
        <f>Y145-X145</f>
        <v/>
      </c>
      <c r="AL145" s="9">
        <f>1000*(AA146-AA144)/(A146-A144)*Inputs!$C$11</f>
        <v/>
      </c>
      <c r="AM145" s="9">
        <f>-2*AL145/Inputs!$C$13</f>
        <v/>
      </c>
      <c r="AN145" s="9">
        <f>-2*AL145/Inputs!$C$14</f>
        <v/>
      </c>
      <c r="AO145" s="9">
        <f>ABS(AM145)</f>
        <v/>
      </c>
      <c r="AP145" s="9">
        <f>ABS(AN145)</f>
        <v/>
      </c>
      <c r="AQ145" s="9">
        <f>IF(OR(Inputs!$C$27=TRUE,Inputs!$C$27="TRUE",Inputs!$C$27=1),Inputs!$C$46/Inputs!$C$12,0)</f>
        <v/>
      </c>
      <c r="AR145" s="9">
        <f>AC145-AQ145</f>
        <v/>
      </c>
      <c r="AS145" s="9">
        <f>AC145+AQ145</f>
        <v/>
      </c>
    </row>
    <row r="146">
      <c r="A146" s="9">
        <f>Inputs!$C$7+144*(Inputs!$C$8-Inputs!$C$7)/240</f>
        <v/>
      </c>
      <c r="B146" s="9">
        <f>Inputs!$C$5+Inputs!$C$9*(A146/Inputs!$C$10)^2</f>
        <v/>
      </c>
      <c r="C146" s="9">
        <f>B146</f>
        <v/>
      </c>
      <c r="D146" s="9">
        <f>SQRT((Inputs!$C$52+B146)^2+Inputs!$C$52^2-2*(Inputs!$C$52+B146)*Inputs!$C$52*COS(SQRT(A146^2+Inputs!$C$6^2)/Inputs!$C$52))</f>
        <v/>
      </c>
      <c r="E146" s="9">
        <f>(D146-C146)*1000</f>
        <v/>
      </c>
      <c r="F146" s="9">
        <f>E146/Inputs!$C$12</f>
        <v/>
      </c>
      <c r="G146" s="9">
        <f>2*E146/Inputs!$C$21*1000000</f>
        <v/>
      </c>
      <c r="H146" s="9">
        <f>SQRT(A146^2+Inputs!$C$6^2)</f>
        <v/>
      </c>
      <c r="I146" s="9">
        <f>DEGREES(ATAN(H146/B146))</f>
        <v/>
      </c>
      <c r="J146" s="9">
        <f>DEGREES((2*PI()/Inputs!$C$13)*Inputs!$C$15*SIN(RADIANS(I146)))</f>
        <v/>
      </c>
      <c r="K146" s="9">
        <f>(C146/D146)^4</f>
        <v/>
      </c>
      <c r="L146" s="9">
        <f>10*LOG10(K146)</f>
        <v/>
      </c>
      <c r="M146" s="9">
        <f>2*(Inputs!$C$9/(Inputs!$C$10^2))*A146</f>
        <v/>
      </c>
      <c r="N146" s="9">
        <f>M146*Inputs!$C$11</f>
        <v/>
      </c>
      <c r="O146" s="9">
        <f>1000*(D147-D145)/(A147-A145)*Inputs!$C$11</f>
        <v/>
      </c>
      <c r="P146" s="9">
        <f>-2*O146/Inputs!$C$13</f>
        <v/>
      </c>
      <c r="Q146" s="9">
        <f>-2*O146/Inputs!$C$14</f>
        <v/>
      </c>
      <c r="R146" s="9">
        <f>F146-Inputs!$C$16/2</f>
        <v/>
      </c>
      <c r="S146" s="9">
        <f>F146+Inputs!$C$16/2</f>
        <v/>
      </c>
      <c r="T146" s="9">
        <f>F146-Inputs!$C$17/2</f>
        <v/>
      </c>
      <c r="U146" s="9">
        <f>F146+Inputs!$C$17/2</f>
        <v/>
      </c>
      <c r="V146" s="9">
        <f>ABS(P146)</f>
        <v/>
      </c>
      <c r="W146" s="9">
        <f>ABS(Q146)</f>
        <v/>
      </c>
      <c r="X146" s="9">
        <f>IF(OR(Inputs!$C$27=TRUE,Inputs!$C$27="TRUE",Inputs!$C$27=1),1,0)*(Inputs!$C$51*(115*EXP(-(((0)-25)^2)/(4.5^2))+70*EXP(-(((0)+38)^2)/(7^2))*(0.55+0.45*SIN(2*PI()*(A146)/45))+24*SIN(2*PI()*(0)/9+(A146)/18)*EXP(-(((0)+5)^2)/(22^2))+18*SIN(2*PI()*(A146)/70))+Inputs!$C$28*EXP(-(((A146)-Inputs!$C$29)^2)/(2*Inputs!$C$31^2))*EXP(-(((0)-Inputs!$C$30)^2)/(2*Inputs!$C$32^2))+-Inputs!$C$33*EXP(-(((((A146)-Inputs!$C$34)^2)+(((0)-Inputs!$C$35)^2))/(2*Inputs!$C$36^2)))+Inputs!$C$37*(0.55*SIN(2*PI()*(A146)/Inputs!$C$39)+0.35*COS(2*PI()*(0)/Inputs!$C$40)+0.2*SIN(2*PI()*((A146)+(0))/(0.5*(Inputs!$C$39+Inputs!$C$40))))+Inputs!$C$38*SIN(2*PI()*(A146)/Inputs!$C$39)*SIN(2*PI()*(0)/Inputs!$C$40)+-Inputs!$C$41*EXP(-(((0)-Inputs!$C$43)^2)/(2*Inputs!$C$44^2))*EXP(-(((A146)-Inputs!$C$42)^2)/(2*Inputs!$C$45^2))+Inputs!$C$48*(0.7*(0.45*SIN(2*PI()*(((A146)/Inputs!$C$49)+Inputs!$C$47*0.137))+0.35*COS(2*PI()*(((0)/Inputs!$C$50)+Inputs!$C$47*0.173))+0.2*SIN(2*PI()*(((A146)+(0))/(0.5*(Inputs!$C$49+Inputs!$C$50))+Inputs!$C$47*0.097)))+0.3*(2*((SIN(((A146)*12.9898+(0)*78.233+Inputs!$C$47*37.719))*43758.5453)-INT((SIN(((A146)*12.9898+(0)*78.233+Inputs!$C$47*37.719))*43758.5453)))-1)))</f>
        <v/>
      </c>
      <c r="Y146" s="9">
        <f>IF(OR(Inputs!$C$27=TRUE,Inputs!$C$27="TRUE",Inputs!$C$27=1),1,0)*(Inputs!$C$51*(115*EXP(-(((Inputs!$C$6)-25)^2)/(4.5^2))+70*EXP(-(((Inputs!$C$6)+38)^2)/(7^2))*(0.55+0.45*SIN(2*PI()*(A146)/45))+24*SIN(2*PI()*(Inputs!$C$6)/9+(A146)/18)*EXP(-(((Inputs!$C$6)+5)^2)/(22^2))+18*SIN(2*PI()*(A146)/70))+Inputs!$C$28*EXP(-(((A146)-Inputs!$C$29)^2)/(2*Inputs!$C$31^2))*EXP(-(((Inputs!$C$6)-Inputs!$C$30)^2)/(2*Inputs!$C$32^2))+-Inputs!$C$33*EXP(-(((((A146)-Inputs!$C$34)^2)+(((Inputs!$C$6)-Inputs!$C$35)^2))/(2*Inputs!$C$36^2)))+Inputs!$C$37*(0.55*SIN(2*PI()*(A146)/Inputs!$C$39)+0.35*COS(2*PI()*(Inputs!$C$6)/Inputs!$C$40)+0.2*SIN(2*PI()*((A146)+(Inputs!$C$6))/(0.5*(Inputs!$C$39+Inputs!$C$40))))+Inputs!$C$38*SIN(2*PI()*(A146)/Inputs!$C$39)*SIN(2*PI()*(Inputs!$C$6)/Inputs!$C$40)+-Inputs!$C$41*EXP(-(((Inputs!$C$6)-Inputs!$C$43)^2)/(2*Inputs!$C$44^2))*EXP(-(((A146)-Inputs!$C$42)^2)/(2*Inputs!$C$45^2))+Inputs!$C$48*(0.7*(0.45*SIN(2*PI()*(((A146)/Inputs!$C$49)+Inputs!$C$47*0.137))+0.35*COS(2*PI()*(((Inputs!$C$6)/Inputs!$C$50)+Inputs!$C$47*0.173))+0.2*SIN(2*PI()*(((A146)+(Inputs!$C$6))/(0.5*(Inputs!$C$49+Inputs!$C$50))+Inputs!$C$47*0.097)))+0.3*(2*((SIN(((A146)*12.9898+(Inputs!$C$6)*78.233+Inputs!$C$47*37.719))*43758.5453)-INT((SIN(((A146)*12.9898+(Inputs!$C$6)*78.233+Inputs!$C$47*37.719))*43758.5453)))-1)))</f>
        <v/>
      </c>
      <c r="Z146" s="9">
        <f>B146-X146/1000</f>
        <v/>
      </c>
      <c r="AA146" s="9">
        <f>SQRT((Inputs!$C$52+B146)^2+(Inputs!$C$52+Y146/1000)^2-2*(Inputs!$C$52+B146)*(Inputs!$C$52+Y146/1000)*COS(SQRT(A146^2+Inputs!$C$6^2)/Inputs!$C$52))</f>
        <v/>
      </c>
      <c r="AB146" s="9">
        <f>(AA146-Z146)*1000</f>
        <v/>
      </c>
      <c r="AC146" s="9">
        <f>AB146/Inputs!$C$12</f>
        <v/>
      </c>
      <c r="AD146" s="9">
        <f>2*AB146/Inputs!$C$21*1000000</f>
        <v/>
      </c>
      <c r="AE146" s="9">
        <f>DEGREES(ATAN(H146/(B146-Y146/1000)))</f>
        <v/>
      </c>
      <c r="AF146" s="9">
        <f>DEGREES((2*PI()/Inputs!$C$13)*Inputs!$C$15*SIN(RADIANS(AE146)))</f>
        <v/>
      </c>
      <c r="AG146" s="9">
        <f>(Z146/AA146)^4</f>
        <v/>
      </c>
      <c r="AH146" s="9">
        <f>10*LOG10(AG146)</f>
        <v/>
      </c>
      <c r="AI146" s="9">
        <f>AC146-F146</f>
        <v/>
      </c>
      <c r="AJ146" s="9">
        <f>AD146-G146</f>
        <v/>
      </c>
      <c r="AK146" s="9">
        <f>Y146-X146</f>
        <v/>
      </c>
      <c r="AL146" s="9">
        <f>1000*(AA147-AA145)/(A147-A145)*Inputs!$C$11</f>
        <v/>
      </c>
      <c r="AM146" s="9">
        <f>-2*AL146/Inputs!$C$13</f>
        <v/>
      </c>
      <c r="AN146" s="9">
        <f>-2*AL146/Inputs!$C$14</f>
        <v/>
      </c>
      <c r="AO146" s="9">
        <f>ABS(AM146)</f>
        <v/>
      </c>
      <c r="AP146" s="9">
        <f>ABS(AN146)</f>
        <v/>
      </c>
      <c r="AQ146" s="9">
        <f>IF(OR(Inputs!$C$27=TRUE,Inputs!$C$27="TRUE",Inputs!$C$27=1),Inputs!$C$46/Inputs!$C$12,0)</f>
        <v/>
      </c>
      <c r="AR146" s="9">
        <f>AC146-AQ146</f>
        <v/>
      </c>
      <c r="AS146" s="9">
        <f>AC146+AQ146</f>
        <v/>
      </c>
    </row>
    <row r="147">
      <c r="A147" s="9">
        <f>Inputs!$C$7+145*(Inputs!$C$8-Inputs!$C$7)/240</f>
        <v/>
      </c>
      <c r="B147" s="9">
        <f>Inputs!$C$5+Inputs!$C$9*(A147/Inputs!$C$10)^2</f>
        <v/>
      </c>
      <c r="C147" s="9">
        <f>B147</f>
        <v/>
      </c>
      <c r="D147" s="9">
        <f>SQRT((Inputs!$C$52+B147)^2+Inputs!$C$52^2-2*(Inputs!$C$52+B147)*Inputs!$C$52*COS(SQRT(A147^2+Inputs!$C$6^2)/Inputs!$C$52))</f>
        <v/>
      </c>
      <c r="E147" s="9">
        <f>(D147-C147)*1000</f>
        <v/>
      </c>
      <c r="F147" s="9">
        <f>E147/Inputs!$C$12</f>
        <v/>
      </c>
      <c r="G147" s="9">
        <f>2*E147/Inputs!$C$21*1000000</f>
        <v/>
      </c>
      <c r="H147" s="9">
        <f>SQRT(A147^2+Inputs!$C$6^2)</f>
        <v/>
      </c>
      <c r="I147" s="9">
        <f>DEGREES(ATAN(H147/B147))</f>
        <v/>
      </c>
      <c r="J147" s="9">
        <f>DEGREES((2*PI()/Inputs!$C$13)*Inputs!$C$15*SIN(RADIANS(I147)))</f>
        <v/>
      </c>
      <c r="K147" s="9">
        <f>(C147/D147)^4</f>
        <v/>
      </c>
      <c r="L147" s="9">
        <f>10*LOG10(K147)</f>
        <v/>
      </c>
      <c r="M147" s="9">
        <f>2*(Inputs!$C$9/(Inputs!$C$10^2))*A147</f>
        <v/>
      </c>
      <c r="N147" s="9">
        <f>M147*Inputs!$C$11</f>
        <v/>
      </c>
      <c r="O147" s="9">
        <f>1000*(D148-D146)/(A148-A146)*Inputs!$C$11</f>
        <v/>
      </c>
      <c r="P147" s="9">
        <f>-2*O147/Inputs!$C$13</f>
        <v/>
      </c>
      <c r="Q147" s="9">
        <f>-2*O147/Inputs!$C$14</f>
        <v/>
      </c>
      <c r="R147" s="9">
        <f>F147-Inputs!$C$16/2</f>
        <v/>
      </c>
      <c r="S147" s="9">
        <f>F147+Inputs!$C$16/2</f>
        <v/>
      </c>
      <c r="T147" s="9">
        <f>F147-Inputs!$C$17/2</f>
        <v/>
      </c>
      <c r="U147" s="9">
        <f>F147+Inputs!$C$17/2</f>
        <v/>
      </c>
      <c r="V147" s="9">
        <f>ABS(P147)</f>
        <v/>
      </c>
      <c r="W147" s="9">
        <f>ABS(Q147)</f>
        <v/>
      </c>
      <c r="X147" s="9">
        <f>IF(OR(Inputs!$C$27=TRUE,Inputs!$C$27="TRUE",Inputs!$C$27=1),1,0)*(Inputs!$C$51*(115*EXP(-(((0)-25)^2)/(4.5^2))+70*EXP(-(((0)+38)^2)/(7^2))*(0.55+0.45*SIN(2*PI()*(A147)/45))+24*SIN(2*PI()*(0)/9+(A147)/18)*EXP(-(((0)+5)^2)/(22^2))+18*SIN(2*PI()*(A147)/70))+Inputs!$C$28*EXP(-(((A147)-Inputs!$C$29)^2)/(2*Inputs!$C$31^2))*EXP(-(((0)-Inputs!$C$30)^2)/(2*Inputs!$C$32^2))+-Inputs!$C$33*EXP(-(((((A147)-Inputs!$C$34)^2)+(((0)-Inputs!$C$35)^2))/(2*Inputs!$C$36^2)))+Inputs!$C$37*(0.55*SIN(2*PI()*(A147)/Inputs!$C$39)+0.35*COS(2*PI()*(0)/Inputs!$C$40)+0.2*SIN(2*PI()*((A147)+(0))/(0.5*(Inputs!$C$39+Inputs!$C$40))))+Inputs!$C$38*SIN(2*PI()*(A147)/Inputs!$C$39)*SIN(2*PI()*(0)/Inputs!$C$40)+-Inputs!$C$41*EXP(-(((0)-Inputs!$C$43)^2)/(2*Inputs!$C$44^2))*EXP(-(((A147)-Inputs!$C$42)^2)/(2*Inputs!$C$45^2))+Inputs!$C$48*(0.7*(0.45*SIN(2*PI()*(((A147)/Inputs!$C$49)+Inputs!$C$47*0.137))+0.35*COS(2*PI()*(((0)/Inputs!$C$50)+Inputs!$C$47*0.173))+0.2*SIN(2*PI()*(((A147)+(0))/(0.5*(Inputs!$C$49+Inputs!$C$50))+Inputs!$C$47*0.097)))+0.3*(2*((SIN(((A147)*12.9898+(0)*78.233+Inputs!$C$47*37.719))*43758.5453)-INT((SIN(((A147)*12.9898+(0)*78.233+Inputs!$C$47*37.719))*43758.5453)))-1)))</f>
        <v/>
      </c>
      <c r="Y147" s="9">
        <f>IF(OR(Inputs!$C$27=TRUE,Inputs!$C$27="TRUE",Inputs!$C$27=1),1,0)*(Inputs!$C$51*(115*EXP(-(((Inputs!$C$6)-25)^2)/(4.5^2))+70*EXP(-(((Inputs!$C$6)+38)^2)/(7^2))*(0.55+0.45*SIN(2*PI()*(A147)/45))+24*SIN(2*PI()*(Inputs!$C$6)/9+(A147)/18)*EXP(-(((Inputs!$C$6)+5)^2)/(22^2))+18*SIN(2*PI()*(A147)/70))+Inputs!$C$28*EXP(-(((A147)-Inputs!$C$29)^2)/(2*Inputs!$C$31^2))*EXP(-(((Inputs!$C$6)-Inputs!$C$30)^2)/(2*Inputs!$C$32^2))+-Inputs!$C$33*EXP(-(((((A147)-Inputs!$C$34)^2)+(((Inputs!$C$6)-Inputs!$C$35)^2))/(2*Inputs!$C$36^2)))+Inputs!$C$37*(0.55*SIN(2*PI()*(A147)/Inputs!$C$39)+0.35*COS(2*PI()*(Inputs!$C$6)/Inputs!$C$40)+0.2*SIN(2*PI()*((A147)+(Inputs!$C$6))/(0.5*(Inputs!$C$39+Inputs!$C$40))))+Inputs!$C$38*SIN(2*PI()*(A147)/Inputs!$C$39)*SIN(2*PI()*(Inputs!$C$6)/Inputs!$C$40)+-Inputs!$C$41*EXP(-(((Inputs!$C$6)-Inputs!$C$43)^2)/(2*Inputs!$C$44^2))*EXP(-(((A147)-Inputs!$C$42)^2)/(2*Inputs!$C$45^2))+Inputs!$C$48*(0.7*(0.45*SIN(2*PI()*(((A147)/Inputs!$C$49)+Inputs!$C$47*0.137))+0.35*COS(2*PI()*(((Inputs!$C$6)/Inputs!$C$50)+Inputs!$C$47*0.173))+0.2*SIN(2*PI()*(((A147)+(Inputs!$C$6))/(0.5*(Inputs!$C$49+Inputs!$C$50))+Inputs!$C$47*0.097)))+0.3*(2*((SIN(((A147)*12.9898+(Inputs!$C$6)*78.233+Inputs!$C$47*37.719))*43758.5453)-INT((SIN(((A147)*12.9898+(Inputs!$C$6)*78.233+Inputs!$C$47*37.719))*43758.5453)))-1)))</f>
        <v/>
      </c>
      <c r="Z147" s="9">
        <f>B147-X147/1000</f>
        <v/>
      </c>
      <c r="AA147" s="9">
        <f>SQRT((Inputs!$C$52+B147)^2+(Inputs!$C$52+Y147/1000)^2-2*(Inputs!$C$52+B147)*(Inputs!$C$52+Y147/1000)*COS(SQRT(A147^2+Inputs!$C$6^2)/Inputs!$C$52))</f>
        <v/>
      </c>
      <c r="AB147" s="9">
        <f>(AA147-Z147)*1000</f>
        <v/>
      </c>
      <c r="AC147" s="9">
        <f>AB147/Inputs!$C$12</f>
        <v/>
      </c>
      <c r="AD147" s="9">
        <f>2*AB147/Inputs!$C$21*1000000</f>
        <v/>
      </c>
      <c r="AE147" s="9">
        <f>DEGREES(ATAN(H147/(B147-Y147/1000)))</f>
        <v/>
      </c>
      <c r="AF147" s="9">
        <f>DEGREES((2*PI()/Inputs!$C$13)*Inputs!$C$15*SIN(RADIANS(AE147)))</f>
        <v/>
      </c>
      <c r="AG147" s="9">
        <f>(Z147/AA147)^4</f>
        <v/>
      </c>
      <c r="AH147" s="9">
        <f>10*LOG10(AG147)</f>
        <v/>
      </c>
      <c r="AI147" s="9">
        <f>AC147-F147</f>
        <v/>
      </c>
      <c r="AJ147" s="9">
        <f>AD147-G147</f>
        <v/>
      </c>
      <c r="AK147" s="9">
        <f>Y147-X147</f>
        <v/>
      </c>
      <c r="AL147" s="9">
        <f>1000*(AA148-AA146)/(A148-A146)*Inputs!$C$11</f>
        <v/>
      </c>
      <c r="AM147" s="9">
        <f>-2*AL147/Inputs!$C$13</f>
        <v/>
      </c>
      <c r="AN147" s="9">
        <f>-2*AL147/Inputs!$C$14</f>
        <v/>
      </c>
      <c r="AO147" s="9">
        <f>ABS(AM147)</f>
        <v/>
      </c>
      <c r="AP147" s="9">
        <f>ABS(AN147)</f>
        <v/>
      </c>
      <c r="AQ147" s="9">
        <f>IF(OR(Inputs!$C$27=TRUE,Inputs!$C$27="TRUE",Inputs!$C$27=1),Inputs!$C$46/Inputs!$C$12,0)</f>
        <v/>
      </c>
      <c r="AR147" s="9">
        <f>AC147-AQ147</f>
        <v/>
      </c>
      <c r="AS147" s="9">
        <f>AC147+AQ147</f>
        <v/>
      </c>
    </row>
    <row r="148">
      <c r="A148" s="9">
        <f>Inputs!$C$7+146*(Inputs!$C$8-Inputs!$C$7)/240</f>
        <v/>
      </c>
      <c r="B148" s="9">
        <f>Inputs!$C$5+Inputs!$C$9*(A148/Inputs!$C$10)^2</f>
        <v/>
      </c>
      <c r="C148" s="9">
        <f>B148</f>
        <v/>
      </c>
      <c r="D148" s="9">
        <f>SQRT((Inputs!$C$52+B148)^2+Inputs!$C$52^2-2*(Inputs!$C$52+B148)*Inputs!$C$52*COS(SQRT(A148^2+Inputs!$C$6^2)/Inputs!$C$52))</f>
        <v/>
      </c>
      <c r="E148" s="9">
        <f>(D148-C148)*1000</f>
        <v/>
      </c>
      <c r="F148" s="9">
        <f>E148/Inputs!$C$12</f>
        <v/>
      </c>
      <c r="G148" s="9">
        <f>2*E148/Inputs!$C$21*1000000</f>
        <v/>
      </c>
      <c r="H148" s="9">
        <f>SQRT(A148^2+Inputs!$C$6^2)</f>
        <v/>
      </c>
      <c r="I148" s="9">
        <f>DEGREES(ATAN(H148/B148))</f>
        <v/>
      </c>
      <c r="J148" s="9">
        <f>DEGREES((2*PI()/Inputs!$C$13)*Inputs!$C$15*SIN(RADIANS(I148)))</f>
        <v/>
      </c>
      <c r="K148" s="9">
        <f>(C148/D148)^4</f>
        <v/>
      </c>
      <c r="L148" s="9">
        <f>10*LOG10(K148)</f>
        <v/>
      </c>
      <c r="M148" s="9">
        <f>2*(Inputs!$C$9/(Inputs!$C$10^2))*A148</f>
        <v/>
      </c>
      <c r="N148" s="9">
        <f>M148*Inputs!$C$11</f>
        <v/>
      </c>
      <c r="O148" s="9">
        <f>1000*(D149-D147)/(A149-A147)*Inputs!$C$11</f>
        <v/>
      </c>
      <c r="P148" s="9">
        <f>-2*O148/Inputs!$C$13</f>
        <v/>
      </c>
      <c r="Q148" s="9">
        <f>-2*O148/Inputs!$C$14</f>
        <v/>
      </c>
      <c r="R148" s="9">
        <f>F148-Inputs!$C$16/2</f>
        <v/>
      </c>
      <c r="S148" s="9">
        <f>F148+Inputs!$C$16/2</f>
        <v/>
      </c>
      <c r="T148" s="9">
        <f>F148-Inputs!$C$17/2</f>
        <v/>
      </c>
      <c r="U148" s="9">
        <f>F148+Inputs!$C$17/2</f>
        <v/>
      </c>
      <c r="V148" s="9">
        <f>ABS(P148)</f>
        <v/>
      </c>
      <c r="W148" s="9">
        <f>ABS(Q148)</f>
        <v/>
      </c>
      <c r="X148" s="9">
        <f>IF(OR(Inputs!$C$27=TRUE,Inputs!$C$27="TRUE",Inputs!$C$27=1),1,0)*(Inputs!$C$51*(115*EXP(-(((0)-25)^2)/(4.5^2))+70*EXP(-(((0)+38)^2)/(7^2))*(0.55+0.45*SIN(2*PI()*(A148)/45))+24*SIN(2*PI()*(0)/9+(A148)/18)*EXP(-(((0)+5)^2)/(22^2))+18*SIN(2*PI()*(A148)/70))+Inputs!$C$28*EXP(-(((A148)-Inputs!$C$29)^2)/(2*Inputs!$C$31^2))*EXP(-(((0)-Inputs!$C$30)^2)/(2*Inputs!$C$32^2))+-Inputs!$C$33*EXP(-(((((A148)-Inputs!$C$34)^2)+(((0)-Inputs!$C$35)^2))/(2*Inputs!$C$36^2)))+Inputs!$C$37*(0.55*SIN(2*PI()*(A148)/Inputs!$C$39)+0.35*COS(2*PI()*(0)/Inputs!$C$40)+0.2*SIN(2*PI()*((A148)+(0))/(0.5*(Inputs!$C$39+Inputs!$C$40))))+Inputs!$C$38*SIN(2*PI()*(A148)/Inputs!$C$39)*SIN(2*PI()*(0)/Inputs!$C$40)+-Inputs!$C$41*EXP(-(((0)-Inputs!$C$43)^2)/(2*Inputs!$C$44^2))*EXP(-(((A148)-Inputs!$C$42)^2)/(2*Inputs!$C$45^2))+Inputs!$C$48*(0.7*(0.45*SIN(2*PI()*(((A148)/Inputs!$C$49)+Inputs!$C$47*0.137))+0.35*COS(2*PI()*(((0)/Inputs!$C$50)+Inputs!$C$47*0.173))+0.2*SIN(2*PI()*(((A148)+(0))/(0.5*(Inputs!$C$49+Inputs!$C$50))+Inputs!$C$47*0.097)))+0.3*(2*((SIN(((A148)*12.9898+(0)*78.233+Inputs!$C$47*37.719))*43758.5453)-INT((SIN(((A148)*12.9898+(0)*78.233+Inputs!$C$47*37.719))*43758.5453)))-1)))</f>
        <v/>
      </c>
      <c r="Y148" s="9">
        <f>IF(OR(Inputs!$C$27=TRUE,Inputs!$C$27="TRUE",Inputs!$C$27=1),1,0)*(Inputs!$C$51*(115*EXP(-(((Inputs!$C$6)-25)^2)/(4.5^2))+70*EXP(-(((Inputs!$C$6)+38)^2)/(7^2))*(0.55+0.45*SIN(2*PI()*(A148)/45))+24*SIN(2*PI()*(Inputs!$C$6)/9+(A148)/18)*EXP(-(((Inputs!$C$6)+5)^2)/(22^2))+18*SIN(2*PI()*(A148)/70))+Inputs!$C$28*EXP(-(((A148)-Inputs!$C$29)^2)/(2*Inputs!$C$31^2))*EXP(-(((Inputs!$C$6)-Inputs!$C$30)^2)/(2*Inputs!$C$32^2))+-Inputs!$C$33*EXP(-(((((A148)-Inputs!$C$34)^2)+(((Inputs!$C$6)-Inputs!$C$35)^2))/(2*Inputs!$C$36^2)))+Inputs!$C$37*(0.55*SIN(2*PI()*(A148)/Inputs!$C$39)+0.35*COS(2*PI()*(Inputs!$C$6)/Inputs!$C$40)+0.2*SIN(2*PI()*((A148)+(Inputs!$C$6))/(0.5*(Inputs!$C$39+Inputs!$C$40))))+Inputs!$C$38*SIN(2*PI()*(A148)/Inputs!$C$39)*SIN(2*PI()*(Inputs!$C$6)/Inputs!$C$40)+-Inputs!$C$41*EXP(-(((Inputs!$C$6)-Inputs!$C$43)^2)/(2*Inputs!$C$44^2))*EXP(-(((A148)-Inputs!$C$42)^2)/(2*Inputs!$C$45^2))+Inputs!$C$48*(0.7*(0.45*SIN(2*PI()*(((A148)/Inputs!$C$49)+Inputs!$C$47*0.137))+0.35*COS(2*PI()*(((Inputs!$C$6)/Inputs!$C$50)+Inputs!$C$47*0.173))+0.2*SIN(2*PI()*(((A148)+(Inputs!$C$6))/(0.5*(Inputs!$C$49+Inputs!$C$50))+Inputs!$C$47*0.097)))+0.3*(2*((SIN(((A148)*12.9898+(Inputs!$C$6)*78.233+Inputs!$C$47*37.719))*43758.5453)-INT((SIN(((A148)*12.9898+(Inputs!$C$6)*78.233+Inputs!$C$47*37.719))*43758.5453)))-1)))</f>
        <v/>
      </c>
      <c r="Z148" s="9">
        <f>B148-X148/1000</f>
        <v/>
      </c>
      <c r="AA148" s="9">
        <f>SQRT((Inputs!$C$52+B148)^2+(Inputs!$C$52+Y148/1000)^2-2*(Inputs!$C$52+B148)*(Inputs!$C$52+Y148/1000)*COS(SQRT(A148^2+Inputs!$C$6^2)/Inputs!$C$52))</f>
        <v/>
      </c>
      <c r="AB148" s="9">
        <f>(AA148-Z148)*1000</f>
        <v/>
      </c>
      <c r="AC148" s="9">
        <f>AB148/Inputs!$C$12</f>
        <v/>
      </c>
      <c r="AD148" s="9">
        <f>2*AB148/Inputs!$C$21*1000000</f>
        <v/>
      </c>
      <c r="AE148" s="9">
        <f>DEGREES(ATAN(H148/(B148-Y148/1000)))</f>
        <v/>
      </c>
      <c r="AF148" s="9">
        <f>DEGREES((2*PI()/Inputs!$C$13)*Inputs!$C$15*SIN(RADIANS(AE148)))</f>
        <v/>
      </c>
      <c r="AG148" s="9">
        <f>(Z148/AA148)^4</f>
        <v/>
      </c>
      <c r="AH148" s="9">
        <f>10*LOG10(AG148)</f>
        <v/>
      </c>
      <c r="AI148" s="9">
        <f>AC148-F148</f>
        <v/>
      </c>
      <c r="AJ148" s="9">
        <f>AD148-G148</f>
        <v/>
      </c>
      <c r="AK148" s="9">
        <f>Y148-X148</f>
        <v/>
      </c>
      <c r="AL148" s="9">
        <f>1000*(AA149-AA147)/(A149-A147)*Inputs!$C$11</f>
        <v/>
      </c>
      <c r="AM148" s="9">
        <f>-2*AL148/Inputs!$C$13</f>
        <v/>
      </c>
      <c r="AN148" s="9">
        <f>-2*AL148/Inputs!$C$14</f>
        <v/>
      </c>
      <c r="AO148" s="9">
        <f>ABS(AM148)</f>
        <v/>
      </c>
      <c r="AP148" s="9">
        <f>ABS(AN148)</f>
        <v/>
      </c>
      <c r="AQ148" s="9">
        <f>IF(OR(Inputs!$C$27=TRUE,Inputs!$C$27="TRUE",Inputs!$C$27=1),Inputs!$C$46/Inputs!$C$12,0)</f>
        <v/>
      </c>
      <c r="AR148" s="9">
        <f>AC148-AQ148</f>
        <v/>
      </c>
      <c r="AS148" s="9">
        <f>AC148+AQ148</f>
        <v/>
      </c>
    </row>
    <row r="149">
      <c r="A149" s="9">
        <f>Inputs!$C$7+147*(Inputs!$C$8-Inputs!$C$7)/240</f>
        <v/>
      </c>
      <c r="B149" s="9">
        <f>Inputs!$C$5+Inputs!$C$9*(A149/Inputs!$C$10)^2</f>
        <v/>
      </c>
      <c r="C149" s="9">
        <f>B149</f>
        <v/>
      </c>
      <c r="D149" s="9">
        <f>SQRT((Inputs!$C$52+B149)^2+Inputs!$C$52^2-2*(Inputs!$C$52+B149)*Inputs!$C$52*COS(SQRT(A149^2+Inputs!$C$6^2)/Inputs!$C$52))</f>
        <v/>
      </c>
      <c r="E149" s="9">
        <f>(D149-C149)*1000</f>
        <v/>
      </c>
      <c r="F149" s="9">
        <f>E149/Inputs!$C$12</f>
        <v/>
      </c>
      <c r="G149" s="9">
        <f>2*E149/Inputs!$C$21*1000000</f>
        <v/>
      </c>
      <c r="H149" s="9">
        <f>SQRT(A149^2+Inputs!$C$6^2)</f>
        <v/>
      </c>
      <c r="I149" s="9">
        <f>DEGREES(ATAN(H149/B149))</f>
        <v/>
      </c>
      <c r="J149" s="9">
        <f>DEGREES((2*PI()/Inputs!$C$13)*Inputs!$C$15*SIN(RADIANS(I149)))</f>
        <v/>
      </c>
      <c r="K149" s="9">
        <f>(C149/D149)^4</f>
        <v/>
      </c>
      <c r="L149" s="9">
        <f>10*LOG10(K149)</f>
        <v/>
      </c>
      <c r="M149" s="9">
        <f>2*(Inputs!$C$9/(Inputs!$C$10^2))*A149</f>
        <v/>
      </c>
      <c r="N149" s="9">
        <f>M149*Inputs!$C$11</f>
        <v/>
      </c>
      <c r="O149" s="9">
        <f>1000*(D150-D148)/(A150-A148)*Inputs!$C$11</f>
        <v/>
      </c>
      <c r="P149" s="9">
        <f>-2*O149/Inputs!$C$13</f>
        <v/>
      </c>
      <c r="Q149" s="9">
        <f>-2*O149/Inputs!$C$14</f>
        <v/>
      </c>
      <c r="R149" s="9">
        <f>F149-Inputs!$C$16/2</f>
        <v/>
      </c>
      <c r="S149" s="9">
        <f>F149+Inputs!$C$16/2</f>
        <v/>
      </c>
      <c r="T149" s="9">
        <f>F149-Inputs!$C$17/2</f>
        <v/>
      </c>
      <c r="U149" s="9">
        <f>F149+Inputs!$C$17/2</f>
        <v/>
      </c>
      <c r="V149" s="9">
        <f>ABS(P149)</f>
        <v/>
      </c>
      <c r="W149" s="9">
        <f>ABS(Q149)</f>
        <v/>
      </c>
      <c r="X149" s="9">
        <f>IF(OR(Inputs!$C$27=TRUE,Inputs!$C$27="TRUE",Inputs!$C$27=1),1,0)*(Inputs!$C$51*(115*EXP(-(((0)-25)^2)/(4.5^2))+70*EXP(-(((0)+38)^2)/(7^2))*(0.55+0.45*SIN(2*PI()*(A149)/45))+24*SIN(2*PI()*(0)/9+(A149)/18)*EXP(-(((0)+5)^2)/(22^2))+18*SIN(2*PI()*(A149)/70))+Inputs!$C$28*EXP(-(((A149)-Inputs!$C$29)^2)/(2*Inputs!$C$31^2))*EXP(-(((0)-Inputs!$C$30)^2)/(2*Inputs!$C$32^2))+-Inputs!$C$33*EXP(-(((((A149)-Inputs!$C$34)^2)+(((0)-Inputs!$C$35)^2))/(2*Inputs!$C$36^2)))+Inputs!$C$37*(0.55*SIN(2*PI()*(A149)/Inputs!$C$39)+0.35*COS(2*PI()*(0)/Inputs!$C$40)+0.2*SIN(2*PI()*((A149)+(0))/(0.5*(Inputs!$C$39+Inputs!$C$40))))+Inputs!$C$38*SIN(2*PI()*(A149)/Inputs!$C$39)*SIN(2*PI()*(0)/Inputs!$C$40)+-Inputs!$C$41*EXP(-(((0)-Inputs!$C$43)^2)/(2*Inputs!$C$44^2))*EXP(-(((A149)-Inputs!$C$42)^2)/(2*Inputs!$C$45^2))+Inputs!$C$48*(0.7*(0.45*SIN(2*PI()*(((A149)/Inputs!$C$49)+Inputs!$C$47*0.137))+0.35*COS(2*PI()*(((0)/Inputs!$C$50)+Inputs!$C$47*0.173))+0.2*SIN(2*PI()*(((A149)+(0))/(0.5*(Inputs!$C$49+Inputs!$C$50))+Inputs!$C$47*0.097)))+0.3*(2*((SIN(((A149)*12.9898+(0)*78.233+Inputs!$C$47*37.719))*43758.5453)-INT((SIN(((A149)*12.9898+(0)*78.233+Inputs!$C$47*37.719))*43758.5453)))-1)))</f>
        <v/>
      </c>
      <c r="Y149" s="9">
        <f>IF(OR(Inputs!$C$27=TRUE,Inputs!$C$27="TRUE",Inputs!$C$27=1),1,0)*(Inputs!$C$51*(115*EXP(-(((Inputs!$C$6)-25)^2)/(4.5^2))+70*EXP(-(((Inputs!$C$6)+38)^2)/(7^2))*(0.55+0.45*SIN(2*PI()*(A149)/45))+24*SIN(2*PI()*(Inputs!$C$6)/9+(A149)/18)*EXP(-(((Inputs!$C$6)+5)^2)/(22^2))+18*SIN(2*PI()*(A149)/70))+Inputs!$C$28*EXP(-(((A149)-Inputs!$C$29)^2)/(2*Inputs!$C$31^2))*EXP(-(((Inputs!$C$6)-Inputs!$C$30)^2)/(2*Inputs!$C$32^2))+-Inputs!$C$33*EXP(-(((((A149)-Inputs!$C$34)^2)+(((Inputs!$C$6)-Inputs!$C$35)^2))/(2*Inputs!$C$36^2)))+Inputs!$C$37*(0.55*SIN(2*PI()*(A149)/Inputs!$C$39)+0.35*COS(2*PI()*(Inputs!$C$6)/Inputs!$C$40)+0.2*SIN(2*PI()*((A149)+(Inputs!$C$6))/(0.5*(Inputs!$C$39+Inputs!$C$40))))+Inputs!$C$38*SIN(2*PI()*(A149)/Inputs!$C$39)*SIN(2*PI()*(Inputs!$C$6)/Inputs!$C$40)+-Inputs!$C$41*EXP(-(((Inputs!$C$6)-Inputs!$C$43)^2)/(2*Inputs!$C$44^2))*EXP(-(((A149)-Inputs!$C$42)^2)/(2*Inputs!$C$45^2))+Inputs!$C$48*(0.7*(0.45*SIN(2*PI()*(((A149)/Inputs!$C$49)+Inputs!$C$47*0.137))+0.35*COS(2*PI()*(((Inputs!$C$6)/Inputs!$C$50)+Inputs!$C$47*0.173))+0.2*SIN(2*PI()*(((A149)+(Inputs!$C$6))/(0.5*(Inputs!$C$49+Inputs!$C$50))+Inputs!$C$47*0.097)))+0.3*(2*((SIN(((A149)*12.9898+(Inputs!$C$6)*78.233+Inputs!$C$47*37.719))*43758.5453)-INT((SIN(((A149)*12.9898+(Inputs!$C$6)*78.233+Inputs!$C$47*37.719))*43758.5453)))-1)))</f>
        <v/>
      </c>
      <c r="Z149" s="9">
        <f>B149-X149/1000</f>
        <v/>
      </c>
      <c r="AA149" s="9">
        <f>SQRT((Inputs!$C$52+B149)^2+(Inputs!$C$52+Y149/1000)^2-2*(Inputs!$C$52+B149)*(Inputs!$C$52+Y149/1000)*COS(SQRT(A149^2+Inputs!$C$6^2)/Inputs!$C$52))</f>
        <v/>
      </c>
      <c r="AB149" s="9">
        <f>(AA149-Z149)*1000</f>
        <v/>
      </c>
      <c r="AC149" s="9">
        <f>AB149/Inputs!$C$12</f>
        <v/>
      </c>
      <c r="AD149" s="9">
        <f>2*AB149/Inputs!$C$21*1000000</f>
        <v/>
      </c>
      <c r="AE149" s="9">
        <f>DEGREES(ATAN(H149/(B149-Y149/1000)))</f>
        <v/>
      </c>
      <c r="AF149" s="9">
        <f>DEGREES((2*PI()/Inputs!$C$13)*Inputs!$C$15*SIN(RADIANS(AE149)))</f>
        <v/>
      </c>
      <c r="AG149" s="9">
        <f>(Z149/AA149)^4</f>
        <v/>
      </c>
      <c r="AH149" s="9">
        <f>10*LOG10(AG149)</f>
        <v/>
      </c>
      <c r="AI149" s="9">
        <f>AC149-F149</f>
        <v/>
      </c>
      <c r="AJ149" s="9">
        <f>AD149-G149</f>
        <v/>
      </c>
      <c r="AK149" s="9">
        <f>Y149-X149</f>
        <v/>
      </c>
      <c r="AL149" s="9">
        <f>1000*(AA150-AA148)/(A150-A148)*Inputs!$C$11</f>
        <v/>
      </c>
      <c r="AM149" s="9">
        <f>-2*AL149/Inputs!$C$13</f>
        <v/>
      </c>
      <c r="AN149" s="9">
        <f>-2*AL149/Inputs!$C$14</f>
        <v/>
      </c>
      <c r="AO149" s="9">
        <f>ABS(AM149)</f>
        <v/>
      </c>
      <c r="AP149" s="9">
        <f>ABS(AN149)</f>
        <v/>
      </c>
      <c r="AQ149" s="9">
        <f>IF(OR(Inputs!$C$27=TRUE,Inputs!$C$27="TRUE",Inputs!$C$27=1),Inputs!$C$46/Inputs!$C$12,0)</f>
        <v/>
      </c>
      <c r="AR149" s="9">
        <f>AC149-AQ149</f>
        <v/>
      </c>
      <c r="AS149" s="9">
        <f>AC149+AQ149</f>
        <v/>
      </c>
    </row>
    <row r="150">
      <c r="A150" s="9">
        <f>Inputs!$C$7+148*(Inputs!$C$8-Inputs!$C$7)/240</f>
        <v/>
      </c>
      <c r="B150" s="9">
        <f>Inputs!$C$5+Inputs!$C$9*(A150/Inputs!$C$10)^2</f>
        <v/>
      </c>
      <c r="C150" s="9">
        <f>B150</f>
        <v/>
      </c>
      <c r="D150" s="9">
        <f>SQRT((Inputs!$C$52+B150)^2+Inputs!$C$52^2-2*(Inputs!$C$52+B150)*Inputs!$C$52*COS(SQRT(A150^2+Inputs!$C$6^2)/Inputs!$C$52))</f>
        <v/>
      </c>
      <c r="E150" s="9">
        <f>(D150-C150)*1000</f>
        <v/>
      </c>
      <c r="F150" s="9">
        <f>E150/Inputs!$C$12</f>
        <v/>
      </c>
      <c r="G150" s="9">
        <f>2*E150/Inputs!$C$21*1000000</f>
        <v/>
      </c>
      <c r="H150" s="9">
        <f>SQRT(A150^2+Inputs!$C$6^2)</f>
        <v/>
      </c>
      <c r="I150" s="9">
        <f>DEGREES(ATAN(H150/B150))</f>
        <v/>
      </c>
      <c r="J150" s="9">
        <f>DEGREES((2*PI()/Inputs!$C$13)*Inputs!$C$15*SIN(RADIANS(I150)))</f>
        <v/>
      </c>
      <c r="K150" s="9">
        <f>(C150/D150)^4</f>
        <v/>
      </c>
      <c r="L150" s="9">
        <f>10*LOG10(K150)</f>
        <v/>
      </c>
      <c r="M150" s="9">
        <f>2*(Inputs!$C$9/(Inputs!$C$10^2))*A150</f>
        <v/>
      </c>
      <c r="N150" s="9">
        <f>M150*Inputs!$C$11</f>
        <v/>
      </c>
      <c r="O150" s="9">
        <f>1000*(D151-D149)/(A151-A149)*Inputs!$C$11</f>
        <v/>
      </c>
      <c r="P150" s="9">
        <f>-2*O150/Inputs!$C$13</f>
        <v/>
      </c>
      <c r="Q150" s="9">
        <f>-2*O150/Inputs!$C$14</f>
        <v/>
      </c>
      <c r="R150" s="9">
        <f>F150-Inputs!$C$16/2</f>
        <v/>
      </c>
      <c r="S150" s="9">
        <f>F150+Inputs!$C$16/2</f>
        <v/>
      </c>
      <c r="T150" s="9">
        <f>F150-Inputs!$C$17/2</f>
        <v/>
      </c>
      <c r="U150" s="9">
        <f>F150+Inputs!$C$17/2</f>
        <v/>
      </c>
      <c r="V150" s="9">
        <f>ABS(P150)</f>
        <v/>
      </c>
      <c r="W150" s="9">
        <f>ABS(Q150)</f>
        <v/>
      </c>
      <c r="X150" s="9">
        <f>IF(OR(Inputs!$C$27=TRUE,Inputs!$C$27="TRUE",Inputs!$C$27=1),1,0)*(Inputs!$C$51*(115*EXP(-(((0)-25)^2)/(4.5^2))+70*EXP(-(((0)+38)^2)/(7^2))*(0.55+0.45*SIN(2*PI()*(A150)/45))+24*SIN(2*PI()*(0)/9+(A150)/18)*EXP(-(((0)+5)^2)/(22^2))+18*SIN(2*PI()*(A150)/70))+Inputs!$C$28*EXP(-(((A150)-Inputs!$C$29)^2)/(2*Inputs!$C$31^2))*EXP(-(((0)-Inputs!$C$30)^2)/(2*Inputs!$C$32^2))+-Inputs!$C$33*EXP(-(((((A150)-Inputs!$C$34)^2)+(((0)-Inputs!$C$35)^2))/(2*Inputs!$C$36^2)))+Inputs!$C$37*(0.55*SIN(2*PI()*(A150)/Inputs!$C$39)+0.35*COS(2*PI()*(0)/Inputs!$C$40)+0.2*SIN(2*PI()*((A150)+(0))/(0.5*(Inputs!$C$39+Inputs!$C$40))))+Inputs!$C$38*SIN(2*PI()*(A150)/Inputs!$C$39)*SIN(2*PI()*(0)/Inputs!$C$40)+-Inputs!$C$41*EXP(-(((0)-Inputs!$C$43)^2)/(2*Inputs!$C$44^2))*EXP(-(((A150)-Inputs!$C$42)^2)/(2*Inputs!$C$45^2))+Inputs!$C$48*(0.7*(0.45*SIN(2*PI()*(((A150)/Inputs!$C$49)+Inputs!$C$47*0.137))+0.35*COS(2*PI()*(((0)/Inputs!$C$50)+Inputs!$C$47*0.173))+0.2*SIN(2*PI()*(((A150)+(0))/(0.5*(Inputs!$C$49+Inputs!$C$50))+Inputs!$C$47*0.097)))+0.3*(2*((SIN(((A150)*12.9898+(0)*78.233+Inputs!$C$47*37.719))*43758.5453)-INT((SIN(((A150)*12.9898+(0)*78.233+Inputs!$C$47*37.719))*43758.5453)))-1)))</f>
        <v/>
      </c>
      <c r="Y150" s="9">
        <f>IF(OR(Inputs!$C$27=TRUE,Inputs!$C$27="TRUE",Inputs!$C$27=1),1,0)*(Inputs!$C$51*(115*EXP(-(((Inputs!$C$6)-25)^2)/(4.5^2))+70*EXP(-(((Inputs!$C$6)+38)^2)/(7^2))*(0.55+0.45*SIN(2*PI()*(A150)/45))+24*SIN(2*PI()*(Inputs!$C$6)/9+(A150)/18)*EXP(-(((Inputs!$C$6)+5)^2)/(22^2))+18*SIN(2*PI()*(A150)/70))+Inputs!$C$28*EXP(-(((A150)-Inputs!$C$29)^2)/(2*Inputs!$C$31^2))*EXP(-(((Inputs!$C$6)-Inputs!$C$30)^2)/(2*Inputs!$C$32^2))+-Inputs!$C$33*EXP(-(((((A150)-Inputs!$C$34)^2)+(((Inputs!$C$6)-Inputs!$C$35)^2))/(2*Inputs!$C$36^2)))+Inputs!$C$37*(0.55*SIN(2*PI()*(A150)/Inputs!$C$39)+0.35*COS(2*PI()*(Inputs!$C$6)/Inputs!$C$40)+0.2*SIN(2*PI()*((A150)+(Inputs!$C$6))/(0.5*(Inputs!$C$39+Inputs!$C$40))))+Inputs!$C$38*SIN(2*PI()*(A150)/Inputs!$C$39)*SIN(2*PI()*(Inputs!$C$6)/Inputs!$C$40)+-Inputs!$C$41*EXP(-(((Inputs!$C$6)-Inputs!$C$43)^2)/(2*Inputs!$C$44^2))*EXP(-(((A150)-Inputs!$C$42)^2)/(2*Inputs!$C$45^2))+Inputs!$C$48*(0.7*(0.45*SIN(2*PI()*(((A150)/Inputs!$C$49)+Inputs!$C$47*0.137))+0.35*COS(2*PI()*(((Inputs!$C$6)/Inputs!$C$50)+Inputs!$C$47*0.173))+0.2*SIN(2*PI()*(((A150)+(Inputs!$C$6))/(0.5*(Inputs!$C$49+Inputs!$C$50))+Inputs!$C$47*0.097)))+0.3*(2*((SIN(((A150)*12.9898+(Inputs!$C$6)*78.233+Inputs!$C$47*37.719))*43758.5453)-INT((SIN(((A150)*12.9898+(Inputs!$C$6)*78.233+Inputs!$C$47*37.719))*43758.5453)))-1)))</f>
        <v/>
      </c>
      <c r="Z150" s="9">
        <f>B150-X150/1000</f>
        <v/>
      </c>
      <c r="AA150" s="9">
        <f>SQRT((Inputs!$C$52+B150)^2+(Inputs!$C$52+Y150/1000)^2-2*(Inputs!$C$52+B150)*(Inputs!$C$52+Y150/1000)*COS(SQRT(A150^2+Inputs!$C$6^2)/Inputs!$C$52))</f>
        <v/>
      </c>
      <c r="AB150" s="9">
        <f>(AA150-Z150)*1000</f>
        <v/>
      </c>
      <c r="AC150" s="9">
        <f>AB150/Inputs!$C$12</f>
        <v/>
      </c>
      <c r="AD150" s="9">
        <f>2*AB150/Inputs!$C$21*1000000</f>
        <v/>
      </c>
      <c r="AE150" s="9">
        <f>DEGREES(ATAN(H150/(B150-Y150/1000)))</f>
        <v/>
      </c>
      <c r="AF150" s="9">
        <f>DEGREES((2*PI()/Inputs!$C$13)*Inputs!$C$15*SIN(RADIANS(AE150)))</f>
        <v/>
      </c>
      <c r="AG150" s="9">
        <f>(Z150/AA150)^4</f>
        <v/>
      </c>
      <c r="AH150" s="9">
        <f>10*LOG10(AG150)</f>
        <v/>
      </c>
      <c r="AI150" s="9">
        <f>AC150-F150</f>
        <v/>
      </c>
      <c r="AJ150" s="9">
        <f>AD150-G150</f>
        <v/>
      </c>
      <c r="AK150" s="9">
        <f>Y150-X150</f>
        <v/>
      </c>
      <c r="AL150" s="9">
        <f>1000*(AA151-AA149)/(A151-A149)*Inputs!$C$11</f>
        <v/>
      </c>
      <c r="AM150" s="9">
        <f>-2*AL150/Inputs!$C$13</f>
        <v/>
      </c>
      <c r="AN150" s="9">
        <f>-2*AL150/Inputs!$C$14</f>
        <v/>
      </c>
      <c r="AO150" s="9">
        <f>ABS(AM150)</f>
        <v/>
      </c>
      <c r="AP150" s="9">
        <f>ABS(AN150)</f>
        <v/>
      </c>
      <c r="AQ150" s="9">
        <f>IF(OR(Inputs!$C$27=TRUE,Inputs!$C$27="TRUE",Inputs!$C$27=1),Inputs!$C$46/Inputs!$C$12,0)</f>
        <v/>
      </c>
      <c r="AR150" s="9">
        <f>AC150-AQ150</f>
        <v/>
      </c>
      <c r="AS150" s="9">
        <f>AC150+AQ150</f>
        <v/>
      </c>
    </row>
    <row r="151">
      <c r="A151" s="9">
        <f>Inputs!$C$7+149*(Inputs!$C$8-Inputs!$C$7)/240</f>
        <v/>
      </c>
      <c r="B151" s="9">
        <f>Inputs!$C$5+Inputs!$C$9*(A151/Inputs!$C$10)^2</f>
        <v/>
      </c>
      <c r="C151" s="9">
        <f>B151</f>
        <v/>
      </c>
      <c r="D151" s="9">
        <f>SQRT((Inputs!$C$52+B151)^2+Inputs!$C$52^2-2*(Inputs!$C$52+B151)*Inputs!$C$52*COS(SQRT(A151^2+Inputs!$C$6^2)/Inputs!$C$52))</f>
        <v/>
      </c>
      <c r="E151" s="9">
        <f>(D151-C151)*1000</f>
        <v/>
      </c>
      <c r="F151" s="9">
        <f>E151/Inputs!$C$12</f>
        <v/>
      </c>
      <c r="G151" s="9">
        <f>2*E151/Inputs!$C$21*1000000</f>
        <v/>
      </c>
      <c r="H151" s="9">
        <f>SQRT(A151^2+Inputs!$C$6^2)</f>
        <v/>
      </c>
      <c r="I151" s="9">
        <f>DEGREES(ATAN(H151/B151))</f>
        <v/>
      </c>
      <c r="J151" s="9">
        <f>DEGREES((2*PI()/Inputs!$C$13)*Inputs!$C$15*SIN(RADIANS(I151)))</f>
        <v/>
      </c>
      <c r="K151" s="9">
        <f>(C151/D151)^4</f>
        <v/>
      </c>
      <c r="L151" s="9">
        <f>10*LOG10(K151)</f>
        <v/>
      </c>
      <c r="M151" s="9">
        <f>2*(Inputs!$C$9/(Inputs!$C$10^2))*A151</f>
        <v/>
      </c>
      <c r="N151" s="9">
        <f>M151*Inputs!$C$11</f>
        <v/>
      </c>
      <c r="O151" s="9">
        <f>1000*(D152-D150)/(A152-A150)*Inputs!$C$11</f>
        <v/>
      </c>
      <c r="P151" s="9">
        <f>-2*O151/Inputs!$C$13</f>
        <v/>
      </c>
      <c r="Q151" s="9">
        <f>-2*O151/Inputs!$C$14</f>
        <v/>
      </c>
      <c r="R151" s="9">
        <f>F151-Inputs!$C$16/2</f>
        <v/>
      </c>
      <c r="S151" s="9">
        <f>F151+Inputs!$C$16/2</f>
        <v/>
      </c>
      <c r="T151" s="9">
        <f>F151-Inputs!$C$17/2</f>
        <v/>
      </c>
      <c r="U151" s="9">
        <f>F151+Inputs!$C$17/2</f>
        <v/>
      </c>
      <c r="V151" s="9">
        <f>ABS(P151)</f>
        <v/>
      </c>
      <c r="W151" s="9">
        <f>ABS(Q151)</f>
        <v/>
      </c>
      <c r="X151" s="9">
        <f>IF(OR(Inputs!$C$27=TRUE,Inputs!$C$27="TRUE",Inputs!$C$27=1),1,0)*(Inputs!$C$51*(115*EXP(-(((0)-25)^2)/(4.5^2))+70*EXP(-(((0)+38)^2)/(7^2))*(0.55+0.45*SIN(2*PI()*(A151)/45))+24*SIN(2*PI()*(0)/9+(A151)/18)*EXP(-(((0)+5)^2)/(22^2))+18*SIN(2*PI()*(A151)/70))+Inputs!$C$28*EXP(-(((A151)-Inputs!$C$29)^2)/(2*Inputs!$C$31^2))*EXP(-(((0)-Inputs!$C$30)^2)/(2*Inputs!$C$32^2))+-Inputs!$C$33*EXP(-(((((A151)-Inputs!$C$34)^2)+(((0)-Inputs!$C$35)^2))/(2*Inputs!$C$36^2)))+Inputs!$C$37*(0.55*SIN(2*PI()*(A151)/Inputs!$C$39)+0.35*COS(2*PI()*(0)/Inputs!$C$40)+0.2*SIN(2*PI()*((A151)+(0))/(0.5*(Inputs!$C$39+Inputs!$C$40))))+Inputs!$C$38*SIN(2*PI()*(A151)/Inputs!$C$39)*SIN(2*PI()*(0)/Inputs!$C$40)+-Inputs!$C$41*EXP(-(((0)-Inputs!$C$43)^2)/(2*Inputs!$C$44^2))*EXP(-(((A151)-Inputs!$C$42)^2)/(2*Inputs!$C$45^2))+Inputs!$C$48*(0.7*(0.45*SIN(2*PI()*(((A151)/Inputs!$C$49)+Inputs!$C$47*0.137))+0.35*COS(2*PI()*(((0)/Inputs!$C$50)+Inputs!$C$47*0.173))+0.2*SIN(2*PI()*(((A151)+(0))/(0.5*(Inputs!$C$49+Inputs!$C$50))+Inputs!$C$47*0.097)))+0.3*(2*((SIN(((A151)*12.9898+(0)*78.233+Inputs!$C$47*37.719))*43758.5453)-INT((SIN(((A151)*12.9898+(0)*78.233+Inputs!$C$47*37.719))*43758.5453)))-1)))</f>
        <v/>
      </c>
      <c r="Y151" s="9">
        <f>IF(OR(Inputs!$C$27=TRUE,Inputs!$C$27="TRUE",Inputs!$C$27=1),1,0)*(Inputs!$C$51*(115*EXP(-(((Inputs!$C$6)-25)^2)/(4.5^2))+70*EXP(-(((Inputs!$C$6)+38)^2)/(7^2))*(0.55+0.45*SIN(2*PI()*(A151)/45))+24*SIN(2*PI()*(Inputs!$C$6)/9+(A151)/18)*EXP(-(((Inputs!$C$6)+5)^2)/(22^2))+18*SIN(2*PI()*(A151)/70))+Inputs!$C$28*EXP(-(((A151)-Inputs!$C$29)^2)/(2*Inputs!$C$31^2))*EXP(-(((Inputs!$C$6)-Inputs!$C$30)^2)/(2*Inputs!$C$32^2))+-Inputs!$C$33*EXP(-(((((A151)-Inputs!$C$34)^2)+(((Inputs!$C$6)-Inputs!$C$35)^2))/(2*Inputs!$C$36^2)))+Inputs!$C$37*(0.55*SIN(2*PI()*(A151)/Inputs!$C$39)+0.35*COS(2*PI()*(Inputs!$C$6)/Inputs!$C$40)+0.2*SIN(2*PI()*((A151)+(Inputs!$C$6))/(0.5*(Inputs!$C$39+Inputs!$C$40))))+Inputs!$C$38*SIN(2*PI()*(A151)/Inputs!$C$39)*SIN(2*PI()*(Inputs!$C$6)/Inputs!$C$40)+-Inputs!$C$41*EXP(-(((Inputs!$C$6)-Inputs!$C$43)^2)/(2*Inputs!$C$44^2))*EXP(-(((A151)-Inputs!$C$42)^2)/(2*Inputs!$C$45^2))+Inputs!$C$48*(0.7*(0.45*SIN(2*PI()*(((A151)/Inputs!$C$49)+Inputs!$C$47*0.137))+0.35*COS(2*PI()*(((Inputs!$C$6)/Inputs!$C$50)+Inputs!$C$47*0.173))+0.2*SIN(2*PI()*(((A151)+(Inputs!$C$6))/(0.5*(Inputs!$C$49+Inputs!$C$50))+Inputs!$C$47*0.097)))+0.3*(2*((SIN(((A151)*12.9898+(Inputs!$C$6)*78.233+Inputs!$C$47*37.719))*43758.5453)-INT((SIN(((A151)*12.9898+(Inputs!$C$6)*78.233+Inputs!$C$47*37.719))*43758.5453)))-1)))</f>
        <v/>
      </c>
      <c r="Z151" s="9">
        <f>B151-X151/1000</f>
        <v/>
      </c>
      <c r="AA151" s="9">
        <f>SQRT((Inputs!$C$52+B151)^2+(Inputs!$C$52+Y151/1000)^2-2*(Inputs!$C$52+B151)*(Inputs!$C$52+Y151/1000)*COS(SQRT(A151^2+Inputs!$C$6^2)/Inputs!$C$52))</f>
        <v/>
      </c>
      <c r="AB151" s="9">
        <f>(AA151-Z151)*1000</f>
        <v/>
      </c>
      <c r="AC151" s="9">
        <f>AB151/Inputs!$C$12</f>
        <v/>
      </c>
      <c r="AD151" s="9">
        <f>2*AB151/Inputs!$C$21*1000000</f>
        <v/>
      </c>
      <c r="AE151" s="9">
        <f>DEGREES(ATAN(H151/(B151-Y151/1000)))</f>
        <v/>
      </c>
      <c r="AF151" s="9">
        <f>DEGREES((2*PI()/Inputs!$C$13)*Inputs!$C$15*SIN(RADIANS(AE151)))</f>
        <v/>
      </c>
      <c r="AG151" s="9">
        <f>(Z151/AA151)^4</f>
        <v/>
      </c>
      <c r="AH151" s="9">
        <f>10*LOG10(AG151)</f>
        <v/>
      </c>
      <c r="AI151" s="9">
        <f>AC151-F151</f>
        <v/>
      </c>
      <c r="AJ151" s="9">
        <f>AD151-G151</f>
        <v/>
      </c>
      <c r="AK151" s="9">
        <f>Y151-X151</f>
        <v/>
      </c>
      <c r="AL151" s="9">
        <f>1000*(AA152-AA150)/(A152-A150)*Inputs!$C$11</f>
        <v/>
      </c>
      <c r="AM151" s="9">
        <f>-2*AL151/Inputs!$C$13</f>
        <v/>
      </c>
      <c r="AN151" s="9">
        <f>-2*AL151/Inputs!$C$14</f>
        <v/>
      </c>
      <c r="AO151" s="9">
        <f>ABS(AM151)</f>
        <v/>
      </c>
      <c r="AP151" s="9">
        <f>ABS(AN151)</f>
        <v/>
      </c>
      <c r="AQ151" s="9">
        <f>IF(OR(Inputs!$C$27=TRUE,Inputs!$C$27="TRUE",Inputs!$C$27=1),Inputs!$C$46/Inputs!$C$12,0)</f>
        <v/>
      </c>
      <c r="AR151" s="9">
        <f>AC151-AQ151</f>
        <v/>
      </c>
      <c r="AS151" s="9">
        <f>AC151+AQ151</f>
        <v/>
      </c>
    </row>
    <row r="152">
      <c r="A152" s="9">
        <f>Inputs!$C$7+150*(Inputs!$C$8-Inputs!$C$7)/240</f>
        <v/>
      </c>
      <c r="B152" s="9">
        <f>Inputs!$C$5+Inputs!$C$9*(A152/Inputs!$C$10)^2</f>
        <v/>
      </c>
      <c r="C152" s="9">
        <f>B152</f>
        <v/>
      </c>
      <c r="D152" s="9">
        <f>SQRT((Inputs!$C$52+B152)^2+Inputs!$C$52^2-2*(Inputs!$C$52+B152)*Inputs!$C$52*COS(SQRT(A152^2+Inputs!$C$6^2)/Inputs!$C$52))</f>
        <v/>
      </c>
      <c r="E152" s="9">
        <f>(D152-C152)*1000</f>
        <v/>
      </c>
      <c r="F152" s="9">
        <f>E152/Inputs!$C$12</f>
        <v/>
      </c>
      <c r="G152" s="9">
        <f>2*E152/Inputs!$C$21*1000000</f>
        <v/>
      </c>
      <c r="H152" s="9">
        <f>SQRT(A152^2+Inputs!$C$6^2)</f>
        <v/>
      </c>
      <c r="I152" s="9">
        <f>DEGREES(ATAN(H152/B152))</f>
        <v/>
      </c>
      <c r="J152" s="9">
        <f>DEGREES((2*PI()/Inputs!$C$13)*Inputs!$C$15*SIN(RADIANS(I152)))</f>
        <v/>
      </c>
      <c r="K152" s="9">
        <f>(C152/D152)^4</f>
        <v/>
      </c>
      <c r="L152" s="9">
        <f>10*LOG10(K152)</f>
        <v/>
      </c>
      <c r="M152" s="9">
        <f>2*(Inputs!$C$9/(Inputs!$C$10^2))*A152</f>
        <v/>
      </c>
      <c r="N152" s="9">
        <f>M152*Inputs!$C$11</f>
        <v/>
      </c>
      <c r="O152" s="9">
        <f>1000*(D153-D151)/(A153-A151)*Inputs!$C$11</f>
        <v/>
      </c>
      <c r="P152" s="9">
        <f>-2*O152/Inputs!$C$13</f>
        <v/>
      </c>
      <c r="Q152" s="9">
        <f>-2*O152/Inputs!$C$14</f>
        <v/>
      </c>
      <c r="R152" s="9">
        <f>F152-Inputs!$C$16/2</f>
        <v/>
      </c>
      <c r="S152" s="9">
        <f>F152+Inputs!$C$16/2</f>
        <v/>
      </c>
      <c r="T152" s="9">
        <f>F152-Inputs!$C$17/2</f>
        <v/>
      </c>
      <c r="U152" s="9">
        <f>F152+Inputs!$C$17/2</f>
        <v/>
      </c>
      <c r="V152" s="9">
        <f>ABS(P152)</f>
        <v/>
      </c>
      <c r="W152" s="9">
        <f>ABS(Q152)</f>
        <v/>
      </c>
      <c r="X152" s="9">
        <f>IF(OR(Inputs!$C$27=TRUE,Inputs!$C$27="TRUE",Inputs!$C$27=1),1,0)*(Inputs!$C$51*(115*EXP(-(((0)-25)^2)/(4.5^2))+70*EXP(-(((0)+38)^2)/(7^2))*(0.55+0.45*SIN(2*PI()*(A152)/45))+24*SIN(2*PI()*(0)/9+(A152)/18)*EXP(-(((0)+5)^2)/(22^2))+18*SIN(2*PI()*(A152)/70))+Inputs!$C$28*EXP(-(((A152)-Inputs!$C$29)^2)/(2*Inputs!$C$31^2))*EXP(-(((0)-Inputs!$C$30)^2)/(2*Inputs!$C$32^2))+-Inputs!$C$33*EXP(-(((((A152)-Inputs!$C$34)^2)+(((0)-Inputs!$C$35)^2))/(2*Inputs!$C$36^2)))+Inputs!$C$37*(0.55*SIN(2*PI()*(A152)/Inputs!$C$39)+0.35*COS(2*PI()*(0)/Inputs!$C$40)+0.2*SIN(2*PI()*((A152)+(0))/(0.5*(Inputs!$C$39+Inputs!$C$40))))+Inputs!$C$38*SIN(2*PI()*(A152)/Inputs!$C$39)*SIN(2*PI()*(0)/Inputs!$C$40)+-Inputs!$C$41*EXP(-(((0)-Inputs!$C$43)^2)/(2*Inputs!$C$44^2))*EXP(-(((A152)-Inputs!$C$42)^2)/(2*Inputs!$C$45^2))+Inputs!$C$48*(0.7*(0.45*SIN(2*PI()*(((A152)/Inputs!$C$49)+Inputs!$C$47*0.137))+0.35*COS(2*PI()*(((0)/Inputs!$C$50)+Inputs!$C$47*0.173))+0.2*SIN(2*PI()*(((A152)+(0))/(0.5*(Inputs!$C$49+Inputs!$C$50))+Inputs!$C$47*0.097)))+0.3*(2*((SIN(((A152)*12.9898+(0)*78.233+Inputs!$C$47*37.719))*43758.5453)-INT((SIN(((A152)*12.9898+(0)*78.233+Inputs!$C$47*37.719))*43758.5453)))-1)))</f>
        <v/>
      </c>
      <c r="Y152" s="9">
        <f>IF(OR(Inputs!$C$27=TRUE,Inputs!$C$27="TRUE",Inputs!$C$27=1),1,0)*(Inputs!$C$51*(115*EXP(-(((Inputs!$C$6)-25)^2)/(4.5^2))+70*EXP(-(((Inputs!$C$6)+38)^2)/(7^2))*(0.55+0.45*SIN(2*PI()*(A152)/45))+24*SIN(2*PI()*(Inputs!$C$6)/9+(A152)/18)*EXP(-(((Inputs!$C$6)+5)^2)/(22^2))+18*SIN(2*PI()*(A152)/70))+Inputs!$C$28*EXP(-(((A152)-Inputs!$C$29)^2)/(2*Inputs!$C$31^2))*EXP(-(((Inputs!$C$6)-Inputs!$C$30)^2)/(2*Inputs!$C$32^2))+-Inputs!$C$33*EXP(-(((((A152)-Inputs!$C$34)^2)+(((Inputs!$C$6)-Inputs!$C$35)^2))/(2*Inputs!$C$36^2)))+Inputs!$C$37*(0.55*SIN(2*PI()*(A152)/Inputs!$C$39)+0.35*COS(2*PI()*(Inputs!$C$6)/Inputs!$C$40)+0.2*SIN(2*PI()*((A152)+(Inputs!$C$6))/(0.5*(Inputs!$C$39+Inputs!$C$40))))+Inputs!$C$38*SIN(2*PI()*(A152)/Inputs!$C$39)*SIN(2*PI()*(Inputs!$C$6)/Inputs!$C$40)+-Inputs!$C$41*EXP(-(((Inputs!$C$6)-Inputs!$C$43)^2)/(2*Inputs!$C$44^2))*EXP(-(((A152)-Inputs!$C$42)^2)/(2*Inputs!$C$45^2))+Inputs!$C$48*(0.7*(0.45*SIN(2*PI()*(((A152)/Inputs!$C$49)+Inputs!$C$47*0.137))+0.35*COS(2*PI()*(((Inputs!$C$6)/Inputs!$C$50)+Inputs!$C$47*0.173))+0.2*SIN(2*PI()*(((A152)+(Inputs!$C$6))/(0.5*(Inputs!$C$49+Inputs!$C$50))+Inputs!$C$47*0.097)))+0.3*(2*((SIN(((A152)*12.9898+(Inputs!$C$6)*78.233+Inputs!$C$47*37.719))*43758.5453)-INT((SIN(((A152)*12.9898+(Inputs!$C$6)*78.233+Inputs!$C$47*37.719))*43758.5453)))-1)))</f>
        <v/>
      </c>
      <c r="Z152" s="9">
        <f>B152-X152/1000</f>
        <v/>
      </c>
      <c r="AA152" s="9">
        <f>SQRT((Inputs!$C$52+B152)^2+(Inputs!$C$52+Y152/1000)^2-2*(Inputs!$C$52+B152)*(Inputs!$C$52+Y152/1000)*COS(SQRT(A152^2+Inputs!$C$6^2)/Inputs!$C$52))</f>
        <v/>
      </c>
      <c r="AB152" s="9">
        <f>(AA152-Z152)*1000</f>
        <v/>
      </c>
      <c r="AC152" s="9">
        <f>AB152/Inputs!$C$12</f>
        <v/>
      </c>
      <c r="AD152" s="9">
        <f>2*AB152/Inputs!$C$21*1000000</f>
        <v/>
      </c>
      <c r="AE152" s="9">
        <f>DEGREES(ATAN(H152/(B152-Y152/1000)))</f>
        <v/>
      </c>
      <c r="AF152" s="9">
        <f>DEGREES((2*PI()/Inputs!$C$13)*Inputs!$C$15*SIN(RADIANS(AE152)))</f>
        <v/>
      </c>
      <c r="AG152" s="9">
        <f>(Z152/AA152)^4</f>
        <v/>
      </c>
      <c r="AH152" s="9">
        <f>10*LOG10(AG152)</f>
        <v/>
      </c>
      <c r="AI152" s="9">
        <f>AC152-F152</f>
        <v/>
      </c>
      <c r="AJ152" s="9">
        <f>AD152-G152</f>
        <v/>
      </c>
      <c r="AK152" s="9">
        <f>Y152-X152</f>
        <v/>
      </c>
      <c r="AL152" s="9">
        <f>1000*(AA153-AA151)/(A153-A151)*Inputs!$C$11</f>
        <v/>
      </c>
      <c r="AM152" s="9">
        <f>-2*AL152/Inputs!$C$13</f>
        <v/>
      </c>
      <c r="AN152" s="9">
        <f>-2*AL152/Inputs!$C$14</f>
        <v/>
      </c>
      <c r="AO152" s="9">
        <f>ABS(AM152)</f>
        <v/>
      </c>
      <c r="AP152" s="9">
        <f>ABS(AN152)</f>
        <v/>
      </c>
      <c r="AQ152" s="9">
        <f>IF(OR(Inputs!$C$27=TRUE,Inputs!$C$27="TRUE",Inputs!$C$27=1),Inputs!$C$46/Inputs!$C$12,0)</f>
        <v/>
      </c>
      <c r="AR152" s="9">
        <f>AC152-AQ152</f>
        <v/>
      </c>
      <c r="AS152" s="9">
        <f>AC152+AQ152</f>
        <v/>
      </c>
    </row>
    <row r="153">
      <c r="A153" s="9">
        <f>Inputs!$C$7+151*(Inputs!$C$8-Inputs!$C$7)/240</f>
        <v/>
      </c>
      <c r="B153" s="9">
        <f>Inputs!$C$5+Inputs!$C$9*(A153/Inputs!$C$10)^2</f>
        <v/>
      </c>
      <c r="C153" s="9">
        <f>B153</f>
        <v/>
      </c>
      <c r="D153" s="9">
        <f>SQRT((Inputs!$C$52+B153)^2+Inputs!$C$52^2-2*(Inputs!$C$52+B153)*Inputs!$C$52*COS(SQRT(A153^2+Inputs!$C$6^2)/Inputs!$C$52))</f>
        <v/>
      </c>
      <c r="E153" s="9">
        <f>(D153-C153)*1000</f>
        <v/>
      </c>
      <c r="F153" s="9">
        <f>E153/Inputs!$C$12</f>
        <v/>
      </c>
      <c r="G153" s="9">
        <f>2*E153/Inputs!$C$21*1000000</f>
        <v/>
      </c>
      <c r="H153" s="9">
        <f>SQRT(A153^2+Inputs!$C$6^2)</f>
        <v/>
      </c>
      <c r="I153" s="9">
        <f>DEGREES(ATAN(H153/B153))</f>
        <v/>
      </c>
      <c r="J153" s="9">
        <f>DEGREES((2*PI()/Inputs!$C$13)*Inputs!$C$15*SIN(RADIANS(I153)))</f>
        <v/>
      </c>
      <c r="K153" s="9">
        <f>(C153/D153)^4</f>
        <v/>
      </c>
      <c r="L153" s="9">
        <f>10*LOG10(K153)</f>
        <v/>
      </c>
      <c r="M153" s="9">
        <f>2*(Inputs!$C$9/(Inputs!$C$10^2))*A153</f>
        <v/>
      </c>
      <c r="N153" s="9">
        <f>M153*Inputs!$C$11</f>
        <v/>
      </c>
      <c r="O153" s="9">
        <f>1000*(D154-D152)/(A154-A152)*Inputs!$C$11</f>
        <v/>
      </c>
      <c r="P153" s="9">
        <f>-2*O153/Inputs!$C$13</f>
        <v/>
      </c>
      <c r="Q153" s="9">
        <f>-2*O153/Inputs!$C$14</f>
        <v/>
      </c>
      <c r="R153" s="9">
        <f>F153-Inputs!$C$16/2</f>
        <v/>
      </c>
      <c r="S153" s="9">
        <f>F153+Inputs!$C$16/2</f>
        <v/>
      </c>
      <c r="T153" s="9">
        <f>F153-Inputs!$C$17/2</f>
        <v/>
      </c>
      <c r="U153" s="9">
        <f>F153+Inputs!$C$17/2</f>
        <v/>
      </c>
      <c r="V153" s="9">
        <f>ABS(P153)</f>
        <v/>
      </c>
      <c r="W153" s="9">
        <f>ABS(Q153)</f>
        <v/>
      </c>
      <c r="X153" s="9">
        <f>IF(OR(Inputs!$C$27=TRUE,Inputs!$C$27="TRUE",Inputs!$C$27=1),1,0)*(Inputs!$C$51*(115*EXP(-(((0)-25)^2)/(4.5^2))+70*EXP(-(((0)+38)^2)/(7^2))*(0.55+0.45*SIN(2*PI()*(A153)/45))+24*SIN(2*PI()*(0)/9+(A153)/18)*EXP(-(((0)+5)^2)/(22^2))+18*SIN(2*PI()*(A153)/70))+Inputs!$C$28*EXP(-(((A153)-Inputs!$C$29)^2)/(2*Inputs!$C$31^2))*EXP(-(((0)-Inputs!$C$30)^2)/(2*Inputs!$C$32^2))+-Inputs!$C$33*EXP(-(((((A153)-Inputs!$C$34)^2)+(((0)-Inputs!$C$35)^2))/(2*Inputs!$C$36^2)))+Inputs!$C$37*(0.55*SIN(2*PI()*(A153)/Inputs!$C$39)+0.35*COS(2*PI()*(0)/Inputs!$C$40)+0.2*SIN(2*PI()*((A153)+(0))/(0.5*(Inputs!$C$39+Inputs!$C$40))))+Inputs!$C$38*SIN(2*PI()*(A153)/Inputs!$C$39)*SIN(2*PI()*(0)/Inputs!$C$40)+-Inputs!$C$41*EXP(-(((0)-Inputs!$C$43)^2)/(2*Inputs!$C$44^2))*EXP(-(((A153)-Inputs!$C$42)^2)/(2*Inputs!$C$45^2))+Inputs!$C$48*(0.7*(0.45*SIN(2*PI()*(((A153)/Inputs!$C$49)+Inputs!$C$47*0.137))+0.35*COS(2*PI()*(((0)/Inputs!$C$50)+Inputs!$C$47*0.173))+0.2*SIN(2*PI()*(((A153)+(0))/(0.5*(Inputs!$C$49+Inputs!$C$50))+Inputs!$C$47*0.097)))+0.3*(2*((SIN(((A153)*12.9898+(0)*78.233+Inputs!$C$47*37.719))*43758.5453)-INT((SIN(((A153)*12.9898+(0)*78.233+Inputs!$C$47*37.719))*43758.5453)))-1)))</f>
        <v/>
      </c>
      <c r="Y153" s="9">
        <f>IF(OR(Inputs!$C$27=TRUE,Inputs!$C$27="TRUE",Inputs!$C$27=1),1,0)*(Inputs!$C$51*(115*EXP(-(((Inputs!$C$6)-25)^2)/(4.5^2))+70*EXP(-(((Inputs!$C$6)+38)^2)/(7^2))*(0.55+0.45*SIN(2*PI()*(A153)/45))+24*SIN(2*PI()*(Inputs!$C$6)/9+(A153)/18)*EXP(-(((Inputs!$C$6)+5)^2)/(22^2))+18*SIN(2*PI()*(A153)/70))+Inputs!$C$28*EXP(-(((A153)-Inputs!$C$29)^2)/(2*Inputs!$C$31^2))*EXP(-(((Inputs!$C$6)-Inputs!$C$30)^2)/(2*Inputs!$C$32^2))+-Inputs!$C$33*EXP(-(((((A153)-Inputs!$C$34)^2)+(((Inputs!$C$6)-Inputs!$C$35)^2))/(2*Inputs!$C$36^2)))+Inputs!$C$37*(0.55*SIN(2*PI()*(A153)/Inputs!$C$39)+0.35*COS(2*PI()*(Inputs!$C$6)/Inputs!$C$40)+0.2*SIN(2*PI()*((A153)+(Inputs!$C$6))/(0.5*(Inputs!$C$39+Inputs!$C$40))))+Inputs!$C$38*SIN(2*PI()*(A153)/Inputs!$C$39)*SIN(2*PI()*(Inputs!$C$6)/Inputs!$C$40)+-Inputs!$C$41*EXP(-(((Inputs!$C$6)-Inputs!$C$43)^2)/(2*Inputs!$C$44^2))*EXP(-(((A153)-Inputs!$C$42)^2)/(2*Inputs!$C$45^2))+Inputs!$C$48*(0.7*(0.45*SIN(2*PI()*(((A153)/Inputs!$C$49)+Inputs!$C$47*0.137))+0.35*COS(2*PI()*(((Inputs!$C$6)/Inputs!$C$50)+Inputs!$C$47*0.173))+0.2*SIN(2*PI()*(((A153)+(Inputs!$C$6))/(0.5*(Inputs!$C$49+Inputs!$C$50))+Inputs!$C$47*0.097)))+0.3*(2*((SIN(((A153)*12.9898+(Inputs!$C$6)*78.233+Inputs!$C$47*37.719))*43758.5453)-INT((SIN(((A153)*12.9898+(Inputs!$C$6)*78.233+Inputs!$C$47*37.719))*43758.5453)))-1)))</f>
        <v/>
      </c>
      <c r="Z153" s="9">
        <f>B153-X153/1000</f>
        <v/>
      </c>
      <c r="AA153" s="9">
        <f>SQRT((Inputs!$C$52+B153)^2+(Inputs!$C$52+Y153/1000)^2-2*(Inputs!$C$52+B153)*(Inputs!$C$52+Y153/1000)*COS(SQRT(A153^2+Inputs!$C$6^2)/Inputs!$C$52))</f>
        <v/>
      </c>
      <c r="AB153" s="9">
        <f>(AA153-Z153)*1000</f>
        <v/>
      </c>
      <c r="AC153" s="9">
        <f>AB153/Inputs!$C$12</f>
        <v/>
      </c>
      <c r="AD153" s="9">
        <f>2*AB153/Inputs!$C$21*1000000</f>
        <v/>
      </c>
      <c r="AE153" s="9">
        <f>DEGREES(ATAN(H153/(B153-Y153/1000)))</f>
        <v/>
      </c>
      <c r="AF153" s="9">
        <f>DEGREES((2*PI()/Inputs!$C$13)*Inputs!$C$15*SIN(RADIANS(AE153)))</f>
        <v/>
      </c>
      <c r="AG153" s="9">
        <f>(Z153/AA153)^4</f>
        <v/>
      </c>
      <c r="AH153" s="9">
        <f>10*LOG10(AG153)</f>
        <v/>
      </c>
      <c r="AI153" s="9">
        <f>AC153-F153</f>
        <v/>
      </c>
      <c r="AJ153" s="9">
        <f>AD153-G153</f>
        <v/>
      </c>
      <c r="AK153" s="9">
        <f>Y153-X153</f>
        <v/>
      </c>
      <c r="AL153" s="9">
        <f>1000*(AA154-AA152)/(A154-A152)*Inputs!$C$11</f>
        <v/>
      </c>
      <c r="AM153" s="9">
        <f>-2*AL153/Inputs!$C$13</f>
        <v/>
      </c>
      <c r="AN153" s="9">
        <f>-2*AL153/Inputs!$C$14</f>
        <v/>
      </c>
      <c r="AO153" s="9">
        <f>ABS(AM153)</f>
        <v/>
      </c>
      <c r="AP153" s="9">
        <f>ABS(AN153)</f>
        <v/>
      </c>
      <c r="AQ153" s="9">
        <f>IF(OR(Inputs!$C$27=TRUE,Inputs!$C$27="TRUE",Inputs!$C$27=1),Inputs!$C$46/Inputs!$C$12,0)</f>
        <v/>
      </c>
      <c r="AR153" s="9">
        <f>AC153-AQ153</f>
        <v/>
      </c>
      <c r="AS153" s="9">
        <f>AC153+AQ153</f>
        <v/>
      </c>
    </row>
    <row r="154">
      <c r="A154" s="9">
        <f>Inputs!$C$7+152*(Inputs!$C$8-Inputs!$C$7)/240</f>
        <v/>
      </c>
      <c r="B154" s="9">
        <f>Inputs!$C$5+Inputs!$C$9*(A154/Inputs!$C$10)^2</f>
        <v/>
      </c>
      <c r="C154" s="9">
        <f>B154</f>
        <v/>
      </c>
      <c r="D154" s="9">
        <f>SQRT((Inputs!$C$52+B154)^2+Inputs!$C$52^2-2*(Inputs!$C$52+B154)*Inputs!$C$52*COS(SQRT(A154^2+Inputs!$C$6^2)/Inputs!$C$52))</f>
        <v/>
      </c>
      <c r="E154" s="9">
        <f>(D154-C154)*1000</f>
        <v/>
      </c>
      <c r="F154" s="9">
        <f>E154/Inputs!$C$12</f>
        <v/>
      </c>
      <c r="G154" s="9">
        <f>2*E154/Inputs!$C$21*1000000</f>
        <v/>
      </c>
      <c r="H154" s="9">
        <f>SQRT(A154^2+Inputs!$C$6^2)</f>
        <v/>
      </c>
      <c r="I154" s="9">
        <f>DEGREES(ATAN(H154/B154))</f>
        <v/>
      </c>
      <c r="J154" s="9">
        <f>DEGREES((2*PI()/Inputs!$C$13)*Inputs!$C$15*SIN(RADIANS(I154)))</f>
        <v/>
      </c>
      <c r="K154" s="9">
        <f>(C154/D154)^4</f>
        <v/>
      </c>
      <c r="L154" s="9">
        <f>10*LOG10(K154)</f>
        <v/>
      </c>
      <c r="M154" s="9">
        <f>2*(Inputs!$C$9/(Inputs!$C$10^2))*A154</f>
        <v/>
      </c>
      <c r="N154" s="9">
        <f>M154*Inputs!$C$11</f>
        <v/>
      </c>
      <c r="O154" s="9">
        <f>1000*(D155-D153)/(A155-A153)*Inputs!$C$11</f>
        <v/>
      </c>
      <c r="P154" s="9">
        <f>-2*O154/Inputs!$C$13</f>
        <v/>
      </c>
      <c r="Q154" s="9">
        <f>-2*O154/Inputs!$C$14</f>
        <v/>
      </c>
      <c r="R154" s="9">
        <f>F154-Inputs!$C$16/2</f>
        <v/>
      </c>
      <c r="S154" s="9">
        <f>F154+Inputs!$C$16/2</f>
        <v/>
      </c>
      <c r="T154" s="9">
        <f>F154-Inputs!$C$17/2</f>
        <v/>
      </c>
      <c r="U154" s="9">
        <f>F154+Inputs!$C$17/2</f>
        <v/>
      </c>
      <c r="V154" s="9">
        <f>ABS(P154)</f>
        <v/>
      </c>
      <c r="W154" s="9">
        <f>ABS(Q154)</f>
        <v/>
      </c>
      <c r="X154" s="9">
        <f>IF(OR(Inputs!$C$27=TRUE,Inputs!$C$27="TRUE",Inputs!$C$27=1),1,0)*(Inputs!$C$51*(115*EXP(-(((0)-25)^2)/(4.5^2))+70*EXP(-(((0)+38)^2)/(7^2))*(0.55+0.45*SIN(2*PI()*(A154)/45))+24*SIN(2*PI()*(0)/9+(A154)/18)*EXP(-(((0)+5)^2)/(22^2))+18*SIN(2*PI()*(A154)/70))+Inputs!$C$28*EXP(-(((A154)-Inputs!$C$29)^2)/(2*Inputs!$C$31^2))*EXP(-(((0)-Inputs!$C$30)^2)/(2*Inputs!$C$32^2))+-Inputs!$C$33*EXP(-(((((A154)-Inputs!$C$34)^2)+(((0)-Inputs!$C$35)^2))/(2*Inputs!$C$36^2)))+Inputs!$C$37*(0.55*SIN(2*PI()*(A154)/Inputs!$C$39)+0.35*COS(2*PI()*(0)/Inputs!$C$40)+0.2*SIN(2*PI()*((A154)+(0))/(0.5*(Inputs!$C$39+Inputs!$C$40))))+Inputs!$C$38*SIN(2*PI()*(A154)/Inputs!$C$39)*SIN(2*PI()*(0)/Inputs!$C$40)+-Inputs!$C$41*EXP(-(((0)-Inputs!$C$43)^2)/(2*Inputs!$C$44^2))*EXP(-(((A154)-Inputs!$C$42)^2)/(2*Inputs!$C$45^2))+Inputs!$C$48*(0.7*(0.45*SIN(2*PI()*(((A154)/Inputs!$C$49)+Inputs!$C$47*0.137))+0.35*COS(2*PI()*(((0)/Inputs!$C$50)+Inputs!$C$47*0.173))+0.2*SIN(2*PI()*(((A154)+(0))/(0.5*(Inputs!$C$49+Inputs!$C$50))+Inputs!$C$47*0.097)))+0.3*(2*((SIN(((A154)*12.9898+(0)*78.233+Inputs!$C$47*37.719))*43758.5453)-INT((SIN(((A154)*12.9898+(0)*78.233+Inputs!$C$47*37.719))*43758.5453)))-1)))</f>
        <v/>
      </c>
      <c r="Y154" s="9">
        <f>IF(OR(Inputs!$C$27=TRUE,Inputs!$C$27="TRUE",Inputs!$C$27=1),1,0)*(Inputs!$C$51*(115*EXP(-(((Inputs!$C$6)-25)^2)/(4.5^2))+70*EXP(-(((Inputs!$C$6)+38)^2)/(7^2))*(0.55+0.45*SIN(2*PI()*(A154)/45))+24*SIN(2*PI()*(Inputs!$C$6)/9+(A154)/18)*EXP(-(((Inputs!$C$6)+5)^2)/(22^2))+18*SIN(2*PI()*(A154)/70))+Inputs!$C$28*EXP(-(((A154)-Inputs!$C$29)^2)/(2*Inputs!$C$31^2))*EXP(-(((Inputs!$C$6)-Inputs!$C$30)^2)/(2*Inputs!$C$32^2))+-Inputs!$C$33*EXP(-(((((A154)-Inputs!$C$34)^2)+(((Inputs!$C$6)-Inputs!$C$35)^2))/(2*Inputs!$C$36^2)))+Inputs!$C$37*(0.55*SIN(2*PI()*(A154)/Inputs!$C$39)+0.35*COS(2*PI()*(Inputs!$C$6)/Inputs!$C$40)+0.2*SIN(2*PI()*((A154)+(Inputs!$C$6))/(0.5*(Inputs!$C$39+Inputs!$C$40))))+Inputs!$C$38*SIN(2*PI()*(A154)/Inputs!$C$39)*SIN(2*PI()*(Inputs!$C$6)/Inputs!$C$40)+-Inputs!$C$41*EXP(-(((Inputs!$C$6)-Inputs!$C$43)^2)/(2*Inputs!$C$44^2))*EXP(-(((A154)-Inputs!$C$42)^2)/(2*Inputs!$C$45^2))+Inputs!$C$48*(0.7*(0.45*SIN(2*PI()*(((A154)/Inputs!$C$49)+Inputs!$C$47*0.137))+0.35*COS(2*PI()*(((Inputs!$C$6)/Inputs!$C$50)+Inputs!$C$47*0.173))+0.2*SIN(2*PI()*(((A154)+(Inputs!$C$6))/(0.5*(Inputs!$C$49+Inputs!$C$50))+Inputs!$C$47*0.097)))+0.3*(2*((SIN(((A154)*12.9898+(Inputs!$C$6)*78.233+Inputs!$C$47*37.719))*43758.5453)-INT((SIN(((A154)*12.9898+(Inputs!$C$6)*78.233+Inputs!$C$47*37.719))*43758.5453)))-1)))</f>
        <v/>
      </c>
      <c r="Z154" s="9">
        <f>B154-X154/1000</f>
        <v/>
      </c>
      <c r="AA154" s="9">
        <f>SQRT((Inputs!$C$52+B154)^2+(Inputs!$C$52+Y154/1000)^2-2*(Inputs!$C$52+B154)*(Inputs!$C$52+Y154/1000)*COS(SQRT(A154^2+Inputs!$C$6^2)/Inputs!$C$52))</f>
        <v/>
      </c>
      <c r="AB154" s="9">
        <f>(AA154-Z154)*1000</f>
        <v/>
      </c>
      <c r="AC154" s="9">
        <f>AB154/Inputs!$C$12</f>
        <v/>
      </c>
      <c r="AD154" s="9">
        <f>2*AB154/Inputs!$C$21*1000000</f>
        <v/>
      </c>
      <c r="AE154" s="9">
        <f>DEGREES(ATAN(H154/(B154-Y154/1000)))</f>
        <v/>
      </c>
      <c r="AF154" s="9">
        <f>DEGREES((2*PI()/Inputs!$C$13)*Inputs!$C$15*SIN(RADIANS(AE154)))</f>
        <v/>
      </c>
      <c r="AG154" s="9">
        <f>(Z154/AA154)^4</f>
        <v/>
      </c>
      <c r="AH154" s="9">
        <f>10*LOG10(AG154)</f>
        <v/>
      </c>
      <c r="AI154" s="9">
        <f>AC154-F154</f>
        <v/>
      </c>
      <c r="AJ154" s="9">
        <f>AD154-G154</f>
        <v/>
      </c>
      <c r="AK154" s="9">
        <f>Y154-X154</f>
        <v/>
      </c>
      <c r="AL154" s="9">
        <f>1000*(AA155-AA153)/(A155-A153)*Inputs!$C$11</f>
        <v/>
      </c>
      <c r="AM154" s="9">
        <f>-2*AL154/Inputs!$C$13</f>
        <v/>
      </c>
      <c r="AN154" s="9">
        <f>-2*AL154/Inputs!$C$14</f>
        <v/>
      </c>
      <c r="AO154" s="9">
        <f>ABS(AM154)</f>
        <v/>
      </c>
      <c r="AP154" s="9">
        <f>ABS(AN154)</f>
        <v/>
      </c>
      <c r="AQ154" s="9">
        <f>IF(OR(Inputs!$C$27=TRUE,Inputs!$C$27="TRUE",Inputs!$C$27=1),Inputs!$C$46/Inputs!$C$12,0)</f>
        <v/>
      </c>
      <c r="AR154" s="9">
        <f>AC154-AQ154</f>
        <v/>
      </c>
      <c r="AS154" s="9">
        <f>AC154+AQ154</f>
        <v/>
      </c>
    </row>
    <row r="155">
      <c r="A155" s="9">
        <f>Inputs!$C$7+153*(Inputs!$C$8-Inputs!$C$7)/240</f>
        <v/>
      </c>
      <c r="B155" s="9">
        <f>Inputs!$C$5+Inputs!$C$9*(A155/Inputs!$C$10)^2</f>
        <v/>
      </c>
      <c r="C155" s="9">
        <f>B155</f>
        <v/>
      </c>
      <c r="D155" s="9">
        <f>SQRT((Inputs!$C$52+B155)^2+Inputs!$C$52^2-2*(Inputs!$C$52+B155)*Inputs!$C$52*COS(SQRT(A155^2+Inputs!$C$6^2)/Inputs!$C$52))</f>
        <v/>
      </c>
      <c r="E155" s="9">
        <f>(D155-C155)*1000</f>
        <v/>
      </c>
      <c r="F155" s="9">
        <f>E155/Inputs!$C$12</f>
        <v/>
      </c>
      <c r="G155" s="9">
        <f>2*E155/Inputs!$C$21*1000000</f>
        <v/>
      </c>
      <c r="H155" s="9">
        <f>SQRT(A155^2+Inputs!$C$6^2)</f>
        <v/>
      </c>
      <c r="I155" s="9">
        <f>DEGREES(ATAN(H155/B155))</f>
        <v/>
      </c>
      <c r="J155" s="9">
        <f>DEGREES((2*PI()/Inputs!$C$13)*Inputs!$C$15*SIN(RADIANS(I155)))</f>
        <v/>
      </c>
      <c r="K155" s="9">
        <f>(C155/D155)^4</f>
        <v/>
      </c>
      <c r="L155" s="9">
        <f>10*LOG10(K155)</f>
        <v/>
      </c>
      <c r="M155" s="9">
        <f>2*(Inputs!$C$9/(Inputs!$C$10^2))*A155</f>
        <v/>
      </c>
      <c r="N155" s="9">
        <f>M155*Inputs!$C$11</f>
        <v/>
      </c>
      <c r="O155" s="9">
        <f>1000*(D156-D154)/(A156-A154)*Inputs!$C$11</f>
        <v/>
      </c>
      <c r="P155" s="9">
        <f>-2*O155/Inputs!$C$13</f>
        <v/>
      </c>
      <c r="Q155" s="9">
        <f>-2*O155/Inputs!$C$14</f>
        <v/>
      </c>
      <c r="R155" s="9">
        <f>F155-Inputs!$C$16/2</f>
        <v/>
      </c>
      <c r="S155" s="9">
        <f>F155+Inputs!$C$16/2</f>
        <v/>
      </c>
      <c r="T155" s="9">
        <f>F155-Inputs!$C$17/2</f>
        <v/>
      </c>
      <c r="U155" s="9">
        <f>F155+Inputs!$C$17/2</f>
        <v/>
      </c>
      <c r="V155" s="9">
        <f>ABS(P155)</f>
        <v/>
      </c>
      <c r="W155" s="9">
        <f>ABS(Q155)</f>
        <v/>
      </c>
      <c r="X155" s="9">
        <f>IF(OR(Inputs!$C$27=TRUE,Inputs!$C$27="TRUE",Inputs!$C$27=1),1,0)*(Inputs!$C$51*(115*EXP(-(((0)-25)^2)/(4.5^2))+70*EXP(-(((0)+38)^2)/(7^2))*(0.55+0.45*SIN(2*PI()*(A155)/45))+24*SIN(2*PI()*(0)/9+(A155)/18)*EXP(-(((0)+5)^2)/(22^2))+18*SIN(2*PI()*(A155)/70))+Inputs!$C$28*EXP(-(((A155)-Inputs!$C$29)^2)/(2*Inputs!$C$31^2))*EXP(-(((0)-Inputs!$C$30)^2)/(2*Inputs!$C$32^2))+-Inputs!$C$33*EXP(-(((((A155)-Inputs!$C$34)^2)+(((0)-Inputs!$C$35)^2))/(2*Inputs!$C$36^2)))+Inputs!$C$37*(0.55*SIN(2*PI()*(A155)/Inputs!$C$39)+0.35*COS(2*PI()*(0)/Inputs!$C$40)+0.2*SIN(2*PI()*((A155)+(0))/(0.5*(Inputs!$C$39+Inputs!$C$40))))+Inputs!$C$38*SIN(2*PI()*(A155)/Inputs!$C$39)*SIN(2*PI()*(0)/Inputs!$C$40)+-Inputs!$C$41*EXP(-(((0)-Inputs!$C$43)^2)/(2*Inputs!$C$44^2))*EXP(-(((A155)-Inputs!$C$42)^2)/(2*Inputs!$C$45^2))+Inputs!$C$48*(0.7*(0.45*SIN(2*PI()*(((A155)/Inputs!$C$49)+Inputs!$C$47*0.137))+0.35*COS(2*PI()*(((0)/Inputs!$C$50)+Inputs!$C$47*0.173))+0.2*SIN(2*PI()*(((A155)+(0))/(0.5*(Inputs!$C$49+Inputs!$C$50))+Inputs!$C$47*0.097)))+0.3*(2*((SIN(((A155)*12.9898+(0)*78.233+Inputs!$C$47*37.719))*43758.5453)-INT((SIN(((A155)*12.9898+(0)*78.233+Inputs!$C$47*37.719))*43758.5453)))-1)))</f>
        <v/>
      </c>
      <c r="Y155" s="9">
        <f>IF(OR(Inputs!$C$27=TRUE,Inputs!$C$27="TRUE",Inputs!$C$27=1),1,0)*(Inputs!$C$51*(115*EXP(-(((Inputs!$C$6)-25)^2)/(4.5^2))+70*EXP(-(((Inputs!$C$6)+38)^2)/(7^2))*(0.55+0.45*SIN(2*PI()*(A155)/45))+24*SIN(2*PI()*(Inputs!$C$6)/9+(A155)/18)*EXP(-(((Inputs!$C$6)+5)^2)/(22^2))+18*SIN(2*PI()*(A155)/70))+Inputs!$C$28*EXP(-(((A155)-Inputs!$C$29)^2)/(2*Inputs!$C$31^2))*EXP(-(((Inputs!$C$6)-Inputs!$C$30)^2)/(2*Inputs!$C$32^2))+-Inputs!$C$33*EXP(-(((((A155)-Inputs!$C$34)^2)+(((Inputs!$C$6)-Inputs!$C$35)^2))/(2*Inputs!$C$36^2)))+Inputs!$C$37*(0.55*SIN(2*PI()*(A155)/Inputs!$C$39)+0.35*COS(2*PI()*(Inputs!$C$6)/Inputs!$C$40)+0.2*SIN(2*PI()*((A155)+(Inputs!$C$6))/(0.5*(Inputs!$C$39+Inputs!$C$40))))+Inputs!$C$38*SIN(2*PI()*(A155)/Inputs!$C$39)*SIN(2*PI()*(Inputs!$C$6)/Inputs!$C$40)+-Inputs!$C$41*EXP(-(((Inputs!$C$6)-Inputs!$C$43)^2)/(2*Inputs!$C$44^2))*EXP(-(((A155)-Inputs!$C$42)^2)/(2*Inputs!$C$45^2))+Inputs!$C$48*(0.7*(0.45*SIN(2*PI()*(((A155)/Inputs!$C$49)+Inputs!$C$47*0.137))+0.35*COS(2*PI()*(((Inputs!$C$6)/Inputs!$C$50)+Inputs!$C$47*0.173))+0.2*SIN(2*PI()*(((A155)+(Inputs!$C$6))/(0.5*(Inputs!$C$49+Inputs!$C$50))+Inputs!$C$47*0.097)))+0.3*(2*((SIN(((A155)*12.9898+(Inputs!$C$6)*78.233+Inputs!$C$47*37.719))*43758.5453)-INT((SIN(((A155)*12.9898+(Inputs!$C$6)*78.233+Inputs!$C$47*37.719))*43758.5453)))-1)))</f>
        <v/>
      </c>
      <c r="Z155" s="9">
        <f>B155-X155/1000</f>
        <v/>
      </c>
      <c r="AA155" s="9">
        <f>SQRT((Inputs!$C$52+B155)^2+(Inputs!$C$52+Y155/1000)^2-2*(Inputs!$C$52+B155)*(Inputs!$C$52+Y155/1000)*COS(SQRT(A155^2+Inputs!$C$6^2)/Inputs!$C$52))</f>
        <v/>
      </c>
      <c r="AB155" s="9">
        <f>(AA155-Z155)*1000</f>
        <v/>
      </c>
      <c r="AC155" s="9">
        <f>AB155/Inputs!$C$12</f>
        <v/>
      </c>
      <c r="AD155" s="9">
        <f>2*AB155/Inputs!$C$21*1000000</f>
        <v/>
      </c>
      <c r="AE155" s="9">
        <f>DEGREES(ATAN(H155/(B155-Y155/1000)))</f>
        <v/>
      </c>
      <c r="AF155" s="9">
        <f>DEGREES((2*PI()/Inputs!$C$13)*Inputs!$C$15*SIN(RADIANS(AE155)))</f>
        <v/>
      </c>
      <c r="AG155" s="9">
        <f>(Z155/AA155)^4</f>
        <v/>
      </c>
      <c r="AH155" s="9">
        <f>10*LOG10(AG155)</f>
        <v/>
      </c>
      <c r="AI155" s="9">
        <f>AC155-F155</f>
        <v/>
      </c>
      <c r="AJ155" s="9">
        <f>AD155-G155</f>
        <v/>
      </c>
      <c r="AK155" s="9">
        <f>Y155-X155</f>
        <v/>
      </c>
      <c r="AL155" s="9">
        <f>1000*(AA156-AA154)/(A156-A154)*Inputs!$C$11</f>
        <v/>
      </c>
      <c r="AM155" s="9">
        <f>-2*AL155/Inputs!$C$13</f>
        <v/>
      </c>
      <c r="AN155" s="9">
        <f>-2*AL155/Inputs!$C$14</f>
        <v/>
      </c>
      <c r="AO155" s="9">
        <f>ABS(AM155)</f>
        <v/>
      </c>
      <c r="AP155" s="9">
        <f>ABS(AN155)</f>
        <v/>
      </c>
      <c r="AQ155" s="9">
        <f>IF(OR(Inputs!$C$27=TRUE,Inputs!$C$27="TRUE",Inputs!$C$27=1),Inputs!$C$46/Inputs!$C$12,0)</f>
        <v/>
      </c>
      <c r="AR155" s="9">
        <f>AC155-AQ155</f>
        <v/>
      </c>
      <c r="AS155" s="9">
        <f>AC155+AQ155</f>
        <v/>
      </c>
    </row>
    <row r="156">
      <c r="A156" s="9">
        <f>Inputs!$C$7+154*(Inputs!$C$8-Inputs!$C$7)/240</f>
        <v/>
      </c>
      <c r="B156" s="9">
        <f>Inputs!$C$5+Inputs!$C$9*(A156/Inputs!$C$10)^2</f>
        <v/>
      </c>
      <c r="C156" s="9">
        <f>B156</f>
        <v/>
      </c>
      <c r="D156" s="9">
        <f>SQRT((Inputs!$C$52+B156)^2+Inputs!$C$52^2-2*(Inputs!$C$52+B156)*Inputs!$C$52*COS(SQRT(A156^2+Inputs!$C$6^2)/Inputs!$C$52))</f>
        <v/>
      </c>
      <c r="E156" s="9">
        <f>(D156-C156)*1000</f>
        <v/>
      </c>
      <c r="F156" s="9">
        <f>E156/Inputs!$C$12</f>
        <v/>
      </c>
      <c r="G156" s="9">
        <f>2*E156/Inputs!$C$21*1000000</f>
        <v/>
      </c>
      <c r="H156" s="9">
        <f>SQRT(A156^2+Inputs!$C$6^2)</f>
        <v/>
      </c>
      <c r="I156" s="9">
        <f>DEGREES(ATAN(H156/B156))</f>
        <v/>
      </c>
      <c r="J156" s="9">
        <f>DEGREES((2*PI()/Inputs!$C$13)*Inputs!$C$15*SIN(RADIANS(I156)))</f>
        <v/>
      </c>
      <c r="K156" s="9">
        <f>(C156/D156)^4</f>
        <v/>
      </c>
      <c r="L156" s="9">
        <f>10*LOG10(K156)</f>
        <v/>
      </c>
      <c r="M156" s="9">
        <f>2*(Inputs!$C$9/(Inputs!$C$10^2))*A156</f>
        <v/>
      </c>
      <c r="N156" s="9">
        <f>M156*Inputs!$C$11</f>
        <v/>
      </c>
      <c r="O156" s="9">
        <f>1000*(D157-D155)/(A157-A155)*Inputs!$C$11</f>
        <v/>
      </c>
      <c r="P156" s="9">
        <f>-2*O156/Inputs!$C$13</f>
        <v/>
      </c>
      <c r="Q156" s="9">
        <f>-2*O156/Inputs!$C$14</f>
        <v/>
      </c>
      <c r="R156" s="9">
        <f>F156-Inputs!$C$16/2</f>
        <v/>
      </c>
      <c r="S156" s="9">
        <f>F156+Inputs!$C$16/2</f>
        <v/>
      </c>
      <c r="T156" s="9">
        <f>F156-Inputs!$C$17/2</f>
        <v/>
      </c>
      <c r="U156" s="9">
        <f>F156+Inputs!$C$17/2</f>
        <v/>
      </c>
      <c r="V156" s="9">
        <f>ABS(P156)</f>
        <v/>
      </c>
      <c r="W156" s="9">
        <f>ABS(Q156)</f>
        <v/>
      </c>
      <c r="X156" s="9">
        <f>IF(OR(Inputs!$C$27=TRUE,Inputs!$C$27="TRUE",Inputs!$C$27=1),1,0)*(Inputs!$C$51*(115*EXP(-(((0)-25)^2)/(4.5^2))+70*EXP(-(((0)+38)^2)/(7^2))*(0.55+0.45*SIN(2*PI()*(A156)/45))+24*SIN(2*PI()*(0)/9+(A156)/18)*EXP(-(((0)+5)^2)/(22^2))+18*SIN(2*PI()*(A156)/70))+Inputs!$C$28*EXP(-(((A156)-Inputs!$C$29)^2)/(2*Inputs!$C$31^2))*EXP(-(((0)-Inputs!$C$30)^2)/(2*Inputs!$C$32^2))+-Inputs!$C$33*EXP(-(((((A156)-Inputs!$C$34)^2)+(((0)-Inputs!$C$35)^2))/(2*Inputs!$C$36^2)))+Inputs!$C$37*(0.55*SIN(2*PI()*(A156)/Inputs!$C$39)+0.35*COS(2*PI()*(0)/Inputs!$C$40)+0.2*SIN(2*PI()*((A156)+(0))/(0.5*(Inputs!$C$39+Inputs!$C$40))))+Inputs!$C$38*SIN(2*PI()*(A156)/Inputs!$C$39)*SIN(2*PI()*(0)/Inputs!$C$40)+-Inputs!$C$41*EXP(-(((0)-Inputs!$C$43)^2)/(2*Inputs!$C$44^2))*EXP(-(((A156)-Inputs!$C$42)^2)/(2*Inputs!$C$45^2))+Inputs!$C$48*(0.7*(0.45*SIN(2*PI()*(((A156)/Inputs!$C$49)+Inputs!$C$47*0.137))+0.35*COS(2*PI()*(((0)/Inputs!$C$50)+Inputs!$C$47*0.173))+0.2*SIN(2*PI()*(((A156)+(0))/(0.5*(Inputs!$C$49+Inputs!$C$50))+Inputs!$C$47*0.097)))+0.3*(2*((SIN(((A156)*12.9898+(0)*78.233+Inputs!$C$47*37.719))*43758.5453)-INT((SIN(((A156)*12.9898+(0)*78.233+Inputs!$C$47*37.719))*43758.5453)))-1)))</f>
        <v/>
      </c>
      <c r="Y156" s="9">
        <f>IF(OR(Inputs!$C$27=TRUE,Inputs!$C$27="TRUE",Inputs!$C$27=1),1,0)*(Inputs!$C$51*(115*EXP(-(((Inputs!$C$6)-25)^2)/(4.5^2))+70*EXP(-(((Inputs!$C$6)+38)^2)/(7^2))*(0.55+0.45*SIN(2*PI()*(A156)/45))+24*SIN(2*PI()*(Inputs!$C$6)/9+(A156)/18)*EXP(-(((Inputs!$C$6)+5)^2)/(22^2))+18*SIN(2*PI()*(A156)/70))+Inputs!$C$28*EXP(-(((A156)-Inputs!$C$29)^2)/(2*Inputs!$C$31^2))*EXP(-(((Inputs!$C$6)-Inputs!$C$30)^2)/(2*Inputs!$C$32^2))+-Inputs!$C$33*EXP(-(((((A156)-Inputs!$C$34)^2)+(((Inputs!$C$6)-Inputs!$C$35)^2))/(2*Inputs!$C$36^2)))+Inputs!$C$37*(0.55*SIN(2*PI()*(A156)/Inputs!$C$39)+0.35*COS(2*PI()*(Inputs!$C$6)/Inputs!$C$40)+0.2*SIN(2*PI()*((A156)+(Inputs!$C$6))/(0.5*(Inputs!$C$39+Inputs!$C$40))))+Inputs!$C$38*SIN(2*PI()*(A156)/Inputs!$C$39)*SIN(2*PI()*(Inputs!$C$6)/Inputs!$C$40)+-Inputs!$C$41*EXP(-(((Inputs!$C$6)-Inputs!$C$43)^2)/(2*Inputs!$C$44^2))*EXP(-(((A156)-Inputs!$C$42)^2)/(2*Inputs!$C$45^2))+Inputs!$C$48*(0.7*(0.45*SIN(2*PI()*(((A156)/Inputs!$C$49)+Inputs!$C$47*0.137))+0.35*COS(2*PI()*(((Inputs!$C$6)/Inputs!$C$50)+Inputs!$C$47*0.173))+0.2*SIN(2*PI()*(((A156)+(Inputs!$C$6))/(0.5*(Inputs!$C$49+Inputs!$C$50))+Inputs!$C$47*0.097)))+0.3*(2*((SIN(((A156)*12.9898+(Inputs!$C$6)*78.233+Inputs!$C$47*37.719))*43758.5453)-INT((SIN(((A156)*12.9898+(Inputs!$C$6)*78.233+Inputs!$C$47*37.719))*43758.5453)))-1)))</f>
        <v/>
      </c>
      <c r="Z156" s="9">
        <f>B156-X156/1000</f>
        <v/>
      </c>
      <c r="AA156" s="9">
        <f>SQRT((Inputs!$C$52+B156)^2+(Inputs!$C$52+Y156/1000)^2-2*(Inputs!$C$52+B156)*(Inputs!$C$52+Y156/1000)*COS(SQRT(A156^2+Inputs!$C$6^2)/Inputs!$C$52))</f>
        <v/>
      </c>
      <c r="AB156" s="9">
        <f>(AA156-Z156)*1000</f>
        <v/>
      </c>
      <c r="AC156" s="9">
        <f>AB156/Inputs!$C$12</f>
        <v/>
      </c>
      <c r="AD156" s="9">
        <f>2*AB156/Inputs!$C$21*1000000</f>
        <v/>
      </c>
      <c r="AE156" s="9">
        <f>DEGREES(ATAN(H156/(B156-Y156/1000)))</f>
        <v/>
      </c>
      <c r="AF156" s="9">
        <f>DEGREES((2*PI()/Inputs!$C$13)*Inputs!$C$15*SIN(RADIANS(AE156)))</f>
        <v/>
      </c>
      <c r="AG156" s="9">
        <f>(Z156/AA156)^4</f>
        <v/>
      </c>
      <c r="AH156" s="9">
        <f>10*LOG10(AG156)</f>
        <v/>
      </c>
      <c r="AI156" s="9">
        <f>AC156-F156</f>
        <v/>
      </c>
      <c r="AJ156" s="9">
        <f>AD156-G156</f>
        <v/>
      </c>
      <c r="AK156" s="9">
        <f>Y156-X156</f>
        <v/>
      </c>
      <c r="AL156" s="9">
        <f>1000*(AA157-AA155)/(A157-A155)*Inputs!$C$11</f>
        <v/>
      </c>
      <c r="AM156" s="9">
        <f>-2*AL156/Inputs!$C$13</f>
        <v/>
      </c>
      <c r="AN156" s="9">
        <f>-2*AL156/Inputs!$C$14</f>
        <v/>
      </c>
      <c r="AO156" s="9">
        <f>ABS(AM156)</f>
        <v/>
      </c>
      <c r="AP156" s="9">
        <f>ABS(AN156)</f>
        <v/>
      </c>
      <c r="AQ156" s="9">
        <f>IF(OR(Inputs!$C$27=TRUE,Inputs!$C$27="TRUE",Inputs!$C$27=1),Inputs!$C$46/Inputs!$C$12,0)</f>
        <v/>
      </c>
      <c r="AR156" s="9">
        <f>AC156-AQ156</f>
        <v/>
      </c>
      <c r="AS156" s="9">
        <f>AC156+AQ156</f>
        <v/>
      </c>
    </row>
    <row r="157">
      <c r="A157" s="9">
        <f>Inputs!$C$7+155*(Inputs!$C$8-Inputs!$C$7)/240</f>
        <v/>
      </c>
      <c r="B157" s="9">
        <f>Inputs!$C$5+Inputs!$C$9*(A157/Inputs!$C$10)^2</f>
        <v/>
      </c>
      <c r="C157" s="9">
        <f>B157</f>
        <v/>
      </c>
      <c r="D157" s="9">
        <f>SQRT((Inputs!$C$52+B157)^2+Inputs!$C$52^2-2*(Inputs!$C$52+B157)*Inputs!$C$52*COS(SQRT(A157^2+Inputs!$C$6^2)/Inputs!$C$52))</f>
        <v/>
      </c>
      <c r="E157" s="9">
        <f>(D157-C157)*1000</f>
        <v/>
      </c>
      <c r="F157" s="9">
        <f>E157/Inputs!$C$12</f>
        <v/>
      </c>
      <c r="G157" s="9">
        <f>2*E157/Inputs!$C$21*1000000</f>
        <v/>
      </c>
      <c r="H157" s="9">
        <f>SQRT(A157^2+Inputs!$C$6^2)</f>
        <v/>
      </c>
      <c r="I157" s="9">
        <f>DEGREES(ATAN(H157/B157))</f>
        <v/>
      </c>
      <c r="J157" s="9">
        <f>DEGREES((2*PI()/Inputs!$C$13)*Inputs!$C$15*SIN(RADIANS(I157)))</f>
        <v/>
      </c>
      <c r="K157" s="9">
        <f>(C157/D157)^4</f>
        <v/>
      </c>
      <c r="L157" s="9">
        <f>10*LOG10(K157)</f>
        <v/>
      </c>
      <c r="M157" s="9">
        <f>2*(Inputs!$C$9/(Inputs!$C$10^2))*A157</f>
        <v/>
      </c>
      <c r="N157" s="9">
        <f>M157*Inputs!$C$11</f>
        <v/>
      </c>
      <c r="O157" s="9">
        <f>1000*(D158-D156)/(A158-A156)*Inputs!$C$11</f>
        <v/>
      </c>
      <c r="P157" s="9">
        <f>-2*O157/Inputs!$C$13</f>
        <v/>
      </c>
      <c r="Q157" s="9">
        <f>-2*O157/Inputs!$C$14</f>
        <v/>
      </c>
      <c r="R157" s="9">
        <f>F157-Inputs!$C$16/2</f>
        <v/>
      </c>
      <c r="S157" s="9">
        <f>F157+Inputs!$C$16/2</f>
        <v/>
      </c>
      <c r="T157" s="9">
        <f>F157-Inputs!$C$17/2</f>
        <v/>
      </c>
      <c r="U157" s="9">
        <f>F157+Inputs!$C$17/2</f>
        <v/>
      </c>
      <c r="V157" s="9">
        <f>ABS(P157)</f>
        <v/>
      </c>
      <c r="W157" s="9">
        <f>ABS(Q157)</f>
        <v/>
      </c>
      <c r="X157" s="9">
        <f>IF(OR(Inputs!$C$27=TRUE,Inputs!$C$27="TRUE",Inputs!$C$27=1),1,0)*(Inputs!$C$51*(115*EXP(-(((0)-25)^2)/(4.5^2))+70*EXP(-(((0)+38)^2)/(7^2))*(0.55+0.45*SIN(2*PI()*(A157)/45))+24*SIN(2*PI()*(0)/9+(A157)/18)*EXP(-(((0)+5)^2)/(22^2))+18*SIN(2*PI()*(A157)/70))+Inputs!$C$28*EXP(-(((A157)-Inputs!$C$29)^2)/(2*Inputs!$C$31^2))*EXP(-(((0)-Inputs!$C$30)^2)/(2*Inputs!$C$32^2))+-Inputs!$C$33*EXP(-(((((A157)-Inputs!$C$34)^2)+(((0)-Inputs!$C$35)^2))/(2*Inputs!$C$36^2)))+Inputs!$C$37*(0.55*SIN(2*PI()*(A157)/Inputs!$C$39)+0.35*COS(2*PI()*(0)/Inputs!$C$40)+0.2*SIN(2*PI()*((A157)+(0))/(0.5*(Inputs!$C$39+Inputs!$C$40))))+Inputs!$C$38*SIN(2*PI()*(A157)/Inputs!$C$39)*SIN(2*PI()*(0)/Inputs!$C$40)+-Inputs!$C$41*EXP(-(((0)-Inputs!$C$43)^2)/(2*Inputs!$C$44^2))*EXP(-(((A157)-Inputs!$C$42)^2)/(2*Inputs!$C$45^2))+Inputs!$C$48*(0.7*(0.45*SIN(2*PI()*(((A157)/Inputs!$C$49)+Inputs!$C$47*0.137))+0.35*COS(2*PI()*(((0)/Inputs!$C$50)+Inputs!$C$47*0.173))+0.2*SIN(2*PI()*(((A157)+(0))/(0.5*(Inputs!$C$49+Inputs!$C$50))+Inputs!$C$47*0.097)))+0.3*(2*((SIN(((A157)*12.9898+(0)*78.233+Inputs!$C$47*37.719))*43758.5453)-INT((SIN(((A157)*12.9898+(0)*78.233+Inputs!$C$47*37.719))*43758.5453)))-1)))</f>
        <v/>
      </c>
      <c r="Y157" s="9">
        <f>IF(OR(Inputs!$C$27=TRUE,Inputs!$C$27="TRUE",Inputs!$C$27=1),1,0)*(Inputs!$C$51*(115*EXP(-(((Inputs!$C$6)-25)^2)/(4.5^2))+70*EXP(-(((Inputs!$C$6)+38)^2)/(7^2))*(0.55+0.45*SIN(2*PI()*(A157)/45))+24*SIN(2*PI()*(Inputs!$C$6)/9+(A157)/18)*EXP(-(((Inputs!$C$6)+5)^2)/(22^2))+18*SIN(2*PI()*(A157)/70))+Inputs!$C$28*EXP(-(((A157)-Inputs!$C$29)^2)/(2*Inputs!$C$31^2))*EXP(-(((Inputs!$C$6)-Inputs!$C$30)^2)/(2*Inputs!$C$32^2))+-Inputs!$C$33*EXP(-(((((A157)-Inputs!$C$34)^2)+(((Inputs!$C$6)-Inputs!$C$35)^2))/(2*Inputs!$C$36^2)))+Inputs!$C$37*(0.55*SIN(2*PI()*(A157)/Inputs!$C$39)+0.35*COS(2*PI()*(Inputs!$C$6)/Inputs!$C$40)+0.2*SIN(2*PI()*((A157)+(Inputs!$C$6))/(0.5*(Inputs!$C$39+Inputs!$C$40))))+Inputs!$C$38*SIN(2*PI()*(A157)/Inputs!$C$39)*SIN(2*PI()*(Inputs!$C$6)/Inputs!$C$40)+-Inputs!$C$41*EXP(-(((Inputs!$C$6)-Inputs!$C$43)^2)/(2*Inputs!$C$44^2))*EXP(-(((A157)-Inputs!$C$42)^2)/(2*Inputs!$C$45^2))+Inputs!$C$48*(0.7*(0.45*SIN(2*PI()*(((A157)/Inputs!$C$49)+Inputs!$C$47*0.137))+0.35*COS(2*PI()*(((Inputs!$C$6)/Inputs!$C$50)+Inputs!$C$47*0.173))+0.2*SIN(2*PI()*(((A157)+(Inputs!$C$6))/(0.5*(Inputs!$C$49+Inputs!$C$50))+Inputs!$C$47*0.097)))+0.3*(2*((SIN(((A157)*12.9898+(Inputs!$C$6)*78.233+Inputs!$C$47*37.719))*43758.5453)-INT((SIN(((A157)*12.9898+(Inputs!$C$6)*78.233+Inputs!$C$47*37.719))*43758.5453)))-1)))</f>
        <v/>
      </c>
      <c r="Z157" s="9">
        <f>B157-X157/1000</f>
        <v/>
      </c>
      <c r="AA157" s="9">
        <f>SQRT((Inputs!$C$52+B157)^2+(Inputs!$C$52+Y157/1000)^2-2*(Inputs!$C$52+B157)*(Inputs!$C$52+Y157/1000)*COS(SQRT(A157^2+Inputs!$C$6^2)/Inputs!$C$52))</f>
        <v/>
      </c>
      <c r="AB157" s="9">
        <f>(AA157-Z157)*1000</f>
        <v/>
      </c>
      <c r="AC157" s="9">
        <f>AB157/Inputs!$C$12</f>
        <v/>
      </c>
      <c r="AD157" s="9">
        <f>2*AB157/Inputs!$C$21*1000000</f>
        <v/>
      </c>
      <c r="AE157" s="9">
        <f>DEGREES(ATAN(H157/(B157-Y157/1000)))</f>
        <v/>
      </c>
      <c r="AF157" s="9">
        <f>DEGREES((2*PI()/Inputs!$C$13)*Inputs!$C$15*SIN(RADIANS(AE157)))</f>
        <v/>
      </c>
      <c r="AG157" s="9">
        <f>(Z157/AA157)^4</f>
        <v/>
      </c>
      <c r="AH157" s="9">
        <f>10*LOG10(AG157)</f>
        <v/>
      </c>
      <c r="AI157" s="9">
        <f>AC157-F157</f>
        <v/>
      </c>
      <c r="AJ157" s="9">
        <f>AD157-G157</f>
        <v/>
      </c>
      <c r="AK157" s="9">
        <f>Y157-X157</f>
        <v/>
      </c>
      <c r="AL157" s="9">
        <f>1000*(AA158-AA156)/(A158-A156)*Inputs!$C$11</f>
        <v/>
      </c>
      <c r="AM157" s="9">
        <f>-2*AL157/Inputs!$C$13</f>
        <v/>
      </c>
      <c r="AN157" s="9">
        <f>-2*AL157/Inputs!$C$14</f>
        <v/>
      </c>
      <c r="AO157" s="9">
        <f>ABS(AM157)</f>
        <v/>
      </c>
      <c r="AP157" s="9">
        <f>ABS(AN157)</f>
        <v/>
      </c>
      <c r="AQ157" s="9">
        <f>IF(OR(Inputs!$C$27=TRUE,Inputs!$C$27="TRUE",Inputs!$C$27=1),Inputs!$C$46/Inputs!$C$12,0)</f>
        <v/>
      </c>
      <c r="AR157" s="9">
        <f>AC157-AQ157</f>
        <v/>
      </c>
      <c r="AS157" s="9">
        <f>AC157+AQ157</f>
        <v/>
      </c>
    </row>
    <row r="158">
      <c r="A158" s="9">
        <f>Inputs!$C$7+156*(Inputs!$C$8-Inputs!$C$7)/240</f>
        <v/>
      </c>
      <c r="B158" s="9">
        <f>Inputs!$C$5+Inputs!$C$9*(A158/Inputs!$C$10)^2</f>
        <v/>
      </c>
      <c r="C158" s="9">
        <f>B158</f>
        <v/>
      </c>
      <c r="D158" s="9">
        <f>SQRT((Inputs!$C$52+B158)^2+Inputs!$C$52^2-2*(Inputs!$C$52+B158)*Inputs!$C$52*COS(SQRT(A158^2+Inputs!$C$6^2)/Inputs!$C$52))</f>
        <v/>
      </c>
      <c r="E158" s="9">
        <f>(D158-C158)*1000</f>
        <v/>
      </c>
      <c r="F158" s="9">
        <f>E158/Inputs!$C$12</f>
        <v/>
      </c>
      <c r="G158" s="9">
        <f>2*E158/Inputs!$C$21*1000000</f>
        <v/>
      </c>
      <c r="H158" s="9">
        <f>SQRT(A158^2+Inputs!$C$6^2)</f>
        <v/>
      </c>
      <c r="I158" s="9">
        <f>DEGREES(ATAN(H158/B158))</f>
        <v/>
      </c>
      <c r="J158" s="9">
        <f>DEGREES((2*PI()/Inputs!$C$13)*Inputs!$C$15*SIN(RADIANS(I158)))</f>
        <v/>
      </c>
      <c r="K158" s="9">
        <f>(C158/D158)^4</f>
        <v/>
      </c>
      <c r="L158" s="9">
        <f>10*LOG10(K158)</f>
        <v/>
      </c>
      <c r="M158" s="9">
        <f>2*(Inputs!$C$9/(Inputs!$C$10^2))*A158</f>
        <v/>
      </c>
      <c r="N158" s="9">
        <f>M158*Inputs!$C$11</f>
        <v/>
      </c>
      <c r="O158" s="9">
        <f>1000*(D159-D157)/(A159-A157)*Inputs!$C$11</f>
        <v/>
      </c>
      <c r="P158" s="9">
        <f>-2*O158/Inputs!$C$13</f>
        <v/>
      </c>
      <c r="Q158" s="9">
        <f>-2*O158/Inputs!$C$14</f>
        <v/>
      </c>
      <c r="R158" s="9">
        <f>F158-Inputs!$C$16/2</f>
        <v/>
      </c>
      <c r="S158" s="9">
        <f>F158+Inputs!$C$16/2</f>
        <v/>
      </c>
      <c r="T158" s="9">
        <f>F158-Inputs!$C$17/2</f>
        <v/>
      </c>
      <c r="U158" s="9">
        <f>F158+Inputs!$C$17/2</f>
        <v/>
      </c>
      <c r="V158" s="9">
        <f>ABS(P158)</f>
        <v/>
      </c>
      <c r="W158" s="9">
        <f>ABS(Q158)</f>
        <v/>
      </c>
      <c r="X158" s="9">
        <f>IF(OR(Inputs!$C$27=TRUE,Inputs!$C$27="TRUE",Inputs!$C$27=1),1,0)*(Inputs!$C$51*(115*EXP(-(((0)-25)^2)/(4.5^2))+70*EXP(-(((0)+38)^2)/(7^2))*(0.55+0.45*SIN(2*PI()*(A158)/45))+24*SIN(2*PI()*(0)/9+(A158)/18)*EXP(-(((0)+5)^2)/(22^2))+18*SIN(2*PI()*(A158)/70))+Inputs!$C$28*EXP(-(((A158)-Inputs!$C$29)^2)/(2*Inputs!$C$31^2))*EXP(-(((0)-Inputs!$C$30)^2)/(2*Inputs!$C$32^2))+-Inputs!$C$33*EXP(-(((((A158)-Inputs!$C$34)^2)+(((0)-Inputs!$C$35)^2))/(2*Inputs!$C$36^2)))+Inputs!$C$37*(0.55*SIN(2*PI()*(A158)/Inputs!$C$39)+0.35*COS(2*PI()*(0)/Inputs!$C$40)+0.2*SIN(2*PI()*((A158)+(0))/(0.5*(Inputs!$C$39+Inputs!$C$40))))+Inputs!$C$38*SIN(2*PI()*(A158)/Inputs!$C$39)*SIN(2*PI()*(0)/Inputs!$C$40)+-Inputs!$C$41*EXP(-(((0)-Inputs!$C$43)^2)/(2*Inputs!$C$44^2))*EXP(-(((A158)-Inputs!$C$42)^2)/(2*Inputs!$C$45^2))+Inputs!$C$48*(0.7*(0.45*SIN(2*PI()*(((A158)/Inputs!$C$49)+Inputs!$C$47*0.137))+0.35*COS(2*PI()*(((0)/Inputs!$C$50)+Inputs!$C$47*0.173))+0.2*SIN(2*PI()*(((A158)+(0))/(0.5*(Inputs!$C$49+Inputs!$C$50))+Inputs!$C$47*0.097)))+0.3*(2*((SIN(((A158)*12.9898+(0)*78.233+Inputs!$C$47*37.719))*43758.5453)-INT((SIN(((A158)*12.9898+(0)*78.233+Inputs!$C$47*37.719))*43758.5453)))-1)))</f>
        <v/>
      </c>
      <c r="Y158" s="9">
        <f>IF(OR(Inputs!$C$27=TRUE,Inputs!$C$27="TRUE",Inputs!$C$27=1),1,0)*(Inputs!$C$51*(115*EXP(-(((Inputs!$C$6)-25)^2)/(4.5^2))+70*EXP(-(((Inputs!$C$6)+38)^2)/(7^2))*(0.55+0.45*SIN(2*PI()*(A158)/45))+24*SIN(2*PI()*(Inputs!$C$6)/9+(A158)/18)*EXP(-(((Inputs!$C$6)+5)^2)/(22^2))+18*SIN(2*PI()*(A158)/70))+Inputs!$C$28*EXP(-(((A158)-Inputs!$C$29)^2)/(2*Inputs!$C$31^2))*EXP(-(((Inputs!$C$6)-Inputs!$C$30)^2)/(2*Inputs!$C$32^2))+-Inputs!$C$33*EXP(-(((((A158)-Inputs!$C$34)^2)+(((Inputs!$C$6)-Inputs!$C$35)^2))/(2*Inputs!$C$36^2)))+Inputs!$C$37*(0.55*SIN(2*PI()*(A158)/Inputs!$C$39)+0.35*COS(2*PI()*(Inputs!$C$6)/Inputs!$C$40)+0.2*SIN(2*PI()*((A158)+(Inputs!$C$6))/(0.5*(Inputs!$C$39+Inputs!$C$40))))+Inputs!$C$38*SIN(2*PI()*(A158)/Inputs!$C$39)*SIN(2*PI()*(Inputs!$C$6)/Inputs!$C$40)+-Inputs!$C$41*EXP(-(((Inputs!$C$6)-Inputs!$C$43)^2)/(2*Inputs!$C$44^2))*EXP(-(((A158)-Inputs!$C$42)^2)/(2*Inputs!$C$45^2))+Inputs!$C$48*(0.7*(0.45*SIN(2*PI()*(((A158)/Inputs!$C$49)+Inputs!$C$47*0.137))+0.35*COS(2*PI()*(((Inputs!$C$6)/Inputs!$C$50)+Inputs!$C$47*0.173))+0.2*SIN(2*PI()*(((A158)+(Inputs!$C$6))/(0.5*(Inputs!$C$49+Inputs!$C$50))+Inputs!$C$47*0.097)))+0.3*(2*((SIN(((A158)*12.9898+(Inputs!$C$6)*78.233+Inputs!$C$47*37.719))*43758.5453)-INT((SIN(((A158)*12.9898+(Inputs!$C$6)*78.233+Inputs!$C$47*37.719))*43758.5453)))-1)))</f>
        <v/>
      </c>
      <c r="Z158" s="9">
        <f>B158-X158/1000</f>
        <v/>
      </c>
      <c r="AA158" s="9">
        <f>SQRT((Inputs!$C$52+B158)^2+(Inputs!$C$52+Y158/1000)^2-2*(Inputs!$C$52+B158)*(Inputs!$C$52+Y158/1000)*COS(SQRT(A158^2+Inputs!$C$6^2)/Inputs!$C$52))</f>
        <v/>
      </c>
      <c r="AB158" s="9">
        <f>(AA158-Z158)*1000</f>
        <v/>
      </c>
      <c r="AC158" s="9">
        <f>AB158/Inputs!$C$12</f>
        <v/>
      </c>
      <c r="AD158" s="9">
        <f>2*AB158/Inputs!$C$21*1000000</f>
        <v/>
      </c>
      <c r="AE158" s="9">
        <f>DEGREES(ATAN(H158/(B158-Y158/1000)))</f>
        <v/>
      </c>
      <c r="AF158" s="9">
        <f>DEGREES((2*PI()/Inputs!$C$13)*Inputs!$C$15*SIN(RADIANS(AE158)))</f>
        <v/>
      </c>
      <c r="AG158" s="9">
        <f>(Z158/AA158)^4</f>
        <v/>
      </c>
      <c r="AH158" s="9">
        <f>10*LOG10(AG158)</f>
        <v/>
      </c>
      <c r="AI158" s="9">
        <f>AC158-F158</f>
        <v/>
      </c>
      <c r="AJ158" s="9">
        <f>AD158-G158</f>
        <v/>
      </c>
      <c r="AK158" s="9">
        <f>Y158-X158</f>
        <v/>
      </c>
      <c r="AL158" s="9">
        <f>1000*(AA159-AA157)/(A159-A157)*Inputs!$C$11</f>
        <v/>
      </c>
      <c r="AM158" s="9">
        <f>-2*AL158/Inputs!$C$13</f>
        <v/>
      </c>
      <c r="AN158" s="9">
        <f>-2*AL158/Inputs!$C$14</f>
        <v/>
      </c>
      <c r="AO158" s="9">
        <f>ABS(AM158)</f>
        <v/>
      </c>
      <c r="AP158" s="9">
        <f>ABS(AN158)</f>
        <v/>
      </c>
      <c r="AQ158" s="9">
        <f>IF(OR(Inputs!$C$27=TRUE,Inputs!$C$27="TRUE",Inputs!$C$27=1),Inputs!$C$46/Inputs!$C$12,0)</f>
        <v/>
      </c>
      <c r="AR158" s="9">
        <f>AC158-AQ158</f>
        <v/>
      </c>
      <c r="AS158" s="9">
        <f>AC158+AQ158</f>
        <v/>
      </c>
    </row>
    <row r="159">
      <c r="A159" s="9">
        <f>Inputs!$C$7+157*(Inputs!$C$8-Inputs!$C$7)/240</f>
        <v/>
      </c>
      <c r="B159" s="9">
        <f>Inputs!$C$5+Inputs!$C$9*(A159/Inputs!$C$10)^2</f>
        <v/>
      </c>
      <c r="C159" s="9">
        <f>B159</f>
        <v/>
      </c>
      <c r="D159" s="9">
        <f>SQRT((Inputs!$C$52+B159)^2+Inputs!$C$52^2-2*(Inputs!$C$52+B159)*Inputs!$C$52*COS(SQRT(A159^2+Inputs!$C$6^2)/Inputs!$C$52))</f>
        <v/>
      </c>
      <c r="E159" s="9">
        <f>(D159-C159)*1000</f>
        <v/>
      </c>
      <c r="F159" s="9">
        <f>E159/Inputs!$C$12</f>
        <v/>
      </c>
      <c r="G159" s="9">
        <f>2*E159/Inputs!$C$21*1000000</f>
        <v/>
      </c>
      <c r="H159" s="9">
        <f>SQRT(A159^2+Inputs!$C$6^2)</f>
        <v/>
      </c>
      <c r="I159" s="9">
        <f>DEGREES(ATAN(H159/B159))</f>
        <v/>
      </c>
      <c r="J159" s="9">
        <f>DEGREES((2*PI()/Inputs!$C$13)*Inputs!$C$15*SIN(RADIANS(I159)))</f>
        <v/>
      </c>
      <c r="K159" s="9">
        <f>(C159/D159)^4</f>
        <v/>
      </c>
      <c r="L159" s="9">
        <f>10*LOG10(K159)</f>
        <v/>
      </c>
      <c r="M159" s="9">
        <f>2*(Inputs!$C$9/(Inputs!$C$10^2))*A159</f>
        <v/>
      </c>
      <c r="N159" s="9">
        <f>M159*Inputs!$C$11</f>
        <v/>
      </c>
      <c r="O159" s="9">
        <f>1000*(D160-D158)/(A160-A158)*Inputs!$C$11</f>
        <v/>
      </c>
      <c r="P159" s="9">
        <f>-2*O159/Inputs!$C$13</f>
        <v/>
      </c>
      <c r="Q159" s="9">
        <f>-2*O159/Inputs!$C$14</f>
        <v/>
      </c>
      <c r="R159" s="9">
        <f>F159-Inputs!$C$16/2</f>
        <v/>
      </c>
      <c r="S159" s="9">
        <f>F159+Inputs!$C$16/2</f>
        <v/>
      </c>
      <c r="T159" s="9">
        <f>F159-Inputs!$C$17/2</f>
        <v/>
      </c>
      <c r="U159" s="9">
        <f>F159+Inputs!$C$17/2</f>
        <v/>
      </c>
      <c r="V159" s="9">
        <f>ABS(P159)</f>
        <v/>
      </c>
      <c r="W159" s="9">
        <f>ABS(Q159)</f>
        <v/>
      </c>
      <c r="X159" s="9">
        <f>IF(OR(Inputs!$C$27=TRUE,Inputs!$C$27="TRUE",Inputs!$C$27=1),1,0)*(Inputs!$C$51*(115*EXP(-(((0)-25)^2)/(4.5^2))+70*EXP(-(((0)+38)^2)/(7^2))*(0.55+0.45*SIN(2*PI()*(A159)/45))+24*SIN(2*PI()*(0)/9+(A159)/18)*EXP(-(((0)+5)^2)/(22^2))+18*SIN(2*PI()*(A159)/70))+Inputs!$C$28*EXP(-(((A159)-Inputs!$C$29)^2)/(2*Inputs!$C$31^2))*EXP(-(((0)-Inputs!$C$30)^2)/(2*Inputs!$C$32^2))+-Inputs!$C$33*EXP(-(((((A159)-Inputs!$C$34)^2)+(((0)-Inputs!$C$35)^2))/(2*Inputs!$C$36^2)))+Inputs!$C$37*(0.55*SIN(2*PI()*(A159)/Inputs!$C$39)+0.35*COS(2*PI()*(0)/Inputs!$C$40)+0.2*SIN(2*PI()*((A159)+(0))/(0.5*(Inputs!$C$39+Inputs!$C$40))))+Inputs!$C$38*SIN(2*PI()*(A159)/Inputs!$C$39)*SIN(2*PI()*(0)/Inputs!$C$40)+-Inputs!$C$41*EXP(-(((0)-Inputs!$C$43)^2)/(2*Inputs!$C$44^2))*EXP(-(((A159)-Inputs!$C$42)^2)/(2*Inputs!$C$45^2))+Inputs!$C$48*(0.7*(0.45*SIN(2*PI()*(((A159)/Inputs!$C$49)+Inputs!$C$47*0.137))+0.35*COS(2*PI()*(((0)/Inputs!$C$50)+Inputs!$C$47*0.173))+0.2*SIN(2*PI()*(((A159)+(0))/(0.5*(Inputs!$C$49+Inputs!$C$50))+Inputs!$C$47*0.097)))+0.3*(2*((SIN(((A159)*12.9898+(0)*78.233+Inputs!$C$47*37.719))*43758.5453)-INT((SIN(((A159)*12.9898+(0)*78.233+Inputs!$C$47*37.719))*43758.5453)))-1)))</f>
        <v/>
      </c>
      <c r="Y159" s="9">
        <f>IF(OR(Inputs!$C$27=TRUE,Inputs!$C$27="TRUE",Inputs!$C$27=1),1,0)*(Inputs!$C$51*(115*EXP(-(((Inputs!$C$6)-25)^2)/(4.5^2))+70*EXP(-(((Inputs!$C$6)+38)^2)/(7^2))*(0.55+0.45*SIN(2*PI()*(A159)/45))+24*SIN(2*PI()*(Inputs!$C$6)/9+(A159)/18)*EXP(-(((Inputs!$C$6)+5)^2)/(22^2))+18*SIN(2*PI()*(A159)/70))+Inputs!$C$28*EXP(-(((A159)-Inputs!$C$29)^2)/(2*Inputs!$C$31^2))*EXP(-(((Inputs!$C$6)-Inputs!$C$30)^2)/(2*Inputs!$C$32^2))+-Inputs!$C$33*EXP(-(((((A159)-Inputs!$C$34)^2)+(((Inputs!$C$6)-Inputs!$C$35)^2))/(2*Inputs!$C$36^2)))+Inputs!$C$37*(0.55*SIN(2*PI()*(A159)/Inputs!$C$39)+0.35*COS(2*PI()*(Inputs!$C$6)/Inputs!$C$40)+0.2*SIN(2*PI()*((A159)+(Inputs!$C$6))/(0.5*(Inputs!$C$39+Inputs!$C$40))))+Inputs!$C$38*SIN(2*PI()*(A159)/Inputs!$C$39)*SIN(2*PI()*(Inputs!$C$6)/Inputs!$C$40)+-Inputs!$C$41*EXP(-(((Inputs!$C$6)-Inputs!$C$43)^2)/(2*Inputs!$C$44^2))*EXP(-(((A159)-Inputs!$C$42)^2)/(2*Inputs!$C$45^2))+Inputs!$C$48*(0.7*(0.45*SIN(2*PI()*(((A159)/Inputs!$C$49)+Inputs!$C$47*0.137))+0.35*COS(2*PI()*(((Inputs!$C$6)/Inputs!$C$50)+Inputs!$C$47*0.173))+0.2*SIN(2*PI()*(((A159)+(Inputs!$C$6))/(0.5*(Inputs!$C$49+Inputs!$C$50))+Inputs!$C$47*0.097)))+0.3*(2*((SIN(((A159)*12.9898+(Inputs!$C$6)*78.233+Inputs!$C$47*37.719))*43758.5453)-INT((SIN(((A159)*12.9898+(Inputs!$C$6)*78.233+Inputs!$C$47*37.719))*43758.5453)))-1)))</f>
        <v/>
      </c>
      <c r="Z159" s="9">
        <f>B159-X159/1000</f>
        <v/>
      </c>
      <c r="AA159" s="9">
        <f>SQRT((Inputs!$C$52+B159)^2+(Inputs!$C$52+Y159/1000)^2-2*(Inputs!$C$52+B159)*(Inputs!$C$52+Y159/1000)*COS(SQRT(A159^2+Inputs!$C$6^2)/Inputs!$C$52))</f>
        <v/>
      </c>
      <c r="AB159" s="9">
        <f>(AA159-Z159)*1000</f>
        <v/>
      </c>
      <c r="AC159" s="9">
        <f>AB159/Inputs!$C$12</f>
        <v/>
      </c>
      <c r="AD159" s="9">
        <f>2*AB159/Inputs!$C$21*1000000</f>
        <v/>
      </c>
      <c r="AE159" s="9">
        <f>DEGREES(ATAN(H159/(B159-Y159/1000)))</f>
        <v/>
      </c>
      <c r="AF159" s="9">
        <f>DEGREES((2*PI()/Inputs!$C$13)*Inputs!$C$15*SIN(RADIANS(AE159)))</f>
        <v/>
      </c>
      <c r="AG159" s="9">
        <f>(Z159/AA159)^4</f>
        <v/>
      </c>
      <c r="AH159" s="9">
        <f>10*LOG10(AG159)</f>
        <v/>
      </c>
      <c r="AI159" s="9">
        <f>AC159-F159</f>
        <v/>
      </c>
      <c r="AJ159" s="9">
        <f>AD159-G159</f>
        <v/>
      </c>
      <c r="AK159" s="9">
        <f>Y159-X159</f>
        <v/>
      </c>
      <c r="AL159" s="9">
        <f>1000*(AA160-AA158)/(A160-A158)*Inputs!$C$11</f>
        <v/>
      </c>
      <c r="AM159" s="9">
        <f>-2*AL159/Inputs!$C$13</f>
        <v/>
      </c>
      <c r="AN159" s="9">
        <f>-2*AL159/Inputs!$C$14</f>
        <v/>
      </c>
      <c r="AO159" s="9">
        <f>ABS(AM159)</f>
        <v/>
      </c>
      <c r="AP159" s="9">
        <f>ABS(AN159)</f>
        <v/>
      </c>
      <c r="AQ159" s="9">
        <f>IF(OR(Inputs!$C$27=TRUE,Inputs!$C$27="TRUE",Inputs!$C$27=1),Inputs!$C$46/Inputs!$C$12,0)</f>
        <v/>
      </c>
      <c r="AR159" s="9">
        <f>AC159-AQ159</f>
        <v/>
      </c>
      <c r="AS159" s="9">
        <f>AC159+AQ159</f>
        <v/>
      </c>
    </row>
    <row r="160">
      <c r="A160" s="9">
        <f>Inputs!$C$7+158*(Inputs!$C$8-Inputs!$C$7)/240</f>
        <v/>
      </c>
      <c r="B160" s="9">
        <f>Inputs!$C$5+Inputs!$C$9*(A160/Inputs!$C$10)^2</f>
        <v/>
      </c>
      <c r="C160" s="9">
        <f>B160</f>
        <v/>
      </c>
      <c r="D160" s="9">
        <f>SQRT((Inputs!$C$52+B160)^2+Inputs!$C$52^2-2*(Inputs!$C$52+B160)*Inputs!$C$52*COS(SQRT(A160^2+Inputs!$C$6^2)/Inputs!$C$52))</f>
        <v/>
      </c>
      <c r="E160" s="9">
        <f>(D160-C160)*1000</f>
        <v/>
      </c>
      <c r="F160" s="9">
        <f>E160/Inputs!$C$12</f>
        <v/>
      </c>
      <c r="G160" s="9">
        <f>2*E160/Inputs!$C$21*1000000</f>
        <v/>
      </c>
      <c r="H160" s="9">
        <f>SQRT(A160^2+Inputs!$C$6^2)</f>
        <v/>
      </c>
      <c r="I160" s="9">
        <f>DEGREES(ATAN(H160/B160))</f>
        <v/>
      </c>
      <c r="J160" s="9">
        <f>DEGREES((2*PI()/Inputs!$C$13)*Inputs!$C$15*SIN(RADIANS(I160)))</f>
        <v/>
      </c>
      <c r="K160" s="9">
        <f>(C160/D160)^4</f>
        <v/>
      </c>
      <c r="L160" s="9">
        <f>10*LOG10(K160)</f>
        <v/>
      </c>
      <c r="M160" s="9">
        <f>2*(Inputs!$C$9/(Inputs!$C$10^2))*A160</f>
        <v/>
      </c>
      <c r="N160" s="9">
        <f>M160*Inputs!$C$11</f>
        <v/>
      </c>
      <c r="O160" s="9">
        <f>1000*(D161-D159)/(A161-A159)*Inputs!$C$11</f>
        <v/>
      </c>
      <c r="P160" s="9">
        <f>-2*O160/Inputs!$C$13</f>
        <v/>
      </c>
      <c r="Q160" s="9">
        <f>-2*O160/Inputs!$C$14</f>
        <v/>
      </c>
      <c r="R160" s="9">
        <f>F160-Inputs!$C$16/2</f>
        <v/>
      </c>
      <c r="S160" s="9">
        <f>F160+Inputs!$C$16/2</f>
        <v/>
      </c>
      <c r="T160" s="9">
        <f>F160-Inputs!$C$17/2</f>
        <v/>
      </c>
      <c r="U160" s="9">
        <f>F160+Inputs!$C$17/2</f>
        <v/>
      </c>
      <c r="V160" s="9">
        <f>ABS(P160)</f>
        <v/>
      </c>
      <c r="W160" s="9">
        <f>ABS(Q160)</f>
        <v/>
      </c>
      <c r="X160" s="9">
        <f>IF(OR(Inputs!$C$27=TRUE,Inputs!$C$27="TRUE",Inputs!$C$27=1),1,0)*(Inputs!$C$51*(115*EXP(-(((0)-25)^2)/(4.5^2))+70*EXP(-(((0)+38)^2)/(7^2))*(0.55+0.45*SIN(2*PI()*(A160)/45))+24*SIN(2*PI()*(0)/9+(A160)/18)*EXP(-(((0)+5)^2)/(22^2))+18*SIN(2*PI()*(A160)/70))+Inputs!$C$28*EXP(-(((A160)-Inputs!$C$29)^2)/(2*Inputs!$C$31^2))*EXP(-(((0)-Inputs!$C$30)^2)/(2*Inputs!$C$32^2))+-Inputs!$C$33*EXP(-(((((A160)-Inputs!$C$34)^2)+(((0)-Inputs!$C$35)^2))/(2*Inputs!$C$36^2)))+Inputs!$C$37*(0.55*SIN(2*PI()*(A160)/Inputs!$C$39)+0.35*COS(2*PI()*(0)/Inputs!$C$40)+0.2*SIN(2*PI()*((A160)+(0))/(0.5*(Inputs!$C$39+Inputs!$C$40))))+Inputs!$C$38*SIN(2*PI()*(A160)/Inputs!$C$39)*SIN(2*PI()*(0)/Inputs!$C$40)+-Inputs!$C$41*EXP(-(((0)-Inputs!$C$43)^2)/(2*Inputs!$C$44^2))*EXP(-(((A160)-Inputs!$C$42)^2)/(2*Inputs!$C$45^2))+Inputs!$C$48*(0.7*(0.45*SIN(2*PI()*(((A160)/Inputs!$C$49)+Inputs!$C$47*0.137))+0.35*COS(2*PI()*(((0)/Inputs!$C$50)+Inputs!$C$47*0.173))+0.2*SIN(2*PI()*(((A160)+(0))/(0.5*(Inputs!$C$49+Inputs!$C$50))+Inputs!$C$47*0.097)))+0.3*(2*((SIN(((A160)*12.9898+(0)*78.233+Inputs!$C$47*37.719))*43758.5453)-INT((SIN(((A160)*12.9898+(0)*78.233+Inputs!$C$47*37.719))*43758.5453)))-1)))</f>
        <v/>
      </c>
      <c r="Y160" s="9">
        <f>IF(OR(Inputs!$C$27=TRUE,Inputs!$C$27="TRUE",Inputs!$C$27=1),1,0)*(Inputs!$C$51*(115*EXP(-(((Inputs!$C$6)-25)^2)/(4.5^2))+70*EXP(-(((Inputs!$C$6)+38)^2)/(7^2))*(0.55+0.45*SIN(2*PI()*(A160)/45))+24*SIN(2*PI()*(Inputs!$C$6)/9+(A160)/18)*EXP(-(((Inputs!$C$6)+5)^2)/(22^2))+18*SIN(2*PI()*(A160)/70))+Inputs!$C$28*EXP(-(((A160)-Inputs!$C$29)^2)/(2*Inputs!$C$31^2))*EXP(-(((Inputs!$C$6)-Inputs!$C$30)^2)/(2*Inputs!$C$32^2))+-Inputs!$C$33*EXP(-(((((A160)-Inputs!$C$34)^2)+(((Inputs!$C$6)-Inputs!$C$35)^2))/(2*Inputs!$C$36^2)))+Inputs!$C$37*(0.55*SIN(2*PI()*(A160)/Inputs!$C$39)+0.35*COS(2*PI()*(Inputs!$C$6)/Inputs!$C$40)+0.2*SIN(2*PI()*((A160)+(Inputs!$C$6))/(0.5*(Inputs!$C$39+Inputs!$C$40))))+Inputs!$C$38*SIN(2*PI()*(A160)/Inputs!$C$39)*SIN(2*PI()*(Inputs!$C$6)/Inputs!$C$40)+-Inputs!$C$41*EXP(-(((Inputs!$C$6)-Inputs!$C$43)^2)/(2*Inputs!$C$44^2))*EXP(-(((A160)-Inputs!$C$42)^2)/(2*Inputs!$C$45^2))+Inputs!$C$48*(0.7*(0.45*SIN(2*PI()*(((A160)/Inputs!$C$49)+Inputs!$C$47*0.137))+0.35*COS(2*PI()*(((Inputs!$C$6)/Inputs!$C$50)+Inputs!$C$47*0.173))+0.2*SIN(2*PI()*(((A160)+(Inputs!$C$6))/(0.5*(Inputs!$C$49+Inputs!$C$50))+Inputs!$C$47*0.097)))+0.3*(2*((SIN(((A160)*12.9898+(Inputs!$C$6)*78.233+Inputs!$C$47*37.719))*43758.5453)-INT((SIN(((A160)*12.9898+(Inputs!$C$6)*78.233+Inputs!$C$47*37.719))*43758.5453)))-1)))</f>
        <v/>
      </c>
      <c r="Z160" s="9">
        <f>B160-X160/1000</f>
        <v/>
      </c>
      <c r="AA160" s="9">
        <f>SQRT((Inputs!$C$52+B160)^2+(Inputs!$C$52+Y160/1000)^2-2*(Inputs!$C$52+B160)*(Inputs!$C$52+Y160/1000)*COS(SQRT(A160^2+Inputs!$C$6^2)/Inputs!$C$52))</f>
        <v/>
      </c>
      <c r="AB160" s="9">
        <f>(AA160-Z160)*1000</f>
        <v/>
      </c>
      <c r="AC160" s="9">
        <f>AB160/Inputs!$C$12</f>
        <v/>
      </c>
      <c r="AD160" s="9">
        <f>2*AB160/Inputs!$C$21*1000000</f>
        <v/>
      </c>
      <c r="AE160" s="9">
        <f>DEGREES(ATAN(H160/(B160-Y160/1000)))</f>
        <v/>
      </c>
      <c r="AF160" s="9">
        <f>DEGREES((2*PI()/Inputs!$C$13)*Inputs!$C$15*SIN(RADIANS(AE160)))</f>
        <v/>
      </c>
      <c r="AG160" s="9">
        <f>(Z160/AA160)^4</f>
        <v/>
      </c>
      <c r="AH160" s="9">
        <f>10*LOG10(AG160)</f>
        <v/>
      </c>
      <c r="AI160" s="9">
        <f>AC160-F160</f>
        <v/>
      </c>
      <c r="AJ160" s="9">
        <f>AD160-G160</f>
        <v/>
      </c>
      <c r="AK160" s="9">
        <f>Y160-X160</f>
        <v/>
      </c>
      <c r="AL160" s="9">
        <f>1000*(AA161-AA159)/(A161-A159)*Inputs!$C$11</f>
        <v/>
      </c>
      <c r="AM160" s="9">
        <f>-2*AL160/Inputs!$C$13</f>
        <v/>
      </c>
      <c r="AN160" s="9">
        <f>-2*AL160/Inputs!$C$14</f>
        <v/>
      </c>
      <c r="AO160" s="9">
        <f>ABS(AM160)</f>
        <v/>
      </c>
      <c r="AP160" s="9">
        <f>ABS(AN160)</f>
        <v/>
      </c>
      <c r="AQ160" s="9">
        <f>IF(OR(Inputs!$C$27=TRUE,Inputs!$C$27="TRUE",Inputs!$C$27=1),Inputs!$C$46/Inputs!$C$12,0)</f>
        <v/>
      </c>
      <c r="AR160" s="9">
        <f>AC160-AQ160</f>
        <v/>
      </c>
      <c r="AS160" s="9">
        <f>AC160+AQ160</f>
        <v/>
      </c>
    </row>
    <row r="161">
      <c r="A161" s="9">
        <f>Inputs!$C$7+159*(Inputs!$C$8-Inputs!$C$7)/240</f>
        <v/>
      </c>
      <c r="B161" s="9">
        <f>Inputs!$C$5+Inputs!$C$9*(A161/Inputs!$C$10)^2</f>
        <v/>
      </c>
      <c r="C161" s="9">
        <f>B161</f>
        <v/>
      </c>
      <c r="D161" s="9">
        <f>SQRT((Inputs!$C$52+B161)^2+Inputs!$C$52^2-2*(Inputs!$C$52+B161)*Inputs!$C$52*COS(SQRT(A161^2+Inputs!$C$6^2)/Inputs!$C$52))</f>
        <v/>
      </c>
      <c r="E161" s="9">
        <f>(D161-C161)*1000</f>
        <v/>
      </c>
      <c r="F161" s="9">
        <f>E161/Inputs!$C$12</f>
        <v/>
      </c>
      <c r="G161" s="9">
        <f>2*E161/Inputs!$C$21*1000000</f>
        <v/>
      </c>
      <c r="H161" s="9">
        <f>SQRT(A161^2+Inputs!$C$6^2)</f>
        <v/>
      </c>
      <c r="I161" s="9">
        <f>DEGREES(ATAN(H161/B161))</f>
        <v/>
      </c>
      <c r="J161" s="9">
        <f>DEGREES((2*PI()/Inputs!$C$13)*Inputs!$C$15*SIN(RADIANS(I161)))</f>
        <v/>
      </c>
      <c r="K161" s="9">
        <f>(C161/D161)^4</f>
        <v/>
      </c>
      <c r="L161" s="9">
        <f>10*LOG10(K161)</f>
        <v/>
      </c>
      <c r="M161" s="9">
        <f>2*(Inputs!$C$9/(Inputs!$C$10^2))*A161</f>
        <v/>
      </c>
      <c r="N161" s="9">
        <f>M161*Inputs!$C$11</f>
        <v/>
      </c>
      <c r="O161" s="9">
        <f>1000*(D162-D160)/(A162-A160)*Inputs!$C$11</f>
        <v/>
      </c>
      <c r="P161" s="9">
        <f>-2*O161/Inputs!$C$13</f>
        <v/>
      </c>
      <c r="Q161" s="9">
        <f>-2*O161/Inputs!$C$14</f>
        <v/>
      </c>
      <c r="R161" s="9">
        <f>F161-Inputs!$C$16/2</f>
        <v/>
      </c>
      <c r="S161" s="9">
        <f>F161+Inputs!$C$16/2</f>
        <v/>
      </c>
      <c r="T161" s="9">
        <f>F161-Inputs!$C$17/2</f>
        <v/>
      </c>
      <c r="U161" s="9">
        <f>F161+Inputs!$C$17/2</f>
        <v/>
      </c>
      <c r="V161" s="9">
        <f>ABS(P161)</f>
        <v/>
      </c>
      <c r="W161" s="9">
        <f>ABS(Q161)</f>
        <v/>
      </c>
      <c r="X161" s="9">
        <f>IF(OR(Inputs!$C$27=TRUE,Inputs!$C$27="TRUE",Inputs!$C$27=1),1,0)*(Inputs!$C$51*(115*EXP(-(((0)-25)^2)/(4.5^2))+70*EXP(-(((0)+38)^2)/(7^2))*(0.55+0.45*SIN(2*PI()*(A161)/45))+24*SIN(2*PI()*(0)/9+(A161)/18)*EXP(-(((0)+5)^2)/(22^2))+18*SIN(2*PI()*(A161)/70))+Inputs!$C$28*EXP(-(((A161)-Inputs!$C$29)^2)/(2*Inputs!$C$31^2))*EXP(-(((0)-Inputs!$C$30)^2)/(2*Inputs!$C$32^2))+-Inputs!$C$33*EXP(-(((((A161)-Inputs!$C$34)^2)+(((0)-Inputs!$C$35)^2))/(2*Inputs!$C$36^2)))+Inputs!$C$37*(0.55*SIN(2*PI()*(A161)/Inputs!$C$39)+0.35*COS(2*PI()*(0)/Inputs!$C$40)+0.2*SIN(2*PI()*((A161)+(0))/(0.5*(Inputs!$C$39+Inputs!$C$40))))+Inputs!$C$38*SIN(2*PI()*(A161)/Inputs!$C$39)*SIN(2*PI()*(0)/Inputs!$C$40)+-Inputs!$C$41*EXP(-(((0)-Inputs!$C$43)^2)/(2*Inputs!$C$44^2))*EXP(-(((A161)-Inputs!$C$42)^2)/(2*Inputs!$C$45^2))+Inputs!$C$48*(0.7*(0.45*SIN(2*PI()*(((A161)/Inputs!$C$49)+Inputs!$C$47*0.137))+0.35*COS(2*PI()*(((0)/Inputs!$C$50)+Inputs!$C$47*0.173))+0.2*SIN(2*PI()*(((A161)+(0))/(0.5*(Inputs!$C$49+Inputs!$C$50))+Inputs!$C$47*0.097)))+0.3*(2*((SIN(((A161)*12.9898+(0)*78.233+Inputs!$C$47*37.719))*43758.5453)-INT((SIN(((A161)*12.9898+(0)*78.233+Inputs!$C$47*37.719))*43758.5453)))-1)))</f>
        <v/>
      </c>
      <c r="Y161" s="9">
        <f>IF(OR(Inputs!$C$27=TRUE,Inputs!$C$27="TRUE",Inputs!$C$27=1),1,0)*(Inputs!$C$51*(115*EXP(-(((Inputs!$C$6)-25)^2)/(4.5^2))+70*EXP(-(((Inputs!$C$6)+38)^2)/(7^2))*(0.55+0.45*SIN(2*PI()*(A161)/45))+24*SIN(2*PI()*(Inputs!$C$6)/9+(A161)/18)*EXP(-(((Inputs!$C$6)+5)^2)/(22^2))+18*SIN(2*PI()*(A161)/70))+Inputs!$C$28*EXP(-(((A161)-Inputs!$C$29)^2)/(2*Inputs!$C$31^2))*EXP(-(((Inputs!$C$6)-Inputs!$C$30)^2)/(2*Inputs!$C$32^2))+-Inputs!$C$33*EXP(-(((((A161)-Inputs!$C$34)^2)+(((Inputs!$C$6)-Inputs!$C$35)^2))/(2*Inputs!$C$36^2)))+Inputs!$C$37*(0.55*SIN(2*PI()*(A161)/Inputs!$C$39)+0.35*COS(2*PI()*(Inputs!$C$6)/Inputs!$C$40)+0.2*SIN(2*PI()*((A161)+(Inputs!$C$6))/(0.5*(Inputs!$C$39+Inputs!$C$40))))+Inputs!$C$38*SIN(2*PI()*(A161)/Inputs!$C$39)*SIN(2*PI()*(Inputs!$C$6)/Inputs!$C$40)+-Inputs!$C$41*EXP(-(((Inputs!$C$6)-Inputs!$C$43)^2)/(2*Inputs!$C$44^2))*EXP(-(((A161)-Inputs!$C$42)^2)/(2*Inputs!$C$45^2))+Inputs!$C$48*(0.7*(0.45*SIN(2*PI()*(((A161)/Inputs!$C$49)+Inputs!$C$47*0.137))+0.35*COS(2*PI()*(((Inputs!$C$6)/Inputs!$C$50)+Inputs!$C$47*0.173))+0.2*SIN(2*PI()*(((A161)+(Inputs!$C$6))/(0.5*(Inputs!$C$49+Inputs!$C$50))+Inputs!$C$47*0.097)))+0.3*(2*((SIN(((A161)*12.9898+(Inputs!$C$6)*78.233+Inputs!$C$47*37.719))*43758.5453)-INT((SIN(((A161)*12.9898+(Inputs!$C$6)*78.233+Inputs!$C$47*37.719))*43758.5453)))-1)))</f>
        <v/>
      </c>
      <c r="Z161" s="9">
        <f>B161-X161/1000</f>
        <v/>
      </c>
      <c r="AA161" s="9">
        <f>SQRT((Inputs!$C$52+B161)^2+(Inputs!$C$52+Y161/1000)^2-2*(Inputs!$C$52+B161)*(Inputs!$C$52+Y161/1000)*COS(SQRT(A161^2+Inputs!$C$6^2)/Inputs!$C$52))</f>
        <v/>
      </c>
      <c r="AB161" s="9">
        <f>(AA161-Z161)*1000</f>
        <v/>
      </c>
      <c r="AC161" s="9">
        <f>AB161/Inputs!$C$12</f>
        <v/>
      </c>
      <c r="AD161" s="9">
        <f>2*AB161/Inputs!$C$21*1000000</f>
        <v/>
      </c>
      <c r="AE161" s="9">
        <f>DEGREES(ATAN(H161/(B161-Y161/1000)))</f>
        <v/>
      </c>
      <c r="AF161" s="9">
        <f>DEGREES((2*PI()/Inputs!$C$13)*Inputs!$C$15*SIN(RADIANS(AE161)))</f>
        <v/>
      </c>
      <c r="AG161" s="9">
        <f>(Z161/AA161)^4</f>
        <v/>
      </c>
      <c r="AH161" s="9">
        <f>10*LOG10(AG161)</f>
        <v/>
      </c>
      <c r="AI161" s="9">
        <f>AC161-F161</f>
        <v/>
      </c>
      <c r="AJ161" s="9">
        <f>AD161-G161</f>
        <v/>
      </c>
      <c r="AK161" s="9">
        <f>Y161-X161</f>
        <v/>
      </c>
      <c r="AL161" s="9">
        <f>1000*(AA162-AA160)/(A162-A160)*Inputs!$C$11</f>
        <v/>
      </c>
      <c r="AM161" s="9">
        <f>-2*AL161/Inputs!$C$13</f>
        <v/>
      </c>
      <c r="AN161" s="9">
        <f>-2*AL161/Inputs!$C$14</f>
        <v/>
      </c>
      <c r="AO161" s="9">
        <f>ABS(AM161)</f>
        <v/>
      </c>
      <c r="AP161" s="9">
        <f>ABS(AN161)</f>
        <v/>
      </c>
      <c r="AQ161" s="9">
        <f>IF(OR(Inputs!$C$27=TRUE,Inputs!$C$27="TRUE",Inputs!$C$27=1),Inputs!$C$46/Inputs!$C$12,0)</f>
        <v/>
      </c>
      <c r="AR161" s="9">
        <f>AC161-AQ161</f>
        <v/>
      </c>
      <c r="AS161" s="9">
        <f>AC161+AQ161</f>
        <v/>
      </c>
    </row>
    <row r="162">
      <c r="A162" s="9">
        <f>Inputs!$C$7+160*(Inputs!$C$8-Inputs!$C$7)/240</f>
        <v/>
      </c>
      <c r="B162" s="9">
        <f>Inputs!$C$5+Inputs!$C$9*(A162/Inputs!$C$10)^2</f>
        <v/>
      </c>
      <c r="C162" s="9">
        <f>B162</f>
        <v/>
      </c>
      <c r="D162" s="9">
        <f>SQRT((Inputs!$C$52+B162)^2+Inputs!$C$52^2-2*(Inputs!$C$52+B162)*Inputs!$C$52*COS(SQRT(A162^2+Inputs!$C$6^2)/Inputs!$C$52))</f>
        <v/>
      </c>
      <c r="E162" s="9">
        <f>(D162-C162)*1000</f>
        <v/>
      </c>
      <c r="F162" s="9">
        <f>E162/Inputs!$C$12</f>
        <v/>
      </c>
      <c r="G162" s="9">
        <f>2*E162/Inputs!$C$21*1000000</f>
        <v/>
      </c>
      <c r="H162" s="9">
        <f>SQRT(A162^2+Inputs!$C$6^2)</f>
        <v/>
      </c>
      <c r="I162" s="9">
        <f>DEGREES(ATAN(H162/B162))</f>
        <v/>
      </c>
      <c r="J162" s="9">
        <f>DEGREES((2*PI()/Inputs!$C$13)*Inputs!$C$15*SIN(RADIANS(I162)))</f>
        <v/>
      </c>
      <c r="K162" s="9">
        <f>(C162/D162)^4</f>
        <v/>
      </c>
      <c r="L162" s="9">
        <f>10*LOG10(K162)</f>
        <v/>
      </c>
      <c r="M162" s="9">
        <f>2*(Inputs!$C$9/(Inputs!$C$10^2))*A162</f>
        <v/>
      </c>
      <c r="N162" s="9">
        <f>M162*Inputs!$C$11</f>
        <v/>
      </c>
      <c r="O162" s="9">
        <f>1000*(D163-D161)/(A163-A161)*Inputs!$C$11</f>
        <v/>
      </c>
      <c r="P162" s="9">
        <f>-2*O162/Inputs!$C$13</f>
        <v/>
      </c>
      <c r="Q162" s="9">
        <f>-2*O162/Inputs!$C$14</f>
        <v/>
      </c>
      <c r="R162" s="9">
        <f>F162-Inputs!$C$16/2</f>
        <v/>
      </c>
      <c r="S162" s="9">
        <f>F162+Inputs!$C$16/2</f>
        <v/>
      </c>
      <c r="T162" s="9">
        <f>F162-Inputs!$C$17/2</f>
        <v/>
      </c>
      <c r="U162" s="9">
        <f>F162+Inputs!$C$17/2</f>
        <v/>
      </c>
      <c r="V162" s="9">
        <f>ABS(P162)</f>
        <v/>
      </c>
      <c r="W162" s="9">
        <f>ABS(Q162)</f>
        <v/>
      </c>
      <c r="X162" s="9">
        <f>IF(OR(Inputs!$C$27=TRUE,Inputs!$C$27="TRUE",Inputs!$C$27=1),1,0)*(Inputs!$C$51*(115*EXP(-(((0)-25)^2)/(4.5^2))+70*EXP(-(((0)+38)^2)/(7^2))*(0.55+0.45*SIN(2*PI()*(A162)/45))+24*SIN(2*PI()*(0)/9+(A162)/18)*EXP(-(((0)+5)^2)/(22^2))+18*SIN(2*PI()*(A162)/70))+Inputs!$C$28*EXP(-(((A162)-Inputs!$C$29)^2)/(2*Inputs!$C$31^2))*EXP(-(((0)-Inputs!$C$30)^2)/(2*Inputs!$C$32^2))+-Inputs!$C$33*EXP(-(((((A162)-Inputs!$C$34)^2)+(((0)-Inputs!$C$35)^2))/(2*Inputs!$C$36^2)))+Inputs!$C$37*(0.55*SIN(2*PI()*(A162)/Inputs!$C$39)+0.35*COS(2*PI()*(0)/Inputs!$C$40)+0.2*SIN(2*PI()*((A162)+(0))/(0.5*(Inputs!$C$39+Inputs!$C$40))))+Inputs!$C$38*SIN(2*PI()*(A162)/Inputs!$C$39)*SIN(2*PI()*(0)/Inputs!$C$40)+-Inputs!$C$41*EXP(-(((0)-Inputs!$C$43)^2)/(2*Inputs!$C$44^2))*EXP(-(((A162)-Inputs!$C$42)^2)/(2*Inputs!$C$45^2))+Inputs!$C$48*(0.7*(0.45*SIN(2*PI()*(((A162)/Inputs!$C$49)+Inputs!$C$47*0.137))+0.35*COS(2*PI()*(((0)/Inputs!$C$50)+Inputs!$C$47*0.173))+0.2*SIN(2*PI()*(((A162)+(0))/(0.5*(Inputs!$C$49+Inputs!$C$50))+Inputs!$C$47*0.097)))+0.3*(2*((SIN(((A162)*12.9898+(0)*78.233+Inputs!$C$47*37.719))*43758.5453)-INT((SIN(((A162)*12.9898+(0)*78.233+Inputs!$C$47*37.719))*43758.5453)))-1)))</f>
        <v/>
      </c>
      <c r="Y162" s="9">
        <f>IF(OR(Inputs!$C$27=TRUE,Inputs!$C$27="TRUE",Inputs!$C$27=1),1,0)*(Inputs!$C$51*(115*EXP(-(((Inputs!$C$6)-25)^2)/(4.5^2))+70*EXP(-(((Inputs!$C$6)+38)^2)/(7^2))*(0.55+0.45*SIN(2*PI()*(A162)/45))+24*SIN(2*PI()*(Inputs!$C$6)/9+(A162)/18)*EXP(-(((Inputs!$C$6)+5)^2)/(22^2))+18*SIN(2*PI()*(A162)/70))+Inputs!$C$28*EXP(-(((A162)-Inputs!$C$29)^2)/(2*Inputs!$C$31^2))*EXP(-(((Inputs!$C$6)-Inputs!$C$30)^2)/(2*Inputs!$C$32^2))+-Inputs!$C$33*EXP(-(((((A162)-Inputs!$C$34)^2)+(((Inputs!$C$6)-Inputs!$C$35)^2))/(2*Inputs!$C$36^2)))+Inputs!$C$37*(0.55*SIN(2*PI()*(A162)/Inputs!$C$39)+0.35*COS(2*PI()*(Inputs!$C$6)/Inputs!$C$40)+0.2*SIN(2*PI()*((A162)+(Inputs!$C$6))/(0.5*(Inputs!$C$39+Inputs!$C$40))))+Inputs!$C$38*SIN(2*PI()*(A162)/Inputs!$C$39)*SIN(2*PI()*(Inputs!$C$6)/Inputs!$C$40)+-Inputs!$C$41*EXP(-(((Inputs!$C$6)-Inputs!$C$43)^2)/(2*Inputs!$C$44^2))*EXP(-(((A162)-Inputs!$C$42)^2)/(2*Inputs!$C$45^2))+Inputs!$C$48*(0.7*(0.45*SIN(2*PI()*(((A162)/Inputs!$C$49)+Inputs!$C$47*0.137))+0.35*COS(2*PI()*(((Inputs!$C$6)/Inputs!$C$50)+Inputs!$C$47*0.173))+0.2*SIN(2*PI()*(((A162)+(Inputs!$C$6))/(0.5*(Inputs!$C$49+Inputs!$C$50))+Inputs!$C$47*0.097)))+0.3*(2*((SIN(((A162)*12.9898+(Inputs!$C$6)*78.233+Inputs!$C$47*37.719))*43758.5453)-INT((SIN(((A162)*12.9898+(Inputs!$C$6)*78.233+Inputs!$C$47*37.719))*43758.5453)))-1)))</f>
        <v/>
      </c>
      <c r="Z162" s="9">
        <f>B162-X162/1000</f>
        <v/>
      </c>
      <c r="AA162" s="9">
        <f>SQRT((Inputs!$C$52+B162)^2+(Inputs!$C$52+Y162/1000)^2-2*(Inputs!$C$52+B162)*(Inputs!$C$52+Y162/1000)*COS(SQRT(A162^2+Inputs!$C$6^2)/Inputs!$C$52))</f>
        <v/>
      </c>
      <c r="AB162" s="9">
        <f>(AA162-Z162)*1000</f>
        <v/>
      </c>
      <c r="AC162" s="9">
        <f>AB162/Inputs!$C$12</f>
        <v/>
      </c>
      <c r="AD162" s="9">
        <f>2*AB162/Inputs!$C$21*1000000</f>
        <v/>
      </c>
      <c r="AE162" s="9">
        <f>DEGREES(ATAN(H162/(B162-Y162/1000)))</f>
        <v/>
      </c>
      <c r="AF162" s="9">
        <f>DEGREES((2*PI()/Inputs!$C$13)*Inputs!$C$15*SIN(RADIANS(AE162)))</f>
        <v/>
      </c>
      <c r="AG162" s="9">
        <f>(Z162/AA162)^4</f>
        <v/>
      </c>
      <c r="AH162" s="9">
        <f>10*LOG10(AG162)</f>
        <v/>
      </c>
      <c r="AI162" s="9">
        <f>AC162-F162</f>
        <v/>
      </c>
      <c r="AJ162" s="9">
        <f>AD162-G162</f>
        <v/>
      </c>
      <c r="AK162" s="9">
        <f>Y162-X162</f>
        <v/>
      </c>
      <c r="AL162" s="9">
        <f>1000*(AA163-AA161)/(A163-A161)*Inputs!$C$11</f>
        <v/>
      </c>
      <c r="AM162" s="9">
        <f>-2*AL162/Inputs!$C$13</f>
        <v/>
      </c>
      <c r="AN162" s="9">
        <f>-2*AL162/Inputs!$C$14</f>
        <v/>
      </c>
      <c r="AO162" s="9">
        <f>ABS(AM162)</f>
        <v/>
      </c>
      <c r="AP162" s="9">
        <f>ABS(AN162)</f>
        <v/>
      </c>
      <c r="AQ162" s="9">
        <f>IF(OR(Inputs!$C$27=TRUE,Inputs!$C$27="TRUE",Inputs!$C$27=1),Inputs!$C$46/Inputs!$C$12,0)</f>
        <v/>
      </c>
      <c r="AR162" s="9">
        <f>AC162-AQ162</f>
        <v/>
      </c>
      <c r="AS162" s="9">
        <f>AC162+AQ162</f>
        <v/>
      </c>
    </row>
    <row r="163">
      <c r="A163" s="9">
        <f>Inputs!$C$7+161*(Inputs!$C$8-Inputs!$C$7)/240</f>
        <v/>
      </c>
      <c r="B163" s="9">
        <f>Inputs!$C$5+Inputs!$C$9*(A163/Inputs!$C$10)^2</f>
        <v/>
      </c>
      <c r="C163" s="9">
        <f>B163</f>
        <v/>
      </c>
      <c r="D163" s="9">
        <f>SQRT((Inputs!$C$52+B163)^2+Inputs!$C$52^2-2*(Inputs!$C$52+B163)*Inputs!$C$52*COS(SQRT(A163^2+Inputs!$C$6^2)/Inputs!$C$52))</f>
        <v/>
      </c>
      <c r="E163" s="9">
        <f>(D163-C163)*1000</f>
        <v/>
      </c>
      <c r="F163" s="9">
        <f>E163/Inputs!$C$12</f>
        <v/>
      </c>
      <c r="G163" s="9">
        <f>2*E163/Inputs!$C$21*1000000</f>
        <v/>
      </c>
      <c r="H163" s="9">
        <f>SQRT(A163^2+Inputs!$C$6^2)</f>
        <v/>
      </c>
      <c r="I163" s="9">
        <f>DEGREES(ATAN(H163/B163))</f>
        <v/>
      </c>
      <c r="J163" s="9">
        <f>DEGREES((2*PI()/Inputs!$C$13)*Inputs!$C$15*SIN(RADIANS(I163)))</f>
        <v/>
      </c>
      <c r="K163" s="9">
        <f>(C163/D163)^4</f>
        <v/>
      </c>
      <c r="L163" s="9">
        <f>10*LOG10(K163)</f>
        <v/>
      </c>
      <c r="M163" s="9">
        <f>2*(Inputs!$C$9/(Inputs!$C$10^2))*A163</f>
        <v/>
      </c>
      <c r="N163" s="9">
        <f>M163*Inputs!$C$11</f>
        <v/>
      </c>
      <c r="O163" s="9">
        <f>1000*(D164-D162)/(A164-A162)*Inputs!$C$11</f>
        <v/>
      </c>
      <c r="P163" s="9">
        <f>-2*O163/Inputs!$C$13</f>
        <v/>
      </c>
      <c r="Q163" s="9">
        <f>-2*O163/Inputs!$C$14</f>
        <v/>
      </c>
      <c r="R163" s="9">
        <f>F163-Inputs!$C$16/2</f>
        <v/>
      </c>
      <c r="S163" s="9">
        <f>F163+Inputs!$C$16/2</f>
        <v/>
      </c>
      <c r="T163" s="9">
        <f>F163-Inputs!$C$17/2</f>
        <v/>
      </c>
      <c r="U163" s="9">
        <f>F163+Inputs!$C$17/2</f>
        <v/>
      </c>
      <c r="V163" s="9">
        <f>ABS(P163)</f>
        <v/>
      </c>
      <c r="W163" s="9">
        <f>ABS(Q163)</f>
        <v/>
      </c>
      <c r="X163" s="9">
        <f>IF(OR(Inputs!$C$27=TRUE,Inputs!$C$27="TRUE",Inputs!$C$27=1),1,0)*(Inputs!$C$51*(115*EXP(-(((0)-25)^2)/(4.5^2))+70*EXP(-(((0)+38)^2)/(7^2))*(0.55+0.45*SIN(2*PI()*(A163)/45))+24*SIN(2*PI()*(0)/9+(A163)/18)*EXP(-(((0)+5)^2)/(22^2))+18*SIN(2*PI()*(A163)/70))+Inputs!$C$28*EXP(-(((A163)-Inputs!$C$29)^2)/(2*Inputs!$C$31^2))*EXP(-(((0)-Inputs!$C$30)^2)/(2*Inputs!$C$32^2))+-Inputs!$C$33*EXP(-(((((A163)-Inputs!$C$34)^2)+(((0)-Inputs!$C$35)^2))/(2*Inputs!$C$36^2)))+Inputs!$C$37*(0.55*SIN(2*PI()*(A163)/Inputs!$C$39)+0.35*COS(2*PI()*(0)/Inputs!$C$40)+0.2*SIN(2*PI()*((A163)+(0))/(0.5*(Inputs!$C$39+Inputs!$C$40))))+Inputs!$C$38*SIN(2*PI()*(A163)/Inputs!$C$39)*SIN(2*PI()*(0)/Inputs!$C$40)+-Inputs!$C$41*EXP(-(((0)-Inputs!$C$43)^2)/(2*Inputs!$C$44^2))*EXP(-(((A163)-Inputs!$C$42)^2)/(2*Inputs!$C$45^2))+Inputs!$C$48*(0.7*(0.45*SIN(2*PI()*(((A163)/Inputs!$C$49)+Inputs!$C$47*0.137))+0.35*COS(2*PI()*(((0)/Inputs!$C$50)+Inputs!$C$47*0.173))+0.2*SIN(2*PI()*(((A163)+(0))/(0.5*(Inputs!$C$49+Inputs!$C$50))+Inputs!$C$47*0.097)))+0.3*(2*((SIN(((A163)*12.9898+(0)*78.233+Inputs!$C$47*37.719))*43758.5453)-INT((SIN(((A163)*12.9898+(0)*78.233+Inputs!$C$47*37.719))*43758.5453)))-1)))</f>
        <v/>
      </c>
      <c r="Y163" s="9">
        <f>IF(OR(Inputs!$C$27=TRUE,Inputs!$C$27="TRUE",Inputs!$C$27=1),1,0)*(Inputs!$C$51*(115*EXP(-(((Inputs!$C$6)-25)^2)/(4.5^2))+70*EXP(-(((Inputs!$C$6)+38)^2)/(7^2))*(0.55+0.45*SIN(2*PI()*(A163)/45))+24*SIN(2*PI()*(Inputs!$C$6)/9+(A163)/18)*EXP(-(((Inputs!$C$6)+5)^2)/(22^2))+18*SIN(2*PI()*(A163)/70))+Inputs!$C$28*EXP(-(((A163)-Inputs!$C$29)^2)/(2*Inputs!$C$31^2))*EXP(-(((Inputs!$C$6)-Inputs!$C$30)^2)/(2*Inputs!$C$32^2))+-Inputs!$C$33*EXP(-(((((A163)-Inputs!$C$34)^2)+(((Inputs!$C$6)-Inputs!$C$35)^2))/(2*Inputs!$C$36^2)))+Inputs!$C$37*(0.55*SIN(2*PI()*(A163)/Inputs!$C$39)+0.35*COS(2*PI()*(Inputs!$C$6)/Inputs!$C$40)+0.2*SIN(2*PI()*((A163)+(Inputs!$C$6))/(0.5*(Inputs!$C$39+Inputs!$C$40))))+Inputs!$C$38*SIN(2*PI()*(A163)/Inputs!$C$39)*SIN(2*PI()*(Inputs!$C$6)/Inputs!$C$40)+-Inputs!$C$41*EXP(-(((Inputs!$C$6)-Inputs!$C$43)^2)/(2*Inputs!$C$44^2))*EXP(-(((A163)-Inputs!$C$42)^2)/(2*Inputs!$C$45^2))+Inputs!$C$48*(0.7*(0.45*SIN(2*PI()*(((A163)/Inputs!$C$49)+Inputs!$C$47*0.137))+0.35*COS(2*PI()*(((Inputs!$C$6)/Inputs!$C$50)+Inputs!$C$47*0.173))+0.2*SIN(2*PI()*(((A163)+(Inputs!$C$6))/(0.5*(Inputs!$C$49+Inputs!$C$50))+Inputs!$C$47*0.097)))+0.3*(2*((SIN(((A163)*12.9898+(Inputs!$C$6)*78.233+Inputs!$C$47*37.719))*43758.5453)-INT((SIN(((A163)*12.9898+(Inputs!$C$6)*78.233+Inputs!$C$47*37.719))*43758.5453)))-1)))</f>
        <v/>
      </c>
      <c r="Z163" s="9">
        <f>B163-X163/1000</f>
        <v/>
      </c>
      <c r="AA163" s="9">
        <f>SQRT((Inputs!$C$52+B163)^2+(Inputs!$C$52+Y163/1000)^2-2*(Inputs!$C$52+B163)*(Inputs!$C$52+Y163/1000)*COS(SQRT(A163^2+Inputs!$C$6^2)/Inputs!$C$52))</f>
        <v/>
      </c>
      <c r="AB163" s="9">
        <f>(AA163-Z163)*1000</f>
        <v/>
      </c>
      <c r="AC163" s="9">
        <f>AB163/Inputs!$C$12</f>
        <v/>
      </c>
      <c r="AD163" s="9">
        <f>2*AB163/Inputs!$C$21*1000000</f>
        <v/>
      </c>
      <c r="AE163" s="9">
        <f>DEGREES(ATAN(H163/(B163-Y163/1000)))</f>
        <v/>
      </c>
      <c r="AF163" s="9">
        <f>DEGREES((2*PI()/Inputs!$C$13)*Inputs!$C$15*SIN(RADIANS(AE163)))</f>
        <v/>
      </c>
      <c r="AG163" s="9">
        <f>(Z163/AA163)^4</f>
        <v/>
      </c>
      <c r="AH163" s="9">
        <f>10*LOG10(AG163)</f>
        <v/>
      </c>
      <c r="AI163" s="9">
        <f>AC163-F163</f>
        <v/>
      </c>
      <c r="AJ163" s="9">
        <f>AD163-G163</f>
        <v/>
      </c>
      <c r="AK163" s="9">
        <f>Y163-X163</f>
        <v/>
      </c>
      <c r="AL163" s="9">
        <f>1000*(AA164-AA162)/(A164-A162)*Inputs!$C$11</f>
        <v/>
      </c>
      <c r="AM163" s="9">
        <f>-2*AL163/Inputs!$C$13</f>
        <v/>
      </c>
      <c r="AN163" s="9">
        <f>-2*AL163/Inputs!$C$14</f>
        <v/>
      </c>
      <c r="AO163" s="9">
        <f>ABS(AM163)</f>
        <v/>
      </c>
      <c r="AP163" s="9">
        <f>ABS(AN163)</f>
        <v/>
      </c>
      <c r="AQ163" s="9">
        <f>IF(OR(Inputs!$C$27=TRUE,Inputs!$C$27="TRUE",Inputs!$C$27=1),Inputs!$C$46/Inputs!$C$12,0)</f>
        <v/>
      </c>
      <c r="AR163" s="9">
        <f>AC163-AQ163</f>
        <v/>
      </c>
      <c r="AS163" s="9">
        <f>AC163+AQ163</f>
        <v/>
      </c>
    </row>
    <row r="164">
      <c r="A164" s="9">
        <f>Inputs!$C$7+162*(Inputs!$C$8-Inputs!$C$7)/240</f>
        <v/>
      </c>
      <c r="B164" s="9">
        <f>Inputs!$C$5+Inputs!$C$9*(A164/Inputs!$C$10)^2</f>
        <v/>
      </c>
      <c r="C164" s="9">
        <f>B164</f>
        <v/>
      </c>
      <c r="D164" s="9">
        <f>SQRT((Inputs!$C$52+B164)^2+Inputs!$C$52^2-2*(Inputs!$C$52+B164)*Inputs!$C$52*COS(SQRT(A164^2+Inputs!$C$6^2)/Inputs!$C$52))</f>
        <v/>
      </c>
      <c r="E164" s="9">
        <f>(D164-C164)*1000</f>
        <v/>
      </c>
      <c r="F164" s="9">
        <f>E164/Inputs!$C$12</f>
        <v/>
      </c>
      <c r="G164" s="9">
        <f>2*E164/Inputs!$C$21*1000000</f>
        <v/>
      </c>
      <c r="H164" s="9">
        <f>SQRT(A164^2+Inputs!$C$6^2)</f>
        <v/>
      </c>
      <c r="I164" s="9">
        <f>DEGREES(ATAN(H164/B164))</f>
        <v/>
      </c>
      <c r="J164" s="9">
        <f>DEGREES((2*PI()/Inputs!$C$13)*Inputs!$C$15*SIN(RADIANS(I164)))</f>
        <v/>
      </c>
      <c r="K164" s="9">
        <f>(C164/D164)^4</f>
        <v/>
      </c>
      <c r="L164" s="9">
        <f>10*LOG10(K164)</f>
        <v/>
      </c>
      <c r="M164" s="9">
        <f>2*(Inputs!$C$9/(Inputs!$C$10^2))*A164</f>
        <v/>
      </c>
      <c r="N164" s="9">
        <f>M164*Inputs!$C$11</f>
        <v/>
      </c>
      <c r="O164" s="9">
        <f>1000*(D165-D163)/(A165-A163)*Inputs!$C$11</f>
        <v/>
      </c>
      <c r="P164" s="9">
        <f>-2*O164/Inputs!$C$13</f>
        <v/>
      </c>
      <c r="Q164" s="9">
        <f>-2*O164/Inputs!$C$14</f>
        <v/>
      </c>
      <c r="R164" s="9">
        <f>F164-Inputs!$C$16/2</f>
        <v/>
      </c>
      <c r="S164" s="9">
        <f>F164+Inputs!$C$16/2</f>
        <v/>
      </c>
      <c r="T164" s="9">
        <f>F164-Inputs!$C$17/2</f>
        <v/>
      </c>
      <c r="U164" s="9">
        <f>F164+Inputs!$C$17/2</f>
        <v/>
      </c>
      <c r="V164" s="9">
        <f>ABS(P164)</f>
        <v/>
      </c>
      <c r="W164" s="9">
        <f>ABS(Q164)</f>
        <v/>
      </c>
      <c r="X164" s="9">
        <f>IF(OR(Inputs!$C$27=TRUE,Inputs!$C$27="TRUE",Inputs!$C$27=1),1,0)*(Inputs!$C$51*(115*EXP(-(((0)-25)^2)/(4.5^2))+70*EXP(-(((0)+38)^2)/(7^2))*(0.55+0.45*SIN(2*PI()*(A164)/45))+24*SIN(2*PI()*(0)/9+(A164)/18)*EXP(-(((0)+5)^2)/(22^2))+18*SIN(2*PI()*(A164)/70))+Inputs!$C$28*EXP(-(((A164)-Inputs!$C$29)^2)/(2*Inputs!$C$31^2))*EXP(-(((0)-Inputs!$C$30)^2)/(2*Inputs!$C$32^2))+-Inputs!$C$33*EXP(-(((((A164)-Inputs!$C$34)^2)+(((0)-Inputs!$C$35)^2))/(2*Inputs!$C$36^2)))+Inputs!$C$37*(0.55*SIN(2*PI()*(A164)/Inputs!$C$39)+0.35*COS(2*PI()*(0)/Inputs!$C$40)+0.2*SIN(2*PI()*((A164)+(0))/(0.5*(Inputs!$C$39+Inputs!$C$40))))+Inputs!$C$38*SIN(2*PI()*(A164)/Inputs!$C$39)*SIN(2*PI()*(0)/Inputs!$C$40)+-Inputs!$C$41*EXP(-(((0)-Inputs!$C$43)^2)/(2*Inputs!$C$44^2))*EXP(-(((A164)-Inputs!$C$42)^2)/(2*Inputs!$C$45^2))+Inputs!$C$48*(0.7*(0.45*SIN(2*PI()*(((A164)/Inputs!$C$49)+Inputs!$C$47*0.137))+0.35*COS(2*PI()*(((0)/Inputs!$C$50)+Inputs!$C$47*0.173))+0.2*SIN(2*PI()*(((A164)+(0))/(0.5*(Inputs!$C$49+Inputs!$C$50))+Inputs!$C$47*0.097)))+0.3*(2*((SIN(((A164)*12.9898+(0)*78.233+Inputs!$C$47*37.719))*43758.5453)-INT((SIN(((A164)*12.9898+(0)*78.233+Inputs!$C$47*37.719))*43758.5453)))-1)))</f>
        <v/>
      </c>
      <c r="Y164" s="9">
        <f>IF(OR(Inputs!$C$27=TRUE,Inputs!$C$27="TRUE",Inputs!$C$27=1),1,0)*(Inputs!$C$51*(115*EXP(-(((Inputs!$C$6)-25)^2)/(4.5^2))+70*EXP(-(((Inputs!$C$6)+38)^2)/(7^2))*(0.55+0.45*SIN(2*PI()*(A164)/45))+24*SIN(2*PI()*(Inputs!$C$6)/9+(A164)/18)*EXP(-(((Inputs!$C$6)+5)^2)/(22^2))+18*SIN(2*PI()*(A164)/70))+Inputs!$C$28*EXP(-(((A164)-Inputs!$C$29)^2)/(2*Inputs!$C$31^2))*EXP(-(((Inputs!$C$6)-Inputs!$C$30)^2)/(2*Inputs!$C$32^2))+-Inputs!$C$33*EXP(-(((((A164)-Inputs!$C$34)^2)+(((Inputs!$C$6)-Inputs!$C$35)^2))/(2*Inputs!$C$36^2)))+Inputs!$C$37*(0.55*SIN(2*PI()*(A164)/Inputs!$C$39)+0.35*COS(2*PI()*(Inputs!$C$6)/Inputs!$C$40)+0.2*SIN(2*PI()*((A164)+(Inputs!$C$6))/(0.5*(Inputs!$C$39+Inputs!$C$40))))+Inputs!$C$38*SIN(2*PI()*(A164)/Inputs!$C$39)*SIN(2*PI()*(Inputs!$C$6)/Inputs!$C$40)+-Inputs!$C$41*EXP(-(((Inputs!$C$6)-Inputs!$C$43)^2)/(2*Inputs!$C$44^2))*EXP(-(((A164)-Inputs!$C$42)^2)/(2*Inputs!$C$45^2))+Inputs!$C$48*(0.7*(0.45*SIN(2*PI()*(((A164)/Inputs!$C$49)+Inputs!$C$47*0.137))+0.35*COS(2*PI()*(((Inputs!$C$6)/Inputs!$C$50)+Inputs!$C$47*0.173))+0.2*SIN(2*PI()*(((A164)+(Inputs!$C$6))/(0.5*(Inputs!$C$49+Inputs!$C$50))+Inputs!$C$47*0.097)))+0.3*(2*((SIN(((A164)*12.9898+(Inputs!$C$6)*78.233+Inputs!$C$47*37.719))*43758.5453)-INT((SIN(((A164)*12.9898+(Inputs!$C$6)*78.233+Inputs!$C$47*37.719))*43758.5453)))-1)))</f>
        <v/>
      </c>
      <c r="Z164" s="9">
        <f>B164-X164/1000</f>
        <v/>
      </c>
      <c r="AA164" s="9">
        <f>SQRT((Inputs!$C$52+B164)^2+(Inputs!$C$52+Y164/1000)^2-2*(Inputs!$C$52+B164)*(Inputs!$C$52+Y164/1000)*COS(SQRT(A164^2+Inputs!$C$6^2)/Inputs!$C$52))</f>
        <v/>
      </c>
      <c r="AB164" s="9">
        <f>(AA164-Z164)*1000</f>
        <v/>
      </c>
      <c r="AC164" s="9">
        <f>AB164/Inputs!$C$12</f>
        <v/>
      </c>
      <c r="AD164" s="9">
        <f>2*AB164/Inputs!$C$21*1000000</f>
        <v/>
      </c>
      <c r="AE164" s="9">
        <f>DEGREES(ATAN(H164/(B164-Y164/1000)))</f>
        <v/>
      </c>
      <c r="AF164" s="9">
        <f>DEGREES((2*PI()/Inputs!$C$13)*Inputs!$C$15*SIN(RADIANS(AE164)))</f>
        <v/>
      </c>
      <c r="AG164" s="9">
        <f>(Z164/AA164)^4</f>
        <v/>
      </c>
      <c r="AH164" s="9">
        <f>10*LOG10(AG164)</f>
        <v/>
      </c>
      <c r="AI164" s="9">
        <f>AC164-F164</f>
        <v/>
      </c>
      <c r="AJ164" s="9">
        <f>AD164-G164</f>
        <v/>
      </c>
      <c r="AK164" s="9">
        <f>Y164-X164</f>
        <v/>
      </c>
      <c r="AL164" s="9">
        <f>1000*(AA165-AA163)/(A165-A163)*Inputs!$C$11</f>
        <v/>
      </c>
      <c r="AM164" s="9">
        <f>-2*AL164/Inputs!$C$13</f>
        <v/>
      </c>
      <c r="AN164" s="9">
        <f>-2*AL164/Inputs!$C$14</f>
        <v/>
      </c>
      <c r="AO164" s="9">
        <f>ABS(AM164)</f>
        <v/>
      </c>
      <c r="AP164" s="9">
        <f>ABS(AN164)</f>
        <v/>
      </c>
      <c r="AQ164" s="9">
        <f>IF(OR(Inputs!$C$27=TRUE,Inputs!$C$27="TRUE",Inputs!$C$27=1),Inputs!$C$46/Inputs!$C$12,0)</f>
        <v/>
      </c>
      <c r="AR164" s="9">
        <f>AC164-AQ164</f>
        <v/>
      </c>
      <c r="AS164" s="9">
        <f>AC164+AQ164</f>
        <v/>
      </c>
    </row>
    <row r="165">
      <c r="A165" s="9">
        <f>Inputs!$C$7+163*(Inputs!$C$8-Inputs!$C$7)/240</f>
        <v/>
      </c>
      <c r="B165" s="9">
        <f>Inputs!$C$5+Inputs!$C$9*(A165/Inputs!$C$10)^2</f>
        <v/>
      </c>
      <c r="C165" s="9">
        <f>B165</f>
        <v/>
      </c>
      <c r="D165" s="9">
        <f>SQRT((Inputs!$C$52+B165)^2+Inputs!$C$52^2-2*(Inputs!$C$52+B165)*Inputs!$C$52*COS(SQRT(A165^2+Inputs!$C$6^2)/Inputs!$C$52))</f>
        <v/>
      </c>
      <c r="E165" s="9">
        <f>(D165-C165)*1000</f>
        <v/>
      </c>
      <c r="F165" s="9">
        <f>E165/Inputs!$C$12</f>
        <v/>
      </c>
      <c r="G165" s="9">
        <f>2*E165/Inputs!$C$21*1000000</f>
        <v/>
      </c>
      <c r="H165" s="9">
        <f>SQRT(A165^2+Inputs!$C$6^2)</f>
        <v/>
      </c>
      <c r="I165" s="9">
        <f>DEGREES(ATAN(H165/B165))</f>
        <v/>
      </c>
      <c r="J165" s="9">
        <f>DEGREES((2*PI()/Inputs!$C$13)*Inputs!$C$15*SIN(RADIANS(I165)))</f>
        <v/>
      </c>
      <c r="K165" s="9">
        <f>(C165/D165)^4</f>
        <v/>
      </c>
      <c r="L165" s="9">
        <f>10*LOG10(K165)</f>
        <v/>
      </c>
      <c r="M165" s="9">
        <f>2*(Inputs!$C$9/(Inputs!$C$10^2))*A165</f>
        <v/>
      </c>
      <c r="N165" s="9">
        <f>M165*Inputs!$C$11</f>
        <v/>
      </c>
      <c r="O165" s="9">
        <f>1000*(D166-D164)/(A166-A164)*Inputs!$C$11</f>
        <v/>
      </c>
      <c r="P165" s="9">
        <f>-2*O165/Inputs!$C$13</f>
        <v/>
      </c>
      <c r="Q165" s="9">
        <f>-2*O165/Inputs!$C$14</f>
        <v/>
      </c>
      <c r="R165" s="9">
        <f>F165-Inputs!$C$16/2</f>
        <v/>
      </c>
      <c r="S165" s="9">
        <f>F165+Inputs!$C$16/2</f>
        <v/>
      </c>
      <c r="T165" s="9">
        <f>F165-Inputs!$C$17/2</f>
        <v/>
      </c>
      <c r="U165" s="9">
        <f>F165+Inputs!$C$17/2</f>
        <v/>
      </c>
      <c r="V165" s="9">
        <f>ABS(P165)</f>
        <v/>
      </c>
      <c r="W165" s="9">
        <f>ABS(Q165)</f>
        <v/>
      </c>
      <c r="X165" s="9">
        <f>IF(OR(Inputs!$C$27=TRUE,Inputs!$C$27="TRUE",Inputs!$C$27=1),1,0)*(Inputs!$C$51*(115*EXP(-(((0)-25)^2)/(4.5^2))+70*EXP(-(((0)+38)^2)/(7^2))*(0.55+0.45*SIN(2*PI()*(A165)/45))+24*SIN(2*PI()*(0)/9+(A165)/18)*EXP(-(((0)+5)^2)/(22^2))+18*SIN(2*PI()*(A165)/70))+Inputs!$C$28*EXP(-(((A165)-Inputs!$C$29)^2)/(2*Inputs!$C$31^2))*EXP(-(((0)-Inputs!$C$30)^2)/(2*Inputs!$C$32^2))+-Inputs!$C$33*EXP(-(((((A165)-Inputs!$C$34)^2)+(((0)-Inputs!$C$35)^2))/(2*Inputs!$C$36^2)))+Inputs!$C$37*(0.55*SIN(2*PI()*(A165)/Inputs!$C$39)+0.35*COS(2*PI()*(0)/Inputs!$C$40)+0.2*SIN(2*PI()*((A165)+(0))/(0.5*(Inputs!$C$39+Inputs!$C$40))))+Inputs!$C$38*SIN(2*PI()*(A165)/Inputs!$C$39)*SIN(2*PI()*(0)/Inputs!$C$40)+-Inputs!$C$41*EXP(-(((0)-Inputs!$C$43)^2)/(2*Inputs!$C$44^2))*EXP(-(((A165)-Inputs!$C$42)^2)/(2*Inputs!$C$45^2))+Inputs!$C$48*(0.7*(0.45*SIN(2*PI()*(((A165)/Inputs!$C$49)+Inputs!$C$47*0.137))+0.35*COS(2*PI()*(((0)/Inputs!$C$50)+Inputs!$C$47*0.173))+0.2*SIN(2*PI()*(((A165)+(0))/(0.5*(Inputs!$C$49+Inputs!$C$50))+Inputs!$C$47*0.097)))+0.3*(2*((SIN(((A165)*12.9898+(0)*78.233+Inputs!$C$47*37.719))*43758.5453)-INT((SIN(((A165)*12.9898+(0)*78.233+Inputs!$C$47*37.719))*43758.5453)))-1)))</f>
        <v/>
      </c>
      <c r="Y165" s="9">
        <f>IF(OR(Inputs!$C$27=TRUE,Inputs!$C$27="TRUE",Inputs!$C$27=1),1,0)*(Inputs!$C$51*(115*EXP(-(((Inputs!$C$6)-25)^2)/(4.5^2))+70*EXP(-(((Inputs!$C$6)+38)^2)/(7^2))*(0.55+0.45*SIN(2*PI()*(A165)/45))+24*SIN(2*PI()*(Inputs!$C$6)/9+(A165)/18)*EXP(-(((Inputs!$C$6)+5)^2)/(22^2))+18*SIN(2*PI()*(A165)/70))+Inputs!$C$28*EXP(-(((A165)-Inputs!$C$29)^2)/(2*Inputs!$C$31^2))*EXP(-(((Inputs!$C$6)-Inputs!$C$30)^2)/(2*Inputs!$C$32^2))+-Inputs!$C$33*EXP(-(((((A165)-Inputs!$C$34)^2)+(((Inputs!$C$6)-Inputs!$C$35)^2))/(2*Inputs!$C$36^2)))+Inputs!$C$37*(0.55*SIN(2*PI()*(A165)/Inputs!$C$39)+0.35*COS(2*PI()*(Inputs!$C$6)/Inputs!$C$40)+0.2*SIN(2*PI()*((A165)+(Inputs!$C$6))/(0.5*(Inputs!$C$39+Inputs!$C$40))))+Inputs!$C$38*SIN(2*PI()*(A165)/Inputs!$C$39)*SIN(2*PI()*(Inputs!$C$6)/Inputs!$C$40)+-Inputs!$C$41*EXP(-(((Inputs!$C$6)-Inputs!$C$43)^2)/(2*Inputs!$C$44^2))*EXP(-(((A165)-Inputs!$C$42)^2)/(2*Inputs!$C$45^2))+Inputs!$C$48*(0.7*(0.45*SIN(2*PI()*(((A165)/Inputs!$C$49)+Inputs!$C$47*0.137))+0.35*COS(2*PI()*(((Inputs!$C$6)/Inputs!$C$50)+Inputs!$C$47*0.173))+0.2*SIN(2*PI()*(((A165)+(Inputs!$C$6))/(0.5*(Inputs!$C$49+Inputs!$C$50))+Inputs!$C$47*0.097)))+0.3*(2*((SIN(((A165)*12.9898+(Inputs!$C$6)*78.233+Inputs!$C$47*37.719))*43758.5453)-INT((SIN(((A165)*12.9898+(Inputs!$C$6)*78.233+Inputs!$C$47*37.719))*43758.5453)))-1)))</f>
        <v/>
      </c>
      <c r="Z165" s="9">
        <f>B165-X165/1000</f>
        <v/>
      </c>
      <c r="AA165" s="9">
        <f>SQRT((Inputs!$C$52+B165)^2+(Inputs!$C$52+Y165/1000)^2-2*(Inputs!$C$52+B165)*(Inputs!$C$52+Y165/1000)*COS(SQRT(A165^2+Inputs!$C$6^2)/Inputs!$C$52))</f>
        <v/>
      </c>
      <c r="AB165" s="9">
        <f>(AA165-Z165)*1000</f>
        <v/>
      </c>
      <c r="AC165" s="9">
        <f>AB165/Inputs!$C$12</f>
        <v/>
      </c>
      <c r="AD165" s="9">
        <f>2*AB165/Inputs!$C$21*1000000</f>
        <v/>
      </c>
      <c r="AE165" s="9">
        <f>DEGREES(ATAN(H165/(B165-Y165/1000)))</f>
        <v/>
      </c>
      <c r="AF165" s="9">
        <f>DEGREES((2*PI()/Inputs!$C$13)*Inputs!$C$15*SIN(RADIANS(AE165)))</f>
        <v/>
      </c>
      <c r="AG165" s="9">
        <f>(Z165/AA165)^4</f>
        <v/>
      </c>
      <c r="AH165" s="9">
        <f>10*LOG10(AG165)</f>
        <v/>
      </c>
      <c r="AI165" s="9">
        <f>AC165-F165</f>
        <v/>
      </c>
      <c r="AJ165" s="9">
        <f>AD165-G165</f>
        <v/>
      </c>
      <c r="AK165" s="9">
        <f>Y165-X165</f>
        <v/>
      </c>
      <c r="AL165" s="9">
        <f>1000*(AA166-AA164)/(A166-A164)*Inputs!$C$11</f>
        <v/>
      </c>
      <c r="AM165" s="9">
        <f>-2*AL165/Inputs!$C$13</f>
        <v/>
      </c>
      <c r="AN165" s="9">
        <f>-2*AL165/Inputs!$C$14</f>
        <v/>
      </c>
      <c r="AO165" s="9">
        <f>ABS(AM165)</f>
        <v/>
      </c>
      <c r="AP165" s="9">
        <f>ABS(AN165)</f>
        <v/>
      </c>
      <c r="AQ165" s="9">
        <f>IF(OR(Inputs!$C$27=TRUE,Inputs!$C$27="TRUE",Inputs!$C$27=1),Inputs!$C$46/Inputs!$C$12,0)</f>
        <v/>
      </c>
      <c r="AR165" s="9">
        <f>AC165-AQ165</f>
        <v/>
      </c>
      <c r="AS165" s="9">
        <f>AC165+AQ165</f>
        <v/>
      </c>
    </row>
    <row r="166">
      <c r="A166" s="9">
        <f>Inputs!$C$7+164*(Inputs!$C$8-Inputs!$C$7)/240</f>
        <v/>
      </c>
      <c r="B166" s="9">
        <f>Inputs!$C$5+Inputs!$C$9*(A166/Inputs!$C$10)^2</f>
        <v/>
      </c>
      <c r="C166" s="9">
        <f>B166</f>
        <v/>
      </c>
      <c r="D166" s="9">
        <f>SQRT((Inputs!$C$52+B166)^2+Inputs!$C$52^2-2*(Inputs!$C$52+B166)*Inputs!$C$52*COS(SQRT(A166^2+Inputs!$C$6^2)/Inputs!$C$52))</f>
        <v/>
      </c>
      <c r="E166" s="9">
        <f>(D166-C166)*1000</f>
        <v/>
      </c>
      <c r="F166" s="9">
        <f>E166/Inputs!$C$12</f>
        <v/>
      </c>
      <c r="G166" s="9">
        <f>2*E166/Inputs!$C$21*1000000</f>
        <v/>
      </c>
      <c r="H166" s="9">
        <f>SQRT(A166^2+Inputs!$C$6^2)</f>
        <v/>
      </c>
      <c r="I166" s="9">
        <f>DEGREES(ATAN(H166/B166))</f>
        <v/>
      </c>
      <c r="J166" s="9">
        <f>DEGREES((2*PI()/Inputs!$C$13)*Inputs!$C$15*SIN(RADIANS(I166)))</f>
        <v/>
      </c>
      <c r="K166" s="9">
        <f>(C166/D166)^4</f>
        <v/>
      </c>
      <c r="L166" s="9">
        <f>10*LOG10(K166)</f>
        <v/>
      </c>
      <c r="M166" s="9">
        <f>2*(Inputs!$C$9/(Inputs!$C$10^2))*A166</f>
        <v/>
      </c>
      <c r="N166" s="9">
        <f>M166*Inputs!$C$11</f>
        <v/>
      </c>
      <c r="O166" s="9">
        <f>1000*(D167-D165)/(A167-A165)*Inputs!$C$11</f>
        <v/>
      </c>
      <c r="P166" s="9">
        <f>-2*O166/Inputs!$C$13</f>
        <v/>
      </c>
      <c r="Q166" s="9">
        <f>-2*O166/Inputs!$C$14</f>
        <v/>
      </c>
      <c r="R166" s="9">
        <f>F166-Inputs!$C$16/2</f>
        <v/>
      </c>
      <c r="S166" s="9">
        <f>F166+Inputs!$C$16/2</f>
        <v/>
      </c>
      <c r="T166" s="9">
        <f>F166-Inputs!$C$17/2</f>
        <v/>
      </c>
      <c r="U166" s="9">
        <f>F166+Inputs!$C$17/2</f>
        <v/>
      </c>
      <c r="V166" s="9">
        <f>ABS(P166)</f>
        <v/>
      </c>
      <c r="W166" s="9">
        <f>ABS(Q166)</f>
        <v/>
      </c>
      <c r="X166" s="9">
        <f>IF(OR(Inputs!$C$27=TRUE,Inputs!$C$27="TRUE",Inputs!$C$27=1),1,0)*(Inputs!$C$51*(115*EXP(-(((0)-25)^2)/(4.5^2))+70*EXP(-(((0)+38)^2)/(7^2))*(0.55+0.45*SIN(2*PI()*(A166)/45))+24*SIN(2*PI()*(0)/9+(A166)/18)*EXP(-(((0)+5)^2)/(22^2))+18*SIN(2*PI()*(A166)/70))+Inputs!$C$28*EXP(-(((A166)-Inputs!$C$29)^2)/(2*Inputs!$C$31^2))*EXP(-(((0)-Inputs!$C$30)^2)/(2*Inputs!$C$32^2))+-Inputs!$C$33*EXP(-(((((A166)-Inputs!$C$34)^2)+(((0)-Inputs!$C$35)^2))/(2*Inputs!$C$36^2)))+Inputs!$C$37*(0.55*SIN(2*PI()*(A166)/Inputs!$C$39)+0.35*COS(2*PI()*(0)/Inputs!$C$40)+0.2*SIN(2*PI()*((A166)+(0))/(0.5*(Inputs!$C$39+Inputs!$C$40))))+Inputs!$C$38*SIN(2*PI()*(A166)/Inputs!$C$39)*SIN(2*PI()*(0)/Inputs!$C$40)+-Inputs!$C$41*EXP(-(((0)-Inputs!$C$43)^2)/(2*Inputs!$C$44^2))*EXP(-(((A166)-Inputs!$C$42)^2)/(2*Inputs!$C$45^2))+Inputs!$C$48*(0.7*(0.45*SIN(2*PI()*(((A166)/Inputs!$C$49)+Inputs!$C$47*0.137))+0.35*COS(2*PI()*(((0)/Inputs!$C$50)+Inputs!$C$47*0.173))+0.2*SIN(2*PI()*(((A166)+(0))/(0.5*(Inputs!$C$49+Inputs!$C$50))+Inputs!$C$47*0.097)))+0.3*(2*((SIN(((A166)*12.9898+(0)*78.233+Inputs!$C$47*37.719))*43758.5453)-INT((SIN(((A166)*12.9898+(0)*78.233+Inputs!$C$47*37.719))*43758.5453)))-1)))</f>
        <v/>
      </c>
      <c r="Y166" s="9">
        <f>IF(OR(Inputs!$C$27=TRUE,Inputs!$C$27="TRUE",Inputs!$C$27=1),1,0)*(Inputs!$C$51*(115*EXP(-(((Inputs!$C$6)-25)^2)/(4.5^2))+70*EXP(-(((Inputs!$C$6)+38)^2)/(7^2))*(0.55+0.45*SIN(2*PI()*(A166)/45))+24*SIN(2*PI()*(Inputs!$C$6)/9+(A166)/18)*EXP(-(((Inputs!$C$6)+5)^2)/(22^2))+18*SIN(2*PI()*(A166)/70))+Inputs!$C$28*EXP(-(((A166)-Inputs!$C$29)^2)/(2*Inputs!$C$31^2))*EXP(-(((Inputs!$C$6)-Inputs!$C$30)^2)/(2*Inputs!$C$32^2))+-Inputs!$C$33*EXP(-(((((A166)-Inputs!$C$34)^2)+(((Inputs!$C$6)-Inputs!$C$35)^2))/(2*Inputs!$C$36^2)))+Inputs!$C$37*(0.55*SIN(2*PI()*(A166)/Inputs!$C$39)+0.35*COS(2*PI()*(Inputs!$C$6)/Inputs!$C$40)+0.2*SIN(2*PI()*((A166)+(Inputs!$C$6))/(0.5*(Inputs!$C$39+Inputs!$C$40))))+Inputs!$C$38*SIN(2*PI()*(A166)/Inputs!$C$39)*SIN(2*PI()*(Inputs!$C$6)/Inputs!$C$40)+-Inputs!$C$41*EXP(-(((Inputs!$C$6)-Inputs!$C$43)^2)/(2*Inputs!$C$44^2))*EXP(-(((A166)-Inputs!$C$42)^2)/(2*Inputs!$C$45^2))+Inputs!$C$48*(0.7*(0.45*SIN(2*PI()*(((A166)/Inputs!$C$49)+Inputs!$C$47*0.137))+0.35*COS(2*PI()*(((Inputs!$C$6)/Inputs!$C$50)+Inputs!$C$47*0.173))+0.2*SIN(2*PI()*(((A166)+(Inputs!$C$6))/(0.5*(Inputs!$C$49+Inputs!$C$50))+Inputs!$C$47*0.097)))+0.3*(2*((SIN(((A166)*12.9898+(Inputs!$C$6)*78.233+Inputs!$C$47*37.719))*43758.5453)-INT((SIN(((A166)*12.9898+(Inputs!$C$6)*78.233+Inputs!$C$47*37.719))*43758.5453)))-1)))</f>
        <v/>
      </c>
      <c r="Z166" s="9">
        <f>B166-X166/1000</f>
        <v/>
      </c>
      <c r="AA166" s="9">
        <f>SQRT((Inputs!$C$52+B166)^2+(Inputs!$C$52+Y166/1000)^2-2*(Inputs!$C$52+B166)*(Inputs!$C$52+Y166/1000)*COS(SQRT(A166^2+Inputs!$C$6^2)/Inputs!$C$52))</f>
        <v/>
      </c>
      <c r="AB166" s="9">
        <f>(AA166-Z166)*1000</f>
        <v/>
      </c>
      <c r="AC166" s="9">
        <f>AB166/Inputs!$C$12</f>
        <v/>
      </c>
      <c r="AD166" s="9">
        <f>2*AB166/Inputs!$C$21*1000000</f>
        <v/>
      </c>
      <c r="AE166" s="9">
        <f>DEGREES(ATAN(H166/(B166-Y166/1000)))</f>
        <v/>
      </c>
      <c r="AF166" s="9">
        <f>DEGREES((2*PI()/Inputs!$C$13)*Inputs!$C$15*SIN(RADIANS(AE166)))</f>
        <v/>
      </c>
      <c r="AG166" s="9">
        <f>(Z166/AA166)^4</f>
        <v/>
      </c>
      <c r="AH166" s="9">
        <f>10*LOG10(AG166)</f>
        <v/>
      </c>
      <c r="AI166" s="9">
        <f>AC166-F166</f>
        <v/>
      </c>
      <c r="AJ166" s="9">
        <f>AD166-G166</f>
        <v/>
      </c>
      <c r="AK166" s="9">
        <f>Y166-X166</f>
        <v/>
      </c>
      <c r="AL166" s="9">
        <f>1000*(AA167-AA165)/(A167-A165)*Inputs!$C$11</f>
        <v/>
      </c>
      <c r="AM166" s="9">
        <f>-2*AL166/Inputs!$C$13</f>
        <v/>
      </c>
      <c r="AN166" s="9">
        <f>-2*AL166/Inputs!$C$14</f>
        <v/>
      </c>
      <c r="AO166" s="9">
        <f>ABS(AM166)</f>
        <v/>
      </c>
      <c r="AP166" s="9">
        <f>ABS(AN166)</f>
        <v/>
      </c>
      <c r="AQ166" s="9">
        <f>IF(OR(Inputs!$C$27=TRUE,Inputs!$C$27="TRUE",Inputs!$C$27=1),Inputs!$C$46/Inputs!$C$12,0)</f>
        <v/>
      </c>
      <c r="AR166" s="9">
        <f>AC166-AQ166</f>
        <v/>
      </c>
      <c r="AS166" s="9">
        <f>AC166+AQ166</f>
        <v/>
      </c>
    </row>
    <row r="167">
      <c r="A167" s="9">
        <f>Inputs!$C$7+165*(Inputs!$C$8-Inputs!$C$7)/240</f>
        <v/>
      </c>
      <c r="B167" s="9">
        <f>Inputs!$C$5+Inputs!$C$9*(A167/Inputs!$C$10)^2</f>
        <v/>
      </c>
      <c r="C167" s="9">
        <f>B167</f>
        <v/>
      </c>
      <c r="D167" s="9">
        <f>SQRT((Inputs!$C$52+B167)^2+Inputs!$C$52^2-2*(Inputs!$C$52+B167)*Inputs!$C$52*COS(SQRT(A167^2+Inputs!$C$6^2)/Inputs!$C$52))</f>
        <v/>
      </c>
      <c r="E167" s="9">
        <f>(D167-C167)*1000</f>
        <v/>
      </c>
      <c r="F167" s="9">
        <f>E167/Inputs!$C$12</f>
        <v/>
      </c>
      <c r="G167" s="9">
        <f>2*E167/Inputs!$C$21*1000000</f>
        <v/>
      </c>
      <c r="H167" s="9">
        <f>SQRT(A167^2+Inputs!$C$6^2)</f>
        <v/>
      </c>
      <c r="I167" s="9">
        <f>DEGREES(ATAN(H167/B167))</f>
        <v/>
      </c>
      <c r="J167" s="9">
        <f>DEGREES((2*PI()/Inputs!$C$13)*Inputs!$C$15*SIN(RADIANS(I167)))</f>
        <v/>
      </c>
      <c r="K167" s="9">
        <f>(C167/D167)^4</f>
        <v/>
      </c>
      <c r="L167" s="9">
        <f>10*LOG10(K167)</f>
        <v/>
      </c>
      <c r="M167" s="9">
        <f>2*(Inputs!$C$9/(Inputs!$C$10^2))*A167</f>
        <v/>
      </c>
      <c r="N167" s="9">
        <f>M167*Inputs!$C$11</f>
        <v/>
      </c>
      <c r="O167" s="9">
        <f>1000*(D168-D166)/(A168-A166)*Inputs!$C$11</f>
        <v/>
      </c>
      <c r="P167" s="9">
        <f>-2*O167/Inputs!$C$13</f>
        <v/>
      </c>
      <c r="Q167" s="9">
        <f>-2*O167/Inputs!$C$14</f>
        <v/>
      </c>
      <c r="R167" s="9">
        <f>F167-Inputs!$C$16/2</f>
        <v/>
      </c>
      <c r="S167" s="9">
        <f>F167+Inputs!$C$16/2</f>
        <v/>
      </c>
      <c r="T167" s="9">
        <f>F167-Inputs!$C$17/2</f>
        <v/>
      </c>
      <c r="U167" s="9">
        <f>F167+Inputs!$C$17/2</f>
        <v/>
      </c>
      <c r="V167" s="9">
        <f>ABS(P167)</f>
        <v/>
      </c>
      <c r="W167" s="9">
        <f>ABS(Q167)</f>
        <v/>
      </c>
      <c r="X167" s="9">
        <f>IF(OR(Inputs!$C$27=TRUE,Inputs!$C$27="TRUE",Inputs!$C$27=1),1,0)*(Inputs!$C$51*(115*EXP(-(((0)-25)^2)/(4.5^2))+70*EXP(-(((0)+38)^2)/(7^2))*(0.55+0.45*SIN(2*PI()*(A167)/45))+24*SIN(2*PI()*(0)/9+(A167)/18)*EXP(-(((0)+5)^2)/(22^2))+18*SIN(2*PI()*(A167)/70))+Inputs!$C$28*EXP(-(((A167)-Inputs!$C$29)^2)/(2*Inputs!$C$31^2))*EXP(-(((0)-Inputs!$C$30)^2)/(2*Inputs!$C$32^2))+-Inputs!$C$33*EXP(-(((((A167)-Inputs!$C$34)^2)+(((0)-Inputs!$C$35)^2))/(2*Inputs!$C$36^2)))+Inputs!$C$37*(0.55*SIN(2*PI()*(A167)/Inputs!$C$39)+0.35*COS(2*PI()*(0)/Inputs!$C$40)+0.2*SIN(2*PI()*((A167)+(0))/(0.5*(Inputs!$C$39+Inputs!$C$40))))+Inputs!$C$38*SIN(2*PI()*(A167)/Inputs!$C$39)*SIN(2*PI()*(0)/Inputs!$C$40)+-Inputs!$C$41*EXP(-(((0)-Inputs!$C$43)^2)/(2*Inputs!$C$44^2))*EXP(-(((A167)-Inputs!$C$42)^2)/(2*Inputs!$C$45^2))+Inputs!$C$48*(0.7*(0.45*SIN(2*PI()*(((A167)/Inputs!$C$49)+Inputs!$C$47*0.137))+0.35*COS(2*PI()*(((0)/Inputs!$C$50)+Inputs!$C$47*0.173))+0.2*SIN(2*PI()*(((A167)+(0))/(0.5*(Inputs!$C$49+Inputs!$C$50))+Inputs!$C$47*0.097)))+0.3*(2*((SIN(((A167)*12.9898+(0)*78.233+Inputs!$C$47*37.719))*43758.5453)-INT((SIN(((A167)*12.9898+(0)*78.233+Inputs!$C$47*37.719))*43758.5453)))-1)))</f>
        <v/>
      </c>
      <c r="Y167" s="9">
        <f>IF(OR(Inputs!$C$27=TRUE,Inputs!$C$27="TRUE",Inputs!$C$27=1),1,0)*(Inputs!$C$51*(115*EXP(-(((Inputs!$C$6)-25)^2)/(4.5^2))+70*EXP(-(((Inputs!$C$6)+38)^2)/(7^2))*(0.55+0.45*SIN(2*PI()*(A167)/45))+24*SIN(2*PI()*(Inputs!$C$6)/9+(A167)/18)*EXP(-(((Inputs!$C$6)+5)^2)/(22^2))+18*SIN(2*PI()*(A167)/70))+Inputs!$C$28*EXP(-(((A167)-Inputs!$C$29)^2)/(2*Inputs!$C$31^2))*EXP(-(((Inputs!$C$6)-Inputs!$C$30)^2)/(2*Inputs!$C$32^2))+-Inputs!$C$33*EXP(-(((((A167)-Inputs!$C$34)^2)+(((Inputs!$C$6)-Inputs!$C$35)^2))/(2*Inputs!$C$36^2)))+Inputs!$C$37*(0.55*SIN(2*PI()*(A167)/Inputs!$C$39)+0.35*COS(2*PI()*(Inputs!$C$6)/Inputs!$C$40)+0.2*SIN(2*PI()*((A167)+(Inputs!$C$6))/(0.5*(Inputs!$C$39+Inputs!$C$40))))+Inputs!$C$38*SIN(2*PI()*(A167)/Inputs!$C$39)*SIN(2*PI()*(Inputs!$C$6)/Inputs!$C$40)+-Inputs!$C$41*EXP(-(((Inputs!$C$6)-Inputs!$C$43)^2)/(2*Inputs!$C$44^2))*EXP(-(((A167)-Inputs!$C$42)^2)/(2*Inputs!$C$45^2))+Inputs!$C$48*(0.7*(0.45*SIN(2*PI()*(((A167)/Inputs!$C$49)+Inputs!$C$47*0.137))+0.35*COS(2*PI()*(((Inputs!$C$6)/Inputs!$C$50)+Inputs!$C$47*0.173))+0.2*SIN(2*PI()*(((A167)+(Inputs!$C$6))/(0.5*(Inputs!$C$49+Inputs!$C$50))+Inputs!$C$47*0.097)))+0.3*(2*((SIN(((A167)*12.9898+(Inputs!$C$6)*78.233+Inputs!$C$47*37.719))*43758.5453)-INT((SIN(((A167)*12.9898+(Inputs!$C$6)*78.233+Inputs!$C$47*37.719))*43758.5453)))-1)))</f>
        <v/>
      </c>
      <c r="Z167" s="9">
        <f>B167-X167/1000</f>
        <v/>
      </c>
      <c r="AA167" s="9">
        <f>SQRT((Inputs!$C$52+B167)^2+(Inputs!$C$52+Y167/1000)^2-2*(Inputs!$C$52+B167)*(Inputs!$C$52+Y167/1000)*COS(SQRT(A167^2+Inputs!$C$6^2)/Inputs!$C$52))</f>
        <v/>
      </c>
      <c r="AB167" s="9">
        <f>(AA167-Z167)*1000</f>
        <v/>
      </c>
      <c r="AC167" s="9">
        <f>AB167/Inputs!$C$12</f>
        <v/>
      </c>
      <c r="AD167" s="9">
        <f>2*AB167/Inputs!$C$21*1000000</f>
        <v/>
      </c>
      <c r="AE167" s="9">
        <f>DEGREES(ATAN(H167/(B167-Y167/1000)))</f>
        <v/>
      </c>
      <c r="AF167" s="9">
        <f>DEGREES((2*PI()/Inputs!$C$13)*Inputs!$C$15*SIN(RADIANS(AE167)))</f>
        <v/>
      </c>
      <c r="AG167" s="9">
        <f>(Z167/AA167)^4</f>
        <v/>
      </c>
      <c r="AH167" s="9">
        <f>10*LOG10(AG167)</f>
        <v/>
      </c>
      <c r="AI167" s="9">
        <f>AC167-F167</f>
        <v/>
      </c>
      <c r="AJ167" s="9">
        <f>AD167-G167</f>
        <v/>
      </c>
      <c r="AK167" s="9">
        <f>Y167-X167</f>
        <v/>
      </c>
      <c r="AL167" s="9">
        <f>1000*(AA168-AA166)/(A168-A166)*Inputs!$C$11</f>
        <v/>
      </c>
      <c r="AM167" s="9">
        <f>-2*AL167/Inputs!$C$13</f>
        <v/>
      </c>
      <c r="AN167" s="9">
        <f>-2*AL167/Inputs!$C$14</f>
        <v/>
      </c>
      <c r="AO167" s="9">
        <f>ABS(AM167)</f>
        <v/>
      </c>
      <c r="AP167" s="9">
        <f>ABS(AN167)</f>
        <v/>
      </c>
      <c r="AQ167" s="9">
        <f>IF(OR(Inputs!$C$27=TRUE,Inputs!$C$27="TRUE",Inputs!$C$27=1),Inputs!$C$46/Inputs!$C$12,0)</f>
        <v/>
      </c>
      <c r="AR167" s="9">
        <f>AC167-AQ167</f>
        <v/>
      </c>
      <c r="AS167" s="9">
        <f>AC167+AQ167</f>
        <v/>
      </c>
    </row>
    <row r="168">
      <c r="A168" s="9">
        <f>Inputs!$C$7+166*(Inputs!$C$8-Inputs!$C$7)/240</f>
        <v/>
      </c>
      <c r="B168" s="9">
        <f>Inputs!$C$5+Inputs!$C$9*(A168/Inputs!$C$10)^2</f>
        <v/>
      </c>
      <c r="C168" s="9">
        <f>B168</f>
        <v/>
      </c>
      <c r="D168" s="9">
        <f>SQRT((Inputs!$C$52+B168)^2+Inputs!$C$52^2-2*(Inputs!$C$52+B168)*Inputs!$C$52*COS(SQRT(A168^2+Inputs!$C$6^2)/Inputs!$C$52))</f>
        <v/>
      </c>
      <c r="E168" s="9">
        <f>(D168-C168)*1000</f>
        <v/>
      </c>
      <c r="F168" s="9">
        <f>E168/Inputs!$C$12</f>
        <v/>
      </c>
      <c r="G168" s="9">
        <f>2*E168/Inputs!$C$21*1000000</f>
        <v/>
      </c>
      <c r="H168" s="9">
        <f>SQRT(A168^2+Inputs!$C$6^2)</f>
        <v/>
      </c>
      <c r="I168" s="9">
        <f>DEGREES(ATAN(H168/B168))</f>
        <v/>
      </c>
      <c r="J168" s="9">
        <f>DEGREES((2*PI()/Inputs!$C$13)*Inputs!$C$15*SIN(RADIANS(I168)))</f>
        <v/>
      </c>
      <c r="K168" s="9">
        <f>(C168/D168)^4</f>
        <v/>
      </c>
      <c r="L168" s="9">
        <f>10*LOG10(K168)</f>
        <v/>
      </c>
      <c r="M168" s="9">
        <f>2*(Inputs!$C$9/(Inputs!$C$10^2))*A168</f>
        <v/>
      </c>
      <c r="N168" s="9">
        <f>M168*Inputs!$C$11</f>
        <v/>
      </c>
      <c r="O168" s="9">
        <f>1000*(D169-D167)/(A169-A167)*Inputs!$C$11</f>
        <v/>
      </c>
      <c r="P168" s="9">
        <f>-2*O168/Inputs!$C$13</f>
        <v/>
      </c>
      <c r="Q168" s="9">
        <f>-2*O168/Inputs!$C$14</f>
        <v/>
      </c>
      <c r="R168" s="9">
        <f>F168-Inputs!$C$16/2</f>
        <v/>
      </c>
      <c r="S168" s="9">
        <f>F168+Inputs!$C$16/2</f>
        <v/>
      </c>
      <c r="T168" s="9">
        <f>F168-Inputs!$C$17/2</f>
        <v/>
      </c>
      <c r="U168" s="9">
        <f>F168+Inputs!$C$17/2</f>
        <v/>
      </c>
      <c r="V168" s="9">
        <f>ABS(P168)</f>
        <v/>
      </c>
      <c r="W168" s="9">
        <f>ABS(Q168)</f>
        <v/>
      </c>
      <c r="X168" s="9">
        <f>IF(OR(Inputs!$C$27=TRUE,Inputs!$C$27="TRUE",Inputs!$C$27=1),1,0)*(Inputs!$C$51*(115*EXP(-(((0)-25)^2)/(4.5^2))+70*EXP(-(((0)+38)^2)/(7^2))*(0.55+0.45*SIN(2*PI()*(A168)/45))+24*SIN(2*PI()*(0)/9+(A168)/18)*EXP(-(((0)+5)^2)/(22^2))+18*SIN(2*PI()*(A168)/70))+Inputs!$C$28*EXP(-(((A168)-Inputs!$C$29)^2)/(2*Inputs!$C$31^2))*EXP(-(((0)-Inputs!$C$30)^2)/(2*Inputs!$C$32^2))+-Inputs!$C$33*EXP(-(((((A168)-Inputs!$C$34)^2)+(((0)-Inputs!$C$35)^2))/(2*Inputs!$C$36^2)))+Inputs!$C$37*(0.55*SIN(2*PI()*(A168)/Inputs!$C$39)+0.35*COS(2*PI()*(0)/Inputs!$C$40)+0.2*SIN(2*PI()*((A168)+(0))/(0.5*(Inputs!$C$39+Inputs!$C$40))))+Inputs!$C$38*SIN(2*PI()*(A168)/Inputs!$C$39)*SIN(2*PI()*(0)/Inputs!$C$40)+-Inputs!$C$41*EXP(-(((0)-Inputs!$C$43)^2)/(2*Inputs!$C$44^2))*EXP(-(((A168)-Inputs!$C$42)^2)/(2*Inputs!$C$45^2))+Inputs!$C$48*(0.7*(0.45*SIN(2*PI()*(((A168)/Inputs!$C$49)+Inputs!$C$47*0.137))+0.35*COS(2*PI()*(((0)/Inputs!$C$50)+Inputs!$C$47*0.173))+0.2*SIN(2*PI()*(((A168)+(0))/(0.5*(Inputs!$C$49+Inputs!$C$50))+Inputs!$C$47*0.097)))+0.3*(2*((SIN(((A168)*12.9898+(0)*78.233+Inputs!$C$47*37.719))*43758.5453)-INT((SIN(((A168)*12.9898+(0)*78.233+Inputs!$C$47*37.719))*43758.5453)))-1)))</f>
        <v/>
      </c>
      <c r="Y168" s="9">
        <f>IF(OR(Inputs!$C$27=TRUE,Inputs!$C$27="TRUE",Inputs!$C$27=1),1,0)*(Inputs!$C$51*(115*EXP(-(((Inputs!$C$6)-25)^2)/(4.5^2))+70*EXP(-(((Inputs!$C$6)+38)^2)/(7^2))*(0.55+0.45*SIN(2*PI()*(A168)/45))+24*SIN(2*PI()*(Inputs!$C$6)/9+(A168)/18)*EXP(-(((Inputs!$C$6)+5)^2)/(22^2))+18*SIN(2*PI()*(A168)/70))+Inputs!$C$28*EXP(-(((A168)-Inputs!$C$29)^2)/(2*Inputs!$C$31^2))*EXP(-(((Inputs!$C$6)-Inputs!$C$30)^2)/(2*Inputs!$C$32^2))+-Inputs!$C$33*EXP(-(((((A168)-Inputs!$C$34)^2)+(((Inputs!$C$6)-Inputs!$C$35)^2))/(2*Inputs!$C$36^2)))+Inputs!$C$37*(0.55*SIN(2*PI()*(A168)/Inputs!$C$39)+0.35*COS(2*PI()*(Inputs!$C$6)/Inputs!$C$40)+0.2*SIN(2*PI()*((A168)+(Inputs!$C$6))/(0.5*(Inputs!$C$39+Inputs!$C$40))))+Inputs!$C$38*SIN(2*PI()*(A168)/Inputs!$C$39)*SIN(2*PI()*(Inputs!$C$6)/Inputs!$C$40)+-Inputs!$C$41*EXP(-(((Inputs!$C$6)-Inputs!$C$43)^2)/(2*Inputs!$C$44^2))*EXP(-(((A168)-Inputs!$C$42)^2)/(2*Inputs!$C$45^2))+Inputs!$C$48*(0.7*(0.45*SIN(2*PI()*(((A168)/Inputs!$C$49)+Inputs!$C$47*0.137))+0.35*COS(2*PI()*(((Inputs!$C$6)/Inputs!$C$50)+Inputs!$C$47*0.173))+0.2*SIN(2*PI()*(((A168)+(Inputs!$C$6))/(0.5*(Inputs!$C$49+Inputs!$C$50))+Inputs!$C$47*0.097)))+0.3*(2*((SIN(((A168)*12.9898+(Inputs!$C$6)*78.233+Inputs!$C$47*37.719))*43758.5453)-INT((SIN(((A168)*12.9898+(Inputs!$C$6)*78.233+Inputs!$C$47*37.719))*43758.5453)))-1)))</f>
        <v/>
      </c>
      <c r="Z168" s="9">
        <f>B168-X168/1000</f>
        <v/>
      </c>
      <c r="AA168" s="9">
        <f>SQRT((Inputs!$C$52+B168)^2+(Inputs!$C$52+Y168/1000)^2-2*(Inputs!$C$52+B168)*(Inputs!$C$52+Y168/1000)*COS(SQRT(A168^2+Inputs!$C$6^2)/Inputs!$C$52))</f>
        <v/>
      </c>
      <c r="AB168" s="9">
        <f>(AA168-Z168)*1000</f>
        <v/>
      </c>
      <c r="AC168" s="9">
        <f>AB168/Inputs!$C$12</f>
        <v/>
      </c>
      <c r="AD168" s="9">
        <f>2*AB168/Inputs!$C$21*1000000</f>
        <v/>
      </c>
      <c r="AE168" s="9">
        <f>DEGREES(ATAN(H168/(B168-Y168/1000)))</f>
        <v/>
      </c>
      <c r="AF168" s="9">
        <f>DEGREES((2*PI()/Inputs!$C$13)*Inputs!$C$15*SIN(RADIANS(AE168)))</f>
        <v/>
      </c>
      <c r="AG168" s="9">
        <f>(Z168/AA168)^4</f>
        <v/>
      </c>
      <c r="AH168" s="9">
        <f>10*LOG10(AG168)</f>
        <v/>
      </c>
      <c r="AI168" s="9">
        <f>AC168-F168</f>
        <v/>
      </c>
      <c r="AJ168" s="9">
        <f>AD168-G168</f>
        <v/>
      </c>
      <c r="AK168" s="9">
        <f>Y168-X168</f>
        <v/>
      </c>
      <c r="AL168" s="9">
        <f>1000*(AA169-AA167)/(A169-A167)*Inputs!$C$11</f>
        <v/>
      </c>
      <c r="AM168" s="9">
        <f>-2*AL168/Inputs!$C$13</f>
        <v/>
      </c>
      <c r="AN168" s="9">
        <f>-2*AL168/Inputs!$C$14</f>
        <v/>
      </c>
      <c r="AO168" s="9">
        <f>ABS(AM168)</f>
        <v/>
      </c>
      <c r="AP168" s="9">
        <f>ABS(AN168)</f>
        <v/>
      </c>
      <c r="AQ168" s="9">
        <f>IF(OR(Inputs!$C$27=TRUE,Inputs!$C$27="TRUE",Inputs!$C$27=1),Inputs!$C$46/Inputs!$C$12,0)</f>
        <v/>
      </c>
      <c r="AR168" s="9">
        <f>AC168-AQ168</f>
        <v/>
      </c>
      <c r="AS168" s="9">
        <f>AC168+AQ168</f>
        <v/>
      </c>
    </row>
    <row r="169">
      <c r="A169" s="9">
        <f>Inputs!$C$7+167*(Inputs!$C$8-Inputs!$C$7)/240</f>
        <v/>
      </c>
      <c r="B169" s="9">
        <f>Inputs!$C$5+Inputs!$C$9*(A169/Inputs!$C$10)^2</f>
        <v/>
      </c>
      <c r="C169" s="9">
        <f>B169</f>
        <v/>
      </c>
      <c r="D169" s="9">
        <f>SQRT((Inputs!$C$52+B169)^2+Inputs!$C$52^2-2*(Inputs!$C$52+B169)*Inputs!$C$52*COS(SQRT(A169^2+Inputs!$C$6^2)/Inputs!$C$52))</f>
        <v/>
      </c>
      <c r="E169" s="9">
        <f>(D169-C169)*1000</f>
        <v/>
      </c>
      <c r="F169" s="9">
        <f>E169/Inputs!$C$12</f>
        <v/>
      </c>
      <c r="G169" s="9">
        <f>2*E169/Inputs!$C$21*1000000</f>
        <v/>
      </c>
      <c r="H169" s="9">
        <f>SQRT(A169^2+Inputs!$C$6^2)</f>
        <v/>
      </c>
      <c r="I169" s="9">
        <f>DEGREES(ATAN(H169/B169))</f>
        <v/>
      </c>
      <c r="J169" s="9">
        <f>DEGREES((2*PI()/Inputs!$C$13)*Inputs!$C$15*SIN(RADIANS(I169)))</f>
        <v/>
      </c>
      <c r="K169" s="9">
        <f>(C169/D169)^4</f>
        <v/>
      </c>
      <c r="L169" s="9">
        <f>10*LOG10(K169)</f>
        <v/>
      </c>
      <c r="M169" s="9">
        <f>2*(Inputs!$C$9/(Inputs!$C$10^2))*A169</f>
        <v/>
      </c>
      <c r="N169" s="9">
        <f>M169*Inputs!$C$11</f>
        <v/>
      </c>
      <c r="O169" s="9">
        <f>1000*(D170-D168)/(A170-A168)*Inputs!$C$11</f>
        <v/>
      </c>
      <c r="P169" s="9">
        <f>-2*O169/Inputs!$C$13</f>
        <v/>
      </c>
      <c r="Q169" s="9">
        <f>-2*O169/Inputs!$C$14</f>
        <v/>
      </c>
      <c r="R169" s="9">
        <f>F169-Inputs!$C$16/2</f>
        <v/>
      </c>
      <c r="S169" s="9">
        <f>F169+Inputs!$C$16/2</f>
        <v/>
      </c>
      <c r="T169" s="9">
        <f>F169-Inputs!$C$17/2</f>
        <v/>
      </c>
      <c r="U169" s="9">
        <f>F169+Inputs!$C$17/2</f>
        <v/>
      </c>
      <c r="V169" s="9">
        <f>ABS(P169)</f>
        <v/>
      </c>
      <c r="W169" s="9">
        <f>ABS(Q169)</f>
        <v/>
      </c>
      <c r="X169" s="9">
        <f>IF(OR(Inputs!$C$27=TRUE,Inputs!$C$27="TRUE",Inputs!$C$27=1),1,0)*(Inputs!$C$51*(115*EXP(-(((0)-25)^2)/(4.5^2))+70*EXP(-(((0)+38)^2)/(7^2))*(0.55+0.45*SIN(2*PI()*(A169)/45))+24*SIN(2*PI()*(0)/9+(A169)/18)*EXP(-(((0)+5)^2)/(22^2))+18*SIN(2*PI()*(A169)/70))+Inputs!$C$28*EXP(-(((A169)-Inputs!$C$29)^2)/(2*Inputs!$C$31^2))*EXP(-(((0)-Inputs!$C$30)^2)/(2*Inputs!$C$32^2))+-Inputs!$C$33*EXP(-(((((A169)-Inputs!$C$34)^2)+(((0)-Inputs!$C$35)^2))/(2*Inputs!$C$36^2)))+Inputs!$C$37*(0.55*SIN(2*PI()*(A169)/Inputs!$C$39)+0.35*COS(2*PI()*(0)/Inputs!$C$40)+0.2*SIN(2*PI()*((A169)+(0))/(0.5*(Inputs!$C$39+Inputs!$C$40))))+Inputs!$C$38*SIN(2*PI()*(A169)/Inputs!$C$39)*SIN(2*PI()*(0)/Inputs!$C$40)+-Inputs!$C$41*EXP(-(((0)-Inputs!$C$43)^2)/(2*Inputs!$C$44^2))*EXP(-(((A169)-Inputs!$C$42)^2)/(2*Inputs!$C$45^2))+Inputs!$C$48*(0.7*(0.45*SIN(2*PI()*(((A169)/Inputs!$C$49)+Inputs!$C$47*0.137))+0.35*COS(2*PI()*(((0)/Inputs!$C$50)+Inputs!$C$47*0.173))+0.2*SIN(2*PI()*(((A169)+(0))/(0.5*(Inputs!$C$49+Inputs!$C$50))+Inputs!$C$47*0.097)))+0.3*(2*((SIN(((A169)*12.9898+(0)*78.233+Inputs!$C$47*37.719))*43758.5453)-INT((SIN(((A169)*12.9898+(0)*78.233+Inputs!$C$47*37.719))*43758.5453)))-1)))</f>
        <v/>
      </c>
      <c r="Y169" s="9">
        <f>IF(OR(Inputs!$C$27=TRUE,Inputs!$C$27="TRUE",Inputs!$C$27=1),1,0)*(Inputs!$C$51*(115*EXP(-(((Inputs!$C$6)-25)^2)/(4.5^2))+70*EXP(-(((Inputs!$C$6)+38)^2)/(7^2))*(0.55+0.45*SIN(2*PI()*(A169)/45))+24*SIN(2*PI()*(Inputs!$C$6)/9+(A169)/18)*EXP(-(((Inputs!$C$6)+5)^2)/(22^2))+18*SIN(2*PI()*(A169)/70))+Inputs!$C$28*EXP(-(((A169)-Inputs!$C$29)^2)/(2*Inputs!$C$31^2))*EXP(-(((Inputs!$C$6)-Inputs!$C$30)^2)/(2*Inputs!$C$32^2))+-Inputs!$C$33*EXP(-(((((A169)-Inputs!$C$34)^2)+(((Inputs!$C$6)-Inputs!$C$35)^2))/(2*Inputs!$C$36^2)))+Inputs!$C$37*(0.55*SIN(2*PI()*(A169)/Inputs!$C$39)+0.35*COS(2*PI()*(Inputs!$C$6)/Inputs!$C$40)+0.2*SIN(2*PI()*((A169)+(Inputs!$C$6))/(0.5*(Inputs!$C$39+Inputs!$C$40))))+Inputs!$C$38*SIN(2*PI()*(A169)/Inputs!$C$39)*SIN(2*PI()*(Inputs!$C$6)/Inputs!$C$40)+-Inputs!$C$41*EXP(-(((Inputs!$C$6)-Inputs!$C$43)^2)/(2*Inputs!$C$44^2))*EXP(-(((A169)-Inputs!$C$42)^2)/(2*Inputs!$C$45^2))+Inputs!$C$48*(0.7*(0.45*SIN(2*PI()*(((A169)/Inputs!$C$49)+Inputs!$C$47*0.137))+0.35*COS(2*PI()*(((Inputs!$C$6)/Inputs!$C$50)+Inputs!$C$47*0.173))+0.2*SIN(2*PI()*(((A169)+(Inputs!$C$6))/(0.5*(Inputs!$C$49+Inputs!$C$50))+Inputs!$C$47*0.097)))+0.3*(2*((SIN(((A169)*12.9898+(Inputs!$C$6)*78.233+Inputs!$C$47*37.719))*43758.5453)-INT((SIN(((A169)*12.9898+(Inputs!$C$6)*78.233+Inputs!$C$47*37.719))*43758.5453)))-1)))</f>
        <v/>
      </c>
      <c r="Z169" s="9">
        <f>B169-X169/1000</f>
        <v/>
      </c>
      <c r="AA169" s="9">
        <f>SQRT((Inputs!$C$52+B169)^2+(Inputs!$C$52+Y169/1000)^2-2*(Inputs!$C$52+B169)*(Inputs!$C$52+Y169/1000)*COS(SQRT(A169^2+Inputs!$C$6^2)/Inputs!$C$52))</f>
        <v/>
      </c>
      <c r="AB169" s="9">
        <f>(AA169-Z169)*1000</f>
        <v/>
      </c>
      <c r="AC169" s="9">
        <f>AB169/Inputs!$C$12</f>
        <v/>
      </c>
      <c r="AD169" s="9">
        <f>2*AB169/Inputs!$C$21*1000000</f>
        <v/>
      </c>
      <c r="AE169" s="9">
        <f>DEGREES(ATAN(H169/(B169-Y169/1000)))</f>
        <v/>
      </c>
      <c r="AF169" s="9">
        <f>DEGREES((2*PI()/Inputs!$C$13)*Inputs!$C$15*SIN(RADIANS(AE169)))</f>
        <v/>
      </c>
      <c r="AG169" s="9">
        <f>(Z169/AA169)^4</f>
        <v/>
      </c>
      <c r="AH169" s="9">
        <f>10*LOG10(AG169)</f>
        <v/>
      </c>
      <c r="AI169" s="9">
        <f>AC169-F169</f>
        <v/>
      </c>
      <c r="AJ169" s="9">
        <f>AD169-G169</f>
        <v/>
      </c>
      <c r="AK169" s="9">
        <f>Y169-X169</f>
        <v/>
      </c>
      <c r="AL169" s="9">
        <f>1000*(AA170-AA168)/(A170-A168)*Inputs!$C$11</f>
        <v/>
      </c>
      <c r="AM169" s="9">
        <f>-2*AL169/Inputs!$C$13</f>
        <v/>
      </c>
      <c r="AN169" s="9">
        <f>-2*AL169/Inputs!$C$14</f>
        <v/>
      </c>
      <c r="AO169" s="9">
        <f>ABS(AM169)</f>
        <v/>
      </c>
      <c r="AP169" s="9">
        <f>ABS(AN169)</f>
        <v/>
      </c>
      <c r="AQ169" s="9">
        <f>IF(OR(Inputs!$C$27=TRUE,Inputs!$C$27="TRUE",Inputs!$C$27=1),Inputs!$C$46/Inputs!$C$12,0)</f>
        <v/>
      </c>
      <c r="AR169" s="9">
        <f>AC169-AQ169</f>
        <v/>
      </c>
      <c r="AS169" s="9">
        <f>AC169+AQ169</f>
        <v/>
      </c>
    </row>
    <row r="170">
      <c r="A170" s="9">
        <f>Inputs!$C$7+168*(Inputs!$C$8-Inputs!$C$7)/240</f>
        <v/>
      </c>
      <c r="B170" s="9">
        <f>Inputs!$C$5+Inputs!$C$9*(A170/Inputs!$C$10)^2</f>
        <v/>
      </c>
      <c r="C170" s="9">
        <f>B170</f>
        <v/>
      </c>
      <c r="D170" s="9">
        <f>SQRT((Inputs!$C$52+B170)^2+Inputs!$C$52^2-2*(Inputs!$C$52+B170)*Inputs!$C$52*COS(SQRT(A170^2+Inputs!$C$6^2)/Inputs!$C$52))</f>
        <v/>
      </c>
      <c r="E170" s="9">
        <f>(D170-C170)*1000</f>
        <v/>
      </c>
      <c r="F170" s="9">
        <f>E170/Inputs!$C$12</f>
        <v/>
      </c>
      <c r="G170" s="9">
        <f>2*E170/Inputs!$C$21*1000000</f>
        <v/>
      </c>
      <c r="H170" s="9">
        <f>SQRT(A170^2+Inputs!$C$6^2)</f>
        <v/>
      </c>
      <c r="I170" s="9">
        <f>DEGREES(ATAN(H170/B170))</f>
        <v/>
      </c>
      <c r="J170" s="9">
        <f>DEGREES((2*PI()/Inputs!$C$13)*Inputs!$C$15*SIN(RADIANS(I170)))</f>
        <v/>
      </c>
      <c r="K170" s="9">
        <f>(C170/D170)^4</f>
        <v/>
      </c>
      <c r="L170" s="9">
        <f>10*LOG10(K170)</f>
        <v/>
      </c>
      <c r="M170" s="9">
        <f>2*(Inputs!$C$9/(Inputs!$C$10^2))*A170</f>
        <v/>
      </c>
      <c r="N170" s="9">
        <f>M170*Inputs!$C$11</f>
        <v/>
      </c>
      <c r="O170" s="9">
        <f>1000*(D171-D169)/(A171-A169)*Inputs!$C$11</f>
        <v/>
      </c>
      <c r="P170" s="9">
        <f>-2*O170/Inputs!$C$13</f>
        <v/>
      </c>
      <c r="Q170" s="9">
        <f>-2*O170/Inputs!$C$14</f>
        <v/>
      </c>
      <c r="R170" s="9">
        <f>F170-Inputs!$C$16/2</f>
        <v/>
      </c>
      <c r="S170" s="9">
        <f>F170+Inputs!$C$16/2</f>
        <v/>
      </c>
      <c r="T170" s="9">
        <f>F170-Inputs!$C$17/2</f>
        <v/>
      </c>
      <c r="U170" s="9">
        <f>F170+Inputs!$C$17/2</f>
        <v/>
      </c>
      <c r="V170" s="9">
        <f>ABS(P170)</f>
        <v/>
      </c>
      <c r="W170" s="9">
        <f>ABS(Q170)</f>
        <v/>
      </c>
      <c r="X170" s="9">
        <f>IF(OR(Inputs!$C$27=TRUE,Inputs!$C$27="TRUE",Inputs!$C$27=1),1,0)*(Inputs!$C$51*(115*EXP(-(((0)-25)^2)/(4.5^2))+70*EXP(-(((0)+38)^2)/(7^2))*(0.55+0.45*SIN(2*PI()*(A170)/45))+24*SIN(2*PI()*(0)/9+(A170)/18)*EXP(-(((0)+5)^2)/(22^2))+18*SIN(2*PI()*(A170)/70))+Inputs!$C$28*EXP(-(((A170)-Inputs!$C$29)^2)/(2*Inputs!$C$31^2))*EXP(-(((0)-Inputs!$C$30)^2)/(2*Inputs!$C$32^2))+-Inputs!$C$33*EXP(-(((((A170)-Inputs!$C$34)^2)+(((0)-Inputs!$C$35)^2))/(2*Inputs!$C$36^2)))+Inputs!$C$37*(0.55*SIN(2*PI()*(A170)/Inputs!$C$39)+0.35*COS(2*PI()*(0)/Inputs!$C$40)+0.2*SIN(2*PI()*((A170)+(0))/(0.5*(Inputs!$C$39+Inputs!$C$40))))+Inputs!$C$38*SIN(2*PI()*(A170)/Inputs!$C$39)*SIN(2*PI()*(0)/Inputs!$C$40)+-Inputs!$C$41*EXP(-(((0)-Inputs!$C$43)^2)/(2*Inputs!$C$44^2))*EXP(-(((A170)-Inputs!$C$42)^2)/(2*Inputs!$C$45^2))+Inputs!$C$48*(0.7*(0.45*SIN(2*PI()*(((A170)/Inputs!$C$49)+Inputs!$C$47*0.137))+0.35*COS(2*PI()*(((0)/Inputs!$C$50)+Inputs!$C$47*0.173))+0.2*SIN(2*PI()*(((A170)+(0))/(0.5*(Inputs!$C$49+Inputs!$C$50))+Inputs!$C$47*0.097)))+0.3*(2*((SIN(((A170)*12.9898+(0)*78.233+Inputs!$C$47*37.719))*43758.5453)-INT((SIN(((A170)*12.9898+(0)*78.233+Inputs!$C$47*37.719))*43758.5453)))-1)))</f>
        <v/>
      </c>
      <c r="Y170" s="9">
        <f>IF(OR(Inputs!$C$27=TRUE,Inputs!$C$27="TRUE",Inputs!$C$27=1),1,0)*(Inputs!$C$51*(115*EXP(-(((Inputs!$C$6)-25)^2)/(4.5^2))+70*EXP(-(((Inputs!$C$6)+38)^2)/(7^2))*(0.55+0.45*SIN(2*PI()*(A170)/45))+24*SIN(2*PI()*(Inputs!$C$6)/9+(A170)/18)*EXP(-(((Inputs!$C$6)+5)^2)/(22^2))+18*SIN(2*PI()*(A170)/70))+Inputs!$C$28*EXP(-(((A170)-Inputs!$C$29)^2)/(2*Inputs!$C$31^2))*EXP(-(((Inputs!$C$6)-Inputs!$C$30)^2)/(2*Inputs!$C$32^2))+-Inputs!$C$33*EXP(-(((((A170)-Inputs!$C$34)^2)+(((Inputs!$C$6)-Inputs!$C$35)^2))/(2*Inputs!$C$36^2)))+Inputs!$C$37*(0.55*SIN(2*PI()*(A170)/Inputs!$C$39)+0.35*COS(2*PI()*(Inputs!$C$6)/Inputs!$C$40)+0.2*SIN(2*PI()*((A170)+(Inputs!$C$6))/(0.5*(Inputs!$C$39+Inputs!$C$40))))+Inputs!$C$38*SIN(2*PI()*(A170)/Inputs!$C$39)*SIN(2*PI()*(Inputs!$C$6)/Inputs!$C$40)+-Inputs!$C$41*EXP(-(((Inputs!$C$6)-Inputs!$C$43)^2)/(2*Inputs!$C$44^2))*EXP(-(((A170)-Inputs!$C$42)^2)/(2*Inputs!$C$45^2))+Inputs!$C$48*(0.7*(0.45*SIN(2*PI()*(((A170)/Inputs!$C$49)+Inputs!$C$47*0.137))+0.35*COS(2*PI()*(((Inputs!$C$6)/Inputs!$C$50)+Inputs!$C$47*0.173))+0.2*SIN(2*PI()*(((A170)+(Inputs!$C$6))/(0.5*(Inputs!$C$49+Inputs!$C$50))+Inputs!$C$47*0.097)))+0.3*(2*((SIN(((A170)*12.9898+(Inputs!$C$6)*78.233+Inputs!$C$47*37.719))*43758.5453)-INT((SIN(((A170)*12.9898+(Inputs!$C$6)*78.233+Inputs!$C$47*37.719))*43758.5453)))-1)))</f>
        <v/>
      </c>
      <c r="Z170" s="9">
        <f>B170-X170/1000</f>
        <v/>
      </c>
      <c r="AA170" s="9">
        <f>SQRT((Inputs!$C$52+B170)^2+(Inputs!$C$52+Y170/1000)^2-2*(Inputs!$C$52+B170)*(Inputs!$C$52+Y170/1000)*COS(SQRT(A170^2+Inputs!$C$6^2)/Inputs!$C$52))</f>
        <v/>
      </c>
      <c r="AB170" s="9">
        <f>(AA170-Z170)*1000</f>
        <v/>
      </c>
      <c r="AC170" s="9">
        <f>AB170/Inputs!$C$12</f>
        <v/>
      </c>
      <c r="AD170" s="9">
        <f>2*AB170/Inputs!$C$21*1000000</f>
        <v/>
      </c>
      <c r="AE170" s="9">
        <f>DEGREES(ATAN(H170/(B170-Y170/1000)))</f>
        <v/>
      </c>
      <c r="AF170" s="9">
        <f>DEGREES((2*PI()/Inputs!$C$13)*Inputs!$C$15*SIN(RADIANS(AE170)))</f>
        <v/>
      </c>
      <c r="AG170" s="9">
        <f>(Z170/AA170)^4</f>
        <v/>
      </c>
      <c r="AH170" s="9">
        <f>10*LOG10(AG170)</f>
        <v/>
      </c>
      <c r="AI170" s="9">
        <f>AC170-F170</f>
        <v/>
      </c>
      <c r="AJ170" s="9">
        <f>AD170-G170</f>
        <v/>
      </c>
      <c r="AK170" s="9">
        <f>Y170-X170</f>
        <v/>
      </c>
      <c r="AL170" s="9">
        <f>1000*(AA171-AA169)/(A171-A169)*Inputs!$C$11</f>
        <v/>
      </c>
      <c r="AM170" s="9">
        <f>-2*AL170/Inputs!$C$13</f>
        <v/>
      </c>
      <c r="AN170" s="9">
        <f>-2*AL170/Inputs!$C$14</f>
        <v/>
      </c>
      <c r="AO170" s="9">
        <f>ABS(AM170)</f>
        <v/>
      </c>
      <c r="AP170" s="9">
        <f>ABS(AN170)</f>
        <v/>
      </c>
      <c r="AQ170" s="9">
        <f>IF(OR(Inputs!$C$27=TRUE,Inputs!$C$27="TRUE",Inputs!$C$27=1),Inputs!$C$46/Inputs!$C$12,0)</f>
        <v/>
      </c>
      <c r="AR170" s="9">
        <f>AC170-AQ170</f>
        <v/>
      </c>
      <c r="AS170" s="9">
        <f>AC170+AQ170</f>
        <v/>
      </c>
    </row>
    <row r="171">
      <c r="A171" s="9">
        <f>Inputs!$C$7+169*(Inputs!$C$8-Inputs!$C$7)/240</f>
        <v/>
      </c>
      <c r="B171" s="9">
        <f>Inputs!$C$5+Inputs!$C$9*(A171/Inputs!$C$10)^2</f>
        <v/>
      </c>
      <c r="C171" s="9">
        <f>B171</f>
        <v/>
      </c>
      <c r="D171" s="9">
        <f>SQRT((Inputs!$C$52+B171)^2+Inputs!$C$52^2-2*(Inputs!$C$52+B171)*Inputs!$C$52*COS(SQRT(A171^2+Inputs!$C$6^2)/Inputs!$C$52))</f>
        <v/>
      </c>
      <c r="E171" s="9">
        <f>(D171-C171)*1000</f>
        <v/>
      </c>
      <c r="F171" s="9">
        <f>E171/Inputs!$C$12</f>
        <v/>
      </c>
      <c r="G171" s="9">
        <f>2*E171/Inputs!$C$21*1000000</f>
        <v/>
      </c>
      <c r="H171" s="9">
        <f>SQRT(A171^2+Inputs!$C$6^2)</f>
        <v/>
      </c>
      <c r="I171" s="9">
        <f>DEGREES(ATAN(H171/B171))</f>
        <v/>
      </c>
      <c r="J171" s="9">
        <f>DEGREES((2*PI()/Inputs!$C$13)*Inputs!$C$15*SIN(RADIANS(I171)))</f>
        <v/>
      </c>
      <c r="K171" s="9">
        <f>(C171/D171)^4</f>
        <v/>
      </c>
      <c r="L171" s="9">
        <f>10*LOG10(K171)</f>
        <v/>
      </c>
      <c r="M171" s="9">
        <f>2*(Inputs!$C$9/(Inputs!$C$10^2))*A171</f>
        <v/>
      </c>
      <c r="N171" s="9">
        <f>M171*Inputs!$C$11</f>
        <v/>
      </c>
      <c r="O171" s="9">
        <f>1000*(D172-D170)/(A172-A170)*Inputs!$C$11</f>
        <v/>
      </c>
      <c r="P171" s="9">
        <f>-2*O171/Inputs!$C$13</f>
        <v/>
      </c>
      <c r="Q171" s="9">
        <f>-2*O171/Inputs!$C$14</f>
        <v/>
      </c>
      <c r="R171" s="9">
        <f>F171-Inputs!$C$16/2</f>
        <v/>
      </c>
      <c r="S171" s="9">
        <f>F171+Inputs!$C$16/2</f>
        <v/>
      </c>
      <c r="T171" s="9">
        <f>F171-Inputs!$C$17/2</f>
        <v/>
      </c>
      <c r="U171" s="9">
        <f>F171+Inputs!$C$17/2</f>
        <v/>
      </c>
      <c r="V171" s="9">
        <f>ABS(P171)</f>
        <v/>
      </c>
      <c r="W171" s="9">
        <f>ABS(Q171)</f>
        <v/>
      </c>
      <c r="X171" s="9">
        <f>IF(OR(Inputs!$C$27=TRUE,Inputs!$C$27="TRUE",Inputs!$C$27=1),1,0)*(Inputs!$C$51*(115*EXP(-(((0)-25)^2)/(4.5^2))+70*EXP(-(((0)+38)^2)/(7^2))*(0.55+0.45*SIN(2*PI()*(A171)/45))+24*SIN(2*PI()*(0)/9+(A171)/18)*EXP(-(((0)+5)^2)/(22^2))+18*SIN(2*PI()*(A171)/70))+Inputs!$C$28*EXP(-(((A171)-Inputs!$C$29)^2)/(2*Inputs!$C$31^2))*EXP(-(((0)-Inputs!$C$30)^2)/(2*Inputs!$C$32^2))+-Inputs!$C$33*EXP(-(((((A171)-Inputs!$C$34)^2)+(((0)-Inputs!$C$35)^2))/(2*Inputs!$C$36^2)))+Inputs!$C$37*(0.55*SIN(2*PI()*(A171)/Inputs!$C$39)+0.35*COS(2*PI()*(0)/Inputs!$C$40)+0.2*SIN(2*PI()*((A171)+(0))/(0.5*(Inputs!$C$39+Inputs!$C$40))))+Inputs!$C$38*SIN(2*PI()*(A171)/Inputs!$C$39)*SIN(2*PI()*(0)/Inputs!$C$40)+-Inputs!$C$41*EXP(-(((0)-Inputs!$C$43)^2)/(2*Inputs!$C$44^2))*EXP(-(((A171)-Inputs!$C$42)^2)/(2*Inputs!$C$45^2))+Inputs!$C$48*(0.7*(0.45*SIN(2*PI()*(((A171)/Inputs!$C$49)+Inputs!$C$47*0.137))+0.35*COS(2*PI()*(((0)/Inputs!$C$50)+Inputs!$C$47*0.173))+0.2*SIN(2*PI()*(((A171)+(0))/(0.5*(Inputs!$C$49+Inputs!$C$50))+Inputs!$C$47*0.097)))+0.3*(2*((SIN(((A171)*12.9898+(0)*78.233+Inputs!$C$47*37.719))*43758.5453)-INT((SIN(((A171)*12.9898+(0)*78.233+Inputs!$C$47*37.719))*43758.5453)))-1)))</f>
        <v/>
      </c>
      <c r="Y171" s="9">
        <f>IF(OR(Inputs!$C$27=TRUE,Inputs!$C$27="TRUE",Inputs!$C$27=1),1,0)*(Inputs!$C$51*(115*EXP(-(((Inputs!$C$6)-25)^2)/(4.5^2))+70*EXP(-(((Inputs!$C$6)+38)^2)/(7^2))*(0.55+0.45*SIN(2*PI()*(A171)/45))+24*SIN(2*PI()*(Inputs!$C$6)/9+(A171)/18)*EXP(-(((Inputs!$C$6)+5)^2)/(22^2))+18*SIN(2*PI()*(A171)/70))+Inputs!$C$28*EXP(-(((A171)-Inputs!$C$29)^2)/(2*Inputs!$C$31^2))*EXP(-(((Inputs!$C$6)-Inputs!$C$30)^2)/(2*Inputs!$C$32^2))+-Inputs!$C$33*EXP(-(((((A171)-Inputs!$C$34)^2)+(((Inputs!$C$6)-Inputs!$C$35)^2))/(2*Inputs!$C$36^2)))+Inputs!$C$37*(0.55*SIN(2*PI()*(A171)/Inputs!$C$39)+0.35*COS(2*PI()*(Inputs!$C$6)/Inputs!$C$40)+0.2*SIN(2*PI()*((A171)+(Inputs!$C$6))/(0.5*(Inputs!$C$39+Inputs!$C$40))))+Inputs!$C$38*SIN(2*PI()*(A171)/Inputs!$C$39)*SIN(2*PI()*(Inputs!$C$6)/Inputs!$C$40)+-Inputs!$C$41*EXP(-(((Inputs!$C$6)-Inputs!$C$43)^2)/(2*Inputs!$C$44^2))*EXP(-(((A171)-Inputs!$C$42)^2)/(2*Inputs!$C$45^2))+Inputs!$C$48*(0.7*(0.45*SIN(2*PI()*(((A171)/Inputs!$C$49)+Inputs!$C$47*0.137))+0.35*COS(2*PI()*(((Inputs!$C$6)/Inputs!$C$50)+Inputs!$C$47*0.173))+0.2*SIN(2*PI()*(((A171)+(Inputs!$C$6))/(0.5*(Inputs!$C$49+Inputs!$C$50))+Inputs!$C$47*0.097)))+0.3*(2*((SIN(((A171)*12.9898+(Inputs!$C$6)*78.233+Inputs!$C$47*37.719))*43758.5453)-INT((SIN(((A171)*12.9898+(Inputs!$C$6)*78.233+Inputs!$C$47*37.719))*43758.5453)))-1)))</f>
        <v/>
      </c>
      <c r="Z171" s="9">
        <f>B171-X171/1000</f>
        <v/>
      </c>
      <c r="AA171" s="9">
        <f>SQRT((Inputs!$C$52+B171)^2+(Inputs!$C$52+Y171/1000)^2-2*(Inputs!$C$52+B171)*(Inputs!$C$52+Y171/1000)*COS(SQRT(A171^2+Inputs!$C$6^2)/Inputs!$C$52))</f>
        <v/>
      </c>
      <c r="AB171" s="9">
        <f>(AA171-Z171)*1000</f>
        <v/>
      </c>
      <c r="AC171" s="9">
        <f>AB171/Inputs!$C$12</f>
        <v/>
      </c>
      <c r="AD171" s="9">
        <f>2*AB171/Inputs!$C$21*1000000</f>
        <v/>
      </c>
      <c r="AE171" s="9">
        <f>DEGREES(ATAN(H171/(B171-Y171/1000)))</f>
        <v/>
      </c>
      <c r="AF171" s="9">
        <f>DEGREES((2*PI()/Inputs!$C$13)*Inputs!$C$15*SIN(RADIANS(AE171)))</f>
        <v/>
      </c>
      <c r="AG171" s="9">
        <f>(Z171/AA171)^4</f>
        <v/>
      </c>
      <c r="AH171" s="9">
        <f>10*LOG10(AG171)</f>
        <v/>
      </c>
      <c r="AI171" s="9">
        <f>AC171-F171</f>
        <v/>
      </c>
      <c r="AJ171" s="9">
        <f>AD171-G171</f>
        <v/>
      </c>
      <c r="AK171" s="9">
        <f>Y171-X171</f>
        <v/>
      </c>
      <c r="AL171" s="9">
        <f>1000*(AA172-AA170)/(A172-A170)*Inputs!$C$11</f>
        <v/>
      </c>
      <c r="AM171" s="9">
        <f>-2*AL171/Inputs!$C$13</f>
        <v/>
      </c>
      <c r="AN171" s="9">
        <f>-2*AL171/Inputs!$C$14</f>
        <v/>
      </c>
      <c r="AO171" s="9">
        <f>ABS(AM171)</f>
        <v/>
      </c>
      <c r="AP171" s="9">
        <f>ABS(AN171)</f>
        <v/>
      </c>
      <c r="AQ171" s="9">
        <f>IF(OR(Inputs!$C$27=TRUE,Inputs!$C$27="TRUE",Inputs!$C$27=1),Inputs!$C$46/Inputs!$C$12,0)</f>
        <v/>
      </c>
      <c r="AR171" s="9">
        <f>AC171-AQ171</f>
        <v/>
      </c>
      <c r="AS171" s="9">
        <f>AC171+AQ171</f>
        <v/>
      </c>
    </row>
    <row r="172">
      <c r="A172" s="9">
        <f>Inputs!$C$7+170*(Inputs!$C$8-Inputs!$C$7)/240</f>
        <v/>
      </c>
      <c r="B172" s="9">
        <f>Inputs!$C$5+Inputs!$C$9*(A172/Inputs!$C$10)^2</f>
        <v/>
      </c>
      <c r="C172" s="9">
        <f>B172</f>
        <v/>
      </c>
      <c r="D172" s="9">
        <f>SQRT((Inputs!$C$52+B172)^2+Inputs!$C$52^2-2*(Inputs!$C$52+B172)*Inputs!$C$52*COS(SQRT(A172^2+Inputs!$C$6^2)/Inputs!$C$52))</f>
        <v/>
      </c>
      <c r="E172" s="9">
        <f>(D172-C172)*1000</f>
        <v/>
      </c>
      <c r="F172" s="9">
        <f>E172/Inputs!$C$12</f>
        <v/>
      </c>
      <c r="G172" s="9">
        <f>2*E172/Inputs!$C$21*1000000</f>
        <v/>
      </c>
      <c r="H172" s="9">
        <f>SQRT(A172^2+Inputs!$C$6^2)</f>
        <v/>
      </c>
      <c r="I172" s="9">
        <f>DEGREES(ATAN(H172/B172))</f>
        <v/>
      </c>
      <c r="J172" s="9">
        <f>DEGREES((2*PI()/Inputs!$C$13)*Inputs!$C$15*SIN(RADIANS(I172)))</f>
        <v/>
      </c>
      <c r="K172" s="9">
        <f>(C172/D172)^4</f>
        <v/>
      </c>
      <c r="L172" s="9">
        <f>10*LOG10(K172)</f>
        <v/>
      </c>
      <c r="M172" s="9">
        <f>2*(Inputs!$C$9/(Inputs!$C$10^2))*A172</f>
        <v/>
      </c>
      <c r="N172" s="9">
        <f>M172*Inputs!$C$11</f>
        <v/>
      </c>
      <c r="O172" s="9">
        <f>1000*(D173-D171)/(A173-A171)*Inputs!$C$11</f>
        <v/>
      </c>
      <c r="P172" s="9">
        <f>-2*O172/Inputs!$C$13</f>
        <v/>
      </c>
      <c r="Q172" s="9">
        <f>-2*O172/Inputs!$C$14</f>
        <v/>
      </c>
      <c r="R172" s="9">
        <f>F172-Inputs!$C$16/2</f>
        <v/>
      </c>
      <c r="S172" s="9">
        <f>F172+Inputs!$C$16/2</f>
        <v/>
      </c>
      <c r="T172" s="9">
        <f>F172-Inputs!$C$17/2</f>
        <v/>
      </c>
      <c r="U172" s="9">
        <f>F172+Inputs!$C$17/2</f>
        <v/>
      </c>
      <c r="V172" s="9">
        <f>ABS(P172)</f>
        <v/>
      </c>
      <c r="W172" s="9">
        <f>ABS(Q172)</f>
        <v/>
      </c>
      <c r="X172" s="9">
        <f>IF(OR(Inputs!$C$27=TRUE,Inputs!$C$27="TRUE",Inputs!$C$27=1),1,0)*(Inputs!$C$51*(115*EXP(-(((0)-25)^2)/(4.5^2))+70*EXP(-(((0)+38)^2)/(7^2))*(0.55+0.45*SIN(2*PI()*(A172)/45))+24*SIN(2*PI()*(0)/9+(A172)/18)*EXP(-(((0)+5)^2)/(22^2))+18*SIN(2*PI()*(A172)/70))+Inputs!$C$28*EXP(-(((A172)-Inputs!$C$29)^2)/(2*Inputs!$C$31^2))*EXP(-(((0)-Inputs!$C$30)^2)/(2*Inputs!$C$32^2))+-Inputs!$C$33*EXP(-(((((A172)-Inputs!$C$34)^2)+(((0)-Inputs!$C$35)^2))/(2*Inputs!$C$36^2)))+Inputs!$C$37*(0.55*SIN(2*PI()*(A172)/Inputs!$C$39)+0.35*COS(2*PI()*(0)/Inputs!$C$40)+0.2*SIN(2*PI()*((A172)+(0))/(0.5*(Inputs!$C$39+Inputs!$C$40))))+Inputs!$C$38*SIN(2*PI()*(A172)/Inputs!$C$39)*SIN(2*PI()*(0)/Inputs!$C$40)+-Inputs!$C$41*EXP(-(((0)-Inputs!$C$43)^2)/(2*Inputs!$C$44^2))*EXP(-(((A172)-Inputs!$C$42)^2)/(2*Inputs!$C$45^2))+Inputs!$C$48*(0.7*(0.45*SIN(2*PI()*(((A172)/Inputs!$C$49)+Inputs!$C$47*0.137))+0.35*COS(2*PI()*(((0)/Inputs!$C$50)+Inputs!$C$47*0.173))+0.2*SIN(2*PI()*(((A172)+(0))/(0.5*(Inputs!$C$49+Inputs!$C$50))+Inputs!$C$47*0.097)))+0.3*(2*((SIN(((A172)*12.9898+(0)*78.233+Inputs!$C$47*37.719))*43758.5453)-INT((SIN(((A172)*12.9898+(0)*78.233+Inputs!$C$47*37.719))*43758.5453)))-1)))</f>
        <v/>
      </c>
      <c r="Y172" s="9">
        <f>IF(OR(Inputs!$C$27=TRUE,Inputs!$C$27="TRUE",Inputs!$C$27=1),1,0)*(Inputs!$C$51*(115*EXP(-(((Inputs!$C$6)-25)^2)/(4.5^2))+70*EXP(-(((Inputs!$C$6)+38)^2)/(7^2))*(0.55+0.45*SIN(2*PI()*(A172)/45))+24*SIN(2*PI()*(Inputs!$C$6)/9+(A172)/18)*EXP(-(((Inputs!$C$6)+5)^2)/(22^2))+18*SIN(2*PI()*(A172)/70))+Inputs!$C$28*EXP(-(((A172)-Inputs!$C$29)^2)/(2*Inputs!$C$31^2))*EXP(-(((Inputs!$C$6)-Inputs!$C$30)^2)/(2*Inputs!$C$32^2))+-Inputs!$C$33*EXP(-(((((A172)-Inputs!$C$34)^2)+(((Inputs!$C$6)-Inputs!$C$35)^2))/(2*Inputs!$C$36^2)))+Inputs!$C$37*(0.55*SIN(2*PI()*(A172)/Inputs!$C$39)+0.35*COS(2*PI()*(Inputs!$C$6)/Inputs!$C$40)+0.2*SIN(2*PI()*((A172)+(Inputs!$C$6))/(0.5*(Inputs!$C$39+Inputs!$C$40))))+Inputs!$C$38*SIN(2*PI()*(A172)/Inputs!$C$39)*SIN(2*PI()*(Inputs!$C$6)/Inputs!$C$40)+-Inputs!$C$41*EXP(-(((Inputs!$C$6)-Inputs!$C$43)^2)/(2*Inputs!$C$44^2))*EXP(-(((A172)-Inputs!$C$42)^2)/(2*Inputs!$C$45^2))+Inputs!$C$48*(0.7*(0.45*SIN(2*PI()*(((A172)/Inputs!$C$49)+Inputs!$C$47*0.137))+0.35*COS(2*PI()*(((Inputs!$C$6)/Inputs!$C$50)+Inputs!$C$47*0.173))+0.2*SIN(2*PI()*(((A172)+(Inputs!$C$6))/(0.5*(Inputs!$C$49+Inputs!$C$50))+Inputs!$C$47*0.097)))+0.3*(2*((SIN(((A172)*12.9898+(Inputs!$C$6)*78.233+Inputs!$C$47*37.719))*43758.5453)-INT((SIN(((A172)*12.9898+(Inputs!$C$6)*78.233+Inputs!$C$47*37.719))*43758.5453)))-1)))</f>
        <v/>
      </c>
      <c r="Z172" s="9">
        <f>B172-X172/1000</f>
        <v/>
      </c>
      <c r="AA172" s="9">
        <f>SQRT((Inputs!$C$52+B172)^2+(Inputs!$C$52+Y172/1000)^2-2*(Inputs!$C$52+B172)*(Inputs!$C$52+Y172/1000)*COS(SQRT(A172^2+Inputs!$C$6^2)/Inputs!$C$52))</f>
        <v/>
      </c>
      <c r="AB172" s="9">
        <f>(AA172-Z172)*1000</f>
        <v/>
      </c>
      <c r="AC172" s="9">
        <f>AB172/Inputs!$C$12</f>
        <v/>
      </c>
      <c r="AD172" s="9">
        <f>2*AB172/Inputs!$C$21*1000000</f>
        <v/>
      </c>
      <c r="AE172" s="9">
        <f>DEGREES(ATAN(H172/(B172-Y172/1000)))</f>
        <v/>
      </c>
      <c r="AF172" s="9">
        <f>DEGREES((2*PI()/Inputs!$C$13)*Inputs!$C$15*SIN(RADIANS(AE172)))</f>
        <v/>
      </c>
      <c r="AG172" s="9">
        <f>(Z172/AA172)^4</f>
        <v/>
      </c>
      <c r="AH172" s="9">
        <f>10*LOG10(AG172)</f>
        <v/>
      </c>
      <c r="AI172" s="9">
        <f>AC172-F172</f>
        <v/>
      </c>
      <c r="AJ172" s="9">
        <f>AD172-G172</f>
        <v/>
      </c>
      <c r="AK172" s="9">
        <f>Y172-X172</f>
        <v/>
      </c>
      <c r="AL172" s="9">
        <f>1000*(AA173-AA171)/(A173-A171)*Inputs!$C$11</f>
        <v/>
      </c>
      <c r="AM172" s="9">
        <f>-2*AL172/Inputs!$C$13</f>
        <v/>
      </c>
      <c r="AN172" s="9">
        <f>-2*AL172/Inputs!$C$14</f>
        <v/>
      </c>
      <c r="AO172" s="9">
        <f>ABS(AM172)</f>
        <v/>
      </c>
      <c r="AP172" s="9">
        <f>ABS(AN172)</f>
        <v/>
      </c>
      <c r="AQ172" s="9">
        <f>IF(OR(Inputs!$C$27=TRUE,Inputs!$C$27="TRUE",Inputs!$C$27=1),Inputs!$C$46/Inputs!$C$12,0)</f>
        <v/>
      </c>
      <c r="AR172" s="9">
        <f>AC172-AQ172</f>
        <v/>
      </c>
      <c r="AS172" s="9">
        <f>AC172+AQ172</f>
        <v/>
      </c>
    </row>
    <row r="173">
      <c r="A173" s="9">
        <f>Inputs!$C$7+171*(Inputs!$C$8-Inputs!$C$7)/240</f>
        <v/>
      </c>
      <c r="B173" s="9">
        <f>Inputs!$C$5+Inputs!$C$9*(A173/Inputs!$C$10)^2</f>
        <v/>
      </c>
      <c r="C173" s="9">
        <f>B173</f>
        <v/>
      </c>
      <c r="D173" s="9">
        <f>SQRT((Inputs!$C$52+B173)^2+Inputs!$C$52^2-2*(Inputs!$C$52+B173)*Inputs!$C$52*COS(SQRT(A173^2+Inputs!$C$6^2)/Inputs!$C$52))</f>
        <v/>
      </c>
      <c r="E173" s="9">
        <f>(D173-C173)*1000</f>
        <v/>
      </c>
      <c r="F173" s="9">
        <f>E173/Inputs!$C$12</f>
        <v/>
      </c>
      <c r="G173" s="9">
        <f>2*E173/Inputs!$C$21*1000000</f>
        <v/>
      </c>
      <c r="H173" s="9">
        <f>SQRT(A173^2+Inputs!$C$6^2)</f>
        <v/>
      </c>
      <c r="I173" s="9">
        <f>DEGREES(ATAN(H173/B173))</f>
        <v/>
      </c>
      <c r="J173" s="9">
        <f>DEGREES((2*PI()/Inputs!$C$13)*Inputs!$C$15*SIN(RADIANS(I173)))</f>
        <v/>
      </c>
      <c r="K173" s="9">
        <f>(C173/D173)^4</f>
        <v/>
      </c>
      <c r="L173" s="9">
        <f>10*LOG10(K173)</f>
        <v/>
      </c>
      <c r="M173" s="9">
        <f>2*(Inputs!$C$9/(Inputs!$C$10^2))*A173</f>
        <v/>
      </c>
      <c r="N173" s="9">
        <f>M173*Inputs!$C$11</f>
        <v/>
      </c>
      <c r="O173" s="9">
        <f>1000*(D174-D172)/(A174-A172)*Inputs!$C$11</f>
        <v/>
      </c>
      <c r="P173" s="9">
        <f>-2*O173/Inputs!$C$13</f>
        <v/>
      </c>
      <c r="Q173" s="9">
        <f>-2*O173/Inputs!$C$14</f>
        <v/>
      </c>
      <c r="R173" s="9">
        <f>F173-Inputs!$C$16/2</f>
        <v/>
      </c>
      <c r="S173" s="9">
        <f>F173+Inputs!$C$16/2</f>
        <v/>
      </c>
      <c r="T173" s="9">
        <f>F173-Inputs!$C$17/2</f>
        <v/>
      </c>
      <c r="U173" s="9">
        <f>F173+Inputs!$C$17/2</f>
        <v/>
      </c>
      <c r="V173" s="9">
        <f>ABS(P173)</f>
        <v/>
      </c>
      <c r="W173" s="9">
        <f>ABS(Q173)</f>
        <v/>
      </c>
      <c r="X173" s="9">
        <f>IF(OR(Inputs!$C$27=TRUE,Inputs!$C$27="TRUE",Inputs!$C$27=1),1,0)*(Inputs!$C$51*(115*EXP(-(((0)-25)^2)/(4.5^2))+70*EXP(-(((0)+38)^2)/(7^2))*(0.55+0.45*SIN(2*PI()*(A173)/45))+24*SIN(2*PI()*(0)/9+(A173)/18)*EXP(-(((0)+5)^2)/(22^2))+18*SIN(2*PI()*(A173)/70))+Inputs!$C$28*EXP(-(((A173)-Inputs!$C$29)^2)/(2*Inputs!$C$31^2))*EXP(-(((0)-Inputs!$C$30)^2)/(2*Inputs!$C$32^2))+-Inputs!$C$33*EXP(-(((((A173)-Inputs!$C$34)^2)+(((0)-Inputs!$C$35)^2))/(2*Inputs!$C$36^2)))+Inputs!$C$37*(0.55*SIN(2*PI()*(A173)/Inputs!$C$39)+0.35*COS(2*PI()*(0)/Inputs!$C$40)+0.2*SIN(2*PI()*((A173)+(0))/(0.5*(Inputs!$C$39+Inputs!$C$40))))+Inputs!$C$38*SIN(2*PI()*(A173)/Inputs!$C$39)*SIN(2*PI()*(0)/Inputs!$C$40)+-Inputs!$C$41*EXP(-(((0)-Inputs!$C$43)^2)/(2*Inputs!$C$44^2))*EXP(-(((A173)-Inputs!$C$42)^2)/(2*Inputs!$C$45^2))+Inputs!$C$48*(0.7*(0.45*SIN(2*PI()*(((A173)/Inputs!$C$49)+Inputs!$C$47*0.137))+0.35*COS(2*PI()*(((0)/Inputs!$C$50)+Inputs!$C$47*0.173))+0.2*SIN(2*PI()*(((A173)+(0))/(0.5*(Inputs!$C$49+Inputs!$C$50))+Inputs!$C$47*0.097)))+0.3*(2*((SIN(((A173)*12.9898+(0)*78.233+Inputs!$C$47*37.719))*43758.5453)-INT((SIN(((A173)*12.9898+(0)*78.233+Inputs!$C$47*37.719))*43758.5453)))-1)))</f>
        <v/>
      </c>
      <c r="Y173" s="9">
        <f>IF(OR(Inputs!$C$27=TRUE,Inputs!$C$27="TRUE",Inputs!$C$27=1),1,0)*(Inputs!$C$51*(115*EXP(-(((Inputs!$C$6)-25)^2)/(4.5^2))+70*EXP(-(((Inputs!$C$6)+38)^2)/(7^2))*(0.55+0.45*SIN(2*PI()*(A173)/45))+24*SIN(2*PI()*(Inputs!$C$6)/9+(A173)/18)*EXP(-(((Inputs!$C$6)+5)^2)/(22^2))+18*SIN(2*PI()*(A173)/70))+Inputs!$C$28*EXP(-(((A173)-Inputs!$C$29)^2)/(2*Inputs!$C$31^2))*EXP(-(((Inputs!$C$6)-Inputs!$C$30)^2)/(2*Inputs!$C$32^2))+-Inputs!$C$33*EXP(-(((((A173)-Inputs!$C$34)^2)+(((Inputs!$C$6)-Inputs!$C$35)^2))/(2*Inputs!$C$36^2)))+Inputs!$C$37*(0.55*SIN(2*PI()*(A173)/Inputs!$C$39)+0.35*COS(2*PI()*(Inputs!$C$6)/Inputs!$C$40)+0.2*SIN(2*PI()*((A173)+(Inputs!$C$6))/(0.5*(Inputs!$C$39+Inputs!$C$40))))+Inputs!$C$38*SIN(2*PI()*(A173)/Inputs!$C$39)*SIN(2*PI()*(Inputs!$C$6)/Inputs!$C$40)+-Inputs!$C$41*EXP(-(((Inputs!$C$6)-Inputs!$C$43)^2)/(2*Inputs!$C$44^2))*EXP(-(((A173)-Inputs!$C$42)^2)/(2*Inputs!$C$45^2))+Inputs!$C$48*(0.7*(0.45*SIN(2*PI()*(((A173)/Inputs!$C$49)+Inputs!$C$47*0.137))+0.35*COS(2*PI()*(((Inputs!$C$6)/Inputs!$C$50)+Inputs!$C$47*0.173))+0.2*SIN(2*PI()*(((A173)+(Inputs!$C$6))/(0.5*(Inputs!$C$49+Inputs!$C$50))+Inputs!$C$47*0.097)))+0.3*(2*((SIN(((A173)*12.9898+(Inputs!$C$6)*78.233+Inputs!$C$47*37.719))*43758.5453)-INT((SIN(((A173)*12.9898+(Inputs!$C$6)*78.233+Inputs!$C$47*37.719))*43758.5453)))-1)))</f>
        <v/>
      </c>
      <c r="Z173" s="9">
        <f>B173-X173/1000</f>
        <v/>
      </c>
      <c r="AA173" s="9">
        <f>SQRT((Inputs!$C$52+B173)^2+(Inputs!$C$52+Y173/1000)^2-2*(Inputs!$C$52+B173)*(Inputs!$C$52+Y173/1000)*COS(SQRT(A173^2+Inputs!$C$6^2)/Inputs!$C$52))</f>
        <v/>
      </c>
      <c r="AB173" s="9">
        <f>(AA173-Z173)*1000</f>
        <v/>
      </c>
      <c r="AC173" s="9">
        <f>AB173/Inputs!$C$12</f>
        <v/>
      </c>
      <c r="AD173" s="9">
        <f>2*AB173/Inputs!$C$21*1000000</f>
        <v/>
      </c>
      <c r="AE173" s="9">
        <f>DEGREES(ATAN(H173/(B173-Y173/1000)))</f>
        <v/>
      </c>
      <c r="AF173" s="9">
        <f>DEGREES((2*PI()/Inputs!$C$13)*Inputs!$C$15*SIN(RADIANS(AE173)))</f>
        <v/>
      </c>
      <c r="AG173" s="9">
        <f>(Z173/AA173)^4</f>
        <v/>
      </c>
      <c r="AH173" s="9">
        <f>10*LOG10(AG173)</f>
        <v/>
      </c>
      <c r="AI173" s="9">
        <f>AC173-F173</f>
        <v/>
      </c>
      <c r="AJ173" s="9">
        <f>AD173-G173</f>
        <v/>
      </c>
      <c r="AK173" s="9">
        <f>Y173-X173</f>
        <v/>
      </c>
      <c r="AL173" s="9">
        <f>1000*(AA174-AA172)/(A174-A172)*Inputs!$C$11</f>
        <v/>
      </c>
      <c r="AM173" s="9">
        <f>-2*AL173/Inputs!$C$13</f>
        <v/>
      </c>
      <c r="AN173" s="9">
        <f>-2*AL173/Inputs!$C$14</f>
        <v/>
      </c>
      <c r="AO173" s="9">
        <f>ABS(AM173)</f>
        <v/>
      </c>
      <c r="AP173" s="9">
        <f>ABS(AN173)</f>
        <v/>
      </c>
      <c r="AQ173" s="9">
        <f>IF(OR(Inputs!$C$27=TRUE,Inputs!$C$27="TRUE",Inputs!$C$27=1),Inputs!$C$46/Inputs!$C$12,0)</f>
        <v/>
      </c>
      <c r="AR173" s="9">
        <f>AC173-AQ173</f>
        <v/>
      </c>
      <c r="AS173" s="9">
        <f>AC173+AQ173</f>
        <v/>
      </c>
    </row>
    <row r="174">
      <c r="A174" s="9">
        <f>Inputs!$C$7+172*(Inputs!$C$8-Inputs!$C$7)/240</f>
        <v/>
      </c>
      <c r="B174" s="9">
        <f>Inputs!$C$5+Inputs!$C$9*(A174/Inputs!$C$10)^2</f>
        <v/>
      </c>
      <c r="C174" s="9">
        <f>B174</f>
        <v/>
      </c>
      <c r="D174" s="9">
        <f>SQRT((Inputs!$C$52+B174)^2+Inputs!$C$52^2-2*(Inputs!$C$52+B174)*Inputs!$C$52*COS(SQRT(A174^2+Inputs!$C$6^2)/Inputs!$C$52))</f>
        <v/>
      </c>
      <c r="E174" s="9">
        <f>(D174-C174)*1000</f>
        <v/>
      </c>
      <c r="F174" s="9">
        <f>E174/Inputs!$C$12</f>
        <v/>
      </c>
      <c r="G174" s="9">
        <f>2*E174/Inputs!$C$21*1000000</f>
        <v/>
      </c>
      <c r="H174" s="9">
        <f>SQRT(A174^2+Inputs!$C$6^2)</f>
        <v/>
      </c>
      <c r="I174" s="9">
        <f>DEGREES(ATAN(H174/B174))</f>
        <v/>
      </c>
      <c r="J174" s="9">
        <f>DEGREES((2*PI()/Inputs!$C$13)*Inputs!$C$15*SIN(RADIANS(I174)))</f>
        <v/>
      </c>
      <c r="K174" s="9">
        <f>(C174/D174)^4</f>
        <v/>
      </c>
      <c r="L174" s="9">
        <f>10*LOG10(K174)</f>
        <v/>
      </c>
      <c r="M174" s="9">
        <f>2*(Inputs!$C$9/(Inputs!$C$10^2))*A174</f>
        <v/>
      </c>
      <c r="N174" s="9">
        <f>M174*Inputs!$C$11</f>
        <v/>
      </c>
      <c r="O174" s="9">
        <f>1000*(D175-D173)/(A175-A173)*Inputs!$C$11</f>
        <v/>
      </c>
      <c r="P174" s="9">
        <f>-2*O174/Inputs!$C$13</f>
        <v/>
      </c>
      <c r="Q174" s="9">
        <f>-2*O174/Inputs!$C$14</f>
        <v/>
      </c>
      <c r="R174" s="9">
        <f>F174-Inputs!$C$16/2</f>
        <v/>
      </c>
      <c r="S174" s="9">
        <f>F174+Inputs!$C$16/2</f>
        <v/>
      </c>
      <c r="T174" s="9">
        <f>F174-Inputs!$C$17/2</f>
        <v/>
      </c>
      <c r="U174" s="9">
        <f>F174+Inputs!$C$17/2</f>
        <v/>
      </c>
      <c r="V174" s="9">
        <f>ABS(P174)</f>
        <v/>
      </c>
      <c r="W174" s="9">
        <f>ABS(Q174)</f>
        <v/>
      </c>
      <c r="X174" s="9">
        <f>IF(OR(Inputs!$C$27=TRUE,Inputs!$C$27="TRUE",Inputs!$C$27=1),1,0)*(Inputs!$C$51*(115*EXP(-(((0)-25)^2)/(4.5^2))+70*EXP(-(((0)+38)^2)/(7^2))*(0.55+0.45*SIN(2*PI()*(A174)/45))+24*SIN(2*PI()*(0)/9+(A174)/18)*EXP(-(((0)+5)^2)/(22^2))+18*SIN(2*PI()*(A174)/70))+Inputs!$C$28*EXP(-(((A174)-Inputs!$C$29)^2)/(2*Inputs!$C$31^2))*EXP(-(((0)-Inputs!$C$30)^2)/(2*Inputs!$C$32^2))+-Inputs!$C$33*EXP(-(((((A174)-Inputs!$C$34)^2)+(((0)-Inputs!$C$35)^2))/(2*Inputs!$C$36^2)))+Inputs!$C$37*(0.55*SIN(2*PI()*(A174)/Inputs!$C$39)+0.35*COS(2*PI()*(0)/Inputs!$C$40)+0.2*SIN(2*PI()*((A174)+(0))/(0.5*(Inputs!$C$39+Inputs!$C$40))))+Inputs!$C$38*SIN(2*PI()*(A174)/Inputs!$C$39)*SIN(2*PI()*(0)/Inputs!$C$40)+-Inputs!$C$41*EXP(-(((0)-Inputs!$C$43)^2)/(2*Inputs!$C$44^2))*EXP(-(((A174)-Inputs!$C$42)^2)/(2*Inputs!$C$45^2))+Inputs!$C$48*(0.7*(0.45*SIN(2*PI()*(((A174)/Inputs!$C$49)+Inputs!$C$47*0.137))+0.35*COS(2*PI()*(((0)/Inputs!$C$50)+Inputs!$C$47*0.173))+0.2*SIN(2*PI()*(((A174)+(0))/(0.5*(Inputs!$C$49+Inputs!$C$50))+Inputs!$C$47*0.097)))+0.3*(2*((SIN(((A174)*12.9898+(0)*78.233+Inputs!$C$47*37.719))*43758.5453)-INT((SIN(((A174)*12.9898+(0)*78.233+Inputs!$C$47*37.719))*43758.5453)))-1)))</f>
        <v/>
      </c>
      <c r="Y174" s="9">
        <f>IF(OR(Inputs!$C$27=TRUE,Inputs!$C$27="TRUE",Inputs!$C$27=1),1,0)*(Inputs!$C$51*(115*EXP(-(((Inputs!$C$6)-25)^2)/(4.5^2))+70*EXP(-(((Inputs!$C$6)+38)^2)/(7^2))*(0.55+0.45*SIN(2*PI()*(A174)/45))+24*SIN(2*PI()*(Inputs!$C$6)/9+(A174)/18)*EXP(-(((Inputs!$C$6)+5)^2)/(22^2))+18*SIN(2*PI()*(A174)/70))+Inputs!$C$28*EXP(-(((A174)-Inputs!$C$29)^2)/(2*Inputs!$C$31^2))*EXP(-(((Inputs!$C$6)-Inputs!$C$30)^2)/(2*Inputs!$C$32^2))+-Inputs!$C$33*EXP(-(((((A174)-Inputs!$C$34)^2)+(((Inputs!$C$6)-Inputs!$C$35)^2))/(2*Inputs!$C$36^2)))+Inputs!$C$37*(0.55*SIN(2*PI()*(A174)/Inputs!$C$39)+0.35*COS(2*PI()*(Inputs!$C$6)/Inputs!$C$40)+0.2*SIN(2*PI()*((A174)+(Inputs!$C$6))/(0.5*(Inputs!$C$39+Inputs!$C$40))))+Inputs!$C$38*SIN(2*PI()*(A174)/Inputs!$C$39)*SIN(2*PI()*(Inputs!$C$6)/Inputs!$C$40)+-Inputs!$C$41*EXP(-(((Inputs!$C$6)-Inputs!$C$43)^2)/(2*Inputs!$C$44^2))*EXP(-(((A174)-Inputs!$C$42)^2)/(2*Inputs!$C$45^2))+Inputs!$C$48*(0.7*(0.45*SIN(2*PI()*(((A174)/Inputs!$C$49)+Inputs!$C$47*0.137))+0.35*COS(2*PI()*(((Inputs!$C$6)/Inputs!$C$50)+Inputs!$C$47*0.173))+0.2*SIN(2*PI()*(((A174)+(Inputs!$C$6))/(0.5*(Inputs!$C$49+Inputs!$C$50))+Inputs!$C$47*0.097)))+0.3*(2*((SIN(((A174)*12.9898+(Inputs!$C$6)*78.233+Inputs!$C$47*37.719))*43758.5453)-INT((SIN(((A174)*12.9898+(Inputs!$C$6)*78.233+Inputs!$C$47*37.719))*43758.5453)))-1)))</f>
        <v/>
      </c>
      <c r="Z174" s="9">
        <f>B174-X174/1000</f>
        <v/>
      </c>
      <c r="AA174" s="9">
        <f>SQRT((Inputs!$C$52+B174)^2+(Inputs!$C$52+Y174/1000)^2-2*(Inputs!$C$52+B174)*(Inputs!$C$52+Y174/1000)*COS(SQRT(A174^2+Inputs!$C$6^2)/Inputs!$C$52))</f>
        <v/>
      </c>
      <c r="AB174" s="9">
        <f>(AA174-Z174)*1000</f>
        <v/>
      </c>
      <c r="AC174" s="9">
        <f>AB174/Inputs!$C$12</f>
        <v/>
      </c>
      <c r="AD174" s="9">
        <f>2*AB174/Inputs!$C$21*1000000</f>
        <v/>
      </c>
      <c r="AE174" s="9">
        <f>DEGREES(ATAN(H174/(B174-Y174/1000)))</f>
        <v/>
      </c>
      <c r="AF174" s="9">
        <f>DEGREES((2*PI()/Inputs!$C$13)*Inputs!$C$15*SIN(RADIANS(AE174)))</f>
        <v/>
      </c>
      <c r="AG174" s="9">
        <f>(Z174/AA174)^4</f>
        <v/>
      </c>
      <c r="AH174" s="9">
        <f>10*LOG10(AG174)</f>
        <v/>
      </c>
      <c r="AI174" s="9">
        <f>AC174-F174</f>
        <v/>
      </c>
      <c r="AJ174" s="9">
        <f>AD174-G174</f>
        <v/>
      </c>
      <c r="AK174" s="9">
        <f>Y174-X174</f>
        <v/>
      </c>
      <c r="AL174" s="9">
        <f>1000*(AA175-AA173)/(A175-A173)*Inputs!$C$11</f>
        <v/>
      </c>
      <c r="AM174" s="9">
        <f>-2*AL174/Inputs!$C$13</f>
        <v/>
      </c>
      <c r="AN174" s="9">
        <f>-2*AL174/Inputs!$C$14</f>
        <v/>
      </c>
      <c r="AO174" s="9">
        <f>ABS(AM174)</f>
        <v/>
      </c>
      <c r="AP174" s="9">
        <f>ABS(AN174)</f>
        <v/>
      </c>
      <c r="AQ174" s="9">
        <f>IF(OR(Inputs!$C$27=TRUE,Inputs!$C$27="TRUE",Inputs!$C$27=1),Inputs!$C$46/Inputs!$C$12,0)</f>
        <v/>
      </c>
      <c r="AR174" s="9">
        <f>AC174-AQ174</f>
        <v/>
      </c>
      <c r="AS174" s="9">
        <f>AC174+AQ174</f>
        <v/>
      </c>
    </row>
    <row r="175">
      <c r="A175" s="9">
        <f>Inputs!$C$7+173*(Inputs!$C$8-Inputs!$C$7)/240</f>
        <v/>
      </c>
      <c r="B175" s="9">
        <f>Inputs!$C$5+Inputs!$C$9*(A175/Inputs!$C$10)^2</f>
        <v/>
      </c>
      <c r="C175" s="9">
        <f>B175</f>
        <v/>
      </c>
      <c r="D175" s="9">
        <f>SQRT((Inputs!$C$52+B175)^2+Inputs!$C$52^2-2*(Inputs!$C$52+B175)*Inputs!$C$52*COS(SQRT(A175^2+Inputs!$C$6^2)/Inputs!$C$52))</f>
        <v/>
      </c>
      <c r="E175" s="9">
        <f>(D175-C175)*1000</f>
        <v/>
      </c>
      <c r="F175" s="9">
        <f>E175/Inputs!$C$12</f>
        <v/>
      </c>
      <c r="G175" s="9">
        <f>2*E175/Inputs!$C$21*1000000</f>
        <v/>
      </c>
      <c r="H175" s="9">
        <f>SQRT(A175^2+Inputs!$C$6^2)</f>
        <v/>
      </c>
      <c r="I175" s="9">
        <f>DEGREES(ATAN(H175/B175))</f>
        <v/>
      </c>
      <c r="J175" s="9">
        <f>DEGREES((2*PI()/Inputs!$C$13)*Inputs!$C$15*SIN(RADIANS(I175)))</f>
        <v/>
      </c>
      <c r="K175" s="9">
        <f>(C175/D175)^4</f>
        <v/>
      </c>
      <c r="L175" s="9">
        <f>10*LOG10(K175)</f>
        <v/>
      </c>
      <c r="M175" s="9">
        <f>2*(Inputs!$C$9/(Inputs!$C$10^2))*A175</f>
        <v/>
      </c>
      <c r="N175" s="9">
        <f>M175*Inputs!$C$11</f>
        <v/>
      </c>
      <c r="O175" s="9">
        <f>1000*(D176-D174)/(A176-A174)*Inputs!$C$11</f>
        <v/>
      </c>
      <c r="P175" s="9">
        <f>-2*O175/Inputs!$C$13</f>
        <v/>
      </c>
      <c r="Q175" s="9">
        <f>-2*O175/Inputs!$C$14</f>
        <v/>
      </c>
      <c r="R175" s="9">
        <f>F175-Inputs!$C$16/2</f>
        <v/>
      </c>
      <c r="S175" s="9">
        <f>F175+Inputs!$C$16/2</f>
        <v/>
      </c>
      <c r="T175" s="9">
        <f>F175-Inputs!$C$17/2</f>
        <v/>
      </c>
      <c r="U175" s="9">
        <f>F175+Inputs!$C$17/2</f>
        <v/>
      </c>
      <c r="V175" s="9">
        <f>ABS(P175)</f>
        <v/>
      </c>
      <c r="W175" s="9">
        <f>ABS(Q175)</f>
        <v/>
      </c>
      <c r="X175" s="9">
        <f>IF(OR(Inputs!$C$27=TRUE,Inputs!$C$27="TRUE",Inputs!$C$27=1),1,0)*(Inputs!$C$51*(115*EXP(-(((0)-25)^2)/(4.5^2))+70*EXP(-(((0)+38)^2)/(7^2))*(0.55+0.45*SIN(2*PI()*(A175)/45))+24*SIN(2*PI()*(0)/9+(A175)/18)*EXP(-(((0)+5)^2)/(22^2))+18*SIN(2*PI()*(A175)/70))+Inputs!$C$28*EXP(-(((A175)-Inputs!$C$29)^2)/(2*Inputs!$C$31^2))*EXP(-(((0)-Inputs!$C$30)^2)/(2*Inputs!$C$32^2))+-Inputs!$C$33*EXP(-(((((A175)-Inputs!$C$34)^2)+(((0)-Inputs!$C$35)^2))/(2*Inputs!$C$36^2)))+Inputs!$C$37*(0.55*SIN(2*PI()*(A175)/Inputs!$C$39)+0.35*COS(2*PI()*(0)/Inputs!$C$40)+0.2*SIN(2*PI()*((A175)+(0))/(0.5*(Inputs!$C$39+Inputs!$C$40))))+Inputs!$C$38*SIN(2*PI()*(A175)/Inputs!$C$39)*SIN(2*PI()*(0)/Inputs!$C$40)+-Inputs!$C$41*EXP(-(((0)-Inputs!$C$43)^2)/(2*Inputs!$C$44^2))*EXP(-(((A175)-Inputs!$C$42)^2)/(2*Inputs!$C$45^2))+Inputs!$C$48*(0.7*(0.45*SIN(2*PI()*(((A175)/Inputs!$C$49)+Inputs!$C$47*0.137))+0.35*COS(2*PI()*(((0)/Inputs!$C$50)+Inputs!$C$47*0.173))+0.2*SIN(2*PI()*(((A175)+(0))/(0.5*(Inputs!$C$49+Inputs!$C$50))+Inputs!$C$47*0.097)))+0.3*(2*((SIN(((A175)*12.9898+(0)*78.233+Inputs!$C$47*37.719))*43758.5453)-INT((SIN(((A175)*12.9898+(0)*78.233+Inputs!$C$47*37.719))*43758.5453)))-1)))</f>
        <v/>
      </c>
      <c r="Y175" s="9">
        <f>IF(OR(Inputs!$C$27=TRUE,Inputs!$C$27="TRUE",Inputs!$C$27=1),1,0)*(Inputs!$C$51*(115*EXP(-(((Inputs!$C$6)-25)^2)/(4.5^2))+70*EXP(-(((Inputs!$C$6)+38)^2)/(7^2))*(0.55+0.45*SIN(2*PI()*(A175)/45))+24*SIN(2*PI()*(Inputs!$C$6)/9+(A175)/18)*EXP(-(((Inputs!$C$6)+5)^2)/(22^2))+18*SIN(2*PI()*(A175)/70))+Inputs!$C$28*EXP(-(((A175)-Inputs!$C$29)^2)/(2*Inputs!$C$31^2))*EXP(-(((Inputs!$C$6)-Inputs!$C$30)^2)/(2*Inputs!$C$32^2))+-Inputs!$C$33*EXP(-(((((A175)-Inputs!$C$34)^2)+(((Inputs!$C$6)-Inputs!$C$35)^2))/(2*Inputs!$C$36^2)))+Inputs!$C$37*(0.55*SIN(2*PI()*(A175)/Inputs!$C$39)+0.35*COS(2*PI()*(Inputs!$C$6)/Inputs!$C$40)+0.2*SIN(2*PI()*((A175)+(Inputs!$C$6))/(0.5*(Inputs!$C$39+Inputs!$C$40))))+Inputs!$C$38*SIN(2*PI()*(A175)/Inputs!$C$39)*SIN(2*PI()*(Inputs!$C$6)/Inputs!$C$40)+-Inputs!$C$41*EXP(-(((Inputs!$C$6)-Inputs!$C$43)^2)/(2*Inputs!$C$44^2))*EXP(-(((A175)-Inputs!$C$42)^2)/(2*Inputs!$C$45^2))+Inputs!$C$48*(0.7*(0.45*SIN(2*PI()*(((A175)/Inputs!$C$49)+Inputs!$C$47*0.137))+0.35*COS(2*PI()*(((Inputs!$C$6)/Inputs!$C$50)+Inputs!$C$47*0.173))+0.2*SIN(2*PI()*(((A175)+(Inputs!$C$6))/(0.5*(Inputs!$C$49+Inputs!$C$50))+Inputs!$C$47*0.097)))+0.3*(2*((SIN(((A175)*12.9898+(Inputs!$C$6)*78.233+Inputs!$C$47*37.719))*43758.5453)-INT((SIN(((A175)*12.9898+(Inputs!$C$6)*78.233+Inputs!$C$47*37.719))*43758.5453)))-1)))</f>
        <v/>
      </c>
      <c r="Z175" s="9">
        <f>B175-X175/1000</f>
        <v/>
      </c>
      <c r="AA175" s="9">
        <f>SQRT((Inputs!$C$52+B175)^2+(Inputs!$C$52+Y175/1000)^2-2*(Inputs!$C$52+B175)*(Inputs!$C$52+Y175/1000)*COS(SQRT(A175^2+Inputs!$C$6^2)/Inputs!$C$52))</f>
        <v/>
      </c>
      <c r="AB175" s="9">
        <f>(AA175-Z175)*1000</f>
        <v/>
      </c>
      <c r="AC175" s="9">
        <f>AB175/Inputs!$C$12</f>
        <v/>
      </c>
      <c r="AD175" s="9">
        <f>2*AB175/Inputs!$C$21*1000000</f>
        <v/>
      </c>
      <c r="AE175" s="9">
        <f>DEGREES(ATAN(H175/(B175-Y175/1000)))</f>
        <v/>
      </c>
      <c r="AF175" s="9">
        <f>DEGREES((2*PI()/Inputs!$C$13)*Inputs!$C$15*SIN(RADIANS(AE175)))</f>
        <v/>
      </c>
      <c r="AG175" s="9">
        <f>(Z175/AA175)^4</f>
        <v/>
      </c>
      <c r="AH175" s="9">
        <f>10*LOG10(AG175)</f>
        <v/>
      </c>
      <c r="AI175" s="9">
        <f>AC175-F175</f>
        <v/>
      </c>
      <c r="AJ175" s="9">
        <f>AD175-G175</f>
        <v/>
      </c>
      <c r="AK175" s="9">
        <f>Y175-X175</f>
        <v/>
      </c>
      <c r="AL175" s="9">
        <f>1000*(AA176-AA174)/(A176-A174)*Inputs!$C$11</f>
        <v/>
      </c>
      <c r="AM175" s="9">
        <f>-2*AL175/Inputs!$C$13</f>
        <v/>
      </c>
      <c r="AN175" s="9">
        <f>-2*AL175/Inputs!$C$14</f>
        <v/>
      </c>
      <c r="AO175" s="9">
        <f>ABS(AM175)</f>
        <v/>
      </c>
      <c r="AP175" s="9">
        <f>ABS(AN175)</f>
        <v/>
      </c>
      <c r="AQ175" s="9">
        <f>IF(OR(Inputs!$C$27=TRUE,Inputs!$C$27="TRUE",Inputs!$C$27=1),Inputs!$C$46/Inputs!$C$12,0)</f>
        <v/>
      </c>
      <c r="AR175" s="9">
        <f>AC175-AQ175</f>
        <v/>
      </c>
      <c r="AS175" s="9">
        <f>AC175+AQ175</f>
        <v/>
      </c>
    </row>
    <row r="176">
      <c r="A176" s="9">
        <f>Inputs!$C$7+174*(Inputs!$C$8-Inputs!$C$7)/240</f>
        <v/>
      </c>
      <c r="B176" s="9">
        <f>Inputs!$C$5+Inputs!$C$9*(A176/Inputs!$C$10)^2</f>
        <v/>
      </c>
      <c r="C176" s="9">
        <f>B176</f>
        <v/>
      </c>
      <c r="D176" s="9">
        <f>SQRT((Inputs!$C$52+B176)^2+Inputs!$C$52^2-2*(Inputs!$C$52+B176)*Inputs!$C$52*COS(SQRT(A176^2+Inputs!$C$6^2)/Inputs!$C$52))</f>
        <v/>
      </c>
      <c r="E176" s="9">
        <f>(D176-C176)*1000</f>
        <v/>
      </c>
      <c r="F176" s="9">
        <f>E176/Inputs!$C$12</f>
        <v/>
      </c>
      <c r="G176" s="9">
        <f>2*E176/Inputs!$C$21*1000000</f>
        <v/>
      </c>
      <c r="H176" s="9">
        <f>SQRT(A176^2+Inputs!$C$6^2)</f>
        <v/>
      </c>
      <c r="I176" s="9">
        <f>DEGREES(ATAN(H176/B176))</f>
        <v/>
      </c>
      <c r="J176" s="9">
        <f>DEGREES((2*PI()/Inputs!$C$13)*Inputs!$C$15*SIN(RADIANS(I176)))</f>
        <v/>
      </c>
      <c r="K176" s="9">
        <f>(C176/D176)^4</f>
        <v/>
      </c>
      <c r="L176" s="9">
        <f>10*LOG10(K176)</f>
        <v/>
      </c>
      <c r="M176" s="9">
        <f>2*(Inputs!$C$9/(Inputs!$C$10^2))*A176</f>
        <v/>
      </c>
      <c r="N176" s="9">
        <f>M176*Inputs!$C$11</f>
        <v/>
      </c>
      <c r="O176" s="9">
        <f>1000*(D177-D175)/(A177-A175)*Inputs!$C$11</f>
        <v/>
      </c>
      <c r="P176" s="9">
        <f>-2*O176/Inputs!$C$13</f>
        <v/>
      </c>
      <c r="Q176" s="9">
        <f>-2*O176/Inputs!$C$14</f>
        <v/>
      </c>
      <c r="R176" s="9">
        <f>F176-Inputs!$C$16/2</f>
        <v/>
      </c>
      <c r="S176" s="9">
        <f>F176+Inputs!$C$16/2</f>
        <v/>
      </c>
      <c r="T176" s="9">
        <f>F176-Inputs!$C$17/2</f>
        <v/>
      </c>
      <c r="U176" s="9">
        <f>F176+Inputs!$C$17/2</f>
        <v/>
      </c>
      <c r="V176" s="9">
        <f>ABS(P176)</f>
        <v/>
      </c>
      <c r="W176" s="9">
        <f>ABS(Q176)</f>
        <v/>
      </c>
      <c r="X176" s="9">
        <f>IF(OR(Inputs!$C$27=TRUE,Inputs!$C$27="TRUE",Inputs!$C$27=1),1,0)*(Inputs!$C$51*(115*EXP(-(((0)-25)^2)/(4.5^2))+70*EXP(-(((0)+38)^2)/(7^2))*(0.55+0.45*SIN(2*PI()*(A176)/45))+24*SIN(2*PI()*(0)/9+(A176)/18)*EXP(-(((0)+5)^2)/(22^2))+18*SIN(2*PI()*(A176)/70))+Inputs!$C$28*EXP(-(((A176)-Inputs!$C$29)^2)/(2*Inputs!$C$31^2))*EXP(-(((0)-Inputs!$C$30)^2)/(2*Inputs!$C$32^2))+-Inputs!$C$33*EXP(-(((((A176)-Inputs!$C$34)^2)+(((0)-Inputs!$C$35)^2))/(2*Inputs!$C$36^2)))+Inputs!$C$37*(0.55*SIN(2*PI()*(A176)/Inputs!$C$39)+0.35*COS(2*PI()*(0)/Inputs!$C$40)+0.2*SIN(2*PI()*((A176)+(0))/(0.5*(Inputs!$C$39+Inputs!$C$40))))+Inputs!$C$38*SIN(2*PI()*(A176)/Inputs!$C$39)*SIN(2*PI()*(0)/Inputs!$C$40)+-Inputs!$C$41*EXP(-(((0)-Inputs!$C$43)^2)/(2*Inputs!$C$44^2))*EXP(-(((A176)-Inputs!$C$42)^2)/(2*Inputs!$C$45^2))+Inputs!$C$48*(0.7*(0.45*SIN(2*PI()*(((A176)/Inputs!$C$49)+Inputs!$C$47*0.137))+0.35*COS(2*PI()*(((0)/Inputs!$C$50)+Inputs!$C$47*0.173))+0.2*SIN(2*PI()*(((A176)+(0))/(0.5*(Inputs!$C$49+Inputs!$C$50))+Inputs!$C$47*0.097)))+0.3*(2*((SIN(((A176)*12.9898+(0)*78.233+Inputs!$C$47*37.719))*43758.5453)-INT((SIN(((A176)*12.9898+(0)*78.233+Inputs!$C$47*37.719))*43758.5453)))-1)))</f>
        <v/>
      </c>
      <c r="Y176" s="9">
        <f>IF(OR(Inputs!$C$27=TRUE,Inputs!$C$27="TRUE",Inputs!$C$27=1),1,0)*(Inputs!$C$51*(115*EXP(-(((Inputs!$C$6)-25)^2)/(4.5^2))+70*EXP(-(((Inputs!$C$6)+38)^2)/(7^2))*(0.55+0.45*SIN(2*PI()*(A176)/45))+24*SIN(2*PI()*(Inputs!$C$6)/9+(A176)/18)*EXP(-(((Inputs!$C$6)+5)^2)/(22^2))+18*SIN(2*PI()*(A176)/70))+Inputs!$C$28*EXP(-(((A176)-Inputs!$C$29)^2)/(2*Inputs!$C$31^2))*EXP(-(((Inputs!$C$6)-Inputs!$C$30)^2)/(2*Inputs!$C$32^2))+-Inputs!$C$33*EXP(-(((((A176)-Inputs!$C$34)^2)+(((Inputs!$C$6)-Inputs!$C$35)^2))/(2*Inputs!$C$36^2)))+Inputs!$C$37*(0.55*SIN(2*PI()*(A176)/Inputs!$C$39)+0.35*COS(2*PI()*(Inputs!$C$6)/Inputs!$C$40)+0.2*SIN(2*PI()*((A176)+(Inputs!$C$6))/(0.5*(Inputs!$C$39+Inputs!$C$40))))+Inputs!$C$38*SIN(2*PI()*(A176)/Inputs!$C$39)*SIN(2*PI()*(Inputs!$C$6)/Inputs!$C$40)+-Inputs!$C$41*EXP(-(((Inputs!$C$6)-Inputs!$C$43)^2)/(2*Inputs!$C$44^2))*EXP(-(((A176)-Inputs!$C$42)^2)/(2*Inputs!$C$45^2))+Inputs!$C$48*(0.7*(0.45*SIN(2*PI()*(((A176)/Inputs!$C$49)+Inputs!$C$47*0.137))+0.35*COS(2*PI()*(((Inputs!$C$6)/Inputs!$C$50)+Inputs!$C$47*0.173))+0.2*SIN(2*PI()*(((A176)+(Inputs!$C$6))/(0.5*(Inputs!$C$49+Inputs!$C$50))+Inputs!$C$47*0.097)))+0.3*(2*((SIN(((A176)*12.9898+(Inputs!$C$6)*78.233+Inputs!$C$47*37.719))*43758.5453)-INT((SIN(((A176)*12.9898+(Inputs!$C$6)*78.233+Inputs!$C$47*37.719))*43758.5453)))-1)))</f>
        <v/>
      </c>
      <c r="Z176" s="9">
        <f>B176-X176/1000</f>
        <v/>
      </c>
      <c r="AA176" s="9">
        <f>SQRT((Inputs!$C$52+B176)^2+(Inputs!$C$52+Y176/1000)^2-2*(Inputs!$C$52+B176)*(Inputs!$C$52+Y176/1000)*COS(SQRT(A176^2+Inputs!$C$6^2)/Inputs!$C$52))</f>
        <v/>
      </c>
      <c r="AB176" s="9">
        <f>(AA176-Z176)*1000</f>
        <v/>
      </c>
      <c r="AC176" s="9">
        <f>AB176/Inputs!$C$12</f>
        <v/>
      </c>
      <c r="AD176" s="9">
        <f>2*AB176/Inputs!$C$21*1000000</f>
        <v/>
      </c>
      <c r="AE176" s="9">
        <f>DEGREES(ATAN(H176/(B176-Y176/1000)))</f>
        <v/>
      </c>
      <c r="AF176" s="9">
        <f>DEGREES((2*PI()/Inputs!$C$13)*Inputs!$C$15*SIN(RADIANS(AE176)))</f>
        <v/>
      </c>
      <c r="AG176" s="9">
        <f>(Z176/AA176)^4</f>
        <v/>
      </c>
      <c r="AH176" s="9">
        <f>10*LOG10(AG176)</f>
        <v/>
      </c>
      <c r="AI176" s="9">
        <f>AC176-F176</f>
        <v/>
      </c>
      <c r="AJ176" s="9">
        <f>AD176-G176</f>
        <v/>
      </c>
      <c r="AK176" s="9">
        <f>Y176-X176</f>
        <v/>
      </c>
      <c r="AL176" s="9">
        <f>1000*(AA177-AA175)/(A177-A175)*Inputs!$C$11</f>
        <v/>
      </c>
      <c r="AM176" s="9">
        <f>-2*AL176/Inputs!$C$13</f>
        <v/>
      </c>
      <c r="AN176" s="9">
        <f>-2*AL176/Inputs!$C$14</f>
        <v/>
      </c>
      <c r="AO176" s="9">
        <f>ABS(AM176)</f>
        <v/>
      </c>
      <c r="AP176" s="9">
        <f>ABS(AN176)</f>
        <v/>
      </c>
      <c r="AQ176" s="9">
        <f>IF(OR(Inputs!$C$27=TRUE,Inputs!$C$27="TRUE",Inputs!$C$27=1),Inputs!$C$46/Inputs!$C$12,0)</f>
        <v/>
      </c>
      <c r="AR176" s="9">
        <f>AC176-AQ176</f>
        <v/>
      </c>
      <c r="AS176" s="9">
        <f>AC176+AQ176</f>
        <v/>
      </c>
    </row>
    <row r="177">
      <c r="A177" s="9">
        <f>Inputs!$C$7+175*(Inputs!$C$8-Inputs!$C$7)/240</f>
        <v/>
      </c>
      <c r="B177" s="9">
        <f>Inputs!$C$5+Inputs!$C$9*(A177/Inputs!$C$10)^2</f>
        <v/>
      </c>
      <c r="C177" s="9">
        <f>B177</f>
        <v/>
      </c>
      <c r="D177" s="9">
        <f>SQRT((Inputs!$C$52+B177)^2+Inputs!$C$52^2-2*(Inputs!$C$52+B177)*Inputs!$C$52*COS(SQRT(A177^2+Inputs!$C$6^2)/Inputs!$C$52))</f>
        <v/>
      </c>
      <c r="E177" s="9">
        <f>(D177-C177)*1000</f>
        <v/>
      </c>
      <c r="F177" s="9">
        <f>E177/Inputs!$C$12</f>
        <v/>
      </c>
      <c r="G177" s="9">
        <f>2*E177/Inputs!$C$21*1000000</f>
        <v/>
      </c>
      <c r="H177" s="9">
        <f>SQRT(A177^2+Inputs!$C$6^2)</f>
        <v/>
      </c>
      <c r="I177" s="9">
        <f>DEGREES(ATAN(H177/B177))</f>
        <v/>
      </c>
      <c r="J177" s="9">
        <f>DEGREES((2*PI()/Inputs!$C$13)*Inputs!$C$15*SIN(RADIANS(I177)))</f>
        <v/>
      </c>
      <c r="K177" s="9">
        <f>(C177/D177)^4</f>
        <v/>
      </c>
      <c r="L177" s="9">
        <f>10*LOG10(K177)</f>
        <v/>
      </c>
      <c r="M177" s="9">
        <f>2*(Inputs!$C$9/(Inputs!$C$10^2))*A177</f>
        <v/>
      </c>
      <c r="N177" s="9">
        <f>M177*Inputs!$C$11</f>
        <v/>
      </c>
      <c r="O177" s="9">
        <f>1000*(D178-D176)/(A178-A176)*Inputs!$C$11</f>
        <v/>
      </c>
      <c r="P177" s="9">
        <f>-2*O177/Inputs!$C$13</f>
        <v/>
      </c>
      <c r="Q177" s="9">
        <f>-2*O177/Inputs!$C$14</f>
        <v/>
      </c>
      <c r="R177" s="9">
        <f>F177-Inputs!$C$16/2</f>
        <v/>
      </c>
      <c r="S177" s="9">
        <f>F177+Inputs!$C$16/2</f>
        <v/>
      </c>
      <c r="T177" s="9">
        <f>F177-Inputs!$C$17/2</f>
        <v/>
      </c>
      <c r="U177" s="9">
        <f>F177+Inputs!$C$17/2</f>
        <v/>
      </c>
      <c r="V177" s="9">
        <f>ABS(P177)</f>
        <v/>
      </c>
      <c r="W177" s="9">
        <f>ABS(Q177)</f>
        <v/>
      </c>
      <c r="X177" s="9">
        <f>IF(OR(Inputs!$C$27=TRUE,Inputs!$C$27="TRUE",Inputs!$C$27=1),1,0)*(Inputs!$C$51*(115*EXP(-(((0)-25)^2)/(4.5^2))+70*EXP(-(((0)+38)^2)/(7^2))*(0.55+0.45*SIN(2*PI()*(A177)/45))+24*SIN(2*PI()*(0)/9+(A177)/18)*EXP(-(((0)+5)^2)/(22^2))+18*SIN(2*PI()*(A177)/70))+Inputs!$C$28*EXP(-(((A177)-Inputs!$C$29)^2)/(2*Inputs!$C$31^2))*EXP(-(((0)-Inputs!$C$30)^2)/(2*Inputs!$C$32^2))+-Inputs!$C$33*EXP(-(((((A177)-Inputs!$C$34)^2)+(((0)-Inputs!$C$35)^2))/(2*Inputs!$C$36^2)))+Inputs!$C$37*(0.55*SIN(2*PI()*(A177)/Inputs!$C$39)+0.35*COS(2*PI()*(0)/Inputs!$C$40)+0.2*SIN(2*PI()*((A177)+(0))/(0.5*(Inputs!$C$39+Inputs!$C$40))))+Inputs!$C$38*SIN(2*PI()*(A177)/Inputs!$C$39)*SIN(2*PI()*(0)/Inputs!$C$40)+-Inputs!$C$41*EXP(-(((0)-Inputs!$C$43)^2)/(2*Inputs!$C$44^2))*EXP(-(((A177)-Inputs!$C$42)^2)/(2*Inputs!$C$45^2))+Inputs!$C$48*(0.7*(0.45*SIN(2*PI()*(((A177)/Inputs!$C$49)+Inputs!$C$47*0.137))+0.35*COS(2*PI()*(((0)/Inputs!$C$50)+Inputs!$C$47*0.173))+0.2*SIN(2*PI()*(((A177)+(0))/(0.5*(Inputs!$C$49+Inputs!$C$50))+Inputs!$C$47*0.097)))+0.3*(2*((SIN(((A177)*12.9898+(0)*78.233+Inputs!$C$47*37.719))*43758.5453)-INT((SIN(((A177)*12.9898+(0)*78.233+Inputs!$C$47*37.719))*43758.5453)))-1)))</f>
        <v/>
      </c>
      <c r="Y177" s="9">
        <f>IF(OR(Inputs!$C$27=TRUE,Inputs!$C$27="TRUE",Inputs!$C$27=1),1,0)*(Inputs!$C$51*(115*EXP(-(((Inputs!$C$6)-25)^2)/(4.5^2))+70*EXP(-(((Inputs!$C$6)+38)^2)/(7^2))*(0.55+0.45*SIN(2*PI()*(A177)/45))+24*SIN(2*PI()*(Inputs!$C$6)/9+(A177)/18)*EXP(-(((Inputs!$C$6)+5)^2)/(22^2))+18*SIN(2*PI()*(A177)/70))+Inputs!$C$28*EXP(-(((A177)-Inputs!$C$29)^2)/(2*Inputs!$C$31^2))*EXP(-(((Inputs!$C$6)-Inputs!$C$30)^2)/(2*Inputs!$C$32^2))+-Inputs!$C$33*EXP(-(((((A177)-Inputs!$C$34)^2)+(((Inputs!$C$6)-Inputs!$C$35)^2))/(2*Inputs!$C$36^2)))+Inputs!$C$37*(0.55*SIN(2*PI()*(A177)/Inputs!$C$39)+0.35*COS(2*PI()*(Inputs!$C$6)/Inputs!$C$40)+0.2*SIN(2*PI()*((A177)+(Inputs!$C$6))/(0.5*(Inputs!$C$39+Inputs!$C$40))))+Inputs!$C$38*SIN(2*PI()*(A177)/Inputs!$C$39)*SIN(2*PI()*(Inputs!$C$6)/Inputs!$C$40)+-Inputs!$C$41*EXP(-(((Inputs!$C$6)-Inputs!$C$43)^2)/(2*Inputs!$C$44^2))*EXP(-(((A177)-Inputs!$C$42)^2)/(2*Inputs!$C$45^2))+Inputs!$C$48*(0.7*(0.45*SIN(2*PI()*(((A177)/Inputs!$C$49)+Inputs!$C$47*0.137))+0.35*COS(2*PI()*(((Inputs!$C$6)/Inputs!$C$50)+Inputs!$C$47*0.173))+0.2*SIN(2*PI()*(((A177)+(Inputs!$C$6))/(0.5*(Inputs!$C$49+Inputs!$C$50))+Inputs!$C$47*0.097)))+0.3*(2*((SIN(((A177)*12.9898+(Inputs!$C$6)*78.233+Inputs!$C$47*37.719))*43758.5453)-INT((SIN(((A177)*12.9898+(Inputs!$C$6)*78.233+Inputs!$C$47*37.719))*43758.5453)))-1)))</f>
        <v/>
      </c>
      <c r="Z177" s="9">
        <f>B177-X177/1000</f>
        <v/>
      </c>
      <c r="AA177" s="9">
        <f>SQRT((Inputs!$C$52+B177)^2+(Inputs!$C$52+Y177/1000)^2-2*(Inputs!$C$52+B177)*(Inputs!$C$52+Y177/1000)*COS(SQRT(A177^2+Inputs!$C$6^2)/Inputs!$C$52))</f>
        <v/>
      </c>
      <c r="AB177" s="9">
        <f>(AA177-Z177)*1000</f>
        <v/>
      </c>
      <c r="AC177" s="9">
        <f>AB177/Inputs!$C$12</f>
        <v/>
      </c>
      <c r="AD177" s="9">
        <f>2*AB177/Inputs!$C$21*1000000</f>
        <v/>
      </c>
      <c r="AE177" s="9">
        <f>DEGREES(ATAN(H177/(B177-Y177/1000)))</f>
        <v/>
      </c>
      <c r="AF177" s="9">
        <f>DEGREES((2*PI()/Inputs!$C$13)*Inputs!$C$15*SIN(RADIANS(AE177)))</f>
        <v/>
      </c>
      <c r="AG177" s="9">
        <f>(Z177/AA177)^4</f>
        <v/>
      </c>
      <c r="AH177" s="9">
        <f>10*LOG10(AG177)</f>
        <v/>
      </c>
      <c r="AI177" s="9">
        <f>AC177-F177</f>
        <v/>
      </c>
      <c r="AJ177" s="9">
        <f>AD177-G177</f>
        <v/>
      </c>
      <c r="AK177" s="9">
        <f>Y177-X177</f>
        <v/>
      </c>
      <c r="AL177" s="9">
        <f>1000*(AA178-AA176)/(A178-A176)*Inputs!$C$11</f>
        <v/>
      </c>
      <c r="AM177" s="9">
        <f>-2*AL177/Inputs!$C$13</f>
        <v/>
      </c>
      <c r="AN177" s="9">
        <f>-2*AL177/Inputs!$C$14</f>
        <v/>
      </c>
      <c r="AO177" s="9">
        <f>ABS(AM177)</f>
        <v/>
      </c>
      <c r="AP177" s="9">
        <f>ABS(AN177)</f>
        <v/>
      </c>
      <c r="AQ177" s="9">
        <f>IF(OR(Inputs!$C$27=TRUE,Inputs!$C$27="TRUE",Inputs!$C$27=1),Inputs!$C$46/Inputs!$C$12,0)</f>
        <v/>
      </c>
      <c r="AR177" s="9">
        <f>AC177-AQ177</f>
        <v/>
      </c>
      <c r="AS177" s="9">
        <f>AC177+AQ177</f>
        <v/>
      </c>
    </row>
    <row r="178">
      <c r="A178" s="9">
        <f>Inputs!$C$7+176*(Inputs!$C$8-Inputs!$C$7)/240</f>
        <v/>
      </c>
      <c r="B178" s="9">
        <f>Inputs!$C$5+Inputs!$C$9*(A178/Inputs!$C$10)^2</f>
        <v/>
      </c>
      <c r="C178" s="9">
        <f>B178</f>
        <v/>
      </c>
      <c r="D178" s="9">
        <f>SQRT((Inputs!$C$52+B178)^2+Inputs!$C$52^2-2*(Inputs!$C$52+B178)*Inputs!$C$52*COS(SQRT(A178^2+Inputs!$C$6^2)/Inputs!$C$52))</f>
        <v/>
      </c>
      <c r="E178" s="9">
        <f>(D178-C178)*1000</f>
        <v/>
      </c>
      <c r="F178" s="9">
        <f>E178/Inputs!$C$12</f>
        <v/>
      </c>
      <c r="G178" s="9">
        <f>2*E178/Inputs!$C$21*1000000</f>
        <v/>
      </c>
      <c r="H178" s="9">
        <f>SQRT(A178^2+Inputs!$C$6^2)</f>
        <v/>
      </c>
      <c r="I178" s="9">
        <f>DEGREES(ATAN(H178/B178))</f>
        <v/>
      </c>
      <c r="J178" s="9">
        <f>DEGREES((2*PI()/Inputs!$C$13)*Inputs!$C$15*SIN(RADIANS(I178)))</f>
        <v/>
      </c>
      <c r="K178" s="9">
        <f>(C178/D178)^4</f>
        <v/>
      </c>
      <c r="L178" s="9">
        <f>10*LOG10(K178)</f>
        <v/>
      </c>
      <c r="M178" s="9">
        <f>2*(Inputs!$C$9/(Inputs!$C$10^2))*A178</f>
        <v/>
      </c>
      <c r="N178" s="9">
        <f>M178*Inputs!$C$11</f>
        <v/>
      </c>
      <c r="O178" s="9">
        <f>1000*(D179-D177)/(A179-A177)*Inputs!$C$11</f>
        <v/>
      </c>
      <c r="P178" s="9">
        <f>-2*O178/Inputs!$C$13</f>
        <v/>
      </c>
      <c r="Q178" s="9">
        <f>-2*O178/Inputs!$C$14</f>
        <v/>
      </c>
      <c r="R178" s="9">
        <f>F178-Inputs!$C$16/2</f>
        <v/>
      </c>
      <c r="S178" s="9">
        <f>F178+Inputs!$C$16/2</f>
        <v/>
      </c>
      <c r="T178" s="9">
        <f>F178-Inputs!$C$17/2</f>
        <v/>
      </c>
      <c r="U178" s="9">
        <f>F178+Inputs!$C$17/2</f>
        <v/>
      </c>
      <c r="V178" s="9">
        <f>ABS(P178)</f>
        <v/>
      </c>
      <c r="W178" s="9">
        <f>ABS(Q178)</f>
        <v/>
      </c>
      <c r="X178" s="9">
        <f>IF(OR(Inputs!$C$27=TRUE,Inputs!$C$27="TRUE",Inputs!$C$27=1),1,0)*(Inputs!$C$51*(115*EXP(-(((0)-25)^2)/(4.5^2))+70*EXP(-(((0)+38)^2)/(7^2))*(0.55+0.45*SIN(2*PI()*(A178)/45))+24*SIN(2*PI()*(0)/9+(A178)/18)*EXP(-(((0)+5)^2)/(22^2))+18*SIN(2*PI()*(A178)/70))+Inputs!$C$28*EXP(-(((A178)-Inputs!$C$29)^2)/(2*Inputs!$C$31^2))*EXP(-(((0)-Inputs!$C$30)^2)/(2*Inputs!$C$32^2))+-Inputs!$C$33*EXP(-(((((A178)-Inputs!$C$34)^2)+(((0)-Inputs!$C$35)^2))/(2*Inputs!$C$36^2)))+Inputs!$C$37*(0.55*SIN(2*PI()*(A178)/Inputs!$C$39)+0.35*COS(2*PI()*(0)/Inputs!$C$40)+0.2*SIN(2*PI()*((A178)+(0))/(0.5*(Inputs!$C$39+Inputs!$C$40))))+Inputs!$C$38*SIN(2*PI()*(A178)/Inputs!$C$39)*SIN(2*PI()*(0)/Inputs!$C$40)+-Inputs!$C$41*EXP(-(((0)-Inputs!$C$43)^2)/(2*Inputs!$C$44^2))*EXP(-(((A178)-Inputs!$C$42)^2)/(2*Inputs!$C$45^2))+Inputs!$C$48*(0.7*(0.45*SIN(2*PI()*(((A178)/Inputs!$C$49)+Inputs!$C$47*0.137))+0.35*COS(2*PI()*(((0)/Inputs!$C$50)+Inputs!$C$47*0.173))+0.2*SIN(2*PI()*(((A178)+(0))/(0.5*(Inputs!$C$49+Inputs!$C$50))+Inputs!$C$47*0.097)))+0.3*(2*((SIN(((A178)*12.9898+(0)*78.233+Inputs!$C$47*37.719))*43758.5453)-INT((SIN(((A178)*12.9898+(0)*78.233+Inputs!$C$47*37.719))*43758.5453)))-1)))</f>
        <v/>
      </c>
      <c r="Y178" s="9">
        <f>IF(OR(Inputs!$C$27=TRUE,Inputs!$C$27="TRUE",Inputs!$C$27=1),1,0)*(Inputs!$C$51*(115*EXP(-(((Inputs!$C$6)-25)^2)/(4.5^2))+70*EXP(-(((Inputs!$C$6)+38)^2)/(7^2))*(0.55+0.45*SIN(2*PI()*(A178)/45))+24*SIN(2*PI()*(Inputs!$C$6)/9+(A178)/18)*EXP(-(((Inputs!$C$6)+5)^2)/(22^2))+18*SIN(2*PI()*(A178)/70))+Inputs!$C$28*EXP(-(((A178)-Inputs!$C$29)^2)/(2*Inputs!$C$31^2))*EXP(-(((Inputs!$C$6)-Inputs!$C$30)^2)/(2*Inputs!$C$32^2))+-Inputs!$C$33*EXP(-(((((A178)-Inputs!$C$34)^2)+(((Inputs!$C$6)-Inputs!$C$35)^2))/(2*Inputs!$C$36^2)))+Inputs!$C$37*(0.55*SIN(2*PI()*(A178)/Inputs!$C$39)+0.35*COS(2*PI()*(Inputs!$C$6)/Inputs!$C$40)+0.2*SIN(2*PI()*((A178)+(Inputs!$C$6))/(0.5*(Inputs!$C$39+Inputs!$C$40))))+Inputs!$C$38*SIN(2*PI()*(A178)/Inputs!$C$39)*SIN(2*PI()*(Inputs!$C$6)/Inputs!$C$40)+-Inputs!$C$41*EXP(-(((Inputs!$C$6)-Inputs!$C$43)^2)/(2*Inputs!$C$44^2))*EXP(-(((A178)-Inputs!$C$42)^2)/(2*Inputs!$C$45^2))+Inputs!$C$48*(0.7*(0.45*SIN(2*PI()*(((A178)/Inputs!$C$49)+Inputs!$C$47*0.137))+0.35*COS(2*PI()*(((Inputs!$C$6)/Inputs!$C$50)+Inputs!$C$47*0.173))+0.2*SIN(2*PI()*(((A178)+(Inputs!$C$6))/(0.5*(Inputs!$C$49+Inputs!$C$50))+Inputs!$C$47*0.097)))+0.3*(2*((SIN(((A178)*12.9898+(Inputs!$C$6)*78.233+Inputs!$C$47*37.719))*43758.5453)-INT((SIN(((A178)*12.9898+(Inputs!$C$6)*78.233+Inputs!$C$47*37.719))*43758.5453)))-1)))</f>
        <v/>
      </c>
      <c r="Z178" s="9">
        <f>B178-X178/1000</f>
        <v/>
      </c>
      <c r="AA178" s="9">
        <f>SQRT((Inputs!$C$52+B178)^2+(Inputs!$C$52+Y178/1000)^2-2*(Inputs!$C$52+B178)*(Inputs!$C$52+Y178/1000)*COS(SQRT(A178^2+Inputs!$C$6^2)/Inputs!$C$52))</f>
        <v/>
      </c>
      <c r="AB178" s="9">
        <f>(AA178-Z178)*1000</f>
        <v/>
      </c>
      <c r="AC178" s="9">
        <f>AB178/Inputs!$C$12</f>
        <v/>
      </c>
      <c r="AD178" s="9">
        <f>2*AB178/Inputs!$C$21*1000000</f>
        <v/>
      </c>
      <c r="AE178" s="9">
        <f>DEGREES(ATAN(H178/(B178-Y178/1000)))</f>
        <v/>
      </c>
      <c r="AF178" s="9">
        <f>DEGREES((2*PI()/Inputs!$C$13)*Inputs!$C$15*SIN(RADIANS(AE178)))</f>
        <v/>
      </c>
      <c r="AG178" s="9">
        <f>(Z178/AA178)^4</f>
        <v/>
      </c>
      <c r="AH178" s="9">
        <f>10*LOG10(AG178)</f>
        <v/>
      </c>
      <c r="AI178" s="9">
        <f>AC178-F178</f>
        <v/>
      </c>
      <c r="AJ178" s="9">
        <f>AD178-G178</f>
        <v/>
      </c>
      <c r="AK178" s="9">
        <f>Y178-X178</f>
        <v/>
      </c>
      <c r="AL178" s="9">
        <f>1000*(AA179-AA177)/(A179-A177)*Inputs!$C$11</f>
        <v/>
      </c>
      <c r="AM178" s="9">
        <f>-2*AL178/Inputs!$C$13</f>
        <v/>
      </c>
      <c r="AN178" s="9">
        <f>-2*AL178/Inputs!$C$14</f>
        <v/>
      </c>
      <c r="AO178" s="9">
        <f>ABS(AM178)</f>
        <v/>
      </c>
      <c r="AP178" s="9">
        <f>ABS(AN178)</f>
        <v/>
      </c>
      <c r="AQ178" s="9">
        <f>IF(OR(Inputs!$C$27=TRUE,Inputs!$C$27="TRUE",Inputs!$C$27=1),Inputs!$C$46/Inputs!$C$12,0)</f>
        <v/>
      </c>
      <c r="AR178" s="9">
        <f>AC178-AQ178</f>
        <v/>
      </c>
      <c r="AS178" s="9">
        <f>AC178+AQ178</f>
        <v/>
      </c>
    </row>
    <row r="179">
      <c r="A179" s="9">
        <f>Inputs!$C$7+177*(Inputs!$C$8-Inputs!$C$7)/240</f>
        <v/>
      </c>
      <c r="B179" s="9">
        <f>Inputs!$C$5+Inputs!$C$9*(A179/Inputs!$C$10)^2</f>
        <v/>
      </c>
      <c r="C179" s="9">
        <f>B179</f>
        <v/>
      </c>
      <c r="D179" s="9">
        <f>SQRT((Inputs!$C$52+B179)^2+Inputs!$C$52^2-2*(Inputs!$C$52+B179)*Inputs!$C$52*COS(SQRT(A179^2+Inputs!$C$6^2)/Inputs!$C$52))</f>
        <v/>
      </c>
      <c r="E179" s="9">
        <f>(D179-C179)*1000</f>
        <v/>
      </c>
      <c r="F179" s="9">
        <f>E179/Inputs!$C$12</f>
        <v/>
      </c>
      <c r="G179" s="9">
        <f>2*E179/Inputs!$C$21*1000000</f>
        <v/>
      </c>
      <c r="H179" s="9">
        <f>SQRT(A179^2+Inputs!$C$6^2)</f>
        <v/>
      </c>
      <c r="I179" s="9">
        <f>DEGREES(ATAN(H179/B179))</f>
        <v/>
      </c>
      <c r="J179" s="9">
        <f>DEGREES((2*PI()/Inputs!$C$13)*Inputs!$C$15*SIN(RADIANS(I179)))</f>
        <v/>
      </c>
      <c r="K179" s="9">
        <f>(C179/D179)^4</f>
        <v/>
      </c>
      <c r="L179" s="9">
        <f>10*LOG10(K179)</f>
        <v/>
      </c>
      <c r="M179" s="9">
        <f>2*(Inputs!$C$9/(Inputs!$C$10^2))*A179</f>
        <v/>
      </c>
      <c r="N179" s="9">
        <f>M179*Inputs!$C$11</f>
        <v/>
      </c>
      <c r="O179" s="9">
        <f>1000*(D180-D178)/(A180-A178)*Inputs!$C$11</f>
        <v/>
      </c>
      <c r="P179" s="9">
        <f>-2*O179/Inputs!$C$13</f>
        <v/>
      </c>
      <c r="Q179" s="9">
        <f>-2*O179/Inputs!$C$14</f>
        <v/>
      </c>
      <c r="R179" s="9">
        <f>F179-Inputs!$C$16/2</f>
        <v/>
      </c>
      <c r="S179" s="9">
        <f>F179+Inputs!$C$16/2</f>
        <v/>
      </c>
      <c r="T179" s="9">
        <f>F179-Inputs!$C$17/2</f>
        <v/>
      </c>
      <c r="U179" s="9">
        <f>F179+Inputs!$C$17/2</f>
        <v/>
      </c>
      <c r="V179" s="9">
        <f>ABS(P179)</f>
        <v/>
      </c>
      <c r="W179" s="9">
        <f>ABS(Q179)</f>
        <v/>
      </c>
      <c r="X179" s="9">
        <f>IF(OR(Inputs!$C$27=TRUE,Inputs!$C$27="TRUE",Inputs!$C$27=1),1,0)*(Inputs!$C$51*(115*EXP(-(((0)-25)^2)/(4.5^2))+70*EXP(-(((0)+38)^2)/(7^2))*(0.55+0.45*SIN(2*PI()*(A179)/45))+24*SIN(2*PI()*(0)/9+(A179)/18)*EXP(-(((0)+5)^2)/(22^2))+18*SIN(2*PI()*(A179)/70))+Inputs!$C$28*EXP(-(((A179)-Inputs!$C$29)^2)/(2*Inputs!$C$31^2))*EXP(-(((0)-Inputs!$C$30)^2)/(2*Inputs!$C$32^2))+-Inputs!$C$33*EXP(-(((((A179)-Inputs!$C$34)^2)+(((0)-Inputs!$C$35)^2))/(2*Inputs!$C$36^2)))+Inputs!$C$37*(0.55*SIN(2*PI()*(A179)/Inputs!$C$39)+0.35*COS(2*PI()*(0)/Inputs!$C$40)+0.2*SIN(2*PI()*((A179)+(0))/(0.5*(Inputs!$C$39+Inputs!$C$40))))+Inputs!$C$38*SIN(2*PI()*(A179)/Inputs!$C$39)*SIN(2*PI()*(0)/Inputs!$C$40)+-Inputs!$C$41*EXP(-(((0)-Inputs!$C$43)^2)/(2*Inputs!$C$44^2))*EXP(-(((A179)-Inputs!$C$42)^2)/(2*Inputs!$C$45^2))+Inputs!$C$48*(0.7*(0.45*SIN(2*PI()*(((A179)/Inputs!$C$49)+Inputs!$C$47*0.137))+0.35*COS(2*PI()*(((0)/Inputs!$C$50)+Inputs!$C$47*0.173))+0.2*SIN(2*PI()*(((A179)+(0))/(0.5*(Inputs!$C$49+Inputs!$C$50))+Inputs!$C$47*0.097)))+0.3*(2*((SIN(((A179)*12.9898+(0)*78.233+Inputs!$C$47*37.719))*43758.5453)-INT((SIN(((A179)*12.9898+(0)*78.233+Inputs!$C$47*37.719))*43758.5453)))-1)))</f>
        <v/>
      </c>
      <c r="Y179" s="9">
        <f>IF(OR(Inputs!$C$27=TRUE,Inputs!$C$27="TRUE",Inputs!$C$27=1),1,0)*(Inputs!$C$51*(115*EXP(-(((Inputs!$C$6)-25)^2)/(4.5^2))+70*EXP(-(((Inputs!$C$6)+38)^2)/(7^2))*(0.55+0.45*SIN(2*PI()*(A179)/45))+24*SIN(2*PI()*(Inputs!$C$6)/9+(A179)/18)*EXP(-(((Inputs!$C$6)+5)^2)/(22^2))+18*SIN(2*PI()*(A179)/70))+Inputs!$C$28*EXP(-(((A179)-Inputs!$C$29)^2)/(2*Inputs!$C$31^2))*EXP(-(((Inputs!$C$6)-Inputs!$C$30)^2)/(2*Inputs!$C$32^2))+-Inputs!$C$33*EXP(-(((((A179)-Inputs!$C$34)^2)+(((Inputs!$C$6)-Inputs!$C$35)^2))/(2*Inputs!$C$36^2)))+Inputs!$C$37*(0.55*SIN(2*PI()*(A179)/Inputs!$C$39)+0.35*COS(2*PI()*(Inputs!$C$6)/Inputs!$C$40)+0.2*SIN(2*PI()*((A179)+(Inputs!$C$6))/(0.5*(Inputs!$C$39+Inputs!$C$40))))+Inputs!$C$38*SIN(2*PI()*(A179)/Inputs!$C$39)*SIN(2*PI()*(Inputs!$C$6)/Inputs!$C$40)+-Inputs!$C$41*EXP(-(((Inputs!$C$6)-Inputs!$C$43)^2)/(2*Inputs!$C$44^2))*EXP(-(((A179)-Inputs!$C$42)^2)/(2*Inputs!$C$45^2))+Inputs!$C$48*(0.7*(0.45*SIN(2*PI()*(((A179)/Inputs!$C$49)+Inputs!$C$47*0.137))+0.35*COS(2*PI()*(((Inputs!$C$6)/Inputs!$C$50)+Inputs!$C$47*0.173))+0.2*SIN(2*PI()*(((A179)+(Inputs!$C$6))/(0.5*(Inputs!$C$49+Inputs!$C$50))+Inputs!$C$47*0.097)))+0.3*(2*((SIN(((A179)*12.9898+(Inputs!$C$6)*78.233+Inputs!$C$47*37.719))*43758.5453)-INT((SIN(((A179)*12.9898+(Inputs!$C$6)*78.233+Inputs!$C$47*37.719))*43758.5453)))-1)))</f>
        <v/>
      </c>
      <c r="Z179" s="9">
        <f>B179-X179/1000</f>
        <v/>
      </c>
      <c r="AA179" s="9">
        <f>SQRT((Inputs!$C$52+B179)^2+(Inputs!$C$52+Y179/1000)^2-2*(Inputs!$C$52+B179)*(Inputs!$C$52+Y179/1000)*COS(SQRT(A179^2+Inputs!$C$6^2)/Inputs!$C$52))</f>
        <v/>
      </c>
      <c r="AB179" s="9">
        <f>(AA179-Z179)*1000</f>
        <v/>
      </c>
      <c r="AC179" s="9">
        <f>AB179/Inputs!$C$12</f>
        <v/>
      </c>
      <c r="AD179" s="9">
        <f>2*AB179/Inputs!$C$21*1000000</f>
        <v/>
      </c>
      <c r="AE179" s="9">
        <f>DEGREES(ATAN(H179/(B179-Y179/1000)))</f>
        <v/>
      </c>
      <c r="AF179" s="9">
        <f>DEGREES((2*PI()/Inputs!$C$13)*Inputs!$C$15*SIN(RADIANS(AE179)))</f>
        <v/>
      </c>
      <c r="AG179" s="9">
        <f>(Z179/AA179)^4</f>
        <v/>
      </c>
      <c r="AH179" s="9">
        <f>10*LOG10(AG179)</f>
        <v/>
      </c>
      <c r="AI179" s="9">
        <f>AC179-F179</f>
        <v/>
      </c>
      <c r="AJ179" s="9">
        <f>AD179-G179</f>
        <v/>
      </c>
      <c r="AK179" s="9">
        <f>Y179-X179</f>
        <v/>
      </c>
      <c r="AL179" s="9">
        <f>1000*(AA180-AA178)/(A180-A178)*Inputs!$C$11</f>
        <v/>
      </c>
      <c r="AM179" s="9">
        <f>-2*AL179/Inputs!$C$13</f>
        <v/>
      </c>
      <c r="AN179" s="9">
        <f>-2*AL179/Inputs!$C$14</f>
        <v/>
      </c>
      <c r="AO179" s="9">
        <f>ABS(AM179)</f>
        <v/>
      </c>
      <c r="AP179" s="9">
        <f>ABS(AN179)</f>
        <v/>
      </c>
      <c r="AQ179" s="9">
        <f>IF(OR(Inputs!$C$27=TRUE,Inputs!$C$27="TRUE",Inputs!$C$27=1),Inputs!$C$46/Inputs!$C$12,0)</f>
        <v/>
      </c>
      <c r="AR179" s="9">
        <f>AC179-AQ179</f>
        <v/>
      </c>
      <c r="AS179" s="9">
        <f>AC179+AQ179</f>
        <v/>
      </c>
    </row>
    <row r="180">
      <c r="A180" s="9">
        <f>Inputs!$C$7+178*(Inputs!$C$8-Inputs!$C$7)/240</f>
        <v/>
      </c>
      <c r="B180" s="9">
        <f>Inputs!$C$5+Inputs!$C$9*(A180/Inputs!$C$10)^2</f>
        <v/>
      </c>
      <c r="C180" s="9">
        <f>B180</f>
        <v/>
      </c>
      <c r="D180" s="9">
        <f>SQRT((Inputs!$C$52+B180)^2+Inputs!$C$52^2-2*(Inputs!$C$52+B180)*Inputs!$C$52*COS(SQRT(A180^2+Inputs!$C$6^2)/Inputs!$C$52))</f>
        <v/>
      </c>
      <c r="E180" s="9">
        <f>(D180-C180)*1000</f>
        <v/>
      </c>
      <c r="F180" s="9">
        <f>E180/Inputs!$C$12</f>
        <v/>
      </c>
      <c r="G180" s="9">
        <f>2*E180/Inputs!$C$21*1000000</f>
        <v/>
      </c>
      <c r="H180" s="9">
        <f>SQRT(A180^2+Inputs!$C$6^2)</f>
        <v/>
      </c>
      <c r="I180" s="9">
        <f>DEGREES(ATAN(H180/B180))</f>
        <v/>
      </c>
      <c r="J180" s="9">
        <f>DEGREES((2*PI()/Inputs!$C$13)*Inputs!$C$15*SIN(RADIANS(I180)))</f>
        <v/>
      </c>
      <c r="K180" s="9">
        <f>(C180/D180)^4</f>
        <v/>
      </c>
      <c r="L180" s="9">
        <f>10*LOG10(K180)</f>
        <v/>
      </c>
      <c r="M180" s="9">
        <f>2*(Inputs!$C$9/(Inputs!$C$10^2))*A180</f>
        <v/>
      </c>
      <c r="N180" s="9">
        <f>M180*Inputs!$C$11</f>
        <v/>
      </c>
      <c r="O180" s="9">
        <f>1000*(D181-D179)/(A181-A179)*Inputs!$C$11</f>
        <v/>
      </c>
      <c r="P180" s="9">
        <f>-2*O180/Inputs!$C$13</f>
        <v/>
      </c>
      <c r="Q180" s="9">
        <f>-2*O180/Inputs!$C$14</f>
        <v/>
      </c>
      <c r="R180" s="9">
        <f>F180-Inputs!$C$16/2</f>
        <v/>
      </c>
      <c r="S180" s="9">
        <f>F180+Inputs!$C$16/2</f>
        <v/>
      </c>
      <c r="T180" s="9">
        <f>F180-Inputs!$C$17/2</f>
        <v/>
      </c>
      <c r="U180" s="9">
        <f>F180+Inputs!$C$17/2</f>
        <v/>
      </c>
      <c r="V180" s="9">
        <f>ABS(P180)</f>
        <v/>
      </c>
      <c r="W180" s="9">
        <f>ABS(Q180)</f>
        <v/>
      </c>
      <c r="X180" s="9">
        <f>IF(OR(Inputs!$C$27=TRUE,Inputs!$C$27="TRUE",Inputs!$C$27=1),1,0)*(Inputs!$C$51*(115*EXP(-(((0)-25)^2)/(4.5^2))+70*EXP(-(((0)+38)^2)/(7^2))*(0.55+0.45*SIN(2*PI()*(A180)/45))+24*SIN(2*PI()*(0)/9+(A180)/18)*EXP(-(((0)+5)^2)/(22^2))+18*SIN(2*PI()*(A180)/70))+Inputs!$C$28*EXP(-(((A180)-Inputs!$C$29)^2)/(2*Inputs!$C$31^2))*EXP(-(((0)-Inputs!$C$30)^2)/(2*Inputs!$C$32^2))+-Inputs!$C$33*EXP(-(((((A180)-Inputs!$C$34)^2)+(((0)-Inputs!$C$35)^2))/(2*Inputs!$C$36^2)))+Inputs!$C$37*(0.55*SIN(2*PI()*(A180)/Inputs!$C$39)+0.35*COS(2*PI()*(0)/Inputs!$C$40)+0.2*SIN(2*PI()*((A180)+(0))/(0.5*(Inputs!$C$39+Inputs!$C$40))))+Inputs!$C$38*SIN(2*PI()*(A180)/Inputs!$C$39)*SIN(2*PI()*(0)/Inputs!$C$40)+-Inputs!$C$41*EXP(-(((0)-Inputs!$C$43)^2)/(2*Inputs!$C$44^2))*EXP(-(((A180)-Inputs!$C$42)^2)/(2*Inputs!$C$45^2))+Inputs!$C$48*(0.7*(0.45*SIN(2*PI()*(((A180)/Inputs!$C$49)+Inputs!$C$47*0.137))+0.35*COS(2*PI()*(((0)/Inputs!$C$50)+Inputs!$C$47*0.173))+0.2*SIN(2*PI()*(((A180)+(0))/(0.5*(Inputs!$C$49+Inputs!$C$50))+Inputs!$C$47*0.097)))+0.3*(2*((SIN(((A180)*12.9898+(0)*78.233+Inputs!$C$47*37.719))*43758.5453)-INT((SIN(((A180)*12.9898+(0)*78.233+Inputs!$C$47*37.719))*43758.5453)))-1)))</f>
        <v/>
      </c>
      <c r="Y180" s="9">
        <f>IF(OR(Inputs!$C$27=TRUE,Inputs!$C$27="TRUE",Inputs!$C$27=1),1,0)*(Inputs!$C$51*(115*EXP(-(((Inputs!$C$6)-25)^2)/(4.5^2))+70*EXP(-(((Inputs!$C$6)+38)^2)/(7^2))*(0.55+0.45*SIN(2*PI()*(A180)/45))+24*SIN(2*PI()*(Inputs!$C$6)/9+(A180)/18)*EXP(-(((Inputs!$C$6)+5)^2)/(22^2))+18*SIN(2*PI()*(A180)/70))+Inputs!$C$28*EXP(-(((A180)-Inputs!$C$29)^2)/(2*Inputs!$C$31^2))*EXP(-(((Inputs!$C$6)-Inputs!$C$30)^2)/(2*Inputs!$C$32^2))+-Inputs!$C$33*EXP(-(((((A180)-Inputs!$C$34)^2)+(((Inputs!$C$6)-Inputs!$C$35)^2))/(2*Inputs!$C$36^2)))+Inputs!$C$37*(0.55*SIN(2*PI()*(A180)/Inputs!$C$39)+0.35*COS(2*PI()*(Inputs!$C$6)/Inputs!$C$40)+0.2*SIN(2*PI()*((A180)+(Inputs!$C$6))/(0.5*(Inputs!$C$39+Inputs!$C$40))))+Inputs!$C$38*SIN(2*PI()*(A180)/Inputs!$C$39)*SIN(2*PI()*(Inputs!$C$6)/Inputs!$C$40)+-Inputs!$C$41*EXP(-(((Inputs!$C$6)-Inputs!$C$43)^2)/(2*Inputs!$C$44^2))*EXP(-(((A180)-Inputs!$C$42)^2)/(2*Inputs!$C$45^2))+Inputs!$C$48*(0.7*(0.45*SIN(2*PI()*(((A180)/Inputs!$C$49)+Inputs!$C$47*0.137))+0.35*COS(2*PI()*(((Inputs!$C$6)/Inputs!$C$50)+Inputs!$C$47*0.173))+0.2*SIN(2*PI()*(((A180)+(Inputs!$C$6))/(0.5*(Inputs!$C$49+Inputs!$C$50))+Inputs!$C$47*0.097)))+0.3*(2*((SIN(((A180)*12.9898+(Inputs!$C$6)*78.233+Inputs!$C$47*37.719))*43758.5453)-INT((SIN(((A180)*12.9898+(Inputs!$C$6)*78.233+Inputs!$C$47*37.719))*43758.5453)))-1)))</f>
        <v/>
      </c>
      <c r="Z180" s="9">
        <f>B180-X180/1000</f>
        <v/>
      </c>
      <c r="AA180" s="9">
        <f>SQRT((Inputs!$C$52+B180)^2+(Inputs!$C$52+Y180/1000)^2-2*(Inputs!$C$52+B180)*(Inputs!$C$52+Y180/1000)*COS(SQRT(A180^2+Inputs!$C$6^2)/Inputs!$C$52))</f>
        <v/>
      </c>
      <c r="AB180" s="9">
        <f>(AA180-Z180)*1000</f>
        <v/>
      </c>
      <c r="AC180" s="9">
        <f>AB180/Inputs!$C$12</f>
        <v/>
      </c>
      <c r="AD180" s="9">
        <f>2*AB180/Inputs!$C$21*1000000</f>
        <v/>
      </c>
      <c r="AE180" s="9">
        <f>DEGREES(ATAN(H180/(B180-Y180/1000)))</f>
        <v/>
      </c>
      <c r="AF180" s="9">
        <f>DEGREES((2*PI()/Inputs!$C$13)*Inputs!$C$15*SIN(RADIANS(AE180)))</f>
        <v/>
      </c>
      <c r="AG180" s="9">
        <f>(Z180/AA180)^4</f>
        <v/>
      </c>
      <c r="AH180" s="9">
        <f>10*LOG10(AG180)</f>
        <v/>
      </c>
      <c r="AI180" s="9">
        <f>AC180-F180</f>
        <v/>
      </c>
      <c r="AJ180" s="9">
        <f>AD180-G180</f>
        <v/>
      </c>
      <c r="AK180" s="9">
        <f>Y180-X180</f>
        <v/>
      </c>
      <c r="AL180" s="9">
        <f>1000*(AA181-AA179)/(A181-A179)*Inputs!$C$11</f>
        <v/>
      </c>
      <c r="AM180" s="9">
        <f>-2*AL180/Inputs!$C$13</f>
        <v/>
      </c>
      <c r="AN180" s="9">
        <f>-2*AL180/Inputs!$C$14</f>
        <v/>
      </c>
      <c r="AO180" s="9">
        <f>ABS(AM180)</f>
        <v/>
      </c>
      <c r="AP180" s="9">
        <f>ABS(AN180)</f>
        <v/>
      </c>
      <c r="AQ180" s="9">
        <f>IF(OR(Inputs!$C$27=TRUE,Inputs!$C$27="TRUE",Inputs!$C$27=1),Inputs!$C$46/Inputs!$C$12,0)</f>
        <v/>
      </c>
      <c r="AR180" s="9">
        <f>AC180-AQ180</f>
        <v/>
      </c>
      <c r="AS180" s="9">
        <f>AC180+AQ180</f>
        <v/>
      </c>
    </row>
    <row r="181">
      <c r="A181" s="9">
        <f>Inputs!$C$7+179*(Inputs!$C$8-Inputs!$C$7)/240</f>
        <v/>
      </c>
      <c r="B181" s="9">
        <f>Inputs!$C$5+Inputs!$C$9*(A181/Inputs!$C$10)^2</f>
        <v/>
      </c>
      <c r="C181" s="9">
        <f>B181</f>
        <v/>
      </c>
      <c r="D181" s="9">
        <f>SQRT((Inputs!$C$52+B181)^2+Inputs!$C$52^2-2*(Inputs!$C$52+B181)*Inputs!$C$52*COS(SQRT(A181^2+Inputs!$C$6^2)/Inputs!$C$52))</f>
        <v/>
      </c>
      <c r="E181" s="9">
        <f>(D181-C181)*1000</f>
        <v/>
      </c>
      <c r="F181" s="9">
        <f>E181/Inputs!$C$12</f>
        <v/>
      </c>
      <c r="G181" s="9">
        <f>2*E181/Inputs!$C$21*1000000</f>
        <v/>
      </c>
      <c r="H181" s="9">
        <f>SQRT(A181^2+Inputs!$C$6^2)</f>
        <v/>
      </c>
      <c r="I181" s="9">
        <f>DEGREES(ATAN(H181/B181))</f>
        <v/>
      </c>
      <c r="J181" s="9">
        <f>DEGREES((2*PI()/Inputs!$C$13)*Inputs!$C$15*SIN(RADIANS(I181)))</f>
        <v/>
      </c>
      <c r="K181" s="9">
        <f>(C181/D181)^4</f>
        <v/>
      </c>
      <c r="L181" s="9">
        <f>10*LOG10(K181)</f>
        <v/>
      </c>
      <c r="M181" s="9">
        <f>2*(Inputs!$C$9/(Inputs!$C$10^2))*A181</f>
        <v/>
      </c>
      <c r="N181" s="9">
        <f>M181*Inputs!$C$11</f>
        <v/>
      </c>
      <c r="O181" s="9">
        <f>1000*(D182-D180)/(A182-A180)*Inputs!$C$11</f>
        <v/>
      </c>
      <c r="P181" s="9">
        <f>-2*O181/Inputs!$C$13</f>
        <v/>
      </c>
      <c r="Q181" s="9">
        <f>-2*O181/Inputs!$C$14</f>
        <v/>
      </c>
      <c r="R181" s="9">
        <f>F181-Inputs!$C$16/2</f>
        <v/>
      </c>
      <c r="S181" s="9">
        <f>F181+Inputs!$C$16/2</f>
        <v/>
      </c>
      <c r="T181" s="9">
        <f>F181-Inputs!$C$17/2</f>
        <v/>
      </c>
      <c r="U181" s="9">
        <f>F181+Inputs!$C$17/2</f>
        <v/>
      </c>
      <c r="V181" s="9">
        <f>ABS(P181)</f>
        <v/>
      </c>
      <c r="W181" s="9">
        <f>ABS(Q181)</f>
        <v/>
      </c>
      <c r="X181" s="9">
        <f>IF(OR(Inputs!$C$27=TRUE,Inputs!$C$27="TRUE",Inputs!$C$27=1),1,0)*(Inputs!$C$51*(115*EXP(-(((0)-25)^2)/(4.5^2))+70*EXP(-(((0)+38)^2)/(7^2))*(0.55+0.45*SIN(2*PI()*(A181)/45))+24*SIN(2*PI()*(0)/9+(A181)/18)*EXP(-(((0)+5)^2)/(22^2))+18*SIN(2*PI()*(A181)/70))+Inputs!$C$28*EXP(-(((A181)-Inputs!$C$29)^2)/(2*Inputs!$C$31^2))*EXP(-(((0)-Inputs!$C$30)^2)/(2*Inputs!$C$32^2))+-Inputs!$C$33*EXP(-(((((A181)-Inputs!$C$34)^2)+(((0)-Inputs!$C$35)^2))/(2*Inputs!$C$36^2)))+Inputs!$C$37*(0.55*SIN(2*PI()*(A181)/Inputs!$C$39)+0.35*COS(2*PI()*(0)/Inputs!$C$40)+0.2*SIN(2*PI()*((A181)+(0))/(0.5*(Inputs!$C$39+Inputs!$C$40))))+Inputs!$C$38*SIN(2*PI()*(A181)/Inputs!$C$39)*SIN(2*PI()*(0)/Inputs!$C$40)+-Inputs!$C$41*EXP(-(((0)-Inputs!$C$43)^2)/(2*Inputs!$C$44^2))*EXP(-(((A181)-Inputs!$C$42)^2)/(2*Inputs!$C$45^2))+Inputs!$C$48*(0.7*(0.45*SIN(2*PI()*(((A181)/Inputs!$C$49)+Inputs!$C$47*0.137))+0.35*COS(2*PI()*(((0)/Inputs!$C$50)+Inputs!$C$47*0.173))+0.2*SIN(2*PI()*(((A181)+(0))/(0.5*(Inputs!$C$49+Inputs!$C$50))+Inputs!$C$47*0.097)))+0.3*(2*((SIN(((A181)*12.9898+(0)*78.233+Inputs!$C$47*37.719))*43758.5453)-INT((SIN(((A181)*12.9898+(0)*78.233+Inputs!$C$47*37.719))*43758.5453)))-1)))</f>
        <v/>
      </c>
      <c r="Y181" s="9">
        <f>IF(OR(Inputs!$C$27=TRUE,Inputs!$C$27="TRUE",Inputs!$C$27=1),1,0)*(Inputs!$C$51*(115*EXP(-(((Inputs!$C$6)-25)^2)/(4.5^2))+70*EXP(-(((Inputs!$C$6)+38)^2)/(7^2))*(0.55+0.45*SIN(2*PI()*(A181)/45))+24*SIN(2*PI()*(Inputs!$C$6)/9+(A181)/18)*EXP(-(((Inputs!$C$6)+5)^2)/(22^2))+18*SIN(2*PI()*(A181)/70))+Inputs!$C$28*EXP(-(((A181)-Inputs!$C$29)^2)/(2*Inputs!$C$31^2))*EXP(-(((Inputs!$C$6)-Inputs!$C$30)^2)/(2*Inputs!$C$32^2))+-Inputs!$C$33*EXP(-(((((A181)-Inputs!$C$34)^2)+(((Inputs!$C$6)-Inputs!$C$35)^2))/(2*Inputs!$C$36^2)))+Inputs!$C$37*(0.55*SIN(2*PI()*(A181)/Inputs!$C$39)+0.35*COS(2*PI()*(Inputs!$C$6)/Inputs!$C$40)+0.2*SIN(2*PI()*((A181)+(Inputs!$C$6))/(0.5*(Inputs!$C$39+Inputs!$C$40))))+Inputs!$C$38*SIN(2*PI()*(A181)/Inputs!$C$39)*SIN(2*PI()*(Inputs!$C$6)/Inputs!$C$40)+-Inputs!$C$41*EXP(-(((Inputs!$C$6)-Inputs!$C$43)^2)/(2*Inputs!$C$44^2))*EXP(-(((A181)-Inputs!$C$42)^2)/(2*Inputs!$C$45^2))+Inputs!$C$48*(0.7*(0.45*SIN(2*PI()*(((A181)/Inputs!$C$49)+Inputs!$C$47*0.137))+0.35*COS(2*PI()*(((Inputs!$C$6)/Inputs!$C$50)+Inputs!$C$47*0.173))+0.2*SIN(2*PI()*(((A181)+(Inputs!$C$6))/(0.5*(Inputs!$C$49+Inputs!$C$50))+Inputs!$C$47*0.097)))+0.3*(2*((SIN(((A181)*12.9898+(Inputs!$C$6)*78.233+Inputs!$C$47*37.719))*43758.5453)-INT((SIN(((A181)*12.9898+(Inputs!$C$6)*78.233+Inputs!$C$47*37.719))*43758.5453)))-1)))</f>
        <v/>
      </c>
      <c r="Z181" s="9">
        <f>B181-X181/1000</f>
        <v/>
      </c>
      <c r="AA181" s="9">
        <f>SQRT((Inputs!$C$52+B181)^2+(Inputs!$C$52+Y181/1000)^2-2*(Inputs!$C$52+B181)*(Inputs!$C$52+Y181/1000)*COS(SQRT(A181^2+Inputs!$C$6^2)/Inputs!$C$52))</f>
        <v/>
      </c>
      <c r="AB181" s="9">
        <f>(AA181-Z181)*1000</f>
        <v/>
      </c>
      <c r="AC181" s="9">
        <f>AB181/Inputs!$C$12</f>
        <v/>
      </c>
      <c r="AD181" s="9">
        <f>2*AB181/Inputs!$C$21*1000000</f>
        <v/>
      </c>
      <c r="AE181" s="9">
        <f>DEGREES(ATAN(H181/(B181-Y181/1000)))</f>
        <v/>
      </c>
      <c r="AF181" s="9">
        <f>DEGREES((2*PI()/Inputs!$C$13)*Inputs!$C$15*SIN(RADIANS(AE181)))</f>
        <v/>
      </c>
      <c r="AG181" s="9">
        <f>(Z181/AA181)^4</f>
        <v/>
      </c>
      <c r="AH181" s="9">
        <f>10*LOG10(AG181)</f>
        <v/>
      </c>
      <c r="AI181" s="9">
        <f>AC181-F181</f>
        <v/>
      </c>
      <c r="AJ181" s="9">
        <f>AD181-G181</f>
        <v/>
      </c>
      <c r="AK181" s="9">
        <f>Y181-X181</f>
        <v/>
      </c>
      <c r="AL181" s="9">
        <f>1000*(AA182-AA180)/(A182-A180)*Inputs!$C$11</f>
        <v/>
      </c>
      <c r="AM181" s="9">
        <f>-2*AL181/Inputs!$C$13</f>
        <v/>
      </c>
      <c r="AN181" s="9">
        <f>-2*AL181/Inputs!$C$14</f>
        <v/>
      </c>
      <c r="AO181" s="9">
        <f>ABS(AM181)</f>
        <v/>
      </c>
      <c r="AP181" s="9">
        <f>ABS(AN181)</f>
        <v/>
      </c>
      <c r="AQ181" s="9">
        <f>IF(OR(Inputs!$C$27=TRUE,Inputs!$C$27="TRUE",Inputs!$C$27=1),Inputs!$C$46/Inputs!$C$12,0)</f>
        <v/>
      </c>
      <c r="AR181" s="9">
        <f>AC181-AQ181</f>
        <v/>
      </c>
      <c r="AS181" s="9">
        <f>AC181+AQ181</f>
        <v/>
      </c>
    </row>
    <row r="182">
      <c r="A182" s="9">
        <f>Inputs!$C$7+180*(Inputs!$C$8-Inputs!$C$7)/240</f>
        <v/>
      </c>
      <c r="B182" s="9">
        <f>Inputs!$C$5+Inputs!$C$9*(A182/Inputs!$C$10)^2</f>
        <v/>
      </c>
      <c r="C182" s="9">
        <f>B182</f>
        <v/>
      </c>
      <c r="D182" s="9">
        <f>SQRT((Inputs!$C$52+B182)^2+Inputs!$C$52^2-2*(Inputs!$C$52+B182)*Inputs!$C$52*COS(SQRT(A182^2+Inputs!$C$6^2)/Inputs!$C$52))</f>
        <v/>
      </c>
      <c r="E182" s="9">
        <f>(D182-C182)*1000</f>
        <v/>
      </c>
      <c r="F182" s="9">
        <f>E182/Inputs!$C$12</f>
        <v/>
      </c>
      <c r="G182" s="9">
        <f>2*E182/Inputs!$C$21*1000000</f>
        <v/>
      </c>
      <c r="H182" s="9">
        <f>SQRT(A182^2+Inputs!$C$6^2)</f>
        <v/>
      </c>
      <c r="I182" s="9">
        <f>DEGREES(ATAN(H182/B182))</f>
        <v/>
      </c>
      <c r="J182" s="9">
        <f>DEGREES((2*PI()/Inputs!$C$13)*Inputs!$C$15*SIN(RADIANS(I182)))</f>
        <v/>
      </c>
      <c r="K182" s="9">
        <f>(C182/D182)^4</f>
        <v/>
      </c>
      <c r="L182" s="9">
        <f>10*LOG10(K182)</f>
        <v/>
      </c>
      <c r="M182" s="9">
        <f>2*(Inputs!$C$9/(Inputs!$C$10^2))*A182</f>
        <v/>
      </c>
      <c r="N182" s="9">
        <f>M182*Inputs!$C$11</f>
        <v/>
      </c>
      <c r="O182" s="9">
        <f>1000*(D183-D181)/(A183-A181)*Inputs!$C$11</f>
        <v/>
      </c>
      <c r="P182" s="9">
        <f>-2*O182/Inputs!$C$13</f>
        <v/>
      </c>
      <c r="Q182" s="9">
        <f>-2*O182/Inputs!$C$14</f>
        <v/>
      </c>
      <c r="R182" s="9">
        <f>F182-Inputs!$C$16/2</f>
        <v/>
      </c>
      <c r="S182" s="9">
        <f>F182+Inputs!$C$16/2</f>
        <v/>
      </c>
      <c r="T182" s="9">
        <f>F182-Inputs!$C$17/2</f>
        <v/>
      </c>
      <c r="U182" s="9">
        <f>F182+Inputs!$C$17/2</f>
        <v/>
      </c>
      <c r="V182" s="9">
        <f>ABS(P182)</f>
        <v/>
      </c>
      <c r="W182" s="9">
        <f>ABS(Q182)</f>
        <v/>
      </c>
      <c r="X182" s="9">
        <f>IF(OR(Inputs!$C$27=TRUE,Inputs!$C$27="TRUE",Inputs!$C$27=1),1,0)*(Inputs!$C$51*(115*EXP(-(((0)-25)^2)/(4.5^2))+70*EXP(-(((0)+38)^2)/(7^2))*(0.55+0.45*SIN(2*PI()*(A182)/45))+24*SIN(2*PI()*(0)/9+(A182)/18)*EXP(-(((0)+5)^2)/(22^2))+18*SIN(2*PI()*(A182)/70))+Inputs!$C$28*EXP(-(((A182)-Inputs!$C$29)^2)/(2*Inputs!$C$31^2))*EXP(-(((0)-Inputs!$C$30)^2)/(2*Inputs!$C$32^2))+-Inputs!$C$33*EXP(-(((((A182)-Inputs!$C$34)^2)+(((0)-Inputs!$C$35)^2))/(2*Inputs!$C$36^2)))+Inputs!$C$37*(0.55*SIN(2*PI()*(A182)/Inputs!$C$39)+0.35*COS(2*PI()*(0)/Inputs!$C$40)+0.2*SIN(2*PI()*((A182)+(0))/(0.5*(Inputs!$C$39+Inputs!$C$40))))+Inputs!$C$38*SIN(2*PI()*(A182)/Inputs!$C$39)*SIN(2*PI()*(0)/Inputs!$C$40)+-Inputs!$C$41*EXP(-(((0)-Inputs!$C$43)^2)/(2*Inputs!$C$44^2))*EXP(-(((A182)-Inputs!$C$42)^2)/(2*Inputs!$C$45^2))+Inputs!$C$48*(0.7*(0.45*SIN(2*PI()*(((A182)/Inputs!$C$49)+Inputs!$C$47*0.137))+0.35*COS(2*PI()*(((0)/Inputs!$C$50)+Inputs!$C$47*0.173))+0.2*SIN(2*PI()*(((A182)+(0))/(0.5*(Inputs!$C$49+Inputs!$C$50))+Inputs!$C$47*0.097)))+0.3*(2*((SIN(((A182)*12.9898+(0)*78.233+Inputs!$C$47*37.719))*43758.5453)-INT((SIN(((A182)*12.9898+(0)*78.233+Inputs!$C$47*37.719))*43758.5453)))-1)))</f>
        <v/>
      </c>
      <c r="Y182" s="9">
        <f>IF(OR(Inputs!$C$27=TRUE,Inputs!$C$27="TRUE",Inputs!$C$27=1),1,0)*(Inputs!$C$51*(115*EXP(-(((Inputs!$C$6)-25)^2)/(4.5^2))+70*EXP(-(((Inputs!$C$6)+38)^2)/(7^2))*(0.55+0.45*SIN(2*PI()*(A182)/45))+24*SIN(2*PI()*(Inputs!$C$6)/9+(A182)/18)*EXP(-(((Inputs!$C$6)+5)^2)/(22^2))+18*SIN(2*PI()*(A182)/70))+Inputs!$C$28*EXP(-(((A182)-Inputs!$C$29)^2)/(2*Inputs!$C$31^2))*EXP(-(((Inputs!$C$6)-Inputs!$C$30)^2)/(2*Inputs!$C$32^2))+-Inputs!$C$33*EXP(-(((((A182)-Inputs!$C$34)^2)+(((Inputs!$C$6)-Inputs!$C$35)^2))/(2*Inputs!$C$36^2)))+Inputs!$C$37*(0.55*SIN(2*PI()*(A182)/Inputs!$C$39)+0.35*COS(2*PI()*(Inputs!$C$6)/Inputs!$C$40)+0.2*SIN(2*PI()*((A182)+(Inputs!$C$6))/(0.5*(Inputs!$C$39+Inputs!$C$40))))+Inputs!$C$38*SIN(2*PI()*(A182)/Inputs!$C$39)*SIN(2*PI()*(Inputs!$C$6)/Inputs!$C$40)+-Inputs!$C$41*EXP(-(((Inputs!$C$6)-Inputs!$C$43)^2)/(2*Inputs!$C$44^2))*EXP(-(((A182)-Inputs!$C$42)^2)/(2*Inputs!$C$45^2))+Inputs!$C$48*(0.7*(0.45*SIN(2*PI()*(((A182)/Inputs!$C$49)+Inputs!$C$47*0.137))+0.35*COS(2*PI()*(((Inputs!$C$6)/Inputs!$C$50)+Inputs!$C$47*0.173))+0.2*SIN(2*PI()*(((A182)+(Inputs!$C$6))/(0.5*(Inputs!$C$49+Inputs!$C$50))+Inputs!$C$47*0.097)))+0.3*(2*((SIN(((A182)*12.9898+(Inputs!$C$6)*78.233+Inputs!$C$47*37.719))*43758.5453)-INT((SIN(((A182)*12.9898+(Inputs!$C$6)*78.233+Inputs!$C$47*37.719))*43758.5453)))-1)))</f>
        <v/>
      </c>
      <c r="Z182" s="9">
        <f>B182-X182/1000</f>
        <v/>
      </c>
      <c r="AA182" s="9">
        <f>SQRT((Inputs!$C$52+B182)^2+(Inputs!$C$52+Y182/1000)^2-2*(Inputs!$C$52+B182)*(Inputs!$C$52+Y182/1000)*COS(SQRT(A182^2+Inputs!$C$6^2)/Inputs!$C$52))</f>
        <v/>
      </c>
      <c r="AB182" s="9">
        <f>(AA182-Z182)*1000</f>
        <v/>
      </c>
      <c r="AC182" s="9">
        <f>AB182/Inputs!$C$12</f>
        <v/>
      </c>
      <c r="AD182" s="9">
        <f>2*AB182/Inputs!$C$21*1000000</f>
        <v/>
      </c>
      <c r="AE182" s="9">
        <f>DEGREES(ATAN(H182/(B182-Y182/1000)))</f>
        <v/>
      </c>
      <c r="AF182" s="9">
        <f>DEGREES((2*PI()/Inputs!$C$13)*Inputs!$C$15*SIN(RADIANS(AE182)))</f>
        <v/>
      </c>
      <c r="AG182" s="9">
        <f>(Z182/AA182)^4</f>
        <v/>
      </c>
      <c r="AH182" s="9">
        <f>10*LOG10(AG182)</f>
        <v/>
      </c>
      <c r="AI182" s="9">
        <f>AC182-F182</f>
        <v/>
      </c>
      <c r="AJ182" s="9">
        <f>AD182-G182</f>
        <v/>
      </c>
      <c r="AK182" s="9">
        <f>Y182-X182</f>
        <v/>
      </c>
      <c r="AL182" s="9">
        <f>1000*(AA183-AA181)/(A183-A181)*Inputs!$C$11</f>
        <v/>
      </c>
      <c r="AM182" s="9">
        <f>-2*AL182/Inputs!$C$13</f>
        <v/>
      </c>
      <c r="AN182" s="9">
        <f>-2*AL182/Inputs!$C$14</f>
        <v/>
      </c>
      <c r="AO182" s="9">
        <f>ABS(AM182)</f>
        <v/>
      </c>
      <c r="AP182" s="9">
        <f>ABS(AN182)</f>
        <v/>
      </c>
      <c r="AQ182" s="9">
        <f>IF(OR(Inputs!$C$27=TRUE,Inputs!$C$27="TRUE",Inputs!$C$27=1),Inputs!$C$46/Inputs!$C$12,0)</f>
        <v/>
      </c>
      <c r="AR182" s="9">
        <f>AC182-AQ182</f>
        <v/>
      </c>
      <c r="AS182" s="9">
        <f>AC182+AQ182</f>
        <v/>
      </c>
    </row>
    <row r="183">
      <c r="A183" s="9">
        <f>Inputs!$C$7+181*(Inputs!$C$8-Inputs!$C$7)/240</f>
        <v/>
      </c>
      <c r="B183" s="9">
        <f>Inputs!$C$5+Inputs!$C$9*(A183/Inputs!$C$10)^2</f>
        <v/>
      </c>
      <c r="C183" s="9">
        <f>B183</f>
        <v/>
      </c>
      <c r="D183" s="9">
        <f>SQRT((Inputs!$C$52+B183)^2+Inputs!$C$52^2-2*(Inputs!$C$52+B183)*Inputs!$C$52*COS(SQRT(A183^2+Inputs!$C$6^2)/Inputs!$C$52))</f>
        <v/>
      </c>
      <c r="E183" s="9">
        <f>(D183-C183)*1000</f>
        <v/>
      </c>
      <c r="F183" s="9">
        <f>E183/Inputs!$C$12</f>
        <v/>
      </c>
      <c r="G183" s="9">
        <f>2*E183/Inputs!$C$21*1000000</f>
        <v/>
      </c>
      <c r="H183" s="9">
        <f>SQRT(A183^2+Inputs!$C$6^2)</f>
        <v/>
      </c>
      <c r="I183" s="9">
        <f>DEGREES(ATAN(H183/B183))</f>
        <v/>
      </c>
      <c r="J183" s="9">
        <f>DEGREES((2*PI()/Inputs!$C$13)*Inputs!$C$15*SIN(RADIANS(I183)))</f>
        <v/>
      </c>
      <c r="K183" s="9">
        <f>(C183/D183)^4</f>
        <v/>
      </c>
      <c r="L183" s="9">
        <f>10*LOG10(K183)</f>
        <v/>
      </c>
      <c r="M183" s="9">
        <f>2*(Inputs!$C$9/(Inputs!$C$10^2))*A183</f>
        <v/>
      </c>
      <c r="N183" s="9">
        <f>M183*Inputs!$C$11</f>
        <v/>
      </c>
      <c r="O183" s="9">
        <f>1000*(D184-D182)/(A184-A182)*Inputs!$C$11</f>
        <v/>
      </c>
      <c r="P183" s="9">
        <f>-2*O183/Inputs!$C$13</f>
        <v/>
      </c>
      <c r="Q183" s="9">
        <f>-2*O183/Inputs!$C$14</f>
        <v/>
      </c>
      <c r="R183" s="9">
        <f>F183-Inputs!$C$16/2</f>
        <v/>
      </c>
      <c r="S183" s="9">
        <f>F183+Inputs!$C$16/2</f>
        <v/>
      </c>
      <c r="T183" s="9">
        <f>F183-Inputs!$C$17/2</f>
        <v/>
      </c>
      <c r="U183" s="9">
        <f>F183+Inputs!$C$17/2</f>
        <v/>
      </c>
      <c r="V183" s="9">
        <f>ABS(P183)</f>
        <v/>
      </c>
      <c r="W183" s="9">
        <f>ABS(Q183)</f>
        <v/>
      </c>
      <c r="X183" s="9">
        <f>IF(OR(Inputs!$C$27=TRUE,Inputs!$C$27="TRUE",Inputs!$C$27=1),1,0)*(Inputs!$C$51*(115*EXP(-(((0)-25)^2)/(4.5^2))+70*EXP(-(((0)+38)^2)/(7^2))*(0.55+0.45*SIN(2*PI()*(A183)/45))+24*SIN(2*PI()*(0)/9+(A183)/18)*EXP(-(((0)+5)^2)/(22^2))+18*SIN(2*PI()*(A183)/70))+Inputs!$C$28*EXP(-(((A183)-Inputs!$C$29)^2)/(2*Inputs!$C$31^2))*EXP(-(((0)-Inputs!$C$30)^2)/(2*Inputs!$C$32^2))+-Inputs!$C$33*EXP(-(((((A183)-Inputs!$C$34)^2)+(((0)-Inputs!$C$35)^2))/(2*Inputs!$C$36^2)))+Inputs!$C$37*(0.55*SIN(2*PI()*(A183)/Inputs!$C$39)+0.35*COS(2*PI()*(0)/Inputs!$C$40)+0.2*SIN(2*PI()*((A183)+(0))/(0.5*(Inputs!$C$39+Inputs!$C$40))))+Inputs!$C$38*SIN(2*PI()*(A183)/Inputs!$C$39)*SIN(2*PI()*(0)/Inputs!$C$40)+-Inputs!$C$41*EXP(-(((0)-Inputs!$C$43)^2)/(2*Inputs!$C$44^2))*EXP(-(((A183)-Inputs!$C$42)^2)/(2*Inputs!$C$45^2))+Inputs!$C$48*(0.7*(0.45*SIN(2*PI()*(((A183)/Inputs!$C$49)+Inputs!$C$47*0.137))+0.35*COS(2*PI()*(((0)/Inputs!$C$50)+Inputs!$C$47*0.173))+0.2*SIN(2*PI()*(((A183)+(0))/(0.5*(Inputs!$C$49+Inputs!$C$50))+Inputs!$C$47*0.097)))+0.3*(2*((SIN(((A183)*12.9898+(0)*78.233+Inputs!$C$47*37.719))*43758.5453)-INT((SIN(((A183)*12.9898+(0)*78.233+Inputs!$C$47*37.719))*43758.5453)))-1)))</f>
        <v/>
      </c>
      <c r="Y183" s="9">
        <f>IF(OR(Inputs!$C$27=TRUE,Inputs!$C$27="TRUE",Inputs!$C$27=1),1,0)*(Inputs!$C$51*(115*EXP(-(((Inputs!$C$6)-25)^2)/(4.5^2))+70*EXP(-(((Inputs!$C$6)+38)^2)/(7^2))*(0.55+0.45*SIN(2*PI()*(A183)/45))+24*SIN(2*PI()*(Inputs!$C$6)/9+(A183)/18)*EXP(-(((Inputs!$C$6)+5)^2)/(22^2))+18*SIN(2*PI()*(A183)/70))+Inputs!$C$28*EXP(-(((A183)-Inputs!$C$29)^2)/(2*Inputs!$C$31^2))*EXP(-(((Inputs!$C$6)-Inputs!$C$30)^2)/(2*Inputs!$C$32^2))+-Inputs!$C$33*EXP(-(((((A183)-Inputs!$C$34)^2)+(((Inputs!$C$6)-Inputs!$C$35)^2))/(2*Inputs!$C$36^2)))+Inputs!$C$37*(0.55*SIN(2*PI()*(A183)/Inputs!$C$39)+0.35*COS(2*PI()*(Inputs!$C$6)/Inputs!$C$40)+0.2*SIN(2*PI()*((A183)+(Inputs!$C$6))/(0.5*(Inputs!$C$39+Inputs!$C$40))))+Inputs!$C$38*SIN(2*PI()*(A183)/Inputs!$C$39)*SIN(2*PI()*(Inputs!$C$6)/Inputs!$C$40)+-Inputs!$C$41*EXP(-(((Inputs!$C$6)-Inputs!$C$43)^2)/(2*Inputs!$C$44^2))*EXP(-(((A183)-Inputs!$C$42)^2)/(2*Inputs!$C$45^2))+Inputs!$C$48*(0.7*(0.45*SIN(2*PI()*(((A183)/Inputs!$C$49)+Inputs!$C$47*0.137))+0.35*COS(2*PI()*(((Inputs!$C$6)/Inputs!$C$50)+Inputs!$C$47*0.173))+0.2*SIN(2*PI()*(((A183)+(Inputs!$C$6))/(0.5*(Inputs!$C$49+Inputs!$C$50))+Inputs!$C$47*0.097)))+0.3*(2*((SIN(((A183)*12.9898+(Inputs!$C$6)*78.233+Inputs!$C$47*37.719))*43758.5453)-INT((SIN(((A183)*12.9898+(Inputs!$C$6)*78.233+Inputs!$C$47*37.719))*43758.5453)))-1)))</f>
        <v/>
      </c>
      <c r="Z183" s="9">
        <f>B183-X183/1000</f>
        <v/>
      </c>
      <c r="AA183" s="9">
        <f>SQRT((Inputs!$C$52+B183)^2+(Inputs!$C$52+Y183/1000)^2-2*(Inputs!$C$52+B183)*(Inputs!$C$52+Y183/1000)*COS(SQRT(A183^2+Inputs!$C$6^2)/Inputs!$C$52))</f>
        <v/>
      </c>
      <c r="AB183" s="9">
        <f>(AA183-Z183)*1000</f>
        <v/>
      </c>
      <c r="AC183" s="9">
        <f>AB183/Inputs!$C$12</f>
        <v/>
      </c>
      <c r="AD183" s="9">
        <f>2*AB183/Inputs!$C$21*1000000</f>
        <v/>
      </c>
      <c r="AE183" s="9">
        <f>DEGREES(ATAN(H183/(B183-Y183/1000)))</f>
        <v/>
      </c>
      <c r="AF183" s="9">
        <f>DEGREES((2*PI()/Inputs!$C$13)*Inputs!$C$15*SIN(RADIANS(AE183)))</f>
        <v/>
      </c>
      <c r="AG183" s="9">
        <f>(Z183/AA183)^4</f>
        <v/>
      </c>
      <c r="AH183" s="9">
        <f>10*LOG10(AG183)</f>
        <v/>
      </c>
      <c r="AI183" s="9">
        <f>AC183-F183</f>
        <v/>
      </c>
      <c r="AJ183" s="9">
        <f>AD183-G183</f>
        <v/>
      </c>
      <c r="AK183" s="9">
        <f>Y183-X183</f>
        <v/>
      </c>
      <c r="AL183" s="9">
        <f>1000*(AA184-AA182)/(A184-A182)*Inputs!$C$11</f>
        <v/>
      </c>
      <c r="AM183" s="9">
        <f>-2*AL183/Inputs!$C$13</f>
        <v/>
      </c>
      <c r="AN183" s="9">
        <f>-2*AL183/Inputs!$C$14</f>
        <v/>
      </c>
      <c r="AO183" s="9">
        <f>ABS(AM183)</f>
        <v/>
      </c>
      <c r="AP183" s="9">
        <f>ABS(AN183)</f>
        <v/>
      </c>
      <c r="AQ183" s="9">
        <f>IF(OR(Inputs!$C$27=TRUE,Inputs!$C$27="TRUE",Inputs!$C$27=1),Inputs!$C$46/Inputs!$C$12,0)</f>
        <v/>
      </c>
      <c r="AR183" s="9">
        <f>AC183-AQ183</f>
        <v/>
      </c>
      <c r="AS183" s="9">
        <f>AC183+AQ183</f>
        <v/>
      </c>
    </row>
    <row r="184">
      <c r="A184" s="9">
        <f>Inputs!$C$7+182*(Inputs!$C$8-Inputs!$C$7)/240</f>
        <v/>
      </c>
      <c r="B184" s="9">
        <f>Inputs!$C$5+Inputs!$C$9*(A184/Inputs!$C$10)^2</f>
        <v/>
      </c>
      <c r="C184" s="9">
        <f>B184</f>
        <v/>
      </c>
      <c r="D184" s="9">
        <f>SQRT((Inputs!$C$52+B184)^2+Inputs!$C$52^2-2*(Inputs!$C$52+B184)*Inputs!$C$52*COS(SQRT(A184^2+Inputs!$C$6^2)/Inputs!$C$52))</f>
        <v/>
      </c>
      <c r="E184" s="9">
        <f>(D184-C184)*1000</f>
        <v/>
      </c>
      <c r="F184" s="9">
        <f>E184/Inputs!$C$12</f>
        <v/>
      </c>
      <c r="G184" s="9">
        <f>2*E184/Inputs!$C$21*1000000</f>
        <v/>
      </c>
      <c r="H184" s="9">
        <f>SQRT(A184^2+Inputs!$C$6^2)</f>
        <v/>
      </c>
      <c r="I184" s="9">
        <f>DEGREES(ATAN(H184/B184))</f>
        <v/>
      </c>
      <c r="J184" s="9">
        <f>DEGREES((2*PI()/Inputs!$C$13)*Inputs!$C$15*SIN(RADIANS(I184)))</f>
        <v/>
      </c>
      <c r="K184" s="9">
        <f>(C184/D184)^4</f>
        <v/>
      </c>
      <c r="L184" s="9">
        <f>10*LOG10(K184)</f>
        <v/>
      </c>
      <c r="M184" s="9">
        <f>2*(Inputs!$C$9/(Inputs!$C$10^2))*A184</f>
        <v/>
      </c>
      <c r="N184" s="9">
        <f>M184*Inputs!$C$11</f>
        <v/>
      </c>
      <c r="O184" s="9">
        <f>1000*(D185-D183)/(A185-A183)*Inputs!$C$11</f>
        <v/>
      </c>
      <c r="P184" s="9">
        <f>-2*O184/Inputs!$C$13</f>
        <v/>
      </c>
      <c r="Q184" s="9">
        <f>-2*O184/Inputs!$C$14</f>
        <v/>
      </c>
      <c r="R184" s="9">
        <f>F184-Inputs!$C$16/2</f>
        <v/>
      </c>
      <c r="S184" s="9">
        <f>F184+Inputs!$C$16/2</f>
        <v/>
      </c>
      <c r="T184" s="9">
        <f>F184-Inputs!$C$17/2</f>
        <v/>
      </c>
      <c r="U184" s="9">
        <f>F184+Inputs!$C$17/2</f>
        <v/>
      </c>
      <c r="V184" s="9">
        <f>ABS(P184)</f>
        <v/>
      </c>
      <c r="W184" s="9">
        <f>ABS(Q184)</f>
        <v/>
      </c>
      <c r="X184" s="9">
        <f>IF(OR(Inputs!$C$27=TRUE,Inputs!$C$27="TRUE",Inputs!$C$27=1),1,0)*(Inputs!$C$51*(115*EXP(-(((0)-25)^2)/(4.5^2))+70*EXP(-(((0)+38)^2)/(7^2))*(0.55+0.45*SIN(2*PI()*(A184)/45))+24*SIN(2*PI()*(0)/9+(A184)/18)*EXP(-(((0)+5)^2)/(22^2))+18*SIN(2*PI()*(A184)/70))+Inputs!$C$28*EXP(-(((A184)-Inputs!$C$29)^2)/(2*Inputs!$C$31^2))*EXP(-(((0)-Inputs!$C$30)^2)/(2*Inputs!$C$32^2))+-Inputs!$C$33*EXP(-(((((A184)-Inputs!$C$34)^2)+(((0)-Inputs!$C$35)^2))/(2*Inputs!$C$36^2)))+Inputs!$C$37*(0.55*SIN(2*PI()*(A184)/Inputs!$C$39)+0.35*COS(2*PI()*(0)/Inputs!$C$40)+0.2*SIN(2*PI()*((A184)+(0))/(0.5*(Inputs!$C$39+Inputs!$C$40))))+Inputs!$C$38*SIN(2*PI()*(A184)/Inputs!$C$39)*SIN(2*PI()*(0)/Inputs!$C$40)+-Inputs!$C$41*EXP(-(((0)-Inputs!$C$43)^2)/(2*Inputs!$C$44^2))*EXP(-(((A184)-Inputs!$C$42)^2)/(2*Inputs!$C$45^2))+Inputs!$C$48*(0.7*(0.45*SIN(2*PI()*(((A184)/Inputs!$C$49)+Inputs!$C$47*0.137))+0.35*COS(2*PI()*(((0)/Inputs!$C$50)+Inputs!$C$47*0.173))+0.2*SIN(2*PI()*(((A184)+(0))/(0.5*(Inputs!$C$49+Inputs!$C$50))+Inputs!$C$47*0.097)))+0.3*(2*((SIN(((A184)*12.9898+(0)*78.233+Inputs!$C$47*37.719))*43758.5453)-INT((SIN(((A184)*12.9898+(0)*78.233+Inputs!$C$47*37.719))*43758.5453)))-1)))</f>
        <v/>
      </c>
      <c r="Y184" s="9">
        <f>IF(OR(Inputs!$C$27=TRUE,Inputs!$C$27="TRUE",Inputs!$C$27=1),1,0)*(Inputs!$C$51*(115*EXP(-(((Inputs!$C$6)-25)^2)/(4.5^2))+70*EXP(-(((Inputs!$C$6)+38)^2)/(7^2))*(0.55+0.45*SIN(2*PI()*(A184)/45))+24*SIN(2*PI()*(Inputs!$C$6)/9+(A184)/18)*EXP(-(((Inputs!$C$6)+5)^2)/(22^2))+18*SIN(2*PI()*(A184)/70))+Inputs!$C$28*EXP(-(((A184)-Inputs!$C$29)^2)/(2*Inputs!$C$31^2))*EXP(-(((Inputs!$C$6)-Inputs!$C$30)^2)/(2*Inputs!$C$32^2))+-Inputs!$C$33*EXP(-(((((A184)-Inputs!$C$34)^2)+(((Inputs!$C$6)-Inputs!$C$35)^2))/(2*Inputs!$C$36^2)))+Inputs!$C$37*(0.55*SIN(2*PI()*(A184)/Inputs!$C$39)+0.35*COS(2*PI()*(Inputs!$C$6)/Inputs!$C$40)+0.2*SIN(2*PI()*((A184)+(Inputs!$C$6))/(0.5*(Inputs!$C$39+Inputs!$C$40))))+Inputs!$C$38*SIN(2*PI()*(A184)/Inputs!$C$39)*SIN(2*PI()*(Inputs!$C$6)/Inputs!$C$40)+-Inputs!$C$41*EXP(-(((Inputs!$C$6)-Inputs!$C$43)^2)/(2*Inputs!$C$44^2))*EXP(-(((A184)-Inputs!$C$42)^2)/(2*Inputs!$C$45^2))+Inputs!$C$48*(0.7*(0.45*SIN(2*PI()*(((A184)/Inputs!$C$49)+Inputs!$C$47*0.137))+0.35*COS(2*PI()*(((Inputs!$C$6)/Inputs!$C$50)+Inputs!$C$47*0.173))+0.2*SIN(2*PI()*(((A184)+(Inputs!$C$6))/(0.5*(Inputs!$C$49+Inputs!$C$50))+Inputs!$C$47*0.097)))+0.3*(2*((SIN(((A184)*12.9898+(Inputs!$C$6)*78.233+Inputs!$C$47*37.719))*43758.5453)-INT((SIN(((A184)*12.9898+(Inputs!$C$6)*78.233+Inputs!$C$47*37.719))*43758.5453)))-1)))</f>
        <v/>
      </c>
      <c r="Z184" s="9">
        <f>B184-X184/1000</f>
        <v/>
      </c>
      <c r="AA184" s="9">
        <f>SQRT((Inputs!$C$52+B184)^2+(Inputs!$C$52+Y184/1000)^2-2*(Inputs!$C$52+B184)*(Inputs!$C$52+Y184/1000)*COS(SQRT(A184^2+Inputs!$C$6^2)/Inputs!$C$52))</f>
        <v/>
      </c>
      <c r="AB184" s="9">
        <f>(AA184-Z184)*1000</f>
        <v/>
      </c>
      <c r="AC184" s="9">
        <f>AB184/Inputs!$C$12</f>
        <v/>
      </c>
      <c r="AD184" s="9">
        <f>2*AB184/Inputs!$C$21*1000000</f>
        <v/>
      </c>
      <c r="AE184" s="9">
        <f>DEGREES(ATAN(H184/(B184-Y184/1000)))</f>
        <v/>
      </c>
      <c r="AF184" s="9">
        <f>DEGREES((2*PI()/Inputs!$C$13)*Inputs!$C$15*SIN(RADIANS(AE184)))</f>
        <v/>
      </c>
      <c r="AG184" s="9">
        <f>(Z184/AA184)^4</f>
        <v/>
      </c>
      <c r="AH184" s="9">
        <f>10*LOG10(AG184)</f>
        <v/>
      </c>
      <c r="AI184" s="9">
        <f>AC184-F184</f>
        <v/>
      </c>
      <c r="AJ184" s="9">
        <f>AD184-G184</f>
        <v/>
      </c>
      <c r="AK184" s="9">
        <f>Y184-X184</f>
        <v/>
      </c>
      <c r="AL184" s="9">
        <f>1000*(AA185-AA183)/(A185-A183)*Inputs!$C$11</f>
        <v/>
      </c>
      <c r="AM184" s="9">
        <f>-2*AL184/Inputs!$C$13</f>
        <v/>
      </c>
      <c r="AN184" s="9">
        <f>-2*AL184/Inputs!$C$14</f>
        <v/>
      </c>
      <c r="AO184" s="9">
        <f>ABS(AM184)</f>
        <v/>
      </c>
      <c r="AP184" s="9">
        <f>ABS(AN184)</f>
        <v/>
      </c>
      <c r="AQ184" s="9">
        <f>IF(OR(Inputs!$C$27=TRUE,Inputs!$C$27="TRUE",Inputs!$C$27=1),Inputs!$C$46/Inputs!$C$12,0)</f>
        <v/>
      </c>
      <c r="AR184" s="9">
        <f>AC184-AQ184</f>
        <v/>
      </c>
      <c r="AS184" s="9">
        <f>AC184+AQ184</f>
        <v/>
      </c>
    </row>
    <row r="185">
      <c r="A185" s="9">
        <f>Inputs!$C$7+183*(Inputs!$C$8-Inputs!$C$7)/240</f>
        <v/>
      </c>
      <c r="B185" s="9">
        <f>Inputs!$C$5+Inputs!$C$9*(A185/Inputs!$C$10)^2</f>
        <v/>
      </c>
      <c r="C185" s="9">
        <f>B185</f>
        <v/>
      </c>
      <c r="D185" s="9">
        <f>SQRT((Inputs!$C$52+B185)^2+Inputs!$C$52^2-2*(Inputs!$C$52+B185)*Inputs!$C$52*COS(SQRT(A185^2+Inputs!$C$6^2)/Inputs!$C$52))</f>
        <v/>
      </c>
      <c r="E185" s="9">
        <f>(D185-C185)*1000</f>
        <v/>
      </c>
      <c r="F185" s="9">
        <f>E185/Inputs!$C$12</f>
        <v/>
      </c>
      <c r="G185" s="9">
        <f>2*E185/Inputs!$C$21*1000000</f>
        <v/>
      </c>
      <c r="H185" s="9">
        <f>SQRT(A185^2+Inputs!$C$6^2)</f>
        <v/>
      </c>
      <c r="I185" s="9">
        <f>DEGREES(ATAN(H185/B185))</f>
        <v/>
      </c>
      <c r="J185" s="9">
        <f>DEGREES((2*PI()/Inputs!$C$13)*Inputs!$C$15*SIN(RADIANS(I185)))</f>
        <v/>
      </c>
      <c r="K185" s="9">
        <f>(C185/D185)^4</f>
        <v/>
      </c>
      <c r="L185" s="9">
        <f>10*LOG10(K185)</f>
        <v/>
      </c>
      <c r="M185" s="9">
        <f>2*(Inputs!$C$9/(Inputs!$C$10^2))*A185</f>
        <v/>
      </c>
      <c r="N185" s="9">
        <f>M185*Inputs!$C$11</f>
        <v/>
      </c>
      <c r="O185" s="9">
        <f>1000*(D186-D184)/(A186-A184)*Inputs!$C$11</f>
        <v/>
      </c>
      <c r="P185" s="9">
        <f>-2*O185/Inputs!$C$13</f>
        <v/>
      </c>
      <c r="Q185" s="9">
        <f>-2*O185/Inputs!$C$14</f>
        <v/>
      </c>
      <c r="R185" s="9">
        <f>F185-Inputs!$C$16/2</f>
        <v/>
      </c>
      <c r="S185" s="9">
        <f>F185+Inputs!$C$16/2</f>
        <v/>
      </c>
      <c r="T185" s="9">
        <f>F185-Inputs!$C$17/2</f>
        <v/>
      </c>
      <c r="U185" s="9">
        <f>F185+Inputs!$C$17/2</f>
        <v/>
      </c>
      <c r="V185" s="9">
        <f>ABS(P185)</f>
        <v/>
      </c>
      <c r="W185" s="9">
        <f>ABS(Q185)</f>
        <v/>
      </c>
      <c r="X185" s="9">
        <f>IF(OR(Inputs!$C$27=TRUE,Inputs!$C$27="TRUE",Inputs!$C$27=1),1,0)*(Inputs!$C$51*(115*EXP(-(((0)-25)^2)/(4.5^2))+70*EXP(-(((0)+38)^2)/(7^2))*(0.55+0.45*SIN(2*PI()*(A185)/45))+24*SIN(2*PI()*(0)/9+(A185)/18)*EXP(-(((0)+5)^2)/(22^2))+18*SIN(2*PI()*(A185)/70))+Inputs!$C$28*EXP(-(((A185)-Inputs!$C$29)^2)/(2*Inputs!$C$31^2))*EXP(-(((0)-Inputs!$C$30)^2)/(2*Inputs!$C$32^2))+-Inputs!$C$33*EXP(-(((((A185)-Inputs!$C$34)^2)+(((0)-Inputs!$C$35)^2))/(2*Inputs!$C$36^2)))+Inputs!$C$37*(0.55*SIN(2*PI()*(A185)/Inputs!$C$39)+0.35*COS(2*PI()*(0)/Inputs!$C$40)+0.2*SIN(2*PI()*((A185)+(0))/(0.5*(Inputs!$C$39+Inputs!$C$40))))+Inputs!$C$38*SIN(2*PI()*(A185)/Inputs!$C$39)*SIN(2*PI()*(0)/Inputs!$C$40)+-Inputs!$C$41*EXP(-(((0)-Inputs!$C$43)^2)/(2*Inputs!$C$44^2))*EXP(-(((A185)-Inputs!$C$42)^2)/(2*Inputs!$C$45^2))+Inputs!$C$48*(0.7*(0.45*SIN(2*PI()*(((A185)/Inputs!$C$49)+Inputs!$C$47*0.137))+0.35*COS(2*PI()*(((0)/Inputs!$C$50)+Inputs!$C$47*0.173))+0.2*SIN(2*PI()*(((A185)+(0))/(0.5*(Inputs!$C$49+Inputs!$C$50))+Inputs!$C$47*0.097)))+0.3*(2*((SIN(((A185)*12.9898+(0)*78.233+Inputs!$C$47*37.719))*43758.5453)-INT((SIN(((A185)*12.9898+(0)*78.233+Inputs!$C$47*37.719))*43758.5453)))-1)))</f>
        <v/>
      </c>
      <c r="Y185" s="9">
        <f>IF(OR(Inputs!$C$27=TRUE,Inputs!$C$27="TRUE",Inputs!$C$27=1),1,0)*(Inputs!$C$51*(115*EXP(-(((Inputs!$C$6)-25)^2)/(4.5^2))+70*EXP(-(((Inputs!$C$6)+38)^2)/(7^2))*(0.55+0.45*SIN(2*PI()*(A185)/45))+24*SIN(2*PI()*(Inputs!$C$6)/9+(A185)/18)*EXP(-(((Inputs!$C$6)+5)^2)/(22^2))+18*SIN(2*PI()*(A185)/70))+Inputs!$C$28*EXP(-(((A185)-Inputs!$C$29)^2)/(2*Inputs!$C$31^2))*EXP(-(((Inputs!$C$6)-Inputs!$C$30)^2)/(2*Inputs!$C$32^2))+-Inputs!$C$33*EXP(-(((((A185)-Inputs!$C$34)^2)+(((Inputs!$C$6)-Inputs!$C$35)^2))/(2*Inputs!$C$36^2)))+Inputs!$C$37*(0.55*SIN(2*PI()*(A185)/Inputs!$C$39)+0.35*COS(2*PI()*(Inputs!$C$6)/Inputs!$C$40)+0.2*SIN(2*PI()*((A185)+(Inputs!$C$6))/(0.5*(Inputs!$C$39+Inputs!$C$40))))+Inputs!$C$38*SIN(2*PI()*(A185)/Inputs!$C$39)*SIN(2*PI()*(Inputs!$C$6)/Inputs!$C$40)+-Inputs!$C$41*EXP(-(((Inputs!$C$6)-Inputs!$C$43)^2)/(2*Inputs!$C$44^2))*EXP(-(((A185)-Inputs!$C$42)^2)/(2*Inputs!$C$45^2))+Inputs!$C$48*(0.7*(0.45*SIN(2*PI()*(((A185)/Inputs!$C$49)+Inputs!$C$47*0.137))+0.35*COS(2*PI()*(((Inputs!$C$6)/Inputs!$C$50)+Inputs!$C$47*0.173))+0.2*SIN(2*PI()*(((A185)+(Inputs!$C$6))/(0.5*(Inputs!$C$49+Inputs!$C$50))+Inputs!$C$47*0.097)))+0.3*(2*((SIN(((A185)*12.9898+(Inputs!$C$6)*78.233+Inputs!$C$47*37.719))*43758.5453)-INT((SIN(((A185)*12.9898+(Inputs!$C$6)*78.233+Inputs!$C$47*37.719))*43758.5453)))-1)))</f>
        <v/>
      </c>
      <c r="Z185" s="9">
        <f>B185-X185/1000</f>
        <v/>
      </c>
      <c r="AA185" s="9">
        <f>SQRT((Inputs!$C$52+B185)^2+(Inputs!$C$52+Y185/1000)^2-2*(Inputs!$C$52+B185)*(Inputs!$C$52+Y185/1000)*COS(SQRT(A185^2+Inputs!$C$6^2)/Inputs!$C$52))</f>
        <v/>
      </c>
      <c r="AB185" s="9">
        <f>(AA185-Z185)*1000</f>
        <v/>
      </c>
      <c r="AC185" s="9">
        <f>AB185/Inputs!$C$12</f>
        <v/>
      </c>
      <c r="AD185" s="9">
        <f>2*AB185/Inputs!$C$21*1000000</f>
        <v/>
      </c>
      <c r="AE185" s="9">
        <f>DEGREES(ATAN(H185/(B185-Y185/1000)))</f>
        <v/>
      </c>
      <c r="AF185" s="9">
        <f>DEGREES((2*PI()/Inputs!$C$13)*Inputs!$C$15*SIN(RADIANS(AE185)))</f>
        <v/>
      </c>
      <c r="AG185" s="9">
        <f>(Z185/AA185)^4</f>
        <v/>
      </c>
      <c r="AH185" s="9">
        <f>10*LOG10(AG185)</f>
        <v/>
      </c>
      <c r="AI185" s="9">
        <f>AC185-F185</f>
        <v/>
      </c>
      <c r="AJ185" s="9">
        <f>AD185-G185</f>
        <v/>
      </c>
      <c r="AK185" s="9">
        <f>Y185-X185</f>
        <v/>
      </c>
      <c r="AL185" s="9">
        <f>1000*(AA186-AA184)/(A186-A184)*Inputs!$C$11</f>
        <v/>
      </c>
      <c r="AM185" s="9">
        <f>-2*AL185/Inputs!$C$13</f>
        <v/>
      </c>
      <c r="AN185" s="9">
        <f>-2*AL185/Inputs!$C$14</f>
        <v/>
      </c>
      <c r="AO185" s="9">
        <f>ABS(AM185)</f>
        <v/>
      </c>
      <c r="AP185" s="9">
        <f>ABS(AN185)</f>
        <v/>
      </c>
      <c r="AQ185" s="9">
        <f>IF(OR(Inputs!$C$27=TRUE,Inputs!$C$27="TRUE",Inputs!$C$27=1),Inputs!$C$46/Inputs!$C$12,0)</f>
        <v/>
      </c>
      <c r="AR185" s="9">
        <f>AC185-AQ185</f>
        <v/>
      </c>
      <c r="AS185" s="9">
        <f>AC185+AQ185</f>
        <v/>
      </c>
    </row>
    <row r="186">
      <c r="A186" s="9">
        <f>Inputs!$C$7+184*(Inputs!$C$8-Inputs!$C$7)/240</f>
        <v/>
      </c>
      <c r="B186" s="9">
        <f>Inputs!$C$5+Inputs!$C$9*(A186/Inputs!$C$10)^2</f>
        <v/>
      </c>
      <c r="C186" s="9">
        <f>B186</f>
        <v/>
      </c>
      <c r="D186" s="9">
        <f>SQRT((Inputs!$C$52+B186)^2+Inputs!$C$52^2-2*(Inputs!$C$52+B186)*Inputs!$C$52*COS(SQRT(A186^2+Inputs!$C$6^2)/Inputs!$C$52))</f>
        <v/>
      </c>
      <c r="E186" s="9">
        <f>(D186-C186)*1000</f>
        <v/>
      </c>
      <c r="F186" s="9">
        <f>E186/Inputs!$C$12</f>
        <v/>
      </c>
      <c r="G186" s="9">
        <f>2*E186/Inputs!$C$21*1000000</f>
        <v/>
      </c>
      <c r="H186" s="9">
        <f>SQRT(A186^2+Inputs!$C$6^2)</f>
        <v/>
      </c>
      <c r="I186" s="9">
        <f>DEGREES(ATAN(H186/B186))</f>
        <v/>
      </c>
      <c r="J186" s="9">
        <f>DEGREES((2*PI()/Inputs!$C$13)*Inputs!$C$15*SIN(RADIANS(I186)))</f>
        <v/>
      </c>
      <c r="K186" s="9">
        <f>(C186/D186)^4</f>
        <v/>
      </c>
      <c r="L186" s="9">
        <f>10*LOG10(K186)</f>
        <v/>
      </c>
      <c r="M186" s="9">
        <f>2*(Inputs!$C$9/(Inputs!$C$10^2))*A186</f>
        <v/>
      </c>
      <c r="N186" s="9">
        <f>M186*Inputs!$C$11</f>
        <v/>
      </c>
      <c r="O186" s="9">
        <f>1000*(D187-D185)/(A187-A185)*Inputs!$C$11</f>
        <v/>
      </c>
      <c r="P186" s="9">
        <f>-2*O186/Inputs!$C$13</f>
        <v/>
      </c>
      <c r="Q186" s="9">
        <f>-2*O186/Inputs!$C$14</f>
        <v/>
      </c>
      <c r="R186" s="9">
        <f>F186-Inputs!$C$16/2</f>
        <v/>
      </c>
      <c r="S186" s="9">
        <f>F186+Inputs!$C$16/2</f>
        <v/>
      </c>
      <c r="T186" s="9">
        <f>F186-Inputs!$C$17/2</f>
        <v/>
      </c>
      <c r="U186" s="9">
        <f>F186+Inputs!$C$17/2</f>
        <v/>
      </c>
      <c r="V186" s="9">
        <f>ABS(P186)</f>
        <v/>
      </c>
      <c r="W186" s="9">
        <f>ABS(Q186)</f>
        <v/>
      </c>
      <c r="X186" s="9">
        <f>IF(OR(Inputs!$C$27=TRUE,Inputs!$C$27="TRUE",Inputs!$C$27=1),1,0)*(Inputs!$C$51*(115*EXP(-(((0)-25)^2)/(4.5^2))+70*EXP(-(((0)+38)^2)/(7^2))*(0.55+0.45*SIN(2*PI()*(A186)/45))+24*SIN(2*PI()*(0)/9+(A186)/18)*EXP(-(((0)+5)^2)/(22^2))+18*SIN(2*PI()*(A186)/70))+Inputs!$C$28*EXP(-(((A186)-Inputs!$C$29)^2)/(2*Inputs!$C$31^2))*EXP(-(((0)-Inputs!$C$30)^2)/(2*Inputs!$C$32^2))+-Inputs!$C$33*EXP(-(((((A186)-Inputs!$C$34)^2)+(((0)-Inputs!$C$35)^2))/(2*Inputs!$C$36^2)))+Inputs!$C$37*(0.55*SIN(2*PI()*(A186)/Inputs!$C$39)+0.35*COS(2*PI()*(0)/Inputs!$C$40)+0.2*SIN(2*PI()*((A186)+(0))/(0.5*(Inputs!$C$39+Inputs!$C$40))))+Inputs!$C$38*SIN(2*PI()*(A186)/Inputs!$C$39)*SIN(2*PI()*(0)/Inputs!$C$40)+-Inputs!$C$41*EXP(-(((0)-Inputs!$C$43)^2)/(2*Inputs!$C$44^2))*EXP(-(((A186)-Inputs!$C$42)^2)/(2*Inputs!$C$45^2))+Inputs!$C$48*(0.7*(0.45*SIN(2*PI()*(((A186)/Inputs!$C$49)+Inputs!$C$47*0.137))+0.35*COS(2*PI()*(((0)/Inputs!$C$50)+Inputs!$C$47*0.173))+0.2*SIN(2*PI()*(((A186)+(0))/(0.5*(Inputs!$C$49+Inputs!$C$50))+Inputs!$C$47*0.097)))+0.3*(2*((SIN(((A186)*12.9898+(0)*78.233+Inputs!$C$47*37.719))*43758.5453)-INT((SIN(((A186)*12.9898+(0)*78.233+Inputs!$C$47*37.719))*43758.5453)))-1)))</f>
        <v/>
      </c>
      <c r="Y186" s="9">
        <f>IF(OR(Inputs!$C$27=TRUE,Inputs!$C$27="TRUE",Inputs!$C$27=1),1,0)*(Inputs!$C$51*(115*EXP(-(((Inputs!$C$6)-25)^2)/(4.5^2))+70*EXP(-(((Inputs!$C$6)+38)^2)/(7^2))*(0.55+0.45*SIN(2*PI()*(A186)/45))+24*SIN(2*PI()*(Inputs!$C$6)/9+(A186)/18)*EXP(-(((Inputs!$C$6)+5)^2)/(22^2))+18*SIN(2*PI()*(A186)/70))+Inputs!$C$28*EXP(-(((A186)-Inputs!$C$29)^2)/(2*Inputs!$C$31^2))*EXP(-(((Inputs!$C$6)-Inputs!$C$30)^2)/(2*Inputs!$C$32^2))+-Inputs!$C$33*EXP(-(((((A186)-Inputs!$C$34)^2)+(((Inputs!$C$6)-Inputs!$C$35)^2))/(2*Inputs!$C$36^2)))+Inputs!$C$37*(0.55*SIN(2*PI()*(A186)/Inputs!$C$39)+0.35*COS(2*PI()*(Inputs!$C$6)/Inputs!$C$40)+0.2*SIN(2*PI()*((A186)+(Inputs!$C$6))/(0.5*(Inputs!$C$39+Inputs!$C$40))))+Inputs!$C$38*SIN(2*PI()*(A186)/Inputs!$C$39)*SIN(2*PI()*(Inputs!$C$6)/Inputs!$C$40)+-Inputs!$C$41*EXP(-(((Inputs!$C$6)-Inputs!$C$43)^2)/(2*Inputs!$C$44^2))*EXP(-(((A186)-Inputs!$C$42)^2)/(2*Inputs!$C$45^2))+Inputs!$C$48*(0.7*(0.45*SIN(2*PI()*(((A186)/Inputs!$C$49)+Inputs!$C$47*0.137))+0.35*COS(2*PI()*(((Inputs!$C$6)/Inputs!$C$50)+Inputs!$C$47*0.173))+0.2*SIN(2*PI()*(((A186)+(Inputs!$C$6))/(0.5*(Inputs!$C$49+Inputs!$C$50))+Inputs!$C$47*0.097)))+0.3*(2*((SIN(((A186)*12.9898+(Inputs!$C$6)*78.233+Inputs!$C$47*37.719))*43758.5453)-INT((SIN(((A186)*12.9898+(Inputs!$C$6)*78.233+Inputs!$C$47*37.719))*43758.5453)))-1)))</f>
        <v/>
      </c>
      <c r="Z186" s="9">
        <f>B186-X186/1000</f>
        <v/>
      </c>
      <c r="AA186" s="9">
        <f>SQRT((Inputs!$C$52+B186)^2+(Inputs!$C$52+Y186/1000)^2-2*(Inputs!$C$52+B186)*(Inputs!$C$52+Y186/1000)*COS(SQRT(A186^2+Inputs!$C$6^2)/Inputs!$C$52))</f>
        <v/>
      </c>
      <c r="AB186" s="9">
        <f>(AA186-Z186)*1000</f>
        <v/>
      </c>
      <c r="AC186" s="9">
        <f>AB186/Inputs!$C$12</f>
        <v/>
      </c>
      <c r="AD186" s="9">
        <f>2*AB186/Inputs!$C$21*1000000</f>
        <v/>
      </c>
      <c r="AE186" s="9">
        <f>DEGREES(ATAN(H186/(B186-Y186/1000)))</f>
        <v/>
      </c>
      <c r="AF186" s="9">
        <f>DEGREES((2*PI()/Inputs!$C$13)*Inputs!$C$15*SIN(RADIANS(AE186)))</f>
        <v/>
      </c>
      <c r="AG186" s="9">
        <f>(Z186/AA186)^4</f>
        <v/>
      </c>
      <c r="AH186" s="9">
        <f>10*LOG10(AG186)</f>
        <v/>
      </c>
      <c r="AI186" s="9">
        <f>AC186-F186</f>
        <v/>
      </c>
      <c r="AJ186" s="9">
        <f>AD186-G186</f>
        <v/>
      </c>
      <c r="AK186" s="9">
        <f>Y186-X186</f>
        <v/>
      </c>
      <c r="AL186" s="9">
        <f>1000*(AA187-AA185)/(A187-A185)*Inputs!$C$11</f>
        <v/>
      </c>
      <c r="AM186" s="9">
        <f>-2*AL186/Inputs!$C$13</f>
        <v/>
      </c>
      <c r="AN186" s="9">
        <f>-2*AL186/Inputs!$C$14</f>
        <v/>
      </c>
      <c r="AO186" s="9">
        <f>ABS(AM186)</f>
        <v/>
      </c>
      <c r="AP186" s="9">
        <f>ABS(AN186)</f>
        <v/>
      </c>
      <c r="AQ186" s="9">
        <f>IF(OR(Inputs!$C$27=TRUE,Inputs!$C$27="TRUE",Inputs!$C$27=1),Inputs!$C$46/Inputs!$C$12,0)</f>
        <v/>
      </c>
      <c r="AR186" s="9">
        <f>AC186-AQ186</f>
        <v/>
      </c>
      <c r="AS186" s="9">
        <f>AC186+AQ186</f>
        <v/>
      </c>
    </row>
    <row r="187">
      <c r="A187" s="9">
        <f>Inputs!$C$7+185*(Inputs!$C$8-Inputs!$C$7)/240</f>
        <v/>
      </c>
      <c r="B187" s="9">
        <f>Inputs!$C$5+Inputs!$C$9*(A187/Inputs!$C$10)^2</f>
        <v/>
      </c>
      <c r="C187" s="9">
        <f>B187</f>
        <v/>
      </c>
      <c r="D187" s="9">
        <f>SQRT((Inputs!$C$52+B187)^2+Inputs!$C$52^2-2*(Inputs!$C$52+B187)*Inputs!$C$52*COS(SQRT(A187^2+Inputs!$C$6^2)/Inputs!$C$52))</f>
        <v/>
      </c>
      <c r="E187" s="9">
        <f>(D187-C187)*1000</f>
        <v/>
      </c>
      <c r="F187" s="9">
        <f>E187/Inputs!$C$12</f>
        <v/>
      </c>
      <c r="G187" s="9">
        <f>2*E187/Inputs!$C$21*1000000</f>
        <v/>
      </c>
      <c r="H187" s="9">
        <f>SQRT(A187^2+Inputs!$C$6^2)</f>
        <v/>
      </c>
      <c r="I187" s="9">
        <f>DEGREES(ATAN(H187/B187))</f>
        <v/>
      </c>
      <c r="J187" s="9">
        <f>DEGREES((2*PI()/Inputs!$C$13)*Inputs!$C$15*SIN(RADIANS(I187)))</f>
        <v/>
      </c>
      <c r="K187" s="9">
        <f>(C187/D187)^4</f>
        <v/>
      </c>
      <c r="L187" s="9">
        <f>10*LOG10(K187)</f>
        <v/>
      </c>
      <c r="M187" s="9">
        <f>2*(Inputs!$C$9/(Inputs!$C$10^2))*A187</f>
        <v/>
      </c>
      <c r="N187" s="9">
        <f>M187*Inputs!$C$11</f>
        <v/>
      </c>
      <c r="O187" s="9">
        <f>1000*(D188-D186)/(A188-A186)*Inputs!$C$11</f>
        <v/>
      </c>
      <c r="P187" s="9">
        <f>-2*O187/Inputs!$C$13</f>
        <v/>
      </c>
      <c r="Q187" s="9">
        <f>-2*O187/Inputs!$C$14</f>
        <v/>
      </c>
      <c r="R187" s="9">
        <f>F187-Inputs!$C$16/2</f>
        <v/>
      </c>
      <c r="S187" s="9">
        <f>F187+Inputs!$C$16/2</f>
        <v/>
      </c>
      <c r="T187" s="9">
        <f>F187-Inputs!$C$17/2</f>
        <v/>
      </c>
      <c r="U187" s="9">
        <f>F187+Inputs!$C$17/2</f>
        <v/>
      </c>
      <c r="V187" s="9">
        <f>ABS(P187)</f>
        <v/>
      </c>
      <c r="W187" s="9">
        <f>ABS(Q187)</f>
        <v/>
      </c>
      <c r="X187" s="9">
        <f>IF(OR(Inputs!$C$27=TRUE,Inputs!$C$27="TRUE",Inputs!$C$27=1),1,0)*(Inputs!$C$51*(115*EXP(-(((0)-25)^2)/(4.5^2))+70*EXP(-(((0)+38)^2)/(7^2))*(0.55+0.45*SIN(2*PI()*(A187)/45))+24*SIN(2*PI()*(0)/9+(A187)/18)*EXP(-(((0)+5)^2)/(22^2))+18*SIN(2*PI()*(A187)/70))+Inputs!$C$28*EXP(-(((A187)-Inputs!$C$29)^2)/(2*Inputs!$C$31^2))*EXP(-(((0)-Inputs!$C$30)^2)/(2*Inputs!$C$32^2))+-Inputs!$C$33*EXP(-(((((A187)-Inputs!$C$34)^2)+(((0)-Inputs!$C$35)^2))/(2*Inputs!$C$36^2)))+Inputs!$C$37*(0.55*SIN(2*PI()*(A187)/Inputs!$C$39)+0.35*COS(2*PI()*(0)/Inputs!$C$40)+0.2*SIN(2*PI()*((A187)+(0))/(0.5*(Inputs!$C$39+Inputs!$C$40))))+Inputs!$C$38*SIN(2*PI()*(A187)/Inputs!$C$39)*SIN(2*PI()*(0)/Inputs!$C$40)+-Inputs!$C$41*EXP(-(((0)-Inputs!$C$43)^2)/(2*Inputs!$C$44^2))*EXP(-(((A187)-Inputs!$C$42)^2)/(2*Inputs!$C$45^2))+Inputs!$C$48*(0.7*(0.45*SIN(2*PI()*(((A187)/Inputs!$C$49)+Inputs!$C$47*0.137))+0.35*COS(2*PI()*(((0)/Inputs!$C$50)+Inputs!$C$47*0.173))+0.2*SIN(2*PI()*(((A187)+(0))/(0.5*(Inputs!$C$49+Inputs!$C$50))+Inputs!$C$47*0.097)))+0.3*(2*((SIN(((A187)*12.9898+(0)*78.233+Inputs!$C$47*37.719))*43758.5453)-INT((SIN(((A187)*12.9898+(0)*78.233+Inputs!$C$47*37.719))*43758.5453)))-1)))</f>
        <v/>
      </c>
      <c r="Y187" s="9">
        <f>IF(OR(Inputs!$C$27=TRUE,Inputs!$C$27="TRUE",Inputs!$C$27=1),1,0)*(Inputs!$C$51*(115*EXP(-(((Inputs!$C$6)-25)^2)/(4.5^2))+70*EXP(-(((Inputs!$C$6)+38)^2)/(7^2))*(0.55+0.45*SIN(2*PI()*(A187)/45))+24*SIN(2*PI()*(Inputs!$C$6)/9+(A187)/18)*EXP(-(((Inputs!$C$6)+5)^2)/(22^2))+18*SIN(2*PI()*(A187)/70))+Inputs!$C$28*EXP(-(((A187)-Inputs!$C$29)^2)/(2*Inputs!$C$31^2))*EXP(-(((Inputs!$C$6)-Inputs!$C$30)^2)/(2*Inputs!$C$32^2))+-Inputs!$C$33*EXP(-(((((A187)-Inputs!$C$34)^2)+(((Inputs!$C$6)-Inputs!$C$35)^2))/(2*Inputs!$C$36^2)))+Inputs!$C$37*(0.55*SIN(2*PI()*(A187)/Inputs!$C$39)+0.35*COS(2*PI()*(Inputs!$C$6)/Inputs!$C$40)+0.2*SIN(2*PI()*((A187)+(Inputs!$C$6))/(0.5*(Inputs!$C$39+Inputs!$C$40))))+Inputs!$C$38*SIN(2*PI()*(A187)/Inputs!$C$39)*SIN(2*PI()*(Inputs!$C$6)/Inputs!$C$40)+-Inputs!$C$41*EXP(-(((Inputs!$C$6)-Inputs!$C$43)^2)/(2*Inputs!$C$44^2))*EXP(-(((A187)-Inputs!$C$42)^2)/(2*Inputs!$C$45^2))+Inputs!$C$48*(0.7*(0.45*SIN(2*PI()*(((A187)/Inputs!$C$49)+Inputs!$C$47*0.137))+0.35*COS(2*PI()*(((Inputs!$C$6)/Inputs!$C$50)+Inputs!$C$47*0.173))+0.2*SIN(2*PI()*(((A187)+(Inputs!$C$6))/(0.5*(Inputs!$C$49+Inputs!$C$50))+Inputs!$C$47*0.097)))+0.3*(2*((SIN(((A187)*12.9898+(Inputs!$C$6)*78.233+Inputs!$C$47*37.719))*43758.5453)-INT((SIN(((A187)*12.9898+(Inputs!$C$6)*78.233+Inputs!$C$47*37.719))*43758.5453)))-1)))</f>
        <v/>
      </c>
      <c r="Z187" s="9">
        <f>B187-X187/1000</f>
        <v/>
      </c>
      <c r="AA187" s="9">
        <f>SQRT((Inputs!$C$52+B187)^2+(Inputs!$C$52+Y187/1000)^2-2*(Inputs!$C$52+B187)*(Inputs!$C$52+Y187/1000)*COS(SQRT(A187^2+Inputs!$C$6^2)/Inputs!$C$52))</f>
        <v/>
      </c>
      <c r="AB187" s="9">
        <f>(AA187-Z187)*1000</f>
        <v/>
      </c>
      <c r="AC187" s="9">
        <f>AB187/Inputs!$C$12</f>
        <v/>
      </c>
      <c r="AD187" s="9">
        <f>2*AB187/Inputs!$C$21*1000000</f>
        <v/>
      </c>
      <c r="AE187" s="9">
        <f>DEGREES(ATAN(H187/(B187-Y187/1000)))</f>
        <v/>
      </c>
      <c r="AF187" s="9">
        <f>DEGREES((2*PI()/Inputs!$C$13)*Inputs!$C$15*SIN(RADIANS(AE187)))</f>
        <v/>
      </c>
      <c r="AG187" s="9">
        <f>(Z187/AA187)^4</f>
        <v/>
      </c>
      <c r="AH187" s="9">
        <f>10*LOG10(AG187)</f>
        <v/>
      </c>
      <c r="AI187" s="9">
        <f>AC187-F187</f>
        <v/>
      </c>
      <c r="AJ187" s="9">
        <f>AD187-G187</f>
        <v/>
      </c>
      <c r="AK187" s="9">
        <f>Y187-X187</f>
        <v/>
      </c>
      <c r="AL187" s="9">
        <f>1000*(AA188-AA186)/(A188-A186)*Inputs!$C$11</f>
        <v/>
      </c>
      <c r="AM187" s="9">
        <f>-2*AL187/Inputs!$C$13</f>
        <v/>
      </c>
      <c r="AN187" s="9">
        <f>-2*AL187/Inputs!$C$14</f>
        <v/>
      </c>
      <c r="AO187" s="9">
        <f>ABS(AM187)</f>
        <v/>
      </c>
      <c r="AP187" s="9">
        <f>ABS(AN187)</f>
        <v/>
      </c>
      <c r="AQ187" s="9">
        <f>IF(OR(Inputs!$C$27=TRUE,Inputs!$C$27="TRUE",Inputs!$C$27=1),Inputs!$C$46/Inputs!$C$12,0)</f>
        <v/>
      </c>
      <c r="AR187" s="9">
        <f>AC187-AQ187</f>
        <v/>
      </c>
      <c r="AS187" s="9">
        <f>AC187+AQ187</f>
        <v/>
      </c>
    </row>
    <row r="188">
      <c r="A188" s="9">
        <f>Inputs!$C$7+186*(Inputs!$C$8-Inputs!$C$7)/240</f>
        <v/>
      </c>
      <c r="B188" s="9">
        <f>Inputs!$C$5+Inputs!$C$9*(A188/Inputs!$C$10)^2</f>
        <v/>
      </c>
      <c r="C188" s="9">
        <f>B188</f>
        <v/>
      </c>
      <c r="D188" s="9">
        <f>SQRT((Inputs!$C$52+B188)^2+Inputs!$C$52^2-2*(Inputs!$C$52+B188)*Inputs!$C$52*COS(SQRT(A188^2+Inputs!$C$6^2)/Inputs!$C$52))</f>
        <v/>
      </c>
      <c r="E188" s="9">
        <f>(D188-C188)*1000</f>
        <v/>
      </c>
      <c r="F188" s="9">
        <f>E188/Inputs!$C$12</f>
        <v/>
      </c>
      <c r="G188" s="9">
        <f>2*E188/Inputs!$C$21*1000000</f>
        <v/>
      </c>
      <c r="H188" s="9">
        <f>SQRT(A188^2+Inputs!$C$6^2)</f>
        <v/>
      </c>
      <c r="I188" s="9">
        <f>DEGREES(ATAN(H188/B188))</f>
        <v/>
      </c>
      <c r="J188" s="9">
        <f>DEGREES((2*PI()/Inputs!$C$13)*Inputs!$C$15*SIN(RADIANS(I188)))</f>
        <v/>
      </c>
      <c r="K188" s="9">
        <f>(C188/D188)^4</f>
        <v/>
      </c>
      <c r="L188" s="9">
        <f>10*LOG10(K188)</f>
        <v/>
      </c>
      <c r="M188" s="9">
        <f>2*(Inputs!$C$9/(Inputs!$C$10^2))*A188</f>
        <v/>
      </c>
      <c r="N188" s="9">
        <f>M188*Inputs!$C$11</f>
        <v/>
      </c>
      <c r="O188" s="9">
        <f>1000*(D189-D187)/(A189-A187)*Inputs!$C$11</f>
        <v/>
      </c>
      <c r="P188" s="9">
        <f>-2*O188/Inputs!$C$13</f>
        <v/>
      </c>
      <c r="Q188" s="9">
        <f>-2*O188/Inputs!$C$14</f>
        <v/>
      </c>
      <c r="R188" s="9">
        <f>F188-Inputs!$C$16/2</f>
        <v/>
      </c>
      <c r="S188" s="9">
        <f>F188+Inputs!$C$16/2</f>
        <v/>
      </c>
      <c r="T188" s="9">
        <f>F188-Inputs!$C$17/2</f>
        <v/>
      </c>
      <c r="U188" s="9">
        <f>F188+Inputs!$C$17/2</f>
        <v/>
      </c>
      <c r="V188" s="9">
        <f>ABS(P188)</f>
        <v/>
      </c>
      <c r="W188" s="9">
        <f>ABS(Q188)</f>
        <v/>
      </c>
      <c r="X188" s="9">
        <f>IF(OR(Inputs!$C$27=TRUE,Inputs!$C$27="TRUE",Inputs!$C$27=1),1,0)*(Inputs!$C$51*(115*EXP(-(((0)-25)^2)/(4.5^2))+70*EXP(-(((0)+38)^2)/(7^2))*(0.55+0.45*SIN(2*PI()*(A188)/45))+24*SIN(2*PI()*(0)/9+(A188)/18)*EXP(-(((0)+5)^2)/(22^2))+18*SIN(2*PI()*(A188)/70))+Inputs!$C$28*EXP(-(((A188)-Inputs!$C$29)^2)/(2*Inputs!$C$31^2))*EXP(-(((0)-Inputs!$C$30)^2)/(2*Inputs!$C$32^2))+-Inputs!$C$33*EXP(-(((((A188)-Inputs!$C$34)^2)+(((0)-Inputs!$C$35)^2))/(2*Inputs!$C$36^2)))+Inputs!$C$37*(0.55*SIN(2*PI()*(A188)/Inputs!$C$39)+0.35*COS(2*PI()*(0)/Inputs!$C$40)+0.2*SIN(2*PI()*((A188)+(0))/(0.5*(Inputs!$C$39+Inputs!$C$40))))+Inputs!$C$38*SIN(2*PI()*(A188)/Inputs!$C$39)*SIN(2*PI()*(0)/Inputs!$C$40)+-Inputs!$C$41*EXP(-(((0)-Inputs!$C$43)^2)/(2*Inputs!$C$44^2))*EXP(-(((A188)-Inputs!$C$42)^2)/(2*Inputs!$C$45^2))+Inputs!$C$48*(0.7*(0.45*SIN(2*PI()*(((A188)/Inputs!$C$49)+Inputs!$C$47*0.137))+0.35*COS(2*PI()*(((0)/Inputs!$C$50)+Inputs!$C$47*0.173))+0.2*SIN(2*PI()*(((A188)+(0))/(0.5*(Inputs!$C$49+Inputs!$C$50))+Inputs!$C$47*0.097)))+0.3*(2*((SIN(((A188)*12.9898+(0)*78.233+Inputs!$C$47*37.719))*43758.5453)-INT((SIN(((A188)*12.9898+(0)*78.233+Inputs!$C$47*37.719))*43758.5453)))-1)))</f>
        <v/>
      </c>
      <c r="Y188" s="9">
        <f>IF(OR(Inputs!$C$27=TRUE,Inputs!$C$27="TRUE",Inputs!$C$27=1),1,0)*(Inputs!$C$51*(115*EXP(-(((Inputs!$C$6)-25)^2)/(4.5^2))+70*EXP(-(((Inputs!$C$6)+38)^2)/(7^2))*(0.55+0.45*SIN(2*PI()*(A188)/45))+24*SIN(2*PI()*(Inputs!$C$6)/9+(A188)/18)*EXP(-(((Inputs!$C$6)+5)^2)/(22^2))+18*SIN(2*PI()*(A188)/70))+Inputs!$C$28*EXP(-(((A188)-Inputs!$C$29)^2)/(2*Inputs!$C$31^2))*EXP(-(((Inputs!$C$6)-Inputs!$C$30)^2)/(2*Inputs!$C$32^2))+-Inputs!$C$33*EXP(-(((((A188)-Inputs!$C$34)^2)+(((Inputs!$C$6)-Inputs!$C$35)^2))/(2*Inputs!$C$36^2)))+Inputs!$C$37*(0.55*SIN(2*PI()*(A188)/Inputs!$C$39)+0.35*COS(2*PI()*(Inputs!$C$6)/Inputs!$C$40)+0.2*SIN(2*PI()*((A188)+(Inputs!$C$6))/(0.5*(Inputs!$C$39+Inputs!$C$40))))+Inputs!$C$38*SIN(2*PI()*(A188)/Inputs!$C$39)*SIN(2*PI()*(Inputs!$C$6)/Inputs!$C$40)+-Inputs!$C$41*EXP(-(((Inputs!$C$6)-Inputs!$C$43)^2)/(2*Inputs!$C$44^2))*EXP(-(((A188)-Inputs!$C$42)^2)/(2*Inputs!$C$45^2))+Inputs!$C$48*(0.7*(0.45*SIN(2*PI()*(((A188)/Inputs!$C$49)+Inputs!$C$47*0.137))+0.35*COS(2*PI()*(((Inputs!$C$6)/Inputs!$C$50)+Inputs!$C$47*0.173))+0.2*SIN(2*PI()*(((A188)+(Inputs!$C$6))/(0.5*(Inputs!$C$49+Inputs!$C$50))+Inputs!$C$47*0.097)))+0.3*(2*((SIN(((A188)*12.9898+(Inputs!$C$6)*78.233+Inputs!$C$47*37.719))*43758.5453)-INT((SIN(((A188)*12.9898+(Inputs!$C$6)*78.233+Inputs!$C$47*37.719))*43758.5453)))-1)))</f>
        <v/>
      </c>
      <c r="Z188" s="9">
        <f>B188-X188/1000</f>
        <v/>
      </c>
      <c r="AA188" s="9">
        <f>SQRT((Inputs!$C$52+B188)^2+(Inputs!$C$52+Y188/1000)^2-2*(Inputs!$C$52+B188)*(Inputs!$C$52+Y188/1000)*COS(SQRT(A188^2+Inputs!$C$6^2)/Inputs!$C$52))</f>
        <v/>
      </c>
      <c r="AB188" s="9">
        <f>(AA188-Z188)*1000</f>
        <v/>
      </c>
      <c r="AC188" s="9">
        <f>AB188/Inputs!$C$12</f>
        <v/>
      </c>
      <c r="AD188" s="9">
        <f>2*AB188/Inputs!$C$21*1000000</f>
        <v/>
      </c>
      <c r="AE188" s="9">
        <f>DEGREES(ATAN(H188/(B188-Y188/1000)))</f>
        <v/>
      </c>
      <c r="AF188" s="9">
        <f>DEGREES((2*PI()/Inputs!$C$13)*Inputs!$C$15*SIN(RADIANS(AE188)))</f>
        <v/>
      </c>
      <c r="AG188" s="9">
        <f>(Z188/AA188)^4</f>
        <v/>
      </c>
      <c r="AH188" s="9">
        <f>10*LOG10(AG188)</f>
        <v/>
      </c>
      <c r="AI188" s="9">
        <f>AC188-F188</f>
        <v/>
      </c>
      <c r="AJ188" s="9">
        <f>AD188-G188</f>
        <v/>
      </c>
      <c r="AK188" s="9">
        <f>Y188-X188</f>
        <v/>
      </c>
      <c r="AL188" s="9">
        <f>1000*(AA189-AA187)/(A189-A187)*Inputs!$C$11</f>
        <v/>
      </c>
      <c r="AM188" s="9">
        <f>-2*AL188/Inputs!$C$13</f>
        <v/>
      </c>
      <c r="AN188" s="9">
        <f>-2*AL188/Inputs!$C$14</f>
        <v/>
      </c>
      <c r="AO188" s="9">
        <f>ABS(AM188)</f>
        <v/>
      </c>
      <c r="AP188" s="9">
        <f>ABS(AN188)</f>
        <v/>
      </c>
      <c r="AQ188" s="9">
        <f>IF(OR(Inputs!$C$27=TRUE,Inputs!$C$27="TRUE",Inputs!$C$27=1),Inputs!$C$46/Inputs!$C$12,0)</f>
        <v/>
      </c>
      <c r="AR188" s="9">
        <f>AC188-AQ188</f>
        <v/>
      </c>
      <c r="AS188" s="9">
        <f>AC188+AQ188</f>
        <v/>
      </c>
    </row>
    <row r="189">
      <c r="A189" s="9">
        <f>Inputs!$C$7+187*(Inputs!$C$8-Inputs!$C$7)/240</f>
        <v/>
      </c>
      <c r="B189" s="9">
        <f>Inputs!$C$5+Inputs!$C$9*(A189/Inputs!$C$10)^2</f>
        <v/>
      </c>
      <c r="C189" s="9">
        <f>B189</f>
        <v/>
      </c>
      <c r="D189" s="9">
        <f>SQRT((Inputs!$C$52+B189)^2+Inputs!$C$52^2-2*(Inputs!$C$52+B189)*Inputs!$C$52*COS(SQRT(A189^2+Inputs!$C$6^2)/Inputs!$C$52))</f>
        <v/>
      </c>
      <c r="E189" s="9">
        <f>(D189-C189)*1000</f>
        <v/>
      </c>
      <c r="F189" s="9">
        <f>E189/Inputs!$C$12</f>
        <v/>
      </c>
      <c r="G189" s="9">
        <f>2*E189/Inputs!$C$21*1000000</f>
        <v/>
      </c>
      <c r="H189" s="9">
        <f>SQRT(A189^2+Inputs!$C$6^2)</f>
        <v/>
      </c>
      <c r="I189" s="9">
        <f>DEGREES(ATAN(H189/B189))</f>
        <v/>
      </c>
      <c r="J189" s="9">
        <f>DEGREES((2*PI()/Inputs!$C$13)*Inputs!$C$15*SIN(RADIANS(I189)))</f>
        <v/>
      </c>
      <c r="K189" s="9">
        <f>(C189/D189)^4</f>
        <v/>
      </c>
      <c r="L189" s="9">
        <f>10*LOG10(K189)</f>
        <v/>
      </c>
      <c r="M189" s="9">
        <f>2*(Inputs!$C$9/(Inputs!$C$10^2))*A189</f>
        <v/>
      </c>
      <c r="N189" s="9">
        <f>M189*Inputs!$C$11</f>
        <v/>
      </c>
      <c r="O189" s="9">
        <f>1000*(D190-D188)/(A190-A188)*Inputs!$C$11</f>
        <v/>
      </c>
      <c r="P189" s="9">
        <f>-2*O189/Inputs!$C$13</f>
        <v/>
      </c>
      <c r="Q189" s="9">
        <f>-2*O189/Inputs!$C$14</f>
        <v/>
      </c>
      <c r="R189" s="9">
        <f>F189-Inputs!$C$16/2</f>
        <v/>
      </c>
      <c r="S189" s="9">
        <f>F189+Inputs!$C$16/2</f>
        <v/>
      </c>
      <c r="T189" s="9">
        <f>F189-Inputs!$C$17/2</f>
        <v/>
      </c>
      <c r="U189" s="9">
        <f>F189+Inputs!$C$17/2</f>
        <v/>
      </c>
      <c r="V189" s="9">
        <f>ABS(P189)</f>
        <v/>
      </c>
      <c r="W189" s="9">
        <f>ABS(Q189)</f>
        <v/>
      </c>
      <c r="X189" s="9">
        <f>IF(OR(Inputs!$C$27=TRUE,Inputs!$C$27="TRUE",Inputs!$C$27=1),1,0)*(Inputs!$C$51*(115*EXP(-(((0)-25)^2)/(4.5^2))+70*EXP(-(((0)+38)^2)/(7^2))*(0.55+0.45*SIN(2*PI()*(A189)/45))+24*SIN(2*PI()*(0)/9+(A189)/18)*EXP(-(((0)+5)^2)/(22^2))+18*SIN(2*PI()*(A189)/70))+Inputs!$C$28*EXP(-(((A189)-Inputs!$C$29)^2)/(2*Inputs!$C$31^2))*EXP(-(((0)-Inputs!$C$30)^2)/(2*Inputs!$C$32^2))+-Inputs!$C$33*EXP(-(((((A189)-Inputs!$C$34)^2)+(((0)-Inputs!$C$35)^2))/(2*Inputs!$C$36^2)))+Inputs!$C$37*(0.55*SIN(2*PI()*(A189)/Inputs!$C$39)+0.35*COS(2*PI()*(0)/Inputs!$C$40)+0.2*SIN(2*PI()*((A189)+(0))/(0.5*(Inputs!$C$39+Inputs!$C$40))))+Inputs!$C$38*SIN(2*PI()*(A189)/Inputs!$C$39)*SIN(2*PI()*(0)/Inputs!$C$40)+-Inputs!$C$41*EXP(-(((0)-Inputs!$C$43)^2)/(2*Inputs!$C$44^2))*EXP(-(((A189)-Inputs!$C$42)^2)/(2*Inputs!$C$45^2))+Inputs!$C$48*(0.7*(0.45*SIN(2*PI()*(((A189)/Inputs!$C$49)+Inputs!$C$47*0.137))+0.35*COS(2*PI()*(((0)/Inputs!$C$50)+Inputs!$C$47*0.173))+0.2*SIN(2*PI()*(((A189)+(0))/(0.5*(Inputs!$C$49+Inputs!$C$50))+Inputs!$C$47*0.097)))+0.3*(2*((SIN(((A189)*12.9898+(0)*78.233+Inputs!$C$47*37.719))*43758.5453)-INT((SIN(((A189)*12.9898+(0)*78.233+Inputs!$C$47*37.719))*43758.5453)))-1)))</f>
        <v/>
      </c>
      <c r="Y189" s="9">
        <f>IF(OR(Inputs!$C$27=TRUE,Inputs!$C$27="TRUE",Inputs!$C$27=1),1,0)*(Inputs!$C$51*(115*EXP(-(((Inputs!$C$6)-25)^2)/(4.5^2))+70*EXP(-(((Inputs!$C$6)+38)^2)/(7^2))*(0.55+0.45*SIN(2*PI()*(A189)/45))+24*SIN(2*PI()*(Inputs!$C$6)/9+(A189)/18)*EXP(-(((Inputs!$C$6)+5)^2)/(22^2))+18*SIN(2*PI()*(A189)/70))+Inputs!$C$28*EXP(-(((A189)-Inputs!$C$29)^2)/(2*Inputs!$C$31^2))*EXP(-(((Inputs!$C$6)-Inputs!$C$30)^2)/(2*Inputs!$C$32^2))+-Inputs!$C$33*EXP(-(((((A189)-Inputs!$C$34)^2)+(((Inputs!$C$6)-Inputs!$C$35)^2))/(2*Inputs!$C$36^2)))+Inputs!$C$37*(0.55*SIN(2*PI()*(A189)/Inputs!$C$39)+0.35*COS(2*PI()*(Inputs!$C$6)/Inputs!$C$40)+0.2*SIN(2*PI()*((A189)+(Inputs!$C$6))/(0.5*(Inputs!$C$39+Inputs!$C$40))))+Inputs!$C$38*SIN(2*PI()*(A189)/Inputs!$C$39)*SIN(2*PI()*(Inputs!$C$6)/Inputs!$C$40)+-Inputs!$C$41*EXP(-(((Inputs!$C$6)-Inputs!$C$43)^2)/(2*Inputs!$C$44^2))*EXP(-(((A189)-Inputs!$C$42)^2)/(2*Inputs!$C$45^2))+Inputs!$C$48*(0.7*(0.45*SIN(2*PI()*(((A189)/Inputs!$C$49)+Inputs!$C$47*0.137))+0.35*COS(2*PI()*(((Inputs!$C$6)/Inputs!$C$50)+Inputs!$C$47*0.173))+0.2*SIN(2*PI()*(((A189)+(Inputs!$C$6))/(0.5*(Inputs!$C$49+Inputs!$C$50))+Inputs!$C$47*0.097)))+0.3*(2*((SIN(((A189)*12.9898+(Inputs!$C$6)*78.233+Inputs!$C$47*37.719))*43758.5453)-INT((SIN(((A189)*12.9898+(Inputs!$C$6)*78.233+Inputs!$C$47*37.719))*43758.5453)))-1)))</f>
        <v/>
      </c>
      <c r="Z189" s="9">
        <f>B189-X189/1000</f>
        <v/>
      </c>
      <c r="AA189" s="9">
        <f>SQRT((Inputs!$C$52+B189)^2+(Inputs!$C$52+Y189/1000)^2-2*(Inputs!$C$52+B189)*(Inputs!$C$52+Y189/1000)*COS(SQRT(A189^2+Inputs!$C$6^2)/Inputs!$C$52))</f>
        <v/>
      </c>
      <c r="AB189" s="9">
        <f>(AA189-Z189)*1000</f>
        <v/>
      </c>
      <c r="AC189" s="9">
        <f>AB189/Inputs!$C$12</f>
        <v/>
      </c>
      <c r="AD189" s="9">
        <f>2*AB189/Inputs!$C$21*1000000</f>
        <v/>
      </c>
      <c r="AE189" s="9">
        <f>DEGREES(ATAN(H189/(B189-Y189/1000)))</f>
        <v/>
      </c>
      <c r="AF189" s="9">
        <f>DEGREES((2*PI()/Inputs!$C$13)*Inputs!$C$15*SIN(RADIANS(AE189)))</f>
        <v/>
      </c>
      <c r="AG189" s="9">
        <f>(Z189/AA189)^4</f>
        <v/>
      </c>
      <c r="AH189" s="9">
        <f>10*LOG10(AG189)</f>
        <v/>
      </c>
      <c r="AI189" s="9">
        <f>AC189-F189</f>
        <v/>
      </c>
      <c r="AJ189" s="9">
        <f>AD189-G189</f>
        <v/>
      </c>
      <c r="AK189" s="9">
        <f>Y189-X189</f>
        <v/>
      </c>
      <c r="AL189" s="9">
        <f>1000*(AA190-AA188)/(A190-A188)*Inputs!$C$11</f>
        <v/>
      </c>
      <c r="AM189" s="9">
        <f>-2*AL189/Inputs!$C$13</f>
        <v/>
      </c>
      <c r="AN189" s="9">
        <f>-2*AL189/Inputs!$C$14</f>
        <v/>
      </c>
      <c r="AO189" s="9">
        <f>ABS(AM189)</f>
        <v/>
      </c>
      <c r="AP189" s="9">
        <f>ABS(AN189)</f>
        <v/>
      </c>
      <c r="AQ189" s="9">
        <f>IF(OR(Inputs!$C$27=TRUE,Inputs!$C$27="TRUE",Inputs!$C$27=1),Inputs!$C$46/Inputs!$C$12,0)</f>
        <v/>
      </c>
      <c r="AR189" s="9">
        <f>AC189-AQ189</f>
        <v/>
      </c>
      <c r="AS189" s="9">
        <f>AC189+AQ189</f>
        <v/>
      </c>
    </row>
    <row r="190">
      <c r="A190" s="9">
        <f>Inputs!$C$7+188*(Inputs!$C$8-Inputs!$C$7)/240</f>
        <v/>
      </c>
      <c r="B190" s="9">
        <f>Inputs!$C$5+Inputs!$C$9*(A190/Inputs!$C$10)^2</f>
        <v/>
      </c>
      <c r="C190" s="9">
        <f>B190</f>
        <v/>
      </c>
      <c r="D190" s="9">
        <f>SQRT((Inputs!$C$52+B190)^2+Inputs!$C$52^2-2*(Inputs!$C$52+B190)*Inputs!$C$52*COS(SQRT(A190^2+Inputs!$C$6^2)/Inputs!$C$52))</f>
        <v/>
      </c>
      <c r="E190" s="9">
        <f>(D190-C190)*1000</f>
        <v/>
      </c>
      <c r="F190" s="9">
        <f>E190/Inputs!$C$12</f>
        <v/>
      </c>
      <c r="G190" s="9">
        <f>2*E190/Inputs!$C$21*1000000</f>
        <v/>
      </c>
      <c r="H190" s="9">
        <f>SQRT(A190^2+Inputs!$C$6^2)</f>
        <v/>
      </c>
      <c r="I190" s="9">
        <f>DEGREES(ATAN(H190/B190))</f>
        <v/>
      </c>
      <c r="J190" s="9">
        <f>DEGREES((2*PI()/Inputs!$C$13)*Inputs!$C$15*SIN(RADIANS(I190)))</f>
        <v/>
      </c>
      <c r="K190" s="9">
        <f>(C190/D190)^4</f>
        <v/>
      </c>
      <c r="L190" s="9">
        <f>10*LOG10(K190)</f>
        <v/>
      </c>
      <c r="M190" s="9">
        <f>2*(Inputs!$C$9/(Inputs!$C$10^2))*A190</f>
        <v/>
      </c>
      <c r="N190" s="9">
        <f>M190*Inputs!$C$11</f>
        <v/>
      </c>
      <c r="O190" s="9">
        <f>1000*(D191-D189)/(A191-A189)*Inputs!$C$11</f>
        <v/>
      </c>
      <c r="P190" s="9">
        <f>-2*O190/Inputs!$C$13</f>
        <v/>
      </c>
      <c r="Q190" s="9">
        <f>-2*O190/Inputs!$C$14</f>
        <v/>
      </c>
      <c r="R190" s="9">
        <f>F190-Inputs!$C$16/2</f>
        <v/>
      </c>
      <c r="S190" s="9">
        <f>F190+Inputs!$C$16/2</f>
        <v/>
      </c>
      <c r="T190" s="9">
        <f>F190-Inputs!$C$17/2</f>
        <v/>
      </c>
      <c r="U190" s="9">
        <f>F190+Inputs!$C$17/2</f>
        <v/>
      </c>
      <c r="V190" s="9">
        <f>ABS(P190)</f>
        <v/>
      </c>
      <c r="W190" s="9">
        <f>ABS(Q190)</f>
        <v/>
      </c>
      <c r="X190" s="9">
        <f>IF(OR(Inputs!$C$27=TRUE,Inputs!$C$27="TRUE",Inputs!$C$27=1),1,0)*(Inputs!$C$51*(115*EXP(-(((0)-25)^2)/(4.5^2))+70*EXP(-(((0)+38)^2)/(7^2))*(0.55+0.45*SIN(2*PI()*(A190)/45))+24*SIN(2*PI()*(0)/9+(A190)/18)*EXP(-(((0)+5)^2)/(22^2))+18*SIN(2*PI()*(A190)/70))+Inputs!$C$28*EXP(-(((A190)-Inputs!$C$29)^2)/(2*Inputs!$C$31^2))*EXP(-(((0)-Inputs!$C$30)^2)/(2*Inputs!$C$32^2))+-Inputs!$C$33*EXP(-(((((A190)-Inputs!$C$34)^2)+(((0)-Inputs!$C$35)^2))/(2*Inputs!$C$36^2)))+Inputs!$C$37*(0.55*SIN(2*PI()*(A190)/Inputs!$C$39)+0.35*COS(2*PI()*(0)/Inputs!$C$40)+0.2*SIN(2*PI()*((A190)+(0))/(0.5*(Inputs!$C$39+Inputs!$C$40))))+Inputs!$C$38*SIN(2*PI()*(A190)/Inputs!$C$39)*SIN(2*PI()*(0)/Inputs!$C$40)+-Inputs!$C$41*EXP(-(((0)-Inputs!$C$43)^2)/(2*Inputs!$C$44^2))*EXP(-(((A190)-Inputs!$C$42)^2)/(2*Inputs!$C$45^2))+Inputs!$C$48*(0.7*(0.45*SIN(2*PI()*(((A190)/Inputs!$C$49)+Inputs!$C$47*0.137))+0.35*COS(2*PI()*(((0)/Inputs!$C$50)+Inputs!$C$47*0.173))+0.2*SIN(2*PI()*(((A190)+(0))/(0.5*(Inputs!$C$49+Inputs!$C$50))+Inputs!$C$47*0.097)))+0.3*(2*((SIN(((A190)*12.9898+(0)*78.233+Inputs!$C$47*37.719))*43758.5453)-INT((SIN(((A190)*12.9898+(0)*78.233+Inputs!$C$47*37.719))*43758.5453)))-1)))</f>
        <v/>
      </c>
      <c r="Y190" s="9">
        <f>IF(OR(Inputs!$C$27=TRUE,Inputs!$C$27="TRUE",Inputs!$C$27=1),1,0)*(Inputs!$C$51*(115*EXP(-(((Inputs!$C$6)-25)^2)/(4.5^2))+70*EXP(-(((Inputs!$C$6)+38)^2)/(7^2))*(0.55+0.45*SIN(2*PI()*(A190)/45))+24*SIN(2*PI()*(Inputs!$C$6)/9+(A190)/18)*EXP(-(((Inputs!$C$6)+5)^2)/(22^2))+18*SIN(2*PI()*(A190)/70))+Inputs!$C$28*EXP(-(((A190)-Inputs!$C$29)^2)/(2*Inputs!$C$31^2))*EXP(-(((Inputs!$C$6)-Inputs!$C$30)^2)/(2*Inputs!$C$32^2))+-Inputs!$C$33*EXP(-(((((A190)-Inputs!$C$34)^2)+(((Inputs!$C$6)-Inputs!$C$35)^2))/(2*Inputs!$C$36^2)))+Inputs!$C$37*(0.55*SIN(2*PI()*(A190)/Inputs!$C$39)+0.35*COS(2*PI()*(Inputs!$C$6)/Inputs!$C$40)+0.2*SIN(2*PI()*((A190)+(Inputs!$C$6))/(0.5*(Inputs!$C$39+Inputs!$C$40))))+Inputs!$C$38*SIN(2*PI()*(A190)/Inputs!$C$39)*SIN(2*PI()*(Inputs!$C$6)/Inputs!$C$40)+-Inputs!$C$41*EXP(-(((Inputs!$C$6)-Inputs!$C$43)^2)/(2*Inputs!$C$44^2))*EXP(-(((A190)-Inputs!$C$42)^2)/(2*Inputs!$C$45^2))+Inputs!$C$48*(0.7*(0.45*SIN(2*PI()*(((A190)/Inputs!$C$49)+Inputs!$C$47*0.137))+0.35*COS(2*PI()*(((Inputs!$C$6)/Inputs!$C$50)+Inputs!$C$47*0.173))+0.2*SIN(2*PI()*(((A190)+(Inputs!$C$6))/(0.5*(Inputs!$C$49+Inputs!$C$50))+Inputs!$C$47*0.097)))+0.3*(2*((SIN(((A190)*12.9898+(Inputs!$C$6)*78.233+Inputs!$C$47*37.719))*43758.5453)-INT((SIN(((A190)*12.9898+(Inputs!$C$6)*78.233+Inputs!$C$47*37.719))*43758.5453)))-1)))</f>
        <v/>
      </c>
      <c r="Z190" s="9">
        <f>B190-X190/1000</f>
        <v/>
      </c>
      <c r="AA190" s="9">
        <f>SQRT((Inputs!$C$52+B190)^2+(Inputs!$C$52+Y190/1000)^2-2*(Inputs!$C$52+B190)*(Inputs!$C$52+Y190/1000)*COS(SQRT(A190^2+Inputs!$C$6^2)/Inputs!$C$52))</f>
        <v/>
      </c>
      <c r="AB190" s="9">
        <f>(AA190-Z190)*1000</f>
        <v/>
      </c>
      <c r="AC190" s="9">
        <f>AB190/Inputs!$C$12</f>
        <v/>
      </c>
      <c r="AD190" s="9">
        <f>2*AB190/Inputs!$C$21*1000000</f>
        <v/>
      </c>
      <c r="AE190" s="9">
        <f>DEGREES(ATAN(H190/(B190-Y190/1000)))</f>
        <v/>
      </c>
      <c r="AF190" s="9">
        <f>DEGREES((2*PI()/Inputs!$C$13)*Inputs!$C$15*SIN(RADIANS(AE190)))</f>
        <v/>
      </c>
      <c r="AG190" s="9">
        <f>(Z190/AA190)^4</f>
        <v/>
      </c>
      <c r="AH190" s="9">
        <f>10*LOG10(AG190)</f>
        <v/>
      </c>
      <c r="AI190" s="9">
        <f>AC190-F190</f>
        <v/>
      </c>
      <c r="AJ190" s="9">
        <f>AD190-G190</f>
        <v/>
      </c>
      <c r="AK190" s="9">
        <f>Y190-X190</f>
        <v/>
      </c>
      <c r="AL190" s="9">
        <f>1000*(AA191-AA189)/(A191-A189)*Inputs!$C$11</f>
        <v/>
      </c>
      <c r="AM190" s="9">
        <f>-2*AL190/Inputs!$C$13</f>
        <v/>
      </c>
      <c r="AN190" s="9">
        <f>-2*AL190/Inputs!$C$14</f>
        <v/>
      </c>
      <c r="AO190" s="9">
        <f>ABS(AM190)</f>
        <v/>
      </c>
      <c r="AP190" s="9">
        <f>ABS(AN190)</f>
        <v/>
      </c>
      <c r="AQ190" s="9">
        <f>IF(OR(Inputs!$C$27=TRUE,Inputs!$C$27="TRUE",Inputs!$C$27=1),Inputs!$C$46/Inputs!$C$12,0)</f>
        <v/>
      </c>
      <c r="AR190" s="9">
        <f>AC190-AQ190</f>
        <v/>
      </c>
      <c r="AS190" s="9">
        <f>AC190+AQ190</f>
        <v/>
      </c>
    </row>
    <row r="191">
      <c r="A191" s="9">
        <f>Inputs!$C$7+189*(Inputs!$C$8-Inputs!$C$7)/240</f>
        <v/>
      </c>
      <c r="B191" s="9">
        <f>Inputs!$C$5+Inputs!$C$9*(A191/Inputs!$C$10)^2</f>
        <v/>
      </c>
      <c r="C191" s="9">
        <f>B191</f>
        <v/>
      </c>
      <c r="D191" s="9">
        <f>SQRT((Inputs!$C$52+B191)^2+Inputs!$C$52^2-2*(Inputs!$C$52+B191)*Inputs!$C$52*COS(SQRT(A191^2+Inputs!$C$6^2)/Inputs!$C$52))</f>
        <v/>
      </c>
      <c r="E191" s="9">
        <f>(D191-C191)*1000</f>
        <v/>
      </c>
      <c r="F191" s="9">
        <f>E191/Inputs!$C$12</f>
        <v/>
      </c>
      <c r="G191" s="9">
        <f>2*E191/Inputs!$C$21*1000000</f>
        <v/>
      </c>
      <c r="H191" s="9">
        <f>SQRT(A191^2+Inputs!$C$6^2)</f>
        <v/>
      </c>
      <c r="I191" s="9">
        <f>DEGREES(ATAN(H191/B191))</f>
        <v/>
      </c>
      <c r="J191" s="9">
        <f>DEGREES((2*PI()/Inputs!$C$13)*Inputs!$C$15*SIN(RADIANS(I191)))</f>
        <v/>
      </c>
      <c r="K191" s="9">
        <f>(C191/D191)^4</f>
        <v/>
      </c>
      <c r="L191" s="9">
        <f>10*LOG10(K191)</f>
        <v/>
      </c>
      <c r="M191" s="9">
        <f>2*(Inputs!$C$9/(Inputs!$C$10^2))*A191</f>
        <v/>
      </c>
      <c r="N191" s="9">
        <f>M191*Inputs!$C$11</f>
        <v/>
      </c>
      <c r="O191" s="9">
        <f>1000*(D192-D190)/(A192-A190)*Inputs!$C$11</f>
        <v/>
      </c>
      <c r="P191" s="9">
        <f>-2*O191/Inputs!$C$13</f>
        <v/>
      </c>
      <c r="Q191" s="9">
        <f>-2*O191/Inputs!$C$14</f>
        <v/>
      </c>
      <c r="R191" s="9">
        <f>F191-Inputs!$C$16/2</f>
        <v/>
      </c>
      <c r="S191" s="9">
        <f>F191+Inputs!$C$16/2</f>
        <v/>
      </c>
      <c r="T191" s="9">
        <f>F191-Inputs!$C$17/2</f>
        <v/>
      </c>
      <c r="U191" s="9">
        <f>F191+Inputs!$C$17/2</f>
        <v/>
      </c>
      <c r="V191" s="9">
        <f>ABS(P191)</f>
        <v/>
      </c>
      <c r="W191" s="9">
        <f>ABS(Q191)</f>
        <v/>
      </c>
      <c r="X191" s="9">
        <f>IF(OR(Inputs!$C$27=TRUE,Inputs!$C$27="TRUE",Inputs!$C$27=1),1,0)*(Inputs!$C$51*(115*EXP(-(((0)-25)^2)/(4.5^2))+70*EXP(-(((0)+38)^2)/(7^2))*(0.55+0.45*SIN(2*PI()*(A191)/45))+24*SIN(2*PI()*(0)/9+(A191)/18)*EXP(-(((0)+5)^2)/(22^2))+18*SIN(2*PI()*(A191)/70))+Inputs!$C$28*EXP(-(((A191)-Inputs!$C$29)^2)/(2*Inputs!$C$31^2))*EXP(-(((0)-Inputs!$C$30)^2)/(2*Inputs!$C$32^2))+-Inputs!$C$33*EXP(-(((((A191)-Inputs!$C$34)^2)+(((0)-Inputs!$C$35)^2))/(2*Inputs!$C$36^2)))+Inputs!$C$37*(0.55*SIN(2*PI()*(A191)/Inputs!$C$39)+0.35*COS(2*PI()*(0)/Inputs!$C$40)+0.2*SIN(2*PI()*((A191)+(0))/(0.5*(Inputs!$C$39+Inputs!$C$40))))+Inputs!$C$38*SIN(2*PI()*(A191)/Inputs!$C$39)*SIN(2*PI()*(0)/Inputs!$C$40)+-Inputs!$C$41*EXP(-(((0)-Inputs!$C$43)^2)/(2*Inputs!$C$44^2))*EXP(-(((A191)-Inputs!$C$42)^2)/(2*Inputs!$C$45^2))+Inputs!$C$48*(0.7*(0.45*SIN(2*PI()*(((A191)/Inputs!$C$49)+Inputs!$C$47*0.137))+0.35*COS(2*PI()*(((0)/Inputs!$C$50)+Inputs!$C$47*0.173))+0.2*SIN(2*PI()*(((A191)+(0))/(0.5*(Inputs!$C$49+Inputs!$C$50))+Inputs!$C$47*0.097)))+0.3*(2*((SIN(((A191)*12.9898+(0)*78.233+Inputs!$C$47*37.719))*43758.5453)-INT((SIN(((A191)*12.9898+(0)*78.233+Inputs!$C$47*37.719))*43758.5453)))-1)))</f>
        <v/>
      </c>
      <c r="Y191" s="9">
        <f>IF(OR(Inputs!$C$27=TRUE,Inputs!$C$27="TRUE",Inputs!$C$27=1),1,0)*(Inputs!$C$51*(115*EXP(-(((Inputs!$C$6)-25)^2)/(4.5^2))+70*EXP(-(((Inputs!$C$6)+38)^2)/(7^2))*(0.55+0.45*SIN(2*PI()*(A191)/45))+24*SIN(2*PI()*(Inputs!$C$6)/9+(A191)/18)*EXP(-(((Inputs!$C$6)+5)^2)/(22^2))+18*SIN(2*PI()*(A191)/70))+Inputs!$C$28*EXP(-(((A191)-Inputs!$C$29)^2)/(2*Inputs!$C$31^2))*EXP(-(((Inputs!$C$6)-Inputs!$C$30)^2)/(2*Inputs!$C$32^2))+-Inputs!$C$33*EXP(-(((((A191)-Inputs!$C$34)^2)+(((Inputs!$C$6)-Inputs!$C$35)^2))/(2*Inputs!$C$36^2)))+Inputs!$C$37*(0.55*SIN(2*PI()*(A191)/Inputs!$C$39)+0.35*COS(2*PI()*(Inputs!$C$6)/Inputs!$C$40)+0.2*SIN(2*PI()*((A191)+(Inputs!$C$6))/(0.5*(Inputs!$C$39+Inputs!$C$40))))+Inputs!$C$38*SIN(2*PI()*(A191)/Inputs!$C$39)*SIN(2*PI()*(Inputs!$C$6)/Inputs!$C$40)+-Inputs!$C$41*EXP(-(((Inputs!$C$6)-Inputs!$C$43)^2)/(2*Inputs!$C$44^2))*EXP(-(((A191)-Inputs!$C$42)^2)/(2*Inputs!$C$45^2))+Inputs!$C$48*(0.7*(0.45*SIN(2*PI()*(((A191)/Inputs!$C$49)+Inputs!$C$47*0.137))+0.35*COS(2*PI()*(((Inputs!$C$6)/Inputs!$C$50)+Inputs!$C$47*0.173))+0.2*SIN(2*PI()*(((A191)+(Inputs!$C$6))/(0.5*(Inputs!$C$49+Inputs!$C$50))+Inputs!$C$47*0.097)))+0.3*(2*((SIN(((A191)*12.9898+(Inputs!$C$6)*78.233+Inputs!$C$47*37.719))*43758.5453)-INT((SIN(((A191)*12.9898+(Inputs!$C$6)*78.233+Inputs!$C$47*37.719))*43758.5453)))-1)))</f>
        <v/>
      </c>
      <c r="Z191" s="9">
        <f>B191-X191/1000</f>
        <v/>
      </c>
      <c r="AA191" s="9">
        <f>SQRT((Inputs!$C$52+B191)^2+(Inputs!$C$52+Y191/1000)^2-2*(Inputs!$C$52+B191)*(Inputs!$C$52+Y191/1000)*COS(SQRT(A191^2+Inputs!$C$6^2)/Inputs!$C$52))</f>
        <v/>
      </c>
      <c r="AB191" s="9">
        <f>(AA191-Z191)*1000</f>
        <v/>
      </c>
      <c r="AC191" s="9">
        <f>AB191/Inputs!$C$12</f>
        <v/>
      </c>
      <c r="AD191" s="9">
        <f>2*AB191/Inputs!$C$21*1000000</f>
        <v/>
      </c>
      <c r="AE191" s="9">
        <f>DEGREES(ATAN(H191/(B191-Y191/1000)))</f>
        <v/>
      </c>
      <c r="AF191" s="9">
        <f>DEGREES((2*PI()/Inputs!$C$13)*Inputs!$C$15*SIN(RADIANS(AE191)))</f>
        <v/>
      </c>
      <c r="AG191" s="9">
        <f>(Z191/AA191)^4</f>
        <v/>
      </c>
      <c r="AH191" s="9">
        <f>10*LOG10(AG191)</f>
        <v/>
      </c>
      <c r="AI191" s="9">
        <f>AC191-F191</f>
        <v/>
      </c>
      <c r="AJ191" s="9">
        <f>AD191-G191</f>
        <v/>
      </c>
      <c r="AK191" s="9">
        <f>Y191-X191</f>
        <v/>
      </c>
      <c r="AL191" s="9">
        <f>1000*(AA192-AA190)/(A192-A190)*Inputs!$C$11</f>
        <v/>
      </c>
      <c r="AM191" s="9">
        <f>-2*AL191/Inputs!$C$13</f>
        <v/>
      </c>
      <c r="AN191" s="9">
        <f>-2*AL191/Inputs!$C$14</f>
        <v/>
      </c>
      <c r="AO191" s="9">
        <f>ABS(AM191)</f>
        <v/>
      </c>
      <c r="AP191" s="9">
        <f>ABS(AN191)</f>
        <v/>
      </c>
      <c r="AQ191" s="9">
        <f>IF(OR(Inputs!$C$27=TRUE,Inputs!$C$27="TRUE",Inputs!$C$27=1),Inputs!$C$46/Inputs!$C$12,0)</f>
        <v/>
      </c>
      <c r="AR191" s="9">
        <f>AC191-AQ191</f>
        <v/>
      </c>
      <c r="AS191" s="9">
        <f>AC191+AQ191</f>
        <v/>
      </c>
    </row>
    <row r="192">
      <c r="A192" s="9">
        <f>Inputs!$C$7+190*(Inputs!$C$8-Inputs!$C$7)/240</f>
        <v/>
      </c>
      <c r="B192" s="9">
        <f>Inputs!$C$5+Inputs!$C$9*(A192/Inputs!$C$10)^2</f>
        <v/>
      </c>
      <c r="C192" s="9">
        <f>B192</f>
        <v/>
      </c>
      <c r="D192" s="9">
        <f>SQRT((Inputs!$C$52+B192)^2+Inputs!$C$52^2-2*(Inputs!$C$52+B192)*Inputs!$C$52*COS(SQRT(A192^2+Inputs!$C$6^2)/Inputs!$C$52))</f>
        <v/>
      </c>
      <c r="E192" s="9">
        <f>(D192-C192)*1000</f>
        <v/>
      </c>
      <c r="F192" s="9">
        <f>E192/Inputs!$C$12</f>
        <v/>
      </c>
      <c r="G192" s="9">
        <f>2*E192/Inputs!$C$21*1000000</f>
        <v/>
      </c>
      <c r="H192" s="9">
        <f>SQRT(A192^2+Inputs!$C$6^2)</f>
        <v/>
      </c>
      <c r="I192" s="9">
        <f>DEGREES(ATAN(H192/B192))</f>
        <v/>
      </c>
      <c r="J192" s="9">
        <f>DEGREES((2*PI()/Inputs!$C$13)*Inputs!$C$15*SIN(RADIANS(I192)))</f>
        <v/>
      </c>
      <c r="K192" s="9">
        <f>(C192/D192)^4</f>
        <v/>
      </c>
      <c r="L192" s="9">
        <f>10*LOG10(K192)</f>
        <v/>
      </c>
      <c r="M192" s="9">
        <f>2*(Inputs!$C$9/(Inputs!$C$10^2))*A192</f>
        <v/>
      </c>
      <c r="N192" s="9">
        <f>M192*Inputs!$C$11</f>
        <v/>
      </c>
      <c r="O192" s="9">
        <f>1000*(D193-D191)/(A193-A191)*Inputs!$C$11</f>
        <v/>
      </c>
      <c r="P192" s="9">
        <f>-2*O192/Inputs!$C$13</f>
        <v/>
      </c>
      <c r="Q192" s="9">
        <f>-2*O192/Inputs!$C$14</f>
        <v/>
      </c>
      <c r="R192" s="9">
        <f>F192-Inputs!$C$16/2</f>
        <v/>
      </c>
      <c r="S192" s="9">
        <f>F192+Inputs!$C$16/2</f>
        <v/>
      </c>
      <c r="T192" s="9">
        <f>F192-Inputs!$C$17/2</f>
        <v/>
      </c>
      <c r="U192" s="9">
        <f>F192+Inputs!$C$17/2</f>
        <v/>
      </c>
      <c r="V192" s="9">
        <f>ABS(P192)</f>
        <v/>
      </c>
      <c r="W192" s="9">
        <f>ABS(Q192)</f>
        <v/>
      </c>
      <c r="X192" s="9">
        <f>IF(OR(Inputs!$C$27=TRUE,Inputs!$C$27="TRUE",Inputs!$C$27=1),1,0)*(Inputs!$C$51*(115*EXP(-(((0)-25)^2)/(4.5^2))+70*EXP(-(((0)+38)^2)/(7^2))*(0.55+0.45*SIN(2*PI()*(A192)/45))+24*SIN(2*PI()*(0)/9+(A192)/18)*EXP(-(((0)+5)^2)/(22^2))+18*SIN(2*PI()*(A192)/70))+Inputs!$C$28*EXP(-(((A192)-Inputs!$C$29)^2)/(2*Inputs!$C$31^2))*EXP(-(((0)-Inputs!$C$30)^2)/(2*Inputs!$C$32^2))+-Inputs!$C$33*EXP(-(((((A192)-Inputs!$C$34)^2)+(((0)-Inputs!$C$35)^2))/(2*Inputs!$C$36^2)))+Inputs!$C$37*(0.55*SIN(2*PI()*(A192)/Inputs!$C$39)+0.35*COS(2*PI()*(0)/Inputs!$C$40)+0.2*SIN(2*PI()*((A192)+(0))/(0.5*(Inputs!$C$39+Inputs!$C$40))))+Inputs!$C$38*SIN(2*PI()*(A192)/Inputs!$C$39)*SIN(2*PI()*(0)/Inputs!$C$40)+-Inputs!$C$41*EXP(-(((0)-Inputs!$C$43)^2)/(2*Inputs!$C$44^2))*EXP(-(((A192)-Inputs!$C$42)^2)/(2*Inputs!$C$45^2))+Inputs!$C$48*(0.7*(0.45*SIN(2*PI()*(((A192)/Inputs!$C$49)+Inputs!$C$47*0.137))+0.35*COS(2*PI()*(((0)/Inputs!$C$50)+Inputs!$C$47*0.173))+0.2*SIN(2*PI()*(((A192)+(0))/(0.5*(Inputs!$C$49+Inputs!$C$50))+Inputs!$C$47*0.097)))+0.3*(2*((SIN(((A192)*12.9898+(0)*78.233+Inputs!$C$47*37.719))*43758.5453)-INT((SIN(((A192)*12.9898+(0)*78.233+Inputs!$C$47*37.719))*43758.5453)))-1)))</f>
        <v/>
      </c>
      <c r="Y192" s="9">
        <f>IF(OR(Inputs!$C$27=TRUE,Inputs!$C$27="TRUE",Inputs!$C$27=1),1,0)*(Inputs!$C$51*(115*EXP(-(((Inputs!$C$6)-25)^2)/(4.5^2))+70*EXP(-(((Inputs!$C$6)+38)^2)/(7^2))*(0.55+0.45*SIN(2*PI()*(A192)/45))+24*SIN(2*PI()*(Inputs!$C$6)/9+(A192)/18)*EXP(-(((Inputs!$C$6)+5)^2)/(22^2))+18*SIN(2*PI()*(A192)/70))+Inputs!$C$28*EXP(-(((A192)-Inputs!$C$29)^2)/(2*Inputs!$C$31^2))*EXP(-(((Inputs!$C$6)-Inputs!$C$30)^2)/(2*Inputs!$C$32^2))+-Inputs!$C$33*EXP(-(((((A192)-Inputs!$C$34)^2)+(((Inputs!$C$6)-Inputs!$C$35)^2))/(2*Inputs!$C$36^2)))+Inputs!$C$37*(0.55*SIN(2*PI()*(A192)/Inputs!$C$39)+0.35*COS(2*PI()*(Inputs!$C$6)/Inputs!$C$40)+0.2*SIN(2*PI()*((A192)+(Inputs!$C$6))/(0.5*(Inputs!$C$39+Inputs!$C$40))))+Inputs!$C$38*SIN(2*PI()*(A192)/Inputs!$C$39)*SIN(2*PI()*(Inputs!$C$6)/Inputs!$C$40)+-Inputs!$C$41*EXP(-(((Inputs!$C$6)-Inputs!$C$43)^2)/(2*Inputs!$C$44^2))*EXP(-(((A192)-Inputs!$C$42)^2)/(2*Inputs!$C$45^2))+Inputs!$C$48*(0.7*(0.45*SIN(2*PI()*(((A192)/Inputs!$C$49)+Inputs!$C$47*0.137))+0.35*COS(2*PI()*(((Inputs!$C$6)/Inputs!$C$50)+Inputs!$C$47*0.173))+0.2*SIN(2*PI()*(((A192)+(Inputs!$C$6))/(0.5*(Inputs!$C$49+Inputs!$C$50))+Inputs!$C$47*0.097)))+0.3*(2*((SIN(((A192)*12.9898+(Inputs!$C$6)*78.233+Inputs!$C$47*37.719))*43758.5453)-INT((SIN(((A192)*12.9898+(Inputs!$C$6)*78.233+Inputs!$C$47*37.719))*43758.5453)))-1)))</f>
        <v/>
      </c>
      <c r="Z192" s="9">
        <f>B192-X192/1000</f>
        <v/>
      </c>
      <c r="AA192" s="9">
        <f>SQRT((Inputs!$C$52+B192)^2+(Inputs!$C$52+Y192/1000)^2-2*(Inputs!$C$52+B192)*(Inputs!$C$52+Y192/1000)*COS(SQRT(A192^2+Inputs!$C$6^2)/Inputs!$C$52))</f>
        <v/>
      </c>
      <c r="AB192" s="9">
        <f>(AA192-Z192)*1000</f>
        <v/>
      </c>
      <c r="AC192" s="9">
        <f>AB192/Inputs!$C$12</f>
        <v/>
      </c>
      <c r="AD192" s="9">
        <f>2*AB192/Inputs!$C$21*1000000</f>
        <v/>
      </c>
      <c r="AE192" s="9">
        <f>DEGREES(ATAN(H192/(B192-Y192/1000)))</f>
        <v/>
      </c>
      <c r="AF192" s="9">
        <f>DEGREES((2*PI()/Inputs!$C$13)*Inputs!$C$15*SIN(RADIANS(AE192)))</f>
        <v/>
      </c>
      <c r="AG192" s="9">
        <f>(Z192/AA192)^4</f>
        <v/>
      </c>
      <c r="AH192" s="9">
        <f>10*LOG10(AG192)</f>
        <v/>
      </c>
      <c r="AI192" s="9">
        <f>AC192-F192</f>
        <v/>
      </c>
      <c r="AJ192" s="9">
        <f>AD192-G192</f>
        <v/>
      </c>
      <c r="AK192" s="9">
        <f>Y192-X192</f>
        <v/>
      </c>
      <c r="AL192" s="9">
        <f>1000*(AA193-AA191)/(A193-A191)*Inputs!$C$11</f>
        <v/>
      </c>
      <c r="AM192" s="9">
        <f>-2*AL192/Inputs!$C$13</f>
        <v/>
      </c>
      <c r="AN192" s="9">
        <f>-2*AL192/Inputs!$C$14</f>
        <v/>
      </c>
      <c r="AO192" s="9">
        <f>ABS(AM192)</f>
        <v/>
      </c>
      <c r="AP192" s="9">
        <f>ABS(AN192)</f>
        <v/>
      </c>
      <c r="AQ192" s="9">
        <f>IF(OR(Inputs!$C$27=TRUE,Inputs!$C$27="TRUE",Inputs!$C$27=1),Inputs!$C$46/Inputs!$C$12,0)</f>
        <v/>
      </c>
      <c r="AR192" s="9">
        <f>AC192-AQ192</f>
        <v/>
      </c>
      <c r="AS192" s="9">
        <f>AC192+AQ192</f>
        <v/>
      </c>
    </row>
    <row r="193">
      <c r="A193" s="9">
        <f>Inputs!$C$7+191*(Inputs!$C$8-Inputs!$C$7)/240</f>
        <v/>
      </c>
      <c r="B193" s="9">
        <f>Inputs!$C$5+Inputs!$C$9*(A193/Inputs!$C$10)^2</f>
        <v/>
      </c>
      <c r="C193" s="9">
        <f>B193</f>
        <v/>
      </c>
      <c r="D193" s="9">
        <f>SQRT((Inputs!$C$52+B193)^2+Inputs!$C$52^2-2*(Inputs!$C$52+B193)*Inputs!$C$52*COS(SQRT(A193^2+Inputs!$C$6^2)/Inputs!$C$52))</f>
        <v/>
      </c>
      <c r="E193" s="9">
        <f>(D193-C193)*1000</f>
        <v/>
      </c>
      <c r="F193" s="9">
        <f>E193/Inputs!$C$12</f>
        <v/>
      </c>
      <c r="G193" s="9">
        <f>2*E193/Inputs!$C$21*1000000</f>
        <v/>
      </c>
      <c r="H193" s="9">
        <f>SQRT(A193^2+Inputs!$C$6^2)</f>
        <v/>
      </c>
      <c r="I193" s="9">
        <f>DEGREES(ATAN(H193/B193))</f>
        <v/>
      </c>
      <c r="J193" s="9">
        <f>DEGREES((2*PI()/Inputs!$C$13)*Inputs!$C$15*SIN(RADIANS(I193)))</f>
        <v/>
      </c>
      <c r="K193" s="9">
        <f>(C193/D193)^4</f>
        <v/>
      </c>
      <c r="L193" s="9">
        <f>10*LOG10(K193)</f>
        <v/>
      </c>
      <c r="M193" s="9">
        <f>2*(Inputs!$C$9/(Inputs!$C$10^2))*A193</f>
        <v/>
      </c>
      <c r="N193" s="9">
        <f>M193*Inputs!$C$11</f>
        <v/>
      </c>
      <c r="O193" s="9">
        <f>1000*(D194-D192)/(A194-A192)*Inputs!$C$11</f>
        <v/>
      </c>
      <c r="P193" s="9">
        <f>-2*O193/Inputs!$C$13</f>
        <v/>
      </c>
      <c r="Q193" s="9">
        <f>-2*O193/Inputs!$C$14</f>
        <v/>
      </c>
      <c r="R193" s="9">
        <f>F193-Inputs!$C$16/2</f>
        <v/>
      </c>
      <c r="S193" s="9">
        <f>F193+Inputs!$C$16/2</f>
        <v/>
      </c>
      <c r="T193" s="9">
        <f>F193-Inputs!$C$17/2</f>
        <v/>
      </c>
      <c r="U193" s="9">
        <f>F193+Inputs!$C$17/2</f>
        <v/>
      </c>
      <c r="V193" s="9">
        <f>ABS(P193)</f>
        <v/>
      </c>
      <c r="W193" s="9">
        <f>ABS(Q193)</f>
        <v/>
      </c>
      <c r="X193" s="9">
        <f>IF(OR(Inputs!$C$27=TRUE,Inputs!$C$27="TRUE",Inputs!$C$27=1),1,0)*(Inputs!$C$51*(115*EXP(-(((0)-25)^2)/(4.5^2))+70*EXP(-(((0)+38)^2)/(7^2))*(0.55+0.45*SIN(2*PI()*(A193)/45))+24*SIN(2*PI()*(0)/9+(A193)/18)*EXP(-(((0)+5)^2)/(22^2))+18*SIN(2*PI()*(A193)/70))+Inputs!$C$28*EXP(-(((A193)-Inputs!$C$29)^2)/(2*Inputs!$C$31^2))*EXP(-(((0)-Inputs!$C$30)^2)/(2*Inputs!$C$32^2))+-Inputs!$C$33*EXP(-(((((A193)-Inputs!$C$34)^2)+(((0)-Inputs!$C$35)^2))/(2*Inputs!$C$36^2)))+Inputs!$C$37*(0.55*SIN(2*PI()*(A193)/Inputs!$C$39)+0.35*COS(2*PI()*(0)/Inputs!$C$40)+0.2*SIN(2*PI()*((A193)+(0))/(0.5*(Inputs!$C$39+Inputs!$C$40))))+Inputs!$C$38*SIN(2*PI()*(A193)/Inputs!$C$39)*SIN(2*PI()*(0)/Inputs!$C$40)+-Inputs!$C$41*EXP(-(((0)-Inputs!$C$43)^2)/(2*Inputs!$C$44^2))*EXP(-(((A193)-Inputs!$C$42)^2)/(2*Inputs!$C$45^2))+Inputs!$C$48*(0.7*(0.45*SIN(2*PI()*(((A193)/Inputs!$C$49)+Inputs!$C$47*0.137))+0.35*COS(2*PI()*(((0)/Inputs!$C$50)+Inputs!$C$47*0.173))+0.2*SIN(2*PI()*(((A193)+(0))/(0.5*(Inputs!$C$49+Inputs!$C$50))+Inputs!$C$47*0.097)))+0.3*(2*((SIN(((A193)*12.9898+(0)*78.233+Inputs!$C$47*37.719))*43758.5453)-INT((SIN(((A193)*12.9898+(0)*78.233+Inputs!$C$47*37.719))*43758.5453)))-1)))</f>
        <v/>
      </c>
      <c r="Y193" s="9">
        <f>IF(OR(Inputs!$C$27=TRUE,Inputs!$C$27="TRUE",Inputs!$C$27=1),1,0)*(Inputs!$C$51*(115*EXP(-(((Inputs!$C$6)-25)^2)/(4.5^2))+70*EXP(-(((Inputs!$C$6)+38)^2)/(7^2))*(0.55+0.45*SIN(2*PI()*(A193)/45))+24*SIN(2*PI()*(Inputs!$C$6)/9+(A193)/18)*EXP(-(((Inputs!$C$6)+5)^2)/(22^2))+18*SIN(2*PI()*(A193)/70))+Inputs!$C$28*EXP(-(((A193)-Inputs!$C$29)^2)/(2*Inputs!$C$31^2))*EXP(-(((Inputs!$C$6)-Inputs!$C$30)^2)/(2*Inputs!$C$32^2))+-Inputs!$C$33*EXP(-(((((A193)-Inputs!$C$34)^2)+(((Inputs!$C$6)-Inputs!$C$35)^2))/(2*Inputs!$C$36^2)))+Inputs!$C$37*(0.55*SIN(2*PI()*(A193)/Inputs!$C$39)+0.35*COS(2*PI()*(Inputs!$C$6)/Inputs!$C$40)+0.2*SIN(2*PI()*((A193)+(Inputs!$C$6))/(0.5*(Inputs!$C$39+Inputs!$C$40))))+Inputs!$C$38*SIN(2*PI()*(A193)/Inputs!$C$39)*SIN(2*PI()*(Inputs!$C$6)/Inputs!$C$40)+-Inputs!$C$41*EXP(-(((Inputs!$C$6)-Inputs!$C$43)^2)/(2*Inputs!$C$44^2))*EXP(-(((A193)-Inputs!$C$42)^2)/(2*Inputs!$C$45^2))+Inputs!$C$48*(0.7*(0.45*SIN(2*PI()*(((A193)/Inputs!$C$49)+Inputs!$C$47*0.137))+0.35*COS(2*PI()*(((Inputs!$C$6)/Inputs!$C$50)+Inputs!$C$47*0.173))+0.2*SIN(2*PI()*(((A193)+(Inputs!$C$6))/(0.5*(Inputs!$C$49+Inputs!$C$50))+Inputs!$C$47*0.097)))+0.3*(2*((SIN(((A193)*12.9898+(Inputs!$C$6)*78.233+Inputs!$C$47*37.719))*43758.5453)-INT((SIN(((A193)*12.9898+(Inputs!$C$6)*78.233+Inputs!$C$47*37.719))*43758.5453)))-1)))</f>
        <v/>
      </c>
      <c r="Z193" s="9">
        <f>B193-X193/1000</f>
        <v/>
      </c>
      <c r="AA193" s="9">
        <f>SQRT((Inputs!$C$52+B193)^2+(Inputs!$C$52+Y193/1000)^2-2*(Inputs!$C$52+B193)*(Inputs!$C$52+Y193/1000)*COS(SQRT(A193^2+Inputs!$C$6^2)/Inputs!$C$52))</f>
        <v/>
      </c>
      <c r="AB193" s="9">
        <f>(AA193-Z193)*1000</f>
        <v/>
      </c>
      <c r="AC193" s="9">
        <f>AB193/Inputs!$C$12</f>
        <v/>
      </c>
      <c r="AD193" s="9">
        <f>2*AB193/Inputs!$C$21*1000000</f>
        <v/>
      </c>
      <c r="AE193" s="9">
        <f>DEGREES(ATAN(H193/(B193-Y193/1000)))</f>
        <v/>
      </c>
      <c r="AF193" s="9">
        <f>DEGREES((2*PI()/Inputs!$C$13)*Inputs!$C$15*SIN(RADIANS(AE193)))</f>
        <v/>
      </c>
      <c r="AG193" s="9">
        <f>(Z193/AA193)^4</f>
        <v/>
      </c>
      <c r="AH193" s="9">
        <f>10*LOG10(AG193)</f>
        <v/>
      </c>
      <c r="AI193" s="9">
        <f>AC193-F193</f>
        <v/>
      </c>
      <c r="AJ193" s="9">
        <f>AD193-G193</f>
        <v/>
      </c>
      <c r="AK193" s="9">
        <f>Y193-X193</f>
        <v/>
      </c>
      <c r="AL193" s="9">
        <f>1000*(AA194-AA192)/(A194-A192)*Inputs!$C$11</f>
        <v/>
      </c>
      <c r="AM193" s="9">
        <f>-2*AL193/Inputs!$C$13</f>
        <v/>
      </c>
      <c r="AN193" s="9">
        <f>-2*AL193/Inputs!$C$14</f>
        <v/>
      </c>
      <c r="AO193" s="9">
        <f>ABS(AM193)</f>
        <v/>
      </c>
      <c r="AP193" s="9">
        <f>ABS(AN193)</f>
        <v/>
      </c>
      <c r="AQ193" s="9">
        <f>IF(OR(Inputs!$C$27=TRUE,Inputs!$C$27="TRUE",Inputs!$C$27=1),Inputs!$C$46/Inputs!$C$12,0)</f>
        <v/>
      </c>
      <c r="AR193" s="9">
        <f>AC193-AQ193</f>
        <v/>
      </c>
      <c r="AS193" s="9">
        <f>AC193+AQ193</f>
        <v/>
      </c>
    </row>
    <row r="194">
      <c r="A194" s="9">
        <f>Inputs!$C$7+192*(Inputs!$C$8-Inputs!$C$7)/240</f>
        <v/>
      </c>
      <c r="B194" s="9">
        <f>Inputs!$C$5+Inputs!$C$9*(A194/Inputs!$C$10)^2</f>
        <v/>
      </c>
      <c r="C194" s="9">
        <f>B194</f>
        <v/>
      </c>
      <c r="D194" s="9">
        <f>SQRT((Inputs!$C$52+B194)^2+Inputs!$C$52^2-2*(Inputs!$C$52+B194)*Inputs!$C$52*COS(SQRT(A194^2+Inputs!$C$6^2)/Inputs!$C$52))</f>
        <v/>
      </c>
      <c r="E194" s="9">
        <f>(D194-C194)*1000</f>
        <v/>
      </c>
      <c r="F194" s="9">
        <f>E194/Inputs!$C$12</f>
        <v/>
      </c>
      <c r="G194" s="9">
        <f>2*E194/Inputs!$C$21*1000000</f>
        <v/>
      </c>
      <c r="H194" s="9">
        <f>SQRT(A194^2+Inputs!$C$6^2)</f>
        <v/>
      </c>
      <c r="I194" s="9">
        <f>DEGREES(ATAN(H194/B194))</f>
        <v/>
      </c>
      <c r="J194" s="9">
        <f>DEGREES((2*PI()/Inputs!$C$13)*Inputs!$C$15*SIN(RADIANS(I194)))</f>
        <v/>
      </c>
      <c r="K194" s="9">
        <f>(C194/D194)^4</f>
        <v/>
      </c>
      <c r="L194" s="9">
        <f>10*LOG10(K194)</f>
        <v/>
      </c>
      <c r="M194" s="9">
        <f>2*(Inputs!$C$9/(Inputs!$C$10^2))*A194</f>
        <v/>
      </c>
      <c r="N194" s="9">
        <f>M194*Inputs!$C$11</f>
        <v/>
      </c>
      <c r="O194" s="9">
        <f>1000*(D195-D193)/(A195-A193)*Inputs!$C$11</f>
        <v/>
      </c>
      <c r="P194" s="9">
        <f>-2*O194/Inputs!$C$13</f>
        <v/>
      </c>
      <c r="Q194" s="9">
        <f>-2*O194/Inputs!$C$14</f>
        <v/>
      </c>
      <c r="R194" s="9">
        <f>F194-Inputs!$C$16/2</f>
        <v/>
      </c>
      <c r="S194" s="9">
        <f>F194+Inputs!$C$16/2</f>
        <v/>
      </c>
      <c r="T194" s="9">
        <f>F194-Inputs!$C$17/2</f>
        <v/>
      </c>
      <c r="U194" s="9">
        <f>F194+Inputs!$C$17/2</f>
        <v/>
      </c>
      <c r="V194" s="9">
        <f>ABS(P194)</f>
        <v/>
      </c>
      <c r="W194" s="9">
        <f>ABS(Q194)</f>
        <v/>
      </c>
      <c r="X194" s="9">
        <f>IF(OR(Inputs!$C$27=TRUE,Inputs!$C$27="TRUE",Inputs!$C$27=1),1,0)*(Inputs!$C$51*(115*EXP(-(((0)-25)^2)/(4.5^2))+70*EXP(-(((0)+38)^2)/(7^2))*(0.55+0.45*SIN(2*PI()*(A194)/45))+24*SIN(2*PI()*(0)/9+(A194)/18)*EXP(-(((0)+5)^2)/(22^2))+18*SIN(2*PI()*(A194)/70))+Inputs!$C$28*EXP(-(((A194)-Inputs!$C$29)^2)/(2*Inputs!$C$31^2))*EXP(-(((0)-Inputs!$C$30)^2)/(2*Inputs!$C$32^2))+-Inputs!$C$33*EXP(-(((((A194)-Inputs!$C$34)^2)+(((0)-Inputs!$C$35)^2))/(2*Inputs!$C$36^2)))+Inputs!$C$37*(0.55*SIN(2*PI()*(A194)/Inputs!$C$39)+0.35*COS(2*PI()*(0)/Inputs!$C$40)+0.2*SIN(2*PI()*((A194)+(0))/(0.5*(Inputs!$C$39+Inputs!$C$40))))+Inputs!$C$38*SIN(2*PI()*(A194)/Inputs!$C$39)*SIN(2*PI()*(0)/Inputs!$C$40)+-Inputs!$C$41*EXP(-(((0)-Inputs!$C$43)^2)/(2*Inputs!$C$44^2))*EXP(-(((A194)-Inputs!$C$42)^2)/(2*Inputs!$C$45^2))+Inputs!$C$48*(0.7*(0.45*SIN(2*PI()*(((A194)/Inputs!$C$49)+Inputs!$C$47*0.137))+0.35*COS(2*PI()*(((0)/Inputs!$C$50)+Inputs!$C$47*0.173))+0.2*SIN(2*PI()*(((A194)+(0))/(0.5*(Inputs!$C$49+Inputs!$C$50))+Inputs!$C$47*0.097)))+0.3*(2*((SIN(((A194)*12.9898+(0)*78.233+Inputs!$C$47*37.719))*43758.5453)-INT((SIN(((A194)*12.9898+(0)*78.233+Inputs!$C$47*37.719))*43758.5453)))-1)))</f>
        <v/>
      </c>
      <c r="Y194" s="9">
        <f>IF(OR(Inputs!$C$27=TRUE,Inputs!$C$27="TRUE",Inputs!$C$27=1),1,0)*(Inputs!$C$51*(115*EXP(-(((Inputs!$C$6)-25)^2)/(4.5^2))+70*EXP(-(((Inputs!$C$6)+38)^2)/(7^2))*(0.55+0.45*SIN(2*PI()*(A194)/45))+24*SIN(2*PI()*(Inputs!$C$6)/9+(A194)/18)*EXP(-(((Inputs!$C$6)+5)^2)/(22^2))+18*SIN(2*PI()*(A194)/70))+Inputs!$C$28*EXP(-(((A194)-Inputs!$C$29)^2)/(2*Inputs!$C$31^2))*EXP(-(((Inputs!$C$6)-Inputs!$C$30)^2)/(2*Inputs!$C$32^2))+-Inputs!$C$33*EXP(-(((((A194)-Inputs!$C$34)^2)+(((Inputs!$C$6)-Inputs!$C$35)^2))/(2*Inputs!$C$36^2)))+Inputs!$C$37*(0.55*SIN(2*PI()*(A194)/Inputs!$C$39)+0.35*COS(2*PI()*(Inputs!$C$6)/Inputs!$C$40)+0.2*SIN(2*PI()*((A194)+(Inputs!$C$6))/(0.5*(Inputs!$C$39+Inputs!$C$40))))+Inputs!$C$38*SIN(2*PI()*(A194)/Inputs!$C$39)*SIN(2*PI()*(Inputs!$C$6)/Inputs!$C$40)+-Inputs!$C$41*EXP(-(((Inputs!$C$6)-Inputs!$C$43)^2)/(2*Inputs!$C$44^2))*EXP(-(((A194)-Inputs!$C$42)^2)/(2*Inputs!$C$45^2))+Inputs!$C$48*(0.7*(0.45*SIN(2*PI()*(((A194)/Inputs!$C$49)+Inputs!$C$47*0.137))+0.35*COS(2*PI()*(((Inputs!$C$6)/Inputs!$C$50)+Inputs!$C$47*0.173))+0.2*SIN(2*PI()*(((A194)+(Inputs!$C$6))/(0.5*(Inputs!$C$49+Inputs!$C$50))+Inputs!$C$47*0.097)))+0.3*(2*((SIN(((A194)*12.9898+(Inputs!$C$6)*78.233+Inputs!$C$47*37.719))*43758.5453)-INT((SIN(((A194)*12.9898+(Inputs!$C$6)*78.233+Inputs!$C$47*37.719))*43758.5453)))-1)))</f>
        <v/>
      </c>
      <c r="Z194" s="9">
        <f>B194-X194/1000</f>
        <v/>
      </c>
      <c r="AA194" s="9">
        <f>SQRT((Inputs!$C$52+B194)^2+(Inputs!$C$52+Y194/1000)^2-2*(Inputs!$C$52+B194)*(Inputs!$C$52+Y194/1000)*COS(SQRT(A194^2+Inputs!$C$6^2)/Inputs!$C$52))</f>
        <v/>
      </c>
      <c r="AB194" s="9">
        <f>(AA194-Z194)*1000</f>
        <v/>
      </c>
      <c r="AC194" s="9">
        <f>AB194/Inputs!$C$12</f>
        <v/>
      </c>
      <c r="AD194" s="9">
        <f>2*AB194/Inputs!$C$21*1000000</f>
        <v/>
      </c>
      <c r="AE194" s="9">
        <f>DEGREES(ATAN(H194/(B194-Y194/1000)))</f>
        <v/>
      </c>
      <c r="AF194" s="9">
        <f>DEGREES((2*PI()/Inputs!$C$13)*Inputs!$C$15*SIN(RADIANS(AE194)))</f>
        <v/>
      </c>
      <c r="AG194" s="9">
        <f>(Z194/AA194)^4</f>
        <v/>
      </c>
      <c r="AH194" s="9">
        <f>10*LOG10(AG194)</f>
        <v/>
      </c>
      <c r="AI194" s="9">
        <f>AC194-F194</f>
        <v/>
      </c>
      <c r="AJ194" s="9">
        <f>AD194-G194</f>
        <v/>
      </c>
      <c r="AK194" s="9">
        <f>Y194-X194</f>
        <v/>
      </c>
      <c r="AL194" s="9">
        <f>1000*(AA195-AA193)/(A195-A193)*Inputs!$C$11</f>
        <v/>
      </c>
      <c r="AM194" s="9">
        <f>-2*AL194/Inputs!$C$13</f>
        <v/>
      </c>
      <c r="AN194" s="9">
        <f>-2*AL194/Inputs!$C$14</f>
        <v/>
      </c>
      <c r="AO194" s="9">
        <f>ABS(AM194)</f>
        <v/>
      </c>
      <c r="AP194" s="9">
        <f>ABS(AN194)</f>
        <v/>
      </c>
      <c r="AQ194" s="9">
        <f>IF(OR(Inputs!$C$27=TRUE,Inputs!$C$27="TRUE",Inputs!$C$27=1),Inputs!$C$46/Inputs!$C$12,0)</f>
        <v/>
      </c>
      <c r="AR194" s="9">
        <f>AC194-AQ194</f>
        <v/>
      </c>
      <c r="AS194" s="9">
        <f>AC194+AQ194</f>
        <v/>
      </c>
    </row>
    <row r="195">
      <c r="A195" s="9">
        <f>Inputs!$C$7+193*(Inputs!$C$8-Inputs!$C$7)/240</f>
        <v/>
      </c>
      <c r="B195" s="9">
        <f>Inputs!$C$5+Inputs!$C$9*(A195/Inputs!$C$10)^2</f>
        <v/>
      </c>
      <c r="C195" s="9">
        <f>B195</f>
        <v/>
      </c>
      <c r="D195" s="9">
        <f>SQRT((Inputs!$C$52+B195)^2+Inputs!$C$52^2-2*(Inputs!$C$52+B195)*Inputs!$C$52*COS(SQRT(A195^2+Inputs!$C$6^2)/Inputs!$C$52))</f>
        <v/>
      </c>
      <c r="E195" s="9">
        <f>(D195-C195)*1000</f>
        <v/>
      </c>
      <c r="F195" s="9">
        <f>E195/Inputs!$C$12</f>
        <v/>
      </c>
      <c r="G195" s="9">
        <f>2*E195/Inputs!$C$21*1000000</f>
        <v/>
      </c>
      <c r="H195" s="9">
        <f>SQRT(A195^2+Inputs!$C$6^2)</f>
        <v/>
      </c>
      <c r="I195" s="9">
        <f>DEGREES(ATAN(H195/B195))</f>
        <v/>
      </c>
      <c r="J195" s="9">
        <f>DEGREES((2*PI()/Inputs!$C$13)*Inputs!$C$15*SIN(RADIANS(I195)))</f>
        <v/>
      </c>
      <c r="K195" s="9">
        <f>(C195/D195)^4</f>
        <v/>
      </c>
      <c r="L195" s="9">
        <f>10*LOG10(K195)</f>
        <v/>
      </c>
      <c r="M195" s="9">
        <f>2*(Inputs!$C$9/(Inputs!$C$10^2))*A195</f>
        <v/>
      </c>
      <c r="N195" s="9">
        <f>M195*Inputs!$C$11</f>
        <v/>
      </c>
      <c r="O195" s="9">
        <f>1000*(D196-D194)/(A196-A194)*Inputs!$C$11</f>
        <v/>
      </c>
      <c r="P195" s="9">
        <f>-2*O195/Inputs!$C$13</f>
        <v/>
      </c>
      <c r="Q195" s="9">
        <f>-2*O195/Inputs!$C$14</f>
        <v/>
      </c>
      <c r="R195" s="9">
        <f>F195-Inputs!$C$16/2</f>
        <v/>
      </c>
      <c r="S195" s="9">
        <f>F195+Inputs!$C$16/2</f>
        <v/>
      </c>
      <c r="T195" s="9">
        <f>F195-Inputs!$C$17/2</f>
        <v/>
      </c>
      <c r="U195" s="9">
        <f>F195+Inputs!$C$17/2</f>
        <v/>
      </c>
      <c r="V195" s="9">
        <f>ABS(P195)</f>
        <v/>
      </c>
      <c r="W195" s="9">
        <f>ABS(Q195)</f>
        <v/>
      </c>
      <c r="X195" s="9">
        <f>IF(OR(Inputs!$C$27=TRUE,Inputs!$C$27="TRUE",Inputs!$C$27=1),1,0)*(Inputs!$C$51*(115*EXP(-(((0)-25)^2)/(4.5^2))+70*EXP(-(((0)+38)^2)/(7^2))*(0.55+0.45*SIN(2*PI()*(A195)/45))+24*SIN(2*PI()*(0)/9+(A195)/18)*EXP(-(((0)+5)^2)/(22^2))+18*SIN(2*PI()*(A195)/70))+Inputs!$C$28*EXP(-(((A195)-Inputs!$C$29)^2)/(2*Inputs!$C$31^2))*EXP(-(((0)-Inputs!$C$30)^2)/(2*Inputs!$C$32^2))+-Inputs!$C$33*EXP(-(((((A195)-Inputs!$C$34)^2)+(((0)-Inputs!$C$35)^2))/(2*Inputs!$C$36^2)))+Inputs!$C$37*(0.55*SIN(2*PI()*(A195)/Inputs!$C$39)+0.35*COS(2*PI()*(0)/Inputs!$C$40)+0.2*SIN(2*PI()*((A195)+(0))/(0.5*(Inputs!$C$39+Inputs!$C$40))))+Inputs!$C$38*SIN(2*PI()*(A195)/Inputs!$C$39)*SIN(2*PI()*(0)/Inputs!$C$40)+-Inputs!$C$41*EXP(-(((0)-Inputs!$C$43)^2)/(2*Inputs!$C$44^2))*EXP(-(((A195)-Inputs!$C$42)^2)/(2*Inputs!$C$45^2))+Inputs!$C$48*(0.7*(0.45*SIN(2*PI()*(((A195)/Inputs!$C$49)+Inputs!$C$47*0.137))+0.35*COS(2*PI()*(((0)/Inputs!$C$50)+Inputs!$C$47*0.173))+0.2*SIN(2*PI()*(((A195)+(0))/(0.5*(Inputs!$C$49+Inputs!$C$50))+Inputs!$C$47*0.097)))+0.3*(2*((SIN(((A195)*12.9898+(0)*78.233+Inputs!$C$47*37.719))*43758.5453)-INT((SIN(((A195)*12.9898+(0)*78.233+Inputs!$C$47*37.719))*43758.5453)))-1)))</f>
        <v/>
      </c>
      <c r="Y195" s="9">
        <f>IF(OR(Inputs!$C$27=TRUE,Inputs!$C$27="TRUE",Inputs!$C$27=1),1,0)*(Inputs!$C$51*(115*EXP(-(((Inputs!$C$6)-25)^2)/(4.5^2))+70*EXP(-(((Inputs!$C$6)+38)^2)/(7^2))*(0.55+0.45*SIN(2*PI()*(A195)/45))+24*SIN(2*PI()*(Inputs!$C$6)/9+(A195)/18)*EXP(-(((Inputs!$C$6)+5)^2)/(22^2))+18*SIN(2*PI()*(A195)/70))+Inputs!$C$28*EXP(-(((A195)-Inputs!$C$29)^2)/(2*Inputs!$C$31^2))*EXP(-(((Inputs!$C$6)-Inputs!$C$30)^2)/(2*Inputs!$C$32^2))+-Inputs!$C$33*EXP(-(((((A195)-Inputs!$C$34)^2)+(((Inputs!$C$6)-Inputs!$C$35)^2))/(2*Inputs!$C$36^2)))+Inputs!$C$37*(0.55*SIN(2*PI()*(A195)/Inputs!$C$39)+0.35*COS(2*PI()*(Inputs!$C$6)/Inputs!$C$40)+0.2*SIN(2*PI()*((A195)+(Inputs!$C$6))/(0.5*(Inputs!$C$39+Inputs!$C$40))))+Inputs!$C$38*SIN(2*PI()*(A195)/Inputs!$C$39)*SIN(2*PI()*(Inputs!$C$6)/Inputs!$C$40)+-Inputs!$C$41*EXP(-(((Inputs!$C$6)-Inputs!$C$43)^2)/(2*Inputs!$C$44^2))*EXP(-(((A195)-Inputs!$C$42)^2)/(2*Inputs!$C$45^2))+Inputs!$C$48*(0.7*(0.45*SIN(2*PI()*(((A195)/Inputs!$C$49)+Inputs!$C$47*0.137))+0.35*COS(2*PI()*(((Inputs!$C$6)/Inputs!$C$50)+Inputs!$C$47*0.173))+0.2*SIN(2*PI()*(((A195)+(Inputs!$C$6))/(0.5*(Inputs!$C$49+Inputs!$C$50))+Inputs!$C$47*0.097)))+0.3*(2*((SIN(((A195)*12.9898+(Inputs!$C$6)*78.233+Inputs!$C$47*37.719))*43758.5453)-INT((SIN(((A195)*12.9898+(Inputs!$C$6)*78.233+Inputs!$C$47*37.719))*43758.5453)))-1)))</f>
        <v/>
      </c>
      <c r="Z195" s="9">
        <f>B195-X195/1000</f>
        <v/>
      </c>
      <c r="AA195" s="9">
        <f>SQRT((Inputs!$C$52+B195)^2+(Inputs!$C$52+Y195/1000)^2-2*(Inputs!$C$52+B195)*(Inputs!$C$52+Y195/1000)*COS(SQRT(A195^2+Inputs!$C$6^2)/Inputs!$C$52))</f>
        <v/>
      </c>
      <c r="AB195" s="9">
        <f>(AA195-Z195)*1000</f>
        <v/>
      </c>
      <c r="AC195" s="9">
        <f>AB195/Inputs!$C$12</f>
        <v/>
      </c>
      <c r="AD195" s="9">
        <f>2*AB195/Inputs!$C$21*1000000</f>
        <v/>
      </c>
      <c r="AE195" s="9">
        <f>DEGREES(ATAN(H195/(B195-Y195/1000)))</f>
        <v/>
      </c>
      <c r="AF195" s="9">
        <f>DEGREES((2*PI()/Inputs!$C$13)*Inputs!$C$15*SIN(RADIANS(AE195)))</f>
        <v/>
      </c>
      <c r="AG195" s="9">
        <f>(Z195/AA195)^4</f>
        <v/>
      </c>
      <c r="AH195" s="9">
        <f>10*LOG10(AG195)</f>
        <v/>
      </c>
      <c r="AI195" s="9">
        <f>AC195-F195</f>
        <v/>
      </c>
      <c r="AJ195" s="9">
        <f>AD195-G195</f>
        <v/>
      </c>
      <c r="AK195" s="9">
        <f>Y195-X195</f>
        <v/>
      </c>
      <c r="AL195" s="9">
        <f>1000*(AA196-AA194)/(A196-A194)*Inputs!$C$11</f>
        <v/>
      </c>
      <c r="AM195" s="9">
        <f>-2*AL195/Inputs!$C$13</f>
        <v/>
      </c>
      <c r="AN195" s="9">
        <f>-2*AL195/Inputs!$C$14</f>
        <v/>
      </c>
      <c r="AO195" s="9">
        <f>ABS(AM195)</f>
        <v/>
      </c>
      <c r="AP195" s="9">
        <f>ABS(AN195)</f>
        <v/>
      </c>
      <c r="AQ195" s="9">
        <f>IF(OR(Inputs!$C$27=TRUE,Inputs!$C$27="TRUE",Inputs!$C$27=1),Inputs!$C$46/Inputs!$C$12,0)</f>
        <v/>
      </c>
      <c r="AR195" s="9">
        <f>AC195-AQ195</f>
        <v/>
      </c>
      <c r="AS195" s="9">
        <f>AC195+AQ195</f>
        <v/>
      </c>
    </row>
    <row r="196">
      <c r="A196" s="9">
        <f>Inputs!$C$7+194*(Inputs!$C$8-Inputs!$C$7)/240</f>
        <v/>
      </c>
      <c r="B196" s="9">
        <f>Inputs!$C$5+Inputs!$C$9*(A196/Inputs!$C$10)^2</f>
        <v/>
      </c>
      <c r="C196" s="9">
        <f>B196</f>
        <v/>
      </c>
      <c r="D196" s="9">
        <f>SQRT((Inputs!$C$52+B196)^2+Inputs!$C$52^2-2*(Inputs!$C$52+B196)*Inputs!$C$52*COS(SQRT(A196^2+Inputs!$C$6^2)/Inputs!$C$52))</f>
        <v/>
      </c>
      <c r="E196" s="9">
        <f>(D196-C196)*1000</f>
        <v/>
      </c>
      <c r="F196" s="9">
        <f>E196/Inputs!$C$12</f>
        <v/>
      </c>
      <c r="G196" s="9">
        <f>2*E196/Inputs!$C$21*1000000</f>
        <v/>
      </c>
      <c r="H196" s="9">
        <f>SQRT(A196^2+Inputs!$C$6^2)</f>
        <v/>
      </c>
      <c r="I196" s="9">
        <f>DEGREES(ATAN(H196/B196))</f>
        <v/>
      </c>
      <c r="J196" s="9">
        <f>DEGREES((2*PI()/Inputs!$C$13)*Inputs!$C$15*SIN(RADIANS(I196)))</f>
        <v/>
      </c>
      <c r="K196" s="9">
        <f>(C196/D196)^4</f>
        <v/>
      </c>
      <c r="L196" s="9">
        <f>10*LOG10(K196)</f>
        <v/>
      </c>
      <c r="M196" s="9">
        <f>2*(Inputs!$C$9/(Inputs!$C$10^2))*A196</f>
        <v/>
      </c>
      <c r="N196" s="9">
        <f>M196*Inputs!$C$11</f>
        <v/>
      </c>
      <c r="O196" s="9">
        <f>1000*(D197-D195)/(A197-A195)*Inputs!$C$11</f>
        <v/>
      </c>
      <c r="P196" s="9">
        <f>-2*O196/Inputs!$C$13</f>
        <v/>
      </c>
      <c r="Q196" s="9">
        <f>-2*O196/Inputs!$C$14</f>
        <v/>
      </c>
      <c r="R196" s="9">
        <f>F196-Inputs!$C$16/2</f>
        <v/>
      </c>
      <c r="S196" s="9">
        <f>F196+Inputs!$C$16/2</f>
        <v/>
      </c>
      <c r="T196" s="9">
        <f>F196-Inputs!$C$17/2</f>
        <v/>
      </c>
      <c r="U196" s="9">
        <f>F196+Inputs!$C$17/2</f>
        <v/>
      </c>
      <c r="V196" s="9">
        <f>ABS(P196)</f>
        <v/>
      </c>
      <c r="W196" s="9">
        <f>ABS(Q196)</f>
        <v/>
      </c>
      <c r="X196" s="9">
        <f>IF(OR(Inputs!$C$27=TRUE,Inputs!$C$27="TRUE",Inputs!$C$27=1),1,0)*(Inputs!$C$51*(115*EXP(-(((0)-25)^2)/(4.5^2))+70*EXP(-(((0)+38)^2)/(7^2))*(0.55+0.45*SIN(2*PI()*(A196)/45))+24*SIN(2*PI()*(0)/9+(A196)/18)*EXP(-(((0)+5)^2)/(22^2))+18*SIN(2*PI()*(A196)/70))+Inputs!$C$28*EXP(-(((A196)-Inputs!$C$29)^2)/(2*Inputs!$C$31^2))*EXP(-(((0)-Inputs!$C$30)^2)/(2*Inputs!$C$32^2))+-Inputs!$C$33*EXP(-(((((A196)-Inputs!$C$34)^2)+(((0)-Inputs!$C$35)^2))/(2*Inputs!$C$36^2)))+Inputs!$C$37*(0.55*SIN(2*PI()*(A196)/Inputs!$C$39)+0.35*COS(2*PI()*(0)/Inputs!$C$40)+0.2*SIN(2*PI()*((A196)+(0))/(0.5*(Inputs!$C$39+Inputs!$C$40))))+Inputs!$C$38*SIN(2*PI()*(A196)/Inputs!$C$39)*SIN(2*PI()*(0)/Inputs!$C$40)+-Inputs!$C$41*EXP(-(((0)-Inputs!$C$43)^2)/(2*Inputs!$C$44^2))*EXP(-(((A196)-Inputs!$C$42)^2)/(2*Inputs!$C$45^2))+Inputs!$C$48*(0.7*(0.45*SIN(2*PI()*(((A196)/Inputs!$C$49)+Inputs!$C$47*0.137))+0.35*COS(2*PI()*(((0)/Inputs!$C$50)+Inputs!$C$47*0.173))+0.2*SIN(2*PI()*(((A196)+(0))/(0.5*(Inputs!$C$49+Inputs!$C$50))+Inputs!$C$47*0.097)))+0.3*(2*((SIN(((A196)*12.9898+(0)*78.233+Inputs!$C$47*37.719))*43758.5453)-INT((SIN(((A196)*12.9898+(0)*78.233+Inputs!$C$47*37.719))*43758.5453)))-1)))</f>
        <v/>
      </c>
      <c r="Y196" s="9">
        <f>IF(OR(Inputs!$C$27=TRUE,Inputs!$C$27="TRUE",Inputs!$C$27=1),1,0)*(Inputs!$C$51*(115*EXP(-(((Inputs!$C$6)-25)^2)/(4.5^2))+70*EXP(-(((Inputs!$C$6)+38)^2)/(7^2))*(0.55+0.45*SIN(2*PI()*(A196)/45))+24*SIN(2*PI()*(Inputs!$C$6)/9+(A196)/18)*EXP(-(((Inputs!$C$6)+5)^2)/(22^2))+18*SIN(2*PI()*(A196)/70))+Inputs!$C$28*EXP(-(((A196)-Inputs!$C$29)^2)/(2*Inputs!$C$31^2))*EXP(-(((Inputs!$C$6)-Inputs!$C$30)^2)/(2*Inputs!$C$32^2))+-Inputs!$C$33*EXP(-(((((A196)-Inputs!$C$34)^2)+(((Inputs!$C$6)-Inputs!$C$35)^2))/(2*Inputs!$C$36^2)))+Inputs!$C$37*(0.55*SIN(2*PI()*(A196)/Inputs!$C$39)+0.35*COS(2*PI()*(Inputs!$C$6)/Inputs!$C$40)+0.2*SIN(2*PI()*((A196)+(Inputs!$C$6))/(0.5*(Inputs!$C$39+Inputs!$C$40))))+Inputs!$C$38*SIN(2*PI()*(A196)/Inputs!$C$39)*SIN(2*PI()*(Inputs!$C$6)/Inputs!$C$40)+-Inputs!$C$41*EXP(-(((Inputs!$C$6)-Inputs!$C$43)^2)/(2*Inputs!$C$44^2))*EXP(-(((A196)-Inputs!$C$42)^2)/(2*Inputs!$C$45^2))+Inputs!$C$48*(0.7*(0.45*SIN(2*PI()*(((A196)/Inputs!$C$49)+Inputs!$C$47*0.137))+0.35*COS(2*PI()*(((Inputs!$C$6)/Inputs!$C$50)+Inputs!$C$47*0.173))+0.2*SIN(2*PI()*(((A196)+(Inputs!$C$6))/(0.5*(Inputs!$C$49+Inputs!$C$50))+Inputs!$C$47*0.097)))+0.3*(2*((SIN(((A196)*12.9898+(Inputs!$C$6)*78.233+Inputs!$C$47*37.719))*43758.5453)-INT((SIN(((A196)*12.9898+(Inputs!$C$6)*78.233+Inputs!$C$47*37.719))*43758.5453)))-1)))</f>
        <v/>
      </c>
      <c r="Z196" s="9">
        <f>B196-X196/1000</f>
        <v/>
      </c>
      <c r="AA196" s="9">
        <f>SQRT((Inputs!$C$52+B196)^2+(Inputs!$C$52+Y196/1000)^2-2*(Inputs!$C$52+B196)*(Inputs!$C$52+Y196/1000)*COS(SQRT(A196^2+Inputs!$C$6^2)/Inputs!$C$52))</f>
        <v/>
      </c>
      <c r="AB196" s="9">
        <f>(AA196-Z196)*1000</f>
        <v/>
      </c>
      <c r="AC196" s="9">
        <f>AB196/Inputs!$C$12</f>
        <v/>
      </c>
      <c r="AD196" s="9">
        <f>2*AB196/Inputs!$C$21*1000000</f>
        <v/>
      </c>
      <c r="AE196" s="9">
        <f>DEGREES(ATAN(H196/(B196-Y196/1000)))</f>
        <v/>
      </c>
      <c r="AF196" s="9">
        <f>DEGREES((2*PI()/Inputs!$C$13)*Inputs!$C$15*SIN(RADIANS(AE196)))</f>
        <v/>
      </c>
      <c r="AG196" s="9">
        <f>(Z196/AA196)^4</f>
        <v/>
      </c>
      <c r="AH196" s="9">
        <f>10*LOG10(AG196)</f>
        <v/>
      </c>
      <c r="AI196" s="9">
        <f>AC196-F196</f>
        <v/>
      </c>
      <c r="AJ196" s="9">
        <f>AD196-G196</f>
        <v/>
      </c>
      <c r="AK196" s="9">
        <f>Y196-X196</f>
        <v/>
      </c>
      <c r="AL196" s="9">
        <f>1000*(AA197-AA195)/(A197-A195)*Inputs!$C$11</f>
        <v/>
      </c>
      <c r="AM196" s="9">
        <f>-2*AL196/Inputs!$C$13</f>
        <v/>
      </c>
      <c r="AN196" s="9">
        <f>-2*AL196/Inputs!$C$14</f>
        <v/>
      </c>
      <c r="AO196" s="9">
        <f>ABS(AM196)</f>
        <v/>
      </c>
      <c r="AP196" s="9">
        <f>ABS(AN196)</f>
        <v/>
      </c>
      <c r="AQ196" s="9">
        <f>IF(OR(Inputs!$C$27=TRUE,Inputs!$C$27="TRUE",Inputs!$C$27=1),Inputs!$C$46/Inputs!$C$12,0)</f>
        <v/>
      </c>
      <c r="AR196" s="9">
        <f>AC196-AQ196</f>
        <v/>
      </c>
      <c r="AS196" s="9">
        <f>AC196+AQ196</f>
        <v/>
      </c>
    </row>
    <row r="197">
      <c r="A197" s="9">
        <f>Inputs!$C$7+195*(Inputs!$C$8-Inputs!$C$7)/240</f>
        <v/>
      </c>
      <c r="B197" s="9">
        <f>Inputs!$C$5+Inputs!$C$9*(A197/Inputs!$C$10)^2</f>
        <v/>
      </c>
      <c r="C197" s="9">
        <f>B197</f>
        <v/>
      </c>
      <c r="D197" s="9">
        <f>SQRT((Inputs!$C$52+B197)^2+Inputs!$C$52^2-2*(Inputs!$C$52+B197)*Inputs!$C$52*COS(SQRT(A197^2+Inputs!$C$6^2)/Inputs!$C$52))</f>
        <v/>
      </c>
      <c r="E197" s="9">
        <f>(D197-C197)*1000</f>
        <v/>
      </c>
      <c r="F197" s="9">
        <f>E197/Inputs!$C$12</f>
        <v/>
      </c>
      <c r="G197" s="9">
        <f>2*E197/Inputs!$C$21*1000000</f>
        <v/>
      </c>
      <c r="H197" s="9">
        <f>SQRT(A197^2+Inputs!$C$6^2)</f>
        <v/>
      </c>
      <c r="I197" s="9">
        <f>DEGREES(ATAN(H197/B197))</f>
        <v/>
      </c>
      <c r="J197" s="9">
        <f>DEGREES((2*PI()/Inputs!$C$13)*Inputs!$C$15*SIN(RADIANS(I197)))</f>
        <v/>
      </c>
      <c r="K197" s="9">
        <f>(C197/D197)^4</f>
        <v/>
      </c>
      <c r="L197" s="9">
        <f>10*LOG10(K197)</f>
        <v/>
      </c>
      <c r="M197" s="9">
        <f>2*(Inputs!$C$9/(Inputs!$C$10^2))*A197</f>
        <v/>
      </c>
      <c r="N197" s="9">
        <f>M197*Inputs!$C$11</f>
        <v/>
      </c>
      <c r="O197" s="9">
        <f>1000*(D198-D196)/(A198-A196)*Inputs!$C$11</f>
        <v/>
      </c>
      <c r="P197" s="9">
        <f>-2*O197/Inputs!$C$13</f>
        <v/>
      </c>
      <c r="Q197" s="9">
        <f>-2*O197/Inputs!$C$14</f>
        <v/>
      </c>
      <c r="R197" s="9">
        <f>F197-Inputs!$C$16/2</f>
        <v/>
      </c>
      <c r="S197" s="9">
        <f>F197+Inputs!$C$16/2</f>
        <v/>
      </c>
      <c r="T197" s="9">
        <f>F197-Inputs!$C$17/2</f>
        <v/>
      </c>
      <c r="U197" s="9">
        <f>F197+Inputs!$C$17/2</f>
        <v/>
      </c>
      <c r="V197" s="9">
        <f>ABS(P197)</f>
        <v/>
      </c>
      <c r="W197" s="9">
        <f>ABS(Q197)</f>
        <v/>
      </c>
      <c r="X197" s="9">
        <f>IF(OR(Inputs!$C$27=TRUE,Inputs!$C$27="TRUE",Inputs!$C$27=1),1,0)*(Inputs!$C$51*(115*EXP(-(((0)-25)^2)/(4.5^2))+70*EXP(-(((0)+38)^2)/(7^2))*(0.55+0.45*SIN(2*PI()*(A197)/45))+24*SIN(2*PI()*(0)/9+(A197)/18)*EXP(-(((0)+5)^2)/(22^2))+18*SIN(2*PI()*(A197)/70))+Inputs!$C$28*EXP(-(((A197)-Inputs!$C$29)^2)/(2*Inputs!$C$31^2))*EXP(-(((0)-Inputs!$C$30)^2)/(2*Inputs!$C$32^2))+-Inputs!$C$33*EXP(-(((((A197)-Inputs!$C$34)^2)+(((0)-Inputs!$C$35)^2))/(2*Inputs!$C$36^2)))+Inputs!$C$37*(0.55*SIN(2*PI()*(A197)/Inputs!$C$39)+0.35*COS(2*PI()*(0)/Inputs!$C$40)+0.2*SIN(2*PI()*((A197)+(0))/(0.5*(Inputs!$C$39+Inputs!$C$40))))+Inputs!$C$38*SIN(2*PI()*(A197)/Inputs!$C$39)*SIN(2*PI()*(0)/Inputs!$C$40)+-Inputs!$C$41*EXP(-(((0)-Inputs!$C$43)^2)/(2*Inputs!$C$44^2))*EXP(-(((A197)-Inputs!$C$42)^2)/(2*Inputs!$C$45^2))+Inputs!$C$48*(0.7*(0.45*SIN(2*PI()*(((A197)/Inputs!$C$49)+Inputs!$C$47*0.137))+0.35*COS(2*PI()*(((0)/Inputs!$C$50)+Inputs!$C$47*0.173))+0.2*SIN(2*PI()*(((A197)+(0))/(0.5*(Inputs!$C$49+Inputs!$C$50))+Inputs!$C$47*0.097)))+0.3*(2*((SIN(((A197)*12.9898+(0)*78.233+Inputs!$C$47*37.719))*43758.5453)-INT((SIN(((A197)*12.9898+(0)*78.233+Inputs!$C$47*37.719))*43758.5453)))-1)))</f>
        <v/>
      </c>
      <c r="Y197" s="9">
        <f>IF(OR(Inputs!$C$27=TRUE,Inputs!$C$27="TRUE",Inputs!$C$27=1),1,0)*(Inputs!$C$51*(115*EXP(-(((Inputs!$C$6)-25)^2)/(4.5^2))+70*EXP(-(((Inputs!$C$6)+38)^2)/(7^2))*(0.55+0.45*SIN(2*PI()*(A197)/45))+24*SIN(2*PI()*(Inputs!$C$6)/9+(A197)/18)*EXP(-(((Inputs!$C$6)+5)^2)/(22^2))+18*SIN(2*PI()*(A197)/70))+Inputs!$C$28*EXP(-(((A197)-Inputs!$C$29)^2)/(2*Inputs!$C$31^2))*EXP(-(((Inputs!$C$6)-Inputs!$C$30)^2)/(2*Inputs!$C$32^2))+-Inputs!$C$33*EXP(-(((((A197)-Inputs!$C$34)^2)+(((Inputs!$C$6)-Inputs!$C$35)^2))/(2*Inputs!$C$36^2)))+Inputs!$C$37*(0.55*SIN(2*PI()*(A197)/Inputs!$C$39)+0.35*COS(2*PI()*(Inputs!$C$6)/Inputs!$C$40)+0.2*SIN(2*PI()*((A197)+(Inputs!$C$6))/(0.5*(Inputs!$C$39+Inputs!$C$40))))+Inputs!$C$38*SIN(2*PI()*(A197)/Inputs!$C$39)*SIN(2*PI()*(Inputs!$C$6)/Inputs!$C$40)+-Inputs!$C$41*EXP(-(((Inputs!$C$6)-Inputs!$C$43)^2)/(2*Inputs!$C$44^2))*EXP(-(((A197)-Inputs!$C$42)^2)/(2*Inputs!$C$45^2))+Inputs!$C$48*(0.7*(0.45*SIN(2*PI()*(((A197)/Inputs!$C$49)+Inputs!$C$47*0.137))+0.35*COS(2*PI()*(((Inputs!$C$6)/Inputs!$C$50)+Inputs!$C$47*0.173))+0.2*SIN(2*PI()*(((A197)+(Inputs!$C$6))/(0.5*(Inputs!$C$49+Inputs!$C$50))+Inputs!$C$47*0.097)))+0.3*(2*((SIN(((A197)*12.9898+(Inputs!$C$6)*78.233+Inputs!$C$47*37.719))*43758.5453)-INT((SIN(((A197)*12.9898+(Inputs!$C$6)*78.233+Inputs!$C$47*37.719))*43758.5453)))-1)))</f>
        <v/>
      </c>
      <c r="Z197" s="9">
        <f>B197-X197/1000</f>
        <v/>
      </c>
      <c r="AA197" s="9">
        <f>SQRT((Inputs!$C$52+B197)^2+(Inputs!$C$52+Y197/1000)^2-2*(Inputs!$C$52+B197)*(Inputs!$C$52+Y197/1000)*COS(SQRT(A197^2+Inputs!$C$6^2)/Inputs!$C$52))</f>
        <v/>
      </c>
      <c r="AB197" s="9">
        <f>(AA197-Z197)*1000</f>
        <v/>
      </c>
      <c r="AC197" s="9">
        <f>AB197/Inputs!$C$12</f>
        <v/>
      </c>
      <c r="AD197" s="9">
        <f>2*AB197/Inputs!$C$21*1000000</f>
        <v/>
      </c>
      <c r="AE197" s="9">
        <f>DEGREES(ATAN(H197/(B197-Y197/1000)))</f>
        <v/>
      </c>
      <c r="AF197" s="9">
        <f>DEGREES((2*PI()/Inputs!$C$13)*Inputs!$C$15*SIN(RADIANS(AE197)))</f>
        <v/>
      </c>
      <c r="AG197" s="9">
        <f>(Z197/AA197)^4</f>
        <v/>
      </c>
      <c r="AH197" s="9">
        <f>10*LOG10(AG197)</f>
        <v/>
      </c>
      <c r="AI197" s="9">
        <f>AC197-F197</f>
        <v/>
      </c>
      <c r="AJ197" s="9">
        <f>AD197-G197</f>
        <v/>
      </c>
      <c r="AK197" s="9">
        <f>Y197-X197</f>
        <v/>
      </c>
      <c r="AL197" s="9">
        <f>1000*(AA198-AA196)/(A198-A196)*Inputs!$C$11</f>
        <v/>
      </c>
      <c r="AM197" s="9">
        <f>-2*AL197/Inputs!$C$13</f>
        <v/>
      </c>
      <c r="AN197" s="9">
        <f>-2*AL197/Inputs!$C$14</f>
        <v/>
      </c>
      <c r="AO197" s="9">
        <f>ABS(AM197)</f>
        <v/>
      </c>
      <c r="AP197" s="9">
        <f>ABS(AN197)</f>
        <v/>
      </c>
      <c r="AQ197" s="9">
        <f>IF(OR(Inputs!$C$27=TRUE,Inputs!$C$27="TRUE",Inputs!$C$27=1),Inputs!$C$46/Inputs!$C$12,0)</f>
        <v/>
      </c>
      <c r="AR197" s="9">
        <f>AC197-AQ197</f>
        <v/>
      </c>
      <c r="AS197" s="9">
        <f>AC197+AQ197</f>
        <v/>
      </c>
    </row>
    <row r="198">
      <c r="A198" s="9">
        <f>Inputs!$C$7+196*(Inputs!$C$8-Inputs!$C$7)/240</f>
        <v/>
      </c>
      <c r="B198" s="9">
        <f>Inputs!$C$5+Inputs!$C$9*(A198/Inputs!$C$10)^2</f>
        <v/>
      </c>
      <c r="C198" s="9">
        <f>B198</f>
        <v/>
      </c>
      <c r="D198" s="9">
        <f>SQRT((Inputs!$C$52+B198)^2+Inputs!$C$52^2-2*(Inputs!$C$52+B198)*Inputs!$C$52*COS(SQRT(A198^2+Inputs!$C$6^2)/Inputs!$C$52))</f>
        <v/>
      </c>
      <c r="E198" s="9">
        <f>(D198-C198)*1000</f>
        <v/>
      </c>
      <c r="F198" s="9">
        <f>E198/Inputs!$C$12</f>
        <v/>
      </c>
      <c r="G198" s="9">
        <f>2*E198/Inputs!$C$21*1000000</f>
        <v/>
      </c>
      <c r="H198" s="9">
        <f>SQRT(A198^2+Inputs!$C$6^2)</f>
        <v/>
      </c>
      <c r="I198" s="9">
        <f>DEGREES(ATAN(H198/B198))</f>
        <v/>
      </c>
      <c r="J198" s="9">
        <f>DEGREES((2*PI()/Inputs!$C$13)*Inputs!$C$15*SIN(RADIANS(I198)))</f>
        <v/>
      </c>
      <c r="K198" s="9">
        <f>(C198/D198)^4</f>
        <v/>
      </c>
      <c r="L198" s="9">
        <f>10*LOG10(K198)</f>
        <v/>
      </c>
      <c r="M198" s="9">
        <f>2*(Inputs!$C$9/(Inputs!$C$10^2))*A198</f>
        <v/>
      </c>
      <c r="N198" s="9">
        <f>M198*Inputs!$C$11</f>
        <v/>
      </c>
      <c r="O198" s="9">
        <f>1000*(D199-D197)/(A199-A197)*Inputs!$C$11</f>
        <v/>
      </c>
      <c r="P198" s="9">
        <f>-2*O198/Inputs!$C$13</f>
        <v/>
      </c>
      <c r="Q198" s="9">
        <f>-2*O198/Inputs!$C$14</f>
        <v/>
      </c>
      <c r="R198" s="9">
        <f>F198-Inputs!$C$16/2</f>
        <v/>
      </c>
      <c r="S198" s="9">
        <f>F198+Inputs!$C$16/2</f>
        <v/>
      </c>
      <c r="T198" s="9">
        <f>F198-Inputs!$C$17/2</f>
        <v/>
      </c>
      <c r="U198" s="9">
        <f>F198+Inputs!$C$17/2</f>
        <v/>
      </c>
      <c r="V198" s="9">
        <f>ABS(P198)</f>
        <v/>
      </c>
      <c r="W198" s="9">
        <f>ABS(Q198)</f>
        <v/>
      </c>
      <c r="X198" s="9">
        <f>IF(OR(Inputs!$C$27=TRUE,Inputs!$C$27="TRUE",Inputs!$C$27=1),1,0)*(Inputs!$C$51*(115*EXP(-(((0)-25)^2)/(4.5^2))+70*EXP(-(((0)+38)^2)/(7^2))*(0.55+0.45*SIN(2*PI()*(A198)/45))+24*SIN(2*PI()*(0)/9+(A198)/18)*EXP(-(((0)+5)^2)/(22^2))+18*SIN(2*PI()*(A198)/70))+Inputs!$C$28*EXP(-(((A198)-Inputs!$C$29)^2)/(2*Inputs!$C$31^2))*EXP(-(((0)-Inputs!$C$30)^2)/(2*Inputs!$C$32^2))+-Inputs!$C$33*EXP(-(((((A198)-Inputs!$C$34)^2)+(((0)-Inputs!$C$35)^2))/(2*Inputs!$C$36^2)))+Inputs!$C$37*(0.55*SIN(2*PI()*(A198)/Inputs!$C$39)+0.35*COS(2*PI()*(0)/Inputs!$C$40)+0.2*SIN(2*PI()*((A198)+(0))/(0.5*(Inputs!$C$39+Inputs!$C$40))))+Inputs!$C$38*SIN(2*PI()*(A198)/Inputs!$C$39)*SIN(2*PI()*(0)/Inputs!$C$40)+-Inputs!$C$41*EXP(-(((0)-Inputs!$C$43)^2)/(2*Inputs!$C$44^2))*EXP(-(((A198)-Inputs!$C$42)^2)/(2*Inputs!$C$45^2))+Inputs!$C$48*(0.7*(0.45*SIN(2*PI()*(((A198)/Inputs!$C$49)+Inputs!$C$47*0.137))+0.35*COS(2*PI()*(((0)/Inputs!$C$50)+Inputs!$C$47*0.173))+0.2*SIN(2*PI()*(((A198)+(0))/(0.5*(Inputs!$C$49+Inputs!$C$50))+Inputs!$C$47*0.097)))+0.3*(2*((SIN(((A198)*12.9898+(0)*78.233+Inputs!$C$47*37.719))*43758.5453)-INT((SIN(((A198)*12.9898+(0)*78.233+Inputs!$C$47*37.719))*43758.5453)))-1)))</f>
        <v/>
      </c>
      <c r="Y198" s="9">
        <f>IF(OR(Inputs!$C$27=TRUE,Inputs!$C$27="TRUE",Inputs!$C$27=1),1,0)*(Inputs!$C$51*(115*EXP(-(((Inputs!$C$6)-25)^2)/(4.5^2))+70*EXP(-(((Inputs!$C$6)+38)^2)/(7^2))*(0.55+0.45*SIN(2*PI()*(A198)/45))+24*SIN(2*PI()*(Inputs!$C$6)/9+(A198)/18)*EXP(-(((Inputs!$C$6)+5)^2)/(22^2))+18*SIN(2*PI()*(A198)/70))+Inputs!$C$28*EXP(-(((A198)-Inputs!$C$29)^2)/(2*Inputs!$C$31^2))*EXP(-(((Inputs!$C$6)-Inputs!$C$30)^2)/(2*Inputs!$C$32^2))+-Inputs!$C$33*EXP(-(((((A198)-Inputs!$C$34)^2)+(((Inputs!$C$6)-Inputs!$C$35)^2))/(2*Inputs!$C$36^2)))+Inputs!$C$37*(0.55*SIN(2*PI()*(A198)/Inputs!$C$39)+0.35*COS(2*PI()*(Inputs!$C$6)/Inputs!$C$40)+0.2*SIN(2*PI()*((A198)+(Inputs!$C$6))/(0.5*(Inputs!$C$39+Inputs!$C$40))))+Inputs!$C$38*SIN(2*PI()*(A198)/Inputs!$C$39)*SIN(2*PI()*(Inputs!$C$6)/Inputs!$C$40)+-Inputs!$C$41*EXP(-(((Inputs!$C$6)-Inputs!$C$43)^2)/(2*Inputs!$C$44^2))*EXP(-(((A198)-Inputs!$C$42)^2)/(2*Inputs!$C$45^2))+Inputs!$C$48*(0.7*(0.45*SIN(2*PI()*(((A198)/Inputs!$C$49)+Inputs!$C$47*0.137))+0.35*COS(2*PI()*(((Inputs!$C$6)/Inputs!$C$50)+Inputs!$C$47*0.173))+0.2*SIN(2*PI()*(((A198)+(Inputs!$C$6))/(0.5*(Inputs!$C$49+Inputs!$C$50))+Inputs!$C$47*0.097)))+0.3*(2*((SIN(((A198)*12.9898+(Inputs!$C$6)*78.233+Inputs!$C$47*37.719))*43758.5453)-INT((SIN(((A198)*12.9898+(Inputs!$C$6)*78.233+Inputs!$C$47*37.719))*43758.5453)))-1)))</f>
        <v/>
      </c>
      <c r="Z198" s="9">
        <f>B198-X198/1000</f>
        <v/>
      </c>
      <c r="AA198" s="9">
        <f>SQRT((Inputs!$C$52+B198)^2+(Inputs!$C$52+Y198/1000)^2-2*(Inputs!$C$52+B198)*(Inputs!$C$52+Y198/1000)*COS(SQRT(A198^2+Inputs!$C$6^2)/Inputs!$C$52))</f>
        <v/>
      </c>
      <c r="AB198" s="9">
        <f>(AA198-Z198)*1000</f>
        <v/>
      </c>
      <c r="AC198" s="9">
        <f>AB198/Inputs!$C$12</f>
        <v/>
      </c>
      <c r="AD198" s="9">
        <f>2*AB198/Inputs!$C$21*1000000</f>
        <v/>
      </c>
      <c r="AE198" s="9">
        <f>DEGREES(ATAN(H198/(B198-Y198/1000)))</f>
        <v/>
      </c>
      <c r="AF198" s="9">
        <f>DEGREES((2*PI()/Inputs!$C$13)*Inputs!$C$15*SIN(RADIANS(AE198)))</f>
        <v/>
      </c>
      <c r="AG198" s="9">
        <f>(Z198/AA198)^4</f>
        <v/>
      </c>
      <c r="AH198" s="9">
        <f>10*LOG10(AG198)</f>
        <v/>
      </c>
      <c r="AI198" s="9">
        <f>AC198-F198</f>
        <v/>
      </c>
      <c r="AJ198" s="9">
        <f>AD198-G198</f>
        <v/>
      </c>
      <c r="AK198" s="9">
        <f>Y198-X198</f>
        <v/>
      </c>
      <c r="AL198" s="9">
        <f>1000*(AA199-AA197)/(A199-A197)*Inputs!$C$11</f>
        <v/>
      </c>
      <c r="AM198" s="9">
        <f>-2*AL198/Inputs!$C$13</f>
        <v/>
      </c>
      <c r="AN198" s="9">
        <f>-2*AL198/Inputs!$C$14</f>
        <v/>
      </c>
      <c r="AO198" s="9">
        <f>ABS(AM198)</f>
        <v/>
      </c>
      <c r="AP198" s="9">
        <f>ABS(AN198)</f>
        <v/>
      </c>
      <c r="AQ198" s="9">
        <f>IF(OR(Inputs!$C$27=TRUE,Inputs!$C$27="TRUE",Inputs!$C$27=1),Inputs!$C$46/Inputs!$C$12,0)</f>
        <v/>
      </c>
      <c r="AR198" s="9">
        <f>AC198-AQ198</f>
        <v/>
      </c>
      <c r="AS198" s="9">
        <f>AC198+AQ198</f>
        <v/>
      </c>
    </row>
    <row r="199">
      <c r="A199" s="9">
        <f>Inputs!$C$7+197*(Inputs!$C$8-Inputs!$C$7)/240</f>
        <v/>
      </c>
      <c r="B199" s="9">
        <f>Inputs!$C$5+Inputs!$C$9*(A199/Inputs!$C$10)^2</f>
        <v/>
      </c>
      <c r="C199" s="9">
        <f>B199</f>
        <v/>
      </c>
      <c r="D199" s="9">
        <f>SQRT((Inputs!$C$52+B199)^2+Inputs!$C$52^2-2*(Inputs!$C$52+B199)*Inputs!$C$52*COS(SQRT(A199^2+Inputs!$C$6^2)/Inputs!$C$52))</f>
        <v/>
      </c>
      <c r="E199" s="9">
        <f>(D199-C199)*1000</f>
        <v/>
      </c>
      <c r="F199" s="9">
        <f>E199/Inputs!$C$12</f>
        <v/>
      </c>
      <c r="G199" s="9">
        <f>2*E199/Inputs!$C$21*1000000</f>
        <v/>
      </c>
      <c r="H199" s="9">
        <f>SQRT(A199^2+Inputs!$C$6^2)</f>
        <v/>
      </c>
      <c r="I199" s="9">
        <f>DEGREES(ATAN(H199/B199))</f>
        <v/>
      </c>
      <c r="J199" s="9">
        <f>DEGREES((2*PI()/Inputs!$C$13)*Inputs!$C$15*SIN(RADIANS(I199)))</f>
        <v/>
      </c>
      <c r="K199" s="9">
        <f>(C199/D199)^4</f>
        <v/>
      </c>
      <c r="L199" s="9">
        <f>10*LOG10(K199)</f>
        <v/>
      </c>
      <c r="M199" s="9">
        <f>2*(Inputs!$C$9/(Inputs!$C$10^2))*A199</f>
        <v/>
      </c>
      <c r="N199" s="9">
        <f>M199*Inputs!$C$11</f>
        <v/>
      </c>
      <c r="O199" s="9">
        <f>1000*(D200-D198)/(A200-A198)*Inputs!$C$11</f>
        <v/>
      </c>
      <c r="P199" s="9">
        <f>-2*O199/Inputs!$C$13</f>
        <v/>
      </c>
      <c r="Q199" s="9">
        <f>-2*O199/Inputs!$C$14</f>
        <v/>
      </c>
      <c r="R199" s="9">
        <f>F199-Inputs!$C$16/2</f>
        <v/>
      </c>
      <c r="S199" s="9">
        <f>F199+Inputs!$C$16/2</f>
        <v/>
      </c>
      <c r="T199" s="9">
        <f>F199-Inputs!$C$17/2</f>
        <v/>
      </c>
      <c r="U199" s="9">
        <f>F199+Inputs!$C$17/2</f>
        <v/>
      </c>
      <c r="V199" s="9">
        <f>ABS(P199)</f>
        <v/>
      </c>
      <c r="W199" s="9">
        <f>ABS(Q199)</f>
        <v/>
      </c>
      <c r="X199" s="9">
        <f>IF(OR(Inputs!$C$27=TRUE,Inputs!$C$27="TRUE",Inputs!$C$27=1),1,0)*(Inputs!$C$51*(115*EXP(-(((0)-25)^2)/(4.5^2))+70*EXP(-(((0)+38)^2)/(7^2))*(0.55+0.45*SIN(2*PI()*(A199)/45))+24*SIN(2*PI()*(0)/9+(A199)/18)*EXP(-(((0)+5)^2)/(22^2))+18*SIN(2*PI()*(A199)/70))+Inputs!$C$28*EXP(-(((A199)-Inputs!$C$29)^2)/(2*Inputs!$C$31^2))*EXP(-(((0)-Inputs!$C$30)^2)/(2*Inputs!$C$32^2))+-Inputs!$C$33*EXP(-(((((A199)-Inputs!$C$34)^2)+(((0)-Inputs!$C$35)^2))/(2*Inputs!$C$36^2)))+Inputs!$C$37*(0.55*SIN(2*PI()*(A199)/Inputs!$C$39)+0.35*COS(2*PI()*(0)/Inputs!$C$40)+0.2*SIN(2*PI()*((A199)+(0))/(0.5*(Inputs!$C$39+Inputs!$C$40))))+Inputs!$C$38*SIN(2*PI()*(A199)/Inputs!$C$39)*SIN(2*PI()*(0)/Inputs!$C$40)+-Inputs!$C$41*EXP(-(((0)-Inputs!$C$43)^2)/(2*Inputs!$C$44^2))*EXP(-(((A199)-Inputs!$C$42)^2)/(2*Inputs!$C$45^2))+Inputs!$C$48*(0.7*(0.45*SIN(2*PI()*(((A199)/Inputs!$C$49)+Inputs!$C$47*0.137))+0.35*COS(2*PI()*(((0)/Inputs!$C$50)+Inputs!$C$47*0.173))+0.2*SIN(2*PI()*(((A199)+(0))/(0.5*(Inputs!$C$49+Inputs!$C$50))+Inputs!$C$47*0.097)))+0.3*(2*((SIN(((A199)*12.9898+(0)*78.233+Inputs!$C$47*37.719))*43758.5453)-INT((SIN(((A199)*12.9898+(0)*78.233+Inputs!$C$47*37.719))*43758.5453)))-1)))</f>
        <v/>
      </c>
      <c r="Y199" s="9">
        <f>IF(OR(Inputs!$C$27=TRUE,Inputs!$C$27="TRUE",Inputs!$C$27=1),1,0)*(Inputs!$C$51*(115*EXP(-(((Inputs!$C$6)-25)^2)/(4.5^2))+70*EXP(-(((Inputs!$C$6)+38)^2)/(7^2))*(0.55+0.45*SIN(2*PI()*(A199)/45))+24*SIN(2*PI()*(Inputs!$C$6)/9+(A199)/18)*EXP(-(((Inputs!$C$6)+5)^2)/(22^2))+18*SIN(2*PI()*(A199)/70))+Inputs!$C$28*EXP(-(((A199)-Inputs!$C$29)^2)/(2*Inputs!$C$31^2))*EXP(-(((Inputs!$C$6)-Inputs!$C$30)^2)/(2*Inputs!$C$32^2))+-Inputs!$C$33*EXP(-(((((A199)-Inputs!$C$34)^2)+(((Inputs!$C$6)-Inputs!$C$35)^2))/(2*Inputs!$C$36^2)))+Inputs!$C$37*(0.55*SIN(2*PI()*(A199)/Inputs!$C$39)+0.35*COS(2*PI()*(Inputs!$C$6)/Inputs!$C$40)+0.2*SIN(2*PI()*((A199)+(Inputs!$C$6))/(0.5*(Inputs!$C$39+Inputs!$C$40))))+Inputs!$C$38*SIN(2*PI()*(A199)/Inputs!$C$39)*SIN(2*PI()*(Inputs!$C$6)/Inputs!$C$40)+-Inputs!$C$41*EXP(-(((Inputs!$C$6)-Inputs!$C$43)^2)/(2*Inputs!$C$44^2))*EXP(-(((A199)-Inputs!$C$42)^2)/(2*Inputs!$C$45^2))+Inputs!$C$48*(0.7*(0.45*SIN(2*PI()*(((A199)/Inputs!$C$49)+Inputs!$C$47*0.137))+0.35*COS(2*PI()*(((Inputs!$C$6)/Inputs!$C$50)+Inputs!$C$47*0.173))+0.2*SIN(2*PI()*(((A199)+(Inputs!$C$6))/(0.5*(Inputs!$C$49+Inputs!$C$50))+Inputs!$C$47*0.097)))+0.3*(2*((SIN(((A199)*12.9898+(Inputs!$C$6)*78.233+Inputs!$C$47*37.719))*43758.5453)-INT((SIN(((A199)*12.9898+(Inputs!$C$6)*78.233+Inputs!$C$47*37.719))*43758.5453)))-1)))</f>
        <v/>
      </c>
      <c r="Z199" s="9">
        <f>B199-X199/1000</f>
        <v/>
      </c>
      <c r="AA199" s="9">
        <f>SQRT((Inputs!$C$52+B199)^2+(Inputs!$C$52+Y199/1000)^2-2*(Inputs!$C$52+B199)*(Inputs!$C$52+Y199/1000)*COS(SQRT(A199^2+Inputs!$C$6^2)/Inputs!$C$52))</f>
        <v/>
      </c>
      <c r="AB199" s="9">
        <f>(AA199-Z199)*1000</f>
        <v/>
      </c>
      <c r="AC199" s="9">
        <f>AB199/Inputs!$C$12</f>
        <v/>
      </c>
      <c r="AD199" s="9">
        <f>2*AB199/Inputs!$C$21*1000000</f>
        <v/>
      </c>
      <c r="AE199" s="9">
        <f>DEGREES(ATAN(H199/(B199-Y199/1000)))</f>
        <v/>
      </c>
      <c r="AF199" s="9">
        <f>DEGREES((2*PI()/Inputs!$C$13)*Inputs!$C$15*SIN(RADIANS(AE199)))</f>
        <v/>
      </c>
      <c r="AG199" s="9">
        <f>(Z199/AA199)^4</f>
        <v/>
      </c>
      <c r="AH199" s="9">
        <f>10*LOG10(AG199)</f>
        <v/>
      </c>
      <c r="AI199" s="9">
        <f>AC199-F199</f>
        <v/>
      </c>
      <c r="AJ199" s="9">
        <f>AD199-G199</f>
        <v/>
      </c>
      <c r="AK199" s="9">
        <f>Y199-X199</f>
        <v/>
      </c>
      <c r="AL199" s="9">
        <f>1000*(AA200-AA198)/(A200-A198)*Inputs!$C$11</f>
        <v/>
      </c>
      <c r="AM199" s="9">
        <f>-2*AL199/Inputs!$C$13</f>
        <v/>
      </c>
      <c r="AN199" s="9">
        <f>-2*AL199/Inputs!$C$14</f>
        <v/>
      </c>
      <c r="AO199" s="9">
        <f>ABS(AM199)</f>
        <v/>
      </c>
      <c r="AP199" s="9">
        <f>ABS(AN199)</f>
        <v/>
      </c>
      <c r="AQ199" s="9">
        <f>IF(OR(Inputs!$C$27=TRUE,Inputs!$C$27="TRUE",Inputs!$C$27=1),Inputs!$C$46/Inputs!$C$12,0)</f>
        <v/>
      </c>
      <c r="AR199" s="9">
        <f>AC199-AQ199</f>
        <v/>
      </c>
      <c r="AS199" s="9">
        <f>AC199+AQ199</f>
        <v/>
      </c>
    </row>
    <row r="200">
      <c r="A200" s="9">
        <f>Inputs!$C$7+198*(Inputs!$C$8-Inputs!$C$7)/240</f>
        <v/>
      </c>
      <c r="B200" s="9">
        <f>Inputs!$C$5+Inputs!$C$9*(A200/Inputs!$C$10)^2</f>
        <v/>
      </c>
      <c r="C200" s="9">
        <f>B200</f>
        <v/>
      </c>
      <c r="D200" s="9">
        <f>SQRT((Inputs!$C$52+B200)^2+Inputs!$C$52^2-2*(Inputs!$C$52+B200)*Inputs!$C$52*COS(SQRT(A200^2+Inputs!$C$6^2)/Inputs!$C$52))</f>
        <v/>
      </c>
      <c r="E200" s="9">
        <f>(D200-C200)*1000</f>
        <v/>
      </c>
      <c r="F200" s="9">
        <f>E200/Inputs!$C$12</f>
        <v/>
      </c>
      <c r="G200" s="9">
        <f>2*E200/Inputs!$C$21*1000000</f>
        <v/>
      </c>
      <c r="H200" s="9">
        <f>SQRT(A200^2+Inputs!$C$6^2)</f>
        <v/>
      </c>
      <c r="I200" s="9">
        <f>DEGREES(ATAN(H200/B200))</f>
        <v/>
      </c>
      <c r="J200" s="9">
        <f>DEGREES((2*PI()/Inputs!$C$13)*Inputs!$C$15*SIN(RADIANS(I200)))</f>
        <v/>
      </c>
      <c r="K200" s="9">
        <f>(C200/D200)^4</f>
        <v/>
      </c>
      <c r="L200" s="9">
        <f>10*LOG10(K200)</f>
        <v/>
      </c>
      <c r="M200" s="9">
        <f>2*(Inputs!$C$9/(Inputs!$C$10^2))*A200</f>
        <v/>
      </c>
      <c r="N200" s="9">
        <f>M200*Inputs!$C$11</f>
        <v/>
      </c>
      <c r="O200" s="9">
        <f>1000*(D201-D199)/(A201-A199)*Inputs!$C$11</f>
        <v/>
      </c>
      <c r="P200" s="9">
        <f>-2*O200/Inputs!$C$13</f>
        <v/>
      </c>
      <c r="Q200" s="9">
        <f>-2*O200/Inputs!$C$14</f>
        <v/>
      </c>
      <c r="R200" s="9">
        <f>F200-Inputs!$C$16/2</f>
        <v/>
      </c>
      <c r="S200" s="9">
        <f>F200+Inputs!$C$16/2</f>
        <v/>
      </c>
      <c r="T200" s="9">
        <f>F200-Inputs!$C$17/2</f>
        <v/>
      </c>
      <c r="U200" s="9">
        <f>F200+Inputs!$C$17/2</f>
        <v/>
      </c>
      <c r="V200" s="9">
        <f>ABS(P200)</f>
        <v/>
      </c>
      <c r="W200" s="9">
        <f>ABS(Q200)</f>
        <v/>
      </c>
      <c r="X200" s="9">
        <f>IF(OR(Inputs!$C$27=TRUE,Inputs!$C$27="TRUE",Inputs!$C$27=1),1,0)*(Inputs!$C$51*(115*EXP(-(((0)-25)^2)/(4.5^2))+70*EXP(-(((0)+38)^2)/(7^2))*(0.55+0.45*SIN(2*PI()*(A200)/45))+24*SIN(2*PI()*(0)/9+(A200)/18)*EXP(-(((0)+5)^2)/(22^2))+18*SIN(2*PI()*(A200)/70))+Inputs!$C$28*EXP(-(((A200)-Inputs!$C$29)^2)/(2*Inputs!$C$31^2))*EXP(-(((0)-Inputs!$C$30)^2)/(2*Inputs!$C$32^2))+-Inputs!$C$33*EXP(-(((((A200)-Inputs!$C$34)^2)+(((0)-Inputs!$C$35)^2))/(2*Inputs!$C$36^2)))+Inputs!$C$37*(0.55*SIN(2*PI()*(A200)/Inputs!$C$39)+0.35*COS(2*PI()*(0)/Inputs!$C$40)+0.2*SIN(2*PI()*((A200)+(0))/(0.5*(Inputs!$C$39+Inputs!$C$40))))+Inputs!$C$38*SIN(2*PI()*(A200)/Inputs!$C$39)*SIN(2*PI()*(0)/Inputs!$C$40)+-Inputs!$C$41*EXP(-(((0)-Inputs!$C$43)^2)/(2*Inputs!$C$44^2))*EXP(-(((A200)-Inputs!$C$42)^2)/(2*Inputs!$C$45^2))+Inputs!$C$48*(0.7*(0.45*SIN(2*PI()*(((A200)/Inputs!$C$49)+Inputs!$C$47*0.137))+0.35*COS(2*PI()*(((0)/Inputs!$C$50)+Inputs!$C$47*0.173))+0.2*SIN(2*PI()*(((A200)+(0))/(0.5*(Inputs!$C$49+Inputs!$C$50))+Inputs!$C$47*0.097)))+0.3*(2*((SIN(((A200)*12.9898+(0)*78.233+Inputs!$C$47*37.719))*43758.5453)-INT((SIN(((A200)*12.9898+(0)*78.233+Inputs!$C$47*37.719))*43758.5453)))-1)))</f>
        <v/>
      </c>
      <c r="Y200" s="9">
        <f>IF(OR(Inputs!$C$27=TRUE,Inputs!$C$27="TRUE",Inputs!$C$27=1),1,0)*(Inputs!$C$51*(115*EXP(-(((Inputs!$C$6)-25)^2)/(4.5^2))+70*EXP(-(((Inputs!$C$6)+38)^2)/(7^2))*(0.55+0.45*SIN(2*PI()*(A200)/45))+24*SIN(2*PI()*(Inputs!$C$6)/9+(A200)/18)*EXP(-(((Inputs!$C$6)+5)^2)/(22^2))+18*SIN(2*PI()*(A200)/70))+Inputs!$C$28*EXP(-(((A200)-Inputs!$C$29)^2)/(2*Inputs!$C$31^2))*EXP(-(((Inputs!$C$6)-Inputs!$C$30)^2)/(2*Inputs!$C$32^2))+-Inputs!$C$33*EXP(-(((((A200)-Inputs!$C$34)^2)+(((Inputs!$C$6)-Inputs!$C$35)^2))/(2*Inputs!$C$36^2)))+Inputs!$C$37*(0.55*SIN(2*PI()*(A200)/Inputs!$C$39)+0.35*COS(2*PI()*(Inputs!$C$6)/Inputs!$C$40)+0.2*SIN(2*PI()*((A200)+(Inputs!$C$6))/(0.5*(Inputs!$C$39+Inputs!$C$40))))+Inputs!$C$38*SIN(2*PI()*(A200)/Inputs!$C$39)*SIN(2*PI()*(Inputs!$C$6)/Inputs!$C$40)+-Inputs!$C$41*EXP(-(((Inputs!$C$6)-Inputs!$C$43)^2)/(2*Inputs!$C$44^2))*EXP(-(((A200)-Inputs!$C$42)^2)/(2*Inputs!$C$45^2))+Inputs!$C$48*(0.7*(0.45*SIN(2*PI()*(((A200)/Inputs!$C$49)+Inputs!$C$47*0.137))+0.35*COS(2*PI()*(((Inputs!$C$6)/Inputs!$C$50)+Inputs!$C$47*0.173))+0.2*SIN(2*PI()*(((A200)+(Inputs!$C$6))/(0.5*(Inputs!$C$49+Inputs!$C$50))+Inputs!$C$47*0.097)))+0.3*(2*((SIN(((A200)*12.9898+(Inputs!$C$6)*78.233+Inputs!$C$47*37.719))*43758.5453)-INT((SIN(((A200)*12.9898+(Inputs!$C$6)*78.233+Inputs!$C$47*37.719))*43758.5453)))-1)))</f>
        <v/>
      </c>
      <c r="Z200" s="9">
        <f>B200-X200/1000</f>
        <v/>
      </c>
      <c r="AA200" s="9">
        <f>SQRT((Inputs!$C$52+B200)^2+(Inputs!$C$52+Y200/1000)^2-2*(Inputs!$C$52+B200)*(Inputs!$C$52+Y200/1000)*COS(SQRT(A200^2+Inputs!$C$6^2)/Inputs!$C$52))</f>
        <v/>
      </c>
      <c r="AB200" s="9">
        <f>(AA200-Z200)*1000</f>
        <v/>
      </c>
      <c r="AC200" s="9">
        <f>AB200/Inputs!$C$12</f>
        <v/>
      </c>
      <c r="AD200" s="9">
        <f>2*AB200/Inputs!$C$21*1000000</f>
        <v/>
      </c>
      <c r="AE200" s="9">
        <f>DEGREES(ATAN(H200/(B200-Y200/1000)))</f>
        <v/>
      </c>
      <c r="AF200" s="9">
        <f>DEGREES((2*PI()/Inputs!$C$13)*Inputs!$C$15*SIN(RADIANS(AE200)))</f>
        <v/>
      </c>
      <c r="AG200" s="9">
        <f>(Z200/AA200)^4</f>
        <v/>
      </c>
      <c r="AH200" s="9">
        <f>10*LOG10(AG200)</f>
        <v/>
      </c>
      <c r="AI200" s="9">
        <f>AC200-F200</f>
        <v/>
      </c>
      <c r="AJ200" s="9">
        <f>AD200-G200</f>
        <v/>
      </c>
      <c r="AK200" s="9">
        <f>Y200-X200</f>
        <v/>
      </c>
      <c r="AL200" s="9">
        <f>1000*(AA201-AA199)/(A201-A199)*Inputs!$C$11</f>
        <v/>
      </c>
      <c r="AM200" s="9">
        <f>-2*AL200/Inputs!$C$13</f>
        <v/>
      </c>
      <c r="AN200" s="9">
        <f>-2*AL200/Inputs!$C$14</f>
        <v/>
      </c>
      <c r="AO200" s="9">
        <f>ABS(AM200)</f>
        <v/>
      </c>
      <c r="AP200" s="9">
        <f>ABS(AN200)</f>
        <v/>
      </c>
      <c r="AQ200" s="9">
        <f>IF(OR(Inputs!$C$27=TRUE,Inputs!$C$27="TRUE",Inputs!$C$27=1),Inputs!$C$46/Inputs!$C$12,0)</f>
        <v/>
      </c>
      <c r="AR200" s="9">
        <f>AC200-AQ200</f>
        <v/>
      </c>
      <c r="AS200" s="9">
        <f>AC200+AQ200</f>
        <v/>
      </c>
    </row>
    <row r="201">
      <c r="A201" s="9">
        <f>Inputs!$C$7+199*(Inputs!$C$8-Inputs!$C$7)/240</f>
        <v/>
      </c>
      <c r="B201" s="9">
        <f>Inputs!$C$5+Inputs!$C$9*(A201/Inputs!$C$10)^2</f>
        <v/>
      </c>
      <c r="C201" s="9">
        <f>B201</f>
        <v/>
      </c>
      <c r="D201" s="9">
        <f>SQRT((Inputs!$C$52+B201)^2+Inputs!$C$52^2-2*(Inputs!$C$52+B201)*Inputs!$C$52*COS(SQRT(A201^2+Inputs!$C$6^2)/Inputs!$C$52))</f>
        <v/>
      </c>
      <c r="E201" s="9">
        <f>(D201-C201)*1000</f>
        <v/>
      </c>
      <c r="F201" s="9">
        <f>E201/Inputs!$C$12</f>
        <v/>
      </c>
      <c r="G201" s="9">
        <f>2*E201/Inputs!$C$21*1000000</f>
        <v/>
      </c>
      <c r="H201" s="9">
        <f>SQRT(A201^2+Inputs!$C$6^2)</f>
        <v/>
      </c>
      <c r="I201" s="9">
        <f>DEGREES(ATAN(H201/B201))</f>
        <v/>
      </c>
      <c r="J201" s="9">
        <f>DEGREES((2*PI()/Inputs!$C$13)*Inputs!$C$15*SIN(RADIANS(I201)))</f>
        <v/>
      </c>
      <c r="K201" s="9">
        <f>(C201/D201)^4</f>
        <v/>
      </c>
      <c r="L201" s="9">
        <f>10*LOG10(K201)</f>
        <v/>
      </c>
      <c r="M201" s="9">
        <f>2*(Inputs!$C$9/(Inputs!$C$10^2))*A201</f>
        <v/>
      </c>
      <c r="N201" s="9">
        <f>M201*Inputs!$C$11</f>
        <v/>
      </c>
      <c r="O201" s="9">
        <f>1000*(D202-D200)/(A202-A200)*Inputs!$C$11</f>
        <v/>
      </c>
      <c r="P201" s="9">
        <f>-2*O201/Inputs!$C$13</f>
        <v/>
      </c>
      <c r="Q201" s="9">
        <f>-2*O201/Inputs!$C$14</f>
        <v/>
      </c>
      <c r="R201" s="9">
        <f>F201-Inputs!$C$16/2</f>
        <v/>
      </c>
      <c r="S201" s="9">
        <f>F201+Inputs!$C$16/2</f>
        <v/>
      </c>
      <c r="T201" s="9">
        <f>F201-Inputs!$C$17/2</f>
        <v/>
      </c>
      <c r="U201" s="9">
        <f>F201+Inputs!$C$17/2</f>
        <v/>
      </c>
      <c r="V201" s="9">
        <f>ABS(P201)</f>
        <v/>
      </c>
      <c r="W201" s="9">
        <f>ABS(Q201)</f>
        <v/>
      </c>
      <c r="X201" s="9">
        <f>IF(OR(Inputs!$C$27=TRUE,Inputs!$C$27="TRUE",Inputs!$C$27=1),1,0)*(Inputs!$C$51*(115*EXP(-(((0)-25)^2)/(4.5^2))+70*EXP(-(((0)+38)^2)/(7^2))*(0.55+0.45*SIN(2*PI()*(A201)/45))+24*SIN(2*PI()*(0)/9+(A201)/18)*EXP(-(((0)+5)^2)/(22^2))+18*SIN(2*PI()*(A201)/70))+Inputs!$C$28*EXP(-(((A201)-Inputs!$C$29)^2)/(2*Inputs!$C$31^2))*EXP(-(((0)-Inputs!$C$30)^2)/(2*Inputs!$C$32^2))+-Inputs!$C$33*EXP(-(((((A201)-Inputs!$C$34)^2)+(((0)-Inputs!$C$35)^2))/(2*Inputs!$C$36^2)))+Inputs!$C$37*(0.55*SIN(2*PI()*(A201)/Inputs!$C$39)+0.35*COS(2*PI()*(0)/Inputs!$C$40)+0.2*SIN(2*PI()*((A201)+(0))/(0.5*(Inputs!$C$39+Inputs!$C$40))))+Inputs!$C$38*SIN(2*PI()*(A201)/Inputs!$C$39)*SIN(2*PI()*(0)/Inputs!$C$40)+-Inputs!$C$41*EXP(-(((0)-Inputs!$C$43)^2)/(2*Inputs!$C$44^2))*EXP(-(((A201)-Inputs!$C$42)^2)/(2*Inputs!$C$45^2))+Inputs!$C$48*(0.7*(0.45*SIN(2*PI()*(((A201)/Inputs!$C$49)+Inputs!$C$47*0.137))+0.35*COS(2*PI()*(((0)/Inputs!$C$50)+Inputs!$C$47*0.173))+0.2*SIN(2*PI()*(((A201)+(0))/(0.5*(Inputs!$C$49+Inputs!$C$50))+Inputs!$C$47*0.097)))+0.3*(2*((SIN(((A201)*12.9898+(0)*78.233+Inputs!$C$47*37.719))*43758.5453)-INT((SIN(((A201)*12.9898+(0)*78.233+Inputs!$C$47*37.719))*43758.5453)))-1)))</f>
        <v/>
      </c>
      <c r="Y201" s="9">
        <f>IF(OR(Inputs!$C$27=TRUE,Inputs!$C$27="TRUE",Inputs!$C$27=1),1,0)*(Inputs!$C$51*(115*EXP(-(((Inputs!$C$6)-25)^2)/(4.5^2))+70*EXP(-(((Inputs!$C$6)+38)^2)/(7^2))*(0.55+0.45*SIN(2*PI()*(A201)/45))+24*SIN(2*PI()*(Inputs!$C$6)/9+(A201)/18)*EXP(-(((Inputs!$C$6)+5)^2)/(22^2))+18*SIN(2*PI()*(A201)/70))+Inputs!$C$28*EXP(-(((A201)-Inputs!$C$29)^2)/(2*Inputs!$C$31^2))*EXP(-(((Inputs!$C$6)-Inputs!$C$30)^2)/(2*Inputs!$C$32^2))+-Inputs!$C$33*EXP(-(((((A201)-Inputs!$C$34)^2)+(((Inputs!$C$6)-Inputs!$C$35)^2))/(2*Inputs!$C$36^2)))+Inputs!$C$37*(0.55*SIN(2*PI()*(A201)/Inputs!$C$39)+0.35*COS(2*PI()*(Inputs!$C$6)/Inputs!$C$40)+0.2*SIN(2*PI()*((A201)+(Inputs!$C$6))/(0.5*(Inputs!$C$39+Inputs!$C$40))))+Inputs!$C$38*SIN(2*PI()*(A201)/Inputs!$C$39)*SIN(2*PI()*(Inputs!$C$6)/Inputs!$C$40)+-Inputs!$C$41*EXP(-(((Inputs!$C$6)-Inputs!$C$43)^2)/(2*Inputs!$C$44^2))*EXP(-(((A201)-Inputs!$C$42)^2)/(2*Inputs!$C$45^2))+Inputs!$C$48*(0.7*(0.45*SIN(2*PI()*(((A201)/Inputs!$C$49)+Inputs!$C$47*0.137))+0.35*COS(2*PI()*(((Inputs!$C$6)/Inputs!$C$50)+Inputs!$C$47*0.173))+0.2*SIN(2*PI()*(((A201)+(Inputs!$C$6))/(0.5*(Inputs!$C$49+Inputs!$C$50))+Inputs!$C$47*0.097)))+0.3*(2*((SIN(((A201)*12.9898+(Inputs!$C$6)*78.233+Inputs!$C$47*37.719))*43758.5453)-INT((SIN(((A201)*12.9898+(Inputs!$C$6)*78.233+Inputs!$C$47*37.719))*43758.5453)))-1)))</f>
        <v/>
      </c>
      <c r="Z201" s="9">
        <f>B201-X201/1000</f>
        <v/>
      </c>
      <c r="AA201" s="9">
        <f>SQRT((Inputs!$C$52+B201)^2+(Inputs!$C$52+Y201/1000)^2-2*(Inputs!$C$52+B201)*(Inputs!$C$52+Y201/1000)*COS(SQRT(A201^2+Inputs!$C$6^2)/Inputs!$C$52))</f>
        <v/>
      </c>
      <c r="AB201" s="9">
        <f>(AA201-Z201)*1000</f>
        <v/>
      </c>
      <c r="AC201" s="9">
        <f>AB201/Inputs!$C$12</f>
        <v/>
      </c>
      <c r="AD201" s="9">
        <f>2*AB201/Inputs!$C$21*1000000</f>
        <v/>
      </c>
      <c r="AE201" s="9">
        <f>DEGREES(ATAN(H201/(B201-Y201/1000)))</f>
        <v/>
      </c>
      <c r="AF201" s="9">
        <f>DEGREES((2*PI()/Inputs!$C$13)*Inputs!$C$15*SIN(RADIANS(AE201)))</f>
        <v/>
      </c>
      <c r="AG201" s="9">
        <f>(Z201/AA201)^4</f>
        <v/>
      </c>
      <c r="AH201" s="9">
        <f>10*LOG10(AG201)</f>
        <v/>
      </c>
      <c r="AI201" s="9">
        <f>AC201-F201</f>
        <v/>
      </c>
      <c r="AJ201" s="9">
        <f>AD201-G201</f>
        <v/>
      </c>
      <c r="AK201" s="9">
        <f>Y201-X201</f>
        <v/>
      </c>
      <c r="AL201" s="9">
        <f>1000*(AA202-AA200)/(A202-A200)*Inputs!$C$11</f>
        <v/>
      </c>
      <c r="AM201" s="9">
        <f>-2*AL201/Inputs!$C$13</f>
        <v/>
      </c>
      <c r="AN201" s="9">
        <f>-2*AL201/Inputs!$C$14</f>
        <v/>
      </c>
      <c r="AO201" s="9">
        <f>ABS(AM201)</f>
        <v/>
      </c>
      <c r="AP201" s="9">
        <f>ABS(AN201)</f>
        <v/>
      </c>
      <c r="AQ201" s="9">
        <f>IF(OR(Inputs!$C$27=TRUE,Inputs!$C$27="TRUE",Inputs!$C$27=1),Inputs!$C$46/Inputs!$C$12,0)</f>
        <v/>
      </c>
      <c r="AR201" s="9">
        <f>AC201-AQ201</f>
        <v/>
      </c>
      <c r="AS201" s="9">
        <f>AC201+AQ201</f>
        <v/>
      </c>
    </row>
    <row r="202">
      <c r="A202" s="9">
        <f>Inputs!$C$7+200*(Inputs!$C$8-Inputs!$C$7)/240</f>
        <v/>
      </c>
      <c r="B202" s="9">
        <f>Inputs!$C$5+Inputs!$C$9*(A202/Inputs!$C$10)^2</f>
        <v/>
      </c>
      <c r="C202" s="9">
        <f>B202</f>
        <v/>
      </c>
      <c r="D202" s="9">
        <f>SQRT((Inputs!$C$52+B202)^2+Inputs!$C$52^2-2*(Inputs!$C$52+B202)*Inputs!$C$52*COS(SQRT(A202^2+Inputs!$C$6^2)/Inputs!$C$52))</f>
        <v/>
      </c>
      <c r="E202" s="9">
        <f>(D202-C202)*1000</f>
        <v/>
      </c>
      <c r="F202" s="9">
        <f>E202/Inputs!$C$12</f>
        <v/>
      </c>
      <c r="G202" s="9">
        <f>2*E202/Inputs!$C$21*1000000</f>
        <v/>
      </c>
      <c r="H202" s="9">
        <f>SQRT(A202^2+Inputs!$C$6^2)</f>
        <v/>
      </c>
      <c r="I202" s="9">
        <f>DEGREES(ATAN(H202/B202))</f>
        <v/>
      </c>
      <c r="J202" s="9">
        <f>DEGREES((2*PI()/Inputs!$C$13)*Inputs!$C$15*SIN(RADIANS(I202)))</f>
        <v/>
      </c>
      <c r="K202" s="9">
        <f>(C202/D202)^4</f>
        <v/>
      </c>
      <c r="L202" s="9">
        <f>10*LOG10(K202)</f>
        <v/>
      </c>
      <c r="M202" s="9">
        <f>2*(Inputs!$C$9/(Inputs!$C$10^2))*A202</f>
        <v/>
      </c>
      <c r="N202" s="9">
        <f>M202*Inputs!$C$11</f>
        <v/>
      </c>
      <c r="O202" s="9">
        <f>1000*(D203-D201)/(A203-A201)*Inputs!$C$11</f>
        <v/>
      </c>
      <c r="P202" s="9">
        <f>-2*O202/Inputs!$C$13</f>
        <v/>
      </c>
      <c r="Q202" s="9">
        <f>-2*O202/Inputs!$C$14</f>
        <v/>
      </c>
      <c r="R202" s="9">
        <f>F202-Inputs!$C$16/2</f>
        <v/>
      </c>
      <c r="S202" s="9">
        <f>F202+Inputs!$C$16/2</f>
        <v/>
      </c>
      <c r="T202" s="9">
        <f>F202-Inputs!$C$17/2</f>
        <v/>
      </c>
      <c r="U202" s="9">
        <f>F202+Inputs!$C$17/2</f>
        <v/>
      </c>
      <c r="V202" s="9">
        <f>ABS(P202)</f>
        <v/>
      </c>
      <c r="W202" s="9">
        <f>ABS(Q202)</f>
        <v/>
      </c>
      <c r="X202" s="9">
        <f>IF(OR(Inputs!$C$27=TRUE,Inputs!$C$27="TRUE",Inputs!$C$27=1),1,0)*(Inputs!$C$51*(115*EXP(-(((0)-25)^2)/(4.5^2))+70*EXP(-(((0)+38)^2)/(7^2))*(0.55+0.45*SIN(2*PI()*(A202)/45))+24*SIN(2*PI()*(0)/9+(A202)/18)*EXP(-(((0)+5)^2)/(22^2))+18*SIN(2*PI()*(A202)/70))+Inputs!$C$28*EXP(-(((A202)-Inputs!$C$29)^2)/(2*Inputs!$C$31^2))*EXP(-(((0)-Inputs!$C$30)^2)/(2*Inputs!$C$32^2))+-Inputs!$C$33*EXP(-(((((A202)-Inputs!$C$34)^2)+(((0)-Inputs!$C$35)^2))/(2*Inputs!$C$36^2)))+Inputs!$C$37*(0.55*SIN(2*PI()*(A202)/Inputs!$C$39)+0.35*COS(2*PI()*(0)/Inputs!$C$40)+0.2*SIN(2*PI()*((A202)+(0))/(0.5*(Inputs!$C$39+Inputs!$C$40))))+Inputs!$C$38*SIN(2*PI()*(A202)/Inputs!$C$39)*SIN(2*PI()*(0)/Inputs!$C$40)+-Inputs!$C$41*EXP(-(((0)-Inputs!$C$43)^2)/(2*Inputs!$C$44^2))*EXP(-(((A202)-Inputs!$C$42)^2)/(2*Inputs!$C$45^2))+Inputs!$C$48*(0.7*(0.45*SIN(2*PI()*(((A202)/Inputs!$C$49)+Inputs!$C$47*0.137))+0.35*COS(2*PI()*(((0)/Inputs!$C$50)+Inputs!$C$47*0.173))+0.2*SIN(2*PI()*(((A202)+(0))/(0.5*(Inputs!$C$49+Inputs!$C$50))+Inputs!$C$47*0.097)))+0.3*(2*((SIN(((A202)*12.9898+(0)*78.233+Inputs!$C$47*37.719))*43758.5453)-INT((SIN(((A202)*12.9898+(0)*78.233+Inputs!$C$47*37.719))*43758.5453)))-1)))</f>
        <v/>
      </c>
      <c r="Y202" s="9">
        <f>IF(OR(Inputs!$C$27=TRUE,Inputs!$C$27="TRUE",Inputs!$C$27=1),1,0)*(Inputs!$C$51*(115*EXP(-(((Inputs!$C$6)-25)^2)/(4.5^2))+70*EXP(-(((Inputs!$C$6)+38)^2)/(7^2))*(0.55+0.45*SIN(2*PI()*(A202)/45))+24*SIN(2*PI()*(Inputs!$C$6)/9+(A202)/18)*EXP(-(((Inputs!$C$6)+5)^2)/(22^2))+18*SIN(2*PI()*(A202)/70))+Inputs!$C$28*EXP(-(((A202)-Inputs!$C$29)^2)/(2*Inputs!$C$31^2))*EXP(-(((Inputs!$C$6)-Inputs!$C$30)^2)/(2*Inputs!$C$32^2))+-Inputs!$C$33*EXP(-(((((A202)-Inputs!$C$34)^2)+(((Inputs!$C$6)-Inputs!$C$35)^2))/(2*Inputs!$C$36^2)))+Inputs!$C$37*(0.55*SIN(2*PI()*(A202)/Inputs!$C$39)+0.35*COS(2*PI()*(Inputs!$C$6)/Inputs!$C$40)+0.2*SIN(2*PI()*((A202)+(Inputs!$C$6))/(0.5*(Inputs!$C$39+Inputs!$C$40))))+Inputs!$C$38*SIN(2*PI()*(A202)/Inputs!$C$39)*SIN(2*PI()*(Inputs!$C$6)/Inputs!$C$40)+-Inputs!$C$41*EXP(-(((Inputs!$C$6)-Inputs!$C$43)^2)/(2*Inputs!$C$44^2))*EXP(-(((A202)-Inputs!$C$42)^2)/(2*Inputs!$C$45^2))+Inputs!$C$48*(0.7*(0.45*SIN(2*PI()*(((A202)/Inputs!$C$49)+Inputs!$C$47*0.137))+0.35*COS(2*PI()*(((Inputs!$C$6)/Inputs!$C$50)+Inputs!$C$47*0.173))+0.2*SIN(2*PI()*(((A202)+(Inputs!$C$6))/(0.5*(Inputs!$C$49+Inputs!$C$50))+Inputs!$C$47*0.097)))+0.3*(2*((SIN(((A202)*12.9898+(Inputs!$C$6)*78.233+Inputs!$C$47*37.719))*43758.5453)-INT((SIN(((A202)*12.9898+(Inputs!$C$6)*78.233+Inputs!$C$47*37.719))*43758.5453)))-1)))</f>
        <v/>
      </c>
      <c r="Z202" s="9">
        <f>B202-X202/1000</f>
        <v/>
      </c>
      <c r="AA202" s="9">
        <f>SQRT((Inputs!$C$52+B202)^2+(Inputs!$C$52+Y202/1000)^2-2*(Inputs!$C$52+B202)*(Inputs!$C$52+Y202/1000)*COS(SQRT(A202^2+Inputs!$C$6^2)/Inputs!$C$52))</f>
        <v/>
      </c>
      <c r="AB202" s="9">
        <f>(AA202-Z202)*1000</f>
        <v/>
      </c>
      <c r="AC202" s="9">
        <f>AB202/Inputs!$C$12</f>
        <v/>
      </c>
      <c r="AD202" s="9">
        <f>2*AB202/Inputs!$C$21*1000000</f>
        <v/>
      </c>
      <c r="AE202" s="9">
        <f>DEGREES(ATAN(H202/(B202-Y202/1000)))</f>
        <v/>
      </c>
      <c r="AF202" s="9">
        <f>DEGREES((2*PI()/Inputs!$C$13)*Inputs!$C$15*SIN(RADIANS(AE202)))</f>
        <v/>
      </c>
      <c r="AG202" s="9">
        <f>(Z202/AA202)^4</f>
        <v/>
      </c>
      <c r="AH202" s="9">
        <f>10*LOG10(AG202)</f>
        <v/>
      </c>
      <c r="AI202" s="9">
        <f>AC202-F202</f>
        <v/>
      </c>
      <c r="AJ202" s="9">
        <f>AD202-G202</f>
        <v/>
      </c>
      <c r="AK202" s="9">
        <f>Y202-X202</f>
        <v/>
      </c>
      <c r="AL202" s="9">
        <f>1000*(AA203-AA201)/(A203-A201)*Inputs!$C$11</f>
        <v/>
      </c>
      <c r="AM202" s="9">
        <f>-2*AL202/Inputs!$C$13</f>
        <v/>
      </c>
      <c r="AN202" s="9">
        <f>-2*AL202/Inputs!$C$14</f>
        <v/>
      </c>
      <c r="AO202" s="9">
        <f>ABS(AM202)</f>
        <v/>
      </c>
      <c r="AP202" s="9">
        <f>ABS(AN202)</f>
        <v/>
      </c>
      <c r="AQ202" s="9">
        <f>IF(OR(Inputs!$C$27=TRUE,Inputs!$C$27="TRUE",Inputs!$C$27=1),Inputs!$C$46/Inputs!$C$12,0)</f>
        <v/>
      </c>
      <c r="AR202" s="9">
        <f>AC202-AQ202</f>
        <v/>
      </c>
      <c r="AS202" s="9">
        <f>AC202+AQ202</f>
        <v/>
      </c>
    </row>
    <row r="203">
      <c r="A203" s="9">
        <f>Inputs!$C$7+201*(Inputs!$C$8-Inputs!$C$7)/240</f>
        <v/>
      </c>
      <c r="B203" s="9">
        <f>Inputs!$C$5+Inputs!$C$9*(A203/Inputs!$C$10)^2</f>
        <v/>
      </c>
      <c r="C203" s="9">
        <f>B203</f>
        <v/>
      </c>
      <c r="D203" s="9">
        <f>SQRT((Inputs!$C$52+B203)^2+Inputs!$C$52^2-2*(Inputs!$C$52+B203)*Inputs!$C$52*COS(SQRT(A203^2+Inputs!$C$6^2)/Inputs!$C$52))</f>
        <v/>
      </c>
      <c r="E203" s="9">
        <f>(D203-C203)*1000</f>
        <v/>
      </c>
      <c r="F203" s="9">
        <f>E203/Inputs!$C$12</f>
        <v/>
      </c>
      <c r="G203" s="9">
        <f>2*E203/Inputs!$C$21*1000000</f>
        <v/>
      </c>
      <c r="H203" s="9">
        <f>SQRT(A203^2+Inputs!$C$6^2)</f>
        <v/>
      </c>
      <c r="I203" s="9">
        <f>DEGREES(ATAN(H203/B203))</f>
        <v/>
      </c>
      <c r="J203" s="9">
        <f>DEGREES((2*PI()/Inputs!$C$13)*Inputs!$C$15*SIN(RADIANS(I203)))</f>
        <v/>
      </c>
      <c r="K203" s="9">
        <f>(C203/D203)^4</f>
        <v/>
      </c>
      <c r="L203" s="9">
        <f>10*LOG10(K203)</f>
        <v/>
      </c>
      <c r="M203" s="9">
        <f>2*(Inputs!$C$9/(Inputs!$C$10^2))*A203</f>
        <v/>
      </c>
      <c r="N203" s="9">
        <f>M203*Inputs!$C$11</f>
        <v/>
      </c>
      <c r="O203" s="9">
        <f>1000*(D204-D202)/(A204-A202)*Inputs!$C$11</f>
        <v/>
      </c>
      <c r="P203" s="9">
        <f>-2*O203/Inputs!$C$13</f>
        <v/>
      </c>
      <c r="Q203" s="9">
        <f>-2*O203/Inputs!$C$14</f>
        <v/>
      </c>
      <c r="R203" s="9">
        <f>F203-Inputs!$C$16/2</f>
        <v/>
      </c>
      <c r="S203" s="9">
        <f>F203+Inputs!$C$16/2</f>
        <v/>
      </c>
      <c r="T203" s="9">
        <f>F203-Inputs!$C$17/2</f>
        <v/>
      </c>
      <c r="U203" s="9">
        <f>F203+Inputs!$C$17/2</f>
        <v/>
      </c>
      <c r="V203" s="9">
        <f>ABS(P203)</f>
        <v/>
      </c>
      <c r="W203" s="9">
        <f>ABS(Q203)</f>
        <v/>
      </c>
      <c r="X203" s="9">
        <f>IF(OR(Inputs!$C$27=TRUE,Inputs!$C$27="TRUE",Inputs!$C$27=1),1,0)*(Inputs!$C$51*(115*EXP(-(((0)-25)^2)/(4.5^2))+70*EXP(-(((0)+38)^2)/(7^2))*(0.55+0.45*SIN(2*PI()*(A203)/45))+24*SIN(2*PI()*(0)/9+(A203)/18)*EXP(-(((0)+5)^2)/(22^2))+18*SIN(2*PI()*(A203)/70))+Inputs!$C$28*EXP(-(((A203)-Inputs!$C$29)^2)/(2*Inputs!$C$31^2))*EXP(-(((0)-Inputs!$C$30)^2)/(2*Inputs!$C$32^2))+-Inputs!$C$33*EXP(-(((((A203)-Inputs!$C$34)^2)+(((0)-Inputs!$C$35)^2))/(2*Inputs!$C$36^2)))+Inputs!$C$37*(0.55*SIN(2*PI()*(A203)/Inputs!$C$39)+0.35*COS(2*PI()*(0)/Inputs!$C$40)+0.2*SIN(2*PI()*((A203)+(0))/(0.5*(Inputs!$C$39+Inputs!$C$40))))+Inputs!$C$38*SIN(2*PI()*(A203)/Inputs!$C$39)*SIN(2*PI()*(0)/Inputs!$C$40)+-Inputs!$C$41*EXP(-(((0)-Inputs!$C$43)^2)/(2*Inputs!$C$44^2))*EXP(-(((A203)-Inputs!$C$42)^2)/(2*Inputs!$C$45^2))+Inputs!$C$48*(0.7*(0.45*SIN(2*PI()*(((A203)/Inputs!$C$49)+Inputs!$C$47*0.137))+0.35*COS(2*PI()*(((0)/Inputs!$C$50)+Inputs!$C$47*0.173))+0.2*SIN(2*PI()*(((A203)+(0))/(0.5*(Inputs!$C$49+Inputs!$C$50))+Inputs!$C$47*0.097)))+0.3*(2*((SIN(((A203)*12.9898+(0)*78.233+Inputs!$C$47*37.719))*43758.5453)-INT((SIN(((A203)*12.9898+(0)*78.233+Inputs!$C$47*37.719))*43758.5453)))-1)))</f>
        <v/>
      </c>
      <c r="Y203" s="9">
        <f>IF(OR(Inputs!$C$27=TRUE,Inputs!$C$27="TRUE",Inputs!$C$27=1),1,0)*(Inputs!$C$51*(115*EXP(-(((Inputs!$C$6)-25)^2)/(4.5^2))+70*EXP(-(((Inputs!$C$6)+38)^2)/(7^2))*(0.55+0.45*SIN(2*PI()*(A203)/45))+24*SIN(2*PI()*(Inputs!$C$6)/9+(A203)/18)*EXP(-(((Inputs!$C$6)+5)^2)/(22^2))+18*SIN(2*PI()*(A203)/70))+Inputs!$C$28*EXP(-(((A203)-Inputs!$C$29)^2)/(2*Inputs!$C$31^2))*EXP(-(((Inputs!$C$6)-Inputs!$C$30)^2)/(2*Inputs!$C$32^2))+-Inputs!$C$33*EXP(-(((((A203)-Inputs!$C$34)^2)+(((Inputs!$C$6)-Inputs!$C$35)^2))/(2*Inputs!$C$36^2)))+Inputs!$C$37*(0.55*SIN(2*PI()*(A203)/Inputs!$C$39)+0.35*COS(2*PI()*(Inputs!$C$6)/Inputs!$C$40)+0.2*SIN(2*PI()*((A203)+(Inputs!$C$6))/(0.5*(Inputs!$C$39+Inputs!$C$40))))+Inputs!$C$38*SIN(2*PI()*(A203)/Inputs!$C$39)*SIN(2*PI()*(Inputs!$C$6)/Inputs!$C$40)+-Inputs!$C$41*EXP(-(((Inputs!$C$6)-Inputs!$C$43)^2)/(2*Inputs!$C$44^2))*EXP(-(((A203)-Inputs!$C$42)^2)/(2*Inputs!$C$45^2))+Inputs!$C$48*(0.7*(0.45*SIN(2*PI()*(((A203)/Inputs!$C$49)+Inputs!$C$47*0.137))+0.35*COS(2*PI()*(((Inputs!$C$6)/Inputs!$C$50)+Inputs!$C$47*0.173))+0.2*SIN(2*PI()*(((A203)+(Inputs!$C$6))/(0.5*(Inputs!$C$49+Inputs!$C$50))+Inputs!$C$47*0.097)))+0.3*(2*((SIN(((A203)*12.9898+(Inputs!$C$6)*78.233+Inputs!$C$47*37.719))*43758.5453)-INT((SIN(((A203)*12.9898+(Inputs!$C$6)*78.233+Inputs!$C$47*37.719))*43758.5453)))-1)))</f>
        <v/>
      </c>
      <c r="Z203" s="9">
        <f>B203-X203/1000</f>
        <v/>
      </c>
      <c r="AA203" s="9">
        <f>SQRT((Inputs!$C$52+B203)^2+(Inputs!$C$52+Y203/1000)^2-2*(Inputs!$C$52+B203)*(Inputs!$C$52+Y203/1000)*COS(SQRT(A203^2+Inputs!$C$6^2)/Inputs!$C$52))</f>
        <v/>
      </c>
      <c r="AB203" s="9">
        <f>(AA203-Z203)*1000</f>
        <v/>
      </c>
      <c r="AC203" s="9">
        <f>AB203/Inputs!$C$12</f>
        <v/>
      </c>
      <c r="AD203" s="9">
        <f>2*AB203/Inputs!$C$21*1000000</f>
        <v/>
      </c>
      <c r="AE203" s="9">
        <f>DEGREES(ATAN(H203/(B203-Y203/1000)))</f>
        <v/>
      </c>
      <c r="AF203" s="9">
        <f>DEGREES((2*PI()/Inputs!$C$13)*Inputs!$C$15*SIN(RADIANS(AE203)))</f>
        <v/>
      </c>
      <c r="AG203" s="9">
        <f>(Z203/AA203)^4</f>
        <v/>
      </c>
      <c r="AH203" s="9">
        <f>10*LOG10(AG203)</f>
        <v/>
      </c>
      <c r="AI203" s="9">
        <f>AC203-F203</f>
        <v/>
      </c>
      <c r="AJ203" s="9">
        <f>AD203-G203</f>
        <v/>
      </c>
      <c r="AK203" s="9">
        <f>Y203-X203</f>
        <v/>
      </c>
      <c r="AL203" s="9">
        <f>1000*(AA204-AA202)/(A204-A202)*Inputs!$C$11</f>
        <v/>
      </c>
      <c r="AM203" s="9">
        <f>-2*AL203/Inputs!$C$13</f>
        <v/>
      </c>
      <c r="AN203" s="9">
        <f>-2*AL203/Inputs!$C$14</f>
        <v/>
      </c>
      <c r="AO203" s="9">
        <f>ABS(AM203)</f>
        <v/>
      </c>
      <c r="AP203" s="9">
        <f>ABS(AN203)</f>
        <v/>
      </c>
      <c r="AQ203" s="9">
        <f>IF(OR(Inputs!$C$27=TRUE,Inputs!$C$27="TRUE",Inputs!$C$27=1),Inputs!$C$46/Inputs!$C$12,0)</f>
        <v/>
      </c>
      <c r="AR203" s="9">
        <f>AC203-AQ203</f>
        <v/>
      </c>
      <c r="AS203" s="9">
        <f>AC203+AQ203</f>
        <v/>
      </c>
    </row>
    <row r="204">
      <c r="A204" s="9">
        <f>Inputs!$C$7+202*(Inputs!$C$8-Inputs!$C$7)/240</f>
        <v/>
      </c>
      <c r="B204" s="9">
        <f>Inputs!$C$5+Inputs!$C$9*(A204/Inputs!$C$10)^2</f>
        <v/>
      </c>
      <c r="C204" s="9">
        <f>B204</f>
        <v/>
      </c>
      <c r="D204" s="9">
        <f>SQRT((Inputs!$C$52+B204)^2+Inputs!$C$52^2-2*(Inputs!$C$52+B204)*Inputs!$C$52*COS(SQRT(A204^2+Inputs!$C$6^2)/Inputs!$C$52))</f>
        <v/>
      </c>
      <c r="E204" s="9">
        <f>(D204-C204)*1000</f>
        <v/>
      </c>
      <c r="F204" s="9">
        <f>E204/Inputs!$C$12</f>
        <v/>
      </c>
      <c r="G204" s="9">
        <f>2*E204/Inputs!$C$21*1000000</f>
        <v/>
      </c>
      <c r="H204" s="9">
        <f>SQRT(A204^2+Inputs!$C$6^2)</f>
        <v/>
      </c>
      <c r="I204" s="9">
        <f>DEGREES(ATAN(H204/B204))</f>
        <v/>
      </c>
      <c r="J204" s="9">
        <f>DEGREES((2*PI()/Inputs!$C$13)*Inputs!$C$15*SIN(RADIANS(I204)))</f>
        <v/>
      </c>
      <c r="K204" s="9">
        <f>(C204/D204)^4</f>
        <v/>
      </c>
      <c r="L204" s="9">
        <f>10*LOG10(K204)</f>
        <v/>
      </c>
      <c r="M204" s="9">
        <f>2*(Inputs!$C$9/(Inputs!$C$10^2))*A204</f>
        <v/>
      </c>
      <c r="N204" s="9">
        <f>M204*Inputs!$C$11</f>
        <v/>
      </c>
      <c r="O204" s="9">
        <f>1000*(D205-D203)/(A205-A203)*Inputs!$C$11</f>
        <v/>
      </c>
      <c r="P204" s="9">
        <f>-2*O204/Inputs!$C$13</f>
        <v/>
      </c>
      <c r="Q204" s="9">
        <f>-2*O204/Inputs!$C$14</f>
        <v/>
      </c>
      <c r="R204" s="9">
        <f>F204-Inputs!$C$16/2</f>
        <v/>
      </c>
      <c r="S204" s="9">
        <f>F204+Inputs!$C$16/2</f>
        <v/>
      </c>
      <c r="T204" s="9">
        <f>F204-Inputs!$C$17/2</f>
        <v/>
      </c>
      <c r="U204" s="9">
        <f>F204+Inputs!$C$17/2</f>
        <v/>
      </c>
      <c r="V204" s="9">
        <f>ABS(P204)</f>
        <v/>
      </c>
      <c r="W204" s="9">
        <f>ABS(Q204)</f>
        <v/>
      </c>
      <c r="X204" s="9">
        <f>IF(OR(Inputs!$C$27=TRUE,Inputs!$C$27="TRUE",Inputs!$C$27=1),1,0)*(Inputs!$C$51*(115*EXP(-(((0)-25)^2)/(4.5^2))+70*EXP(-(((0)+38)^2)/(7^2))*(0.55+0.45*SIN(2*PI()*(A204)/45))+24*SIN(2*PI()*(0)/9+(A204)/18)*EXP(-(((0)+5)^2)/(22^2))+18*SIN(2*PI()*(A204)/70))+Inputs!$C$28*EXP(-(((A204)-Inputs!$C$29)^2)/(2*Inputs!$C$31^2))*EXP(-(((0)-Inputs!$C$30)^2)/(2*Inputs!$C$32^2))+-Inputs!$C$33*EXP(-(((((A204)-Inputs!$C$34)^2)+(((0)-Inputs!$C$35)^2))/(2*Inputs!$C$36^2)))+Inputs!$C$37*(0.55*SIN(2*PI()*(A204)/Inputs!$C$39)+0.35*COS(2*PI()*(0)/Inputs!$C$40)+0.2*SIN(2*PI()*((A204)+(0))/(0.5*(Inputs!$C$39+Inputs!$C$40))))+Inputs!$C$38*SIN(2*PI()*(A204)/Inputs!$C$39)*SIN(2*PI()*(0)/Inputs!$C$40)+-Inputs!$C$41*EXP(-(((0)-Inputs!$C$43)^2)/(2*Inputs!$C$44^2))*EXP(-(((A204)-Inputs!$C$42)^2)/(2*Inputs!$C$45^2))+Inputs!$C$48*(0.7*(0.45*SIN(2*PI()*(((A204)/Inputs!$C$49)+Inputs!$C$47*0.137))+0.35*COS(2*PI()*(((0)/Inputs!$C$50)+Inputs!$C$47*0.173))+0.2*SIN(2*PI()*(((A204)+(0))/(0.5*(Inputs!$C$49+Inputs!$C$50))+Inputs!$C$47*0.097)))+0.3*(2*((SIN(((A204)*12.9898+(0)*78.233+Inputs!$C$47*37.719))*43758.5453)-INT((SIN(((A204)*12.9898+(0)*78.233+Inputs!$C$47*37.719))*43758.5453)))-1)))</f>
        <v/>
      </c>
      <c r="Y204" s="9">
        <f>IF(OR(Inputs!$C$27=TRUE,Inputs!$C$27="TRUE",Inputs!$C$27=1),1,0)*(Inputs!$C$51*(115*EXP(-(((Inputs!$C$6)-25)^2)/(4.5^2))+70*EXP(-(((Inputs!$C$6)+38)^2)/(7^2))*(0.55+0.45*SIN(2*PI()*(A204)/45))+24*SIN(2*PI()*(Inputs!$C$6)/9+(A204)/18)*EXP(-(((Inputs!$C$6)+5)^2)/(22^2))+18*SIN(2*PI()*(A204)/70))+Inputs!$C$28*EXP(-(((A204)-Inputs!$C$29)^2)/(2*Inputs!$C$31^2))*EXP(-(((Inputs!$C$6)-Inputs!$C$30)^2)/(2*Inputs!$C$32^2))+-Inputs!$C$33*EXP(-(((((A204)-Inputs!$C$34)^2)+(((Inputs!$C$6)-Inputs!$C$35)^2))/(2*Inputs!$C$36^2)))+Inputs!$C$37*(0.55*SIN(2*PI()*(A204)/Inputs!$C$39)+0.35*COS(2*PI()*(Inputs!$C$6)/Inputs!$C$40)+0.2*SIN(2*PI()*((A204)+(Inputs!$C$6))/(0.5*(Inputs!$C$39+Inputs!$C$40))))+Inputs!$C$38*SIN(2*PI()*(A204)/Inputs!$C$39)*SIN(2*PI()*(Inputs!$C$6)/Inputs!$C$40)+-Inputs!$C$41*EXP(-(((Inputs!$C$6)-Inputs!$C$43)^2)/(2*Inputs!$C$44^2))*EXP(-(((A204)-Inputs!$C$42)^2)/(2*Inputs!$C$45^2))+Inputs!$C$48*(0.7*(0.45*SIN(2*PI()*(((A204)/Inputs!$C$49)+Inputs!$C$47*0.137))+0.35*COS(2*PI()*(((Inputs!$C$6)/Inputs!$C$50)+Inputs!$C$47*0.173))+0.2*SIN(2*PI()*(((A204)+(Inputs!$C$6))/(0.5*(Inputs!$C$49+Inputs!$C$50))+Inputs!$C$47*0.097)))+0.3*(2*((SIN(((A204)*12.9898+(Inputs!$C$6)*78.233+Inputs!$C$47*37.719))*43758.5453)-INT((SIN(((A204)*12.9898+(Inputs!$C$6)*78.233+Inputs!$C$47*37.719))*43758.5453)))-1)))</f>
        <v/>
      </c>
      <c r="Z204" s="9">
        <f>B204-X204/1000</f>
        <v/>
      </c>
      <c r="AA204" s="9">
        <f>SQRT((Inputs!$C$52+B204)^2+(Inputs!$C$52+Y204/1000)^2-2*(Inputs!$C$52+B204)*(Inputs!$C$52+Y204/1000)*COS(SQRT(A204^2+Inputs!$C$6^2)/Inputs!$C$52))</f>
        <v/>
      </c>
      <c r="AB204" s="9">
        <f>(AA204-Z204)*1000</f>
        <v/>
      </c>
      <c r="AC204" s="9">
        <f>AB204/Inputs!$C$12</f>
        <v/>
      </c>
      <c r="AD204" s="9">
        <f>2*AB204/Inputs!$C$21*1000000</f>
        <v/>
      </c>
      <c r="AE204" s="9">
        <f>DEGREES(ATAN(H204/(B204-Y204/1000)))</f>
        <v/>
      </c>
      <c r="AF204" s="9">
        <f>DEGREES((2*PI()/Inputs!$C$13)*Inputs!$C$15*SIN(RADIANS(AE204)))</f>
        <v/>
      </c>
      <c r="AG204" s="9">
        <f>(Z204/AA204)^4</f>
        <v/>
      </c>
      <c r="AH204" s="9">
        <f>10*LOG10(AG204)</f>
        <v/>
      </c>
      <c r="AI204" s="9">
        <f>AC204-F204</f>
        <v/>
      </c>
      <c r="AJ204" s="9">
        <f>AD204-G204</f>
        <v/>
      </c>
      <c r="AK204" s="9">
        <f>Y204-X204</f>
        <v/>
      </c>
      <c r="AL204" s="9">
        <f>1000*(AA205-AA203)/(A205-A203)*Inputs!$C$11</f>
        <v/>
      </c>
      <c r="AM204" s="9">
        <f>-2*AL204/Inputs!$C$13</f>
        <v/>
      </c>
      <c r="AN204" s="9">
        <f>-2*AL204/Inputs!$C$14</f>
        <v/>
      </c>
      <c r="AO204" s="9">
        <f>ABS(AM204)</f>
        <v/>
      </c>
      <c r="AP204" s="9">
        <f>ABS(AN204)</f>
        <v/>
      </c>
      <c r="AQ204" s="9">
        <f>IF(OR(Inputs!$C$27=TRUE,Inputs!$C$27="TRUE",Inputs!$C$27=1),Inputs!$C$46/Inputs!$C$12,0)</f>
        <v/>
      </c>
      <c r="AR204" s="9">
        <f>AC204-AQ204</f>
        <v/>
      </c>
      <c r="AS204" s="9">
        <f>AC204+AQ204</f>
        <v/>
      </c>
    </row>
    <row r="205">
      <c r="A205" s="9">
        <f>Inputs!$C$7+203*(Inputs!$C$8-Inputs!$C$7)/240</f>
        <v/>
      </c>
      <c r="B205" s="9">
        <f>Inputs!$C$5+Inputs!$C$9*(A205/Inputs!$C$10)^2</f>
        <v/>
      </c>
      <c r="C205" s="9">
        <f>B205</f>
        <v/>
      </c>
      <c r="D205" s="9">
        <f>SQRT((Inputs!$C$52+B205)^2+Inputs!$C$52^2-2*(Inputs!$C$52+B205)*Inputs!$C$52*COS(SQRT(A205^2+Inputs!$C$6^2)/Inputs!$C$52))</f>
        <v/>
      </c>
      <c r="E205" s="9">
        <f>(D205-C205)*1000</f>
        <v/>
      </c>
      <c r="F205" s="9">
        <f>E205/Inputs!$C$12</f>
        <v/>
      </c>
      <c r="G205" s="9">
        <f>2*E205/Inputs!$C$21*1000000</f>
        <v/>
      </c>
      <c r="H205" s="9">
        <f>SQRT(A205^2+Inputs!$C$6^2)</f>
        <v/>
      </c>
      <c r="I205" s="9">
        <f>DEGREES(ATAN(H205/B205))</f>
        <v/>
      </c>
      <c r="J205" s="9">
        <f>DEGREES((2*PI()/Inputs!$C$13)*Inputs!$C$15*SIN(RADIANS(I205)))</f>
        <v/>
      </c>
      <c r="K205" s="9">
        <f>(C205/D205)^4</f>
        <v/>
      </c>
      <c r="L205" s="9">
        <f>10*LOG10(K205)</f>
        <v/>
      </c>
      <c r="M205" s="9">
        <f>2*(Inputs!$C$9/(Inputs!$C$10^2))*A205</f>
        <v/>
      </c>
      <c r="N205" s="9">
        <f>M205*Inputs!$C$11</f>
        <v/>
      </c>
      <c r="O205" s="9">
        <f>1000*(D206-D204)/(A206-A204)*Inputs!$C$11</f>
        <v/>
      </c>
      <c r="P205" s="9">
        <f>-2*O205/Inputs!$C$13</f>
        <v/>
      </c>
      <c r="Q205" s="9">
        <f>-2*O205/Inputs!$C$14</f>
        <v/>
      </c>
      <c r="R205" s="9">
        <f>F205-Inputs!$C$16/2</f>
        <v/>
      </c>
      <c r="S205" s="9">
        <f>F205+Inputs!$C$16/2</f>
        <v/>
      </c>
      <c r="T205" s="9">
        <f>F205-Inputs!$C$17/2</f>
        <v/>
      </c>
      <c r="U205" s="9">
        <f>F205+Inputs!$C$17/2</f>
        <v/>
      </c>
      <c r="V205" s="9">
        <f>ABS(P205)</f>
        <v/>
      </c>
      <c r="W205" s="9">
        <f>ABS(Q205)</f>
        <v/>
      </c>
      <c r="X205" s="9">
        <f>IF(OR(Inputs!$C$27=TRUE,Inputs!$C$27="TRUE",Inputs!$C$27=1),1,0)*(Inputs!$C$51*(115*EXP(-(((0)-25)^2)/(4.5^2))+70*EXP(-(((0)+38)^2)/(7^2))*(0.55+0.45*SIN(2*PI()*(A205)/45))+24*SIN(2*PI()*(0)/9+(A205)/18)*EXP(-(((0)+5)^2)/(22^2))+18*SIN(2*PI()*(A205)/70))+Inputs!$C$28*EXP(-(((A205)-Inputs!$C$29)^2)/(2*Inputs!$C$31^2))*EXP(-(((0)-Inputs!$C$30)^2)/(2*Inputs!$C$32^2))+-Inputs!$C$33*EXP(-(((((A205)-Inputs!$C$34)^2)+(((0)-Inputs!$C$35)^2))/(2*Inputs!$C$36^2)))+Inputs!$C$37*(0.55*SIN(2*PI()*(A205)/Inputs!$C$39)+0.35*COS(2*PI()*(0)/Inputs!$C$40)+0.2*SIN(2*PI()*((A205)+(0))/(0.5*(Inputs!$C$39+Inputs!$C$40))))+Inputs!$C$38*SIN(2*PI()*(A205)/Inputs!$C$39)*SIN(2*PI()*(0)/Inputs!$C$40)+-Inputs!$C$41*EXP(-(((0)-Inputs!$C$43)^2)/(2*Inputs!$C$44^2))*EXP(-(((A205)-Inputs!$C$42)^2)/(2*Inputs!$C$45^2))+Inputs!$C$48*(0.7*(0.45*SIN(2*PI()*(((A205)/Inputs!$C$49)+Inputs!$C$47*0.137))+0.35*COS(2*PI()*(((0)/Inputs!$C$50)+Inputs!$C$47*0.173))+0.2*SIN(2*PI()*(((A205)+(0))/(0.5*(Inputs!$C$49+Inputs!$C$50))+Inputs!$C$47*0.097)))+0.3*(2*((SIN(((A205)*12.9898+(0)*78.233+Inputs!$C$47*37.719))*43758.5453)-INT((SIN(((A205)*12.9898+(0)*78.233+Inputs!$C$47*37.719))*43758.5453)))-1)))</f>
        <v/>
      </c>
      <c r="Y205" s="9">
        <f>IF(OR(Inputs!$C$27=TRUE,Inputs!$C$27="TRUE",Inputs!$C$27=1),1,0)*(Inputs!$C$51*(115*EXP(-(((Inputs!$C$6)-25)^2)/(4.5^2))+70*EXP(-(((Inputs!$C$6)+38)^2)/(7^2))*(0.55+0.45*SIN(2*PI()*(A205)/45))+24*SIN(2*PI()*(Inputs!$C$6)/9+(A205)/18)*EXP(-(((Inputs!$C$6)+5)^2)/(22^2))+18*SIN(2*PI()*(A205)/70))+Inputs!$C$28*EXP(-(((A205)-Inputs!$C$29)^2)/(2*Inputs!$C$31^2))*EXP(-(((Inputs!$C$6)-Inputs!$C$30)^2)/(2*Inputs!$C$32^2))+-Inputs!$C$33*EXP(-(((((A205)-Inputs!$C$34)^2)+(((Inputs!$C$6)-Inputs!$C$35)^2))/(2*Inputs!$C$36^2)))+Inputs!$C$37*(0.55*SIN(2*PI()*(A205)/Inputs!$C$39)+0.35*COS(2*PI()*(Inputs!$C$6)/Inputs!$C$40)+0.2*SIN(2*PI()*((A205)+(Inputs!$C$6))/(0.5*(Inputs!$C$39+Inputs!$C$40))))+Inputs!$C$38*SIN(2*PI()*(A205)/Inputs!$C$39)*SIN(2*PI()*(Inputs!$C$6)/Inputs!$C$40)+-Inputs!$C$41*EXP(-(((Inputs!$C$6)-Inputs!$C$43)^2)/(2*Inputs!$C$44^2))*EXP(-(((A205)-Inputs!$C$42)^2)/(2*Inputs!$C$45^2))+Inputs!$C$48*(0.7*(0.45*SIN(2*PI()*(((A205)/Inputs!$C$49)+Inputs!$C$47*0.137))+0.35*COS(2*PI()*(((Inputs!$C$6)/Inputs!$C$50)+Inputs!$C$47*0.173))+0.2*SIN(2*PI()*(((A205)+(Inputs!$C$6))/(0.5*(Inputs!$C$49+Inputs!$C$50))+Inputs!$C$47*0.097)))+0.3*(2*((SIN(((A205)*12.9898+(Inputs!$C$6)*78.233+Inputs!$C$47*37.719))*43758.5453)-INT((SIN(((A205)*12.9898+(Inputs!$C$6)*78.233+Inputs!$C$47*37.719))*43758.5453)))-1)))</f>
        <v/>
      </c>
      <c r="Z205" s="9">
        <f>B205-X205/1000</f>
        <v/>
      </c>
      <c r="AA205" s="9">
        <f>SQRT((Inputs!$C$52+B205)^2+(Inputs!$C$52+Y205/1000)^2-2*(Inputs!$C$52+B205)*(Inputs!$C$52+Y205/1000)*COS(SQRT(A205^2+Inputs!$C$6^2)/Inputs!$C$52))</f>
        <v/>
      </c>
      <c r="AB205" s="9">
        <f>(AA205-Z205)*1000</f>
        <v/>
      </c>
      <c r="AC205" s="9">
        <f>AB205/Inputs!$C$12</f>
        <v/>
      </c>
      <c r="AD205" s="9">
        <f>2*AB205/Inputs!$C$21*1000000</f>
        <v/>
      </c>
      <c r="AE205" s="9">
        <f>DEGREES(ATAN(H205/(B205-Y205/1000)))</f>
        <v/>
      </c>
      <c r="AF205" s="9">
        <f>DEGREES((2*PI()/Inputs!$C$13)*Inputs!$C$15*SIN(RADIANS(AE205)))</f>
        <v/>
      </c>
      <c r="AG205" s="9">
        <f>(Z205/AA205)^4</f>
        <v/>
      </c>
      <c r="AH205" s="9">
        <f>10*LOG10(AG205)</f>
        <v/>
      </c>
      <c r="AI205" s="9">
        <f>AC205-F205</f>
        <v/>
      </c>
      <c r="AJ205" s="9">
        <f>AD205-G205</f>
        <v/>
      </c>
      <c r="AK205" s="9">
        <f>Y205-X205</f>
        <v/>
      </c>
      <c r="AL205" s="9">
        <f>1000*(AA206-AA204)/(A206-A204)*Inputs!$C$11</f>
        <v/>
      </c>
      <c r="AM205" s="9">
        <f>-2*AL205/Inputs!$C$13</f>
        <v/>
      </c>
      <c r="AN205" s="9">
        <f>-2*AL205/Inputs!$C$14</f>
        <v/>
      </c>
      <c r="AO205" s="9">
        <f>ABS(AM205)</f>
        <v/>
      </c>
      <c r="AP205" s="9">
        <f>ABS(AN205)</f>
        <v/>
      </c>
      <c r="AQ205" s="9">
        <f>IF(OR(Inputs!$C$27=TRUE,Inputs!$C$27="TRUE",Inputs!$C$27=1),Inputs!$C$46/Inputs!$C$12,0)</f>
        <v/>
      </c>
      <c r="AR205" s="9">
        <f>AC205-AQ205</f>
        <v/>
      </c>
      <c r="AS205" s="9">
        <f>AC205+AQ205</f>
        <v/>
      </c>
    </row>
    <row r="206">
      <c r="A206" s="9">
        <f>Inputs!$C$7+204*(Inputs!$C$8-Inputs!$C$7)/240</f>
        <v/>
      </c>
      <c r="B206" s="9">
        <f>Inputs!$C$5+Inputs!$C$9*(A206/Inputs!$C$10)^2</f>
        <v/>
      </c>
      <c r="C206" s="9">
        <f>B206</f>
        <v/>
      </c>
      <c r="D206" s="9">
        <f>SQRT((Inputs!$C$52+B206)^2+Inputs!$C$52^2-2*(Inputs!$C$52+B206)*Inputs!$C$52*COS(SQRT(A206^2+Inputs!$C$6^2)/Inputs!$C$52))</f>
        <v/>
      </c>
      <c r="E206" s="9">
        <f>(D206-C206)*1000</f>
        <v/>
      </c>
      <c r="F206" s="9">
        <f>E206/Inputs!$C$12</f>
        <v/>
      </c>
      <c r="G206" s="9">
        <f>2*E206/Inputs!$C$21*1000000</f>
        <v/>
      </c>
      <c r="H206" s="9">
        <f>SQRT(A206^2+Inputs!$C$6^2)</f>
        <v/>
      </c>
      <c r="I206" s="9">
        <f>DEGREES(ATAN(H206/B206))</f>
        <v/>
      </c>
      <c r="J206" s="9">
        <f>DEGREES((2*PI()/Inputs!$C$13)*Inputs!$C$15*SIN(RADIANS(I206)))</f>
        <v/>
      </c>
      <c r="K206" s="9">
        <f>(C206/D206)^4</f>
        <v/>
      </c>
      <c r="L206" s="9">
        <f>10*LOG10(K206)</f>
        <v/>
      </c>
      <c r="M206" s="9">
        <f>2*(Inputs!$C$9/(Inputs!$C$10^2))*A206</f>
        <v/>
      </c>
      <c r="N206" s="9">
        <f>M206*Inputs!$C$11</f>
        <v/>
      </c>
      <c r="O206" s="9">
        <f>1000*(D207-D205)/(A207-A205)*Inputs!$C$11</f>
        <v/>
      </c>
      <c r="P206" s="9">
        <f>-2*O206/Inputs!$C$13</f>
        <v/>
      </c>
      <c r="Q206" s="9">
        <f>-2*O206/Inputs!$C$14</f>
        <v/>
      </c>
      <c r="R206" s="9">
        <f>F206-Inputs!$C$16/2</f>
        <v/>
      </c>
      <c r="S206" s="9">
        <f>F206+Inputs!$C$16/2</f>
        <v/>
      </c>
      <c r="T206" s="9">
        <f>F206-Inputs!$C$17/2</f>
        <v/>
      </c>
      <c r="U206" s="9">
        <f>F206+Inputs!$C$17/2</f>
        <v/>
      </c>
      <c r="V206" s="9">
        <f>ABS(P206)</f>
        <v/>
      </c>
      <c r="W206" s="9">
        <f>ABS(Q206)</f>
        <v/>
      </c>
      <c r="X206" s="9">
        <f>IF(OR(Inputs!$C$27=TRUE,Inputs!$C$27="TRUE",Inputs!$C$27=1),1,0)*(Inputs!$C$51*(115*EXP(-(((0)-25)^2)/(4.5^2))+70*EXP(-(((0)+38)^2)/(7^2))*(0.55+0.45*SIN(2*PI()*(A206)/45))+24*SIN(2*PI()*(0)/9+(A206)/18)*EXP(-(((0)+5)^2)/(22^2))+18*SIN(2*PI()*(A206)/70))+Inputs!$C$28*EXP(-(((A206)-Inputs!$C$29)^2)/(2*Inputs!$C$31^2))*EXP(-(((0)-Inputs!$C$30)^2)/(2*Inputs!$C$32^2))+-Inputs!$C$33*EXP(-(((((A206)-Inputs!$C$34)^2)+(((0)-Inputs!$C$35)^2))/(2*Inputs!$C$36^2)))+Inputs!$C$37*(0.55*SIN(2*PI()*(A206)/Inputs!$C$39)+0.35*COS(2*PI()*(0)/Inputs!$C$40)+0.2*SIN(2*PI()*((A206)+(0))/(0.5*(Inputs!$C$39+Inputs!$C$40))))+Inputs!$C$38*SIN(2*PI()*(A206)/Inputs!$C$39)*SIN(2*PI()*(0)/Inputs!$C$40)+-Inputs!$C$41*EXP(-(((0)-Inputs!$C$43)^2)/(2*Inputs!$C$44^2))*EXP(-(((A206)-Inputs!$C$42)^2)/(2*Inputs!$C$45^2))+Inputs!$C$48*(0.7*(0.45*SIN(2*PI()*(((A206)/Inputs!$C$49)+Inputs!$C$47*0.137))+0.35*COS(2*PI()*(((0)/Inputs!$C$50)+Inputs!$C$47*0.173))+0.2*SIN(2*PI()*(((A206)+(0))/(0.5*(Inputs!$C$49+Inputs!$C$50))+Inputs!$C$47*0.097)))+0.3*(2*((SIN(((A206)*12.9898+(0)*78.233+Inputs!$C$47*37.719))*43758.5453)-INT((SIN(((A206)*12.9898+(0)*78.233+Inputs!$C$47*37.719))*43758.5453)))-1)))</f>
        <v/>
      </c>
      <c r="Y206" s="9">
        <f>IF(OR(Inputs!$C$27=TRUE,Inputs!$C$27="TRUE",Inputs!$C$27=1),1,0)*(Inputs!$C$51*(115*EXP(-(((Inputs!$C$6)-25)^2)/(4.5^2))+70*EXP(-(((Inputs!$C$6)+38)^2)/(7^2))*(0.55+0.45*SIN(2*PI()*(A206)/45))+24*SIN(2*PI()*(Inputs!$C$6)/9+(A206)/18)*EXP(-(((Inputs!$C$6)+5)^2)/(22^2))+18*SIN(2*PI()*(A206)/70))+Inputs!$C$28*EXP(-(((A206)-Inputs!$C$29)^2)/(2*Inputs!$C$31^2))*EXP(-(((Inputs!$C$6)-Inputs!$C$30)^2)/(2*Inputs!$C$32^2))+-Inputs!$C$33*EXP(-(((((A206)-Inputs!$C$34)^2)+(((Inputs!$C$6)-Inputs!$C$35)^2))/(2*Inputs!$C$36^2)))+Inputs!$C$37*(0.55*SIN(2*PI()*(A206)/Inputs!$C$39)+0.35*COS(2*PI()*(Inputs!$C$6)/Inputs!$C$40)+0.2*SIN(2*PI()*((A206)+(Inputs!$C$6))/(0.5*(Inputs!$C$39+Inputs!$C$40))))+Inputs!$C$38*SIN(2*PI()*(A206)/Inputs!$C$39)*SIN(2*PI()*(Inputs!$C$6)/Inputs!$C$40)+-Inputs!$C$41*EXP(-(((Inputs!$C$6)-Inputs!$C$43)^2)/(2*Inputs!$C$44^2))*EXP(-(((A206)-Inputs!$C$42)^2)/(2*Inputs!$C$45^2))+Inputs!$C$48*(0.7*(0.45*SIN(2*PI()*(((A206)/Inputs!$C$49)+Inputs!$C$47*0.137))+0.35*COS(2*PI()*(((Inputs!$C$6)/Inputs!$C$50)+Inputs!$C$47*0.173))+0.2*SIN(2*PI()*(((A206)+(Inputs!$C$6))/(0.5*(Inputs!$C$49+Inputs!$C$50))+Inputs!$C$47*0.097)))+0.3*(2*((SIN(((A206)*12.9898+(Inputs!$C$6)*78.233+Inputs!$C$47*37.719))*43758.5453)-INT((SIN(((A206)*12.9898+(Inputs!$C$6)*78.233+Inputs!$C$47*37.719))*43758.5453)))-1)))</f>
        <v/>
      </c>
      <c r="Z206" s="9">
        <f>B206-X206/1000</f>
        <v/>
      </c>
      <c r="AA206" s="9">
        <f>SQRT((Inputs!$C$52+B206)^2+(Inputs!$C$52+Y206/1000)^2-2*(Inputs!$C$52+B206)*(Inputs!$C$52+Y206/1000)*COS(SQRT(A206^2+Inputs!$C$6^2)/Inputs!$C$52))</f>
        <v/>
      </c>
      <c r="AB206" s="9">
        <f>(AA206-Z206)*1000</f>
        <v/>
      </c>
      <c r="AC206" s="9">
        <f>AB206/Inputs!$C$12</f>
        <v/>
      </c>
      <c r="AD206" s="9">
        <f>2*AB206/Inputs!$C$21*1000000</f>
        <v/>
      </c>
      <c r="AE206" s="9">
        <f>DEGREES(ATAN(H206/(B206-Y206/1000)))</f>
        <v/>
      </c>
      <c r="AF206" s="9">
        <f>DEGREES((2*PI()/Inputs!$C$13)*Inputs!$C$15*SIN(RADIANS(AE206)))</f>
        <v/>
      </c>
      <c r="AG206" s="9">
        <f>(Z206/AA206)^4</f>
        <v/>
      </c>
      <c r="AH206" s="9">
        <f>10*LOG10(AG206)</f>
        <v/>
      </c>
      <c r="AI206" s="9">
        <f>AC206-F206</f>
        <v/>
      </c>
      <c r="AJ206" s="9">
        <f>AD206-G206</f>
        <v/>
      </c>
      <c r="AK206" s="9">
        <f>Y206-X206</f>
        <v/>
      </c>
      <c r="AL206" s="9">
        <f>1000*(AA207-AA205)/(A207-A205)*Inputs!$C$11</f>
        <v/>
      </c>
      <c r="AM206" s="9">
        <f>-2*AL206/Inputs!$C$13</f>
        <v/>
      </c>
      <c r="AN206" s="9">
        <f>-2*AL206/Inputs!$C$14</f>
        <v/>
      </c>
      <c r="AO206" s="9">
        <f>ABS(AM206)</f>
        <v/>
      </c>
      <c r="AP206" s="9">
        <f>ABS(AN206)</f>
        <v/>
      </c>
      <c r="AQ206" s="9">
        <f>IF(OR(Inputs!$C$27=TRUE,Inputs!$C$27="TRUE",Inputs!$C$27=1),Inputs!$C$46/Inputs!$C$12,0)</f>
        <v/>
      </c>
      <c r="AR206" s="9">
        <f>AC206-AQ206</f>
        <v/>
      </c>
      <c r="AS206" s="9">
        <f>AC206+AQ206</f>
        <v/>
      </c>
    </row>
    <row r="207">
      <c r="A207" s="9">
        <f>Inputs!$C$7+205*(Inputs!$C$8-Inputs!$C$7)/240</f>
        <v/>
      </c>
      <c r="B207" s="9">
        <f>Inputs!$C$5+Inputs!$C$9*(A207/Inputs!$C$10)^2</f>
        <v/>
      </c>
      <c r="C207" s="9">
        <f>B207</f>
        <v/>
      </c>
      <c r="D207" s="9">
        <f>SQRT((Inputs!$C$52+B207)^2+Inputs!$C$52^2-2*(Inputs!$C$52+B207)*Inputs!$C$52*COS(SQRT(A207^2+Inputs!$C$6^2)/Inputs!$C$52))</f>
        <v/>
      </c>
      <c r="E207" s="9">
        <f>(D207-C207)*1000</f>
        <v/>
      </c>
      <c r="F207" s="9">
        <f>E207/Inputs!$C$12</f>
        <v/>
      </c>
      <c r="G207" s="9">
        <f>2*E207/Inputs!$C$21*1000000</f>
        <v/>
      </c>
      <c r="H207" s="9">
        <f>SQRT(A207^2+Inputs!$C$6^2)</f>
        <v/>
      </c>
      <c r="I207" s="9">
        <f>DEGREES(ATAN(H207/B207))</f>
        <v/>
      </c>
      <c r="J207" s="9">
        <f>DEGREES((2*PI()/Inputs!$C$13)*Inputs!$C$15*SIN(RADIANS(I207)))</f>
        <v/>
      </c>
      <c r="K207" s="9">
        <f>(C207/D207)^4</f>
        <v/>
      </c>
      <c r="L207" s="9">
        <f>10*LOG10(K207)</f>
        <v/>
      </c>
      <c r="M207" s="9">
        <f>2*(Inputs!$C$9/(Inputs!$C$10^2))*A207</f>
        <v/>
      </c>
      <c r="N207" s="9">
        <f>M207*Inputs!$C$11</f>
        <v/>
      </c>
      <c r="O207" s="9">
        <f>1000*(D208-D206)/(A208-A206)*Inputs!$C$11</f>
        <v/>
      </c>
      <c r="P207" s="9">
        <f>-2*O207/Inputs!$C$13</f>
        <v/>
      </c>
      <c r="Q207" s="9">
        <f>-2*O207/Inputs!$C$14</f>
        <v/>
      </c>
      <c r="R207" s="9">
        <f>F207-Inputs!$C$16/2</f>
        <v/>
      </c>
      <c r="S207" s="9">
        <f>F207+Inputs!$C$16/2</f>
        <v/>
      </c>
      <c r="T207" s="9">
        <f>F207-Inputs!$C$17/2</f>
        <v/>
      </c>
      <c r="U207" s="9">
        <f>F207+Inputs!$C$17/2</f>
        <v/>
      </c>
      <c r="V207" s="9">
        <f>ABS(P207)</f>
        <v/>
      </c>
      <c r="W207" s="9">
        <f>ABS(Q207)</f>
        <v/>
      </c>
      <c r="X207" s="9">
        <f>IF(OR(Inputs!$C$27=TRUE,Inputs!$C$27="TRUE",Inputs!$C$27=1),1,0)*(Inputs!$C$51*(115*EXP(-(((0)-25)^2)/(4.5^2))+70*EXP(-(((0)+38)^2)/(7^2))*(0.55+0.45*SIN(2*PI()*(A207)/45))+24*SIN(2*PI()*(0)/9+(A207)/18)*EXP(-(((0)+5)^2)/(22^2))+18*SIN(2*PI()*(A207)/70))+Inputs!$C$28*EXP(-(((A207)-Inputs!$C$29)^2)/(2*Inputs!$C$31^2))*EXP(-(((0)-Inputs!$C$30)^2)/(2*Inputs!$C$32^2))+-Inputs!$C$33*EXP(-(((((A207)-Inputs!$C$34)^2)+(((0)-Inputs!$C$35)^2))/(2*Inputs!$C$36^2)))+Inputs!$C$37*(0.55*SIN(2*PI()*(A207)/Inputs!$C$39)+0.35*COS(2*PI()*(0)/Inputs!$C$40)+0.2*SIN(2*PI()*((A207)+(0))/(0.5*(Inputs!$C$39+Inputs!$C$40))))+Inputs!$C$38*SIN(2*PI()*(A207)/Inputs!$C$39)*SIN(2*PI()*(0)/Inputs!$C$40)+-Inputs!$C$41*EXP(-(((0)-Inputs!$C$43)^2)/(2*Inputs!$C$44^2))*EXP(-(((A207)-Inputs!$C$42)^2)/(2*Inputs!$C$45^2))+Inputs!$C$48*(0.7*(0.45*SIN(2*PI()*(((A207)/Inputs!$C$49)+Inputs!$C$47*0.137))+0.35*COS(2*PI()*(((0)/Inputs!$C$50)+Inputs!$C$47*0.173))+0.2*SIN(2*PI()*(((A207)+(0))/(0.5*(Inputs!$C$49+Inputs!$C$50))+Inputs!$C$47*0.097)))+0.3*(2*((SIN(((A207)*12.9898+(0)*78.233+Inputs!$C$47*37.719))*43758.5453)-INT((SIN(((A207)*12.9898+(0)*78.233+Inputs!$C$47*37.719))*43758.5453)))-1)))</f>
        <v/>
      </c>
      <c r="Y207" s="9">
        <f>IF(OR(Inputs!$C$27=TRUE,Inputs!$C$27="TRUE",Inputs!$C$27=1),1,0)*(Inputs!$C$51*(115*EXP(-(((Inputs!$C$6)-25)^2)/(4.5^2))+70*EXP(-(((Inputs!$C$6)+38)^2)/(7^2))*(0.55+0.45*SIN(2*PI()*(A207)/45))+24*SIN(2*PI()*(Inputs!$C$6)/9+(A207)/18)*EXP(-(((Inputs!$C$6)+5)^2)/(22^2))+18*SIN(2*PI()*(A207)/70))+Inputs!$C$28*EXP(-(((A207)-Inputs!$C$29)^2)/(2*Inputs!$C$31^2))*EXP(-(((Inputs!$C$6)-Inputs!$C$30)^2)/(2*Inputs!$C$32^2))+-Inputs!$C$33*EXP(-(((((A207)-Inputs!$C$34)^2)+(((Inputs!$C$6)-Inputs!$C$35)^2))/(2*Inputs!$C$36^2)))+Inputs!$C$37*(0.55*SIN(2*PI()*(A207)/Inputs!$C$39)+0.35*COS(2*PI()*(Inputs!$C$6)/Inputs!$C$40)+0.2*SIN(2*PI()*((A207)+(Inputs!$C$6))/(0.5*(Inputs!$C$39+Inputs!$C$40))))+Inputs!$C$38*SIN(2*PI()*(A207)/Inputs!$C$39)*SIN(2*PI()*(Inputs!$C$6)/Inputs!$C$40)+-Inputs!$C$41*EXP(-(((Inputs!$C$6)-Inputs!$C$43)^2)/(2*Inputs!$C$44^2))*EXP(-(((A207)-Inputs!$C$42)^2)/(2*Inputs!$C$45^2))+Inputs!$C$48*(0.7*(0.45*SIN(2*PI()*(((A207)/Inputs!$C$49)+Inputs!$C$47*0.137))+0.35*COS(2*PI()*(((Inputs!$C$6)/Inputs!$C$50)+Inputs!$C$47*0.173))+0.2*SIN(2*PI()*(((A207)+(Inputs!$C$6))/(0.5*(Inputs!$C$49+Inputs!$C$50))+Inputs!$C$47*0.097)))+0.3*(2*((SIN(((A207)*12.9898+(Inputs!$C$6)*78.233+Inputs!$C$47*37.719))*43758.5453)-INT((SIN(((A207)*12.9898+(Inputs!$C$6)*78.233+Inputs!$C$47*37.719))*43758.5453)))-1)))</f>
        <v/>
      </c>
      <c r="Z207" s="9">
        <f>B207-X207/1000</f>
        <v/>
      </c>
      <c r="AA207" s="9">
        <f>SQRT((Inputs!$C$52+B207)^2+(Inputs!$C$52+Y207/1000)^2-2*(Inputs!$C$52+B207)*(Inputs!$C$52+Y207/1000)*COS(SQRT(A207^2+Inputs!$C$6^2)/Inputs!$C$52))</f>
        <v/>
      </c>
      <c r="AB207" s="9">
        <f>(AA207-Z207)*1000</f>
        <v/>
      </c>
      <c r="AC207" s="9">
        <f>AB207/Inputs!$C$12</f>
        <v/>
      </c>
      <c r="AD207" s="9">
        <f>2*AB207/Inputs!$C$21*1000000</f>
        <v/>
      </c>
      <c r="AE207" s="9">
        <f>DEGREES(ATAN(H207/(B207-Y207/1000)))</f>
        <v/>
      </c>
      <c r="AF207" s="9">
        <f>DEGREES((2*PI()/Inputs!$C$13)*Inputs!$C$15*SIN(RADIANS(AE207)))</f>
        <v/>
      </c>
      <c r="AG207" s="9">
        <f>(Z207/AA207)^4</f>
        <v/>
      </c>
      <c r="AH207" s="9">
        <f>10*LOG10(AG207)</f>
        <v/>
      </c>
      <c r="AI207" s="9">
        <f>AC207-F207</f>
        <v/>
      </c>
      <c r="AJ207" s="9">
        <f>AD207-G207</f>
        <v/>
      </c>
      <c r="AK207" s="9">
        <f>Y207-X207</f>
        <v/>
      </c>
      <c r="AL207" s="9">
        <f>1000*(AA208-AA206)/(A208-A206)*Inputs!$C$11</f>
        <v/>
      </c>
      <c r="AM207" s="9">
        <f>-2*AL207/Inputs!$C$13</f>
        <v/>
      </c>
      <c r="AN207" s="9">
        <f>-2*AL207/Inputs!$C$14</f>
        <v/>
      </c>
      <c r="AO207" s="9">
        <f>ABS(AM207)</f>
        <v/>
      </c>
      <c r="AP207" s="9">
        <f>ABS(AN207)</f>
        <v/>
      </c>
      <c r="AQ207" s="9">
        <f>IF(OR(Inputs!$C$27=TRUE,Inputs!$C$27="TRUE",Inputs!$C$27=1),Inputs!$C$46/Inputs!$C$12,0)</f>
        <v/>
      </c>
      <c r="AR207" s="9">
        <f>AC207-AQ207</f>
        <v/>
      </c>
      <c r="AS207" s="9">
        <f>AC207+AQ207</f>
        <v/>
      </c>
    </row>
    <row r="208">
      <c r="A208" s="9">
        <f>Inputs!$C$7+206*(Inputs!$C$8-Inputs!$C$7)/240</f>
        <v/>
      </c>
      <c r="B208" s="9">
        <f>Inputs!$C$5+Inputs!$C$9*(A208/Inputs!$C$10)^2</f>
        <v/>
      </c>
      <c r="C208" s="9">
        <f>B208</f>
        <v/>
      </c>
      <c r="D208" s="9">
        <f>SQRT((Inputs!$C$52+B208)^2+Inputs!$C$52^2-2*(Inputs!$C$52+B208)*Inputs!$C$52*COS(SQRT(A208^2+Inputs!$C$6^2)/Inputs!$C$52))</f>
        <v/>
      </c>
      <c r="E208" s="9">
        <f>(D208-C208)*1000</f>
        <v/>
      </c>
      <c r="F208" s="9">
        <f>E208/Inputs!$C$12</f>
        <v/>
      </c>
      <c r="G208" s="9">
        <f>2*E208/Inputs!$C$21*1000000</f>
        <v/>
      </c>
      <c r="H208" s="9">
        <f>SQRT(A208^2+Inputs!$C$6^2)</f>
        <v/>
      </c>
      <c r="I208" s="9">
        <f>DEGREES(ATAN(H208/B208))</f>
        <v/>
      </c>
      <c r="J208" s="9">
        <f>DEGREES((2*PI()/Inputs!$C$13)*Inputs!$C$15*SIN(RADIANS(I208)))</f>
        <v/>
      </c>
      <c r="K208" s="9">
        <f>(C208/D208)^4</f>
        <v/>
      </c>
      <c r="L208" s="9">
        <f>10*LOG10(K208)</f>
        <v/>
      </c>
      <c r="M208" s="9">
        <f>2*(Inputs!$C$9/(Inputs!$C$10^2))*A208</f>
        <v/>
      </c>
      <c r="N208" s="9">
        <f>M208*Inputs!$C$11</f>
        <v/>
      </c>
      <c r="O208" s="9">
        <f>1000*(D209-D207)/(A209-A207)*Inputs!$C$11</f>
        <v/>
      </c>
      <c r="P208" s="9">
        <f>-2*O208/Inputs!$C$13</f>
        <v/>
      </c>
      <c r="Q208" s="9">
        <f>-2*O208/Inputs!$C$14</f>
        <v/>
      </c>
      <c r="R208" s="9">
        <f>F208-Inputs!$C$16/2</f>
        <v/>
      </c>
      <c r="S208" s="9">
        <f>F208+Inputs!$C$16/2</f>
        <v/>
      </c>
      <c r="T208" s="9">
        <f>F208-Inputs!$C$17/2</f>
        <v/>
      </c>
      <c r="U208" s="9">
        <f>F208+Inputs!$C$17/2</f>
        <v/>
      </c>
      <c r="V208" s="9">
        <f>ABS(P208)</f>
        <v/>
      </c>
      <c r="W208" s="9">
        <f>ABS(Q208)</f>
        <v/>
      </c>
      <c r="X208" s="9">
        <f>IF(OR(Inputs!$C$27=TRUE,Inputs!$C$27="TRUE",Inputs!$C$27=1),1,0)*(Inputs!$C$51*(115*EXP(-(((0)-25)^2)/(4.5^2))+70*EXP(-(((0)+38)^2)/(7^2))*(0.55+0.45*SIN(2*PI()*(A208)/45))+24*SIN(2*PI()*(0)/9+(A208)/18)*EXP(-(((0)+5)^2)/(22^2))+18*SIN(2*PI()*(A208)/70))+Inputs!$C$28*EXP(-(((A208)-Inputs!$C$29)^2)/(2*Inputs!$C$31^2))*EXP(-(((0)-Inputs!$C$30)^2)/(2*Inputs!$C$32^2))+-Inputs!$C$33*EXP(-(((((A208)-Inputs!$C$34)^2)+(((0)-Inputs!$C$35)^2))/(2*Inputs!$C$36^2)))+Inputs!$C$37*(0.55*SIN(2*PI()*(A208)/Inputs!$C$39)+0.35*COS(2*PI()*(0)/Inputs!$C$40)+0.2*SIN(2*PI()*((A208)+(0))/(0.5*(Inputs!$C$39+Inputs!$C$40))))+Inputs!$C$38*SIN(2*PI()*(A208)/Inputs!$C$39)*SIN(2*PI()*(0)/Inputs!$C$40)+-Inputs!$C$41*EXP(-(((0)-Inputs!$C$43)^2)/(2*Inputs!$C$44^2))*EXP(-(((A208)-Inputs!$C$42)^2)/(2*Inputs!$C$45^2))+Inputs!$C$48*(0.7*(0.45*SIN(2*PI()*(((A208)/Inputs!$C$49)+Inputs!$C$47*0.137))+0.35*COS(2*PI()*(((0)/Inputs!$C$50)+Inputs!$C$47*0.173))+0.2*SIN(2*PI()*(((A208)+(0))/(0.5*(Inputs!$C$49+Inputs!$C$50))+Inputs!$C$47*0.097)))+0.3*(2*((SIN(((A208)*12.9898+(0)*78.233+Inputs!$C$47*37.719))*43758.5453)-INT((SIN(((A208)*12.9898+(0)*78.233+Inputs!$C$47*37.719))*43758.5453)))-1)))</f>
        <v/>
      </c>
      <c r="Y208" s="9">
        <f>IF(OR(Inputs!$C$27=TRUE,Inputs!$C$27="TRUE",Inputs!$C$27=1),1,0)*(Inputs!$C$51*(115*EXP(-(((Inputs!$C$6)-25)^2)/(4.5^2))+70*EXP(-(((Inputs!$C$6)+38)^2)/(7^2))*(0.55+0.45*SIN(2*PI()*(A208)/45))+24*SIN(2*PI()*(Inputs!$C$6)/9+(A208)/18)*EXP(-(((Inputs!$C$6)+5)^2)/(22^2))+18*SIN(2*PI()*(A208)/70))+Inputs!$C$28*EXP(-(((A208)-Inputs!$C$29)^2)/(2*Inputs!$C$31^2))*EXP(-(((Inputs!$C$6)-Inputs!$C$30)^2)/(2*Inputs!$C$32^2))+-Inputs!$C$33*EXP(-(((((A208)-Inputs!$C$34)^2)+(((Inputs!$C$6)-Inputs!$C$35)^2))/(2*Inputs!$C$36^2)))+Inputs!$C$37*(0.55*SIN(2*PI()*(A208)/Inputs!$C$39)+0.35*COS(2*PI()*(Inputs!$C$6)/Inputs!$C$40)+0.2*SIN(2*PI()*((A208)+(Inputs!$C$6))/(0.5*(Inputs!$C$39+Inputs!$C$40))))+Inputs!$C$38*SIN(2*PI()*(A208)/Inputs!$C$39)*SIN(2*PI()*(Inputs!$C$6)/Inputs!$C$40)+-Inputs!$C$41*EXP(-(((Inputs!$C$6)-Inputs!$C$43)^2)/(2*Inputs!$C$44^2))*EXP(-(((A208)-Inputs!$C$42)^2)/(2*Inputs!$C$45^2))+Inputs!$C$48*(0.7*(0.45*SIN(2*PI()*(((A208)/Inputs!$C$49)+Inputs!$C$47*0.137))+0.35*COS(2*PI()*(((Inputs!$C$6)/Inputs!$C$50)+Inputs!$C$47*0.173))+0.2*SIN(2*PI()*(((A208)+(Inputs!$C$6))/(0.5*(Inputs!$C$49+Inputs!$C$50))+Inputs!$C$47*0.097)))+0.3*(2*((SIN(((A208)*12.9898+(Inputs!$C$6)*78.233+Inputs!$C$47*37.719))*43758.5453)-INT((SIN(((A208)*12.9898+(Inputs!$C$6)*78.233+Inputs!$C$47*37.719))*43758.5453)))-1)))</f>
        <v/>
      </c>
      <c r="Z208" s="9">
        <f>B208-X208/1000</f>
        <v/>
      </c>
      <c r="AA208" s="9">
        <f>SQRT((Inputs!$C$52+B208)^2+(Inputs!$C$52+Y208/1000)^2-2*(Inputs!$C$52+B208)*(Inputs!$C$52+Y208/1000)*COS(SQRT(A208^2+Inputs!$C$6^2)/Inputs!$C$52))</f>
        <v/>
      </c>
      <c r="AB208" s="9">
        <f>(AA208-Z208)*1000</f>
        <v/>
      </c>
      <c r="AC208" s="9">
        <f>AB208/Inputs!$C$12</f>
        <v/>
      </c>
      <c r="AD208" s="9">
        <f>2*AB208/Inputs!$C$21*1000000</f>
        <v/>
      </c>
      <c r="AE208" s="9">
        <f>DEGREES(ATAN(H208/(B208-Y208/1000)))</f>
        <v/>
      </c>
      <c r="AF208" s="9">
        <f>DEGREES((2*PI()/Inputs!$C$13)*Inputs!$C$15*SIN(RADIANS(AE208)))</f>
        <v/>
      </c>
      <c r="AG208" s="9">
        <f>(Z208/AA208)^4</f>
        <v/>
      </c>
      <c r="AH208" s="9">
        <f>10*LOG10(AG208)</f>
        <v/>
      </c>
      <c r="AI208" s="9">
        <f>AC208-F208</f>
        <v/>
      </c>
      <c r="AJ208" s="9">
        <f>AD208-G208</f>
        <v/>
      </c>
      <c r="AK208" s="9">
        <f>Y208-X208</f>
        <v/>
      </c>
      <c r="AL208" s="9">
        <f>1000*(AA209-AA207)/(A209-A207)*Inputs!$C$11</f>
        <v/>
      </c>
      <c r="AM208" s="9">
        <f>-2*AL208/Inputs!$C$13</f>
        <v/>
      </c>
      <c r="AN208" s="9">
        <f>-2*AL208/Inputs!$C$14</f>
        <v/>
      </c>
      <c r="AO208" s="9">
        <f>ABS(AM208)</f>
        <v/>
      </c>
      <c r="AP208" s="9">
        <f>ABS(AN208)</f>
        <v/>
      </c>
      <c r="AQ208" s="9">
        <f>IF(OR(Inputs!$C$27=TRUE,Inputs!$C$27="TRUE",Inputs!$C$27=1),Inputs!$C$46/Inputs!$C$12,0)</f>
        <v/>
      </c>
      <c r="AR208" s="9">
        <f>AC208-AQ208</f>
        <v/>
      </c>
      <c r="AS208" s="9">
        <f>AC208+AQ208</f>
        <v/>
      </c>
    </row>
    <row r="209">
      <c r="A209" s="9">
        <f>Inputs!$C$7+207*(Inputs!$C$8-Inputs!$C$7)/240</f>
        <v/>
      </c>
      <c r="B209" s="9">
        <f>Inputs!$C$5+Inputs!$C$9*(A209/Inputs!$C$10)^2</f>
        <v/>
      </c>
      <c r="C209" s="9">
        <f>B209</f>
        <v/>
      </c>
      <c r="D209" s="9">
        <f>SQRT((Inputs!$C$52+B209)^2+Inputs!$C$52^2-2*(Inputs!$C$52+B209)*Inputs!$C$52*COS(SQRT(A209^2+Inputs!$C$6^2)/Inputs!$C$52))</f>
        <v/>
      </c>
      <c r="E209" s="9">
        <f>(D209-C209)*1000</f>
        <v/>
      </c>
      <c r="F209" s="9">
        <f>E209/Inputs!$C$12</f>
        <v/>
      </c>
      <c r="G209" s="9">
        <f>2*E209/Inputs!$C$21*1000000</f>
        <v/>
      </c>
      <c r="H209" s="9">
        <f>SQRT(A209^2+Inputs!$C$6^2)</f>
        <v/>
      </c>
      <c r="I209" s="9">
        <f>DEGREES(ATAN(H209/B209))</f>
        <v/>
      </c>
      <c r="J209" s="9">
        <f>DEGREES((2*PI()/Inputs!$C$13)*Inputs!$C$15*SIN(RADIANS(I209)))</f>
        <v/>
      </c>
      <c r="K209" s="9">
        <f>(C209/D209)^4</f>
        <v/>
      </c>
      <c r="L209" s="9">
        <f>10*LOG10(K209)</f>
        <v/>
      </c>
      <c r="M209" s="9">
        <f>2*(Inputs!$C$9/(Inputs!$C$10^2))*A209</f>
        <v/>
      </c>
      <c r="N209" s="9">
        <f>M209*Inputs!$C$11</f>
        <v/>
      </c>
      <c r="O209" s="9">
        <f>1000*(D210-D208)/(A210-A208)*Inputs!$C$11</f>
        <v/>
      </c>
      <c r="P209" s="9">
        <f>-2*O209/Inputs!$C$13</f>
        <v/>
      </c>
      <c r="Q209" s="9">
        <f>-2*O209/Inputs!$C$14</f>
        <v/>
      </c>
      <c r="R209" s="9">
        <f>F209-Inputs!$C$16/2</f>
        <v/>
      </c>
      <c r="S209" s="9">
        <f>F209+Inputs!$C$16/2</f>
        <v/>
      </c>
      <c r="T209" s="9">
        <f>F209-Inputs!$C$17/2</f>
        <v/>
      </c>
      <c r="U209" s="9">
        <f>F209+Inputs!$C$17/2</f>
        <v/>
      </c>
      <c r="V209" s="9">
        <f>ABS(P209)</f>
        <v/>
      </c>
      <c r="W209" s="9">
        <f>ABS(Q209)</f>
        <v/>
      </c>
      <c r="X209" s="9">
        <f>IF(OR(Inputs!$C$27=TRUE,Inputs!$C$27="TRUE",Inputs!$C$27=1),1,0)*(Inputs!$C$51*(115*EXP(-(((0)-25)^2)/(4.5^2))+70*EXP(-(((0)+38)^2)/(7^2))*(0.55+0.45*SIN(2*PI()*(A209)/45))+24*SIN(2*PI()*(0)/9+(A209)/18)*EXP(-(((0)+5)^2)/(22^2))+18*SIN(2*PI()*(A209)/70))+Inputs!$C$28*EXP(-(((A209)-Inputs!$C$29)^2)/(2*Inputs!$C$31^2))*EXP(-(((0)-Inputs!$C$30)^2)/(2*Inputs!$C$32^2))+-Inputs!$C$33*EXP(-(((((A209)-Inputs!$C$34)^2)+(((0)-Inputs!$C$35)^2))/(2*Inputs!$C$36^2)))+Inputs!$C$37*(0.55*SIN(2*PI()*(A209)/Inputs!$C$39)+0.35*COS(2*PI()*(0)/Inputs!$C$40)+0.2*SIN(2*PI()*((A209)+(0))/(0.5*(Inputs!$C$39+Inputs!$C$40))))+Inputs!$C$38*SIN(2*PI()*(A209)/Inputs!$C$39)*SIN(2*PI()*(0)/Inputs!$C$40)+-Inputs!$C$41*EXP(-(((0)-Inputs!$C$43)^2)/(2*Inputs!$C$44^2))*EXP(-(((A209)-Inputs!$C$42)^2)/(2*Inputs!$C$45^2))+Inputs!$C$48*(0.7*(0.45*SIN(2*PI()*(((A209)/Inputs!$C$49)+Inputs!$C$47*0.137))+0.35*COS(2*PI()*(((0)/Inputs!$C$50)+Inputs!$C$47*0.173))+0.2*SIN(2*PI()*(((A209)+(0))/(0.5*(Inputs!$C$49+Inputs!$C$50))+Inputs!$C$47*0.097)))+0.3*(2*((SIN(((A209)*12.9898+(0)*78.233+Inputs!$C$47*37.719))*43758.5453)-INT((SIN(((A209)*12.9898+(0)*78.233+Inputs!$C$47*37.719))*43758.5453)))-1)))</f>
        <v/>
      </c>
      <c r="Y209" s="9">
        <f>IF(OR(Inputs!$C$27=TRUE,Inputs!$C$27="TRUE",Inputs!$C$27=1),1,0)*(Inputs!$C$51*(115*EXP(-(((Inputs!$C$6)-25)^2)/(4.5^2))+70*EXP(-(((Inputs!$C$6)+38)^2)/(7^2))*(0.55+0.45*SIN(2*PI()*(A209)/45))+24*SIN(2*PI()*(Inputs!$C$6)/9+(A209)/18)*EXP(-(((Inputs!$C$6)+5)^2)/(22^2))+18*SIN(2*PI()*(A209)/70))+Inputs!$C$28*EXP(-(((A209)-Inputs!$C$29)^2)/(2*Inputs!$C$31^2))*EXP(-(((Inputs!$C$6)-Inputs!$C$30)^2)/(2*Inputs!$C$32^2))+-Inputs!$C$33*EXP(-(((((A209)-Inputs!$C$34)^2)+(((Inputs!$C$6)-Inputs!$C$35)^2))/(2*Inputs!$C$36^2)))+Inputs!$C$37*(0.55*SIN(2*PI()*(A209)/Inputs!$C$39)+0.35*COS(2*PI()*(Inputs!$C$6)/Inputs!$C$40)+0.2*SIN(2*PI()*((A209)+(Inputs!$C$6))/(0.5*(Inputs!$C$39+Inputs!$C$40))))+Inputs!$C$38*SIN(2*PI()*(A209)/Inputs!$C$39)*SIN(2*PI()*(Inputs!$C$6)/Inputs!$C$40)+-Inputs!$C$41*EXP(-(((Inputs!$C$6)-Inputs!$C$43)^2)/(2*Inputs!$C$44^2))*EXP(-(((A209)-Inputs!$C$42)^2)/(2*Inputs!$C$45^2))+Inputs!$C$48*(0.7*(0.45*SIN(2*PI()*(((A209)/Inputs!$C$49)+Inputs!$C$47*0.137))+0.35*COS(2*PI()*(((Inputs!$C$6)/Inputs!$C$50)+Inputs!$C$47*0.173))+0.2*SIN(2*PI()*(((A209)+(Inputs!$C$6))/(0.5*(Inputs!$C$49+Inputs!$C$50))+Inputs!$C$47*0.097)))+0.3*(2*((SIN(((A209)*12.9898+(Inputs!$C$6)*78.233+Inputs!$C$47*37.719))*43758.5453)-INT((SIN(((A209)*12.9898+(Inputs!$C$6)*78.233+Inputs!$C$47*37.719))*43758.5453)))-1)))</f>
        <v/>
      </c>
      <c r="Z209" s="9">
        <f>B209-X209/1000</f>
        <v/>
      </c>
      <c r="AA209" s="9">
        <f>SQRT((Inputs!$C$52+B209)^2+(Inputs!$C$52+Y209/1000)^2-2*(Inputs!$C$52+B209)*(Inputs!$C$52+Y209/1000)*COS(SQRT(A209^2+Inputs!$C$6^2)/Inputs!$C$52))</f>
        <v/>
      </c>
      <c r="AB209" s="9">
        <f>(AA209-Z209)*1000</f>
        <v/>
      </c>
      <c r="AC209" s="9">
        <f>AB209/Inputs!$C$12</f>
        <v/>
      </c>
      <c r="AD209" s="9">
        <f>2*AB209/Inputs!$C$21*1000000</f>
        <v/>
      </c>
      <c r="AE209" s="9">
        <f>DEGREES(ATAN(H209/(B209-Y209/1000)))</f>
        <v/>
      </c>
      <c r="AF209" s="9">
        <f>DEGREES((2*PI()/Inputs!$C$13)*Inputs!$C$15*SIN(RADIANS(AE209)))</f>
        <v/>
      </c>
      <c r="AG209" s="9">
        <f>(Z209/AA209)^4</f>
        <v/>
      </c>
      <c r="AH209" s="9">
        <f>10*LOG10(AG209)</f>
        <v/>
      </c>
      <c r="AI209" s="9">
        <f>AC209-F209</f>
        <v/>
      </c>
      <c r="AJ209" s="9">
        <f>AD209-G209</f>
        <v/>
      </c>
      <c r="AK209" s="9">
        <f>Y209-X209</f>
        <v/>
      </c>
      <c r="AL209" s="9">
        <f>1000*(AA210-AA208)/(A210-A208)*Inputs!$C$11</f>
        <v/>
      </c>
      <c r="AM209" s="9">
        <f>-2*AL209/Inputs!$C$13</f>
        <v/>
      </c>
      <c r="AN209" s="9">
        <f>-2*AL209/Inputs!$C$14</f>
        <v/>
      </c>
      <c r="AO209" s="9">
        <f>ABS(AM209)</f>
        <v/>
      </c>
      <c r="AP209" s="9">
        <f>ABS(AN209)</f>
        <v/>
      </c>
      <c r="AQ209" s="9">
        <f>IF(OR(Inputs!$C$27=TRUE,Inputs!$C$27="TRUE",Inputs!$C$27=1),Inputs!$C$46/Inputs!$C$12,0)</f>
        <v/>
      </c>
      <c r="AR209" s="9">
        <f>AC209-AQ209</f>
        <v/>
      </c>
      <c r="AS209" s="9">
        <f>AC209+AQ209</f>
        <v/>
      </c>
    </row>
    <row r="210">
      <c r="A210" s="9">
        <f>Inputs!$C$7+208*(Inputs!$C$8-Inputs!$C$7)/240</f>
        <v/>
      </c>
      <c r="B210" s="9">
        <f>Inputs!$C$5+Inputs!$C$9*(A210/Inputs!$C$10)^2</f>
        <v/>
      </c>
      <c r="C210" s="9">
        <f>B210</f>
        <v/>
      </c>
      <c r="D210" s="9">
        <f>SQRT((Inputs!$C$52+B210)^2+Inputs!$C$52^2-2*(Inputs!$C$52+B210)*Inputs!$C$52*COS(SQRT(A210^2+Inputs!$C$6^2)/Inputs!$C$52))</f>
        <v/>
      </c>
      <c r="E210" s="9">
        <f>(D210-C210)*1000</f>
        <v/>
      </c>
      <c r="F210" s="9">
        <f>E210/Inputs!$C$12</f>
        <v/>
      </c>
      <c r="G210" s="9">
        <f>2*E210/Inputs!$C$21*1000000</f>
        <v/>
      </c>
      <c r="H210" s="9">
        <f>SQRT(A210^2+Inputs!$C$6^2)</f>
        <v/>
      </c>
      <c r="I210" s="9">
        <f>DEGREES(ATAN(H210/B210))</f>
        <v/>
      </c>
      <c r="J210" s="9">
        <f>DEGREES((2*PI()/Inputs!$C$13)*Inputs!$C$15*SIN(RADIANS(I210)))</f>
        <v/>
      </c>
      <c r="K210" s="9">
        <f>(C210/D210)^4</f>
        <v/>
      </c>
      <c r="L210" s="9">
        <f>10*LOG10(K210)</f>
        <v/>
      </c>
      <c r="M210" s="9">
        <f>2*(Inputs!$C$9/(Inputs!$C$10^2))*A210</f>
        <v/>
      </c>
      <c r="N210" s="9">
        <f>M210*Inputs!$C$11</f>
        <v/>
      </c>
      <c r="O210" s="9">
        <f>1000*(D211-D209)/(A211-A209)*Inputs!$C$11</f>
        <v/>
      </c>
      <c r="P210" s="9">
        <f>-2*O210/Inputs!$C$13</f>
        <v/>
      </c>
      <c r="Q210" s="9">
        <f>-2*O210/Inputs!$C$14</f>
        <v/>
      </c>
      <c r="R210" s="9">
        <f>F210-Inputs!$C$16/2</f>
        <v/>
      </c>
      <c r="S210" s="9">
        <f>F210+Inputs!$C$16/2</f>
        <v/>
      </c>
      <c r="T210" s="9">
        <f>F210-Inputs!$C$17/2</f>
        <v/>
      </c>
      <c r="U210" s="9">
        <f>F210+Inputs!$C$17/2</f>
        <v/>
      </c>
      <c r="V210" s="9">
        <f>ABS(P210)</f>
        <v/>
      </c>
      <c r="W210" s="9">
        <f>ABS(Q210)</f>
        <v/>
      </c>
      <c r="X210" s="9">
        <f>IF(OR(Inputs!$C$27=TRUE,Inputs!$C$27="TRUE",Inputs!$C$27=1),1,0)*(Inputs!$C$51*(115*EXP(-(((0)-25)^2)/(4.5^2))+70*EXP(-(((0)+38)^2)/(7^2))*(0.55+0.45*SIN(2*PI()*(A210)/45))+24*SIN(2*PI()*(0)/9+(A210)/18)*EXP(-(((0)+5)^2)/(22^2))+18*SIN(2*PI()*(A210)/70))+Inputs!$C$28*EXP(-(((A210)-Inputs!$C$29)^2)/(2*Inputs!$C$31^2))*EXP(-(((0)-Inputs!$C$30)^2)/(2*Inputs!$C$32^2))+-Inputs!$C$33*EXP(-(((((A210)-Inputs!$C$34)^2)+(((0)-Inputs!$C$35)^2))/(2*Inputs!$C$36^2)))+Inputs!$C$37*(0.55*SIN(2*PI()*(A210)/Inputs!$C$39)+0.35*COS(2*PI()*(0)/Inputs!$C$40)+0.2*SIN(2*PI()*((A210)+(0))/(0.5*(Inputs!$C$39+Inputs!$C$40))))+Inputs!$C$38*SIN(2*PI()*(A210)/Inputs!$C$39)*SIN(2*PI()*(0)/Inputs!$C$40)+-Inputs!$C$41*EXP(-(((0)-Inputs!$C$43)^2)/(2*Inputs!$C$44^2))*EXP(-(((A210)-Inputs!$C$42)^2)/(2*Inputs!$C$45^2))+Inputs!$C$48*(0.7*(0.45*SIN(2*PI()*(((A210)/Inputs!$C$49)+Inputs!$C$47*0.137))+0.35*COS(2*PI()*(((0)/Inputs!$C$50)+Inputs!$C$47*0.173))+0.2*SIN(2*PI()*(((A210)+(0))/(0.5*(Inputs!$C$49+Inputs!$C$50))+Inputs!$C$47*0.097)))+0.3*(2*((SIN(((A210)*12.9898+(0)*78.233+Inputs!$C$47*37.719))*43758.5453)-INT((SIN(((A210)*12.9898+(0)*78.233+Inputs!$C$47*37.719))*43758.5453)))-1)))</f>
        <v/>
      </c>
      <c r="Y210" s="9">
        <f>IF(OR(Inputs!$C$27=TRUE,Inputs!$C$27="TRUE",Inputs!$C$27=1),1,0)*(Inputs!$C$51*(115*EXP(-(((Inputs!$C$6)-25)^2)/(4.5^2))+70*EXP(-(((Inputs!$C$6)+38)^2)/(7^2))*(0.55+0.45*SIN(2*PI()*(A210)/45))+24*SIN(2*PI()*(Inputs!$C$6)/9+(A210)/18)*EXP(-(((Inputs!$C$6)+5)^2)/(22^2))+18*SIN(2*PI()*(A210)/70))+Inputs!$C$28*EXP(-(((A210)-Inputs!$C$29)^2)/(2*Inputs!$C$31^2))*EXP(-(((Inputs!$C$6)-Inputs!$C$30)^2)/(2*Inputs!$C$32^2))+-Inputs!$C$33*EXP(-(((((A210)-Inputs!$C$34)^2)+(((Inputs!$C$6)-Inputs!$C$35)^2))/(2*Inputs!$C$36^2)))+Inputs!$C$37*(0.55*SIN(2*PI()*(A210)/Inputs!$C$39)+0.35*COS(2*PI()*(Inputs!$C$6)/Inputs!$C$40)+0.2*SIN(2*PI()*((A210)+(Inputs!$C$6))/(0.5*(Inputs!$C$39+Inputs!$C$40))))+Inputs!$C$38*SIN(2*PI()*(A210)/Inputs!$C$39)*SIN(2*PI()*(Inputs!$C$6)/Inputs!$C$40)+-Inputs!$C$41*EXP(-(((Inputs!$C$6)-Inputs!$C$43)^2)/(2*Inputs!$C$44^2))*EXP(-(((A210)-Inputs!$C$42)^2)/(2*Inputs!$C$45^2))+Inputs!$C$48*(0.7*(0.45*SIN(2*PI()*(((A210)/Inputs!$C$49)+Inputs!$C$47*0.137))+0.35*COS(2*PI()*(((Inputs!$C$6)/Inputs!$C$50)+Inputs!$C$47*0.173))+0.2*SIN(2*PI()*(((A210)+(Inputs!$C$6))/(0.5*(Inputs!$C$49+Inputs!$C$50))+Inputs!$C$47*0.097)))+0.3*(2*((SIN(((A210)*12.9898+(Inputs!$C$6)*78.233+Inputs!$C$47*37.719))*43758.5453)-INT((SIN(((A210)*12.9898+(Inputs!$C$6)*78.233+Inputs!$C$47*37.719))*43758.5453)))-1)))</f>
        <v/>
      </c>
      <c r="Z210" s="9">
        <f>B210-X210/1000</f>
        <v/>
      </c>
      <c r="AA210" s="9">
        <f>SQRT((Inputs!$C$52+B210)^2+(Inputs!$C$52+Y210/1000)^2-2*(Inputs!$C$52+B210)*(Inputs!$C$52+Y210/1000)*COS(SQRT(A210^2+Inputs!$C$6^2)/Inputs!$C$52))</f>
        <v/>
      </c>
      <c r="AB210" s="9">
        <f>(AA210-Z210)*1000</f>
        <v/>
      </c>
      <c r="AC210" s="9">
        <f>AB210/Inputs!$C$12</f>
        <v/>
      </c>
      <c r="AD210" s="9">
        <f>2*AB210/Inputs!$C$21*1000000</f>
        <v/>
      </c>
      <c r="AE210" s="9">
        <f>DEGREES(ATAN(H210/(B210-Y210/1000)))</f>
        <v/>
      </c>
      <c r="AF210" s="9">
        <f>DEGREES((2*PI()/Inputs!$C$13)*Inputs!$C$15*SIN(RADIANS(AE210)))</f>
        <v/>
      </c>
      <c r="AG210" s="9">
        <f>(Z210/AA210)^4</f>
        <v/>
      </c>
      <c r="AH210" s="9">
        <f>10*LOG10(AG210)</f>
        <v/>
      </c>
      <c r="AI210" s="9">
        <f>AC210-F210</f>
        <v/>
      </c>
      <c r="AJ210" s="9">
        <f>AD210-G210</f>
        <v/>
      </c>
      <c r="AK210" s="9">
        <f>Y210-X210</f>
        <v/>
      </c>
      <c r="AL210" s="9">
        <f>1000*(AA211-AA209)/(A211-A209)*Inputs!$C$11</f>
        <v/>
      </c>
      <c r="AM210" s="9">
        <f>-2*AL210/Inputs!$C$13</f>
        <v/>
      </c>
      <c r="AN210" s="9">
        <f>-2*AL210/Inputs!$C$14</f>
        <v/>
      </c>
      <c r="AO210" s="9">
        <f>ABS(AM210)</f>
        <v/>
      </c>
      <c r="AP210" s="9">
        <f>ABS(AN210)</f>
        <v/>
      </c>
      <c r="AQ210" s="9">
        <f>IF(OR(Inputs!$C$27=TRUE,Inputs!$C$27="TRUE",Inputs!$C$27=1),Inputs!$C$46/Inputs!$C$12,0)</f>
        <v/>
      </c>
      <c r="AR210" s="9">
        <f>AC210-AQ210</f>
        <v/>
      </c>
      <c r="AS210" s="9">
        <f>AC210+AQ210</f>
        <v/>
      </c>
    </row>
    <row r="211">
      <c r="A211" s="9">
        <f>Inputs!$C$7+209*(Inputs!$C$8-Inputs!$C$7)/240</f>
        <v/>
      </c>
      <c r="B211" s="9">
        <f>Inputs!$C$5+Inputs!$C$9*(A211/Inputs!$C$10)^2</f>
        <v/>
      </c>
      <c r="C211" s="9">
        <f>B211</f>
        <v/>
      </c>
      <c r="D211" s="9">
        <f>SQRT((Inputs!$C$52+B211)^2+Inputs!$C$52^2-2*(Inputs!$C$52+B211)*Inputs!$C$52*COS(SQRT(A211^2+Inputs!$C$6^2)/Inputs!$C$52))</f>
        <v/>
      </c>
      <c r="E211" s="9">
        <f>(D211-C211)*1000</f>
        <v/>
      </c>
      <c r="F211" s="9">
        <f>E211/Inputs!$C$12</f>
        <v/>
      </c>
      <c r="G211" s="9">
        <f>2*E211/Inputs!$C$21*1000000</f>
        <v/>
      </c>
      <c r="H211" s="9">
        <f>SQRT(A211^2+Inputs!$C$6^2)</f>
        <v/>
      </c>
      <c r="I211" s="9">
        <f>DEGREES(ATAN(H211/B211))</f>
        <v/>
      </c>
      <c r="J211" s="9">
        <f>DEGREES((2*PI()/Inputs!$C$13)*Inputs!$C$15*SIN(RADIANS(I211)))</f>
        <v/>
      </c>
      <c r="K211" s="9">
        <f>(C211/D211)^4</f>
        <v/>
      </c>
      <c r="L211" s="9">
        <f>10*LOG10(K211)</f>
        <v/>
      </c>
      <c r="M211" s="9">
        <f>2*(Inputs!$C$9/(Inputs!$C$10^2))*A211</f>
        <v/>
      </c>
      <c r="N211" s="9">
        <f>M211*Inputs!$C$11</f>
        <v/>
      </c>
      <c r="O211" s="9">
        <f>1000*(D212-D210)/(A212-A210)*Inputs!$C$11</f>
        <v/>
      </c>
      <c r="P211" s="9">
        <f>-2*O211/Inputs!$C$13</f>
        <v/>
      </c>
      <c r="Q211" s="9">
        <f>-2*O211/Inputs!$C$14</f>
        <v/>
      </c>
      <c r="R211" s="9">
        <f>F211-Inputs!$C$16/2</f>
        <v/>
      </c>
      <c r="S211" s="9">
        <f>F211+Inputs!$C$16/2</f>
        <v/>
      </c>
      <c r="T211" s="9">
        <f>F211-Inputs!$C$17/2</f>
        <v/>
      </c>
      <c r="U211" s="9">
        <f>F211+Inputs!$C$17/2</f>
        <v/>
      </c>
      <c r="V211" s="9">
        <f>ABS(P211)</f>
        <v/>
      </c>
      <c r="W211" s="9">
        <f>ABS(Q211)</f>
        <v/>
      </c>
      <c r="X211" s="9">
        <f>IF(OR(Inputs!$C$27=TRUE,Inputs!$C$27="TRUE",Inputs!$C$27=1),1,0)*(Inputs!$C$51*(115*EXP(-(((0)-25)^2)/(4.5^2))+70*EXP(-(((0)+38)^2)/(7^2))*(0.55+0.45*SIN(2*PI()*(A211)/45))+24*SIN(2*PI()*(0)/9+(A211)/18)*EXP(-(((0)+5)^2)/(22^2))+18*SIN(2*PI()*(A211)/70))+Inputs!$C$28*EXP(-(((A211)-Inputs!$C$29)^2)/(2*Inputs!$C$31^2))*EXP(-(((0)-Inputs!$C$30)^2)/(2*Inputs!$C$32^2))+-Inputs!$C$33*EXP(-(((((A211)-Inputs!$C$34)^2)+(((0)-Inputs!$C$35)^2))/(2*Inputs!$C$36^2)))+Inputs!$C$37*(0.55*SIN(2*PI()*(A211)/Inputs!$C$39)+0.35*COS(2*PI()*(0)/Inputs!$C$40)+0.2*SIN(2*PI()*((A211)+(0))/(0.5*(Inputs!$C$39+Inputs!$C$40))))+Inputs!$C$38*SIN(2*PI()*(A211)/Inputs!$C$39)*SIN(2*PI()*(0)/Inputs!$C$40)+-Inputs!$C$41*EXP(-(((0)-Inputs!$C$43)^2)/(2*Inputs!$C$44^2))*EXP(-(((A211)-Inputs!$C$42)^2)/(2*Inputs!$C$45^2))+Inputs!$C$48*(0.7*(0.45*SIN(2*PI()*(((A211)/Inputs!$C$49)+Inputs!$C$47*0.137))+0.35*COS(2*PI()*(((0)/Inputs!$C$50)+Inputs!$C$47*0.173))+0.2*SIN(2*PI()*(((A211)+(0))/(0.5*(Inputs!$C$49+Inputs!$C$50))+Inputs!$C$47*0.097)))+0.3*(2*((SIN(((A211)*12.9898+(0)*78.233+Inputs!$C$47*37.719))*43758.5453)-INT((SIN(((A211)*12.9898+(0)*78.233+Inputs!$C$47*37.719))*43758.5453)))-1)))</f>
        <v/>
      </c>
      <c r="Y211" s="9">
        <f>IF(OR(Inputs!$C$27=TRUE,Inputs!$C$27="TRUE",Inputs!$C$27=1),1,0)*(Inputs!$C$51*(115*EXP(-(((Inputs!$C$6)-25)^2)/(4.5^2))+70*EXP(-(((Inputs!$C$6)+38)^2)/(7^2))*(0.55+0.45*SIN(2*PI()*(A211)/45))+24*SIN(2*PI()*(Inputs!$C$6)/9+(A211)/18)*EXP(-(((Inputs!$C$6)+5)^2)/(22^2))+18*SIN(2*PI()*(A211)/70))+Inputs!$C$28*EXP(-(((A211)-Inputs!$C$29)^2)/(2*Inputs!$C$31^2))*EXP(-(((Inputs!$C$6)-Inputs!$C$30)^2)/(2*Inputs!$C$32^2))+-Inputs!$C$33*EXP(-(((((A211)-Inputs!$C$34)^2)+(((Inputs!$C$6)-Inputs!$C$35)^2))/(2*Inputs!$C$36^2)))+Inputs!$C$37*(0.55*SIN(2*PI()*(A211)/Inputs!$C$39)+0.35*COS(2*PI()*(Inputs!$C$6)/Inputs!$C$40)+0.2*SIN(2*PI()*((A211)+(Inputs!$C$6))/(0.5*(Inputs!$C$39+Inputs!$C$40))))+Inputs!$C$38*SIN(2*PI()*(A211)/Inputs!$C$39)*SIN(2*PI()*(Inputs!$C$6)/Inputs!$C$40)+-Inputs!$C$41*EXP(-(((Inputs!$C$6)-Inputs!$C$43)^2)/(2*Inputs!$C$44^2))*EXP(-(((A211)-Inputs!$C$42)^2)/(2*Inputs!$C$45^2))+Inputs!$C$48*(0.7*(0.45*SIN(2*PI()*(((A211)/Inputs!$C$49)+Inputs!$C$47*0.137))+0.35*COS(2*PI()*(((Inputs!$C$6)/Inputs!$C$50)+Inputs!$C$47*0.173))+0.2*SIN(2*PI()*(((A211)+(Inputs!$C$6))/(0.5*(Inputs!$C$49+Inputs!$C$50))+Inputs!$C$47*0.097)))+0.3*(2*((SIN(((A211)*12.9898+(Inputs!$C$6)*78.233+Inputs!$C$47*37.719))*43758.5453)-INT((SIN(((A211)*12.9898+(Inputs!$C$6)*78.233+Inputs!$C$47*37.719))*43758.5453)))-1)))</f>
        <v/>
      </c>
      <c r="Z211" s="9">
        <f>B211-X211/1000</f>
        <v/>
      </c>
      <c r="AA211" s="9">
        <f>SQRT((Inputs!$C$52+B211)^2+(Inputs!$C$52+Y211/1000)^2-2*(Inputs!$C$52+B211)*(Inputs!$C$52+Y211/1000)*COS(SQRT(A211^2+Inputs!$C$6^2)/Inputs!$C$52))</f>
        <v/>
      </c>
      <c r="AB211" s="9">
        <f>(AA211-Z211)*1000</f>
        <v/>
      </c>
      <c r="AC211" s="9">
        <f>AB211/Inputs!$C$12</f>
        <v/>
      </c>
      <c r="AD211" s="9">
        <f>2*AB211/Inputs!$C$21*1000000</f>
        <v/>
      </c>
      <c r="AE211" s="9">
        <f>DEGREES(ATAN(H211/(B211-Y211/1000)))</f>
        <v/>
      </c>
      <c r="AF211" s="9">
        <f>DEGREES((2*PI()/Inputs!$C$13)*Inputs!$C$15*SIN(RADIANS(AE211)))</f>
        <v/>
      </c>
      <c r="AG211" s="9">
        <f>(Z211/AA211)^4</f>
        <v/>
      </c>
      <c r="AH211" s="9">
        <f>10*LOG10(AG211)</f>
        <v/>
      </c>
      <c r="AI211" s="9">
        <f>AC211-F211</f>
        <v/>
      </c>
      <c r="AJ211" s="9">
        <f>AD211-G211</f>
        <v/>
      </c>
      <c r="AK211" s="9">
        <f>Y211-X211</f>
        <v/>
      </c>
      <c r="AL211" s="9">
        <f>1000*(AA212-AA210)/(A212-A210)*Inputs!$C$11</f>
        <v/>
      </c>
      <c r="AM211" s="9">
        <f>-2*AL211/Inputs!$C$13</f>
        <v/>
      </c>
      <c r="AN211" s="9">
        <f>-2*AL211/Inputs!$C$14</f>
        <v/>
      </c>
      <c r="AO211" s="9">
        <f>ABS(AM211)</f>
        <v/>
      </c>
      <c r="AP211" s="9">
        <f>ABS(AN211)</f>
        <v/>
      </c>
      <c r="AQ211" s="9">
        <f>IF(OR(Inputs!$C$27=TRUE,Inputs!$C$27="TRUE",Inputs!$C$27=1),Inputs!$C$46/Inputs!$C$12,0)</f>
        <v/>
      </c>
      <c r="AR211" s="9">
        <f>AC211-AQ211</f>
        <v/>
      </c>
      <c r="AS211" s="9">
        <f>AC211+AQ211</f>
        <v/>
      </c>
    </row>
    <row r="212">
      <c r="A212" s="9">
        <f>Inputs!$C$7+210*(Inputs!$C$8-Inputs!$C$7)/240</f>
        <v/>
      </c>
      <c r="B212" s="9">
        <f>Inputs!$C$5+Inputs!$C$9*(A212/Inputs!$C$10)^2</f>
        <v/>
      </c>
      <c r="C212" s="9">
        <f>B212</f>
        <v/>
      </c>
      <c r="D212" s="9">
        <f>SQRT((Inputs!$C$52+B212)^2+Inputs!$C$52^2-2*(Inputs!$C$52+B212)*Inputs!$C$52*COS(SQRT(A212^2+Inputs!$C$6^2)/Inputs!$C$52))</f>
        <v/>
      </c>
      <c r="E212" s="9">
        <f>(D212-C212)*1000</f>
        <v/>
      </c>
      <c r="F212" s="9">
        <f>E212/Inputs!$C$12</f>
        <v/>
      </c>
      <c r="G212" s="9">
        <f>2*E212/Inputs!$C$21*1000000</f>
        <v/>
      </c>
      <c r="H212" s="9">
        <f>SQRT(A212^2+Inputs!$C$6^2)</f>
        <v/>
      </c>
      <c r="I212" s="9">
        <f>DEGREES(ATAN(H212/B212))</f>
        <v/>
      </c>
      <c r="J212" s="9">
        <f>DEGREES((2*PI()/Inputs!$C$13)*Inputs!$C$15*SIN(RADIANS(I212)))</f>
        <v/>
      </c>
      <c r="K212" s="9">
        <f>(C212/D212)^4</f>
        <v/>
      </c>
      <c r="L212" s="9">
        <f>10*LOG10(K212)</f>
        <v/>
      </c>
      <c r="M212" s="9">
        <f>2*(Inputs!$C$9/(Inputs!$C$10^2))*A212</f>
        <v/>
      </c>
      <c r="N212" s="9">
        <f>M212*Inputs!$C$11</f>
        <v/>
      </c>
      <c r="O212" s="9">
        <f>1000*(D213-D211)/(A213-A211)*Inputs!$C$11</f>
        <v/>
      </c>
      <c r="P212" s="9">
        <f>-2*O212/Inputs!$C$13</f>
        <v/>
      </c>
      <c r="Q212" s="9">
        <f>-2*O212/Inputs!$C$14</f>
        <v/>
      </c>
      <c r="R212" s="9">
        <f>F212-Inputs!$C$16/2</f>
        <v/>
      </c>
      <c r="S212" s="9">
        <f>F212+Inputs!$C$16/2</f>
        <v/>
      </c>
      <c r="T212" s="9">
        <f>F212-Inputs!$C$17/2</f>
        <v/>
      </c>
      <c r="U212" s="9">
        <f>F212+Inputs!$C$17/2</f>
        <v/>
      </c>
      <c r="V212" s="9">
        <f>ABS(P212)</f>
        <v/>
      </c>
      <c r="W212" s="9">
        <f>ABS(Q212)</f>
        <v/>
      </c>
      <c r="X212" s="9">
        <f>IF(OR(Inputs!$C$27=TRUE,Inputs!$C$27="TRUE",Inputs!$C$27=1),1,0)*(Inputs!$C$51*(115*EXP(-(((0)-25)^2)/(4.5^2))+70*EXP(-(((0)+38)^2)/(7^2))*(0.55+0.45*SIN(2*PI()*(A212)/45))+24*SIN(2*PI()*(0)/9+(A212)/18)*EXP(-(((0)+5)^2)/(22^2))+18*SIN(2*PI()*(A212)/70))+Inputs!$C$28*EXP(-(((A212)-Inputs!$C$29)^2)/(2*Inputs!$C$31^2))*EXP(-(((0)-Inputs!$C$30)^2)/(2*Inputs!$C$32^2))+-Inputs!$C$33*EXP(-(((((A212)-Inputs!$C$34)^2)+(((0)-Inputs!$C$35)^2))/(2*Inputs!$C$36^2)))+Inputs!$C$37*(0.55*SIN(2*PI()*(A212)/Inputs!$C$39)+0.35*COS(2*PI()*(0)/Inputs!$C$40)+0.2*SIN(2*PI()*((A212)+(0))/(0.5*(Inputs!$C$39+Inputs!$C$40))))+Inputs!$C$38*SIN(2*PI()*(A212)/Inputs!$C$39)*SIN(2*PI()*(0)/Inputs!$C$40)+-Inputs!$C$41*EXP(-(((0)-Inputs!$C$43)^2)/(2*Inputs!$C$44^2))*EXP(-(((A212)-Inputs!$C$42)^2)/(2*Inputs!$C$45^2))+Inputs!$C$48*(0.7*(0.45*SIN(2*PI()*(((A212)/Inputs!$C$49)+Inputs!$C$47*0.137))+0.35*COS(2*PI()*(((0)/Inputs!$C$50)+Inputs!$C$47*0.173))+0.2*SIN(2*PI()*(((A212)+(0))/(0.5*(Inputs!$C$49+Inputs!$C$50))+Inputs!$C$47*0.097)))+0.3*(2*((SIN(((A212)*12.9898+(0)*78.233+Inputs!$C$47*37.719))*43758.5453)-INT((SIN(((A212)*12.9898+(0)*78.233+Inputs!$C$47*37.719))*43758.5453)))-1)))</f>
        <v/>
      </c>
      <c r="Y212" s="9">
        <f>IF(OR(Inputs!$C$27=TRUE,Inputs!$C$27="TRUE",Inputs!$C$27=1),1,0)*(Inputs!$C$51*(115*EXP(-(((Inputs!$C$6)-25)^2)/(4.5^2))+70*EXP(-(((Inputs!$C$6)+38)^2)/(7^2))*(0.55+0.45*SIN(2*PI()*(A212)/45))+24*SIN(2*PI()*(Inputs!$C$6)/9+(A212)/18)*EXP(-(((Inputs!$C$6)+5)^2)/(22^2))+18*SIN(2*PI()*(A212)/70))+Inputs!$C$28*EXP(-(((A212)-Inputs!$C$29)^2)/(2*Inputs!$C$31^2))*EXP(-(((Inputs!$C$6)-Inputs!$C$30)^2)/(2*Inputs!$C$32^2))+-Inputs!$C$33*EXP(-(((((A212)-Inputs!$C$34)^2)+(((Inputs!$C$6)-Inputs!$C$35)^2))/(2*Inputs!$C$36^2)))+Inputs!$C$37*(0.55*SIN(2*PI()*(A212)/Inputs!$C$39)+0.35*COS(2*PI()*(Inputs!$C$6)/Inputs!$C$40)+0.2*SIN(2*PI()*((A212)+(Inputs!$C$6))/(0.5*(Inputs!$C$39+Inputs!$C$40))))+Inputs!$C$38*SIN(2*PI()*(A212)/Inputs!$C$39)*SIN(2*PI()*(Inputs!$C$6)/Inputs!$C$40)+-Inputs!$C$41*EXP(-(((Inputs!$C$6)-Inputs!$C$43)^2)/(2*Inputs!$C$44^2))*EXP(-(((A212)-Inputs!$C$42)^2)/(2*Inputs!$C$45^2))+Inputs!$C$48*(0.7*(0.45*SIN(2*PI()*(((A212)/Inputs!$C$49)+Inputs!$C$47*0.137))+0.35*COS(2*PI()*(((Inputs!$C$6)/Inputs!$C$50)+Inputs!$C$47*0.173))+0.2*SIN(2*PI()*(((A212)+(Inputs!$C$6))/(0.5*(Inputs!$C$49+Inputs!$C$50))+Inputs!$C$47*0.097)))+0.3*(2*((SIN(((A212)*12.9898+(Inputs!$C$6)*78.233+Inputs!$C$47*37.719))*43758.5453)-INT((SIN(((A212)*12.9898+(Inputs!$C$6)*78.233+Inputs!$C$47*37.719))*43758.5453)))-1)))</f>
        <v/>
      </c>
      <c r="Z212" s="9">
        <f>B212-X212/1000</f>
        <v/>
      </c>
      <c r="AA212" s="9">
        <f>SQRT((Inputs!$C$52+B212)^2+(Inputs!$C$52+Y212/1000)^2-2*(Inputs!$C$52+B212)*(Inputs!$C$52+Y212/1000)*COS(SQRT(A212^2+Inputs!$C$6^2)/Inputs!$C$52))</f>
        <v/>
      </c>
      <c r="AB212" s="9">
        <f>(AA212-Z212)*1000</f>
        <v/>
      </c>
      <c r="AC212" s="9">
        <f>AB212/Inputs!$C$12</f>
        <v/>
      </c>
      <c r="AD212" s="9">
        <f>2*AB212/Inputs!$C$21*1000000</f>
        <v/>
      </c>
      <c r="AE212" s="9">
        <f>DEGREES(ATAN(H212/(B212-Y212/1000)))</f>
        <v/>
      </c>
      <c r="AF212" s="9">
        <f>DEGREES((2*PI()/Inputs!$C$13)*Inputs!$C$15*SIN(RADIANS(AE212)))</f>
        <v/>
      </c>
      <c r="AG212" s="9">
        <f>(Z212/AA212)^4</f>
        <v/>
      </c>
      <c r="AH212" s="9">
        <f>10*LOG10(AG212)</f>
        <v/>
      </c>
      <c r="AI212" s="9">
        <f>AC212-F212</f>
        <v/>
      </c>
      <c r="AJ212" s="9">
        <f>AD212-G212</f>
        <v/>
      </c>
      <c r="AK212" s="9">
        <f>Y212-X212</f>
        <v/>
      </c>
      <c r="AL212" s="9">
        <f>1000*(AA213-AA211)/(A213-A211)*Inputs!$C$11</f>
        <v/>
      </c>
      <c r="AM212" s="9">
        <f>-2*AL212/Inputs!$C$13</f>
        <v/>
      </c>
      <c r="AN212" s="9">
        <f>-2*AL212/Inputs!$C$14</f>
        <v/>
      </c>
      <c r="AO212" s="9">
        <f>ABS(AM212)</f>
        <v/>
      </c>
      <c r="AP212" s="9">
        <f>ABS(AN212)</f>
        <v/>
      </c>
      <c r="AQ212" s="9">
        <f>IF(OR(Inputs!$C$27=TRUE,Inputs!$C$27="TRUE",Inputs!$C$27=1),Inputs!$C$46/Inputs!$C$12,0)</f>
        <v/>
      </c>
      <c r="AR212" s="9">
        <f>AC212-AQ212</f>
        <v/>
      </c>
      <c r="AS212" s="9">
        <f>AC212+AQ212</f>
        <v/>
      </c>
    </row>
    <row r="213">
      <c r="A213" s="9">
        <f>Inputs!$C$7+211*(Inputs!$C$8-Inputs!$C$7)/240</f>
        <v/>
      </c>
      <c r="B213" s="9">
        <f>Inputs!$C$5+Inputs!$C$9*(A213/Inputs!$C$10)^2</f>
        <v/>
      </c>
      <c r="C213" s="9">
        <f>B213</f>
        <v/>
      </c>
      <c r="D213" s="9">
        <f>SQRT((Inputs!$C$52+B213)^2+Inputs!$C$52^2-2*(Inputs!$C$52+B213)*Inputs!$C$52*COS(SQRT(A213^2+Inputs!$C$6^2)/Inputs!$C$52))</f>
        <v/>
      </c>
      <c r="E213" s="9">
        <f>(D213-C213)*1000</f>
        <v/>
      </c>
      <c r="F213" s="9">
        <f>E213/Inputs!$C$12</f>
        <v/>
      </c>
      <c r="G213" s="9">
        <f>2*E213/Inputs!$C$21*1000000</f>
        <v/>
      </c>
      <c r="H213" s="9">
        <f>SQRT(A213^2+Inputs!$C$6^2)</f>
        <v/>
      </c>
      <c r="I213" s="9">
        <f>DEGREES(ATAN(H213/B213))</f>
        <v/>
      </c>
      <c r="J213" s="9">
        <f>DEGREES((2*PI()/Inputs!$C$13)*Inputs!$C$15*SIN(RADIANS(I213)))</f>
        <v/>
      </c>
      <c r="K213" s="9">
        <f>(C213/D213)^4</f>
        <v/>
      </c>
      <c r="L213" s="9">
        <f>10*LOG10(K213)</f>
        <v/>
      </c>
      <c r="M213" s="9">
        <f>2*(Inputs!$C$9/(Inputs!$C$10^2))*A213</f>
        <v/>
      </c>
      <c r="N213" s="9">
        <f>M213*Inputs!$C$11</f>
        <v/>
      </c>
      <c r="O213" s="9">
        <f>1000*(D214-D212)/(A214-A212)*Inputs!$C$11</f>
        <v/>
      </c>
      <c r="P213" s="9">
        <f>-2*O213/Inputs!$C$13</f>
        <v/>
      </c>
      <c r="Q213" s="9">
        <f>-2*O213/Inputs!$C$14</f>
        <v/>
      </c>
      <c r="R213" s="9">
        <f>F213-Inputs!$C$16/2</f>
        <v/>
      </c>
      <c r="S213" s="9">
        <f>F213+Inputs!$C$16/2</f>
        <v/>
      </c>
      <c r="T213" s="9">
        <f>F213-Inputs!$C$17/2</f>
        <v/>
      </c>
      <c r="U213" s="9">
        <f>F213+Inputs!$C$17/2</f>
        <v/>
      </c>
      <c r="V213" s="9">
        <f>ABS(P213)</f>
        <v/>
      </c>
      <c r="W213" s="9">
        <f>ABS(Q213)</f>
        <v/>
      </c>
      <c r="X213" s="9">
        <f>IF(OR(Inputs!$C$27=TRUE,Inputs!$C$27="TRUE",Inputs!$C$27=1),1,0)*(Inputs!$C$51*(115*EXP(-(((0)-25)^2)/(4.5^2))+70*EXP(-(((0)+38)^2)/(7^2))*(0.55+0.45*SIN(2*PI()*(A213)/45))+24*SIN(2*PI()*(0)/9+(A213)/18)*EXP(-(((0)+5)^2)/(22^2))+18*SIN(2*PI()*(A213)/70))+Inputs!$C$28*EXP(-(((A213)-Inputs!$C$29)^2)/(2*Inputs!$C$31^2))*EXP(-(((0)-Inputs!$C$30)^2)/(2*Inputs!$C$32^2))+-Inputs!$C$33*EXP(-(((((A213)-Inputs!$C$34)^2)+(((0)-Inputs!$C$35)^2))/(2*Inputs!$C$36^2)))+Inputs!$C$37*(0.55*SIN(2*PI()*(A213)/Inputs!$C$39)+0.35*COS(2*PI()*(0)/Inputs!$C$40)+0.2*SIN(2*PI()*((A213)+(0))/(0.5*(Inputs!$C$39+Inputs!$C$40))))+Inputs!$C$38*SIN(2*PI()*(A213)/Inputs!$C$39)*SIN(2*PI()*(0)/Inputs!$C$40)+-Inputs!$C$41*EXP(-(((0)-Inputs!$C$43)^2)/(2*Inputs!$C$44^2))*EXP(-(((A213)-Inputs!$C$42)^2)/(2*Inputs!$C$45^2))+Inputs!$C$48*(0.7*(0.45*SIN(2*PI()*(((A213)/Inputs!$C$49)+Inputs!$C$47*0.137))+0.35*COS(2*PI()*(((0)/Inputs!$C$50)+Inputs!$C$47*0.173))+0.2*SIN(2*PI()*(((A213)+(0))/(0.5*(Inputs!$C$49+Inputs!$C$50))+Inputs!$C$47*0.097)))+0.3*(2*((SIN(((A213)*12.9898+(0)*78.233+Inputs!$C$47*37.719))*43758.5453)-INT((SIN(((A213)*12.9898+(0)*78.233+Inputs!$C$47*37.719))*43758.5453)))-1)))</f>
        <v/>
      </c>
      <c r="Y213" s="9">
        <f>IF(OR(Inputs!$C$27=TRUE,Inputs!$C$27="TRUE",Inputs!$C$27=1),1,0)*(Inputs!$C$51*(115*EXP(-(((Inputs!$C$6)-25)^2)/(4.5^2))+70*EXP(-(((Inputs!$C$6)+38)^2)/(7^2))*(0.55+0.45*SIN(2*PI()*(A213)/45))+24*SIN(2*PI()*(Inputs!$C$6)/9+(A213)/18)*EXP(-(((Inputs!$C$6)+5)^2)/(22^2))+18*SIN(2*PI()*(A213)/70))+Inputs!$C$28*EXP(-(((A213)-Inputs!$C$29)^2)/(2*Inputs!$C$31^2))*EXP(-(((Inputs!$C$6)-Inputs!$C$30)^2)/(2*Inputs!$C$32^2))+-Inputs!$C$33*EXP(-(((((A213)-Inputs!$C$34)^2)+(((Inputs!$C$6)-Inputs!$C$35)^2))/(2*Inputs!$C$36^2)))+Inputs!$C$37*(0.55*SIN(2*PI()*(A213)/Inputs!$C$39)+0.35*COS(2*PI()*(Inputs!$C$6)/Inputs!$C$40)+0.2*SIN(2*PI()*((A213)+(Inputs!$C$6))/(0.5*(Inputs!$C$39+Inputs!$C$40))))+Inputs!$C$38*SIN(2*PI()*(A213)/Inputs!$C$39)*SIN(2*PI()*(Inputs!$C$6)/Inputs!$C$40)+-Inputs!$C$41*EXP(-(((Inputs!$C$6)-Inputs!$C$43)^2)/(2*Inputs!$C$44^2))*EXP(-(((A213)-Inputs!$C$42)^2)/(2*Inputs!$C$45^2))+Inputs!$C$48*(0.7*(0.45*SIN(2*PI()*(((A213)/Inputs!$C$49)+Inputs!$C$47*0.137))+0.35*COS(2*PI()*(((Inputs!$C$6)/Inputs!$C$50)+Inputs!$C$47*0.173))+0.2*SIN(2*PI()*(((A213)+(Inputs!$C$6))/(0.5*(Inputs!$C$49+Inputs!$C$50))+Inputs!$C$47*0.097)))+0.3*(2*((SIN(((A213)*12.9898+(Inputs!$C$6)*78.233+Inputs!$C$47*37.719))*43758.5453)-INT((SIN(((A213)*12.9898+(Inputs!$C$6)*78.233+Inputs!$C$47*37.719))*43758.5453)))-1)))</f>
        <v/>
      </c>
      <c r="Z213" s="9">
        <f>B213-X213/1000</f>
        <v/>
      </c>
      <c r="AA213" s="9">
        <f>SQRT((Inputs!$C$52+B213)^2+(Inputs!$C$52+Y213/1000)^2-2*(Inputs!$C$52+B213)*(Inputs!$C$52+Y213/1000)*COS(SQRT(A213^2+Inputs!$C$6^2)/Inputs!$C$52))</f>
        <v/>
      </c>
      <c r="AB213" s="9">
        <f>(AA213-Z213)*1000</f>
        <v/>
      </c>
      <c r="AC213" s="9">
        <f>AB213/Inputs!$C$12</f>
        <v/>
      </c>
      <c r="AD213" s="9">
        <f>2*AB213/Inputs!$C$21*1000000</f>
        <v/>
      </c>
      <c r="AE213" s="9">
        <f>DEGREES(ATAN(H213/(B213-Y213/1000)))</f>
        <v/>
      </c>
      <c r="AF213" s="9">
        <f>DEGREES((2*PI()/Inputs!$C$13)*Inputs!$C$15*SIN(RADIANS(AE213)))</f>
        <v/>
      </c>
      <c r="AG213" s="9">
        <f>(Z213/AA213)^4</f>
        <v/>
      </c>
      <c r="AH213" s="9">
        <f>10*LOG10(AG213)</f>
        <v/>
      </c>
      <c r="AI213" s="9">
        <f>AC213-F213</f>
        <v/>
      </c>
      <c r="AJ213" s="9">
        <f>AD213-G213</f>
        <v/>
      </c>
      <c r="AK213" s="9">
        <f>Y213-X213</f>
        <v/>
      </c>
      <c r="AL213" s="9">
        <f>1000*(AA214-AA212)/(A214-A212)*Inputs!$C$11</f>
        <v/>
      </c>
      <c r="AM213" s="9">
        <f>-2*AL213/Inputs!$C$13</f>
        <v/>
      </c>
      <c r="AN213" s="9">
        <f>-2*AL213/Inputs!$C$14</f>
        <v/>
      </c>
      <c r="AO213" s="9">
        <f>ABS(AM213)</f>
        <v/>
      </c>
      <c r="AP213" s="9">
        <f>ABS(AN213)</f>
        <v/>
      </c>
      <c r="AQ213" s="9">
        <f>IF(OR(Inputs!$C$27=TRUE,Inputs!$C$27="TRUE",Inputs!$C$27=1),Inputs!$C$46/Inputs!$C$12,0)</f>
        <v/>
      </c>
      <c r="AR213" s="9">
        <f>AC213-AQ213</f>
        <v/>
      </c>
      <c r="AS213" s="9">
        <f>AC213+AQ213</f>
        <v/>
      </c>
    </row>
    <row r="214">
      <c r="A214" s="9">
        <f>Inputs!$C$7+212*(Inputs!$C$8-Inputs!$C$7)/240</f>
        <v/>
      </c>
      <c r="B214" s="9">
        <f>Inputs!$C$5+Inputs!$C$9*(A214/Inputs!$C$10)^2</f>
        <v/>
      </c>
      <c r="C214" s="9">
        <f>B214</f>
        <v/>
      </c>
      <c r="D214" s="9">
        <f>SQRT((Inputs!$C$52+B214)^2+Inputs!$C$52^2-2*(Inputs!$C$52+B214)*Inputs!$C$52*COS(SQRT(A214^2+Inputs!$C$6^2)/Inputs!$C$52))</f>
        <v/>
      </c>
      <c r="E214" s="9">
        <f>(D214-C214)*1000</f>
        <v/>
      </c>
      <c r="F214" s="9">
        <f>E214/Inputs!$C$12</f>
        <v/>
      </c>
      <c r="G214" s="9">
        <f>2*E214/Inputs!$C$21*1000000</f>
        <v/>
      </c>
      <c r="H214" s="9">
        <f>SQRT(A214^2+Inputs!$C$6^2)</f>
        <v/>
      </c>
      <c r="I214" s="9">
        <f>DEGREES(ATAN(H214/B214))</f>
        <v/>
      </c>
      <c r="J214" s="9">
        <f>DEGREES((2*PI()/Inputs!$C$13)*Inputs!$C$15*SIN(RADIANS(I214)))</f>
        <v/>
      </c>
      <c r="K214" s="9">
        <f>(C214/D214)^4</f>
        <v/>
      </c>
      <c r="L214" s="9">
        <f>10*LOG10(K214)</f>
        <v/>
      </c>
      <c r="M214" s="9">
        <f>2*(Inputs!$C$9/(Inputs!$C$10^2))*A214</f>
        <v/>
      </c>
      <c r="N214" s="9">
        <f>M214*Inputs!$C$11</f>
        <v/>
      </c>
      <c r="O214" s="9">
        <f>1000*(D215-D213)/(A215-A213)*Inputs!$C$11</f>
        <v/>
      </c>
      <c r="P214" s="9">
        <f>-2*O214/Inputs!$C$13</f>
        <v/>
      </c>
      <c r="Q214" s="9">
        <f>-2*O214/Inputs!$C$14</f>
        <v/>
      </c>
      <c r="R214" s="9">
        <f>F214-Inputs!$C$16/2</f>
        <v/>
      </c>
      <c r="S214" s="9">
        <f>F214+Inputs!$C$16/2</f>
        <v/>
      </c>
      <c r="T214" s="9">
        <f>F214-Inputs!$C$17/2</f>
        <v/>
      </c>
      <c r="U214" s="9">
        <f>F214+Inputs!$C$17/2</f>
        <v/>
      </c>
      <c r="V214" s="9">
        <f>ABS(P214)</f>
        <v/>
      </c>
      <c r="W214" s="9">
        <f>ABS(Q214)</f>
        <v/>
      </c>
      <c r="X214" s="9">
        <f>IF(OR(Inputs!$C$27=TRUE,Inputs!$C$27="TRUE",Inputs!$C$27=1),1,0)*(Inputs!$C$51*(115*EXP(-(((0)-25)^2)/(4.5^2))+70*EXP(-(((0)+38)^2)/(7^2))*(0.55+0.45*SIN(2*PI()*(A214)/45))+24*SIN(2*PI()*(0)/9+(A214)/18)*EXP(-(((0)+5)^2)/(22^2))+18*SIN(2*PI()*(A214)/70))+Inputs!$C$28*EXP(-(((A214)-Inputs!$C$29)^2)/(2*Inputs!$C$31^2))*EXP(-(((0)-Inputs!$C$30)^2)/(2*Inputs!$C$32^2))+-Inputs!$C$33*EXP(-(((((A214)-Inputs!$C$34)^2)+(((0)-Inputs!$C$35)^2))/(2*Inputs!$C$36^2)))+Inputs!$C$37*(0.55*SIN(2*PI()*(A214)/Inputs!$C$39)+0.35*COS(2*PI()*(0)/Inputs!$C$40)+0.2*SIN(2*PI()*((A214)+(0))/(0.5*(Inputs!$C$39+Inputs!$C$40))))+Inputs!$C$38*SIN(2*PI()*(A214)/Inputs!$C$39)*SIN(2*PI()*(0)/Inputs!$C$40)+-Inputs!$C$41*EXP(-(((0)-Inputs!$C$43)^2)/(2*Inputs!$C$44^2))*EXP(-(((A214)-Inputs!$C$42)^2)/(2*Inputs!$C$45^2))+Inputs!$C$48*(0.7*(0.45*SIN(2*PI()*(((A214)/Inputs!$C$49)+Inputs!$C$47*0.137))+0.35*COS(2*PI()*(((0)/Inputs!$C$50)+Inputs!$C$47*0.173))+0.2*SIN(2*PI()*(((A214)+(0))/(0.5*(Inputs!$C$49+Inputs!$C$50))+Inputs!$C$47*0.097)))+0.3*(2*((SIN(((A214)*12.9898+(0)*78.233+Inputs!$C$47*37.719))*43758.5453)-INT((SIN(((A214)*12.9898+(0)*78.233+Inputs!$C$47*37.719))*43758.5453)))-1)))</f>
        <v/>
      </c>
      <c r="Y214" s="9">
        <f>IF(OR(Inputs!$C$27=TRUE,Inputs!$C$27="TRUE",Inputs!$C$27=1),1,0)*(Inputs!$C$51*(115*EXP(-(((Inputs!$C$6)-25)^2)/(4.5^2))+70*EXP(-(((Inputs!$C$6)+38)^2)/(7^2))*(0.55+0.45*SIN(2*PI()*(A214)/45))+24*SIN(2*PI()*(Inputs!$C$6)/9+(A214)/18)*EXP(-(((Inputs!$C$6)+5)^2)/(22^2))+18*SIN(2*PI()*(A214)/70))+Inputs!$C$28*EXP(-(((A214)-Inputs!$C$29)^2)/(2*Inputs!$C$31^2))*EXP(-(((Inputs!$C$6)-Inputs!$C$30)^2)/(2*Inputs!$C$32^2))+-Inputs!$C$33*EXP(-(((((A214)-Inputs!$C$34)^2)+(((Inputs!$C$6)-Inputs!$C$35)^2))/(2*Inputs!$C$36^2)))+Inputs!$C$37*(0.55*SIN(2*PI()*(A214)/Inputs!$C$39)+0.35*COS(2*PI()*(Inputs!$C$6)/Inputs!$C$40)+0.2*SIN(2*PI()*((A214)+(Inputs!$C$6))/(0.5*(Inputs!$C$39+Inputs!$C$40))))+Inputs!$C$38*SIN(2*PI()*(A214)/Inputs!$C$39)*SIN(2*PI()*(Inputs!$C$6)/Inputs!$C$40)+-Inputs!$C$41*EXP(-(((Inputs!$C$6)-Inputs!$C$43)^2)/(2*Inputs!$C$44^2))*EXP(-(((A214)-Inputs!$C$42)^2)/(2*Inputs!$C$45^2))+Inputs!$C$48*(0.7*(0.45*SIN(2*PI()*(((A214)/Inputs!$C$49)+Inputs!$C$47*0.137))+0.35*COS(2*PI()*(((Inputs!$C$6)/Inputs!$C$50)+Inputs!$C$47*0.173))+0.2*SIN(2*PI()*(((A214)+(Inputs!$C$6))/(0.5*(Inputs!$C$49+Inputs!$C$50))+Inputs!$C$47*0.097)))+0.3*(2*((SIN(((A214)*12.9898+(Inputs!$C$6)*78.233+Inputs!$C$47*37.719))*43758.5453)-INT((SIN(((A214)*12.9898+(Inputs!$C$6)*78.233+Inputs!$C$47*37.719))*43758.5453)))-1)))</f>
        <v/>
      </c>
      <c r="Z214" s="9">
        <f>B214-X214/1000</f>
        <v/>
      </c>
      <c r="AA214" s="9">
        <f>SQRT((Inputs!$C$52+B214)^2+(Inputs!$C$52+Y214/1000)^2-2*(Inputs!$C$52+B214)*(Inputs!$C$52+Y214/1000)*COS(SQRT(A214^2+Inputs!$C$6^2)/Inputs!$C$52))</f>
        <v/>
      </c>
      <c r="AB214" s="9">
        <f>(AA214-Z214)*1000</f>
        <v/>
      </c>
      <c r="AC214" s="9">
        <f>AB214/Inputs!$C$12</f>
        <v/>
      </c>
      <c r="AD214" s="9">
        <f>2*AB214/Inputs!$C$21*1000000</f>
        <v/>
      </c>
      <c r="AE214" s="9">
        <f>DEGREES(ATAN(H214/(B214-Y214/1000)))</f>
        <v/>
      </c>
      <c r="AF214" s="9">
        <f>DEGREES((2*PI()/Inputs!$C$13)*Inputs!$C$15*SIN(RADIANS(AE214)))</f>
        <v/>
      </c>
      <c r="AG214" s="9">
        <f>(Z214/AA214)^4</f>
        <v/>
      </c>
      <c r="AH214" s="9">
        <f>10*LOG10(AG214)</f>
        <v/>
      </c>
      <c r="AI214" s="9">
        <f>AC214-F214</f>
        <v/>
      </c>
      <c r="AJ214" s="9">
        <f>AD214-G214</f>
        <v/>
      </c>
      <c r="AK214" s="9">
        <f>Y214-X214</f>
        <v/>
      </c>
      <c r="AL214" s="9">
        <f>1000*(AA215-AA213)/(A215-A213)*Inputs!$C$11</f>
        <v/>
      </c>
      <c r="AM214" s="9">
        <f>-2*AL214/Inputs!$C$13</f>
        <v/>
      </c>
      <c r="AN214" s="9">
        <f>-2*AL214/Inputs!$C$14</f>
        <v/>
      </c>
      <c r="AO214" s="9">
        <f>ABS(AM214)</f>
        <v/>
      </c>
      <c r="AP214" s="9">
        <f>ABS(AN214)</f>
        <v/>
      </c>
      <c r="AQ214" s="9">
        <f>IF(OR(Inputs!$C$27=TRUE,Inputs!$C$27="TRUE",Inputs!$C$27=1),Inputs!$C$46/Inputs!$C$12,0)</f>
        <v/>
      </c>
      <c r="AR214" s="9">
        <f>AC214-AQ214</f>
        <v/>
      </c>
      <c r="AS214" s="9">
        <f>AC214+AQ214</f>
        <v/>
      </c>
    </row>
    <row r="215">
      <c r="A215" s="9">
        <f>Inputs!$C$7+213*(Inputs!$C$8-Inputs!$C$7)/240</f>
        <v/>
      </c>
      <c r="B215" s="9">
        <f>Inputs!$C$5+Inputs!$C$9*(A215/Inputs!$C$10)^2</f>
        <v/>
      </c>
      <c r="C215" s="9">
        <f>B215</f>
        <v/>
      </c>
      <c r="D215" s="9">
        <f>SQRT((Inputs!$C$52+B215)^2+Inputs!$C$52^2-2*(Inputs!$C$52+B215)*Inputs!$C$52*COS(SQRT(A215^2+Inputs!$C$6^2)/Inputs!$C$52))</f>
        <v/>
      </c>
      <c r="E215" s="9">
        <f>(D215-C215)*1000</f>
        <v/>
      </c>
      <c r="F215" s="9">
        <f>E215/Inputs!$C$12</f>
        <v/>
      </c>
      <c r="G215" s="9">
        <f>2*E215/Inputs!$C$21*1000000</f>
        <v/>
      </c>
      <c r="H215" s="9">
        <f>SQRT(A215^2+Inputs!$C$6^2)</f>
        <v/>
      </c>
      <c r="I215" s="9">
        <f>DEGREES(ATAN(H215/B215))</f>
        <v/>
      </c>
      <c r="J215" s="9">
        <f>DEGREES((2*PI()/Inputs!$C$13)*Inputs!$C$15*SIN(RADIANS(I215)))</f>
        <v/>
      </c>
      <c r="K215" s="9">
        <f>(C215/D215)^4</f>
        <v/>
      </c>
      <c r="L215" s="9">
        <f>10*LOG10(K215)</f>
        <v/>
      </c>
      <c r="M215" s="9">
        <f>2*(Inputs!$C$9/(Inputs!$C$10^2))*A215</f>
        <v/>
      </c>
      <c r="N215" s="9">
        <f>M215*Inputs!$C$11</f>
        <v/>
      </c>
      <c r="O215" s="9">
        <f>1000*(D216-D214)/(A216-A214)*Inputs!$C$11</f>
        <v/>
      </c>
      <c r="P215" s="9">
        <f>-2*O215/Inputs!$C$13</f>
        <v/>
      </c>
      <c r="Q215" s="9">
        <f>-2*O215/Inputs!$C$14</f>
        <v/>
      </c>
      <c r="R215" s="9">
        <f>F215-Inputs!$C$16/2</f>
        <v/>
      </c>
      <c r="S215" s="9">
        <f>F215+Inputs!$C$16/2</f>
        <v/>
      </c>
      <c r="T215" s="9">
        <f>F215-Inputs!$C$17/2</f>
        <v/>
      </c>
      <c r="U215" s="9">
        <f>F215+Inputs!$C$17/2</f>
        <v/>
      </c>
      <c r="V215" s="9">
        <f>ABS(P215)</f>
        <v/>
      </c>
      <c r="W215" s="9">
        <f>ABS(Q215)</f>
        <v/>
      </c>
      <c r="X215" s="9">
        <f>IF(OR(Inputs!$C$27=TRUE,Inputs!$C$27="TRUE",Inputs!$C$27=1),1,0)*(Inputs!$C$51*(115*EXP(-(((0)-25)^2)/(4.5^2))+70*EXP(-(((0)+38)^2)/(7^2))*(0.55+0.45*SIN(2*PI()*(A215)/45))+24*SIN(2*PI()*(0)/9+(A215)/18)*EXP(-(((0)+5)^2)/(22^2))+18*SIN(2*PI()*(A215)/70))+Inputs!$C$28*EXP(-(((A215)-Inputs!$C$29)^2)/(2*Inputs!$C$31^2))*EXP(-(((0)-Inputs!$C$30)^2)/(2*Inputs!$C$32^2))+-Inputs!$C$33*EXP(-(((((A215)-Inputs!$C$34)^2)+(((0)-Inputs!$C$35)^2))/(2*Inputs!$C$36^2)))+Inputs!$C$37*(0.55*SIN(2*PI()*(A215)/Inputs!$C$39)+0.35*COS(2*PI()*(0)/Inputs!$C$40)+0.2*SIN(2*PI()*((A215)+(0))/(0.5*(Inputs!$C$39+Inputs!$C$40))))+Inputs!$C$38*SIN(2*PI()*(A215)/Inputs!$C$39)*SIN(2*PI()*(0)/Inputs!$C$40)+-Inputs!$C$41*EXP(-(((0)-Inputs!$C$43)^2)/(2*Inputs!$C$44^2))*EXP(-(((A215)-Inputs!$C$42)^2)/(2*Inputs!$C$45^2))+Inputs!$C$48*(0.7*(0.45*SIN(2*PI()*(((A215)/Inputs!$C$49)+Inputs!$C$47*0.137))+0.35*COS(2*PI()*(((0)/Inputs!$C$50)+Inputs!$C$47*0.173))+0.2*SIN(2*PI()*(((A215)+(0))/(0.5*(Inputs!$C$49+Inputs!$C$50))+Inputs!$C$47*0.097)))+0.3*(2*((SIN(((A215)*12.9898+(0)*78.233+Inputs!$C$47*37.719))*43758.5453)-INT((SIN(((A215)*12.9898+(0)*78.233+Inputs!$C$47*37.719))*43758.5453)))-1)))</f>
        <v/>
      </c>
      <c r="Y215" s="9">
        <f>IF(OR(Inputs!$C$27=TRUE,Inputs!$C$27="TRUE",Inputs!$C$27=1),1,0)*(Inputs!$C$51*(115*EXP(-(((Inputs!$C$6)-25)^2)/(4.5^2))+70*EXP(-(((Inputs!$C$6)+38)^2)/(7^2))*(0.55+0.45*SIN(2*PI()*(A215)/45))+24*SIN(2*PI()*(Inputs!$C$6)/9+(A215)/18)*EXP(-(((Inputs!$C$6)+5)^2)/(22^2))+18*SIN(2*PI()*(A215)/70))+Inputs!$C$28*EXP(-(((A215)-Inputs!$C$29)^2)/(2*Inputs!$C$31^2))*EXP(-(((Inputs!$C$6)-Inputs!$C$30)^2)/(2*Inputs!$C$32^2))+-Inputs!$C$33*EXP(-(((((A215)-Inputs!$C$34)^2)+(((Inputs!$C$6)-Inputs!$C$35)^2))/(2*Inputs!$C$36^2)))+Inputs!$C$37*(0.55*SIN(2*PI()*(A215)/Inputs!$C$39)+0.35*COS(2*PI()*(Inputs!$C$6)/Inputs!$C$40)+0.2*SIN(2*PI()*((A215)+(Inputs!$C$6))/(0.5*(Inputs!$C$39+Inputs!$C$40))))+Inputs!$C$38*SIN(2*PI()*(A215)/Inputs!$C$39)*SIN(2*PI()*(Inputs!$C$6)/Inputs!$C$40)+-Inputs!$C$41*EXP(-(((Inputs!$C$6)-Inputs!$C$43)^2)/(2*Inputs!$C$44^2))*EXP(-(((A215)-Inputs!$C$42)^2)/(2*Inputs!$C$45^2))+Inputs!$C$48*(0.7*(0.45*SIN(2*PI()*(((A215)/Inputs!$C$49)+Inputs!$C$47*0.137))+0.35*COS(2*PI()*(((Inputs!$C$6)/Inputs!$C$50)+Inputs!$C$47*0.173))+0.2*SIN(2*PI()*(((A215)+(Inputs!$C$6))/(0.5*(Inputs!$C$49+Inputs!$C$50))+Inputs!$C$47*0.097)))+0.3*(2*((SIN(((A215)*12.9898+(Inputs!$C$6)*78.233+Inputs!$C$47*37.719))*43758.5453)-INT((SIN(((A215)*12.9898+(Inputs!$C$6)*78.233+Inputs!$C$47*37.719))*43758.5453)))-1)))</f>
        <v/>
      </c>
      <c r="Z215" s="9">
        <f>B215-X215/1000</f>
        <v/>
      </c>
      <c r="AA215" s="9">
        <f>SQRT((Inputs!$C$52+B215)^2+(Inputs!$C$52+Y215/1000)^2-2*(Inputs!$C$52+B215)*(Inputs!$C$52+Y215/1000)*COS(SQRT(A215^2+Inputs!$C$6^2)/Inputs!$C$52))</f>
        <v/>
      </c>
      <c r="AB215" s="9">
        <f>(AA215-Z215)*1000</f>
        <v/>
      </c>
      <c r="AC215" s="9">
        <f>AB215/Inputs!$C$12</f>
        <v/>
      </c>
      <c r="AD215" s="9">
        <f>2*AB215/Inputs!$C$21*1000000</f>
        <v/>
      </c>
      <c r="AE215" s="9">
        <f>DEGREES(ATAN(H215/(B215-Y215/1000)))</f>
        <v/>
      </c>
      <c r="AF215" s="9">
        <f>DEGREES((2*PI()/Inputs!$C$13)*Inputs!$C$15*SIN(RADIANS(AE215)))</f>
        <v/>
      </c>
      <c r="AG215" s="9">
        <f>(Z215/AA215)^4</f>
        <v/>
      </c>
      <c r="AH215" s="9">
        <f>10*LOG10(AG215)</f>
        <v/>
      </c>
      <c r="AI215" s="9">
        <f>AC215-F215</f>
        <v/>
      </c>
      <c r="AJ215" s="9">
        <f>AD215-G215</f>
        <v/>
      </c>
      <c r="AK215" s="9">
        <f>Y215-X215</f>
        <v/>
      </c>
      <c r="AL215" s="9">
        <f>1000*(AA216-AA214)/(A216-A214)*Inputs!$C$11</f>
        <v/>
      </c>
      <c r="AM215" s="9">
        <f>-2*AL215/Inputs!$C$13</f>
        <v/>
      </c>
      <c r="AN215" s="9">
        <f>-2*AL215/Inputs!$C$14</f>
        <v/>
      </c>
      <c r="AO215" s="9">
        <f>ABS(AM215)</f>
        <v/>
      </c>
      <c r="AP215" s="9">
        <f>ABS(AN215)</f>
        <v/>
      </c>
      <c r="AQ215" s="9">
        <f>IF(OR(Inputs!$C$27=TRUE,Inputs!$C$27="TRUE",Inputs!$C$27=1),Inputs!$C$46/Inputs!$C$12,0)</f>
        <v/>
      </c>
      <c r="AR215" s="9">
        <f>AC215-AQ215</f>
        <v/>
      </c>
      <c r="AS215" s="9">
        <f>AC215+AQ215</f>
        <v/>
      </c>
    </row>
    <row r="216">
      <c r="A216" s="9">
        <f>Inputs!$C$7+214*(Inputs!$C$8-Inputs!$C$7)/240</f>
        <v/>
      </c>
      <c r="B216" s="9">
        <f>Inputs!$C$5+Inputs!$C$9*(A216/Inputs!$C$10)^2</f>
        <v/>
      </c>
      <c r="C216" s="9">
        <f>B216</f>
        <v/>
      </c>
      <c r="D216" s="9">
        <f>SQRT((Inputs!$C$52+B216)^2+Inputs!$C$52^2-2*(Inputs!$C$52+B216)*Inputs!$C$52*COS(SQRT(A216^2+Inputs!$C$6^2)/Inputs!$C$52))</f>
        <v/>
      </c>
      <c r="E216" s="9">
        <f>(D216-C216)*1000</f>
        <v/>
      </c>
      <c r="F216" s="9">
        <f>E216/Inputs!$C$12</f>
        <v/>
      </c>
      <c r="G216" s="9">
        <f>2*E216/Inputs!$C$21*1000000</f>
        <v/>
      </c>
      <c r="H216" s="9">
        <f>SQRT(A216^2+Inputs!$C$6^2)</f>
        <v/>
      </c>
      <c r="I216" s="9">
        <f>DEGREES(ATAN(H216/B216))</f>
        <v/>
      </c>
      <c r="J216" s="9">
        <f>DEGREES((2*PI()/Inputs!$C$13)*Inputs!$C$15*SIN(RADIANS(I216)))</f>
        <v/>
      </c>
      <c r="K216" s="9">
        <f>(C216/D216)^4</f>
        <v/>
      </c>
      <c r="L216" s="9">
        <f>10*LOG10(K216)</f>
        <v/>
      </c>
      <c r="M216" s="9">
        <f>2*(Inputs!$C$9/(Inputs!$C$10^2))*A216</f>
        <v/>
      </c>
      <c r="N216" s="9">
        <f>M216*Inputs!$C$11</f>
        <v/>
      </c>
      <c r="O216" s="9">
        <f>1000*(D217-D215)/(A217-A215)*Inputs!$C$11</f>
        <v/>
      </c>
      <c r="P216" s="9">
        <f>-2*O216/Inputs!$C$13</f>
        <v/>
      </c>
      <c r="Q216" s="9">
        <f>-2*O216/Inputs!$C$14</f>
        <v/>
      </c>
      <c r="R216" s="9">
        <f>F216-Inputs!$C$16/2</f>
        <v/>
      </c>
      <c r="S216" s="9">
        <f>F216+Inputs!$C$16/2</f>
        <v/>
      </c>
      <c r="T216" s="9">
        <f>F216-Inputs!$C$17/2</f>
        <v/>
      </c>
      <c r="U216" s="9">
        <f>F216+Inputs!$C$17/2</f>
        <v/>
      </c>
      <c r="V216" s="9">
        <f>ABS(P216)</f>
        <v/>
      </c>
      <c r="W216" s="9">
        <f>ABS(Q216)</f>
        <v/>
      </c>
      <c r="X216" s="9">
        <f>IF(OR(Inputs!$C$27=TRUE,Inputs!$C$27="TRUE",Inputs!$C$27=1),1,0)*(Inputs!$C$51*(115*EXP(-(((0)-25)^2)/(4.5^2))+70*EXP(-(((0)+38)^2)/(7^2))*(0.55+0.45*SIN(2*PI()*(A216)/45))+24*SIN(2*PI()*(0)/9+(A216)/18)*EXP(-(((0)+5)^2)/(22^2))+18*SIN(2*PI()*(A216)/70))+Inputs!$C$28*EXP(-(((A216)-Inputs!$C$29)^2)/(2*Inputs!$C$31^2))*EXP(-(((0)-Inputs!$C$30)^2)/(2*Inputs!$C$32^2))+-Inputs!$C$33*EXP(-(((((A216)-Inputs!$C$34)^2)+(((0)-Inputs!$C$35)^2))/(2*Inputs!$C$36^2)))+Inputs!$C$37*(0.55*SIN(2*PI()*(A216)/Inputs!$C$39)+0.35*COS(2*PI()*(0)/Inputs!$C$40)+0.2*SIN(2*PI()*((A216)+(0))/(0.5*(Inputs!$C$39+Inputs!$C$40))))+Inputs!$C$38*SIN(2*PI()*(A216)/Inputs!$C$39)*SIN(2*PI()*(0)/Inputs!$C$40)+-Inputs!$C$41*EXP(-(((0)-Inputs!$C$43)^2)/(2*Inputs!$C$44^2))*EXP(-(((A216)-Inputs!$C$42)^2)/(2*Inputs!$C$45^2))+Inputs!$C$48*(0.7*(0.45*SIN(2*PI()*(((A216)/Inputs!$C$49)+Inputs!$C$47*0.137))+0.35*COS(2*PI()*(((0)/Inputs!$C$50)+Inputs!$C$47*0.173))+0.2*SIN(2*PI()*(((A216)+(0))/(0.5*(Inputs!$C$49+Inputs!$C$50))+Inputs!$C$47*0.097)))+0.3*(2*((SIN(((A216)*12.9898+(0)*78.233+Inputs!$C$47*37.719))*43758.5453)-INT((SIN(((A216)*12.9898+(0)*78.233+Inputs!$C$47*37.719))*43758.5453)))-1)))</f>
        <v/>
      </c>
      <c r="Y216" s="9">
        <f>IF(OR(Inputs!$C$27=TRUE,Inputs!$C$27="TRUE",Inputs!$C$27=1),1,0)*(Inputs!$C$51*(115*EXP(-(((Inputs!$C$6)-25)^2)/(4.5^2))+70*EXP(-(((Inputs!$C$6)+38)^2)/(7^2))*(0.55+0.45*SIN(2*PI()*(A216)/45))+24*SIN(2*PI()*(Inputs!$C$6)/9+(A216)/18)*EXP(-(((Inputs!$C$6)+5)^2)/(22^2))+18*SIN(2*PI()*(A216)/70))+Inputs!$C$28*EXP(-(((A216)-Inputs!$C$29)^2)/(2*Inputs!$C$31^2))*EXP(-(((Inputs!$C$6)-Inputs!$C$30)^2)/(2*Inputs!$C$32^2))+-Inputs!$C$33*EXP(-(((((A216)-Inputs!$C$34)^2)+(((Inputs!$C$6)-Inputs!$C$35)^2))/(2*Inputs!$C$36^2)))+Inputs!$C$37*(0.55*SIN(2*PI()*(A216)/Inputs!$C$39)+0.35*COS(2*PI()*(Inputs!$C$6)/Inputs!$C$40)+0.2*SIN(2*PI()*((A216)+(Inputs!$C$6))/(0.5*(Inputs!$C$39+Inputs!$C$40))))+Inputs!$C$38*SIN(2*PI()*(A216)/Inputs!$C$39)*SIN(2*PI()*(Inputs!$C$6)/Inputs!$C$40)+-Inputs!$C$41*EXP(-(((Inputs!$C$6)-Inputs!$C$43)^2)/(2*Inputs!$C$44^2))*EXP(-(((A216)-Inputs!$C$42)^2)/(2*Inputs!$C$45^2))+Inputs!$C$48*(0.7*(0.45*SIN(2*PI()*(((A216)/Inputs!$C$49)+Inputs!$C$47*0.137))+0.35*COS(2*PI()*(((Inputs!$C$6)/Inputs!$C$50)+Inputs!$C$47*0.173))+0.2*SIN(2*PI()*(((A216)+(Inputs!$C$6))/(0.5*(Inputs!$C$49+Inputs!$C$50))+Inputs!$C$47*0.097)))+0.3*(2*((SIN(((A216)*12.9898+(Inputs!$C$6)*78.233+Inputs!$C$47*37.719))*43758.5453)-INT((SIN(((A216)*12.9898+(Inputs!$C$6)*78.233+Inputs!$C$47*37.719))*43758.5453)))-1)))</f>
        <v/>
      </c>
      <c r="Z216" s="9">
        <f>B216-X216/1000</f>
        <v/>
      </c>
      <c r="AA216" s="9">
        <f>SQRT((Inputs!$C$52+B216)^2+(Inputs!$C$52+Y216/1000)^2-2*(Inputs!$C$52+B216)*(Inputs!$C$52+Y216/1000)*COS(SQRT(A216^2+Inputs!$C$6^2)/Inputs!$C$52))</f>
        <v/>
      </c>
      <c r="AB216" s="9">
        <f>(AA216-Z216)*1000</f>
        <v/>
      </c>
      <c r="AC216" s="9">
        <f>AB216/Inputs!$C$12</f>
        <v/>
      </c>
      <c r="AD216" s="9">
        <f>2*AB216/Inputs!$C$21*1000000</f>
        <v/>
      </c>
      <c r="AE216" s="9">
        <f>DEGREES(ATAN(H216/(B216-Y216/1000)))</f>
        <v/>
      </c>
      <c r="AF216" s="9">
        <f>DEGREES((2*PI()/Inputs!$C$13)*Inputs!$C$15*SIN(RADIANS(AE216)))</f>
        <v/>
      </c>
      <c r="AG216" s="9">
        <f>(Z216/AA216)^4</f>
        <v/>
      </c>
      <c r="AH216" s="9">
        <f>10*LOG10(AG216)</f>
        <v/>
      </c>
      <c r="AI216" s="9">
        <f>AC216-F216</f>
        <v/>
      </c>
      <c r="AJ216" s="9">
        <f>AD216-G216</f>
        <v/>
      </c>
      <c r="AK216" s="9">
        <f>Y216-X216</f>
        <v/>
      </c>
      <c r="AL216" s="9">
        <f>1000*(AA217-AA215)/(A217-A215)*Inputs!$C$11</f>
        <v/>
      </c>
      <c r="AM216" s="9">
        <f>-2*AL216/Inputs!$C$13</f>
        <v/>
      </c>
      <c r="AN216" s="9">
        <f>-2*AL216/Inputs!$C$14</f>
        <v/>
      </c>
      <c r="AO216" s="9">
        <f>ABS(AM216)</f>
        <v/>
      </c>
      <c r="AP216" s="9">
        <f>ABS(AN216)</f>
        <v/>
      </c>
      <c r="AQ216" s="9">
        <f>IF(OR(Inputs!$C$27=TRUE,Inputs!$C$27="TRUE",Inputs!$C$27=1),Inputs!$C$46/Inputs!$C$12,0)</f>
        <v/>
      </c>
      <c r="AR216" s="9">
        <f>AC216-AQ216</f>
        <v/>
      </c>
      <c r="AS216" s="9">
        <f>AC216+AQ216</f>
        <v/>
      </c>
    </row>
    <row r="217">
      <c r="A217" s="9">
        <f>Inputs!$C$7+215*(Inputs!$C$8-Inputs!$C$7)/240</f>
        <v/>
      </c>
      <c r="B217" s="9">
        <f>Inputs!$C$5+Inputs!$C$9*(A217/Inputs!$C$10)^2</f>
        <v/>
      </c>
      <c r="C217" s="9">
        <f>B217</f>
        <v/>
      </c>
      <c r="D217" s="9">
        <f>SQRT((Inputs!$C$52+B217)^2+Inputs!$C$52^2-2*(Inputs!$C$52+B217)*Inputs!$C$52*COS(SQRT(A217^2+Inputs!$C$6^2)/Inputs!$C$52))</f>
        <v/>
      </c>
      <c r="E217" s="9">
        <f>(D217-C217)*1000</f>
        <v/>
      </c>
      <c r="F217" s="9">
        <f>E217/Inputs!$C$12</f>
        <v/>
      </c>
      <c r="G217" s="9">
        <f>2*E217/Inputs!$C$21*1000000</f>
        <v/>
      </c>
      <c r="H217" s="9">
        <f>SQRT(A217^2+Inputs!$C$6^2)</f>
        <v/>
      </c>
      <c r="I217" s="9">
        <f>DEGREES(ATAN(H217/B217))</f>
        <v/>
      </c>
      <c r="J217" s="9">
        <f>DEGREES((2*PI()/Inputs!$C$13)*Inputs!$C$15*SIN(RADIANS(I217)))</f>
        <v/>
      </c>
      <c r="K217" s="9">
        <f>(C217/D217)^4</f>
        <v/>
      </c>
      <c r="L217" s="9">
        <f>10*LOG10(K217)</f>
        <v/>
      </c>
      <c r="M217" s="9">
        <f>2*(Inputs!$C$9/(Inputs!$C$10^2))*A217</f>
        <v/>
      </c>
      <c r="N217" s="9">
        <f>M217*Inputs!$C$11</f>
        <v/>
      </c>
      <c r="O217" s="9">
        <f>1000*(D218-D216)/(A218-A216)*Inputs!$C$11</f>
        <v/>
      </c>
      <c r="P217" s="9">
        <f>-2*O217/Inputs!$C$13</f>
        <v/>
      </c>
      <c r="Q217" s="9">
        <f>-2*O217/Inputs!$C$14</f>
        <v/>
      </c>
      <c r="R217" s="9">
        <f>F217-Inputs!$C$16/2</f>
        <v/>
      </c>
      <c r="S217" s="9">
        <f>F217+Inputs!$C$16/2</f>
        <v/>
      </c>
      <c r="T217" s="9">
        <f>F217-Inputs!$C$17/2</f>
        <v/>
      </c>
      <c r="U217" s="9">
        <f>F217+Inputs!$C$17/2</f>
        <v/>
      </c>
      <c r="V217" s="9">
        <f>ABS(P217)</f>
        <v/>
      </c>
      <c r="W217" s="9">
        <f>ABS(Q217)</f>
        <v/>
      </c>
      <c r="X217" s="9">
        <f>IF(OR(Inputs!$C$27=TRUE,Inputs!$C$27="TRUE",Inputs!$C$27=1),1,0)*(Inputs!$C$51*(115*EXP(-(((0)-25)^2)/(4.5^2))+70*EXP(-(((0)+38)^2)/(7^2))*(0.55+0.45*SIN(2*PI()*(A217)/45))+24*SIN(2*PI()*(0)/9+(A217)/18)*EXP(-(((0)+5)^2)/(22^2))+18*SIN(2*PI()*(A217)/70))+Inputs!$C$28*EXP(-(((A217)-Inputs!$C$29)^2)/(2*Inputs!$C$31^2))*EXP(-(((0)-Inputs!$C$30)^2)/(2*Inputs!$C$32^2))+-Inputs!$C$33*EXP(-(((((A217)-Inputs!$C$34)^2)+(((0)-Inputs!$C$35)^2))/(2*Inputs!$C$36^2)))+Inputs!$C$37*(0.55*SIN(2*PI()*(A217)/Inputs!$C$39)+0.35*COS(2*PI()*(0)/Inputs!$C$40)+0.2*SIN(2*PI()*((A217)+(0))/(0.5*(Inputs!$C$39+Inputs!$C$40))))+Inputs!$C$38*SIN(2*PI()*(A217)/Inputs!$C$39)*SIN(2*PI()*(0)/Inputs!$C$40)+-Inputs!$C$41*EXP(-(((0)-Inputs!$C$43)^2)/(2*Inputs!$C$44^2))*EXP(-(((A217)-Inputs!$C$42)^2)/(2*Inputs!$C$45^2))+Inputs!$C$48*(0.7*(0.45*SIN(2*PI()*(((A217)/Inputs!$C$49)+Inputs!$C$47*0.137))+0.35*COS(2*PI()*(((0)/Inputs!$C$50)+Inputs!$C$47*0.173))+0.2*SIN(2*PI()*(((A217)+(0))/(0.5*(Inputs!$C$49+Inputs!$C$50))+Inputs!$C$47*0.097)))+0.3*(2*((SIN(((A217)*12.9898+(0)*78.233+Inputs!$C$47*37.719))*43758.5453)-INT((SIN(((A217)*12.9898+(0)*78.233+Inputs!$C$47*37.719))*43758.5453)))-1)))</f>
        <v/>
      </c>
      <c r="Y217" s="9">
        <f>IF(OR(Inputs!$C$27=TRUE,Inputs!$C$27="TRUE",Inputs!$C$27=1),1,0)*(Inputs!$C$51*(115*EXP(-(((Inputs!$C$6)-25)^2)/(4.5^2))+70*EXP(-(((Inputs!$C$6)+38)^2)/(7^2))*(0.55+0.45*SIN(2*PI()*(A217)/45))+24*SIN(2*PI()*(Inputs!$C$6)/9+(A217)/18)*EXP(-(((Inputs!$C$6)+5)^2)/(22^2))+18*SIN(2*PI()*(A217)/70))+Inputs!$C$28*EXP(-(((A217)-Inputs!$C$29)^2)/(2*Inputs!$C$31^2))*EXP(-(((Inputs!$C$6)-Inputs!$C$30)^2)/(2*Inputs!$C$32^2))+-Inputs!$C$33*EXP(-(((((A217)-Inputs!$C$34)^2)+(((Inputs!$C$6)-Inputs!$C$35)^2))/(2*Inputs!$C$36^2)))+Inputs!$C$37*(0.55*SIN(2*PI()*(A217)/Inputs!$C$39)+0.35*COS(2*PI()*(Inputs!$C$6)/Inputs!$C$40)+0.2*SIN(2*PI()*((A217)+(Inputs!$C$6))/(0.5*(Inputs!$C$39+Inputs!$C$40))))+Inputs!$C$38*SIN(2*PI()*(A217)/Inputs!$C$39)*SIN(2*PI()*(Inputs!$C$6)/Inputs!$C$40)+-Inputs!$C$41*EXP(-(((Inputs!$C$6)-Inputs!$C$43)^2)/(2*Inputs!$C$44^2))*EXP(-(((A217)-Inputs!$C$42)^2)/(2*Inputs!$C$45^2))+Inputs!$C$48*(0.7*(0.45*SIN(2*PI()*(((A217)/Inputs!$C$49)+Inputs!$C$47*0.137))+0.35*COS(2*PI()*(((Inputs!$C$6)/Inputs!$C$50)+Inputs!$C$47*0.173))+0.2*SIN(2*PI()*(((A217)+(Inputs!$C$6))/(0.5*(Inputs!$C$49+Inputs!$C$50))+Inputs!$C$47*0.097)))+0.3*(2*((SIN(((A217)*12.9898+(Inputs!$C$6)*78.233+Inputs!$C$47*37.719))*43758.5453)-INT((SIN(((A217)*12.9898+(Inputs!$C$6)*78.233+Inputs!$C$47*37.719))*43758.5453)))-1)))</f>
        <v/>
      </c>
      <c r="Z217" s="9">
        <f>B217-X217/1000</f>
        <v/>
      </c>
      <c r="AA217" s="9">
        <f>SQRT((Inputs!$C$52+B217)^2+(Inputs!$C$52+Y217/1000)^2-2*(Inputs!$C$52+B217)*(Inputs!$C$52+Y217/1000)*COS(SQRT(A217^2+Inputs!$C$6^2)/Inputs!$C$52))</f>
        <v/>
      </c>
      <c r="AB217" s="9">
        <f>(AA217-Z217)*1000</f>
        <v/>
      </c>
      <c r="AC217" s="9">
        <f>AB217/Inputs!$C$12</f>
        <v/>
      </c>
      <c r="AD217" s="9">
        <f>2*AB217/Inputs!$C$21*1000000</f>
        <v/>
      </c>
      <c r="AE217" s="9">
        <f>DEGREES(ATAN(H217/(B217-Y217/1000)))</f>
        <v/>
      </c>
      <c r="AF217" s="9">
        <f>DEGREES((2*PI()/Inputs!$C$13)*Inputs!$C$15*SIN(RADIANS(AE217)))</f>
        <v/>
      </c>
      <c r="AG217" s="9">
        <f>(Z217/AA217)^4</f>
        <v/>
      </c>
      <c r="AH217" s="9">
        <f>10*LOG10(AG217)</f>
        <v/>
      </c>
      <c r="AI217" s="9">
        <f>AC217-F217</f>
        <v/>
      </c>
      <c r="AJ217" s="9">
        <f>AD217-G217</f>
        <v/>
      </c>
      <c r="AK217" s="9">
        <f>Y217-X217</f>
        <v/>
      </c>
      <c r="AL217" s="9">
        <f>1000*(AA218-AA216)/(A218-A216)*Inputs!$C$11</f>
        <v/>
      </c>
      <c r="AM217" s="9">
        <f>-2*AL217/Inputs!$C$13</f>
        <v/>
      </c>
      <c r="AN217" s="9">
        <f>-2*AL217/Inputs!$C$14</f>
        <v/>
      </c>
      <c r="AO217" s="9">
        <f>ABS(AM217)</f>
        <v/>
      </c>
      <c r="AP217" s="9">
        <f>ABS(AN217)</f>
        <v/>
      </c>
      <c r="AQ217" s="9">
        <f>IF(OR(Inputs!$C$27=TRUE,Inputs!$C$27="TRUE",Inputs!$C$27=1),Inputs!$C$46/Inputs!$C$12,0)</f>
        <v/>
      </c>
      <c r="AR217" s="9">
        <f>AC217-AQ217</f>
        <v/>
      </c>
      <c r="AS217" s="9">
        <f>AC217+AQ217</f>
        <v/>
      </c>
    </row>
    <row r="218">
      <c r="A218" s="9">
        <f>Inputs!$C$7+216*(Inputs!$C$8-Inputs!$C$7)/240</f>
        <v/>
      </c>
      <c r="B218" s="9">
        <f>Inputs!$C$5+Inputs!$C$9*(A218/Inputs!$C$10)^2</f>
        <v/>
      </c>
      <c r="C218" s="9">
        <f>B218</f>
        <v/>
      </c>
      <c r="D218" s="9">
        <f>SQRT((Inputs!$C$52+B218)^2+Inputs!$C$52^2-2*(Inputs!$C$52+B218)*Inputs!$C$52*COS(SQRT(A218^2+Inputs!$C$6^2)/Inputs!$C$52))</f>
        <v/>
      </c>
      <c r="E218" s="9">
        <f>(D218-C218)*1000</f>
        <v/>
      </c>
      <c r="F218" s="9">
        <f>E218/Inputs!$C$12</f>
        <v/>
      </c>
      <c r="G218" s="9">
        <f>2*E218/Inputs!$C$21*1000000</f>
        <v/>
      </c>
      <c r="H218" s="9">
        <f>SQRT(A218^2+Inputs!$C$6^2)</f>
        <v/>
      </c>
      <c r="I218" s="9">
        <f>DEGREES(ATAN(H218/B218))</f>
        <v/>
      </c>
      <c r="J218" s="9">
        <f>DEGREES((2*PI()/Inputs!$C$13)*Inputs!$C$15*SIN(RADIANS(I218)))</f>
        <v/>
      </c>
      <c r="K218" s="9">
        <f>(C218/D218)^4</f>
        <v/>
      </c>
      <c r="L218" s="9">
        <f>10*LOG10(K218)</f>
        <v/>
      </c>
      <c r="M218" s="9">
        <f>2*(Inputs!$C$9/(Inputs!$C$10^2))*A218</f>
        <v/>
      </c>
      <c r="N218" s="9">
        <f>M218*Inputs!$C$11</f>
        <v/>
      </c>
      <c r="O218" s="9">
        <f>1000*(D219-D217)/(A219-A217)*Inputs!$C$11</f>
        <v/>
      </c>
      <c r="P218" s="9">
        <f>-2*O218/Inputs!$C$13</f>
        <v/>
      </c>
      <c r="Q218" s="9">
        <f>-2*O218/Inputs!$C$14</f>
        <v/>
      </c>
      <c r="R218" s="9">
        <f>F218-Inputs!$C$16/2</f>
        <v/>
      </c>
      <c r="S218" s="9">
        <f>F218+Inputs!$C$16/2</f>
        <v/>
      </c>
      <c r="T218" s="9">
        <f>F218-Inputs!$C$17/2</f>
        <v/>
      </c>
      <c r="U218" s="9">
        <f>F218+Inputs!$C$17/2</f>
        <v/>
      </c>
      <c r="V218" s="9">
        <f>ABS(P218)</f>
        <v/>
      </c>
      <c r="W218" s="9">
        <f>ABS(Q218)</f>
        <v/>
      </c>
      <c r="X218" s="9">
        <f>IF(OR(Inputs!$C$27=TRUE,Inputs!$C$27="TRUE",Inputs!$C$27=1),1,0)*(Inputs!$C$51*(115*EXP(-(((0)-25)^2)/(4.5^2))+70*EXP(-(((0)+38)^2)/(7^2))*(0.55+0.45*SIN(2*PI()*(A218)/45))+24*SIN(2*PI()*(0)/9+(A218)/18)*EXP(-(((0)+5)^2)/(22^2))+18*SIN(2*PI()*(A218)/70))+Inputs!$C$28*EXP(-(((A218)-Inputs!$C$29)^2)/(2*Inputs!$C$31^2))*EXP(-(((0)-Inputs!$C$30)^2)/(2*Inputs!$C$32^2))+-Inputs!$C$33*EXP(-(((((A218)-Inputs!$C$34)^2)+(((0)-Inputs!$C$35)^2))/(2*Inputs!$C$36^2)))+Inputs!$C$37*(0.55*SIN(2*PI()*(A218)/Inputs!$C$39)+0.35*COS(2*PI()*(0)/Inputs!$C$40)+0.2*SIN(2*PI()*((A218)+(0))/(0.5*(Inputs!$C$39+Inputs!$C$40))))+Inputs!$C$38*SIN(2*PI()*(A218)/Inputs!$C$39)*SIN(2*PI()*(0)/Inputs!$C$40)+-Inputs!$C$41*EXP(-(((0)-Inputs!$C$43)^2)/(2*Inputs!$C$44^2))*EXP(-(((A218)-Inputs!$C$42)^2)/(2*Inputs!$C$45^2))+Inputs!$C$48*(0.7*(0.45*SIN(2*PI()*(((A218)/Inputs!$C$49)+Inputs!$C$47*0.137))+0.35*COS(2*PI()*(((0)/Inputs!$C$50)+Inputs!$C$47*0.173))+0.2*SIN(2*PI()*(((A218)+(0))/(0.5*(Inputs!$C$49+Inputs!$C$50))+Inputs!$C$47*0.097)))+0.3*(2*((SIN(((A218)*12.9898+(0)*78.233+Inputs!$C$47*37.719))*43758.5453)-INT((SIN(((A218)*12.9898+(0)*78.233+Inputs!$C$47*37.719))*43758.5453)))-1)))</f>
        <v/>
      </c>
      <c r="Y218" s="9">
        <f>IF(OR(Inputs!$C$27=TRUE,Inputs!$C$27="TRUE",Inputs!$C$27=1),1,0)*(Inputs!$C$51*(115*EXP(-(((Inputs!$C$6)-25)^2)/(4.5^2))+70*EXP(-(((Inputs!$C$6)+38)^2)/(7^2))*(0.55+0.45*SIN(2*PI()*(A218)/45))+24*SIN(2*PI()*(Inputs!$C$6)/9+(A218)/18)*EXP(-(((Inputs!$C$6)+5)^2)/(22^2))+18*SIN(2*PI()*(A218)/70))+Inputs!$C$28*EXP(-(((A218)-Inputs!$C$29)^2)/(2*Inputs!$C$31^2))*EXP(-(((Inputs!$C$6)-Inputs!$C$30)^2)/(2*Inputs!$C$32^2))+-Inputs!$C$33*EXP(-(((((A218)-Inputs!$C$34)^2)+(((Inputs!$C$6)-Inputs!$C$35)^2))/(2*Inputs!$C$36^2)))+Inputs!$C$37*(0.55*SIN(2*PI()*(A218)/Inputs!$C$39)+0.35*COS(2*PI()*(Inputs!$C$6)/Inputs!$C$40)+0.2*SIN(2*PI()*((A218)+(Inputs!$C$6))/(0.5*(Inputs!$C$39+Inputs!$C$40))))+Inputs!$C$38*SIN(2*PI()*(A218)/Inputs!$C$39)*SIN(2*PI()*(Inputs!$C$6)/Inputs!$C$40)+-Inputs!$C$41*EXP(-(((Inputs!$C$6)-Inputs!$C$43)^2)/(2*Inputs!$C$44^2))*EXP(-(((A218)-Inputs!$C$42)^2)/(2*Inputs!$C$45^2))+Inputs!$C$48*(0.7*(0.45*SIN(2*PI()*(((A218)/Inputs!$C$49)+Inputs!$C$47*0.137))+0.35*COS(2*PI()*(((Inputs!$C$6)/Inputs!$C$50)+Inputs!$C$47*0.173))+0.2*SIN(2*PI()*(((A218)+(Inputs!$C$6))/(0.5*(Inputs!$C$49+Inputs!$C$50))+Inputs!$C$47*0.097)))+0.3*(2*((SIN(((A218)*12.9898+(Inputs!$C$6)*78.233+Inputs!$C$47*37.719))*43758.5453)-INT((SIN(((A218)*12.9898+(Inputs!$C$6)*78.233+Inputs!$C$47*37.719))*43758.5453)))-1)))</f>
        <v/>
      </c>
      <c r="Z218" s="9">
        <f>B218-X218/1000</f>
        <v/>
      </c>
      <c r="AA218" s="9">
        <f>SQRT((Inputs!$C$52+B218)^2+(Inputs!$C$52+Y218/1000)^2-2*(Inputs!$C$52+B218)*(Inputs!$C$52+Y218/1000)*COS(SQRT(A218^2+Inputs!$C$6^2)/Inputs!$C$52))</f>
        <v/>
      </c>
      <c r="AB218" s="9">
        <f>(AA218-Z218)*1000</f>
        <v/>
      </c>
      <c r="AC218" s="9">
        <f>AB218/Inputs!$C$12</f>
        <v/>
      </c>
      <c r="AD218" s="9">
        <f>2*AB218/Inputs!$C$21*1000000</f>
        <v/>
      </c>
      <c r="AE218" s="9">
        <f>DEGREES(ATAN(H218/(B218-Y218/1000)))</f>
        <v/>
      </c>
      <c r="AF218" s="9">
        <f>DEGREES((2*PI()/Inputs!$C$13)*Inputs!$C$15*SIN(RADIANS(AE218)))</f>
        <v/>
      </c>
      <c r="AG218" s="9">
        <f>(Z218/AA218)^4</f>
        <v/>
      </c>
      <c r="AH218" s="9">
        <f>10*LOG10(AG218)</f>
        <v/>
      </c>
      <c r="AI218" s="9">
        <f>AC218-F218</f>
        <v/>
      </c>
      <c r="AJ218" s="9">
        <f>AD218-G218</f>
        <v/>
      </c>
      <c r="AK218" s="9">
        <f>Y218-X218</f>
        <v/>
      </c>
      <c r="AL218" s="9">
        <f>1000*(AA219-AA217)/(A219-A217)*Inputs!$C$11</f>
        <v/>
      </c>
      <c r="AM218" s="9">
        <f>-2*AL218/Inputs!$C$13</f>
        <v/>
      </c>
      <c r="AN218" s="9">
        <f>-2*AL218/Inputs!$C$14</f>
        <v/>
      </c>
      <c r="AO218" s="9">
        <f>ABS(AM218)</f>
        <v/>
      </c>
      <c r="AP218" s="9">
        <f>ABS(AN218)</f>
        <v/>
      </c>
      <c r="AQ218" s="9">
        <f>IF(OR(Inputs!$C$27=TRUE,Inputs!$C$27="TRUE",Inputs!$C$27=1),Inputs!$C$46/Inputs!$C$12,0)</f>
        <v/>
      </c>
      <c r="AR218" s="9">
        <f>AC218-AQ218</f>
        <v/>
      </c>
      <c r="AS218" s="9">
        <f>AC218+AQ218</f>
        <v/>
      </c>
    </row>
    <row r="219">
      <c r="A219" s="9">
        <f>Inputs!$C$7+217*(Inputs!$C$8-Inputs!$C$7)/240</f>
        <v/>
      </c>
      <c r="B219" s="9">
        <f>Inputs!$C$5+Inputs!$C$9*(A219/Inputs!$C$10)^2</f>
        <v/>
      </c>
      <c r="C219" s="9">
        <f>B219</f>
        <v/>
      </c>
      <c r="D219" s="9">
        <f>SQRT((Inputs!$C$52+B219)^2+Inputs!$C$52^2-2*(Inputs!$C$52+B219)*Inputs!$C$52*COS(SQRT(A219^2+Inputs!$C$6^2)/Inputs!$C$52))</f>
        <v/>
      </c>
      <c r="E219" s="9">
        <f>(D219-C219)*1000</f>
        <v/>
      </c>
      <c r="F219" s="9">
        <f>E219/Inputs!$C$12</f>
        <v/>
      </c>
      <c r="G219" s="9">
        <f>2*E219/Inputs!$C$21*1000000</f>
        <v/>
      </c>
      <c r="H219" s="9">
        <f>SQRT(A219^2+Inputs!$C$6^2)</f>
        <v/>
      </c>
      <c r="I219" s="9">
        <f>DEGREES(ATAN(H219/B219))</f>
        <v/>
      </c>
      <c r="J219" s="9">
        <f>DEGREES((2*PI()/Inputs!$C$13)*Inputs!$C$15*SIN(RADIANS(I219)))</f>
        <v/>
      </c>
      <c r="K219" s="9">
        <f>(C219/D219)^4</f>
        <v/>
      </c>
      <c r="L219" s="9">
        <f>10*LOG10(K219)</f>
        <v/>
      </c>
      <c r="M219" s="9">
        <f>2*(Inputs!$C$9/(Inputs!$C$10^2))*A219</f>
        <v/>
      </c>
      <c r="N219" s="9">
        <f>M219*Inputs!$C$11</f>
        <v/>
      </c>
      <c r="O219" s="9">
        <f>1000*(D220-D218)/(A220-A218)*Inputs!$C$11</f>
        <v/>
      </c>
      <c r="P219" s="9">
        <f>-2*O219/Inputs!$C$13</f>
        <v/>
      </c>
      <c r="Q219" s="9">
        <f>-2*O219/Inputs!$C$14</f>
        <v/>
      </c>
      <c r="R219" s="9">
        <f>F219-Inputs!$C$16/2</f>
        <v/>
      </c>
      <c r="S219" s="9">
        <f>F219+Inputs!$C$16/2</f>
        <v/>
      </c>
      <c r="T219" s="9">
        <f>F219-Inputs!$C$17/2</f>
        <v/>
      </c>
      <c r="U219" s="9">
        <f>F219+Inputs!$C$17/2</f>
        <v/>
      </c>
      <c r="V219" s="9">
        <f>ABS(P219)</f>
        <v/>
      </c>
      <c r="W219" s="9">
        <f>ABS(Q219)</f>
        <v/>
      </c>
      <c r="X219" s="9">
        <f>IF(OR(Inputs!$C$27=TRUE,Inputs!$C$27="TRUE",Inputs!$C$27=1),1,0)*(Inputs!$C$51*(115*EXP(-(((0)-25)^2)/(4.5^2))+70*EXP(-(((0)+38)^2)/(7^2))*(0.55+0.45*SIN(2*PI()*(A219)/45))+24*SIN(2*PI()*(0)/9+(A219)/18)*EXP(-(((0)+5)^2)/(22^2))+18*SIN(2*PI()*(A219)/70))+Inputs!$C$28*EXP(-(((A219)-Inputs!$C$29)^2)/(2*Inputs!$C$31^2))*EXP(-(((0)-Inputs!$C$30)^2)/(2*Inputs!$C$32^2))+-Inputs!$C$33*EXP(-(((((A219)-Inputs!$C$34)^2)+(((0)-Inputs!$C$35)^2))/(2*Inputs!$C$36^2)))+Inputs!$C$37*(0.55*SIN(2*PI()*(A219)/Inputs!$C$39)+0.35*COS(2*PI()*(0)/Inputs!$C$40)+0.2*SIN(2*PI()*((A219)+(0))/(0.5*(Inputs!$C$39+Inputs!$C$40))))+Inputs!$C$38*SIN(2*PI()*(A219)/Inputs!$C$39)*SIN(2*PI()*(0)/Inputs!$C$40)+-Inputs!$C$41*EXP(-(((0)-Inputs!$C$43)^2)/(2*Inputs!$C$44^2))*EXP(-(((A219)-Inputs!$C$42)^2)/(2*Inputs!$C$45^2))+Inputs!$C$48*(0.7*(0.45*SIN(2*PI()*(((A219)/Inputs!$C$49)+Inputs!$C$47*0.137))+0.35*COS(2*PI()*(((0)/Inputs!$C$50)+Inputs!$C$47*0.173))+0.2*SIN(2*PI()*(((A219)+(0))/(0.5*(Inputs!$C$49+Inputs!$C$50))+Inputs!$C$47*0.097)))+0.3*(2*((SIN(((A219)*12.9898+(0)*78.233+Inputs!$C$47*37.719))*43758.5453)-INT((SIN(((A219)*12.9898+(0)*78.233+Inputs!$C$47*37.719))*43758.5453)))-1)))</f>
        <v/>
      </c>
      <c r="Y219" s="9">
        <f>IF(OR(Inputs!$C$27=TRUE,Inputs!$C$27="TRUE",Inputs!$C$27=1),1,0)*(Inputs!$C$51*(115*EXP(-(((Inputs!$C$6)-25)^2)/(4.5^2))+70*EXP(-(((Inputs!$C$6)+38)^2)/(7^2))*(0.55+0.45*SIN(2*PI()*(A219)/45))+24*SIN(2*PI()*(Inputs!$C$6)/9+(A219)/18)*EXP(-(((Inputs!$C$6)+5)^2)/(22^2))+18*SIN(2*PI()*(A219)/70))+Inputs!$C$28*EXP(-(((A219)-Inputs!$C$29)^2)/(2*Inputs!$C$31^2))*EXP(-(((Inputs!$C$6)-Inputs!$C$30)^2)/(2*Inputs!$C$32^2))+-Inputs!$C$33*EXP(-(((((A219)-Inputs!$C$34)^2)+(((Inputs!$C$6)-Inputs!$C$35)^2))/(2*Inputs!$C$36^2)))+Inputs!$C$37*(0.55*SIN(2*PI()*(A219)/Inputs!$C$39)+0.35*COS(2*PI()*(Inputs!$C$6)/Inputs!$C$40)+0.2*SIN(2*PI()*((A219)+(Inputs!$C$6))/(0.5*(Inputs!$C$39+Inputs!$C$40))))+Inputs!$C$38*SIN(2*PI()*(A219)/Inputs!$C$39)*SIN(2*PI()*(Inputs!$C$6)/Inputs!$C$40)+-Inputs!$C$41*EXP(-(((Inputs!$C$6)-Inputs!$C$43)^2)/(2*Inputs!$C$44^2))*EXP(-(((A219)-Inputs!$C$42)^2)/(2*Inputs!$C$45^2))+Inputs!$C$48*(0.7*(0.45*SIN(2*PI()*(((A219)/Inputs!$C$49)+Inputs!$C$47*0.137))+0.35*COS(2*PI()*(((Inputs!$C$6)/Inputs!$C$50)+Inputs!$C$47*0.173))+0.2*SIN(2*PI()*(((A219)+(Inputs!$C$6))/(0.5*(Inputs!$C$49+Inputs!$C$50))+Inputs!$C$47*0.097)))+0.3*(2*((SIN(((A219)*12.9898+(Inputs!$C$6)*78.233+Inputs!$C$47*37.719))*43758.5453)-INT((SIN(((A219)*12.9898+(Inputs!$C$6)*78.233+Inputs!$C$47*37.719))*43758.5453)))-1)))</f>
        <v/>
      </c>
      <c r="Z219" s="9">
        <f>B219-X219/1000</f>
        <v/>
      </c>
      <c r="AA219" s="9">
        <f>SQRT((Inputs!$C$52+B219)^2+(Inputs!$C$52+Y219/1000)^2-2*(Inputs!$C$52+B219)*(Inputs!$C$52+Y219/1000)*COS(SQRT(A219^2+Inputs!$C$6^2)/Inputs!$C$52))</f>
        <v/>
      </c>
      <c r="AB219" s="9">
        <f>(AA219-Z219)*1000</f>
        <v/>
      </c>
      <c r="AC219" s="9">
        <f>AB219/Inputs!$C$12</f>
        <v/>
      </c>
      <c r="AD219" s="9">
        <f>2*AB219/Inputs!$C$21*1000000</f>
        <v/>
      </c>
      <c r="AE219" s="9">
        <f>DEGREES(ATAN(H219/(B219-Y219/1000)))</f>
        <v/>
      </c>
      <c r="AF219" s="9">
        <f>DEGREES((2*PI()/Inputs!$C$13)*Inputs!$C$15*SIN(RADIANS(AE219)))</f>
        <v/>
      </c>
      <c r="AG219" s="9">
        <f>(Z219/AA219)^4</f>
        <v/>
      </c>
      <c r="AH219" s="9">
        <f>10*LOG10(AG219)</f>
        <v/>
      </c>
      <c r="AI219" s="9">
        <f>AC219-F219</f>
        <v/>
      </c>
      <c r="AJ219" s="9">
        <f>AD219-G219</f>
        <v/>
      </c>
      <c r="AK219" s="9">
        <f>Y219-X219</f>
        <v/>
      </c>
      <c r="AL219" s="9">
        <f>1000*(AA220-AA218)/(A220-A218)*Inputs!$C$11</f>
        <v/>
      </c>
      <c r="AM219" s="9">
        <f>-2*AL219/Inputs!$C$13</f>
        <v/>
      </c>
      <c r="AN219" s="9">
        <f>-2*AL219/Inputs!$C$14</f>
        <v/>
      </c>
      <c r="AO219" s="9">
        <f>ABS(AM219)</f>
        <v/>
      </c>
      <c r="AP219" s="9">
        <f>ABS(AN219)</f>
        <v/>
      </c>
      <c r="AQ219" s="9">
        <f>IF(OR(Inputs!$C$27=TRUE,Inputs!$C$27="TRUE",Inputs!$C$27=1),Inputs!$C$46/Inputs!$C$12,0)</f>
        <v/>
      </c>
      <c r="AR219" s="9">
        <f>AC219-AQ219</f>
        <v/>
      </c>
      <c r="AS219" s="9">
        <f>AC219+AQ219</f>
        <v/>
      </c>
    </row>
    <row r="220">
      <c r="A220" s="9">
        <f>Inputs!$C$7+218*(Inputs!$C$8-Inputs!$C$7)/240</f>
        <v/>
      </c>
      <c r="B220" s="9">
        <f>Inputs!$C$5+Inputs!$C$9*(A220/Inputs!$C$10)^2</f>
        <v/>
      </c>
      <c r="C220" s="9">
        <f>B220</f>
        <v/>
      </c>
      <c r="D220" s="9">
        <f>SQRT((Inputs!$C$52+B220)^2+Inputs!$C$52^2-2*(Inputs!$C$52+B220)*Inputs!$C$52*COS(SQRT(A220^2+Inputs!$C$6^2)/Inputs!$C$52))</f>
        <v/>
      </c>
      <c r="E220" s="9">
        <f>(D220-C220)*1000</f>
        <v/>
      </c>
      <c r="F220" s="9">
        <f>E220/Inputs!$C$12</f>
        <v/>
      </c>
      <c r="G220" s="9">
        <f>2*E220/Inputs!$C$21*1000000</f>
        <v/>
      </c>
      <c r="H220" s="9">
        <f>SQRT(A220^2+Inputs!$C$6^2)</f>
        <v/>
      </c>
      <c r="I220" s="9">
        <f>DEGREES(ATAN(H220/B220))</f>
        <v/>
      </c>
      <c r="J220" s="9">
        <f>DEGREES((2*PI()/Inputs!$C$13)*Inputs!$C$15*SIN(RADIANS(I220)))</f>
        <v/>
      </c>
      <c r="K220" s="9">
        <f>(C220/D220)^4</f>
        <v/>
      </c>
      <c r="L220" s="9">
        <f>10*LOG10(K220)</f>
        <v/>
      </c>
      <c r="M220" s="9">
        <f>2*(Inputs!$C$9/(Inputs!$C$10^2))*A220</f>
        <v/>
      </c>
      <c r="N220" s="9">
        <f>M220*Inputs!$C$11</f>
        <v/>
      </c>
      <c r="O220" s="9">
        <f>1000*(D221-D219)/(A221-A219)*Inputs!$C$11</f>
        <v/>
      </c>
      <c r="P220" s="9">
        <f>-2*O220/Inputs!$C$13</f>
        <v/>
      </c>
      <c r="Q220" s="9">
        <f>-2*O220/Inputs!$C$14</f>
        <v/>
      </c>
      <c r="R220" s="9">
        <f>F220-Inputs!$C$16/2</f>
        <v/>
      </c>
      <c r="S220" s="9">
        <f>F220+Inputs!$C$16/2</f>
        <v/>
      </c>
      <c r="T220" s="9">
        <f>F220-Inputs!$C$17/2</f>
        <v/>
      </c>
      <c r="U220" s="9">
        <f>F220+Inputs!$C$17/2</f>
        <v/>
      </c>
      <c r="V220" s="9">
        <f>ABS(P220)</f>
        <v/>
      </c>
      <c r="W220" s="9">
        <f>ABS(Q220)</f>
        <v/>
      </c>
      <c r="X220" s="9">
        <f>IF(OR(Inputs!$C$27=TRUE,Inputs!$C$27="TRUE",Inputs!$C$27=1),1,0)*(Inputs!$C$51*(115*EXP(-(((0)-25)^2)/(4.5^2))+70*EXP(-(((0)+38)^2)/(7^2))*(0.55+0.45*SIN(2*PI()*(A220)/45))+24*SIN(2*PI()*(0)/9+(A220)/18)*EXP(-(((0)+5)^2)/(22^2))+18*SIN(2*PI()*(A220)/70))+Inputs!$C$28*EXP(-(((A220)-Inputs!$C$29)^2)/(2*Inputs!$C$31^2))*EXP(-(((0)-Inputs!$C$30)^2)/(2*Inputs!$C$32^2))+-Inputs!$C$33*EXP(-(((((A220)-Inputs!$C$34)^2)+(((0)-Inputs!$C$35)^2))/(2*Inputs!$C$36^2)))+Inputs!$C$37*(0.55*SIN(2*PI()*(A220)/Inputs!$C$39)+0.35*COS(2*PI()*(0)/Inputs!$C$40)+0.2*SIN(2*PI()*((A220)+(0))/(0.5*(Inputs!$C$39+Inputs!$C$40))))+Inputs!$C$38*SIN(2*PI()*(A220)/Inputs!$C$39)*SIN(2*PI()*(0)/Inputs!$C$40)+-Inputs!$C$41*EXP(-(((0)-Inputs!$C$43)^2)/(2*Inputs!$C$44^2))*EXP(-(((A220)-Inputs!$C$42)^2)/(2*Inputs!$C$45^2))+Inputs!$C$48*(0.7*(0.45*SIN(2*PI()*(((A220)/Inputs!$C$49)+Inputs!$C$47*0.137))+0.35*COS(2*PI()*(((0)/Inputs!$C$50)+Inputs!$C$47*0.173))+0.2*SIN(2*PI()*(((A220)+(0))/(0.5*(Inputs!$C$49+Inputs!$C$50))+Inputs!$C$47*0.097)))+0.3*(2*((SIN(((A220)*12.9898+(0)*78.233+Inputs!$C$47*37.719))*43758.5453)-INT((SIN(((A220)*12.9898+(0)*78.233+Inputs!$C$47*37.719))*43758.5453)))-1)))</f>
        <v/>
      </c>
      <c r="Y220" s="9">
        <f>IF(OR(Inputs!$C$27=TRUE,Inputs!$C$27="TRUE",Inputs!$C$27=1),1,0)*(Inputs!$C$51*(115*EXP(-(((Inputs!$C$6)-25)^2)/(4.5^2))+70*EXP(-(((Inputs!$C$6)+38)^2)/(7^2))*(0.55+0.45*SIN(2*PI()*(A220)/45))+24*SIN(2*PI()*(Inputs!$C$6)/9+(A220)/18)*EXP(-(((Inputs!$C$6)+5)^2)/(22^2))+18*SIN(2*PI()*(A220)/70))+Inputs!$C$28*EXP(-(((A220)-Inputs!$C$29)^2)/(2*Inputs!$C$31^2))*EXP(-(((Inputs!$C$6)-Inputs!$C$30)^2)/(2*Inputs!$C$32^2))+-Inputs!$C$33*EXP(-(((((A220)-Inputs!$C$34)^2)+(((Inputs!$C$6)-Inputs!$C$35)^2))/(2*Inputs!$C$36^2)))+Inputs!$C$37*(0.55*SIN(2*PI()*(A220)/Inputs!$C$39)+0.35*COS(2*PI()*(Inputs!$C$6)/Inputs!$C$40)+0.2*SIN(2*PI()*((A220)+(Inputs!$C$6))/(0.5*(Inputs!$C$39+Inputs!$C$40))))+Inputs!$C$38*SIN(2*PI()*(A220)/Inputs!$C$39)*SIN(2*PI()*(Inputs!$C$6)/Inputs!$C$40)+-Inputs!$C$41*EXP(-(((Inputs!$C$6)-Inputs!$C$43)^2)/(2*Inputs!$C$44^2))*EXP(-(((A220)-Inputs!$C$42)^2)/(2*Inputs!$C$45^2))+Inputs!$C$48*(0.7*(0.45*SIN(2*PI()*(((A220)/Inputs!$C$49)+Inputs!$C$47*0.137))+0.35*COS(2*PI()*(((Inputs!$C$6)/Inputs!$C$50)+Inputs!$C$47*0.173))+0.2*SIN(2*PI()*(((A220)+(Inputs!$C$6))/(0.5*(Inputs!$C$49+Inputs!$C$50))+Inputs!$C$47*0.097)))+0.3*(2*((SIN(((A220)*12.9898+(Inputs!$C$6)*78.233+Inputs!$C$47*37.719))*43758.5453)-INT((SIN(((A220)*12.9898+(Inputs!$C$6)*78.233+Inputs!$C$47*37.719))*43758.5453)))-1)))</f>
        <v/>
      </c>
      <c r="Z220" s="9">
        <f>B220-X220/1000</f>
        <v/>
      </c>
      <c r="AA220" s="9">
        <f>SQRT((Inputs!$C$52+B220)^2+(Inputs!$C$52+Y220/1000)^2-2*(Inputs!$C$52+B220)*(Inputs!$C$52+Y220/1000)*COS(SQRT(A220^2+Inputs!$C$6^2)/Inputs!$C$52))</f>
        <v/>
      </c>
      <c r="AB220" s="9">
        <f>(AA220-Z220)*1000</f>
        <v/>
      </c>
      <c r="AC220" s="9">
        <f>AB220/Inputs!$C$12</f>
        <v/>
      </c>
      <c r="AD220" s="9">
        <f>2*AB220/Inputs!$C$21*1000000</f>
        <v/>
      </c>
      <c r="AE220" s="9">
        <f>DEGREES(ATAN(H220/(B220-Y220/1000)))</f>
        <v/>
      </c>
      <c r="AF220" s="9">
        <f>DEGREES((2*PI()/Inputs!$C$13)*Inputs!$C$15*SIN(RADIANS(AE220)))</f>
        <v/>
      </c>
      <c r="AG220" s="9">
        <f>(Z220/AA220)^4</f>
        <v/>
      </c>
      <c r="AH220" s="9">
        <f>10*LOG10(AG220)</f>
        <v/>
      </c>
      <c r="AI220" s="9">
        <f>AC220-F220</f>
        <v/>
      </c>
      <c r="AJ220" s="9">
        <f>AD220-G220</f>
        <v/>
      </c>
      <c r="AK220" s="9">
        <f>Y220-X220</f>
        <v/>
      </c>
      <c r="AL220" s="9">
        <f>1000*(AA221-AA219)/(A221-A219)*Inputs!$C$11</f>
        <v/>
      </c>
      <c r="AM220" s="9">
        <f>-2*AL220/Inputs!$C$13</f>
        <v/>
      </c>
      <c r="AN220" s="9">
        <f>-2*AL220/Inputs!$C$14</f>
        <v/>
      </c>
      <c r="AO220" s="9">
        <f>ABS(AM220)</f>
        <v/>
      </c>
      <c r="AP220" s="9">
        <f>ABS(AN220)</f>
        <v/>
      </c>
      <c r="AQ220" s="9">
        <f>IF(OR(Inputs!$C$27=TRUE,Inputs!$C$27="TRUE",Inputs!$C$27=1),Inputs!$C$46/Inputs!$C$12,0)</f>
        <v/>
      </c>
      <c r="AR220" s="9">
        <f>AC220-AQ220</f>
        <v/>
      </c>
      <c r="AS220" s="9">
        <f>AC220+AQ220</f>
        <v/>
      </c>
    </row>
    <row r="221">
      <c r="A221" s="9">
        <f>Inputs!$C$7+219*(Inputs!$C$8-Inputs!$C$7)/240</f>
        <v/>
      </c>
      <c r="B221" s="9">
        <f>Inputs!$C$5+Inputs!$C$9*(A221/Inputs!$C$10)^2</f>
        <v/>
      </c>
      <c r="C221" s="9">
        <f>B221</f>
        <v/>
      </c>
      <c r="D221" s="9">
        <f>SQRT((Inputs!$C$52+B221)^2+Inputs!$C$52^2-2*(Inputs!$C$52+B221)*Inputs!$C$52*COS(SQRT(A221^2+Inputs!$C$6^2)/Inputs!$C$52))</f>
        <v/>
      </c>
      <c r="E221" s="9">
        <f>(D221-C221)*1000</f>
        <v/>
      </c>
      <c r="F221" s="9">
        <f>E221/Inputs!$C$12</f>
        <v/>
      </c>
      <c r="G221" s="9">
        <f>2*E221/Inputs!$C$21*1000000</f>
        <v/>
      </c>
      <c r="H221" s="9">
        <f>SQRT(A221^2+Inputs!$C$6^2)</f>
        <v/>
      </c>
      <c r="I221" s="9">
        <f>DEGREES(ATAN(H221/B221))</f>
        <v/>
      </c>
      <c r="J221" s="9">
        <f>DEGREES((2*PI()/Inputs!$C$13)*Inputs!$C$15*SIN(RADIANS(I221)))</f>
        <v/>
      </c>
      <c r="K221" s="9">
        <f>(C221/D221)^4</f>
        <v/>
      </c>
      <c r="L221" s="9">
        <f>10*LOG10(K221)</f>
        <v/>
      </c>
      <c r="M221" s="9">
        <f>2*(Inputs!$C$9/(Inputs!$C$10^2))*A221</f>
        <v/>
      </c>
      <c r="N221" s="9">
        <f>M221*Inputs!$C$11</f>
        <v/>
      </c>
      <c r="O221" s="9">
        <f>1000*(D222-D220)/(A222-A220)*Inputs!$C$11</f>
        <v/>
      </c>
      <c r="P221" s="9">
        <f>-2*O221/Inputs!$C$13</f>
        <v/>
      </c>
      <c r="Q221" s="9">
        <f>-2*O221/Inputs!$C$14</f>
        <v/>
      </c>
      <c r="R221" s="9">
        <f>F221-Inputs!$C$16/2</f>
        <v/>
      </c>
      <c r="S221" s="9">
        <f>F221+Inputs!$C$16/2</f>
        <v/>
      </c>
      <c r="T221" s="9">
        <f>F221-Inputs!$C$17/2</f>
        <v/>
      </c>
      <c r="U221" s="9">
        <f>F221+Inputs!$C$17/2</f>
        <v/>
      </c>
      <c r="V221" s="9">
        <f>ABS(P221)</f>
        <v/>
      </c>
      <c r="W221" s="9">
        <f>ABS(Q221)</f>
        <v/>
      </c>
      <c r="X221" s="9">
        <f>IF(OR(Inputs!$C$27=TRUE,Inputs!$C$27="TRUE",Inputs!$C$27=1),1,0)*(Inputs!$C$51*(115*EXP(-(((0)-25)^2)/(4.5^2))+70*EXP(-(((0)+38)^2)/(7^2))*(0.55+0.45*SIN(2*PI()*(A221)/45))+24*SIN(2*PI()*(0)/9+(A221)/18)*EXP(-(((0)+5)^2)/(22^2))+18*SIN(2*PI()*(A221)/70))+Inputs!$C$28*EXP(-(((A221)-Inputs!$C$29)^2)/(2*Inputs!$C$31^2))*EXP(-(((0)-Inputs!$C$30)^2)/(2*Inputs!$C$32^2))+-Inputs!$C$33*EXP(-(((((A221)-Inputs!$C$34)^2)+(((0)-Inputs!$C$35)^2))/(2*Inputs!$C$36^2)))+Inputs!$C$37*(0.55*SIN(2*PI()*(A221)/Inputs!$C$39)+0.35*COS(2*PI()*(0)/Inputs!$C$40)+0.2*SIN(2*PI()*((A221)+(0))/(0.5*(Inputs!$C$39+Inputs!$C$40))))+Inputs!$C$38*SIN(2*PI()*(A221)/Inputs!$C$39)*SIN(2*PI()*(0)/Inputs!$C$40)+-Inputs!$C$41*EXP(-(((0)-Inputs!$C$43)^2)/(2*Inputs!$C$44^2))*EXP(-(((A221)-Inputs!$C$42)^2)/(2*Inputs!$C$45^2))+Inputs!$C$48*(0.7*(0.45*SIN(2*PI()*(((A221)/Inputs!$C$49)+Inputs!$C$47*0.137))+0.35*COS(2*PI()*(((0)/Inputs!$C$50)+Inputs!$C$47*0.173))+0.2*SIN(2*PI()*(((A221)+(0))/(0.5*(Inputs!$C$49+Inputs!$C$50))+Inputs!$C$47*0.097)))+0.3*(2*((SIN(((A221)*12.9898+(0)*78.233+Inputs!$C$47*37.719))*43758.5453)-INT((SIN(((A221)*12.9898+(0)*78.233+Inputs!$C$47*37.719))*43758.5453)))-1)))</f>
        <v/>
      </c>
      <c r="Y221" s="9">
        <f>IF(OR(Inputs!$C$27=TRUE,Inputs!$C$27="TRUE",Inputs!$C$27=1),1,0)*(Inputs!$C$51*(115*EXP(-(((Inputs!$C$6)-25)^2)/(4.5^2))+70*EXP(-(((Inputs!$C$6)+38)^2)/(7^2))*(0.55+0.45*SIN(2*PI()*(A221)/45))+24*SIN(2*PI()*(Inputs!$C$6)/9+(A221)/18)*EXP(-(((Inputs!$C$6)+5)^2)/(22^2))+18*SIN(2*PI()*(A221)/70))+Inputs!$C$28*EXP(-(((A221)-Inputs!$C$29)^2)/(2*Inputs!$C$31^2))*EXP(-(((Inputs!$C$6)-Inputs!$C$30)^2)/(2*Inputs!$C$32^2))+-Inputs!$C$33*EXP(-(((((A221)-Inputs!$C$34)^2)+(((Inputs!$C$6)-Inputs!$C$35)^2))/(2*Inputs!$C$36^2)))+Inputs!$C$37*(0.55*SIN(2*PI()*(A221)/Inputs!$C$39)+0.35*COS(2*PI()*(Inputs!$C$6)/Inputs!$C$40)+0.2*SIN(2*PI()*((A221)+(Inputs!$C$6))/(0.5*(Inputs!$C$39+Inputs!$C$40))))+Inputs!$C$38*SIN(2*PI()*(A221)/Inputs!$C$39)*SIN(2*PI()*(Inputs!$C$6)/Inputs!$C$40)+-Inputs!$C$41*EXP(-(((Inputs!$C$6)-Inputs!$C$43)^2)/(2*Inputs!$C$44^2))*EXP(-(((A221)-Inputs!$C$42)^2)/(2*Inputs!$C$45^2))+Inputs!$C$48*(0.7*(0.45*SIN(2*PI()*(((A221)/Inputs!$C$49)+Inputs!$C$47*0.137))+0.35*COS(2*PI()*(((Inputs!$C$6)/Inputs!$C$50)+Inputs!$C$47*0.173))+0.2*SIN(2*PI()*(((A221)+(Inputs!$C$6))/(0.5*(Inputs!$C$49+Inputs!$C$50))+Inputs!$C$47*0.097)))+0.3*(2*((SIN(((A221)*12.9898+(Inputs!$C$6)*78.233+Inputs!$C$47*37.719))*43758.5453)-INT((SIN(((A221)*12.9898+(Inputs!$C$6)*78.233+Inputs!$C$47*37.719))*43758.5453)))-1)))</f>
        <v/>
      </c>
      <c r="Z221" s="9">
        <f>B221-X221/1000</f>
        <v/>
      </c>
      <c r="AA221" s="9">
        <f>SQRT((Inputs!$C$52+B221)^2+(Inputs!$C$52+Y221/1000)^2-2*(Inputs!$C$52+B221)*(Inputs!$C$52+Y221/1000)*COS(SQRT(A221^2+Inputs!$C$6^2)/Inputs!$C$52))</f>
        <v/>
      </c>
      <c r="AB221" s="9">
        <f>(AA221-Z221)*1000</f>
        <v/>
      </c>
      <c r="AC221" s="9">
        <f>AB221/Inputs!$C$12</f>
        <v/>
      </c>
      <c r="AD221" s="9">
        <f>2*AB221/Inputs!$C$21*1000000</f>
        <v/>
      </c>
      <c r="AE221" s="9">
        <f>DEGREES(ATAN(H221/(B221-Y221/1000)))</f>
        <v/>
      </c>
      <c r="AF221" s="9">
        <f>DEGREES((2*PI()/Inputs!$C$13)*Inputs!$C$15*SIN(RADIANS(AE221)))</f>
        <v/>
      </c>
      <c r="AG221" s="9">
        <f>(Z221/AA221)^4</f>
        <v/>
      </c>
      <c r="AH221" s="9">
        <f>10*LOG10(AG221)</f>
        <v/>
      </c>
      <c r="AI221" s="9">
        <f>AC221-F221</f>
        <v/>
      </c>
      <c r="AJ221" s="9">
        <f>AD221-G221</f>
        <v/>
      </c>
      <c r="AK221" s="9">
        <f>Y221-X221</f>
        <v/>
      </c>
      <c r="AL221" s="9">
        <f>1000*(AA222-AA220)/(A222-A220)*Inputs!$C$11</f>
        <v/>
      </c>
      <c r="AM221" s="9">
        <f>-2*AL221/Inputs!$C$13</f>
        <v/>
      </c>
      <c r="AN221" s="9">
        <f>-2*AL221/Inputs!$C$14</f>
        <v/>
      </c>
      <c r="AO221" s="9">
        <f>ABS(AM221)</f>
        <v/>
      </c>
      <c r="AP221" s="9">
        <f>ABS(AN221)</f>
        <v/>
      </c>
      <c r="AQ221" s="9">
        <f>IF(OR(Inputs!$C$27=TRUE,Inputs!$C$27="TRUE",Inputs!$C$27=1),Inputs!$C$46/Inputs!$C$12,0)</f>
        <v/>
      </c>
      <c r="AR221" s="9">
        <f>AC221-AQ221</f>
        <v/>
      </c>
      <c r="AS221" s="9">
        <f>AC221+AQ221</f>
        <v/>
      </c>
    </row>
    <row r="222">
      <c r="A222" s="9">
        <f>Inputs!$C$7+220*(Inputs!$C$8-Inputs!$C$7)/240</f>
        <v/>
      </c>
      <c r="B222" s="9">
        <f>Inputs!$C$5+Inputs!$C$9*(A222/Inputs!$C$10)^2</f>
        <v/>
      </c>
      <c r="C222" s="9">
        <f>B222</f>
        <v/>
      </c>
      <c r="D222" s="9">
        <f>SQRT((Inputs!$C$52+B222)^2+Inputs!$C$52^2-2*(Inputs!$C$52+B222)*Inputs!$C$52*COS(SQRT(A222^2+Inputs!$C$6^2)/Inputs!$C$52))</f>
        <v/>
      </c>
      <c r="E222" s="9">
        <f>(D222-C222)*1000</f>
        <v/>
      </c>
      <c r="F222" s="9">
        <f>E222/Inputs!$C$12</f>
        <v/>
      </c>
      <c r="G222" s="9">
        <f>2*E222/Inputs!$C$21*1000000</f>
        <v/>
      </c>
      <c r="H222" s="9">
        <f>SQRT(A222^2+Inputs!$C$6^2)</f>
        <v/>
      </c>
      <c r="I222" s="9">
        <f>DEGREES(ATAN(H222/B222))</f>
        <v/>
      </c>
      <c r="J222" s="9">
        <f>DEGREES((2*PI()/Inputs!$C$13)*Inputs!$C$15*SIN(RADIANS(I222)))</f>
        <v/>
      </c>
      <c r="K222" s="9">
        <f>(C222/D222)^4</f>
        <v/>
      </c>
      <c r="L222" s="9">
        <f>10*LOG10(K222)</f>
        <v/>
      </c>
      <c r="M222" s="9">
        <f>2*(Inputs!$C$9/(Inputs!$C$10^2))*A222</f>
        <v/>
      </c>
      <c r="N222" s="9">
        <f>M222*Inputs!$C$11</f>
        <v/>
      </c>
      <c r="O222" s="9">
        <f>1000*(D223-D221)/(A223-A221)*Inputs!$C$11</f>
        <v/>
      </c>
      <c r="P222" s="9">
        <f>-2*O222/Inputs!$C$13</f>
        <v/>
      </c>
      <c r="Q222" s="9">
        <f>-2*O222/Inputs!$C$14</f>
        <v/>
      </c>
      <c r="R222" s="9">
        <f>F222-Inputs!$C$16/2</f>
        <v/>
      </c>
      <c r="S222" s="9">
        <f>F222+Inputs!$C$16/2</f>
        <v/>
      </c>
      <c r="T222" s="9">
        <f>F222-Inputs!$C$17/2</f>
        <v/>
      </c>
      <c r="U222" s="9">
        <f>F222+Inputs!$C$17/2</f>
        <v/>
      </c>
      <c r="V222" s="9">
        <f>ABS(P222)</f>
        <v/>
      </c>
      <c r="W222" s="9">
        <f>ABS(Q222)</f>
        <v/>
      </c>
      <c r="X222" s="9">
        <f>IF(OR(Inputs!$C$27=TRUE,Inputs!$C$27="TRUE",Inputs!$C$27=1),1,0)*(Inputs!$C$51*(115*EXP(-(((0)-25)^2)/(4.5^2))+70*EXP(-(((0)+38)^2)/(7^2))*(0.55+0.45*SIN(2*PI()*(A222)/45))+24*SIN(2*PI()*(0)/9+(A222)/18)*EXP(-(((0)+5)^2)/(22^2))+18*SIN(2*PI()*(A222)/70))+Inputs!$C$28*EXP(-(((A222)-Inputs!$C$29)^2)/(2*Inputs!$C$31^2))*EXP(-(((0)-Inputs!$C$30)^2)/(2*Inputs!$C$32^2))+-Inputs!$C$33*EXP(-(((((A222)-Inputs!$C$34)^2)+(((0)-Inputs!$C$35)^2))/(2*Inputs!$C$36^2)))+Inputs!$C$37*(0.55*SIN(2*PI()*(A222)/Inputs!$C$39)+0.35*COS(2*PI()*(0)/Inputs!$C$40)+0.2*SIN(2*PI()*((A222)+(0))/(0.5*(Inputs!$C$39+Inputs!$C$40))))+Inputs!$C$38*SIN(2*PI()*(A222)/Inputs!$C$39)*SIN(2*PI()*(0)/Inputs!$C$40)+-Inputs!$C$41*EXP(-(((0)-Inputs!$C$43)^2)/(2*Inputs!$C$44^2))*EXP(-(((A222)-Inputs!$C$42)^2)/(2*Inputs!$C$45^2))+Inputs!$C$48*(0.7*(0.45*SIN(2*PI()*(((A222)/Inputs!$C$49)+Inputs!$C$47*0.137))+0.35*COS(2*PI()*(((0)/Inputs!$C$50)+Inputs!$C$47*0.173))+0.2*SIN(2*PI()*(((A222)+(0))/(0.5*(Inputs!$C$49+Inputs!$C$50))+Inputs!$C$47*0.097)))+0.3*(2*((SIN(((A222)*12.9898+(0)*78.233+Inputs!$C$47*37.719))*43758.5453)-INT((SIN(((A222)*12.9898+(0)*78.233+Inputs!$C$47*37.719))*43758.5453)))-1)))</f>
        <v/>
      </c>
      <c r="Y222" s="9">
        <f>IF(OR(Inputs!$C$27=TRUE,Inputs!$C$27="TRUE",Inputs!$C$27=1),1,0)*(Inputs!$C$51*(115*EXP(-(((Inputs!$C$6)-25)^2)/(4.5^2))+70*EXP(-(((Inputs!$C$6)+38)^2)/(7^2))*(0.55+0.45*SIN(2*PI()*(A222)/45))+24*SIN(2*PI()*(Inputs!$C$6)/9+(A222)/18)*EXP(-(((Inputs!$C$6)+5)^2)/(22^2))+18*SIN(2*PI()*(A222)/70))+Inputs!$C$28*EXP(-(((A222)-Inputs!$C$29)^2)/(2*Inputs!$C$31^2))*EXP(-(((Inputs!$C$6)-Inputs!$C$30)^2)/(2*Inputs!$C$32^2))+-Inputs!$C$33*EXP(-(((((A222)-Inputs!$C$34)^2)+(((Inputs!$C$6)-Inputs!$C$35)^2))/(2*Inputs!$C$36^2)))+Inputs!$C$37*(0.55*SIN(2*PI()*(A222)/Inputs!$C$39)+0.35*COS(2*PI()*(Inputs!$C$6)/Inputs!$C$40)+0.2*SIN(2*PI()*((A222)+(Inputs!$C$6))/(0.5*(Inputs!$C$39+Inputs!$C$40))))+Inputs!$C$38*SIN(2*PI()*(A222)/Inputs!$C$39)*SIN(2*PI()*(Inputs!$C$6)/Inputs!$C$40)+-Inputs!$C$41*EXP(-(((Inputs!$C$6)-Inputs!$C$43)^2)/(2*Inputs!$C$44^2))*EXP(-(((A222)-Inputs!$C$42)^2)/(2*Inputs!$C$45^2))+Inputs!$C$48*(0.7*(0.45*SIN(2*PI()*(((A222)/Inputs!$C$49)+Inputs!$C$47*0.137))+0.35*COS(2*PI()*(((Inputs!$C$6)/Inputs!$C$50)+Inputs!$C$47*0.173))+0.2*SIN(2*PI()*(((A222)+(Inputs!$C$6))/(0.5*(Inputs!$C$49+Inputs!$C$50))+Inputs!$C$47*0.097)))+0.3*(2*((SIN(((A222)*12.9898+(Inputs!$C$6)*78.233+Inputs!$C$47*37.719))*43758.5453)-INT((SIN(((A222)*12.9898+(Inputs!$C$6)*78.233+Inputs!$C$47*37.719))*43758.5453)))-1)))</f>
        <v/>
      </c>
      <c r="Z222" s="9">
        <f>B222-X222/1000</f>
        <v/>
      </c>
      <c r="AA222" s="9">
        <f>SQRT((Inputs!$C$52+B222)^2+(Inputs!$C$52+Y222/1000)^2-2*(Inputs!$C$52+B222)*(Inputs!$C$52+Y222/1000)*COS(SQRT(A222^2+Inputs!$C$6^2)/Inputs!$C$52))</f>
        <v/>
      </c>
      <c r="AB222" s="9">
        <f>(AA222-Z222)*1000</f>
        <v/>
      </c>
      <c r="AC222" s="9">
        <f>AB222/Inputs!$C$12</f>
        <v/>
      </c>
      <c r="AD222" s="9">
        <f>2*AB222/Inputs!$C$21*1000000</f>
        <v/>
      </c>
      <c r="AE222" s="9">
        <f>DEGREES(ATAN(H222/(B222-Y222/1000)))</f>
        <v/>
      </c>
      <c r="AF222" s="9">
        <f>DEGREES((2*PI()/Inputs!$C$13)*Inputs!$C$15*SIN(RADIANS(AE222)))</f>
        <v/>
      </c>
      <c r="AG222" s="9">
        <f>(Z222/AA222)^4</f>
        <v/>
      </c>
      <c r="AH222" s="9">
        <f>10*LOG10(AG222)</f>
        <v/>
      </c>
      <c r="AI222" s="9">
        <f>AC222-F222</f>
        <v/>
      </c>
      <c r="AJ222" s="9">
        <f>AD222-G222</f>
        <v/>
      </c>
      <c r="AK222" s="9">
        <f>Y222-X222</f>
        <v/>
      </c>
      <c r="AL222" s="9">
        <f>1000*(AA223-AA221)/(A223-A221)*Inputs!$C$11</f>
        <v/>
      </c>
      <c r="AM222" s="9">
        <f>-2*AL222/Inputs!$C$13</f>
        <v/>
      </c>
      <c r="AN222" s="9">
        <f>-2*AL222/Inputs!$C$14</f>
        <v/>
      </c>
      <c r="AO222" s="9">
        <f>ABS(AM222)</f>
        <v/>
      </c>
      <c r="AP222" s="9">
        <f>ABS(AN222)</f>
        <v/>
      </c>
      <c r="AQ222" s="9">
        <f>IF(OR(Inputs!$C$27=TRUE,Inputs!$C$27="TRUE",Inputs!$C$27=1),Inputs!$C$46/Inputs!$C$12,0)</f>
        <v/>
      </c>
      <c r="AR222" s="9">
        <f>AC222-AQ222</f>
        <v/>
      </c>
      <c r="AS222" s="9">
        <f>AC222+AQ222</f>
        <v/>
      </c>
    </row>
    <row r="223">
      <c r="A223" s="9">
        <f>Inputs!$C$7+221*(Inputs!$C$8-Inputs!$C$7)/240</f>
        <v/>
      </c>
      <c r="B223" s="9">
        <f>Inputs!$C$5+Inputs!$C$9*(A223/Inputs!$C$10)^2</f>
        <v/>
      </c>
      <c r="C223" s="9">
        <f>B223</f>
        <v/>
      </c>
      <c r="D223" s="9">
        <f>SQRT((Inputs!$C$52+B223)^2+Inputs!$C$52^2-2*(Inputs!$C$52+B223)*Inputs!$C$52*COS(SQRT(A223^2+Inputs!$C$6^2)/Inputs!$C$52))</f>
        <v/>
      </c>
      <c r="E223" s="9">
        <f>(D223-C223)*1000</f>
        <v/>
      </c>
      <c r="F223" s="9">
        <f>E223/Inputs!$C$12</f>
        <v/>
      </c>
      <c r="G223" s="9">
        <f>2*E223/Inputs!$C$21*1000000</f>
        <v/>
      </c>
      <c r="H223" s="9">
        <f>SQRT(A223^2+Inputs!$C$6^2)</f>
        <v/>
      </c>
      <c r="I223" s="9">
        <f>DEGREES(ATAN(H223/B223))</f>
        <v/>
      </c>
      <c r="J223" s="9">
        <f>DEGREES((2*PI()/Inputs!$C$13)*Inputs!$C$15*SIN(RADIANS(I223)))</f>
        <v/>
      </c>
      <c r="K223" s="9">
        <f>(C223/D223)^4</f>
        <v/>
      </c>
      <c r="L223" s="9">
        <f>10*LOG10(K223)</f>
        <v/>
      </c>
      <c r="M223" s="9">
        <f>2*(Inputs!$C$9/(Inputs!$C$10^2))*A223</f>
        <v/>
      </c>
      <c r="N223" s="9">
        <f>M223*Inputs!$C$11</f>
        <v/>
      </c>
      <c r="O223" s="9">
        <f>1000*(D224-D222)/(A224-A222)*Inputs!$C$11</f>
        <v/>
      </c>
      <c r="P223" s="9">
        <f>-2*O223/Inputs!$C$13</f>
        <v/>
      </c>
      <c r="Q223" s="9">
        <f>-2*O223/Inputs!$C$14</f>
        <v/>
      </c>
      <c r="R223" s="9">
        <f>F223-Inputs!$C$16/2</f>
        <v/>
      </c>
      <c r="S223" s="9">
        <f>F223+Inputs!$C$16/2</f>
        <v/>
      </c>
      <c r="T223" s="9">
        <f>F223-Inputs!$C$17/2</f>
        <v/>
      </c>
      <c r="U223" s="9">
        <f>F223+Inputs!$C$17/2</f>
        <v/>
      </c>
      <c r="V223" s="9">
        <f>ABS(P223)</f>
        <v/>
      </c>
      <c r="W223" s="9">
        <f>ABS(Q223)</f>
        <v/>
      </c>
      <c r="X223" s="9">
        <f>IF(OR(Inputs!$C$27=TRUE,Inputs!$C$27="TRUE",Inputs!$C$27=1),1,0)*(Inputs!$C$51*(115*EXP(-(((0)-25)^2)/(4.5^2))+70*EXP(-(((0)+38)^2)/(7^2))*(0.55+0.45*SIN(2*PI()*(A223)/45))+24*SIN(2*PI()*(0)/9+(A223)/18)*EXP(-(((0)+5)^2)/(22^2))+18*SIN(2*PI()*(A223)/70))+Inputs!$C$28*EXP(-(((A223)-Inputs!$C$29)^2)/(2*Inputs!$C$31^2))*EXP(-(((0)-Inputs!$C$30)^2)/(2*Inputs!$C$32^2))+-Inputs!$C$33*EXP(-(((((A223)-Inputs!$C$34)^2)+(((0)-Inputs!$C$35)^2))/(2*Inputs!$C$36^2)))+Inputs!$C$37*(0.55*SIN(2*PI()*(A223)/Inputs!$C$39)+0.35*COS(2*PI()*(0)/Inputs!$C$40)+0.2*SIN(2*PI()*((A223)+(0))/(0.5*(Inputs!$C$39+Inputs!$C$40))))+Inputs!$C$38*SIN(2*PI()*(A223)/Inputs!$C$39)*SIN(2*PI()*(0)/Inputs!$C$40)+-Inputs!$C$41*EXP(-(((0)-Inputs!$C$43)^2)/(2*Inputs!$C$44^2))*EXP(-(((A223)-Inputs!$C$42)^2)/(2*Inputs!$C$45^2))+Inputs!$C$48*(0.7*(0.45*SIN(2*PI()*(((A223)/Inputs!$C$49)+Inputs!$C$47*0.137))+0.35*COS(2*PI()*(((0)/Inputs!$C$50)+Inputs!$C$47*0.173))+0.2*SIN(2*PI()*(((A223)+(0))/(0.5*(Inputs!$C$49+Inputs!$C$50))+Inputs!$C$47*0.097)))+0.3*(2*((SIN(((A223)*12.9898+(0)*78.233+Inputs!$C$47*37.719))*43758.5453)-INT((SIN(((A223)*12.9898+(0)*78.233+Inputs!$C$47*37.719))*43758.5453)))-1)))</f>
        <v/>
      </c>
      <c r="Y223" s="9">
        <f>IF(OR(Inputs!$C$27=TRUE,Inputs!$C$27="TRUE",Inputs!$C$27=1),1,0)*(Inputs!$C$51*(115*EXP(-(((Inputs!$C$6)-25)^2)/(4.5^2))+70*EXP(-(((Inputs!$C$6)+38)^2)/(7^2))*(0.55+0.45*SIN(2*PI()*(A223)/45))+24*SIN(2*PI()*(Inputs!$C$6)/9+(A223)/18)*EXP(-(((Inputs!$C$6)+5)^2)/(22^2))+18*SIN(2*PI()*(A223)/70))+Inputs!$C$28*EXP(-(((A223)-Inputs!$C$29)^2)/(2*Inputs!$C$31^2))*EXP(-(((Inputs!$C$6)-Inputs!$C$30)^2)/(2*Inputs!$C$32^2))+-Inputs!$C$33*EXP(-(((((A223)-Inputs!$C$34)^2)+(((Inputs!$C$6)-Inputs!$C$35)^2))/(2*Inputs!$C$36^2)))+Inputs!$C$37*(0.55*SIN(2*PI()*(A223)/Inputs!$C$39)+0.35*COS(2*PI()*(Inputs!$C$6)/Inputs!$C$40)+0.2*SIN(2*PI()*((A223)+(Inputs!$C$6))/(0.5*(Inputs!$C$39+Inputs!$C$40))))+Inputs!$C$38*SIN(2*PI()*(A223)/Inputs!$C$39)*SIN(2*PI()*(Inputs!$C$6)/Inputs!$C$40)+-Inputs!$C$41*EXP(-(((Inputs!$C$6)-Inputs!$C$43)^2)/(2*Inputs!$C$44^2))*EXP(-(((A223)-Inputs!$C$42)^2)/(2*Inputs!$C$45^2))+Inputs!$C$48*(0.7*(0.45*SIN(2*PI()*(((A223)/Inputs!$C$49)+Inputs!$C$47*0.137))+0.35*COS(2*PI()*(((Inputs!$C$6)/Inputs!$C$50)+Inputs!$C$47*0.173))+0.2*SIN(2*PI()*(((A223)+(Inputs!$C$6))/(0.5*(Inputs!$C$49+Inputs!$C$50))+Inputs!$C$47*0.097)))+0.3*(2*((SIN(((A223)*12.9898+(Inputs!$C$6)*78.233+Inputs!$C$47*37.719))*43758.5453)-INT((SIN(((A223)*12.9898+(Inputs!$C$6)*78.233+Inputs!$C$47*37.719))*43758.5453)))-1)))</f>
        <v/>
      </c>
      <c r="Z223" s="9">
        <f>B223-X223/1000</f>
        <v/>
      </c>
      <c r="AA223" s="9">
        <f>SQRT((Inputs!$C$52+B223)^2+(Inputs!$C$52+Y223/1000)^2-2*(Inputs!$C$52+B223)*(Inputs!$C$52+Y223/1000)*COS(SQRT(A223^2+Inputs!$C$6^2)/Inputs!$C$52))</f>
        <v/>
      </c>
      <c r="AB223" s="9">
        <f>(AA223-Z223)*1000</f>
        <v/>
      </c>
      <c r="AC223" s="9">
        <f>AB223/Inputs!$C$12</f>
        <v/>
      </c>
      <c r="AD223" s="9">
        <f>2*AB223/Inputs!$C$21*1000000</f>
        <v/>
      </c>
      <c r="AE223" s="9">
        <f>DEGREES(ATAN(H223/(B223-Y223/1000)))</f>
        <v/>
      </c>
      <c r="AF223" s="9">
        <f>DEGREES((2*PI()/Inputs!$C$13)*Inputs!$C$15*SIN(RADIANS(AE223)))</f>
        <v/>
      </c>
      <c r="AG223" s="9">
        <f>(Z223/AA223)^4</f>
        <v/>
      </c>
      <c r="AH223" s="9">
        <f>10*LOG10(AG223)</f>
        <v/>
      </c>
      <c r="AI223" s="9">
        <f>AC223-F223</f>
        <v/>
      </c>
      <c r="AJ223" s="9">
        <f>AD223-G223</f>
        <v/>
      </c>
      <c r="AK223" s="9">
        <f>Y223-X223</f>
        <v/>
      </c>
      <c r="AL223" s="9">
        <f>1000*(AA224-AA222)/(A224-A222)*Inputs!$C$11</f>
        <v/>
      </c>
      <c r="AM223" s="9">
        <f>-2*AL223/Inputs!$C$13</f>
        <v/>
      </c>
      <c r="AN223" s="9">
        <f>-2*AL223/Inputs!$C$14</f>
        <v/>
      </c>
      <c r="AO223" s="9">
        <f>ABS(AM223)</f>
        <v/>
      </c>
      <c r="AP223" s="9">
        <f>ABS(AN223)</f>
        <v/>
      </c>
      <c r="AQ223" s="9">
        <f>IF(OR(Inputs!$C$27=TRUE,Inputs!$C$27="TRUE",Inputs!$C$27=1),Inputs!$C$46/Inputs!$C$12,0)</f>
        <v/>
      </c>
      <c r="AR223" s="9">
        <f>AC223-AQ223</f>
        <v/>
      </c>
      <c r="AS223" s="9">
        <f>AC223+AQ223</f>
        <v/>
      </c>
    </row>
    <row r="224">
      <c r="A224" s="9">
        <f>Inputs!$C$7+222*(Inputs!$C$8-Inputs!$C$7)/240</f>
        <v/>
      </c>
      <c r="B224" s="9">
        <f>Inputs!$C$5+Inputs!$C$9*(A224/Inputs!$C$10)^2</f>
        <v/>
      </c>
      <c r="C224" s="9">
        <f>B224</f>
        <v/>
      </c>
      <c r="D224" s="9">
        <f>SQRT((Inputs!$C$52+B224)^2+Inputs!$C$52^2-2*(Inputs!$C$52+B224)*Inputs!$C$52*COS(SQRT(A224^2+Inputs!$C$6^2)/Inputs!$C$52))</f>
        <v/>
      </c>
      <c r="E224" s="9">
        <f>(D224-C224)*1000</f>
        <v/>
      </c>
      <c r="F224" s="9">
        <f>E224/Inputs!$C$12</f>
        <v/>
      </c>
      <c r="G224" s="9">
        <f>2*E224/Inputs!$C$21*1000000</f>
        <v/>
      </c>
      <c r="H224" s="9">
        <f>SQRT(A224^2+Inputs!$C$6^2)</f>
        <v/>
      </c>
      <c r="I224" s="9">
        <f>DEGREES(ATAN(H224/B224))</f>
        <v/>
      </c>
      <c r="J224" s="9">
        <f>DEGREES((2*PI()/Inputs!$C$13)*Inputs!$C$15*SIN(RADIANS(I224)))</f>
        <v/>
      </c>
      <c r="K224" s="9">
        <f>(C224/D224)^4</f>
        <v/>
      </c>
      <c r="L224" s="9">
        <f>10*LOG10(K224)</f>
        <v/>
      </c>
      <c r="M224" s="9">
        <f>2*(Inputs!$C$9/(Inputs!$C$10^2))*A224</f>
        <v/>
      </c>
      <c r="N224" s="9">
        <f>M224*Inputs!$C$11</f>
        <v/>
      </c>
      <c r="O224" s="9">
        <f>1000*(D225-D223)/(A225-A223)*Inputs!$C$11</f>
        <v/>
      </c>
      <c r="P224" s="9">
        <f>-2*O224/Inputs!$C$13</f>
        <v/>
      </c>
      <c r="Q224" s="9">
        <f>-2*O224/Inputs!$C$14</f>
        <v/>
      </c>
      <c r="R224" s="9">
        <f>F224-Inputs!$C$16/2</f>
        <v/>
      </c>
      <c r="S224" s="9">
        <f>F224+Inputs!$C$16/2</f>
        <v/>
      </c>
      <c r="T224" s="9">
        <f>F224-Inputs!$C$17/2</f>
        <v/>
      </c>
      <c r="U224" s="9">
        <f>F224+Inputs!$C$17/2</f>
        <v/>
      </c>
      <c r="V224" s="9">
        <f>ABS(P224)</f>
        <v/>
      </c>
      <c r="W224" s="9">
        <f>ABS(Q224)</f>
        <v/>
      </c>
      <c r="X224" s="9">
        <f>IF(OR(Inputs!$C$27=TRUE,Inputs!$C$27="TRUE",Inputs!$C$27=1),1,0)*(Inputs!$C$51*(115*EXP(-(((0)-25)^2)/(4.5^2))+70*EXP(-(((0)+38)^2)/(7^2))*(0.55+0.45*SIN(2*PI()*(A224)/45))+24*SIN(2*PI()*(0)/9+(A224)/18)*EXP(-(((0)+5)^2)/(22^2))+18*SIN(2*PI()*(A224)/70))+Inputs!$C$28*EXP(-(((A224)-Inputs!$C$29)^2)/(2*Inputs!$C$31^2))*EXP(-(((0)-Inputs!$C$30)^2)/(2*Inputs!$C$32^2))+-Inputs!$C$33*EXP(-(((((A224)-Inputs!$C$34)^2)+(((0)-Inputs!$C$35)^2))/(2*Inputs!$C$36^2)))+Inputs!$C$37*(0.55*SIN(2*PI()*(A224)/Inputs!$C$39)+0.35*COS(2*PI()*(0)/Inputs!$C$40)+0.2*SIN(2*PI()*((A224)+(0))/(0.5*(Inputs!$C$39+Inputs!$C$40))))+Inputs!$C$38*SIN(2*PI()*(A224)/Inputs!$C$39)*SIN(2*PI()*(0)/Inputs!$C$40)+-Inputs!$C$41*EXP(-(((0)-Inputs!$C$43)^2)/(2*Inputs!$C$44^2))*EXP(-(((A224)-Inputs!$C$42)^2)/(2*Inputs!$C$45^2))+Inputs!$C$48*(0.7*(0.45*SIN(2*PI()*(((A224)/Inputs!$C$49)+Inputs!$C$47*0.137))+0.35*COS(2*PI()*(((0)/Inputs!$C$50)+Inputs!$C$47*0.173))+0.2*SIN(2*PI()*(((A224)+(0))/(0.5*(Inputs!$C$49+Inputs!$C$50))+Inputs!$C$47*0.097)))+0.3*(2*((SIN(((A224)*12.9898+(0)*78.233+Inputs!$C$47*37.719))*43758.5453)-INT((SIN(((A224)*12.9898+(0)*78.233+Inputs!$C$47*37.719))*43758.5453)))-1)))</f>
        <v/>
      </c>
      <c r="Y224" s="9">
        <f>IF(OR(Inputs!$C$27=TRUE,Inputs!$C$27="TRUE",Inputs!$C$27=1),1,0)*(Inputs!$C$51*(115*EXP(-(((Inputs!$C$6)-25)^2)/(4.5^2))+70*EXP(-(((Inputs!$C$6)+38)^2)/(7^2))*(0.55+0.45*SIN(2*PI()*(A224)/45))+24*SIN(2*PI()*(Inputs!$C$6)/9+(A224)/18)*EXP(-(((Inputs!$C$6)+5)^2)/(22^2))+18*SIN(2*PI()*(A224)/70))+Inputs!$C$28*EXP(-(((A224)-Inputs!$C$29)^2)/(2*Inputs!$C$31^2))*EXP(-(((Inputs!$C$6)-Inputs!$C$30)^2)/(2*Inputs!$C$32^2))+-Inputs!$C$33*EXP(-(((((A224)-Inputs!$C$34)^2)+(((Inputs!$C$6)-Inputs!$C$35)^2))/(2*Inputs!$C$36^2)))+Inputs!$C$37*(0.55*SIN(2*PI()*(A224)/Inputs!$C$39)+0.35*COS(2*PI()*(Inputs!$C$6)/Inputs!$C$40)+0.2*SIN(2*PI()*((A224)+(Inputs!$C$6))/(0.5*(Inputs!$C$39+Inputs!$C$40))))+Inputs!$C$38*SIN(2*PI()*(A224)/Inputs!$C$39)*SIN(2*PI()*(Inputs!$C$6)/Inputs!$C$40)+-Inputs!$C$41*EXP(-(((Inputs!$C$6)-Inputs!$C$43)^2)/(2*Inputs!$C$44^2))*EXP(-(((A224)-Inputs!$C$42)^2)/(2*Inputs!$C$45^2))+Inputs!$C$48*(0.7*(0.45*SIN(2*PI()*(((A224)/Inputs!$C$49)+Inputs!$C$47*0.137))+0.35*COS(2*PI()*(((Inputs!$C$6)/Inputs!$C$50)+Inputs!$C$47*0.173))+0.2*SIN(2*PI()*(((A224)+(Inputs!$C$6))/(0.5*(Inputs!$C$49+Inputs!$C$50))+Inputs!$C$47*0.097)))+0.3*(2*((SIN(((A224)*12.9898+(Inputs!$C$6)*78.233+Inputs!$C$47*37.719))*43758.5453)-INT((SIN(((A224)*12.9898+(Inputs!$C$6)*78.233+Inputs!$C$47*37.719))*43758.5453)))-1)))</f>
        <v/>
      </c>
      <c r="Z224" s="9">
        <f>B224-X224/1000</f>
        <v/>
      </c>
      <c r="AA224" s="9">
        <f>SQRT((Inputs!$C$52+B224)^2+(Inputs!$C$52+Y224/1000)^2-2*(Inputs!$C$52+B224)*(Inputs!$C$52+Y224/1000)*COS(SQRT(A224^2+Inputs!$C$6^2)/Inputs!$C$52))</f>
        <v/>
      </c>
      <c r="AB224" s="9">
        <f>(AA224-Z224)*1000</f>
        <v/>
      </c>
      <c r="AC224" s="9">
        <f>AB224/Inputs!$C$12</f>
        <v/>
      </c>
      <c r="AD224" s="9">
        <f>2*AB224/Inputs!$C$21*1000000</f>
        <v/>
      </c>
      <c r="AE224" s="9">
        <f>DEGREES(ATAN(H224/(B224-Y224/1000)))</f>
        <v/>
      </c>
      <c r="AF224" s="9">
        <f>DEGREES((2*PI()/Inputs!$C$13)*Inputs!$C$15*SIN(RADIANS(AE224)))</f>
        <v/>
      </c>
      <c r="AG224" s="9">
        <f>(Z224/AA224)^4</f>
        <v/>
      </c>
      <c r="AH224" s="9">
        <f>10*LOG10(AG224)</f>
        <v/>
      </c>
      <c r="AI224" s="9">
        <f>AC224-F224</f>
        <v/>
      </c>
      <c r="AJ224" s="9">
        <f>AD224-G224</f>
        <v/>
      </c>
      <c r="AK224" s="9">
        <f>Y224-X224</f>
        <v/>
      </c>
      <c r="AL224" s="9">
        <f>1000*(AA225-AA223)/(A225-A223)*Inputs!$C$11</f>
        <v/>
      </c>
      <c r="AM224" s="9">
        <f>-2*AL224/Inputs!$C$13</f>
        <v/>
      </c>
      <c r="AN224" s="9">
        <f>-2*AL224/Inputs!$C$14</f>
        <v/>
      </c>
      <c r="AO224" s="9">
        <f>ABS(AM224)</f>
        <v/>
      </c>
      <c r="AP224" s="9">
        <f>ABS(AN224)</f>
        <v/>
      </c>
      <c r="AQ224" s="9">
        <f>IF(OR(Inputs!$C$27=TRUE,Inputs!$C$27="TRUE",Inputs!$C$27=1),Inputs!$C$46/Inputs!$C$12,0)</f>
        <v/>
      </c>
      <c r="AR224" s="9">
        <f>AC224-AQ224</f>
        <v/>
      </c>
      <c r="AS224" s="9">
        <f>AC224+AQ224</f>
        <v/>
      </c>
    </row>
    <row r="225">
      <c r="A225" s="9">
        <f>Inputs!$C$7+223*(Inputs!$C$8-Inputs!$C$7)/240</f>
        <v/>
      </c>
      <c r="B225" s="9">
        <f>Inputs!$C$5+Inputs!$C$9*(A225/Inputs!$C$10)^2</f>
        <v/>
      </c>
      <c r="C225" s="9">
        <f>B225</f>
        <v/>
      </c>
      <c r="D225" s="9">
        <f>SQRT((Inputs!$C$52+B225)^2+Inputs!$C$52^2-2*(Inputs!$C$52+B225)*Inputs!$C$52*COS(SQRT(A225^2+Inputs!$C$6^2)/Inputs!$C$52))</f>
        <v/>
      </c>
      <c r="E225" s="9">
        <f>(D225-C225)*1000</f>
        <v/>
      </c>
      <c r="F225" s="9">
        <f>E225/Inputs!$C$12</f>
        <v/>
      </c>
      <c r="G225" s="9">
        <f>2*E225/Inputs!$C$21*1000000</f>
        <v/>
      </c>
      <c r="H225" s="9">
        <f>SQRT(A225^2+Inputs!$C$6^2)</f>
        <v/>
      </c>
      <c r="I225" s="9">
        <f>DEGREES(ATAN(H225/B225))</f>
        <v/>
      </c>
      <c r="J225" s="9">
        <f>DEGREES((2*PI()/Inputs!$C$13)*Inputs!$C$15*SIN(RADIANS(I225)))</f>
        <v/>
      </c>
      <c r="K225" s="9">
        <f>(C225/D225)^4</f>
        <v/>
      </c>
      <c r="L225" s="9">
        <f>10*LOG10(K225)</f>
        <v/>
      </c>
      <c r="M225" s="9">
        <f>2*(Inputs!$C$9/(Inputs!$C$10^2))*A225</f>
        <v/>
      </c>
      <c r="N225" s="9">
        <f>M225*Inputs!$C$11</f>
        <v/>
      </c>
      <c r="O225" s="9">
        <f>1000*(D226-D224)/(A226-A224)*Inputs!$C$11</f>
        <v/>
      </c>
      <c r="P225" s="9">
        <f>-2*O225/Inputs!$C$13</f>
        <v/>
      </c>
      <c r="Q225" s="9">
        <f>-2*O225/Inputs!$C$14</f>
        <v/>
      </c>
      <c r="R225" s="9">
        <f>F225-Inputs!$C$16/2</f>
        <v/>
      </c>
      <c r="S225" s="9">
        <f>F225+Inputs!$C$16/2</f>
        <v/>
      </c>
      <c r="T225" s="9">
        <f>F225-Inputs!$C$17/2</f>
        <v/>
      </c>
      <c r="U225" s="9">
        <f>F225+Inputs!$C$17/2</f>
        <v/>
      </c>
      <c r="V225" s="9">
        <f>ABS(P225)</f>
        <v/>
      </c>
      <c r="W225" s="9">
        <f>ABS(Q225)</f>
        <v/>
      </c>
      <c r="X225" s="9">
        <f>IF(OR(Inputs!$C$27=TRUE,Inputs!$C$27="TRUE",Inputs!$C$27=1),1,0)*(Inputs!$C$51*(115*EXP(-(((0)-25)^2)/(4.5^2))+70*EXP(-(((0)+38)^2)/(7^2))*(0.55+0.45*SIN(2*PI()*(A225)/45))+24*SIN(2*PI()*(0)/9+(A225)/18)*EXP(-(((0)+5)^2)/(22^2))+18*SIN(2*PI()*(A225)/70))+Inputs!$C$28*EXP(-(((A225)-Inputs!$C$29)^2)/(2*Inputs!$C$31^2))*EXP(-(((0)-Inputs!$C$30)^2)/(2*Inputs!$C$32^2))+-Inputs!$C$33*EXP(-(((((A225)-Inputs!$C$34)^2)+(((0)-Inputs!$C$35)^2))/(2*Inputs!$C$36^2)))+Inputs!$C$37*(0.55*SIN(2*PI()*(A225)/Inputs!$C$39)+0.35*COS(2*PI()*(0)/Inputs!$C$40)+0.2*SIN(2*PI()*((A225)+(0))/(0.5*(Inputs!$C$39+Inputs!$C$40))))+Inputs!$C$38*SIN(2*PI()*(A225)/Inputs!$C$39)*SIN(2*PI()*(0)/Inputs!$C$40)+-Inputs!$C$41*EXP(-(((0)-Inputs!$C$43)^2)/(2*Inputs!$C$44^2))*EXP(-(((A225)-Inputs!$C$42)^2)/(2*Inputs!$C$45^2))+Inputs!$C$48*(0.7*(0.45*SIN(2*PI()*(((A225)/Inputs!$C$49)+Inputs!$C$47*0.137))+0.35*COS(2*PI()*(((0)/Inputs!$C$50)+Inputs!$C$47*0.173))+0.2*SIN(2*PI()*(((A225)+(0))/(0.5*(Inputs!$C$49+Inputs!$C$50))+Inputs!$C$47*0.097)))+0.3*(2*((SIN(((A225)*12.9898+(0)*78.233+Inputs!$C$47*37.719))*43758.5453)-INT((SIN(((A225)*12.9898+(0)*78.233+Inputs!$C$47*37.719))*43758.5453)))-1)))</f>
        <v/>
      </c>
      <c r="Y225" s="9">
        <f>IF(OR(Inputs!$C$27=TRUE,Inputs!$C$27="TRUE",Inputs!$C$27=1),1,0)*(Inputs!$C$51*(115*EXP(-(((Inputs!$C$6)-25)^2)/(4.5^2))+70*EXP(-(((Inputs!$C$6)+38)^2)/(7^2))*(0.55+0.45*SIN(2*PI()*(A225)/45))+24*SIN(2*PI()*(Inputs!$C$6)/9+(A225)/18)*EXP(-(((Inputs!$C$6)+5)^2)/(22^2))+18*SIN(2*PI()*(A225)/70))+Inputs!$C$28*EXP(-(((A225)-Inputs!$C$29)^2)/(2*Inputs!$C$31^2))*EXP(-(((Inputs!$C$6)-Inputs!$C$30)^2)/(2*Inputs!$C$32^2))+-Inputs!$C$33*EXP(-(((((A225)-Inputs!$C$34)^2)+(((Inputs!$C$6)-Inputs!$C$35)^2))/(2*Inputs!$C$36^2)))+Inputs!$C$37*(0.55*SIN(2*PI()*(A225)/Inputs!$C$39)+0.35*COS(2*PI()*(Inputs!$C$6)/Inputs!$C$40)+0.2*SIN(2*PI()*((A225)+(Inputs!$C$6))/(0.5*(Inputs!$C$39+Inputs!$C$40))))+Inputs!$C$38*SIN(2*PI()*(A225)/Inputs!$C$39)*SIN(2*PI()*(Inputs!$C$6)/Inputs!$C$40)+-Inputs!$C$41*EXP(-(((Inputs!$C$6)-Inputs!$C$43)^2)/(2*Inputs!$C$44^2))*EXP(-(((A225)-Inputs!$C$42)^2)/(2*Inputs!$C$45^2))+Inputs!$C$48*(0.7*(0.45*SIN(2*PI()*(((A225)/Inputs!$C$49)+Inputs!$C$47*0.137))+0.35*COS(2*PI()*(((Inputs!$C$6)/Inputs!$C$50)+Inputs!$C$47*0.173))+0.2*SIN(2*PI()*(((A225)+(Inputs!$C$6))/(0.5*(Inputs!$C$49+Inputs!$C$50))+Inputs!$C$47*0.097)))+0.3*(2*((SIN(((A225)*12.9898+(Inputs!$C$6)*78.233+Inputs!$C$47*37.719))*43758.5453)-INT((SIN(((A225)*12.9898+(Inputs!$C$6)*78.233+Inputs!$C$47*37.719))*43758.5453)))-1)))</f>
        <v/>
      </c>
      <c r="Z225" s="9">
        <f>B225-X225/1000</f>
        <v/>
      </c>
      <c r="AA225" s="9">
        <f>SQRT((Inputs!$C$52+B225)^2+(Inputs!$C$52+Y225/1000)^2-2*(Inputs!$C$52+B225)*(Inputs!$C$52+Y225/1000)*COS(SQRT(A225^2+Inputs!$C$6^2)/Inputs!$C$52))</f>
        <v/>
      </c>
      <c r="AB225" s="9">
        <f>(AA225-Z225)*1000</f>
        <v/>
      </c>
      <c r="AC225" s="9">
        <f>AB225/Inputs!$C$12</f>
        <v/>
      </c>
      <c r="AD225" s="9">
        <f>2*AB225/Inputs!$C$21*1000000</f>
        <v/>
      </c>
      <c r="AE225" s="9">
        <f>DEGREES(ATAN(H225/(B225-Y225/1000)))</f>
        <v/>
      </c>
      <c r="AF225" s="9">
        <f>DEGREES((2*PI()/Inputs!$C$13)*Inputs!$C$15*SIN(RADIANS(AE225)))</f>
        <v/>
      </c>
      <c r="AG225" s="9">
        <f>(Z225/AA225)^4</f>
        <v/>
      </c>
      <c r="AH225" s="9">
        <f>10*LOG10(AG225)</f>
        <v/>
      </c>
      <c r="AI225" s="9">
        <f>AC225-F225</f>
        <v/>
      </c>
      <c r="AJ225" s="9">
        <f>AD225-G225</f>
        <v/>
      </c>
      <c r="AK225" s="9">
        <f>Y225-X225</f>
        <v/>
      </c>
      <c r="AL225" s="9">
        <f>1000*(AA226-AA224)/(A226-A224)*Inputs!$C$11</f>
        <v/>
      </c>
      <c r="AM225" s="9">
        <f>-2*AL225/Inputs!$C$13</f>
        <v/>
      </c>
      <c r="AN225" s="9">
        <f>-2*AL225/Inputs!$C$14</f>
        <v/>
      </c>
      <c r="AO225" s="9">
        <f>ABS(AM225)</f>
        <v/>
      </c>
      <c r="AP225" s="9">
        <f>ABS(AN225)</f>
        <v/>
      </c>
      <c r="AQ225" s="9">
        <f>IF(OR(Inputs!$C$27=TRUE,Inputs!$C$27="TRUE",Inputs!$C$27=1),Inputs!$C$46/Inputs!$C$12,0)</f>
        <v/>
      </c>
      <c r="AR225" s="9">
        <f>AC225-AQ225</f>
        <v/>
      </c>
      <c r="AS225" s="9">
        <f>AC225+AQ225</f>
        <v/>
      </c>
    </row>
    <row r="226">
      <c r="A226" s="9">
        <f>Inputs!$C$7+224*(Inputs!$C$8-Inputs!$C$7)/240</f>
        <v/>
      </c>
      <c r="B226" s="9">
        <f>Inputs!$C$5+Inputs!$C$9*(A226/Inputs!$C$10)^2</f>
        <v/>
      </c>
      <c r="C226" s="9">
        <f>B226</f>
        <v/>
      </c>
      <c r="D226" s="9">
        <f>SQRT((Inputs!$C$52+B226)^2+Inputs!$C$52^2-2*(Inputs!$C$52+B226)*Inputs!$C$52*COS(SQRT(A226^2+Inputs!$C$6^2)/Inputs!$C$52))</f>
        <v/>
      </c>
      <c r="E226" s="9">
        <f>(D226-C226)*1000</f>
        <v/>
      </c>
      <c r="F226" s="9">
        <f>E226/Inputs!$C$12</f>
        <v/>
      </c>
      <c r="G226" s="9">
        <f>2*E226/Inputs!$C$21*1000000</f>
        <v/>
      </c>
      <c r="H226" s="9">
        <f>SQRT(A226^2+Inputs!$C$6^2)</f>
        <v/>
      </c>
      <c r="I226" s="9">
        <f>DEGREES(ATAN(H226/B226))</f>
        <v/>
      </c>
      <c r="J226" s="9">
        <f>DEGREES((2*PI()/Inputs!$C$13)*Inputs!$C$15*SIN(RADIANS(I226)))</f>
        <v/>
      </c>
      <c r="K226" s="9">
        <f>(C226/D226)^4</f>
        <v/>
      </c>
      <c r="L226" s="9">
        <f>10*LOG10(K226)</f>
        <v/>
      </c>
      <c r="M226" s="9">
        <f>2*(Inputs!$C$9/(Inputs!$C$10^2))*A226</f>
        <v/>
      </c>
      <c r="N226" s="9">
        <f>M226*Inputs!$C$11</f>
        <v/>
      </c>
      <c r="O226" s="9">
        <f>1000*(D227-D225)/(A227-A225)*Inputs!$C$11</f>
        <v/>
      </c>
      <c r="P226" s="9">
        <f>-2*O226/Inputs!$C$13</f>
        <v/>
      </c>
      <c r="Q226" s="9">
        <f>-2*O226/Inputs!$C$14</f>
        <v/>
      </c>
      <c r="R226" s="9">
        <f>F226-Inputs!$C$16/2</f>
        <v/>
      </c>
      <c r="S226" s="9">
        <f>F226+Inputs!$C$16/2</f>
        <v/>
      </c>
      <c r="T226" s="9">
        <f>F226-Inputs!$C$17/2</f>
        <v/>
      </c>
      <c r="U226" s="9">
        <f>F226+Inputs!$C$17/2</f>
        <v/>
      </c>
      <c r="V226" s="9">
        <f>ABS(P226)</f>
        <v/>
      </c>
      <c r="W226" s="9">
        <f>ABS(Q226)</f>
        <v/>
      </c>
      <c r="X226" s="9">
        <f>IF(OR(Inputs!$C$27=TRUE,Inputs!$C$27="TRUE",Inputs!$C$27=1),1,0)*(Inputs!$C$51*(115*EXP(-(((0)-25)^2)/(4.5^2))+70*EXP(-(((0)+38)^2)/(7^2))*(0.55+0.45*SIN(2*PI()*(A226)/45))+24*SIN(2*PI()*(0)/9+(A226)/18)*EXP(-(((0)+5)^2)/(22^2))+18*SIN(2*PI()*(A226)/70))+Inputs!$C$28*EXP(-(((A226)-Inputs!$C$29)^2)/(2*Inputs!$C$31^2))*EXP(-(((0)-Inputs!$C$30)^2)/(2*Inputs!$C$32^2))+-Inputs!$C$33*EXP(-(((((A226)-Inputs!$C$34)^2)+(((0)-Inputs!$C$35)^2))/(2*Inputs!$C$36^2)))+Inputs!$C$37*(0.55*SIN(2*PI()*(A226)/Inputs!$C$39)+0.35*COS(2*PI()*(0)/Inputs!$C$40)+0.2*SIN(2*PI()*((A226)+(0))/(0.5*(Inputs!$C$39+Inputs!$C$40))))+Inputs!$C$38*SIN(2*PI()*(A226)/Inputs!$C$39)*SIN(2*PI()*(0)/Inputs!$C$40)+-Inputs!$C$41*EXP(-(((0)-Inputs!$C$43)^2)/(2*Inputs!$C$44^2))*EXP(-(((A226)-Inputs!$C$42)^2)/(2*Inputs!$C$45^2))+Inputs!$C$48*(0.7*(0.45*SIN(2*PI()*(((A226)/Inputs!$C$49)+Inputs!$C$47*0.137))+0.35*COS(2*PI()*(((0)/Inputs!$C$50)+Inputs!$C$47*0.173))+0.2*SIN(2*PI()*(((A226)+(0))/(0.5*(Inputs!$C$49+Inputs!$C$50))+Inputs!$C$47*0.097)))+0.3*(2*((SIN(((A226)*12.9898+(0)*78.233+Inputs!$C$47*37.719))*43758.5453)-INT((SIN(((A226)*12.9898+(0)*78.233+Inputs!$C$47*37.719))*43758.5453)))-1)))</f>
        <v/>
      </c>
      <c r="Y226" s="9">
        <f>IF(OR(Inputs!$C$27=TRUE,Inputs!$C$27="TRUE",Inputs!$C$27=1),1,0)*(Inputs!$C$51*(115*EXP(-(((Inputs!$C$6)-25)^2)/(4.5^2))+70*EXP(-(((Inputs!$C$6)+38)^2)/(7^2))*(0.55+0.45*SIN(2*PI()*(A226)/45))+24*SIN(2*PI()*(Inputs!$C$6)/9+(A226)/18)*EXP(-(((Inputs!$C$6)+5)^2)/(22^2))+18*SIN(2*PI()*(A226)/70))+Inputs!$C$28*EXP(-(((A226)-Inputs!$C$29)^2)/(2*Inputs!$C$31^2))*EXP(-(((Inputs!$C$6)-Inputs!$C$30)^2)/(2*Inputs!$C$32^2))+-Inputs!$C$33*EXP(-(((((A226)-Inputs!$C$34)^2)+(((Inputs!$C$6)-Inputs!$C$35)^2))/(2*Inputs!$C$36^2)))+Inputs!$C$37*(0.55*SIN(2*PI()*(A226)/Inputs!$C$39)+0.35*COS(2*PI()*(Inputs!$C$6)/Inputs!$C$40)+0.2*SIN(2*PI()*((A226)+(Inputs!$C$6))/(0.5*(Inputs!$C$39+Inputs!$C$40))))+Inputs!$C$38*SIN(2*PI()*(A226)/Inputs!$C$39)*SIN(2*PI()*(Inputs!$C$6)/Inputs!$C$40)+-Inputs!$C$41*EXP(-(((Inputs!$C$6)-Inputs!$C$43)^2)/(2*Inputs!$C$44^2))*EXP(-(((A226)-Inputs!$C$42)^2)/(2*Inputs!$C$45^2))+Inputs!$C$48*(0.7*(0.45*SIN(2*PI()*(((A226)/Inputs!$C$49)+Inputs!$C$47*0.137))+0.35*COS(2*PI()*(((Inputs!$C$6)/Inputs!$C$50)+Inputs!$C$47*0.173))+0.2*SIN(2*PI()*(((A226)+(Inputs!$C$6))/(0.5*(Inputs!$C$49+Inputs!$C$50))+Inputs!$C$47*0.097)))+0.3*(2*((SIN(((A226)*12.9898+(Inputs!$C$6)*78.233+Inputs!$C$47*37.719))*43758.5453)-INT((SIN(((A226)*12.9898+(Inputs!$C$6)*78.233+Inputs!$C$47*37.719))*43758.5453)))-1)))</f>
        <v/>
      </c>
      <c r="Z226" s="9">
        <f>B226-X226/1000</f>
        <v/>
      </c>
      <c r="AA226" s="9">
        <f>SQRT((Inputs!$C$52+B226)^2+(Inputs!$C$52+Y226/1000)^2-2*(Inputs!$C$52+B226)*(Inputs!$C$52+Y226/1000)*COS(SQRT(A226^2+Inputs!$C$6^2)/Inputs!$C$52))</f>
        <v/>
      </c>
      <c r="AB226" s="9">
        <f>(AA226-Z226)*1000</f>
        <v/>
      </c>
      <c r="AC226" s="9">
        <f>AB226/Inputs!$C$12</f>
        <v/>
      </c>
      <c r="AD226" s="9">
        <f>2*AB226/Inputs!$C$21*1000000</f>
        <v/>
      </c>
      <c r="AE226" s="9">
        <f>DEGREES(ATAN(H226/(B226-Y226/1000)))</f>
        <v/>
      </c>
      <c r="AF226" s="9">
        <f>DEGREES((2*PI()/Inputs!$C$13)*Inputs!$C$15*SIN(RADIANS(AE226)))</f>
        <v/>
      </c>
      <c r="AG226" s="9">
        <f>(Z226/AA226)^4</f>
        <v/>
      </c>
      <c r="AH226" s="9">
        <f>10*LOG10(AG226)</f>
        <v/>
      </c>
      <c r="AI226" s="9">
        <f>AC226-F226</f>
        <v/>
      </c>
      <c r="AJ226" s="9">
        <f>AD226-G226</f>
        <v/>
      </c>
      <c r="AK226" s="9">
        <f>Y226-X226</f>
        <v/>
      </c>
      <c r="AL226" s="9">
        <f>1000*(AA227-AA225)/(A227-A225)*Inputs!$C$11</f>
        <v/>
      </c>
      <c r="AM226" s="9">
        <f>-2*AL226/Inputs!$C$13</f>
        <v/>
      </c>
      <c r="AN226" s="9">
        <f>-2*AL226/Inputs!$C$14</f>
        <v/>
      </c>
      <c r="AO226" s="9">
        <f>ABS(AM226)</f>
        <v/>
      </c>
      <c r="AP226" s="9">
        <f>ABS(AN226)</f>
        <v/>
      </c>
      <c r="AQ226" s="9">
        <f>IF(OR(Inputs!$C$27=TRUE,Inputs!$C$27="TRUE",Inputs!$C$27=1),Inputs!$C$46/Inputs!$C$12,0)</f>
        <v/>
      </c>
      <c r="AR226" s="9">
        <f>AC226-AQ226</f>
        <v/>
      </c>
      <c r="AS226" s="9">
        <f>AC226+AQ226</f>
        <v/>
      </c>
    </row>
    <row r="227">
      <c r="A227" s="9">
        <f>Inputs!$C$7+225*(Inputs!$C$8-Inputs!$C$7)/240</f>
        <v/>
      </c>
      <c r="B227" s="9">
        <f>Inputs!$C$5+Inputs!$C$9*(A227/Inputs!$C$10)^2</f>
        <v/>
      </c>
      <c r="C227" s="9">
        <f>B227</f>
        <v/>
      </c>
      <c r="D227" s="9">
        <f>SQRT((Inputs!$C$52+B227)^2+Inputs!$C$52^2-2*(Inputs!$C$52+B227)*Inputs!$C$52*COS(SQRT(A227^2+Inputs!$C$6^2)/Inputs!$C$52))</f>
        <v/>
      </c>
      <c r="E227" s="9">
        <f>(D227-C227)*1000</f>
        <v/>
      </c>
      <c r="F227" s="9">
        <f>E227/Inputs!$C$12</f>
        <v/>
      </c>
      <c r="G227" s="9">
        <f>2*E227/Inputs!$C$21*1000000</f>
        <v/>
      </c>
      <c r="H227" s="9">
        <f>SQRT(A227^2+Inputs!$C$6^2)</f>
        <v/>
      </c>
      <c r="I227" s="9">
        <f>DEGREES(ATAN(H227/B227))</f>
        <v/>
      </c>
      <c r="J227" s="9">
        <f>DEGREES((2*PI()/Inputs!$C$13)*Inputs!$C$15*SIN(RADIANS(I227)))</f>
        <v/>
      </c>
      <c r="K227" s="9">
        <f>(C227/D227)^4</f>
        <v/>
      </c>
      <c r="L227" s="9">
        <f>10*LOG10(K227)</f>
        <v/>
      </c>
      <c r="M227" s="9">
        <f>2*(Inputs!$C$9/(Inputs!$C$10^2))*A227</f>
        <v/>
      </c>
      <c r="N227" s="9">
        <f>M227*Inputs!$C$11</f>
        <v/>
      </c>
      <c r="O227" s="9">
        <f>1000*(D228-D226)/(A228-A226)*Inputs!$C$11</f>
        <v/>
      </c>
      <c r="P227" s="9">
        <f>-2*O227/Inputs!$C$13</f>
        <v/>
      </c>
      <c r="Q227" s="9">
        <f>-2*O227/Inputs!$C$14</f>
        <v/>
      </c>
      <c r="R227" s="9">
        <f>F227-Inputs!$C$16/2</f>
        <v/>
      </c>
      <c r="S227" s="9">
        <f>F227+Inputs!$C$16/2</f>
        <v/>
      </c>
      <c r="T227" s="9">
        <f>F227-Inputs!$C$17/2</f>
        <v/>
      </c>
      <c r="U227" s="9">
        <f>F227+Inputs!$C$17/2</f>
        <v/>
      </c>
      <c r="V227" s="9">
        <f>ABS(P227)</f>
        <v/>
      </c>
      <c r="W227" s="9">
        <f>ABS(Q227)</f>
        <v/>
      </c>
      <c r="X227" s="9">
        <f>IF(OR(Inputs!$C$27=TRUE,Inputs!$C$27="TRUE",Inputs!$C$27=1),1,0)*(Inputs!$C$51*(115*EXP(-(((0)-25)^2)/(4.5^2))+70*EXP(-(((0)+38)^2)/(7^2))*(0.55+0.45*SIN(2*PI()*(A227)/45))+24*SIN(2*PI()*(0)/9+(A227)/18)*EXP(-(((0)+5)^2)/(22^2))+18*SIN(2*PI()*(A227)/70))+Inputs!$C$28*EXP(-(((A227)-Inputs!$C$29)^2)/(2*Inputs!$C$31^2))*EXP(-(((0)-Inputs!$C$30)^2)/(2*Inputs!$C$32^2))+-Inputs!$C$33*EXP(-(((((A227)-Inputs!$C$34)^2)+(((0)-Inputs!$C$35)^2))/(2*Inputs!$C$36^2)))+Inputs!$C$37*(0.55*SIN(2*PI()*(A227)/Inputs!$C$39)+0.35*COS(2*PI()*(0)/Inputs!$C$40)+0.2*SIN(2*PI()*((A227)+(0))/(0.5*(Inputs!$C$39+Inputs!$C$40))))+Inputs!$C$38*SIN(2*PI()*(A227)/Inputs!$C$39)*SIN(2*PI()*(0)/Inputs!$C$40)+-Inputs!$C$41*EXP(-(((0)-Inputs!$C$43)^2)/(2*Inputs!$C$44^2))*EXP(-(((A227)-Inputs!$C$42)^2)/(2*Inputs!$C$45^2))+Inputs!$C$48*(0.7*(0.45*SIN(2*PI()*(((A227)/Inputs!$C$49)+Inputs!$C$47*0.137))+0.35*COS(2*PI()*(((0)/Inputs!$C$50)+Inputs!$C$47*0.173))+0.2*SIN(2*PI()*(((A227)+(0))/(0.5*(Inputs!$C$49+Inputs!$C$50))+Inputs!$C$47*0.097)))+0.3*(2*((SIN(((A227)*12.9898+(0)*78.233+Inputs!$C$47*37.719))*43758.5453)-INT((SIN(((A227)*12.9898+(0)*78.233+Inputs!$C$47*37.719))*43758.5453)))-1)))</f>
        <v/>
      </c>
      <c r="Y227" s="9">
        <f>IF(OR(Inputs!$C$27=TRUE,Inputs!$C$27="TRUE",Inputs!$C$27=1),1,0)*(Inputs!$C$51*(115*EXP(-(((Inputs!$C$6)-25)^2)/(4.5^2))+70*EXP(-(((Inputs!$C$6)+38)^2)/(7^2))*(0.55+0.45*SIN(2*PI()*(A227)/45))+24*SIN(2*PI()*(Inputs!$C$6)/9+(A227)/18)*EXP(-(((Inputs!$C$6)+5)^2)/(22^2))+18*SIN(2*PI()*(A227)/70))+Inputs!$C$28*EXP(-(((A227)-Inputs!$C$29)^2)/(2*Inputs!$C$31^2))*EXP(-(((Inputs!$C$6)-Inputs!$C$30)^2)/(2*Inputs!$C$32^2))+-Inputs!$C$33*EXP(-(((((A227)-Inputs!$C$34)^2)+(((Inputs!$C$6)-Inputs!$C$35)^2))/(2*Inputs!$C$36^2)))+Inputs!$C$37*(0.55*SIN(2*PI()*(A227)/Inputs!$C$39)+0.35*COS(2*PI()*(Inputs!$C$6)/Inputs!$C$40)+0.2*SIN(2*PI()*((A227)+(Inputs!$C$6))/(0.5*(Inputs!$C$39+Inputs!$C$40))))+Inputs!$C$38*SIN(2*PI()*(A227)/Inputs!$C$39)*SIN(2*PI()*(Inputs!$C$6)/Inputs!$C$40)+-Inputs!$C$41*EXP(-(((Inputs!$C$6)-Inputs!$C$43)^2)/(2*Inputs!$C$44^2))*EXP(-(((A227)-Inputs!$C$42)^2)/(2*Inputs!$C$45^2))+Inputs!$C$48*(0.7*(0.45*SIN(2*PI()*(((A227)/Inputs!$C$49)+Inputs!$C$47*0.137))+0.35*COS(2*PI()*(((Inputs!$C$6)/Inputs!$C$50)+Inputs!$C$47*0.173))+0.2*SIN(2*PI()*(((A227)+(Inputs!$C$6))/(0.5*(Inputs!$C$49+Inputs!$C$50))+Inputs!$C$47*0.097)))+0.3*(2*((SIN(((A227)*12.9898+(Inputs!$C$6)*78.233+Inputs!$C$47*37.719))*43758.5453)-INT((SIN(((A227)*12.9898+(Inputs!$C$6)*78.233+Inputs!$C$47*37.719))*43758.5453)))-1)))</f>
        <v/>
      </c>
      <c r="Z227" s="9">
        <f>B227-X227/1000</f>
        <v/>
      </c>
      <c r="AA227" s="9">
        <f>SQRT((Inputs!$C$52+B227)^2+(Inputs!$C$52+Y227/1000)^2-2*(Inputs!$C$52+B227)*(Inputs!$C$52+Y227/1000)*COS(SQRT(A227^2+Inputs!$C$6^2)/Inputs!$C$52))</f>
        <v/>
      </c>
      <c r="AB227" s="9">
        <f>(AA227-Z227)*1000</f>
        <v/>
      </c>
      <c r="AC227" s="9">
        <f>AB227/Inputs!$C$12</f>
        <v/>
      </c>
      <c r="AD227" s="9">
        <f>2*AB227/Inputs!$C$21*1000000</f>
        <v/>
      </c>
      <c r="AE227" s="9">
        <f>DEGREES(ATAN(H227/(B227-Y227/1000)))</f>
        <v/>
      </c>
      <c r="AF227" s="9">
        <f>DEGREES((2*PI()/Inputs!$C$13)*Inputs!$C$15*SIN(RADIANS(AE227)))</f>
        <v/>
      </c>
      <c r="AG227" s="9">
        <f>(Z227/AA227)^4</f>
        <v/>
      </c>
      <c r="AH227" s="9">
        <f>10*LOG10(AG227)</f>
        <v/>
      </c>
      <c r="AI227" s="9">
        <f>AC227-F227</f>
        <v/>
      </c>
      <c r="AJ227" s="9">
        <f>AD227-G227</f>
        <v/>
      </c>
      <c r="AK227" s="9">
        <f>Y227-X227</f>
        <v/>
      </c>
      <c r="AL227" s="9">
        <f>1000*(AA228-AA226)/(A228-A226)*Inputs!$C$11</f>
        <v/>
      </c>
      <c r="AM227" s="9">
        <f>-2*AL227/Inputs!$C$13</f>
        <v/>
      </c>
      <c r="AN227" s="9">
        <f>-2*AL227/Inputs!$C$14</f>
        <v/>
      </c>
      <c r="AO227" s="9">
        <f>ABS(AM227)</f>
        <v/>
      </c>
      <c r="AP227" s="9">
        <f>ABS(AN227)</f>
        <v/>
      </c>
      <c r="AQ227" s="9">
        <f>IF(OR(Inputs!$C$27=TRUE,Inputs!$C$27="TRUE",Inputs!$C$27=1),Inputs!$C$46/Inputs!$C$12,0)</f>
        <v/>
      </c>
      <c r="AR227" s="9">
        <f>AC227-AQ227</f>
        <v/>
      </c>
      <c r="AS227" s="9">
        <f>AC227+AQ227</f>
        <v/>
      </c>
    </row>
    <row r="228">
      <c r="A228" s="9">
        <f>Inputs!$C$7+226*(Inputs!$C$8-Inputs!$C$7)/240</f>
        <v/>
      </c>
      <c r="B228" s="9">
        <f>Inputs!$C$5+Inputs!$C$9*(A228/Inputs!$C$10)^2</f>
        <v/>
      </c>
      <c r="C228" s="9">
        <f>B228</f>
        <v/>
      </c>
      <c r="D228" s="9">
        <f>SQRT((Inputs!$C$52+B228)^2+Inputs!$C$52^2-2*(Inputs!$C$52+B228)*Inputs!$C$52*COS(SQRT(A228^2+Inputs!$C$6^2)/Inputs!$C$52))</f>
        <v/>
      </c>
      <c r="E228" s="9">
        <f>(D228-C228)*1000</f>
        <v/>
      </c>
      <c r="F228" s="9">
        <f>E228/Inputs!$C$12</f>
        <v/>
      </c>
      <c r="G228" s="9">
        <f>2*E228/Inputs!$C$21*1000000</f>
        <v/>
      </c>
      <c r="H228" s="9">
        <f>SQRT(A228^2+Inputs!$C$6^2)</f>
        <v/>
      </c>
      <c r="I228" s="9">
        <f>DEGREES(ATAN(H228/B228))</f>
        <v/>
      </c>
      <c r="J228" s="9">
        <f>DEGREES((2*PI()/Inputs!$C$13)*Inputs!$C$15*SIN(RADIANS(I228)))</f>
        <v/>
      </c>
      <c r="K228" s="9">
        <f>(C228/D228)^4</f>
        <v/>
      </c>
      <c r="L228" s="9">
        <f>10*LOG10(K228)</f>
        <v/>
      </c>
      <c r="M228" s="9">
        <f>2*(Inputs!$C$9/(Inputs!$C$10^2))*A228</f>
        <v/>
      </c>
      <c r="N228" s="9">
        <f>M228*Inputs!$C$11</f>
        <v/>
      </c>
      <c r="O228" s="9">
        <f>1000*(D229-D227)/(A229-A227)*Inputs!$C$11</f>
        <v/>
      </c>
      <c r="P228" s="9">
        <f>-2*O228/Inputs!$C$13</f>
        <v/>
      </c>
      <c r="Q228" s="9">
        <f>-2*O228/Inputs!$C$14</f>
        <v/>
      </c>
      <c r="R228" s="9">
        <f>F228-Inputs!$C$16/2</f>
        <v/>
      </c>
      <c r="S228" s="9">
        <f>F228+Inputs!$C$16/2</f>
        <v/>
      </c>
      <c r="T228" s="9">
        <f>F228-Inputs!$C$17/2</f>
        <v/>
      </c>
      <c r="U228" s="9">
        <f>F228+Inputs!$C$17/2</f>
        <v/>
      </c>
      <c r="V228" s="9">
        <f>ABS(P228)</f>
        <v/>
      </c>
      <c r="W228" s="9">
        <f>ABS(Q228)</f>
        <v/>
      </c>
      <c r="X228" s="9">
        <f>IF(OR(Inputs!$C$27=TRUE,Inputs!$C$27="TRUE",Inputs!$C$27=1),1,0)*(Inputs!$C$51*(115*EXP(-(((0)-25)^2)/(4.5^2))+70*EXP(-(((0)+38)^2)/(7^2))*(0.55+0.45*SIN(2*PI()*(A228)/45))+24*SIN(2*PI()*(0)/9+(A228)/18)*EXP(-(((0)+5)^2)/(22^2))+18*SIN(2*PI()*(A228)/70))+Inputs!$C$28*EXP(-(((A228)-Inputs!$C$29)^2)/(2*Inputs!$C$31^2))*EXP(-(((0)-Inputs!$C$30)^2)/(2*Inputs!$C$32^2))+-Inputs!$C$33*EXP(-(((((A228)-Inputs!$C$34)^2)+(((0)-Inputs!$C$35)^2))/(2*Inputs!$C$36^2)))+Inputs!$C$37*(0.55*SIN(2*PI()*(A228)/Inputs!$C$39)+0.35*COS(2*PI()*(0)/Inputs!$C$40)+0.2*SIN(2*PI()*((A228)+(0))/(0.5*(Inputs!$C$39+Inputs!$C$40))))+Inputs!$C$38*SIN(2*PI()*(A228)/Inputs!$C$39)*SIN(2*PI()*(0)/Inputs!$C$40)+-Inputs!$C$41*EXP(-(((0)-Inputs!$C$43)^2)/(2*Inputs!$C$44^2))*EXP(-(((A228)-Inputs!$C$42)^2)/(2*Inputs!$C$45^2))+Inputs!$C$48*(0.7*(0.45*SIN(2*PI()*(((A228)/Inputs!$C$49)+Inputs!$C$47*0.137))+0.35*COS(2*PI()*(((0)/Inputs!$C$50)+Inputs!$C$47*0.173))+0.2*SIN(2*PI()*(((A228)+(0))/(0.5*(Inputs!$C$49+Inputs!$C$50))+Inputs!$C$47*0.097)))+0.3*(2*((SIN(((A228)*12.9898+(0)*78.233+Inputs!$C$47*37.719))*43758.5453)-INT((SIN(((A228)*12.9898+(0)*78.233+Inputs!$C$47*37.719))*43758.5453)))-1)))</f>
        <v/>
      </c>
      <c r="Y228" s="9">
        <f>IF(OR(Inputs!$C$27=TRUE,Inputs!$C$27="TRUE",Inputs!$C$27=1),1,0)*(Inputs!$C$51*(115*EXP(-(((Inputs!$C$6)-25)^2)/(4.5^2))+70*EXP(-(((Inputs!$C$6)+38)^2)/(7^2))*(0.55+0.45*SIN(2*PI()*(A228)/45))+24*SIN(2*PI()*(Inputs!$C$6)/9+(A228)/18)*EXP(-(((Inputs!$C$6)+5)^2)/(22^2))+18*SIN(2*PI()*(A228)/70))+Inputs!$C$28*EXP(-(((A228)-Inputs!$C$29)^2)/(2*Inputs!$C$31^2))*EXP(-(((Inputs!$C$6)-Inputs!$C$30)^2)/(2*Inputs!$C$32^2))+-Inputs!$C$33*EXP(-(((((A228)-Inputs!$C$34)^2)+(((Inputs!$C$6)-Inputs!$C$35)^2))/(2*Inputs!$C$36^2)))+Inputs!$C$37*(0.55*SIN(2*PI()*(A228)/Inputs!$C$39)+0.35*COS(2*PI()*(Inputs!$C$6)/Inputs!$C$40)+0.2*SIN(2*PI()*((A228)+(Inputs!$C$6))/(0.5*(Inputs!$C$39+Inputs!$C$40))))+Inputs!$C$38*SIN(2*PI()*(A228)/Inputs!$C$39)*SIN(2*PI()*(Inputs!$C$6)/Inputs!$C$40)+-Inputs!$C$41*EXP(-(((Inputs!$C$6)-Inputs!$C$43)^2)/(2*Inputs!$C$44^2))*EXP(-(((A228)-Inputs!$C$42)^2)/(2*Inputs!$C$45^2))+Inputs!$C$48*(0.7*(0.45*SIN(2*PI()*(((A228)/Inputs!$C$49)+Inputs!$C$47*0.137))+0.35*COS(2*PI()*(((Inputs!$C$6)/Inputs!$C$50)+Inputs!$C$47*0.173))+0.2*SIN(2*PI()*(((A228)+(Inputs!$C$6))/(0.5*(Inputs!$C$49+Inputs!$C$50))+Inputs!$C$47*0.097)))+0.3*(2*((SIN(((A228)*12.9898+(Inputs!$C$6)*78.233+Inputs!$C$47*37.719))*43758.5453)-INT((SIN(((A228)*12.9898+(Inputs!$C$6)*78.233+Inputs!$C$47*37.719))*43758.5453)))-1)))</f>
        <v/>
      </c>
      <c r="Z228" s="9">
        <f>B228-X228/1000</f>
        <v/>
      </c>
      <c r="AA228" s="9">
        <f>SQRT((Inputs!$C$52+B228)^2+(Inputs!$C$52+Y228/1000)^2-2*(Inputs!$C$52+B228)*(Inputs!$C$52+Y228/1000)*COS(SQRT(A228^2+Inputs!$C$6^2)/Inputs!$C$52))</f>
        <v/>
      </c>
      <c r="AB228" s="9">
        <f>(AA228-Z228)*1000</f>
        <v/>
      </c>
      <c r="AC228" s="9">
        <f>AB228/Inputs!$C$12</f>
        <v/>
      </c>
      <c r="AD228" s="9">
        <f>2*AB228/Inputs!$C$21*1000000</f>
        <v/>
      </c>
      <c r="AE228" s="9">
        <f>DEGREES(ATAN(H228/(B228-Y228/1000)))</f>
        <v/>
      </c>
      <c r="AF228" s="9">
        <f>DEGREES((2*PI()/Inputs!$C$13)*Inputs!$C$15*SIN(RADIANS(AE228)))</f>
        <v/>
      </c>
      <c r="AG228" s="9">
        <f>(Z228/AA228)^4</f>
        <v/>
      </c>
      <c r="AH228" s="9">
        <f>10*LOG10(AG228)</f>
        <v/>
      </c>
      <c r="AI228" s="9">
        <f>AC228-F228</f>
        <v/>
      </c>
      <c r="AJ228" s="9">
        <f>AD228-G228</f>
        <v/>
      </c>
      <c r="AK228" s="9">
        <f>Y228-X228</f>
        <v/>
      </c>
      <c r="AL228" s="9">
        <f>1000*(AA229-AA227)/(A229-A227)*Inputs!$C$11</f>
        <v/>
      </c>
      <c r="AM228" s="9">
        <f>-2*AL228/Inputs!$C$13</f>
        <v/>
      </c>
      <c r="AN228" s="9">
        <f>-2*AL228/Inputs!$C$14</f>
        <v/>
      </c>
      <c r="AO228" s="9">
        <f>ABS(AM228)</f>
        <v/>
      </c>
      <c r="AP228" s="9">
        <f>ABS(AN228)</f>
        <v/>
      </c>
      <c r="AQ228" s="9">
        <f>IF(OR(Inputs!$C$27=TRUE,Inputs!$C$27="TRUE",Inputs!$C$27=1),Inputs!$C$46/Inputs!$C$12,0)</f>
        <v/>
      </c>
      <c r="AR228" s="9">
        <f>AC228-AQ228</f>
        <v/>
      </c>
      <c r="AS228" s="9">
        <f>AC228+AQ228</f>
        <v/>
      </c>
    </row>
    <row r="229">
      <c r="A229" s="9">
        <f>Inputs!$C$7+227*(Inputs!$C$8-Inputs!$C$7)/240</f>
        <v/>
      </c>
      <c r="B229" s="9">
        <f>Inputs!$C$5+Inputs!$C$9*(A229/Inputs!$C$10)^2</f>
        <v/>
      </c>
      <c r="C229" s="9">
        <f>B229</f>
        <v/>
      </c>
      <c r="D229" s="9">
        <f>SQRT((Inputs!$C$52+B229)^2+Inputs!$C$52^2-2*(Inputs!$C$52+B229)*Inputs!$C$52*COS(SQRT(A229^2+Inputs!$C$6^2)/Inputs!$C$52))</f>
        <v/>
      </c>
      <c r="E229" s="9">
        <f>(D229-C229)*1000</f>
        <v/>
      </c>
      <c r="F229" s="9">
        <f>E229/Inputs!$C$12</f>
        <v/>
      </c>
      <c r="G229" s="9">
        <f>2*E229/Inputs!$C$21*1000000</f>
        <v/>
      </c>
      <c r="H229" s="9">
        <f>SQRT(A229^2+Inputs!$C$6^2)</f>
        <v/>
      </c>
      <c r="I229" s="9">
        <f>DEGREES(ATAN(H229/B229))</f>
        <v/>
      </c>
      <c r="J229" s="9">
        <f>DEGREES((2*PI()/Inputs!$C$13)*Inputs!$C$15*SIN(RADIANS(I229)))</f>
        <v/>
      </c>
      <c r="K229" s="9">
        <f>(C229/D229)^4</f>
        <v/>
      </c>
      <c r="L229" s="9">
        <f>10*LOG10(K229)</f>
        <v/>
      </c>
      <c r="M229" s="9">
        <f>2*(Inputs!$C$9/(Inputs!$C$10^2))*A229</f>
        <v/>
      </c>
      <c r="N229" s="9">
        <f>M229*Inputs!$C$11</f>
        <v/>
      </c>
      <c r="O229" s="9">
        <f>1000*(D230-D228)/(A230-A228)*Inputs!$C$11</f>
        <v/>
      </c>
      <c r="P229" s="9">
        <f>-2*O229/Inputs!$C$13</f>
        <v/>
      </c>
      <c r="Q229" s="9">
        <f>-2*O229/Inputs!$C$14</f>
        <v/>
      </c>
      <c r="R229" s="9">
        <f>F229-Inputs!$C$16/2</f>
        <v/>
      </c>
      <c r="S229" s="9">
        <f>F229+Inputs!$C$16/2</f>
        <v/>
      </c>
      <c r="T229" s="9">
        <f>F229-Inputs!$C$17/2</f>
        <v/>
      </c>
      <c r="U229" s="9">
        <f>F229+Inputs!$C$17/2</f>
        <v/>
      </c>
      <c r="V229" s="9">
        <f>ABS(P229)</f>
        <v/>
      </c>
      <c r="W229" s="9">
        <f>ABS(Q229)</f>
        <v/>
      </c>
      <c r="X229" s="9">
        <f>IF(OR(Inputs!$C$27=TRUE,Inputs!$C$27="TRUE",Inputs!$C$27=1),1,0)*(Inputs!$C$51*(115*EXP(-(((0)-25)^2)/(4.5^2))+70*EXP(-(((0)+38)^2)/(7^2))*(0.55+0.45*SIN(2*PI()*(A229)/45))+24*SIN(2*PI()*(0)/9+(A229)/18)*EXP(-(((0)+5)^2)/(22^2))+18*SIN(2*PI()*(A229)/70))+Inputs!$C$28*EXP(-(((A229)-Inputs!$C$29)^2)/(2*Inputs!$C$31^2))*EXP(-(((0)-Inputs!$C$30)^2)/(2*Inputs!$C$32^2))+-Inputs!$C$33*EXP(-(((((A229)-Inputs!$C$34)^2)+(((0)-Inputs!$C$35)^2))/(2*Inputs!$C$36^2)))+Inputs!$C$37*(0.55*SIN(2*PI()*(A229)/Inputs!$C$39)+0.35*COS(2*PI()*(0)/Inputs!$C$40)+0.2*SIN(2*PI()*((A229)+(0))/(0.5*(Inputs!$C$39+Inputs!$C$40))))+Inputs!$C$38*SIN(2*PI()*(A229)/Inputs!$C$39)*SIN(2*PI()*(0)/Inputs!$C$40)+-Inputs!$C$41*EXP(-(((0)-Inputs!$C$43)^2)/(2*Inputs!$C$44^2))*EXP(-(((A229)-Inputs!$C$42)^2)/(2*Inputs!$C$45^2))+Inputs!$C$48*(0.7*(0.45*SIN(2*PI()*(((A229)/Inputs!$C$49)+Inputs!$C$47*0.137))+0.35*COS(2*PI()*(((0)/Inputs!$C$50)+Inputs!$C$47*0.173))+0.2*SIN(2*PI()*(((A229)+(0))/(0.5*(Inputs!$C$49+Inputs!$C$50))+Inputs!$C$47*0.097)))+0.3*(2*((SIN(((A229)*12.9898+(0)*78.233+Inputs!$C$47*37.719))*43758.5453)-INT((SIN(((A229)*12.9898+(0)*78.233+Inputs!$C$47*37.719))*43758.5453)))-1)))</f>
        <v/>
      </c>
      <c r="Y229" s="9">
        <f>IF(OR(Inputs!$C$27=TRUE,Inputs!$C$27="TRUE",Inputs!$C$27=1),1,0)*(Inputs!$C$51*(115*EXP(-(((Inputs!$C$6)-25)^2)/(4.5^2))+70*EXP(-(((Inputs!$C$6)+38)^2)/(7^2))*(0.55+0.45*SIN(2*PI()*(A229)/45))+24*SIN(2*PI()*(Inputs!$C$6)/9+(A229)/18)*EXP(-(((Inputs!$C$6)+5)^2)/(22^2))+18*SIN(2*PI()*(A229)/70))+Inputs!$C$28*EXP(-(((A229)-Inputs!$C$29)^2)/(2*Inputs!$C$31^2))*EXP(-(((Inputs!$C$6)-Inputs!$C$30)^2)/(2*Inputs!$C$32^2))+-Inputs!$C$33*EXP(-(((((A229)-Inputs!$C$34)^2)+(((Inputs!$C$6)-Inputs!$C$35)^2))/(2*Inputs!$C$36^2)))+Inputs!$C$37*(0.55*SIN(2*PI()*(A229)/Inputs!$C$39)+0.35*COS(2*PI()*(Inputs!$C$6)/Inputs!$C$40)+0.2*SIN(2*PI()*((A229)+(Inputs!$C$6))/(0.5*(Inputs!$C$39+Inputs!$C$40))))+Inputs!$C$38*SIN(2*PI()*(A229)/Inputs!$C$39)*SIN(2*PI()*(Inputs!$C$6)/Inputs!$C$40)+-Inputs!$C$41*EXP(-(((Inputs!$C$6)-Inputs!$C$43)^2)/(2*Inputs!$C$44^2))*EXP(-(((A229)-Inputs!$C$42)^2)/(2*Inputs!$C$45^2))+Inputs!$C$48*(0.7*(0.45*SIN(2*PI()*(((A229)/Inputs!$C$49)+Inputs!$C$47*0.137))+0.35*COS(2*PI()*(((Inputs!$C$6)/Inputs!$C$50)+Inputs!$C$47*0.173))+0.2*SIN(2*PI()*(((A229)+(Inputs!$C$6))/(0.5*(Inputs!$C$49+Inputs!$C$50))+Inputs!$C$47*0.097)))+0.3*(2*((SIN(((A229)*12.9898+(Inputs!$C$6)*78.233+Inputs!$C$47*37.719))*43758.5453)-INT((SIN(((A229)*12.9898+(Inputs!$C$6)*78.233+Inputs!$C$47*37.719))*43758.5453)))-1)))</f>
        <v/>
      </c>
      <c r="Z229" s="9">
        <f>B229-X229/1000</f>
        <v/>
      </c>
      <c r="AA229" s="9">
        <f>SQRT((Inputs!$C$52+B229)^2+(Inputs!$C$52+Y229/1000)^2-2*(Inputs!$C$52+B229)*(Inputs!$C$52+Y229/1000)*COS(SQRT(A229^2+Inputs!$C$6^2)/Inputs!$C$52))</f>
        <v/>
      </c>
      <c r="AB229" s="9">
        <f>(AA229-Z229)*1000</f>
        <v/>
      </c>
      <c r="AC229" s="9">
        <f>AB229/Inputs!$C$12</f>
        <v/>
      </c>
      <c r="AD229" s="9">
        <f>2*AB229/Inputs!$C$21*1000000</f>
        <v/>
      </c>
      <c r="AE229" s="9">
        <f>DEGREES(ATAN(H229/(B229-Y229/1000)))</f>
        <v/>
      </c>
      <c r="AF229" s="9">
        <f>DEGREES((2*PI()/Inputs!$C$13)*Inputs!$C$15*SIN(RADIANS(AE229)))</f>
        <v/>
      </c>
      <c r="AG229" s="9">
        <f>(Z229/AA229)^4</f>
        <v/>
      </c>
      <c r="AH229" s="9">
        <f>10*LOG10(AG229)</f>
        <v/>
      </c>
      <c r="AI229" s="9">
        <f>AC229-F229</f>
        <v/>
      </c>
      <c r="AJ229" s="9">
        <f>AD229-G229</f>
        <v/>
      </c>
      <c r="AK229" s="9">
        <f>Y229-X229</f>
        <v/>
      </c>
      <c r="AL229" s="9">
        <f>1000*(AA230-AA228)/(A230-A228)*Inputs!$C$11</f>
        <v/>
      </c>
      <c r="AM229" s="9">
        <f>-2*AL229/Inputs!$C$13</f>
        <v/>
      </c>
      <c r="AN229" s="9">
        <f>-2*AL229/Inputs!$C$14</f>
        <v/>
      </c>
      <c r="AO229" s="9">
        <f>ABS(AM229)</f>
        <v/>
      </c>
      <c r="AP229" s="9">
        <f>ABS(AN229)</f>
        <v/>
      </c>
      <c r="AQ229" s="9">
        <f>IF(OR(Inputs!$C$27=TRUE,Inputs!$C$27="TRUE",Inputs!$C$27=1),Inputs!$C$46/Inputs!$C$12,0)</f>
        <v/>
      </c>
      <c r="AR229" s="9">
        <f>AC229-AQ229</f>
        <v/>
      </c>
      <c r="AS229" s="9">
        <f>AC229+AQ229</f>
        <v/>
      </c>
    </row>
    <row r="230">
      <c r="A230" s="9">
        <f>Inputs!$C$7+228*(Inputs!$C$8-Inputs!$C$7)/240</f>
        <v/>
      </c>
      <c r="B230" s="9">
        <f>Inputs!$C$5+Inputs!$C$9*(A230/Inputs!$C$10)^2</f>
        <v/>
      </c>
      <c r="C230" s="9">
        <f>B230</f>
        <v/>
      </c>
      <c r="D230" s="9">
        <f>SQRT((Inputs!$C$52+B230)^2+Inputs!$C$52^2-2*(Inputs!$C$52+B230)*Inputs!$C$52*COS(SQRT(A230^2+Inputs!$C$6^2)/Inputs!$C$52))</f>
        <v/>
      </c>
      <c r="E230" s="9">
        <f>(D230-C230)*1000</f>
        <v/>
      </c>
      <c r="F230" s="9">
        <f>E230/Inputs!$C$12</f>
        <v/>
      </c>
      <c r="G230" s="9">
        <f>2*E230/Inputs!$C$21*1000000</f>
        <v/>
      </c>
      <c r="H230" s="9">
        <f>SQRT(A230^2+Inputs!$C$6^2)</f>
        <v/>
      </c>
      <c r="I230" s="9">
        <f>DEGREES(ATAN(H230/B230))</f>
        <v/>
      </c>
      <c r="J230" s="9">
        <f>DEGREES((2*PI()/Inputs!$C$13)*Inputs!$C$15*SIN(RADIANS(I230)))</f>
        <v/>
      </c>
      <c r="K230" s="9">
        <f>(C230/D230)^4</f>
        <v/>
      </c>
      <c r="L230" s="9">
        <f>10*LOG10(K230)</f>
        <v/>
      </c>
      <c r="M230" s="9">
        <f>2*(Inputs!$C$9/(Inputs!$C$10^2))*A230</f>
        <v/>
      </c>
      <c r="N230" s="9">
        <f>M230*Inputs!$C$11</f>
        <v/>
      </c>
      <c r="O230" s="9">
        <f>1000*(D231-D229)/(A231-A229)*Inputs!$C$11</f>
        <v/>
      </c>
      <c r="P230" s="9">
        <f>-2*O230/Inputs!$C$13</f>
        <v/>
      </c>
      <c r="Q230" s="9">
        <f>-2*O230/Inputs!$C$14</f>
        <v/>
      </c>
      <c r="R230" s="9">
        <f>F230-Inputs!$C$16/2</f>
        <v/>
      </c>
      <c r="S230" s="9">
        <f>F230+Inputs!$C$16/2</f>
        <v/>
      </c>
      <c r="T230" s="9">
        <f>F230-Inputs!$C$17/2</f>
        <v/>
      </c>
      <c r="U230" s="9">
        <f>F230+Inputs!$C$17/2</f>
        <v/>
      </c>
      <c r="V230" s="9">
        <f>ABS(P230)</f>
        <v/>
      </c>
      <c r="W230" s="9">
        <f>ABS(Q230)</f>
        <v/>
      </c>
      <c r="X230" s="9">
        <f>IF(OR(Inputs!$C$27=TRUE,Inputs!$C$27="TRUE",Inputs!$C$27=1),1,0)*(Inputs!$C$51*(115*EXP(-(((0)-25)^2)/(4.5^2))+70*EXP(-(((0)+38)^2)/(7^2))*(0.55+0.45*SIN(2*PI()*(A230)/45))+24*SIN(2*PI()*(0)/9+(A230)/18)*EXP(-(((0)+5)^2)/(22^2))+18*SIN(2*PI()*(A230)/70))+Inputs!$C$28*EXP(-(((A230)-Inputs!$C$29)^2)/(2*Inputs!$C$31^2))*EXP(-(((0)-Inputs!$C$30)^2)/(2*Inputs!$C$32^2))+-Inputs!$C$33*EXP(-(((((A230)-Inputs!$C$34)^2)+(((0)-Inputs!$C$35)^2))/(2*Inputs!$C$36^2)))+Inputs!$C$37*(0.55*SIN(2*PI()*(A230)/Inputs!$C$39)+0.35*COS(2*PI()*(0)/Inputs!$C$40)+0.2*SIN(2*PI()*((A230)+(0))/(0.5*(Inputs!$C$39+Inputs!$C$40))))+Inputs!$C$38*SIN(2*PI()*(A230)/Inputs!$C$39)*SIN(2*PI()*(0)/Inputs!$C$40)+-Inputs!$C$41*EXP(-(((0)-Inputs!$C$43)^2)/(2*Inputs!$C$44^2))*EXP(-(((A230)-Inputs!$C$42)^2)/(2*Inputs!$C$45^2))+Inputs!$C$48*(0.7*(0.45*SIN(2*PI()*(((A230)/Inputs!$C$49)+Inputs!$C$47*0.137))+0.35*COS(2*PI()*(((0)/Inputs!$C$50)+Inputs!$C$47*0.173))+0.2*SIN(2*PI()*(((A230)+(0))/(0.5*(Inputs!$C$49+Inputs!$C$50))+Inputs!$C$47*0.097)))+0.3*(2*((SIN(((A230)*12.9898+(0)*78.233+Inputs!$C$47*37.719))*43758.5453)-INT((SIN(((A230)*12.9898+(0)*78.233+Inputs!$C$47*37.719))*43758.5453)))-1)))</f>
        <v/>
      </c>
      <c r="Y230" s="9">
        <f>IF(OR(Inputs!$C$27=TRUE,Inputs!$C$27="TRUE",Inputs!$C$27=1),1,0)*(Inputs!$C$51*(115*EXP(-(((Inputs!$C$6)-25)^2)/(4.5^2))+70*EXP(-(((Inputs!$C$6)+38)^2)/(7^2))*(0.55+0.45*SIN(2*PI()*(A230)/45))+24*SIN(2*PI()*(Inputs!$C$6)/9+(A230)/18)*EXP(-(((Inputs!$C$6)+5)^2)/(22^2))+18*SIN(2*PI()*(A230)/70))+Inputs!$C$28*EXP(-(((A230)-Inputs!$C$29)^2)/(2*Inputs!$C$31^2))*EXP(-(((Inputs!$C$6)-Inputs!$C$30)^2)/(2*Inputs!$C$32^2))+-Inputs!$C$33*EXP(-(((((A230)-Inputs!$C$34)^2)+(((Inputs!$C$6)-Inputs!$C$35)^2))/(2*Inputs!$C$36^2)))+Inputs!$C$37*(0.55*SIN(2*PI()*(A230)/Inputs!$C$39)+0.35*COS(2*PI()*(Inputs!$C$6)/Inputs!$C$40)+0.2*SIN(2*PI()*((A230)+(Inputs!$C$6))/(0.5*(Inputs!$C$39+Inputs!$C$40))))+Inputs!$C$38*SIN(2*PI()*(A230)/Inputs!$C$39)*SIN(2*PI()*(Inputs!$C$6)/Inputs!$C$40)+-Inputs!$C$41*EXP(-(((Inputs!$C$6)-Inputs!$C$43)^2)/(2*Inputs!$C$44^2))*EXP(-(((A230)-Inputs!$C$42)^2)/(2*Inputs!$C$45^2))+Inputs!$C$48*(0.7*(0.45*SIN(2*PI()*(((A230)/Inputs!$C$49)+Inputs!$C$47*0.137))+0.35*COS(2*PI()*(((Inputs!$C$6)/Inputs!$C$50)+Inputs!$C$47*0.173))+0.2*SIN(2*PI()*(((A230)+(Inputs!$C$6))/(0.5*(Inputs!$C$49+Inputs!$C$50))+Inputs!$C$47*0.097)))+0.3*(2*((SIN(((A230)*12.9898+(Inputs!$C$6)*78.233+Inputs!$C$47*37.719))*43758.5453)-INT((SIN(((A230)*12.9898+(Inputs!$C$6)*78.233+Inputs!$C$47*37.719))*43758.5453)))-1)))</f>
        <v/>
      </c>
      <c r="Z230" s="9">
        <f>B230-X230/1000</f>
        <v/>
      </c>
      <c r="AA230" s="9">
        <f>SQRT((Inputs!$C$52+B230)^2+(Inputs!$C$52+Y230/1000)^2-2*(Inputs!$C$52+B230)*(Inputs!$C$52+Y230/1000)*COS(SQRT(A230^2+Inputs!$C$6^2)/Inputs!$C$52))</f>
        <v/>
      </c>
      <c r="AB230" s="9">
        <f>(AA230-Z230)*1000</f>
        <v/>
      </c>
      <c r="AC230" s="9">
        <f>AB230/Inputs!$C$12</f>
        <v/>
      </c>
      <c r="AD230" s="9">
        <f>2*AB230/Inputs!$C$21*1000000</f>
        <v/>
      </c>
      <c r="AE230" s="9">
        <f>DEGREES(ATAN(H230/(B230-Y230/1000)))</f>
        <v/>
      </c>
      <c r="AF230" s="9">
        <f>DEGREES((2*PI()/Inputs!$C$13)*Inputs!$C$15*SIN(RADIANS(AE230)))</f>
        <v/>
      </c>
      <c r="AG230" s="9">
        <f>(Z230/AA230)^4</f>
        <v/>
      </c>
      <c r="AH230" s="9">
        <f>10*LOG10(AG230)</f>
        <v/>
      </c>
      <c r="AI230" s="9">
        <f>AC230-F230</f>
        <v/>
      </c>
      <c r="AJ230" s="9">
        <f>AD230-G230</f>
        <v/>
      </c>
      <c r="AK230" s="9">
        <f>Y230-X230</f>
        <v/>
      </c>
      <c r="AL230" s="9">
        <f>1000*(AA231-AA229)/(A231-A229)*Inputs!$C$11</f>
        <v/>
      </c>
      <c r="AM230" s="9">
        <f>-2*AL230/Inputs!$C$13</f>
        <v/>
      </c>
      <c r="AN230" s="9">
        <f>-2*AL230/Inputs!$C$14</f>
        <v/>
      </c>
      <c r="AO230" s="9">
        <f>ABS(AM230)</f>
        <v/>
      </c>
      <c r="AP230" s="9">
        <f>ABS(AN230)</f>
        <v/>
      </c>
      <c r="AQ230" s="9">
        <f>IF(OR(Inputs!$C$27=TRUE,Inputs!$C$27="TRUE",Inputs!$C$27=1),Inputs!$C$46/Inputs!$C$12,0)</f>
        <v/>
      </c>
      <c r="AR230" s="9">
        <f>AC230-AQ230</f>
        <v/>
      </c>
      <c r="AS230" s="9">
        <f>AC230+AQ230</f>
        <v/>
      </c>
    </row>
    <row r="231">
      <c r="A231" s="9">
        <f>Inputs!$C$7+229*(Inputs!$C$8-Inputs!$C$7)/240</f>
        <v/>
      </c>
      <c r="B231" s="9">
        <f>Inputs!$C$5+Inputs!$C$9*(A231/Inputs!$C$10)^2</f>
        <v/>
      </c>
      <c r="C231" s="9">
        <f>B231</f>
        <v/>
      </c>
      <c r="D231" s="9">
        <f>SQRT((Inputs!$C$52+B231)^2+Inputs!$C$52^2-2*(Inputs!$C$52+B231)*Inputs!$C$52*COS(SQRT(A231^2+Inputs!$C$6^2)/Inputs!$C$52))</f>
        <v/>
      </c>
      <c r="E231" s="9">
        <f>(D231-C231)*1000</f>
        <v/>
      </c>
      <c r="F231" s="9">
        <f>E231/Inputs!$C$12</f>
        <v/>
      </c>
      <c r="G231" s="9">
        <f>2*E231/Inputs!$C$21*1000000</f>
        <v/>
      </c>
      <c r="H231" s="9">
        <f>SQRT(A231^2+Inputs!$C$6^2)</f>
        <v/>
      </c>
      <c r="I231" s="9">
        <f>DEGREES(ATAN(H231/B231))</f>
        <v/>
      </c>
      <c r="J231" s="9">
        <f>DEGREES((2*PI()/Inputs!$C$13)*Inputs!$C$15*SIN(RADIANS(I231)))</f>
        <v/>
      </c>
      <c r="K231" s="9">
        <f>(C231/D231)^4</f>
        <v/>
      </c>
      <c r="L231" s="9">
        <f>10*LOG10(K231)</f>
        <v/>
      </c>
      <c r="M231" s="9">
        <f>2*(Inputs!$C$9/(Inputs!$C$10^2))*A231</f>
        <v/>
      </c>
      <c r="N231" s="9">
        <f>M231*Inputs!$C$11</f>
        <v/>
      </c>
      <c r="O231" s="9">
        <f>1000*(D232-D230)/(A232-A230)*Inputs!$C$11</f>
        <v/>
      </c>
      <c r="P231" s="9">
        <f>-2*O231/Inputs!$C$13</f>
        <v/>
      </c>
      <c r="Q231" s="9">
        <f>-2*O231/Inputs!$C$14</f>
        <v/>
      </c>
      <c r="R231" s="9">
        <f>F231-Inputs!$C$16/2</f>
        <v/>
      </c>
      <c r="S231" s="9">
        <f>F231+Inputs!$C$16/2</f>
        <v/>
      </c>
      <c r="T231" s="9">
        <f>F231-Inputs!$C$17/2</f>
        <v/>
      </c>
      <c r="U231" s="9">
        <f>F231+Inputs!$C$17/2</f>
        <v/>
      </c>
      <c r="V231" s="9">
        <f>ABS(P231)</f>
        <v/>
      </c>
      <c r="W231" s="9">
        <f>ABS(Q231)</f>
        <v/>
      </c>
      <c r="X231" s="9">
        <f>IF(OR(Inputs!$C$27=TRUE,Inputs!$C$27="TRUE",Inputs!$C$27=1),1,0)*(Inputs!$C$51*(115*EXP(-(((0)-25)^2)/(4.5^2))+70*EXP(-(((0)+38)^2)/(7^2))*(0.55+0.45*SIN(2*PI()*(A231)/45))+24*SIN(2*PI()*(0)/9+(A231)/18)*EXP(-(((0)+5)^2)/(22^2))+18*SIN(2*PI()*(A231)/70))+Inputs!$C$28*EXP(-(((A231)-Inputs!$C$29)^2)/(2*Inputs!$C$31^2))*EXP(-(((0)-Inputs!$C$30)^2)/(2*Inputs!$C$32^2))+-Inputs!$C$33*EXP(-(((((A231)-Inputs!$C$34)^2)+(((0)-Inputs!$C$35)^2))/(2*Inputs!$C$36^2)))+Inputs!$C$37*(0.55*SIN(2*PI()*(A231)/Inputs!$C$39)+0.35*COS(2*PI()*(0)/Inputs!$C$40)+0.2*SIN(2*PI()*((A231)+(0))/(0.5*(Inputs!$C$39+Inputs!$C$40))))+Inputs!$C$38*SIN(2*PI()*(A231)/Inputs!$C$39)*SIN(2*PI()*(0)/Inputs!$C$40)+-Inputs!$C$41*EXP(-(((0)-Inputs!$C$43)^2)/(2*Inputs!$C$44^2))*EXP(-(((A231)-Inputs!$C$42)^2)/(2*Inputs!$C$45^2))+Inputs!$C$48*(0.7*(0.45*SIN(2*PI()*(((A231)/Inputs!$C$49)+Inputs!$C$47*0.137))+0.35*COS(2*PI()*(((0)/Inputs!$C$50)+Inputs!$C$47*0.173))+0.2*SIN(2*PI()*(((A231)+(0))/(0.5*(Inputs!$C$49+Inputs!$C$50))+Inputs!$C$47*0.097)))+0.3*(2*((SIN(((A231)*12.9898+(0)*78.233+Inputs!$C$47*37.719))*43758.5453)-INT((SIN(((A231)*12.9898+(0)*78.233+Inputs!$C$47*37.719))*43758.5453)))-1)))</f>
        <v/>
      </c>
      <c r="Y231" s="9">
        <f>IF(OR(Inputs!$C$27=TRUE,Inputs!$C$27="TRUE",Inputs!$C$27=1),1,0)*(Inputs!$C$51*(115*EXP(-(((Inputs!$C$6)-25)^2)/(4.5^2))+70*EXP(-(((Inputs!$C$6)+38)^2)/(7^2))*(0.55+0.45*SIN(2*PI()*(A231)/45))+24*SIN(2*PI()*(Inputs!$C$6)/9+(A231)/18)*EXP(-(((Inputs!$C$6)+5)^2)/(22^2))+18*SIN(2*PI()*(A231)/70))+Inputs!$C$28*EXP(-(((A231)-Inputs!$C$29)^2)/(2*Inputs!$C$31^2))*EXP(-(((Inputs!$C$6)-Inputs!$C$30)^2)/(2*Inputs!$C$32^2))+-Inputs!$C$33*EXP(-(((((A231)-Inputs!$C$34)^2)+(((Inputs!$C$6)-Inputs!$C$35)^2))/(2*Inputs!$C$36^2)))+Inputs!$C$37*(0.55*SIN(2*PI()*(A231)/Inputs!$C$39)+0.35*COS(2*PI()*(Inputs!$C$6)/Inputs!$C$40)+0.2*SIN(2*PI()*((A231)+(Inputs!$C$6))/(0.5*(Inputs!$C$39+Inputs!$C$40))))+Inputs!$C$38*SIN(2*PI()*(A231)/Inputs!$C$39)*SIN(2*PI()*(Inputs!$C$6)/Inputs!$C$40)+-Inputs!$C$41*EXP(-(((Inputs!$C$6)-Inputs!$C$43)^2)/(2*Inputs!$C$44^2))*EXP(-(((A231)-Inputs!$C$42)^2)/(2*Inputs!$C$45^2))+Inputs!$C$48*(0.7*(0.45*SIN(2*PI()*(((A231)/Inputs!$C$49)+Inputs!$C$47*0.137))+0.35*COS(2*PI()*(((Inputs!$C$6)/Inputs!$C$50)+Inputs!$C$47*0.173))+0.2*SIN(2*PI()*(((A231)+(Inputs!$C$6))/(0.5*(Inputs!$C$49+Inputs!$C$50))+Inputs!$C$47*0.097)))+0.3*(2*((SIN(((A231)*12.9898+(Inputs!$C$6)*78.233+Inputs!$C$47*37.719))*43758.5453)-INT((SIN(((A231)*12.9898+(Inputs!$C$6)*78.233+Inputs!$C$47*37.719))*43758.5453)))-1)))</f>
        <v/>
      </c>
      <c r="Z231" s="9">
        <f>B231-X231/1000</f>
        <v/>
      </c>
      <c r="AA231" s="9">
        <f>SQRT((Inputs!$C$52+B231)^2+(Inputs!$C$52+Y231/1000)^2-2*(Inputs!$C$52+B231)*(Inputs!$C$52+Y231/1000)*COS(SQRT(A231^2+Inputs!$C$6^2)/Inputs!$C$52))</f>
        <v/>
      </c>
      <c r="AB231" s="9">
        <f>(AA231-Z231)*1000</f>
        <v/>
      </c>
      <c r="AC231" s="9">
        <f>AB231/Inputs!$C$12</f>
        <v/>
      </c>
      <c r="AD231" s="9">
        <f>2*AB231/Inputs!$C$21*1000000</f>
        <v/>
      </c>
      <c r="AE231" s="9">
        <f>DEGREES(ATAN(H231/(B231-Y231/1000)))</f>
        <v/>
      </c>
      <c r="AF231" s="9">
        <f>DEGREES((2*PI()/Inputs!$C$13)*Inputs!$C$15*SIN(RADIANS(AE231)))</f>
        <v/>
      </c>
      <c r="AG231" s="9">
        <f>(Z231/AA231)^4</f>
        <v/>
      </c>
      <c r="AH231" s="9">
        <f>10*LOG10(AG231)</f>
        <v/>
      </c>
      <c r="AI231" s="9">
        <f>AC231-F231</f>
        <v/>
      </c>
      <c r="AJ231" s="9">
        <f>AD231-G231</f>
        <v/>
      </c>
      <c r="AK231" s="9">
        <f>Y231-X231</f>
        <v/>
      </c>
      <c r="AL231" s="9">
        <f>1000*(AA232-AA230)/(A232-A230)*Inputs!$C$11</f>
        <v/>
      </c>
      <c r="AM231" s="9">
        <f>-2*AL231/Inputs!$C$13</f>
        <v/>
      </c>
      <c r="AN231" s="9">
        <f>-2*AL231/Inputs!$C$14</f>
        <v/>
      </c>
      <c r="AO231" s="9">
        <f>ABS(AM231)</f>
        <v/>
      </c>
      <c r="AP231" s="9">
        <f>ABS(AN231)</f>
        <v/>
      </c>
      <c r="AQ231" s="9">
        <f>IF(OR(Inputs!$C$27=TRUE,Inputs!$C$27="TRUE",Inputs!$C$27=1),Inputs!$C$46/Inputs!$C$12,0)</f>
        <v/>
      </c>
      <c r="AR231" s="9">
        <f>AC231-AQ231</f>
        <v/>
      </c>
      <c r="AS231" s="9">
        <f>AC231+AQ231</f>
        <v/>
      </c>
    </row>
    <row r="232">
      <c r="A232" s="9">
        <f>Inputs!$C$7+230*(Inputs!$C$8-Inputs!$C$7)/240</f>
        <v/>
      </c>
      <c r="B232" s="9">
        <f>Inputs!$C$5+Inputs!$C$9*(A232/Inputs!$C$10)^2</f>
        <v/>
      </c>
      <c r="C232" s="9">
        <f>B232</f>
        <v/>
      </c>
      <c r="D232" s="9">
        <f>SQRT((Inputs!$C$52+B232)^2+Inputs!$C$52^2-2*(Inputs!$C$52+B232)*Inputs!$C$52*COS(SQRT(A232^2+Inputs!$C$6^2)/Inputs!$C$52))</f>
        <v/>
      </c>
      <c r="E232" s="9">
        <f>(D232-C232)*1000</f>
        <v/>
      </c>
      <c r="F232" s="9">
        <f>E232/Inputs!$C$12</f>
        <v/>
      </c>
      <c r="G232" s="9">
        <f>2*E232/Inputs!$C$21*1000000</f>
        <v/>
      </c>
      <c r="H232" s="9">
        <f>SQRT(A232^2+Inputs!$C$6^2)</f>
        <v/>
      </c>
      <c r="I232" s="9">
        <f>DEGREES(ATAN(H232/B232))</f>
        <v/>
      </c>
      <c r="J232" s="9">
        <f>DEGREES((2*PI()/Inputs!$C$13)*Inputs!$C$15*SIN(RADIANS(I232)))</f>
        <v/>
      </c>
      <c r="K232" s="9">
        <f>(C232/D232)^4</f>
        <v/>
      </c>
      <c r="L232" s="9">
        <f>10*LOG10(K232)</f>
        <v/>
      </c>
      <c r="M232" s="9">
        <f>2*(Inputs!$C$9/(Inputs!$C$10^2))*A232</f>
        <v/>
      </c>
      <c r="N232" s="9">
        <f>M232*Inputs!$C$11</f>
        <v/>
      </c>
      <c r="O232" s="9">
        <f>1000*(D233-D231)/(A233-A231)*Inputs!$C$11</f>
        <v/>
      </c>
      <c r="P232" s="9">
        <f>-2*O232/Inputs!$C$13</f>
        <v/>
      </c>
      <c r="Q232" s="9">
        <f>-2*O232/Inputs!$C$14</f>
        <v/>
      </c>
      <c r="R232" s="9">
        <f>F232-Inputs!$C$16/2</f>
        <v/>
      </c>
      <c r="S232" s="9">
        <f>F232+Inputs!$C$16/2</f>
        <v/>
      </c>
      <c r="T232" s="9">
        <f>F232-Inputs!$C$17/2</f>
        <v/>
      </c>
      <c r="U232" s="9">
        <f>F232+Inputs!$C$17/2</f>
        <v/>
      </c>
      <c r="V232" s="9">
        <f>ABS(P232)</f>
        <v/>
      </c>
      <c r="W232" s="9">
        <f>ABS(Q232)</f>
        <v/>
      </c>
      <c r="X232" s="9">
        <f>IF(OR(Inputs!$C$27=TRUE,Inputs!$C$27="TRUE",Inputs!$C$27=1),1,0)*(Inputs!$C$51*(115*EXP(-(((0)-25)^2)/(4.5^2))+70*EXP(-(((0)+38)^2)/(7^2))*(0.55+0.45*SIN(2*PI()*(A232)/45))+24*SIN(2*PI()*(0)/9+(A232)/18)*EXP(-(((0)+5)^2)/(22^2))+18*SIN(2*PI()*(A232)/70))+Inputs!$C$28*EXP(-(((A232)-Inputs!$C$29)^2)/(2*Inputs!$C$31^2))*EXP(-(((0)-Inputs!$C$30)^2)/(2*Inputs!$C$32^2))+-Inputs!$C$33*EXP(-(((((A232)-Inputs!$C$34)^2)+(((0)-Inputs!$C$35)^2))/(2*Inputs!$C$36^2)))+Inputs!$C$37*(0.55*SIN(2*PI()*(A232)/Inputs!$C$39)+0.35*COS(2*PI()*(0)/Inputs!$C$40)+0.2*SIN(2*PI()*((A232)+(0))/(0.5*(Inputs!$C$39+Inputs!$C$40))))+Inputs!$C$38*SIN(2*PI()*(A232)/Inputs!$C$39)*SIN(2*PI()*(0)/Inputs!$C$40)+-Inputs!$C$41*EXP(-(((0)-Inputs!$C$43)^2)/(2*Inputs!$C$44^2))*EXP(-(((A232)-Inputs!$C$42)^2)/(2*Inputs!$C$45^2))+Inputs!$C$48*(0.7*(0.45*SIN(2*PI()*(((A232)/Inputs!$C$49)+Inputs!$C$47*0.137))+0.35*COS(2*PI()*(((0)/Inputs!$C$50)+Inputs!$C$47*0.173))+0.2*SIN(2*PI()*(((A232)+(0))/(0.5*(Inputs!$C$49+Inputs!$C$50))+Inputs!$C$47*0.097)))+0.3*(2*((SIN(((A232)*12.9898+(0)*78.233+Inputs!$C$47*37.719))*43758.5453)-INT((SIN(((A232)*12.9898+(0)*78.233+Inputs!$C$47*37.719))*43758.5453)))-1)))</f>
        <v/>
      </c>
      <c r="Y232" s="9">
        <f>IF(OR(Inputs!$C$27=TRUE,Inputs!$C$27="TRUE",Inputs!$C$27=1),1,0)*(Inputs!$C$51*(115*EXP(-(((Inputs!$C$6)-25)^2)/(4.5^2))+70*EXP(-(((Inputs!$C$6)+38)^2)/(7^2))*(0.55+0.45*SIN(2*PI()*(A232)/45))+24*SIN(2*PI()*(Inputs!$C$6)/9+(A232)/18)*EXP(-(((Inputs!$C$6)+5)^2)/(22^2))+18*SIN(2*PI()*(A232)/70))+Inputs!$C$28*EXP(-(((A232)-Inputs!$C$29)^2)/(2*Inputs!$C$31^2))*EXP(-(((Inputs!$C$6)-Inputs!$C$30)^2)/(2*Inputs!$C$32^2))+-Inputs!$C$33*EXP(-(((((A232)-Inputs!$C$34)^2)+(((Inputs!$C$6)-Inputs!$C$35)^2))/(2*Inputs!$C$36^2)))+Inputs!$C$37*(0.55*SIN(2*PI()*(A232)/Inputs!$C$39)+0.35*COS(2*PI()*(Inputs!$C$6)/Inputs!$C$40)+0.2*SIN(2*PI()*((A232)+(Inputs!$C$6))/(0.5*(Inputs!$C$39+Inputs!$C$40))))+Inputs!$C$38*SIN(2*PI()*(A232)/Inputs!$C$39)*SIN(2*PI()*(Inputs!$C$6)/Inputs!$C$40)+-Inputs!$C$41*EXP(-(((Inputs!$C$6)-Inputs!$C$43)^2)/(2*Inputs!$C$44^2))*EXP(-(((A232)-Inputs!$C$42)^2)/(2*Inputs!$C$45^2))+Inputs!$C$48*(0.7*(0.45*SIN(2*PI()*(((A232)/Inputs!$C$49)+Inputs!$C$47*0.137))+0.35*COS(2*PI()*(((Inputs!$C$6)/Inputs!$C$50)+Inputs!$C$47*0.173))+0.2*SIN(2*PI()*(((A232)+(Inputs!$C$6))/(0.5*(Inputs!$C$49+Inputs!$C$50))+Inputs!$C$47*0.097)))+0.3*(2*((SIN(((A232)*12.9898+(Inputs!$C$6)*78.233+Inputs!$C$47*37.719))*43758.5453)-INT((SIN(((A232)*12.9898+(Inputs!$C$6)*78.233+Inputs!$C$47*37.719))*43758.5453)))-1)))</f>
        <v/>
      </c>
      <c r="Z232" s="9">
        <f>B232-X232/1000</f>
        <v/>
      </c>
      <c r="AA232" s="9">
        <f>SQRT((Inputs!$C$52+B232)^2+(Inputs!$C$52+Y232/1000)^2-2*(Inputs!$C$52+B232)*(Inputs!$C$52+Y232/1000)*COS(SQRT(A232^2+Inputs!$C$6^2)/Inputs!$C$52))</f>
        <v/>
      </c>
      <c r="AB232" s="9">
        <f>(AA232-Z232)*1000</f>
        <v/>
      </c>
      <c r="AC232" s="9">
        <f>AB232/Inputs!$C$12</f>
        <v/>
      </c>
      <c r="AD232" s="9">
        <f>2*AB232/Inputs!$C$21*1000000</f>
        <v/>
      </c>
      <c r="AE232" s="9">
        <f>DEGREES(ATAN(H232/(B232-Y232/1000)))</f>
        <v/>
      </c>
      <c r="AF232" s="9">
        <f>DEGREES((2*PI()/Inputs!$C$13)*Inputs!$C$15*SIN(RADIANS(AE232)))</f>
        <v/>
      </c>
      <c r="AG232" s="9">
        <f>(Z232/AA232)^4</f>
        <v/>
      </c>
      <c r="AH232" s="9">
        <f>10*LOG10(AG232)</f>
        <v/>
      </c>
      <c r="AI232" s="9">
        <f>AC232-F232</f>
        <v/>
      </c>
      <c r="AJ232" s="9">
        <f>AD232-G232</f>
        <v/>
      </c>
      <c r="AK232" s="9">
        <f>Y232-X232</f>
        <v/>
      </c>
      <c r="AL232" s="9">
        <f>1000*(AA233-AA231)/(A233-A231)*Inputs!$C$11</f>
        <v/>
      </c>
      <c r="AM232" s="9">
        <f>-2*AL232/Inputs!$C$13</f>
        <v/>
      </c>
      <c r="AN232" s="9">
        <f>-2*AL232/Inputs!$C$14</f>
        <v/>
      </c>
      <c r="AO232" s="9">
        <f>ABS(AM232)</f>
        <v/>
      </c>
      <c r="AP232" s="9">
        <f>ABS(AN232)</f>
        <v/>
      </c>
      <c r="AQ232" s="9">
        <f>IF(OR(Inputs!$C$27=TRUE,Inputs!$C$27="TRUE",Inputs!$C$27=1),Inputs!$C$46/Inputs!$C$12,0)</f>
        <v/>
      </c>
      <c r="AR232" s="9">
        <f>AC232-AQ232</f>
        <v/>
      </c>
      <c r="AS232" s="9">
        <f>AC232+AQ232</f>
        <v/>
      </c>
    </row>
    <row r="233">
      <c r="A233" s="9">
        <f>Inputs!$C$7+231*(Inputs!$C$8-Inputs!$C$7)/240</f>
        <v/>
      </c>
      <c r="B233" s="9">
        <f>Inputs!$C$5+Inputs!$C$9*(A233/Inputs!$C$10)^2</f>
        <v/>
      </c>
      <c r="C233" s="9">
        <f>B233</f>
        <v/>
      </c>
      <c r="D233" s="9">
        <f>SQRT((Inputs!$C$52+B233)^2+Inputs!$C$52^2-2*(Inputs!$C$52+B233)*Inputs!$C$52*COS(SQRT(A233^2+Inputs!$C$6^2)/Inputs!$C$52))</f>
        <v/>
      </c>
      <c r="E233" s="9">
        <f>(D233-C233)*1000</f>
        <v/>
      </c>
      <c r="F233" s="9">
        <f>E233/Inputs!$C$12</f>
        <v/>
      </c>
      <c r="G233" s="9">
        <f>2*E233/Inputs!$C$21*1000000</f>
        <v/>
      </c>
      <c r="H233" s="9">
        <f>SQRT(A233^2+Inputs!$C$6^2)</f>
        <v/>
      </c>
      <c r="I233" s="9">
        <f>DEGREES(ATAN(H233/B233))</f>
        <v/>
      </c>
      <c r="J233" s="9">
        <f>DEGREES((2*PI()/Inputs!$C$13)*Inputs!$C$15*SIN(RADIANS(I233)))</f>
        <v/>
      </c>
      <c r="K233" s="9">
        <f>(C233/D233)^4</f>
        <v/>
      </c>
      <c r="L233" s="9">
        <f>10*LOG10(K233)</f>
        <v/>
      </c>
      <c r="M233" s="9">
        <f>2*(Inputs!$C$9/(Inputs!$C$10^2))*A233</f>
        <v/>
      </c>
      <c r="N233" s="9">
        <f>M233*Inputs!$C$11</f>
        <v/>
      </c>
      <c r="O233" s="9">
        <f>1000*(D234-D232)/(A234-A232)*Inputs!$C$11</f>
        <v/>
      </c>
      <c r="P233" s="9">
        <f>-2*O233/Inputs!$C$13</f>
        <v/>
      </c>
      <c r="Q233" s="9">
        <f>-2*O233/Inputs!$C$14</f>
        <v/>
      </c>
      <c r="R233" s="9">
        <f>F233-Inputs!$C$16/2</f>
        <v/>
      </c>
      <c r="S233" s="9">
        <f>F233+Inputs!$C$16/2</f>
        <v/>
      </c>
      <c r="T233" s="9">
        <f>F233-Inputs!$C$17/2</f>
        <v/>
      </c>
      <c r="U233" s="9">
        <f>F233+Inputs!$C$17/2</f>
        <v/>
      </c>
      <c r="V233" s="9">
        <f>ABS(P233)</f>
        <v/>
      </c>
      <c r="W233" s="9">
        <f>ABS(Q233)</f>
        <v/>
      </c>
      <c r="X233" s="9">
        <f>IF(OR(Inputs!$C$27=TRUE,Inputs!$C$27="TRUE",Inputs!$C$27=1),1,0)*(Inputs!$C$51*(115*EXP(-(((0)-25)^2)/(4.5^2))+70*EXP(-(((0)+38)^2)/(7^2))*(0.55+0.45*SIN(2*PI()*(A233)/45))+24*SIN(2*PI()*(0)/9+(A233)/18)*EXP(-(((0)+5)^2)/(22^2))+18*SIN(2*PI()*(A233)/70))+Inputs!$C$28*EXP(-(((A233)-Inputs!$C$29)^2)/(2*Inputs!$C$31^2))*EXP(-(((0)-Inputs!$C$30)^2)/(2*Inputs!$C$32^2))+-Inputs!$C$33*EXP(-(((((A233)-Inputs!$C$34)^2)+(((0)-Inputs!$C$35)^2))/(2*Inputs!$C$36^2)))+Inputs!$C$37*(0.55*SIN(2*PI()*(A233)/Inputs!$C$39)+0.35*COS(2*PI()*(0)/Inputs!$C$40)+0.2*SIN(2*PI()*((A233)+(0))/(0.5*(Inputs!$C$39+Inputs!$C$40))))+Inputs!$C$38*SIN(2*PI()*(A233)/Inputs!$C$39)*SIN(2*PI()*(0)/Inputs!$C$40)+-Inputs!$C$41*EXP(-(((0)-Inputs!$C$43)^2)/(2*Inputs!$C$44^2))*EXP(-(((A233)-Inputs!$C$42)^2)/(2*Inputs!$C$45^2))+Inputs!$C$48*(0.7*(0.45*SIN(2*PI()*(((A233)/Inputs!$C$49)+Inputs!$C$47*0.137))+0.35*COS(2*PI()*(((0)/Inputs!$C$50)+Inputs!$C$47*0.173))+0.2*SIN(2*PI()*(((A233)+(0))/(0.5*(Inputs!$C$49+Inputs!$C$50))+Inputs!$C$47*0.097)))+0.3*(2*((SIN(((A233)*12.9898+(0)*78.233+Inputs!$C$47*37.719))*43758.5453)-INT((SIN(((A233)*12.9898+(0)*78.233+Inputs!$C$47*37.719))*43758.5453)))-1)))</f>
        <v/>
      </c>
      <c r="Y233" s="9">
        <f>IF(OR(Inputs!$C$27=TRUE,Inputs!$C$27="TRUE",Inputs!$C$27=1),1,0)*(Inputs!$C$51*(115*EXP(-(((Inputs!$C$6)-25)^2)/(4.5^2))+70*EXP(-(((Inputs!$C$6)+38)^2)/(7^2))*(0.55+0.45*SIN(2*PI()*(A233)/45))+24*SIN(2*PI()*(Inputs!$C$6)/9+(A233)/18)*EXP(-(((Inputs!$C$6)+5)^2)/(22^2))+18*SIN(2*PI()*(A233)/70))+Inputs!$C$28*EXP(-(((A233)-Inputs!$C$29)^2)/(2*Inputs!$C$31^2))*EXP(-(((Inputs!$C$6)-Inputs!$C$30)^2)/(2*Inputs!$C$32^2))+-Inputs!$C$33*EXP(-(((((A233)-Inputs!$C$34)^2)+(((Inputs!$C$6)-Inputs!$C$35)^2))/(2*Inputs!$C$36^2)))+Inputs!$C$37*(0.55*SIN(2*PI()*(A233)/Inputs!$C$39)+0.35*COS(2*PI()*(Inputs!$C$6)/Inputs!$C$40)+0.2*SIN(2*PI()*((A233)+(Inputs!$C$6))/(0.5*(Inputs!$C$39+Inputs!$C$40))))+Inputs!$C$38*SIN(2*PI()*(A233)/Inputs!$C$39)*SIN(2*PI()*(Inputs!$C$6)/Inputs!$C$40)+-Inputs!$C$41*EXP(-(((Inputs!$C$6)-Inputs!$C$43)^2)/(2*Inputs!$C$44^2))*EXP(-(((A233)-Inputs!$C$42)^2)/(2*Inputs!$C$45^2))+Inputs!$C$48*(0.7*(0.45*SIN(2*PI()*(((A233)/Inputs!$C$49)+Inputs!$C$47*0.137))+0.35*COS(2*PI()*(((Inputs!$C$6)/Inputs!$C$50)+Inputs!$C$47*0.173))+0.2*SIN(2*PI()*(((A233)+(Inputs!$C$6))/(0.5*(Inputs!$C$49+Inputs!$C$50))+Inputs!$C$47*0.097)))+0.3*(2*((SIN(((A233)*12.9898+(Inputs!$C$6)*78.233+Inputs!$C$47*37.719))*43758.5453)-INT((SIN(((A233)*12.9898+(Inputs!$C$6)*78.233+Inputs!$C$47*37.719))*43758.5453)))-1)))</f>
        <v/>
      </c>
      <c r="Z233" s="9">
        <f>B233-X233/1000</f>
        <v/>
      </c>
      <c r="AA233" s="9">
        <f>SQRT((Inputs!$C$52+B233)^2+(Inputs!$C$52+Y233/1000)^2-2*(Inputs!$C$52+B233)*(Inputs!$C$52+Y233/1000)*COS(SQRT(A233^2+Inputs!$C$6^2)/Inputs!$C$52))</f>
        <v/>
      </c>
      <c r="AB233" s="9">
        <f>(AA233-Z233)*1000</f>
        <v/>
      </c>
      <c r="AC233" s="9">
        <f>AB233/Inputs!$C$12</f>
        <v/>
      </c>
      <c r="AD233" s="9">
        <f>2*AB233/Inputs!$C$21*1000000</f>
        <v/>
      </c>
      <c r="AE233" s="9">
        <f>DEGREES(ATAN(H233/(B233-Y233/1000)))</f>
        <v/>
      </c>
      <c r="AF233" s="9">
        <f>DEGREES((2*PI()/Inputs!$C$13)*Inputs!$C$15*SIN(RADIANS(AE233)))</f>
        <v/>
      </c>
      <c r="AG233" s="9">
        <f>(Z233/AA233)^4</f>
        <v/>
      </c>
      <c r="AH233" s="9">
        <f>10*LOG10(AG233)</f>
        <v/>
      </c>
      <c r="AI233" s="9">
        <f>AC233-F233</f>
        <v/>
      </c>
      <c r="AJ233" s="9">
        <f>AD233-G233</f>
        <v/>
      </c>
      <c r="AK233" s="9">
        <f>Y233-X233</f>
        <v/>
      </c>
      <c r="AL233" s="9">
        <f>1000*(AA234-AA232)/(A234-A232)*Inputs!$C$11</f>
        <v/>
      </c>
      <c r="AM233" s="9">
        <f>-2*AL233/Inputs!$C$13</f>
        <v/>
      </c>
      <c r="AN233" s="9">
        <f>-2*AL233/Inputs!$C$14</f>
        <v/>
      </c>
      <c r="AO233" s="9">
        <f>ABS(AM233)</f>
        <v/>
      </c>
      <c r="AP233" s="9">
        <f>ABS(AN233)</f>
        <v/>
      </c>
      <c r="AQ233" s="9">
        <f>IF(OR(Inputs!$C$27=TRUE,Inputs!$C$27="TRUE",Inputs!$C$27=1),Inputs!$C$46/Inputs!$C$12,0)</f>
        <v/>
      </c>
      <c r="AR233" s="9">
        <f>AC233-AQ233</f>
        <v/>
      </c>
      <c r="AS233" s="9">
        <f>AC233+AQ233</f>
        <v/>
      </c>
    </row>
    <row r="234">
      <c r="A234" s="9">
        <f>Inputs!$C$7+232*(Inputs!$C$8-Inputs!$C$7)/240</f>
        <v/>
      </c>
      <c r="B234" s="9">
        <f>Inputs!$C$5+Inputs!$C$9*(A234/Inputs!$C$10)^2</f>
        <v/>
      </c>
      <c r="C234" s="9">
        <f>B234</f>
        <v/>
      </c>
      <c r="D234" s="9">
        <f>SQRT((Inputs!$C$52+B234)^2+Inputs!$C$52^2-2*(Inputs!$C$52+B234)*Inputs!$C$52*COS(SQRT(A234^2+Inputs!$C$6^2)/Inputs!$C$52))</f>
        <v/>
      </c>
      <c r="E234" s="9">
        <f>(D234-C234)*1000</f>
        <v/>
      </c>
      <c r="F234" s="9">
        <f>E234/Inputs!$C$12</f>
        <v/>
      </c>
      <c r="G234" s="9">
        <f>2*E234/Inputs!$C$21*1000000</f>
        <v/>
      </c>
      <c r="H234" s="9">
        <f>SQRT(A234^2+Inputs!$C$6^2)</f>
        <v/>
      </c>
      <c r="I234" s="9">
        <f>DEGREES(ATAN(H234/B234))</f>
        <v/>
      </c>
      <c r="J234" s="9">
        <f>DEGREES((2*PI()/Inputs!$C$13)*Inputs!$C$15*SIN(RADIANS(I234)))</f>
        <v/>
      </c>
      <c r="K234" s="9">
        <f>(C234/D234)^4</f>
        <v/>
      </c>
      <c r="L234" s="9">
        <f>10*LOG10(K234)</f>
        <v/>
      </c>
      <c r="M234" s="9">
        <f>2*(Inputs!$C$9/(Inputs!$C$10^2))*A234</f>
        <v/>
      </c>
      <c r="N234" s="9">
        <f>M234*Inputs!$C$11</f>
        <v/>
      </c>
      <c r="O234" s="9">
        <f>1000*(D235-D233)/(A235-A233)*Inputs!$C$11</f>
        <v/>
      </c>
      <c r="P234" s="9">
        <f>-2*O234/Inputs!$C$13</f>
        <v/>
      </c>
      <c r="Q234" s="9">
        <f>-2*O234/Inputs!$C$14</f>
        <v/>
      </c>
      <c r="R234" s="9">
        <f>F234-Inputs!$C$16/2</f>
        <v/>
      </c>
      <c r="S234" s="9">
        <f>F234+Inputs!$C$16/2</f>
        <v/>
      </c>
      <c r="T234" s="9">
        <f>F234-Inputs!$C$17/2</f>
        <v/>
      </c>
      <c r="U234" s="9">
        <f>F234+Inputs!$C$17/2</f>
        <v/>
      </c>
      <c r="V234" s="9">
        <f>ABS(P234)</f>
        <v/>
      </c>
      <c r="W234" s="9">
        <f>ABS(Q234)</f>
        <v/>
      </c>
      <c r="X234" s="9">
        <f>IF(OR(Inputs!$C$27=TRUE,Inputs!$C$27="TRUE",Inputs!$C$27=1),1,0)*(Inputs!$C$51*(115*EXP(-(((0)-25)^2)/(4.5^2))+70*EXP(-(((0)+38)^2)/(7^2))*(0.55+0.45*SIN(2*PI()*(A234)/45))+24*SIN(2*PI()*(0)/9+(A234)/18)*EXP(-(((0)+5)^2)/(22^2))+18*SIN(2*PI()*(A234)/70))+Inputs!$C$28*EXP(-(((A234)-Inputs!$C$29)^2)/(2*Inputs!$C$31^2))*EXP(-(((0)-Inputs!$C$30)^2)/(2*Inputs!$C$32^2))+-Inputs!$C$33*EXP(-(((((A234)-Inputs!$C$34)^2)+(((0)-Inputs!$C$35)^2))/(2*Inputs!$C$36^2)))+Inputs!$C$37*(0.55*SIN(2*PI()*(A234)/Inputs!$C$39)+0.35*COS(2*PI()*(0)/Inputs!$C$40)+0.2*SIN(2*PI()*((A234)+(0))/(0.5*(Inputs!$C$39+Inputs!$C$40))))+Inputs!$C$38*SIN(2*PI()*(A234)/Inputs!$C$39)*SIN(2*PI()*(0)/Inputs!$C$40)+-Inputs!$C$41*EXP(-(((0)-Inputs!$C$43)^2)/(2*Inputs!$C$44^2))*EXP(-(((A234)-Inputs!$C$42)^2)/(2*Inputs!$C$45^2))+Inputs!$C$48*(0.7*(0.45*SIN(2*PI()*(((A234)/Inputs!$C$49)+Inputs!$C$47*0.137))+0.35*COS(2*PI()*(((0)/Inputs!$C$50)+Inputs!$C$47*0.173))+0.2*SIN(2*PI()*(((A234)+(0))/(0.5*(Inputs!$C$49+Inputs!$C$50))+Inputs!$C$47*0.097)))+0.3*(2*((SIN(((A234)*12.9898+(0)*78.233+Inputs!$C$47*37.719))*43758.5453)-INT((SIN(((A234)*12.9898+(0)*78.233+Inputs!$C$47*37.719))*43758.5453)))-1)))</f>
        <v/>
      </c>
      <c r="Y234" s="9">
        <f>IF(OR(Inputs!$C$27=TRUE,Inputs!$C$27="TRUE",Inputs!$C$27=1),1,0)*(Inputs!$C$51*(115*EXP(-(((Inputs!$C$6)-25)^2)/(4.5^2))+70*EXP(-(((Inputs!$C$6)+38)^2)/(7^2))*(0.55+0.45*SIN(2*PI()*(A234)/45))+24*SIN(2*PI()*(Inputs!$C$6)/9+(A234)/18)*EXP(-(((Inputs!$C$6)+5)^2)/(22^2))+18*SIN(2*PI()*(A234)/70))+Inputs!$C$28*EXP(-(((A234)-Inputs!$C$29)^2)/(2*Inputs!$C$31^2))*EXP(-(((Inputs!$C$6)-Inputs!$C$30)^2)/(2*Inputs!$C$32^2))+-Inputs!$C$33*EXP(-(((((A234)-Inputs!$C$34)^2)+(((Inputs!$C$6)-Inputs!$C$35)^2))/(2*Inputs!$C$36^2)))+Inputs!$C$37*(0.55*SIN(2*PI()*(A234)/Inputs!$C$39)+0.35*COS(2*PI()*(Inputs!$C$6)/Inputs!$C$40)+0.2*SIN(2*PI()*((A234)+(Inputs!$C$6))/(0.5*(Inputs!$C$39+Inputs!$C$40))))+Inputs!$C$38*SIN(2*PI()*(A234)/Inputs!$C$39)*SIN(2*PI()*(Inputs!$C$6)/Inputs!$C$40)+-Inputs!$C$41*EXP(-(((Inputs!$C$6)-Inputs!$C$43)^2)/(2*Inputs!$C$44^2))*EXP(-(((A234)-Inputs!$C$42)^2)/(2*Inputs!$C$45^2))+Inputs!$C$48*(0.7*(0.45*SIN(2*PI()*(((A234)/Inputs!$C$49)+Inputs!$C$47*0.137))+0.35*COS(2*PI()*(((Inputs!$C$6)/Inputs!$C$50)+Inputs!$C$47*0.173))+0.2*SIN(2*PI()*(((A234)+(Inputs!$C$6))/(0.5*(Inputs!$C$49+Inputs!$C$50))+Inputs!$C$47*0.097)))+0.3*(2*((SIN(((A234)*12.9898+(Inputs!$C$6)*78.233+Inputs!$C$47*37.719))*43758.5453)-INT((SIN(((A234)*12.9898+(Inputs!$C$6)*78.233+Inputs!$C$47*37.719))*43758.5453)))-1)))</f>
        <v/>
      </c>
      <c r="Z234" s="9">
        <f>B234-X234/1000</f>
        <v/>
      </c>
      <c r="AA234" s="9">
        <f>SQRT((Inputs!$C$52+B234)^2+(Inputs!$C$52+Y234/1000)^2-2*(Inputs!$C$52+B234)*(Inputs!$C$52+Y234/1000)*COS(SQRT(A234^2+Inputs!$C$6^2)/Inputs!$C$52))</f>
        <v/>
      </c>
      <c r="AB234" s="9">
        <f>(AA234-Z234)*1000</f>
        <v/>
      </c>
      <c r="AC234" s="9">
        <f>AB234/Inputs!$C$12</f>
        <v/>
      </c>
      <c r="AD234" s="9">
        <f>2*AB234/Inputs!$C$21*1000000</f>
        <v/>
      </c>
      <c r="AE234" s="9">
        <f>DEGREES(ATAN(H234/(B234-Y234/1000)))</f>
        <v/>
      </c>
      <c r="AF234" s="9">
        <f>DEGREES((2*PI()/Inputs!$C$13)*Inputs!$C$15*SIN(RADIANS(AE234)))</f>
        <v/>
      </c>
      <c r="AG234" s="9">
        <f>(Z234/AA234)^4</f>
        <v/>
      </c>
      <c r="AH234" s="9">
        <f>10*LOG10(AG234)</f>
        <v/>
      </c>
      <c r="AI234" s="9">
        <f>AC234-F234</f>
        <v/>
      </c>
      <c r="AJ234" s="9">
        <f>AD234-G234</f>
        <v/>
      </c>
      <c r="AK234" s="9">
        <f>Y234-X234</f>
        <v/>
      </c>
      <c r="AL234" s="9">
        <f>1000*(AA235-AA233)/(A235-A233)*Inputs!$C$11</f>
        <v/>
      </c>
      <c r="AM234" s="9">
        <f>-2*AL234/Inputs!$C$13</f>
        <v/>
      </c>
      <c r="AN234" s="9">
        <f>-2*AL234/Inputs!$C$14</f>
        <v/>
      </c>
      <c r="AO234" s="9">
        <f>ABS(AM234)</f>
        <v/>
      </c>
      <c r="AP234" s="9">
        <f>ABS(AN234)</f>
        <v/>
      </c>
      <c r="AQ234" s="9">
        <f>IF(OR(Inputs!$C$27=TRUE,Inputs!$C$27="TRUE",Inputs!$C$27=1),Inputs!$C$46/Inputs!$C$12,0)</f>
        <v/>
      </c>
      <c r="AR234" s="9">
        <f>AC234-AQ234</f>
        <v/>
      </c>
      <c r="AS234" s="9">
        <f>AC234+AQ234</f>
        <v/>
      </c>
    </row>
    <row r="235">
      <c r="A235" s="9">
        <f>Inputs!$C$7+233*(Inputs!$C$8-Inputs!$C$7)/240</f>
        <v/>
      </c>
      <c r="B235" s="9">
        <f>Inputs!$C$5+Inputs!$C$9*(A235/Inputs!$C$10)^2</f>
        <v/>
      </c>
      <c r="C235" s="9">
        <f>B235</f>
        <v/>
      </c>
      <c r="D235" s="9">
        <f>SQRT((Inputs!$C$52+B235)^2+Inputs!$C$52^2-2*(Inputs!$C$52+B235)*Inputs!$C$52*COS(SQRT(A235^2+Inputs!$C$6^2)/Inputs!$C$52))</f>
        <v/>
      </c>
      <c r="E235" s="9">
        <f>(D235-C235)*1000</f>
        <v/>
      </c>
      <c r="F235" s="9">
        <f>E235/Inputs!$C$12</f>
        <v/>
      </c>
      <c r="G235" s="9">
        <f>2*E235/Inputs!$C$21*1000000</f>
        <v/>
      </c>
      <c r="H235" s="9">
        <f>SQRT(A235^2+Inputs!$C$6^2)</f>
        <v/>
      </c>
      <c r="I235" s="9">
        <f>DEGREES(ATAN(H235/B235))</f>
        <v/>
      </c>
      <c r="J235" s="9">
        <f>DEGREES((2*PI()/Inputs!$C$13)*Inputs!$C$15*SIN(RADIANS(I235)))</f>
        <v/>
      </c>
      <c r="K235" s="9">
        <f>(C235/D235)^4</f>
        <v/>
      </c>
      <c r="L235" s="9">
        <f>10*LOG10(K235)</f>
        <v/>
      </c>
      <c r="M235" s="9">
        <f>2*(Inputs!$C$9/(Inputs!$C$10^2))*A235</f>
        <v/>
      </c>
      <c r="N235" s="9">
        <f>M235*Inputs!$C$11</f>
        <v/>
      </c>
      <c r="O235" s="9">
        <f>1000*(D236-D234)/(A236-A234)*Inputs!$C$11</f>
        <v/>
      </c>
      <c r="P235" s="9">
        <f>-2*O235/Inputs!$C$13</f>
        <v/>
      </c>
      <c r="Q235" s="9">
        <f>-2*O235/Inputs!$C$14</f>
        <v/>
      </c>
      <c r="R235" s="9">
        <f>F235-Inputs!$C$16/2</f>
        <v/>
      </c>
      <c r="S235" s="9">
        <f>F235+Inputs!$C$16/2</f>
        <v/>
      </c>
      <c r="T235" s="9">
        <f>F235-Inputs!$C$17/2</f>
        <v/>
      </c>
      <c r="U235" s="9">
        <f>F235+Inputs!$C$17/2</f>
        <v/>
      </c>
      <c r="V235" s="9">
        <f>ABS(P235)</f>
        <v/>
      </c>
      <c r="W235" s="9">
        <f>ABS(Q235)</f>
        <v/>
      </c>
      <c r="X235" s="9">
        <f>IF(OR(Inputs!$C$27=TRUE,Inputs!$C$27="TRUE",Inputs!$C$27=1),1,0)*(Inputs!$C$51*(115*EXP(-(((0)-25)^2)/(4.5^2))+70*EXP(-(((0)+38)^2)/(7^2))*(0.55+0.45*SIN(2*PI()*(A235)/45))+24*SIN(2*PI()*(0)/9+(A235)/18)*EXP(-(((0)+5)^2)/(22^2))+18*SIN(2*PI()*(A235)/70))+Inputs!$C$28*EXP(-(((A235)-Inputs!$C$29)^2)/(2*Inputs!$C$31^2))*EXP(-(((0)-Inputs!$C$30)^2)/(2*Inputs!$C$32^2))+-Inputs!$C$33*EXP(-(((((A235)-Inputs!$C$34)^2)+(((0)-Inputs!$C$35)^2))/(2*Inputs!$C$36^2)))+Inputs!$C$37*(0.55*SIN(2*PI()*(A235)/Inputs!$C$39)+0.35*COS(2*PI()*(0)/Inputs!$C$40)+0.2*SIN(2*PI()*((A235)+(0))/(0.5*(Inputs!$C$39+Inputs!$C$40))))+Inputs!$C$38*SIN(2*PI()*(A235)/Inputs!$C$39)*SIN(2*PI()*(0)/Inputs!$C$40)+-Inputs!$C$41*EXP(-(((0)-Inputs!$C$43)^2)/(2*Inputs!$C$44^2))*EXP(-(((A235)-Inputs!$C$42)^2)/(2*Inputs!$C$45^2))+Inputs!$C$48*(0.7*(0.45*SIN(2*PI()*(((A235)/Inputs!$C$49)+Inputs!$C$47*0.137))+0.35*COS(2*PI()*(((0)/Inputs!$C$50)+Inputs!$C$47*0.173))+0.2*SIN(2*PI()*(((A235)+(0))/(0.5*(Inputs!$C$49+Inputs!$C$50))+Inputs!$C$47*0.097)))+0.3*(2*((SIN(((A235)*12.9898+(0)*78.233+Inputs!$C$47*37.719))*43758.5453)-INT((SIN(((A235)*12.9898+(0)*78.233+Inputs!$C$47*37.719))*43758.5453)))-1)))</f>
        <v/>
      </c>
      <c r="Y235" s="9">
        <f>IF(OR(Inputs!$C$27=TRUE,Inputs!$C$27="TRUE",Inputs!$C$27=1),1,0)*(Inputs!$C$51*(115*EXP(-(((Inputs!$C$6)-25)^2)/(4.5^2))+70*EXP(-(((Inputs!$C$6)+38)^2)/(7^2))*(0.55+0.45*SIN(2*PI()*(A235)/45))+24*SIN(2*PI()*(Inputs!$C$6)/9+(A235)/18)*EXP(-(((Inputs!$C$6)+5)^2)/(22^2))+18*SIN(2*PI()*(A235)/70))+Inputs!$C$28*EXP(-(((A235)-Inputs!$C$29)^2)/(2*Inputs!$C$31^2))*EXP(-(((Inputs!$C$6)-Inputs!$C$30)^2)/(2*Inputs!$C$32^2))+-Inputs!$C$33*EXP(-(((((A235)-Inputs!$C$34)^2)+(((Inputs!$C$6)-Inputs!$C$35)^2))/(2*Inputs!$C$36^2)))+Inputs!$C$37*(0.55*SIN(2*PI()*(A235)/Inputs!$C$39)+0.35*COS(2*PI()*(Inputs!$C$6)/Inputs!$C$40)+0.2*SIN(2*PI()*((A235)+(Inputs!$C$6))/(0.5*(Inputs!$C$39+Inputs!$C$40))))+Inputs!$C$38*SIN(2*PI()*(A235)/Inputs!$C$39)*SIN(2*PI()*(Inputs!$C$6)/Inputs!$C$40)+-Inputs!$C$41*EXP(-(((Inputs!$C$6)-Inputs!$C$43)^2)/(2*Inputs!$C$44^2))*EXP(-(((A235)-Inputs!$C$42)^2)/(2*Inputs!$C$45^2))+Inputs!$C$48*(0.7*(0.45*SIN(2*PI()*(((A235)/Inputs!$C$49)+Inputs!$C$47*0.137))+0.35*COS(2*PI()*(((Inputs!$C$6)/Inputs!$C$50)+Inputs!$C$47*0.173))+0.2*SIN(2*PI()*(((A235)+(Inputs!$C$6))/(0.5*(Inputs!$C$49+Inputs!$C$50))+Inputs!$C$47*0.097)))+0.3*(2*((SIN(((A235)*12.9898+(Inputs!$C$6)*78.233+Inputs!$C$47*37.719))*43758.5453)-INT((SIN(((A235)*12.9898+(Inputs!$C$6)*78.233+Inputs!$C$47*37.719))*43758.5453)))-1)))</f>
        <v/>
      </c>
      <c r="Z235" s="9">
        <f>B235-X235/1000</f>
        <v/>
      </c>
      <c r="AA235" s="9">
        <f>SQRT((Inputs!$C$52+B235)^2+(Inputs!$C$52+Y235/1000)^2-2*(Inputs!$C$52+B235)*(Inputs!$C$52+Y235/1000)*COS(SQRT(A235^2+Inputs!$C$6^2)/Inputs!$C$52))</f>
        <v/>
      </c>
      <c r="AB235" s="9">
        <f>(AA235-Z235)*1000</f>
        <v/>
      </c>
      <c r="AC235" s="9">
        <f>AB235/Inputs!$C$12</f>
        <v/>
      </c>
      <c r="AD235" s="9">
        <f>2*AB235/Inputs!$C$21*1000000</f>
        <v/>
      </c>
      <c r="AE235" s="9">
        <f>DEGREES(ATAN(H235/(B235-Y235/1000)))</f>
        <v/>
      </c>
      <c r="AF235" s="9">
        <f>DEGREES((2*PI()/Inputs!$C$13)*Inputs!$C$15*SIN(RADIANS(AE235)))</f>
        <v/>
      </c>
      <c r="AG235" s="9">
        <f>(Z235/AA235)^4</f>
        <v/>
      </c>
      <c r="AH235" s="9">
        <f>10*LOG10(AG235)</f>
        <v/>
      </c>
      <c r="AI235" s="9">
        <f>AC235-F235</f>
        <v/>
      </c>
      <c r="AJ235" s="9">
        <f>AD235-G235</f>
        <v/>
      </c>
      <c r="AK235" s="9">
        <f>Y235-X235</f>
        <v/>
      </c>
      <c r="AL235" s="9">
        <f>1000*(AA236-AA234)/(A236-A234)*Inputs!$C$11</f>
        <v/>
      </c>
      <c r="AM235" s="9">
        <f>-2*AL235/Inputs!$C$13</f>
        <v/>
      </c>
      <c r="AN235" s="9">
        <f>-2*AL235/Inputs!$C$14</f>
        <v/>
      </c>
      <c r="AO235" s="9">
        <f>ABS(AM235)</f>
        <v/>
      </c>
      <c r="AP235" s="9">
        <f>ABS(AN235)</f>
        <v/>
      </c>
      <c r="AQ235" s="9">
        <f>IF(OR(Inputs!$C$27=TRUE,Inputs!$C$27="TRUE",Inputs!$C$27=1),Inputs!$C$46/Inputs!$C$12,0)</f>
        <v/>
      </c>
      <c r="AR235" s="9">
        <f>AC235-AQ235</f>
        <v/>
      </c>
      <c r="AS235" s="9">
        <f>AC235+AQ235</f>
        <v/>
      </c>
    </row>
    <row r="236">
      <c r="A236" s="9">
        <f>Inputs!$C$7+234*(Inputs!$C$8-Inputs!$C$7)/240</f>
        <v/>
      </c>
      <c r="B236" s="9">
        <f>Inputs!$C$5+Inputs!$C$9*(A236/Inputs!$C$10)^2</f>
        <v/>
      </c>
      <c r="C236" s="9">
        <f>B236</f>
        <v/>
      </c>
      <c r="D236" s="9">
        <f>SQRT((Inputs!$C$52+B236)^2+Inputs!$C$52^2-2*(Inputs!$C$52+B236)*Inputs!$C$52*COS(SQRT(A236^2+Inputs!$C$6^2)/Inputs!$C$52))</f>
        <v/>
      </c>
      <c r="E236" s="9">
        <f>(D236-C236)*1000</f>
        <v/>
      </c>
      <c r="F236" s="9">
        <f>E236/Inputs!$C$12</f>
        <v/>
      </c>
      <c r="G236" s="9">
        <f>2*E236/Inputs!$C$21*1000000</f>
        <v/>
      </c>
      <c r="H236" s="9">
        <f>SQRT(A236^2+Inputs!$C$6^2)</f>
        <v/>
      </c>
      <c r="I236" s="9">
        <f>DEGREES(ATAN(H236/B236))</f>
        <v/>
      </c>
      <c r="J236" s="9">
        <f>DEGREES((2*PI()/Inputs!$C$13)*Inputs!$C$15*SIN(RADIANS(I236)))</f>
        <v/>
      </c>
      <c r="K236" s="9">
        <f>(C236/D236)^4</f>
        <v/>
      </c>
      <c r="L236" s="9">
        <f>10*LOG10(K236)</f>
        <v/>
      </c>
      <c r="M236" s="9">
        <f>2*(Inputs!$C$9/(Inputs!$C$10^2))*A236</f>
        <v/>
      </c>
      <c r="N236" s="9">
        <f>M236*Inputs!$C$11</f>
        <v/>
      </c>
      <c r="O236" s="9">
        <f>1000*(D237-D235)/(A237-A235)*Inputs!$C$11</f>
        <v/>
      </c>
      <c r="P236" s="9">
        <f>-2*O236/Inputs!$C$13</f>
        <v/>
      </c>
      <c r="Q236" s="9">
        <f>-2*O236/Inputs!$C$14</f>
        <v/>
      </c>
      <c r="R236" s="9">
        <f>F236-Inputs!$C$16/2</f>
        <v/>
      </c>
      <c r="S236" s="9">
        <f>F236+Inputs!$C$16/2</f>
        <v/>
      </c>
      <c r="T236" s="9">
        <f>F236-Inputs!$C$17/2</f>
        <v/>
      </c>
      <c r="U236" s="9">
        <f>F236+Inputs!$C$17/2</f>
        <v/>
      </c>
      <c r="V236" s="9">
        <f>ABS(P236)</f>
        <v/>
      </c>
      <c r="W236" s="9">
        <f>ABS(Q236)</f>
        <v/>
      </c>
      <c r="X236" s="9">
        <f>IF(OR(Inputs!$C$27=TRUE,Inputs!$C$27="TRUE",Inputs!$C$27=1),1,0)*(Inputs!$C$51*(115*EXP(-(((0)-25)^2)/(4.5^2))+70*EXP(-(((0)+38)^2)/(7^2))*(0.55+0.45*SIN(2*PI()*(A236)/45))+24*SIN(2*PI()*(0)/9+(A236)/18)*EXP(-(((0)+5)^2)/(22^2))+18*SIN(2*PI()*(A236)/70))+Inputs!$C$28*EXP(-(((A236)-Inputs!$C$29)^2)/(2*Inputs!$C$31^2))*EXP(-(((0)-Inputs!$C$30)^2)/(2*Inputs!$C$32^2))+-Inputs!$C$33*EXP(-(((((A236)-Inputs!$C$34)^2)+(((0)-Inputs!$C$35)^2))/(2*Inputs!$C$36^2)))+Inputs!$C$37*(0.55*SIN(2*PI()*(A236)/Inputs!$C$39)+0.35*COS(2*PI()*(0)/Inputs!$C$40)+0.2*SIN(2*PI()*((A236)+(0))/(0.5*(Inputs!$C$39+Inputs!$C$40))))+Inputs!$C$38*SIN(2*PI()*(A236)/Inputs!$C$39)*SIN(2*PI()*(0)/Inputs!$C$40)+-Inputs!$C$41*EXP(-(((0)-Inputs!$C$43)^2)/(2*Inputs!$C$44^2))*EXP(-(((A236)-Inputs!$C$42)^2)/(2*Inputs!$C$45^2))+Inputs!$C$48*(0.7*(0.45*SIN(2*PI()*(((A236)/Inputs!$C$49)+Inputs!$C$47*0.137))+0.35*COS(2*PI()*(((0)/Inputs!$C$50)+Inputs!$C$47*0.173))+0.2*SIN(2*PI()*(((A236)+(0))/(0.5*(Inputs!$C$49+Inputs!$C$50))+Inputs!$C$47*0.097)))+0.3*(2*((SIN(((A236)*12.9898+(0)*78.233+Inputs!$C$47*37.719))*43758.5453)-INT((SIN(((A236)*12.9898+(0)*78.233+Inputs!$C$47*37.719))*43758.5453)))-1)))</f>
        <v/>
      </c>
      <c r="Y236" s="9">
        <f>IF(OR(Inputs!$C$27=TRUE,Inputs!$C$27="TRUE",Inputs!$C$27=1),1,0)*(Inputs!$C$51*(115*EXP(-(((Inputs!$C$6)-25)^2)/(4.5^2))+70*EXP(-(((Inputs!$C$6)+38)^2)/(7^2))*(0.55+0.45*SIN(2*PI()*(A236)/45))+24*SIN(2*PI()*(Inputs!$C$6)/9+(A236)/18)*EXP(-(((Inputs!$C$6)+5)^2)/(22^2))+18*SIN(2*PI()*(A236)/70))+Inputs!$C$28*EXP(-(((A236)-Inputs!$C$29)^2)/(2*Inputs!$C$31^2))*EXP(-(((Inputs!$C$6)-Inputs!$C$30)^2)/(2*Inputs!$C$32^2))+-Inputs!$C$33*EXP(-(((((A236)-Inputs!$C$34)^2)+(((Inputs!$C$6)-Inputs!$C$35)^2))/(2*Inputs!$C$36^2)))+Inputs!$C$37*(0.55*SIN(2*PI()*(A236)/Inputs!$C$39)+0.35*COS(2*PI()*(Inputs!$C$6)/Inputs!$C$40)+0.2*SIN(2*PI()*((A236)+(Inputs!$C$6))/(0.5*(Inputs!$C$39+Inputs!$C$40))))+Inputs!$C$38*SIN(2*PI()*(A236)/Inputs!$C$39)*SIN(2*PI()*(Inputs!$C$6)/Inputs!$C$40)+-Inputs!$C$41*EXP(-(((Inputs!$C$6)-Inputs!$C$43)^2)/(2*Inputs!$C$44^2))*EXP(-(((A236)-Inputs!$C$42)^2)/(2*Inputs!$C$45^2))+Inputs!$C$48*(0.7*(0.45*SIN(2*PI()*(((A236)/Inputs!$C$49)+Inputs!$C$47*0.137))+0.35*COS(2*PI()*(((Inputs!$C$6)/Inputs!$C$50)+Inputs!$C$47*0.173))+0.2*SIN(2*PI()*(((A236)+(Inputs!$C$6))/(0.5*(Inputs!$C$49+Inputs!$C$50))+Inputs!$C$47*0.097)))+0.3*(2*((SIN(((A236)*12.9898+(Inputs!$C$6)*78.233+Inputs!$C$47*37.719))*43758.5453)-INT((SIN(((A236)*12.9898+(Inputs!$C$6)*78.233+Inputs!$C$47*37.719))*43758.5453)))-1)))</f>
        <v/>
      </c>
      <c r="Z236" s="9">
        <f>B236-X236/1000</f>
        <v/>
      </c>
      <c r="AA236" s="9">
        <f>SQRT((Inputs!$C$52+B236)^2+(Inputs!$C$52+Y236/1000)^2-2*(Inputs!$C$52+B236)*(Inputs!$C$52+Y236/1000)*COS(SQRT(A236^2+Inputs!$C$6^2)/Inputs!$C$52))</f>
        <v/>
      </c>
      <c r="AB236" s="9">
        <f>(AA236-Z236)*1000</f>
        <v/>
      </c>
      <c r="AC236" s="9">
        <f>AB236/Inputs!$C$12</f>
        <v/>
      </c>
      <c r="AD236" s="9">
        <f>2*AB236/Inputs!$C$21*1000000</f>
        <v/>
      </c>
      <c r="AE236" s="9">
        <f>DEGREES(ATAN(H236/(B236-Y236/1000)))</f>
        <v/>
      </c>
      <c r="AF236" s="9">
        <f>DEGREES((2*PI()/Inputs!$C$13)*Inputs!$C$15*SIN(RADIANS(AE236)))</f>
        <v/>
      </c>
      <c r="AG236" s="9">
        <f>(Z236/AA236)^4</f>
        <v/>
      </c>
      <c r="AH236" s="9">
        <f>10*LOG10(AG236)</f>
        <v/>
      </c>
      <c r="AI236" s="9">
        <f>AC236-F236</f>
        <v/>
      </c>
      <c r="AJ236" s="9">
        <f>AD236-G236</f>
        <v/>
      </c>
      <c r="AK236" s="9">
        <f>Y236-X236</f>
        <v/>
      </c>
      <c r="AL236" s="9">
        <f>1000*(AA237-AA235)/(A237-A235)*Inputs!$C$11</f>
        <v/>
      </c>
      <c r="AM236" s="9">
        <f>-2*AL236/Inputs!$C$13</f>
        <v/>
      </c>
      <c r="AN236" s="9">
        <f>-2*AL236/Inputs!$C$14</f>
        <v/>
      </c>
      <c r="AO236" s="9">
        <f>ABS(AM236)</f>
        <v/>
      </c>
      <c r="AP236" s="9">
        <f>ABS(AN236)</f>
        <v/>
      </c>
      <c r="AQ236" s="9">
        <f>IF(OR(Inputs!$C$27=TRUE,Inputs!$C$27="TRUE",Inputs!$C$27=1),Inputs!$C$46/Inputs!$C$12,0)</f>
        <v/>
      </c>
      <c r="AR236" s="9">
        <f>AC236-AQ236</f>
        <v/>
      </c>
      <c r="AS236" s="9">
        <f>AC236+AQ236</f>
        <v/>
      </c>
    </row>
    <row r="237">
      <c r="A237" s="9">
        <f>Inputs!$C$7+235*(Inputs!$C$8-Inputs!$C$7)/240</f>
        <v/>
      </c>
      <c r="B237" s="9">
        <f>Inputs!$C$5+Inputs!$C$9*(A237/Inputs!$C$10)^2</f>
        <v/>
      </c>
      <c r="C237" s="9">
        <f>B237</f>
        <v/>
      </c>
      <c r="D237" s="9">
        <f>SQRT((Inputs!$C$52+B237)^2+Inputs!$C$52^2-2*(Inputs!$C$52+B237)*Inputs!$C$52*COS(SQRT(A237^2+Inputs!$C$6^2)/Inputs!$C$52))</f>
        <v/>
      </c>
      <c r="E237" s="9">
        <f>(D237-C237)*1000</f>
        <v/>
      </c>
      <c r="F237" s="9">
        <f>E237/Inputs!$C$12</f>
        <v/>
      </c>
      <c r="G237" s="9">
        <f>2*E237/Inputs!$C$21*1000000</f>
        <v/>
      </c>
      <c r="H237" s="9">
        <f>SQRT(A237^2+Inputs!$C$6^2)</f>
        <v/>
      </c>
      <c r="I237" s="9">
        <f>DEGREES(ATAN(H237/B237))</f>
        <v/>
      </c>
      <c r="J237" s="9">
        <f>DEGREES((2*PI()/Inputs!$C$13)*Inputs!$C$15*SIN(RADIANS(I237)))</f>
        <v/>
      </c>
      <c r="K237" s="9">
        <f>(C237/D237)^4</f>
        <v/>
      </c>
      <c r="L237" s="9">
        <f>10*LOG10(K237)</f>
        <v/>
      </c>
      <c r="M237" s="9">
        <f>2*(Inputs!$C$9/(Inputs!$C$10^2))*A237</f>
        <v/>
      </c>
      <c r="N237" s="9">
        <f>M237*Inputs!$C$11</f>
        <v/>
      </c>
      <c r="O237" s="9">
        <f>1000*(D238-D236)/(A238-A236)*Inputs!$C$11</f>
        <v/>
      </c>
      <c r="P237" s="9">
        <f>-2*O237/Inputs!$C$13</f>
        <v/>
      </c>
      <c r="Q237" s="9">
        <f>-2*O237/Inputs!$C$14</f>
        <v/>
      </c>
      <c r="R237" s="9">
        <f>F237-Inputs!$C$16/2</f>
        <v/>
      </c>
      <c r="S237" s="9">
        <f>F237+Inputs!$C$16/2</f>
        <v/>
      </c>
      <c r="T237" s="9">
        <f>F237-Inputs!$C$17/2</f>
        <v/>
      </c>
      <c r="U237" s="9">
        <f>F237+Inputs!$C$17/2</f>
        <v/>
      </c>
      <c r="V237" s="9">
        <f>ABS(P237)</f>
        <v/>
      </c>
      <c r="W237" s="9">
        <f>ABS(Q237)</f>
        <v/>
      </c>
      <c r="X237" s="9">
        <f>IF(OR(Inputs!$C$27=TRUE,Inputs!$C$27="TRUE",Inputs!$C$27=1),1,0)*(Inputs!$C$51*(115*EXP(-(((0)-25)^2)/(4.5^2))+70*EXP(-(((0)+38)^2)/(7^2))*(0.55+0.45*SIN(2*PI()*(A237)/45))+24*SIN(2*PI()*(0)/9+(A237)/18)*EXP(-(((0)+5)^2)/(22^2))+18*SIN(2*PI()*(A237)/70))+Inputs!$C$28*EXP(-(((A237)-Inputs!$C$29)^2)/(2*Inputs!$C$31^2))*EXP(-(((0)-Inputs!$C$30)^2)/(2*Inputs!$C$32^2))+-Inputs!$C$33*EXP(-(((((A237)-Inputs!$C$34)^2)+(((0)-Inputs!$C$35)^2))/(2*Inputs!$C$36^2)))+Inputs!$C$37*(0.55*SIN(2*PI()*(A237)/Inputs!$C$39)+0.35*COS(2*PI()*(0)/Inputs!$C$40)+0.2*SIN(2*PI()*((A237)+(0))/(0.5*(Inputs!$C$39+Inputs!$C$40))))+Inputs!$C$38*SIN(2*PI()*(A237)/Inputs!$C$39)*SIN(2*PI()*(0)/Inputs!$C$40)+-Inputs!$C$41*EXP(-(((0)-Inputs!$C$43)^2)/(2*Inputs!$C$44^2))*EXP(-(((A237)-Inputs!$C$42)^2)/(2*Inputs!$C$45^2))+Inputs!$C$48*(0.7*(0.45*SIN(2*PI()*(((A237)/Inputs!$C$49)+Inputs!$C$47*0.137))+0.35*COS(2*PI()*(((0)/Inputs!$C$50)+Inputs!$C$47*0.173))+0.2*SIN(2*PI()*(((A237)+(0))/(0.5*(Inputs!$C$49+Inputs!$C$50))+Inputs!$C$47*0.097)))+0.3*(2*((SIN(((A237)*12.9898+(0)*78.233+Inputs!$C$47*37.719))*43758.5453)-INT((SIN(((A237)*12.9898+(0)*78.233+Inputs!$C$47*37.719))*43758.5453)))-1)))</f>
        <v/>
      </c>
      <c r="Y237" s="9">
        <f>IF(OR(Inputs!$C$27=TRUE,Inputs!$C$27="TRUE",Inputs!$C$27=1),1,0)*(Inputs!$C$51*(115*EXP(-(((Inputs!$C$6)-25)^2)/(4.5^2))+70*EXP(-(((Inputs!$C$6)+38)^2)/(7^2))*(0.55+0.45*SIN(2*PI()*(A237)/45))+24*SIN(2*PI()*(Inputs!$C$6)/9+(A237)/18)*EXP(-(((Inputs!$C$6)+5)^2)/(22^2))+18*SIN(2*PI()*(A237)/70))+Inputs!$C$28*EXP(-(((A237)-Inputs!$C$29)^2)/(2*Inputs!$C$31^2))*EXP(-(((Inputs!$C$6)-Inputs!$C$30)^2)/(2*Inputs!$C$32^2))+-Inputs!$C$33*EXP(-(((((A237)-Inputs!$C$34)^2)+(((Inputs!$C$6)-Inputs!$C$35)^2))/(2*Inputs!$C$36^2)))+Inputs!$C$37*(0.55*SIN(2*PI()*(A237)/Inputs!$C$39)+0.35*COS(2*PI()*(Inputs!$C$6)/Inputs!$C$40)+0.2*SIN(2*PI()*((A237)+(Inputs!$C$6))/(0.5*(Inputs!$C$39+Inputs!$C$40))))+Inputs!$C$38*SIN(2*PI()*(A237)/Inputs!$C$39)*SIN(2*PI()*(Inputs!$C$6)/Inputs!$C$40)+-Inputs!$C$41*EXP(-(((Inputs!$C$6)-Inputs!$C$43)^2)/(2*Inputs!$C$44^2))*EXP(-(((A237)-Inputs!$C$42)^2)/(2*Inputs!$C$45^2))+Inputs!$C$48*(0.7*(0.45*SIN(2*PI()*(((A237)/Inputs!$C$49)+Inputs!$C$47*0.137))+0.35*COS(2*PI()*(((Inputs!$C$6)/Inputs!$C$50)+Inputs!$C$47*0.173))+0.2*SIN(2*PI()*(((A237)+(Inputs!$C$6))/(0.5*(Inputs!$C$49+Inputs!$C$50))+Inputs!$C$47*0.097)))+0.3*(2*((SIN(((A237)*12.9898+(Inputs!$C$6)*78.233+Inputs!$C$47*37.719))*43758.5453)-INT((SIN(((A237)*12.9898+(Inputs!$C$6)*78.233+Inputs!$C$47*37.719))*43758.5453)))-1)))</f>
        <v/>
      </c>
      <c r="Z237" s="9">
        <f>B237-X237/1000</f>
        <v/>
      </c>
      <c r="AA237" s="9">
        <f>SQRT((Inputs!$C$52+B237)^2+(Inputs!$C$52+Y237/1000)^2-2*(Inputs!$C$52+B237)*(Inputs!$C$52+Y237/1000)*COS(SQRT(A237^2+Inputs!$C$6^2)/Inputs!$C$52))</f>
        <v/>
      </c>
      <c r="AB237" s="9">
        <f>(AA237-Z237)*1000</f>
        <v/>
      </c>
      <c r="AC237" s="9">
        <f>AB237/Inputs!$C$12</f>
        <v/>
      </c>
      <c r="AD237" s="9">
        <f>2*AB237/Inputs!$C$21*1000000</f>
        <v/>
      </c>
      <c r="AE237" s="9">
        <f>DEGREES(ATAN(H237/(B237-Y237/1000)))</f>
        <v/>
      </c>
      <c r="AF237" s="9">
        <f>DEGREES((2*PI()/Inputs!$C$13)*Inputs!$C$15*SIN(RADIANS(AE237)))</f>
        <v/>
      </c>
      <c r="AG237" s="9">
        <f>(Z237/AA237)^4</f>
        <v/>
      </c>
      <c r="AH237" s="9">
        <f>10*LOG10(AG237)</f>
        <v/>
      </c>
      <c r="AI237" s="9">
        <f>AC237-F237</f>
        <v/>
      </c>
      <c r="AJ237" s="9">
        <f>AD237-G237</f>
        <v/>
      </c>
      <c r="AK237" s="9">
        <f>Y237-X237</f>
        <v/>
      </c>
      <c r="AL237" s="9">
        <f>1000*(AA238-AA236)/(A238-A236)*Inputs!$C$11</f>
        <v/>
      </c>
      <c r="AM237" s="9">
        <f>-2*AL237/Inputs!$C$13</f>
        <v/>
      </c>
      <c r="AN237" s="9">
        <f>-2*AL237/Inputs!$C$14</f>
        <v/>
      </c>
      <c r="AO237" s="9">
        <f>ABS(AM237)</f>
        <v/>
      </c>
      <c r="AP237" s="9">
        <f>ABS(AN237)</f>
        <v/>
      </c>
      <c r="AQ237" s="9">
        <f>IF(OR(Inputs!$C$27=TRUE,Inputs!$C$27="TRUE",Inputs!$C$27=1),Inputs!$C$46/Inputs!$C$12,0)</f>
        <v/>
      </c>
      <c r="AR237" s="9">
        <f>AC237-AQ237</f>
        <v/>
      </c>
      <c r="AS237" s="9">
        <f>AC237+AQ237</f>
        <v/>
      </c>
    </row>
    <row r="238">
      <c r="A238" s="9">
        <f>Inputs!$C$7+236*(Inputs!$C$8-Inputs!$C$7)/240</f>
        <v/>
      </c>
      <c r="B238" s="9">
        <f>Inputs!$C$5+Inputs!$C$9*(A238/Inputs!$C$10)^2</f>
        <v/>
      </c>
      <c r="C238" s="9">
        <f>B238</f>
        <v/>
      </c>
      <c r="D238" s="9">
        <f>SQRT((Inputs!$C$52+B238)^2+Inputs!$C$52^2-2*(Inputs!$C$52+B238)*Inputs!$C$52*COS(SQRT(A238^2+Inputs!$C$6^2)/Inputs!$C$52))</f>
        <v/>
      </c>
      <c r="E238" s="9">
        <f>(D238-C238)*1000</f>
        <v/>
      </c>
      <c r="F238" s="9">
        <f>E238/Inputs!$C$12</f>
        <v/>
      </c>
      <c r="G238" s="9">
        <f>2*E238/Inputs!$C$21*1000000</f>
        <v/>
      </c>
      <c r="H238" s="9">
        <f>SQRT(A238^2+Inputs!$C$6^2)</f>
        <v/>
      </c>
      <c r="I238" s="9">
        <f>DEGREES(ATAN(H238/B238))</f>
        <v/>
      </c>
      <c r="J238" s="9">
        <f>DEGREES((2*PI()/Inputs!$C$13)*Inputs!$C$15*SIN(RADIANS(I238)))</f>
        <v/>
      </c>
      <c r="K238" s="9">
        <f>(C238/D238)^4</f>
        <v/>
      </c>
      <c r="L238" s="9">
        <f>10*LOG10(K238)</f>
        <v/>
      </c>
      <c r="M238" s="9">
        <f>2*(Inputs!$C$9/(Inputs!$C$10^2))*A238</f>
        <v/>
      </c>
      <c r="N238" s="9">
        <f>M238*Inputs!$C$11</f>
        <v/>
      </c>
      <c r="O238" s="9">
        <f>1000*(D239-D237)/(A239-A237)*Inputs!$C$11</f>
        <v/>
      </c>
      <c r="P238" s="9">
        <f>-2*O238/Inputs!$C$13</f>
        <v/>
      </c>
      <c r="Q238" s="9">
        <f>-2*O238/Inputs!$C$14</f>
        <v/>
      </c>
      <c r="R238" s="9">
        <f>F238-Inputs!$C$16/2</f>
        <v/>
      </c>
      <c r="S238" s="9">
        <f>F238+Inputs!$C$16/2</f>
        <v/>
      </c>
      <c r="T238" s="9">
        <f>F238-Inputs!$C$17/2</f>
        <v/>
      </c>
      <c r="U238" s="9">
        <f>F238+Inputs!$C$17/2</f>
        <v/>
      </c>
      <c r="V238" s="9">
        <f>ABS(P238)</f>
        <v/>
      </c>
      <c r="W238" s="9">
        <f>ABS(Q238)</f>
        <v/>
      </c>
      <c r="X238" s="9">
        <f>IF(OR(Inputs!$C$27=TRUE,Inputs!$C$27="TRUE",Inputs!$C$27=1),1,0)*(Inputs!$C$51*(115*EXP(-(((0)-25)^2)/(4.5^2))+70*EXP(-(((0)+38)^2)/(7^2))*(0.55+0.45*SIN(2*PI()*(A238)/45))+24*SIN(2*PI()*(0)/9+(A238)/18)*EXP(-(((0)+5)^2)/(22^2))+18*SIN(2*PI()*(A238)/70))+Inputs!$C$28*EXP(-(((A238)-Inputs!$C$29)^2)/(2*Inputs!$C$31^2))*EXP(-(((0)-Inputs!$C$30)^2)/(2*Inputs!$C$32^2))+-Inputs!$C$33*EXP(-(((((A238)-Inputs!$C$34)^2)+(((0)-Inputs!$C$35)^2))/(2*Inputs!$C$36^2)))+Inputs!$C$37*(0.55*SIN(2*PI()*(A238)/Inputs!$C$39)+0.35*COS(2*PI()*(0)/Inputs!$C$40)+0.2*SIN(2*PI()*((A238)+(0))/(0.5*(Inputs!$C$39+Inputs!$C$40))))+Inputs!$C$38*SIN(2*PI()*(A238)/Inputs!$C$39)*SIN(2*PI()*(0)/Inputs!$C$40)+-Inputs!$C$41*EXP(-(((0)-Inputs!$C$43)^2)/(2*Inputs!$C$44^2))*EXP(-(((A238)-Inputs!$C$42)^2)/(2*Inputs!$C$45^2))+Inputs!$C$48*(0.7*(0.45*SIN(2*PI()*(((A238)/Inputs!$C$49)+Inputs!$C$47*0.137))+0.35*COS(2*PI()*(((0)/Inputs!$C$50)+Inputs!$C$47*0.173))+0.2*SIN(2*PI()*(((A238)+(0))/(0.5*(Inputs!$C$49+Inputs!$C$50))+Inputs!$C$47*0.097)))+0.3*(2*((SIN(((A238)*12.9898+(0)*78.233+Inputs!$C$47*37.719))*43758.5453)-INT((SIN(((A238)*12.9898+(0)*78.233+Inputs!$C$47*37.719))*43758.5453)))-1)))</f>
        <v/>
      </c>
      <c r="Y238" s="9">
        <f>IF(OR(Inputs!$C$27=TRUE,Inputs!$C$27="TRUE",Inputs!$C$27=1),1,0)*(Inputs!$C$51*(115*EXP(-(((Inputs!$C$6)-25)^2)/(4.5^2))+70*EXP(-(((Inputs!$C$6)+38)^2)/(7^2))*(0.55+0.45*SIN(2*PI()*(A238)/45))+24*SIN(2*PI()*(Inputs!$C$6)/9+(A238)/18)*EXP(-(((Inputs!$C$6)+5)^2)/(22^2))+18*SIN(2*PI()*(A238)/70))+Inputs!$C$28*EXP(-(((A238)-Inputs!$C$29)^2)/(2*Inputs!$C$31^2))*EXP(-(((Inputs!$C$6)-Inputs!$C$30)^2)/(2*Inputs!$C$32^2))+-Inputs!$C$33*EXP(-(((((A238)-Inputs!$C$34)^2)+(((Inputs!$C$6)-Inputs!$C$35)^2))/(2*Inputs!$C$36^2)))+Inputs!$C$37*(0.55*SIN(2*PI()*(A238)/Inputs!$C$39)+0.35*COS(2*PI()*(Inputs!$C$6)/Inputs!$C$40)+0.2*SIN(2*PI()*((A238)+(Inputs!$C$6))/(0.5*(Inputs!$C$39+Inputs!$C$40))))+Inputs!$C$38*SIN(2*PI()*(A238)/Inputs!$C$39)*SIN(2*PI()*(Inputs!$C$6)/Inputs!$C$40)+-Inputs!$C$41*EXP(-(((Inputs!$C$6)-Inputs!$C$43)^2)/(2*Inputs!$C$44^2))*EXP(-(((A238)-Inputs!$C$42)^2)/(2*Inputs!$C$45^2))+Inputs!$C$48*(0.7*(0.45*SIN(2*PI()*(((A238)/Inputs!$C$49)+Inputs!$C$47*0.137))+0.35*COS(2*PI()*(((Inputs!$C$6)/Inputs!$C$50)+Inputs!$C$47*0.173))+0.2*SIN(2*PI()*(((A238)+(Inputs!$C$6))/(0.5*(Inputs!$C$49+Inputs!$C$50))+Inputs!$C$47*0.097)))+0.3*(2*((SIN(((A238)*12.9898+(Inputs!$C$6)*78.233+Inputs!$C$47*37.719))*43758.5453)-INT((SIN(((A238)*12.9898+(Inputs!$C$6)*78.233+Inputs!$C$47*37.719))*43758.5453)))-1)))</f>
        <v/>
      </c>
      <c r="Z238" s="9">
        <f>B238-X238/1000</f>
        <v/>
      </c>
      <c r="AA238" s="9">
        <f>SQRT((Inputs!$C$52+B238)^2+(Inputs!$C$52+Y238/1000)^2-2*(Inputs!$C$52+B238)*(Inputs!$C$52+Y238/1000)*COS(SQRT(A238^2+Inputs!$C$6^2)/Inputs!$C$52))</f>
        <v/>
      </c>
      <c r="AB238" s="9">
        <f>(AA238-Z238)*1000</f>
        <v/>
      </c>
      <c r="AC238" s="9">
        <f>AB238/Inputs!$C$12</f>
        <v/>
      </c>
      <c r="AD238" s="9">
        <f>2*AB238/Inputs!$C$21*1000000</f>
        <v/>
      </c>
      <c r="AE238" s="9">
        <f>DEGREES(ATAN(H238/(B238-Y238/1000)))</f>
        <v/>
      </c>
      <c r="AF238" s="9">
        <f>DEGREES((2*PI()/Inputs!$C$13)*Inputs!$C$15*SIN(RADIANS(AE238)))</f>
        <v/>
      </c>
      <c r="AG238" s="9">
        <f>(Z238/AA238)^4</f>
        <v/>
      </c>
      <c r="AH238" s="9">
        <f>10*LOG10(AG238)</f>
        <v/>
      </c>
      <c r="AI238" s="9">
        <f>AC238-F238</f>
        <v/>
      </c>
      <c r="AJ238" s="9">
        <f>AD238-G238</f>
        <v/>
      </c>
      <c r="AK238" s="9">
        <f>Y238-X238</f>
        <v/>
      </c>
      <c r="AL238" s="9">
        <f>1000*(AA239-AA237)/(A239-A237)*Inputs!$C$11</f>
        <v/>
      </c>
      <c r="AM238" s="9">
        <f>-2*AL238/Inputs!$C$13</f>
        <v/>
      </c>
      <c r="AN238" s="9">
        <f>-2*AL238/Inputs!$C$14</f>
        <v/>
      </c>
      <c r="AO238" s="9">
        <f>ABS(AM238)</f>
        <v/>
      </c>
      <c r="AP238" s="9">
        <f>ABS(AN238)</f>
        <v/>
      </c>
      <c r="AQ238" s="9">
        <f>IF(OR(Inputs!$C$27=TRUE,Inputs!$C$27="TRUE",Inputs!$C$27=1),Inputs!$C$46/Inputs!$C$12,0)</f>
        <v/>
      </c>
      <c r="AR238" s="9">
        <f>AC238-AQ238</f>
        <v/>
      </c>
      <c r="AS238" s="9">
        <f>AC238+AQ238</f>
        <v/>
      </c>
    </row>
    <row r="239">
      <c r="A239" s="9">
        <f>Inputs!$C$7+237*(Inputs!$C$8-Inputs!$C$7)/240</f>
        <v/>
      </c>
      <c r="B239" s="9">
        <f>Inputs!$C$5+Inputs!$C$9*(A239/Inputs!$C$10)^2</f>
        <v/>
      </c>
      <c r="C239" s="9">
        <f>B239</f>
        <v/>
      </c>
      <c r="D239" s="9">
        <f>SQRT((Inputs!$C$52+B239)^2+Inputs!$C$52^2-2*(Inputs!$C$52+B239)*Inputs!$C$52*COS(SQRT(A239^2+Inputs!$C$6^2)/Inputs!$C$52))</f>
        <v/>
      </c>
      <c r="E239" s="9">
        <f>(D239-C239)*1000</f>
        <v/>
      </c>
      <c r="F239" s="9">
        <f>E239/Inputs!$C$12</f>
        <v/>
      </c>
      <c r="G239" s="9">
        <f>2*E239/Inputs!$C$21*1000000</f>
        <v/>
      </c>
      <c r="H239" s="9">
        <f>SQRT(A239^2+Inputs!$C$6^2)</f>
        <v/>
      </c>
      <c r="I239" s="9">
        <f>DEGREES(ATAN(H239/B239))</f>
        <v/>
      </c>
      <c r="J239" s="9">
        <f>DEGREES((2*PI()/Inputs!$C$13)*Inputs!$C$15*SIN(RADIANS(I239)))</f>
        <v/>
      </c>
      <c r="K239" s="9">
        <f>(C239/D239)^4</f>
        <v/>
      </c>
      <c r="L239" s="9">
        <f>10*LOG10(K239)</f>
        <v/>
      </c>
      <c r="M239" s="9">
        <f>2*(Inputs!$C$9/(Inputs!$C$10^2))*A239</f>
        <v/>
      </c>
      <c r="N239" s="9">
        <f>M239*Inputs!$C$11</f>
        <v/>
      </c>
      <c r="O239" s="9">
        <f>1000*(D240-D238)/(A240-A238)*Inputs!$C$11</f>
        <v/>
      </c>
      <c r="P239" s="9">
        <f>-2*O239/Inputs!$C$13</f>
        <v/>
      </c>
      <c r="Q239" s="9">
        <f>-2*O239/Inputs!$C$14</f>
        <v/>
      </c>
      <c r="R239" s="9">
        <f>F239-Inputs!$C$16/2</f>
        <v/>
      </c>
      <c r="S239" s="9">
        <f>F239+Inputs!$C$16/2</f>
        <v/>
      </c>
      <c r="T239" s="9">
        <f>F239-Inputs!$C$17/2</f>
        <v/>
      </c>
      <c r="U239" s="9">
        <f>F239+Inputs!$C$17/2</f>
        <v/>
      </c>
      <c r="V239" s="9">
        <f>ABS(P239)</f>
        <v/>
      </c>
      <c r="W239" s="9">
        <f>ABS(Q239)</f>
        <v/>
      </c>
      <c r="X239" s="9">
        <f>IF(OR(Inputs!$C$27=TRUE,Inputs!$C$27="TRUE",Inputs!$C$27=1),1,0)*(Inputs!$C$51*(115*EXP(-(((0)-25)^2)/(4.5^2))+70*EXP(-(((0)+38)^2)/(7^2))*(0.55+0.45*SIN(2*PI()*(A239)/45))+24*SIN(2*PI()*(0)/9+(A239)/18)*EXP(-(((0)+5)^2)/(22^2))+18*SIN(2*PI()*(A239)/70))+Inputs!$C$28*EXP(-(((A239)-Inputs!$C$29)^2)/(2*Inputs!$C$31^2))*EXP(-(((0)-Inputs!$C$30)^2)/(2*Inputs!$C$32^2))+-Inputs!$C$33*EXP(-(((((A239)-Inputs!$C$34)^2)+(((0)-Inputs!$C$35)^2))/(2*Inputs!$C$36^2)))+Inputs!$C$37*(0.55*SIN(2*PI()*(A239)/Inputs!$C$39)+0.35*COS(2*PI()*(0)/Inputs!$C$40)+0.2*SIN(2*PI()*((A239)+(0))/(0.5*(Inputs!$C$39+Inputs!$C$40))))+Inputs!$C$38*SIN(2*PI()*(A239)/Inputs!$C$39)*SIN(2*PI()*(0)/Inputs!$C$40)+-Inputs!$C$41*EXP(-(((0)-Inputs!$C$43)^2)/(2*Inputs!$C$44^2))*EXP(-(((A239)-Inputs!$C$42)^2)/(2*Inputs!$C$45^2))+Inputs!$C$48*(0.7*(0.45*SIN(2*PI()*(((A239)/Inputs!$C$49)+Inputs!$C$47*0.137))+0.35*COS(2*PI()*(((0)/Inputs!$C$50)+Inputs!$C$47*0.173))+0.2*SIN(2*PI()*(((A239)+(0))/(0.5*(Inputs!$C$49+Inputs!$C$50))+Inputs!$C$47*0.097)))+0.3*(2*((SIN(((A239)*12.9898+(0)*78.233+Inputs!$C$47*37.719))*43758.5453)-INT((SIN(((A239)*12.9898+(0)*78.233+Inputs!$C$47*37.719))*43758.5453)))-1)))</f>
        <v/>
      </c>
      <c r="Y239" s="9">
        <f>IF(OR(Inputs!$C$27=TRUE,Inputs!$C$27="TRUE",Inputs!$C$27=1),1,0)*(Inputs!$C$51*(115*EXP(-(((Inputs!$C$6)-25)^2)/(4.5^2))+70*EXP(-(((Inputs!$C$6)+38)^2)/(7^2))*(0.55+0.45*SIN(2*PI()*(A239)/45))+24*SIN(2*PI()*(Inputs!$C$6)/9+(A239)/18)*EXP(-(((Inputs!$C$6)+5)^2)/(22^2))+18*SIN(2*PI()*(A239)/70))+Inputs!$C$28*EXP(-(((A239)-Inputs!$C$29)^2)/(2*Inputs!$C$31^2))*EXP(-(((Inputs!$C$6)-Inputs!$C$30)^2)/(2*Inputs!$C$32^2))+-Inputs!$C$33*EXP(-(((((A239)-Inputs!$C$34)^2)+(((Inputs!$C$6)-Inputs!$C$35)^2))/(2*Inputs!$C$36^2)))+Inputs!$C$37*(0.55*SIN(2*PI()*(A239)/Inputs!$C$39)+0.35*COS(2*PI()*(Inputs!$C$6)/Inputs!$C$40)+0.2*SIN(2*PI()*((A239)+(Inputs!$C$6))/(0.5*(Inputs!$C$39+Inputs!$C$40))))+Inputs!$C$38*SIN(2*PI()*(A239)/Inputs!$C$39)*SIN(2*PI()*(Inputs!$C$6)/Inputs!$C$40)+-Inputs!$C$41*EXP(-(((Inputs!$C$6)-Inputs!$C$43)^2)/(2*Inputs!$C$44^2))*EXP(-(((A239)-Inputs!$C$42)^2)/(2*Inputs!$C$45^2))+Inputs!$C$48*(0.7*(0.45*SIN(2*PI()*(((A239)/Inputs!$C$49)+Inputs!$C$47*0.137))+0.35*COS(2*PI()*(((Inputs!$C$6)/Inputs!$C$50)+Inputs!$C$47*0.173))+0.2*SIN(2*PI()*(((A239)+(Inputs!$C$6))/(0.5*(Inputs!$C$49+Inputs!$C$50))+Inputs!$C$47*0.097)))+0.3*(2*((SIN(((A239)*12.9898+(Inputs!$C$6)*78.233+Inputs!$C$47*37.719))*43758.5453)-INT((SIN(((A239)*12.9898+(Inputs!$C$6)*78.233+Inputs!$C$47*37.719))*43758.5453)))-1)))</f>
        <v/>
      </c>
      <c r="Z239" s="9">
        <f>B239-X239/1000</f>
        <v/>
      </c>
      <c r="AA239" s="9">
        <f>SQRT((Inputs!$C$52+B239)^2+(Inputs!$C$52+Y239/1000)^2-2*(Inputs!$C$52+B239)*(Inputs!$C$52+Y239/1000)*COS(SQRT(A239^2+Inputs!$C$6^2)/Inputs!$C$52))</f>
        <v/>
      </c>
      <c r="AB239" s="9">
        <f>(AA239-Z239)*1000</f>
        <v/>
      </c>
      <c r="AC239" s="9">
        <f>AB239/Inputs!$C$12</f>
        <v/>
      </c>
      <c r="AD239" s="9">
        <f>2*AB239/Inputs!$C$21*1000000</f>
        <v/>
      </c>
      <c r="AE239" s="9">
        <f>DEGREES(ATAN(H239/(B239-Y239/1000)))</f>
        <v/>
      </c>
      <c r="AF239" s="9">
        <f>DEGREES((2*PI()/Inputs!$C$13)*Inputs!$C$15*SIN(RADIANS(AE239)))</f>
        <v/>
      </c>
      <c r="AG239" s="9">
        <f>(Z239/AA239)^4</f>
        <v/>
      </c>
      <c r="AH239" s="9">
        <f>10*LOG10(AG239)</f>
        <v/>
      </c>
      <c r="AI239" s="9">
        <f>AC239-F239</f>
        <v/>
      </c>
      <c r="AJ239" s="9">
        <f>AD239-G239</f>
        <v/>
      </c>
      <c r="AK239" s="9">
        <f>Y239-X239</f>
        <v/>
      </c>
      <c r="AL239" s="9">
        <f>1000*(AA240-AA238)/(A240-A238)*Inputs!$C$11</f>
        <v/>
      </c>
      <c r="AM239" s="9">
        <f>-2*AL239/Inputs!$C$13</f>
        <v/>
      </c>
      <c r="AN239" s="9">
        <f>-2*AL239/Inputs!$C$14</f>
        <v/>
      </c>
      <c r="AO239" s="9">
        <f>ABS(AM239)</f>
        <v/>
      </c>
      <c r="AP239" s="9">
        <f>ABS(AN239)</f>
        <v/>
      </c>
      <c r="AQ239" s="9">
        <f>IF(OR(Inputs!$C$27=TRUE,Inputs!$C$27="TRUE",Inputs!$C$27=1),Inputs!$C$46/Inputs!$C$12,0)</f>
        <v/>
      </c>
      <c r="AR239" s="9">
        <f>AC239-AQ239</f>
        <v/>
      </c>
      <c r="AS239" s="9">
        <f>AC239+AQ239</f>
        <v/>
      </c>
    </row>
    <row r="240">
      <c r="A240" s="9">
        <f>Inputs!$C$7+238*(Inputs!$C$8-Inputs!$C$7)/240</f>
        <v/>
      </c>
      <c r="B240" s="9">
        <f>Inputs!$C$5+Inputs!$C$9*(A240/Inputs!$C$10)^2</f>
        <v/>
      </c>
      <c r="C240" s="9">
        <f>B240</f>
        <v/>
      </c>
      <c r="D240" s="9">
        <f>SQRT((Inputs!$C$52+B240)^2+Inputs!$C$52^2-2*(Inputs!$C$52+B240)*Inputs!$C$52*COS(SQRT(A240^2+Inputs!$C$6^2)/Inputs!$C$52))</f>
        <v/>
      </c>
      <c r="E240" s="9">
        <f>(D240-C240)*1000</f>
        <v/>
      </c>
      <c r="F240" s="9">
        <f>E240/Inputs!$C$12</f>
        <v/>
      </c>
      <c r="G240" s="9">
        <f>2*E240/Inputs!$C$21*1000000</f>
        <v/>
      </c>
      <c r="H240" s="9">
        <f>SQRT(A240^2+Inputs!$C$6^2)</f>
        <v/>
      </c>
      <c r="I240" s="9">
        <f>DEGREES(ATAN(H240/B240))</f>
        <v/>
      </c>
      <c r="J240" s="9">
        <f>DEGREES((2*PI()/Inputs!$C$13)*Inputs!$C$15*SIN(RADIANS(I240)))</f>
        <v/>
      </c>
      <c r="K240" s="9">
        <f>(C240/D240)^4</f>
        <v/>
      </c>
      <c r="L240" s="9">
        <f>10*LOG10(K240)</f>
        <v/>
      </c>
      <c r="M240" s="9">
        <f>2*(Inputs!$C$9/(Inputs!$C$10^2))*A240</f>
        <v/>
      </c>
      <c r="N240" s="9">
        <f>M240*Inputs!$C$11</f>
        <v/>
      </c>
      <c r="O240" s="9">
        <f>1000*(D241-D239)/(A241-A239)*Inputs!$C$11</f>
        <v/>
      </c>
      <c r="P240" s="9">
        <f>-2*O240/Inputs!$C$13</f>
        <v/>
      </c>
      <c r="Q240" s="9">
        <f>-2*O240/Inputs!$C$14</f>
        <v/>
      </c>
      <c r="R240" s="9">
        <f>F240-Inputs!$C$16/2</f>
        <v/>
      </c>
      <c r="S240" s="9">
        <f>F240+Inputs!$C$16/2</f>
        <v/>
      </c>
      <c r="T240" s="9">
        <f>F240-Inputs!$C$17/2</f>
        <v/>
      </c>
      <c r="U240" s="9">
        <f>F240+Inputs!$C$17/2</f>
        <v/>
      </c>
      <c r="V240" s="9">
        <f>ABS(P240)</f>
        <v/>
      </c>
      <c r="W240" s="9">
        <f>ABS(Q240)</f>
        <v/>
      </c>
      <c r="X240" s="9">
        <f>IF(OR(Inputs!$C$27=TRUE,Inputs!$C$27="TRUE",Inputs!$C$27=1),1,0)*(Inputs!$C$51*(115*EXP(-(((0)-25)^2)/(4.5^2))+70*EXP(-(((0)+38)^2)/(7^2))*(0.55+0.45*SIN(2*PI()*(A240)/45))+24*SIN(2*PI()*(0)/9+(A240)/18)*EXP(-(((0)+5)^2)/(22^2))+18*SIN(2*PI()*(A240)/70))+Inputs!$C$28*EXP(-(((A240)-Inputs!$C$29)^2)/(2*Inputs!$C$31^2))*EXP(-(((0)-Inputs!$C$30)^2)/(2*Inputs!$C$32^2))+-Inputs!$C$33*EXP(-(((((A240)-Inputs!$C$34)^2)+(((0)-Inputs!$C$35)^2))/(2*Inputs!$C$36^2)))+Inputs!$C$37*(0.55*SIN(2*PI()*(A240)/Inputs!$C$39)+0.35*COS(2*PI()*(0)/Inputs!$C$40)+0.2*SIN(2*PI()*((A240)+(0))/(0.5*(Inputs!$C$39+Inputs!$C$40))))+Inputs!$C$38*SIN(2*PI()*(A240)/Inputs!$C$39)*SIN(2*PI()*(0)/Inputs!$C$40)+-Inputs!$C$41*EXP(-(((0)-Inputs!$C$43)^2)/(2*Inputs!$C$44^2))*EXP(-(((A240)-Inputs!$C$42)^2)/(2*Inputs!$C$45^2))+Inputs!$C$48*(0.7*(0.45*SIN(2*PI()*(((A240)/Inputs!$C$49)+Inputs!$C$47*0.137))+0.35*COS(2*PI()*(((0)/Inputs!$C$50)+Inputs!$C$47*0.173))+0.2*SIN(2*PI()*(((A240)+(0))/(0.5*(Inputs!$C$49+Inputs!$C$50))+Inputs!$C$47*0.097)))+0.3*(2*((SIN(((A240)*12.9898+(0)*78.233+Inputs!$C$47*37.719))*43758.5453)-INT((SIN(((A240)*12.9898+(0)*78.233+Inputs!$C$47*37.719))*43758.5453)))-1)))</f>
        <v/>
      </c>
      <c r="Y240" s="9">
        <f>IF(OR(Inputs!$C$27=TRUE,Inputs!$C$27="TRUE",Inputs!$C$27=1),1,0)*(Inputs!$C$51*(115*EXP(-(((Inputs!$C$6)-25)^2)/(4.5^2))+70*EXP(-(((Inputs!$C$6)+38)^2)/(7^2))*(0.55+0.45*SIN(2*PI()*(A240)/45))+24*SIN(2*PI()*(Inputs!$C$6)/9+(A240)/18)*EXP(-(((Inputs!$C$6)+5)^2)/(22^2))+18*SIN(2*PI()*(A240)/70))+Inputs!$C$28*EXP(-(((A240)-Inputs!$C$29)^2)/(2*Inputs!$C$31^2))*EXP(-(((Inputs!$C$6)-Inputs!$C$30)^2)/(2*Inputs!$C$32^2))+-Inputs!$C$33*EXP(-(((((A240)-Inputs!$C$34)^2)+(((Inputs!$C$6)-Inputs!$C$35)^2))/(2*Inputs!$C$36^2)))+Inputs!$C$37*(0.55*SIN(2*PI()*(A240)/Inputs!$C$39)+0.35*COS(2*PI()*(Inputs!$C$6)/Inputs!$C$40)+0.2*SIN(2*PI()*((A240)+(Inputs!$C$6))/(0.5*(Inputs!$C$39+Inputs!$C$40))))+Inputs!$C$38*SIN(2*PI()*(A240)/Inputs!$C$39)*SIN(2*PI()*(Inputs!$C$6)/Inputs!$C$40)+-Inputs!$C$41*EXP(-(((Inputs!$C$6)-Inputs!$C$43)^2)/(2*Inputs!$C$44^2))*EXP(-(((A240)-Inputs!$C$42)^2)/(2*Inputs!$C$45^2))+Inputs!$C$48*(0.7*(0.45*SIN(2*PI()*(((A240)/Inputs!$C$49)+Inputs!$C$47*0.137))+0.35*COS(2*PI()*(((Inputs!$C$6)/Inputs!$C$50)+Inputs!$C$47*0.173))+0.2*SIN(2*PI()*(((A240)+(Inputs!$C$6))/(0.5*(Inputs!$C$49+Inputs!$C$50))+Inputs!$C$47*0.097)))+0.3*(2*((SIN(((A240)*12.9898+(Inputs!$C$6)*78.233+Inputs!$C$47*37.719))*43758.5453)-INT((SIN(((A240)*12.9898+(Inputs!$C$6)*78.233+Inputs!$C$47*37.719))*43758.5453)))-1)))</f>
        <v/>
      </c>
      <c r="Z240" s="9">
        <f>B240-X240/1000</f>
        <v/>
      </c>
      <c r="AA240" s="9">
        <f>SQRT((Inputs!$C$52+B240)^2+(Inputs!$C$52+Y240/1000)^2-2*(Inputs!$C$52+B240)*(Inputs!$C$52+Y240/1000)*COS(SQRT(A240^2+Inputs!$C$6^2)/Inputs!$C$52))</f>
        <v/>
      </c>
      <c r="AB240" s="9">
        <f>(AA240-Z240)*1000</f>
        <v/>
      </c>
      <c r="AC240" s="9">
        <f>AB240/Inputs!$C$12</f>
        <v/>
      </c>
      <c r="AD240" s="9">
        <f>2*AB240/Inputs!$C$21*1000000</f>
        <v/>
      </c>
      <c r="AE240" s="9">
        <f>DEGREES(ATAN(H240/(B240-Y240/1000)))</f>
        <v/>
      </c>
      <c r="AF240" s="9">
        <f>DEGREES((2*PI()/Inputs!$C$13)*Inputs!$C$15*SIN(RADIANS(AE240)))</f>
        <v/>
      </c>
      <c r="AG240" s="9">
        <f>(Z240/AA240)^4</f>
        <v/>
      </c>
      <c r="AH240" s="9">
        <f>10*LOG10(AG240)</f>
        <v/>
      </c>
      <c r="AI240" s="9">
        <f>AC240-F240</f>
        <v/>
      </c>
      <c r="AJ240" s="9">
        <f>AD240-G240</f>
        <v/>
      </c>
      <c r="AK240" s="9">
        <f>Y240-X240</f>
        <v/>
      </c>
      <c r="AL240" s="9">
        <f>1000*(AA241-AA239)/(A241-A239)*Inputs!$C$11</f>
        <v/>
      </c>
      <c r="AM240" s="9">
        <f>-2*AL240/Inputs!$C$13</f>
        <v/>
      </c>
      <c r="AN240" s="9">
        <f>-2*AL240/Inputs!$C$14</f>
        <v/>
      </c>
      <c r="AO240" s="9">
        <f>ABS(AM240)</f>
        <v/>
      </c>
      <c r="AP240" s="9">
        <f>ABS(AN240)</f>
        <v/>
      </c>
      <c r="AQ240" s="9">
        <f>IF(OR(Inputs!$C$27=TRUE,Inputs!$C$27="TRUE",Inputs!$C$27=1),Inputs!$C$46/Inputs!$C$12,0)</f>
        <v/>
      </c>
      <c r="AR240" s="9">
        <f>AC240-AQ240</f>
        <v/>
      </c>
      <c r="AS240" s="9">
        <f>AC240+AQ240</f>
        <v/>
      </c>
    </row>
    <row r="241">
      <c r="A241" s="9">
        <f>Inputs!$C$7+239*(Inputs!$C$8-Inputs!$C$7)/240</f>
        <v/>
      </c>
      <c r="B241" s="9">
        <f>Inputs!$C$5+Inputs!$C$9*(A241/Inputs!$C$10)^2</f>
        <v/>
      </c>
      <c r="C241" s="9">
        <f>B241</f>
        <v/>
      </c>
      <c r="D241" s="9">
        <f>SQRT((Inputs!$C$52+B241)^2+Inputs!$C$52^2-2*(Inputs!$C$52+B241)*Inputs!$C$52*COS(SQRT(A241^2+Inputs!$C$6^2)/Inputs!$C$52))</f>
        <v/>
      </c>
      <c r="E241" s="9">
        <f>(D241-C241)*1000</f>
        <v/>
      </c>
      <c r="F241" s="9">
        <f>E241/Inputs!$C$12</f>
        <v/>
      </c>
      <c r="G241" s="9">
        <f>2*E241/Inputs!$C$21*1000000</f>
        <v/>
      </c>
      <c r="H241" s="9">
        <f>SQRT(A241^2+Inputs!$C$6^2)</f>
        <v/>
      </c>
      <c r="I241" s="9">
        <f>DEGREES(ATAN(H241/B241))</f>
        <v/>
      </c>
      <c r="J241" s="9">
        <f>DEGREES((2*PI()/Inputs!$C$13)*Inputs!$C$15*SIN(RADIANS(I241)))</f>
        <v/>
      </c>
      <c r="K241" s="9">
        <f>(C241/D241)^4</f>
        <v/>
      </c>
      <c r="L241" s="9">
        <f>10*LOG10(K241)</f>
        <v/>
      </c>
      <c r="M241" s="9">
        <f>2*(Inputs!$C$9/(Inputs!$C$10^2))*A241</f>
        <v/>
      </c>
      <c r="N241" s="9">
        <f>M241*Inputs!$C$11</f>
        <v/>
      </c>
      <c r="O241" s="9">
        <f>1000*(D242-D240)/(A242-A240)*Inputs!$C$11</f>
        <v/>
      </c>
      <c r="P241" s="9">
        <f>-2*O241/Inputs!$C$13</f>
        <v/>
      </c>
      <c r="Q241" s="9">
        <f>-2*O241/Inputs!$C$14</f>
        <v/>
      </c>
      <c r="R241" s="9">
        <f>F241-Inputs!$C$16/2</f>
        <v/>
      </c>
      <c r="S241" s="9">
        <f>F241+Inputs!$C$16/2</f>
        <v/>
      </c>
      <c r="T241" s="9">
        <f>F241-Inputs!$C$17/2</f>
        <v/>
      </c>
      <c r="U241" s="9">
        <f>F241+Inputs!$C$17/2</f>
        <v/>
      </c>
      <c r="V241" s="9">
        <f>ABS(P241)</f>
        <v/>
      </c>
      <c r="W241" s="9">
        <f>ABS(Q241)</f>
        <v/>
      </c>
      <c r="X241" s="9">
        <f>IF(OR(Inputs!$C$27=TRUE,Inputs!$C$27="TRUE",Inputs!$C$27=1),1,0)*(Inputs!$C$51*(115*EXP(-(((0)-25)^2)/(4.5^2))+70*EXP(-(((0)+38)^2)/(7^2))*(0.55+0.45*SIN(2*PI()*(A241)/45))+24*SIN(2*PI()*(0)/9+(A241)/18)*EXP(-(((0)+5)^2)/(22^2))+18*SIN(2*PI()*(A241)/70))+Inputs!$C$28*EXP(-(((A241)-Inputs!$C$29)^2)/(2*Inputs!$C$31^2))*EXP(-(((0)-Inputs!$C$30)^2)/(2*Inputs!$C$32^2))+-Inputs!$C$33*EXP(-(((((A241)-Inputs!$C$34)^2)+(((0)-Inputs!$C$35)^2))/(2*Inputs!$C$36^2)))+Inputs!$C$37*(0.55*SIN(2*PI()*(A241)/Inputs!$C$39)+0.35*COS(2*PI()*(0)/Inputs!$C$40)+0.2*SIN(2*PI()*((A241)+(0))/(0.5*(Inputs!$C$39+Inputs!$C$40))))+Inputs!$C$38*SIN(2*PI()*(A241)/Inputs!$C$39)*SIN(2*PI()*(0)/Inputs!$C$40)+-Inputs!$C$41*EXP(-(((0)-Inputs!$C$43)^2)/(2*Inputs!$C$44^2))*EXP(-(((A241)-Inputs!$C$42)^2)/(2*Inputs!$C$45^2))+Inputs!$C$48*(0.7*(0.45*SIN(2*PI()*(((A241)/Inputs!$C$49)+Inputs!$C$47*0.137))+0.35*COS(2*PI()*(((0)/Inputs!$C$50)+Inputs!$C$47*0.173))+0.2*SIN(2*PI()*(((A241)+(0))/(0.5*(Inputs!$C$49+Inputs!$C$50))+Inputs!$C$47*0.097)))+0.3*(2*((SIN(((A241)*12.9898+(0)*78.233+Inputs!$C$47*37.719))*43758.5453)-INT((SIN(((A241)*12.9898+(0)*78.233+Inputs!$C$47*37.719))*43758.5453)))-1)))</f>
        <v/>
      </c>
      <c r="Y241" s="9">
        <f>IF(OR(Inputs!$C$27=TRUE,Inputs!$C$27="TRUE",Inputs!$C$27=1),1,0)*(Inputs!$C$51*(115*EXP(-(((Inputs!$C$6)-25)^2)/(4.5^2))+70*EXP(-(((Inputs!$C$6)+38)^2)/(7^2))*(0.55+0.45*SIN(2*PI()*(A241)/45))+24*SIN(2*PI()*(Inputs!$C$6)/9+(A241)/18)*EXP(-(((Inputs!$C$6)+5)^2)/(22^2))+18*SIN(2*PI()*(A241)/70))+Inputs!$C$28*EXP(-(((A241)-Inputs!$C$29)^2)/(2*Inputs!$C$31^2))*EXP(-(((Inputs!$C$6)-Inputs!$C$30)^2)/(2*Inputs!$C$32^2))+-Inputs!$C$33*EXP(-(((((A241)-Inputs!$C$34)^2)+(((Inputs!$C$6)-Inputs!$C$35)^2))/(2*Inputs!$C$36^2)))+Inputs!$C$37*(0.55*SIN(2*PI()*(A241)/Inputs!$C$39)+0.35*COS(2*PI()*(Inputs!$C$6)/Inputs!$C$40)+0.2*SIN(2*PI()*((A241)+(Inputs!$C$6))/(0.5*(Inputs!$C$39+Inputs!$C$40))))+Inputs!$C$38*SIN(2*PI()*(A241)/Inputs!$C$39)*SIN(2*PI()*(Inputs!$C$6)/Inputs!$C$40)+-Inputs!$C$41*EXP(-(((Inputs!$C$6)-Inputs!$C$43)^2)/(2*Inputs!$C$44^2))*EXP(-(((A241)-Inputs!$C$42)^2)/(2*Inputs!$C$45^2))+Inputs!$C$48*(0.7*(0.45*SIN(2*PI()*(((A241)/Inputs!$C$49)+Inputs!$C$47*0.137))+0.35*COS(2*PI()*(((Inputs!$C$6)/Inputs!$C$50)+Inputs!$C$47*0.173))+0.2*SIN(2*PI()*(((A241)+(Inputs!$C$6))/(0.5*(Inputs!$C$49+Inputs!$C$50))+Inputs!$C$47*0.097)))+0.3*(2*((SIN(((A241)*12.9898+(Inputs!$C$6)*78.233+Inputs!$C$47*37.719))*43758.5453)-INT((SIN(((A241)*12.9898+(Inputs!$C$6)*78.233+Inputs!$C$47*37.719))*43758.5453)))-1)))</f>
        <v/>
      </c>
      <c r="Z241" s="9">
        <f>B241-X241/1000</f>
        <v/>
      </c>
      <c r="AA241" s="9">
        <f>SQRT((Inputs!$C$52+B241)^2+(Inputs!$C$52+Y241/1000)^2-2*(Inputs!$C$52+B241)*(Inputs!$C$52+Y241/1000)*COS(SQRT(A241^2+Inputs!$C$6^2)/Inputs!$C$52))</f>
        <v/>
      </c>
      <c r="AB241" s="9">
        <f>(AA241-Z241)*1000</f>
        <v/>
      </c>
      <c r="AC241" s="9">
        <f>AB241/Inputs!$C$12</f>
        <v/>
      </c>
      <c r="AD241" s="9">
        <f>2*AB241/Inputs!$C$21*1000000</f>
        <v/>
      </c>
      <c r="AE241" s="9">
        <f>DEGREES(ATAN(H241/(B241-Y241/1000)))</f>
        <v/>
      </c>
      <c r="AF241" s="9">
        <f>DEGREES((2*PI()/Inputs!$C$13)*Inputs!$C$15*SIN(RADIANS(AE241)))</f>
        <v/>
      </c>
      <c r="AG241" s="9">
        <f>(Z241/AA241)^4</f>
        <v/>
      </c>
      <c r="AH241" s="9">
        <f>10*LOG10(AG241)</f>
        <v/>
      </c>
      <c r="AI241" s="9">
        <f>AC241-F241</f>
        <v/>
      </c>
      <c r="AJ241" s="9">
        <f>AD241-G241</f>
        <v/>
      </c>
      <c r="AK241" s="9">
        <f>Y241-X241</f>
        <v/>
      </c>
      <c r="AL241" s="9">
        <f>1000*(AA242-AA240)/(A242-A240)*Inputs!$C$11</f>
        <v/>
      </c>
      <c r="AM241" s="9">
        <f>-2*AL241/Inputs!$C$13</f>
        <v/>
      </c>
      <c r="AN241" s="9">
        <f>-2*AL241/Inputs!$C$14</f>
        <v/>
      </c>
      <c r="AO241" s="9">
        <f>ABS(AM241)</f>
        <v/>
      </c>
      <c r="AP241" s="9">
        <f>ABS(AN241)</f>
        <v/>
      </c>
      <c r="AQ241" s="9">
        <f>IF(OR(Inputs!$C$27=TRUE,Inputs!$C$27="TRUE",Inputs!$C$27=1),Inputs!$C$46/Inputs!$C$12,0)</f>
        <v/>
      </c>
      <c r="AR241" s="9">
        <f>AC241-AQ241</f>
        <v/>
      </c>
      <c r="AS241" s="9">
        <f>AC241+AQ241</f>
        <v/>
      </c>
    </row>
    <row r="242">
      <c r="A242" s="9">
        <f>Inputs!$C$7+240*(Inputs!$C$8-Inputs!$C$7)/240</f>
        <v/>
      </c>
      <c r="B242" s="9">
        <f>Inputs!$C$5+Inputs!$C$9*(A242/Inputs!$C$10)^2</f>
        <v/>
      </c>
      <c r="C242" s="9">
        <f>B242</f>
        <v/>
      </c>
      <c r="D242" s="9">
        <f>SQRT((Inputs!$C$52+B242)^2+Inputs!$C$52^2-2*(Inputs!$C$52+B242)*Inputs!$C$52*COS(SQRT(A242^2+Inputs!$C$6^2)/Inputs!$C$52))</f>
        <v/>
      </c>
      <c r="E242" s="9">
        <f>(D242-C242)*1000</f>
        <v/>
      </c>
      <c r="F242" s="9">
        <f>E242/Inputs!$C$12</f>
        <v/>
      </c>
      <c r="G242" s="9">
        <f>2*E242/Inputs!$C$21*1000000</f>
        <v/>
      </c>
      <c r="H242" s="9">
        <f>SQRT(A242^2+Inputs!$C$6^2)</f>
        <v/>
      </c>
      <c r="I242" s="9">
        <f>DEGREES(ATAN(H242/B242))</f>
        <v/>
      </c>
      <c r="J242" s="9">
        <f>DEGREES((2*PI()/Inputs!$C$13)*Inputs!$C$15*SIN(RADIANS(I242)))</f>
        <v/>
      </c>
      <c r="K242" s="9">
        <f>(C242/D242)^4</f>
        <v/>
      </c>
      <c r="L242" s="9">
        <f>10*LOG10(K242)</f>
        <v/>
      </c>
      <c r="M242" s="9">
        <f>2*(Inputs!$C$9/(Inputs!$C$10^2))*A242</f>
        <v/>
      </c>
      <c r="N242" s="9">
        <f>M242*Inputs!$C$11</f>
        <v/>
      </c>
      <c r="O242" s="9">
        <f>1000*(D242-D241)/(A242-A241)*Inputs!$C$11</f>
        <v/>
      </c>
      <c r="P242" s="9">
        <f>-2*O242/Inputs!$C$13</f>
        <v/>
      </c>
      <c r="Q242" s="9">
        <f>-2*O242/Inputs!$C$14</f>
        <v/>
      </c>
      <c r="R242" s="9">
        <f>F242-Inputs!$C$16/2</f>
        <v/>
      </c>
      <c r="S242" s="9">
        <f>F242+Inputs!$C$16/2</f>
        <v/>
      </c>
      <c r="T242" s="9">
        <f>F242-Inputs!$C$17/2</f>
        <v/>
      </c>
      <c r="U242" s="9">
        <f>F242+Inputs!$C$17/2</f>
        <v/>
      </c>
      <c r="V242" s="9">
        <f>ABS(P242)</f>
        <v/>
      </c>
      <c r="W242" s="9">
        <f>ABS(Q242)</f>
        <v/>
      </c>
      <c r="X242" s="9">
        <f>IF(OR(Inputs!$C$27=TRUE,Inputs!$C$27="TRUE",Inputs!$C$27=1),1,0)*(Inputs!$C$51*(115*EXP(-(((0)-25)^2)/(4.5^2))+70*EXP(-(((0)+38)^2)/(7^2))*(0.55+0.45*SIN(2*PI()*(A242)/45))+24*SIN(2*PI()*(0)/9+(A242)/18)*EXP(-(((0)+5)^2)/(22^2))+18*SIN(2*PI()*(A242)/70))+Inputs!$C$28*EXP(-(((A242)-Inputs!$C$29)^2)/(2*Inputs!$C$31^2))*EXP(-(((0)-Inputs!$C$30)^2)/(2*Inputs!$C$32^2))+-Inputs!$C$33*EXP(-(((((A242)-Inputs!$C$34)^2)+(((0)-Inputs!$C$35)^2))/(2*Inputs!$C$36^2)))+Inputs!$C$37*(0.55*SIN(2*PI()*(A242)/Inputs!$C$39)+0.35*COS(2*PI()*(0)/Inputs!$C$40)+0.2*SIN(2*PI()*((A242)+(0))/(0.5*(Inputs!$C$39+Inputs!$C$40))))+Inputs!$C$38*SIN(2*PI()*(A242)/Inputs!$C$39)*SIN(2*PI()*(0)/Inputs!$C$40)+-Inputs!$C$41*EXP(-(((0)-Inputs!$C$43)^2)/(2*Inputs!$C$44^2))*EXP(-(((A242)-Inputs!$C$42)^2)/(2*Inputs!$C$45^2))+Inputs!$C$48*(0.7*(0.45*SIN(2*PI()*(((A242)/Inputs!$C$49)+Inputs!$C$47*0.137))+0.35*COS(2*PI()*(((0)/Inputs!$C$50)+Inputs!$C$47*0.173))+0.2*SIN(2*PI()*(((A242)+(0))/(0.5*(Inputs!$C$49+Inputs!$C$50))+Inputs!$C$47*0.097)))+0.3*(2*((SIN(((A242)*12.9898+(0)*78.233+Inputs!$C$47*37.719))*43758.5453)-INT((SIN(((A242)*12.9898+(0)*78.233+Inputs!$C$47*37.719))*43758.5453)))-1)))</f>
        <v/>
      </c>
      <c r="Y242" s="9">
        <f>IF(OR(Inputs!$C$27=TRUE,Inputs!$C$27="TRUE",Inputs!$C$27=1),1,0)*(Inputs!$C$51*(115*EXP(-(((Inputs!$C$6)-25)^2)/(4.5^2))+70*EXP(-(((Inputs!$C$6)+38)^2)/(7^2))*(0.55+0.45*SIN(2*PI()*(A242)/45))+24*SIN(2*PI()*(Inputs!$C$6)/9+(A242)/18)*EXP(-(((Inputs!$C$6)+5)^2)/(22^2))+18*SIN(2*PI()*(A242)/70))+Inputs!$C$28*EXP(-(((A242)-Inputs!$C$29)^2)/(2*Inputs!$C$31^2))*EXP(-(((Inputs!$C$6)-Inputs!$C$30)^2)/(2*Inputs!$C$32^2))+-Inputs!$C$33*EXP(-(((((A242)-Inputs!$C$34)^2)+(((Inputs!$C$6)-Inputs!$C$35)^2))/(2*Inputs!$C$36^2)))+Inputs!$C$37*(0.55*SIN(2*PI()*(A242)/Inputs!$C$39)+0.35*COS(2*PI()*(Inputs!$C$6)/Inputs!$C$40)+0.2*SIN(2*PI()*((A242)+(Inputs!$C$6))/(0.5*(Inputs!$C$39+Inputs!$C$40))))+Inputs!$C$38*SIN(2*PI()*(A242)/Inputs!$C$39)*SIN(2*PI()*(Inputs!$C$6)/Inputs!$C$40)+-Inputs!$C$41*EXP(-(((Inputs!$C$6)-Inputs!$C$43)^2)/(2*Inputs!$C$44^2))*EXP(-(((A242)-Inputs!$C$42)^2)/(2*Inputs!$C$45^2))+Inputs!$C$48*(0.7*(0.45*SIN(2*PI()*(((A242)/Inputs!$C$49)+Inputs!$C$47*0.137))+0.35*COS(2*PI()*(((Inputs!$C$6)/Inputs!$C$50)+Inputs!$C$47*0.173))+0.2*SIN(2*PI()*(((A242)+(Inputs!$C$6))/(0.5*(Inputs!$C$49+Inputs!$C$50))+Inputs!$C$47*0.097)))+0.3*(2*((SIN(((A242)*12.9898+(Inputs!$C$6)*78.233+Inputs!$C$47*37.719))*43758.5453)-INT((SIN(((A242)*12.9898+(Inputs!$C$6)*78.233+Inputs!$C$47*37.719))*43758.5453)))-1)))</f>
        <v/>
      </c>
      <c r="Z242" s="9">
        <f>B242-X242/1000</f>
        <v/>
      </c>
      <c r="AA242" s="9">
        <f>SQRT((Inputs!$C$52+B242)^2+(Inputs!$C$52+Y242/1000)^2-2*(Inputs!$C$52+B242)*(Inputs!$C$52+Y242/1000)*COS(SQRT(A242^2+Inputs!$C$6^2)/Inputs!$C$52))</f>
        <v/>
      </c>
      <c r="AB242" s="9">
        <f>(AA242-Z242)*1000</f>
        <v/>
      </c>
      <c r="AC242" s="9">
        <f>AB242/Inputs!$C$12</f>
        <v/>
      </c>
      <c r="AD242" s="9">
        <f>2*AB242/Inputs!$C$21*1000000</f>
        <v/>
      </c>
      <c r="AE242" s="9">
        <f>DEGREES(ATAN(H242/(B242-Y242/1000)))</f>
        <v/>
      </c>
      <c r="AF242" s="9">
        <f>DEGREES((2*PI()/Inputs!$C$13)*Inputs!$C$15*SIN(RADIANS(AE242)))</f>
        <v/>
      </c>
      <c r="AG242" s="9">
        <f>(Z242/AA242)^4</f>
        <v/>
      </c>
      <c r="AH242" s="9">
        <f>10*LOG10(AG242)</f>
        <v/>
      </c>
      <c r="AI242" s="9">
        <f>AC242-F242</f>
        <v/>
      </c>
      <c r="AJ242" s="9">
        <f>AD242-G242</f>
        <v/>
      </c>
      <c r="AK242" s="9">
        <f>Y242-X242</f>
        <v/>
      </c>
      <c r="AL242" s="9">
        <f>1000*(AA242-AA241)/(A242-A241)*Inputs!$C$11</f>
        <v/>
      </c>
      <c r="AM242" s="9">
        <f>-2*AL242/Inputs!$C$13</f>
        <v/>
      </c>
      <c r="AN242" s="9">
        <f>-2*AL242/Inputs!$C$14</f>
        <v/>
      </c>
      <c r="AO242" s="9">
        <f>ABS(AM242)</f>
        <v/>
      </c>
      <c r="AP242" s="9">
        <f>ABS(AN242)</f>
        <v/>
      </c>
      <c r="AQ242" s="9">
        <f>IF(OR(Inputs!$C$27=TRUE,Inputs!$C$27="TRUE",Inputs!$C$27=1),Inputs!$C$46/Inputs!$C$12,0)</f>
        <v/>
      </c>
      <c r="AR242" s="9">
        <f>AC242-AQ242</f>
        <v/>
      </c>
      <c r="AS242" s="9">
        <f>AC242+AQ242</f>
        <v/>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AB242"/>
  <sheetViews>
    <sheetView showGridLines="0" workbookViewId="0">
      <selection activeCell="A1" sqref="A1"/>
    </sheetView>
  </sheetViews>
  <sheetFormatPr baseColWidth="8" defaultRowHeight="13.5"/>
  <cols>
    <col width="12" customWidth="1" min="1" max="1"/>
    <col width="24" customWidth="1" min="2" max="2"/>
    <col width="36" customWidth="1" min="3" max="3"/>
    <col width="32" customWidth="1" min="4" max="4"/>
    <col width="38" customWidth="1" min="5" max="5"/>
    <col width="4" customWidth="1" min="6" max="6"/>
    <col width="12" customWidth="1" min="7" max="7"/>
    <col width="24" customWidth="1" min="8" max="8"/>
    <col width="30" customWidth="1" min="9" max="10"/>
    <col width="12" customWidth="1" min="11" max="11"/>
    <col width="32" customWidth="1" min="12" max="13"/>
    <col width="44" customWidth="1" min="14" max="14"/>
    <col width="4" customWidth="1" min="15" max="15"/>
    <col width="12" customWidth="1" min="16" max="16"/>
    <col width="20" customWidth="1" min="17" max="17"/>
    <col width="28" customWidth="1" min="18" max="18"/>
    <col width="20" customWidth="1" min="19" max="19"/>
    <col width="28" customWidth="1" min="20" max="20"/>
    <col width="4" customWidth="1" min="21" max="21"/>
    <col width="12" customWidth="1" min="22" max="22"/>
    <col width="22" customWidth="1" min="23" max="23"/>
    <col width="4" customWidth="1" min="24" max="24"/>
    <col width="12" customWidth="1" min="25" max="25"/>
    <col width="24" customWidth="1" min="26" max="26"/>
    <col width="36" customWidth="1" min="27" max="27"/>
    <col width="32" customWidth="1" min="28" max="28"/>
  </cols>
  <sheetData>
    <row r="1" ht="26.25" customHeight="1">
      <c r="A1" s="2" t="inlineStr">
        <is>
          <t>x (km)</t>
        </is>
      </c>
      <c r="B1" s="2" t="inlineStr">
        <is>
          <t>Zero-depth nadir reference (0 m)</t>
        </is>
      </c>
      <c r="C1" s="2" t="inlineStr">
        <is>
          <t>Constant-altitude off-nadir reading (m)</t>
        </is>
      </c>
      <c r="D1" s="2" t="inlineStr">
        <is>
          <t>Parabolic flat-surface reading (m)</t>
        </is>
      </c>
      <c r="E1" s="2" t="inlineStr">
        <is>
          <t>Parabolic topography-adjusted reading (m)</t>
        </is>
      </c>
      <c r="G1" s="2" t="inlineStr">
        <is>
          <t>x (km)</t>
        </is>
      </c>
      <c r="H1" s="2" t="inlineStr">
        <is>
          <t>Reference floor (generated topography, m)</t>
        </is>
      </c>
      <c r="I1" s="2" t="inlineStr">
        <is>
          <t>Off-nadir target topography height (m)</t>
        </is>
      </c>
      <c r="J1" s="2" t="inlineStr">
        <is>
          <t>Nadir topography height (m)</t>
        </is>
      </c>
      <c r="K1" s="2" t="inlineStr">
        <is>
          <t>x (km)</t>
        </is>
      </c>
      <c r="L1" s="2" t="inlineStr">
        <is>
          <t>Off-nadir target surface height (m)</t>
        </is>
      </c>
      <c r="M1" s="2" t="inlineStr">
        <is>
          <t>Nadir surface height (m)</t>
        </is>
      </c>
      <c r="N1" s="2" t="inlineStr">
        <is>
          <t>Off-nadir satellite apparent surface height equivalent (m)</t>
        </is>
      </c>
      <c r="P1" s="2" t="inlineStr">
        <is>
          <t>x (km)</t>
        </is>
      </c>
      <c r="Q1" s="2" t="inlineStr">
        <is>
          <t>Flat-geometry VHF Doppler (Hz)</t>
        </is>
      </c>
      <c r="R1" s="2" t="inlineStr">
        <is>
          <t>Topography-adjusted VHF Doppler (Hz)</t>
        </is>
      </c>
      <c r="S1" s="2" t="inlineStr">
        <is>
          <t>Flat-geometry HF Doppler (Hz)</t>
        </is>
      </c>
      <c r="T1" s="2" t="inlineStr">
        <is>
          <t>Topography-adjusted HF Doppler (Hz)</t>
        </is>
      </c>
      <c r="V1" s="2" t="inlineStr">
        <is>
          <t>x (km)</t>
        </is>
      </c>
      <c r="W1" s="2" t="inlineStr">
        <is>
          <t>Altitude rise above z0 (km)</t>
        </is>
      </c>
      <c r="Y1" s="2" t="inlineStr">
        <is>
          <t>x (km)</t>
        </is>
      </c>
      <c r="Z1" s="2" t="inlineStr">
        <is>
          <t>Zero-depth nadir reference (0 m)</t>
        </is>
      </c>
      <c r="AA1" s="2" t="inlineStr">
        <is>
          <t>Flat ground + constant satellite altitude reading (m)</t>
        </is>
      </c>
      <c r="AB1" s="2" t="inlineStr">
        <is>
          <t>Flat ground + parabolic satellite path reading (m)</t>
        </is>
      </c>
    </row>
    <row r="2">
      <c r="A2" s="9">
        <f>Model_Data!A2</f>
        <v/>
      </c>
      <c r="B2" s="9">
        <f>0</f>
        <v/>
      </c>
      <c r="C2" s="9">
        <f>((SQRT((Inputs!$C$52+Inputs!$C$5)^2+Inputs!$C$52^2-2*(Inputs!$C$52+Inputs!$C$5)*Inputs!$C$52*COS(SQRT((Model_Data!A2)^2+Inputs!$C$6^2)/Inputs!$C$52))-Inputs!$C$5)*1000/Inputs!$C$12)</f>
        <v/>
      </c>
      <c r="D2" s="9">
        <f>Model_Data!F2</f>
        <v/>
      </c>
      <c r="E2" s="9">
        <f>Model_Data!AC2</f>
        <v/>
      </c>
      <c r="F2" s="10" t="n"/>
      <c r="G2" s="9">
        <f>Model_Data!A2</f>
        <v/>
      </c>
      <c r="H2" s="9">
        <f>Model_Data!Y2</f>
        <v/>
      </c>
      <c r="I2" s="9">
        <f>Model_Data!Y2</f>
        <v/>
      </c>
      <c r="J2" s="9">
        <f>Model_Data!X2</f>
        <v/>
      </c>
      <c r="K2" s="9">
        <f>Model_Data!A2</f>
        <v/>
      </c>
      <c r="L2" s="9">
        <f>Model_Data!Y2</f>
        <v/>
      </c>
      <c r="M2" s="9">
        <f>Model_Data!X2</f>
        <v/>
      </c>
      <c r="N2" s="9">
        <f>-(Model_Data!AC2-Model_Data!F2)*Inputs!$C$12</f>
        <v/>
      </c>
      <c r="O2" s="10" t="n"/>
      <c r="P2" s="9">
        <f>Model_Data!A2</f>
        <v/>
      </c>
      <c r="Q2" s="9">
        <f>Model_Data!P2</f>
        <v/>
      </c>
      <c r="R2" s="9">
        <f>Model_Data!AM2</f>
        <v/>
      </c>
      <c r="S2" s="9">
        <f>Model_Data!Q2</f>
        <v/>
      </c>
      <c r="T2" s="9">
        <f>Model_Data!AN2</f>
        <v/>
      </c>
      <c r="U2" s="10" t="n"/>
      <c r="V2" s="9">
        <f>Model_Data!A2</f>
        <v/>
      </c>
      <c r="W2" s="9">
        <f>Model_Data!B2-Inputs!$C$5</f>
        <v/>
      </c>
      <c r="X2" s="10" t="n"/>
      <c r="Y2" s="9">
        <f>Model_Data!A2</f>
        <v/>
      </c>
      <c r="Z2" s="9">
        <f>0</f>
        <v/>
      </c>
      <c r="AA2" s="9">
        <f>((SQRT((Inputs!$C$52+Inputs!$C$5)^2+Inputs!$C$52^2-2*(Inputs!$C$52+Inputs!$C$5)*Inputs!$C$52*COS(SQRT((Model_Data!A2)^2+Inputs!$C$6^2)/Inputs!$C$52))-Inputs!$C$5)*1000/Inputs!$C$12)</f>
        <v/>
      </c>
      <c r="AB2" s="9">
        <f>Model_Data!F2</f>
        <v/>
      </c>
    </row>
    <row r="3">
      <c r="A3" s="9">
        <f>Model_Data!A3</f>
        <v/>
      </c>
      <c r="B3" s="9">
        <f>0</f>
        <v/>
      </c>
      <c r="C3" s="9">
        <f>((SQRT((Inputs!$C$52+Inputs!$C$5)^2+Inputs!$C$52^2-2*(Inputs!$C$52+Inputs!$C$5)*Inputs!$C$52*COS(SQRT((Model_Data!A3)^2+Inputs!$C$6^2)/Inputs!$C$52))-Inputs!$C$5)*1000/Inputs!$C$12)</f>
        <v/>
      </c>
      <c r="D3" s="9">
        <f>Model_Data!F3</f>
        <v/>
      </c>
      <c r="E3" s="9">
        <f>Model_Data!AC3</f>
        <v/>
      </c>
      <c r="F3" s="10" t="n"/>
      <c r="G3" s="9">
        <f>Model_Data!A3</f>
        <v/>
      </c>
      <c r="H3" s="9">
        <f>Model_Data!Y3</f>
        <v/>
      </c>
      <c r="I3" s="9">
        <f>Model_Data!Y3</f>
        <v/>
      </c>
      <c r="J3" s="9">
        <f>Model_Data!X3</f>
        <v/>
      </c>
      <c r="K3" s="9">
        <f>Model_Data!A3</f>
        <v/>
      </c>
      <c r="L3" s="9">
        <f>Model_Data!Y3</f>
        <v/>
      </c>
      <c r="M3" s="9">
        <f>Model_Data!X3</f>
        <v/>
      </c>
      <c r="N3" s="9">
        <f>-(Model_Data!AC3-Model_Data!F3)*Inputs!$C$12</f>
        <v/>
      </c>
      <c r="O3" s="10" t="n"/>
      <c r="P3" s="9">
        <f>Model_Data!A3</f>
        <v/>
      </c>
      <c r="Q3" s="9">
        <f>Model_Data!P3</f>
        <v/>
      </c>
      <c r="R3" s="9">
        <f>Model_Data!AM3</f>
        <v/>
      </c>
      <c r="S3" s="9">
        <f>Model_Data!Q3</f>
        <v/>
      </c>
      <c r="T3" s="9">
        <f>Model_Data!AN3</f>
        <v/>
      </c>
      <c r="U3" s="10" t="n"/>
      <c r="V3" s="9">
        <f>Model_Data!A3</f>
        <v/>
      </c>
      <c r="W3" s="9">
        <f>Model_Data!B3-Inputs!$C$5</f>
        <v/>
      </c>
      <c r="X3" s="10" t="n"/>
      <c r="Y3" s="9">
        <f>Model_Data!A3</f>
        <v/>
      </c>
      <c r="Z3" s="9">
        <f>0</f>
        <v/>
      </c>
      <c r="AA3" s="9">
        <f>((SQRT((Inputs!$C$52+Inputs!$C$5)^2+Inputs!$C$52^2-2*(Inputs!$C$52+Inputs!$C$5)*Inputs!$C$52*COS(SQRT((Model_Data!A3)^2+Inputs!$C$6^2)/Inputs!$C$52))-Inputs!$C$5)*1000/Inputs!$C$12)</f>
        <v/>
      </c>
      <c r="AB3" s="9">
        <f>Model_Data!F3</f>
        <v/>
      </c>
    </row>
    <row r="4">
      <c r="A4" s="9">
        <f>Model_Data!A4</f>
        <v/>
      </c>
      <c r="B4" s="9">
        <f>0</f>
        <v/>
      </c>
      <c r="C4" s="9">
        <f>((SQRT((Inputs!$C$52+Inputs!$C$5)^2+Inputs!$C$52^2-2*(Inputs!$C$52+Inputs!$C$5)*Inputs!$C$52*COS(SQRT((Model_Data!A4)^2+Inputs!$C$6^2)/Inputs!$C$52))-Inputs!$C$5)*1000/Inputs!$C$12)</f>
        <v/>
      </c>
      <c r="D4" s="9">
        <f>Model_Data!F4</f>
        <v/>
      </c>
      <c r="E4" s="9">
        <f>Model_Data!AC4</f>
        <v/>
      </c>
      <c r="F4" s="10" t="n"/>
      <c r="G4" s="9">
        <f>Model_Data!A4</f>
        <v/>
      </c>
      <c r="H4" s="9">
        <f>Model_Data!Y4</f>
        <v/>
      </c>
      <c r="I4" s="9">
        <f>Model_Data!Y4</f>
        <v/>
      </c>
      <c r="J4" s="9">
        <f>Model_Data!X4</f>
        <v/>
      </c>
      <c r="K4" s="9">
        <f>Model_Data!A4</f>
        <v/>
      </c>
      <c r="L4" s="9">
        <f>Model_Data!Y4</f>
        <v/>
      </c>
      <c r="M4" s="9">
        <f>Model_Data!X4</f>
        <v/>
      </c>
      <c r="N4" s="9">
        <f>-(Model_Data!AC4-Model_Data!F4)*Inputs!$C$12</f>
        <v/>
      </c>
      <c r="O4" s="10" t="n"/>
      <c r="P4" s="9">
        <f>Model_Data!A4</f>
        <v/>
      </c>
      <c r="Q4" s="9">
        <f>Model_Data!P4</f>
        <v/>
      </c>
      <c r="R4" s="9">
        <f>Model_Data!AM4</f>
        <v/>
      </c>
      <c r="S4" s="9">
        <f>Model_Data!Q4</f>
        <v/>
      </c>
      <c r="T4" s="9">
        <f>Model_Data!AN4</f>
        <v/>
      </c>
      <c r="U4" s="10" t="n"/>
      <c r="V4" s="9">
        <f>Model_Data!A4</f>
        <v/>
      </c>
      <c r="W4" s="9">
        <f>Model_Data!B4-Inputs!$C$5</f>
        <v/>
      </c>
      <c r="X4" s="10" t="n"/>
      <c r="Y4" s="9">
        <f>Model_Data!A4</f>
        <v/>
      </c>
      <c r="Z4" s="9">
        <f>0</f>
        <v/>
      </c>
      <c r="AA4" s="9">
        <f>((SQRT((Inputs!$C$52+Inputs!$C$5)^2+Inputs!$C$52^2-2*(Inputs!$C$52+Inputs!$C$5)*Inputs!$C$52*COS(SQRT((Model_Data!A4)^2+Inputs!$C$6^2)/Inputs!$C$52))-Inputs!$C$5)*1000/Inputs!$C$12)</f>
        <v/>
      </c>
      <c r="AB4" s="9">
        <f>Model_Data!F4</f>
        <v/>
      </c>
    </row>
    <row r="5">
      <c r="A5" s="9">
        <f>Model_Data!A5</f>
        <v/>
      </c>
      <c r="B5" s="9">
        <f>0</f>
        <v/>
      </c>
      <c r="C5" s="9">
        <f>((SQRT((Inputs!$C$52+Inputs!$C$5)^2+Inputs!$C$52^2-2*(Inputs!$C$52+Inputs!$C$5)*Inputs!$C$52*COS(SQRT((Model_Data!A5)^2+Inputs!$C$6^2)/Inputs!$C$52))-Inputs!$C$5)*1000/Inputs!$C$12)</f>
        <v/>
      </c>
      <c r="D5" s="9">
        <f>Model_Data!F5</f>
        <v/>
      </c>
      <c r="E5" s="9">
        <f>Model_Data!AC5</f>
        <v/>
      </c>
      <c r="F5" s="10" t="n"/>
      <c r="G5" s="9">
        <f>Model_Data!A5</f>
        <v/>
      </c>
      <c r="H5" s="9">
        <f>Model_Data!Y5</f>
        <v/>
      </c>
      <c r="I5" s="9">
        <f>Model_Data!Y5</f>
        <v/>
      </c>
      <c r="J5" s="9">
        <f>Model_Data!X5</f>
        <v/>
      </c>
      <c r="K5" s="9">
        <f>Model_Data!A5</f>
        <v/>
      </c>
      <c r="L5" s="9">
        <f>Model_Data!Y5</f>
        <v/>
      </c>
      <c r="M5" s="9">
        <f>Model_Data!X5</f>
        <v/>
      </c>
      <c r="N5" s="9">
        <f>-(Model_Data!AC5-Model_Data!F5)*Inputs!$C$12</f>
        <v/>
      </c>
      <c r="O5" s="10" t="n"/>
      <c r="P5" s="9">
        <f>Model_Data!A5</f>
        <v/>
      </c>
      <c r="Q5" s="9">
        <f>Model_Data!P5</f>
        <v/>
      </c>
      <c r="R5" s="9">
        <f>Model_Data!AM5</f>
        <v/>
      </c>
      <c r="S5" s="9">
        <f>Model_Data!Q5</f>
        <v/>
      </c>
      <c r="T5" s="9">
        <f>Model_Data!AN5</f>
        <v/>
      </c>
      <c r="U5" s="10" t="n"/>
      <c r="V5" s="9">
        <f>Model_Data!A5</f>
        <v/>
      </c>
      <c r="W5" s="9">
        <f>Model_Data!B5-Inputs!$C$5</f>
        <v/>
      </c>
      <c r="X5" s="10" t="n"/>
      <c r="Y5" s="9">
        <f>Model_Data!A5</f>
        <v/>
      </c>
      <c r="Z5" s="9">
        <f>0</f>
        <v/>
      </c>
      <c r="AA5" s="9">
        <f>((SQRT((Inputs!$C$52+Inputs!$C$5)^2+Inputs!$C$52^2-2*(Inputs!$C$52+Inputs!$C$5)*Inputs!$C$52*COS(SQRT((Model_Data!A5)^2+Inputs!$C$6^2)/Inputs!$C$52))-Inputs!$C$5)*1000/Inputs!$C$12)</f>
        <v/>
      </c>
      <c r="AB5" s="9">
        <f>Model_Data!F5</f>
        <v/>
      </c>
    </row>
    <row r="6">
      <c r="A6" s="9">
        <f>Model_Data!A6</f>
        <v/>
      </c>
      <c r="B6" s="9">
        <f>0</f>
        <v/>
      </c>
      <c r="C6" s="9">
        <f>((SQRT((Inputs!$C$52+Inputs!$C$5)^2+Inputs!$C$52^2-2*(Inputs!$C$52+Inputs!$C$5)*Inputs!$C$52*COS(SQRT((Model_Data!A6)^2+Inputs!$C$6^2)/Inputs!$C$52))-Inputs!$C$5)*1000/Inputs!$C$12)</f>
        <v/>
      </c>
      <c r="D6" s="9">
        <f>Model_Data!F6</f>
        <v/>
      </c>
      <c r="E6" s="9">
        <f>Model_Data!AC6</f>
        <v/>
      </c>
      <c r="F6" s="10" t="n"/>
      <c r="G6" s="9">
        <f>Model_Data!A6</f>
        <v/>
      </c>
      <c r="H6" s="9">
        <f>Model_Data!Y6</f>
        <v/>
      </c>
      <c r="I6" s="9">
        <f>Model_Data!Y6</f>
        <v/>
      </c>
      <c r="J6" s="9">
        <f>Model_Data!X6</f>
        <v/>
      </c>
      <c r="K6" s="9">
        <f>Model_Data!A6</f>
        <v/>
      </c>
      <c r="L6" s="9">
        <f>Model_Data!Y6</f>
        <v/>
      </c>
      <c r="M6" s="9">
        <f>Model_Data!X6</f>
        <v/>
      </c>
      <c r="N6" s="9">
        <f>-(Model_Data!AC6-Model_Data!F6)*Inputs!$C$12</f>
        <v/>
      </c>
      <c r="O6" s="10" t="n"/>
      <c r="P6" s="9">
        <f>Model_Data!A6</f>
        <v/>
      </c>
      <c r="Q6" s="9">
        <f>Model_Data!P6</f>
        <v/>
      </c>
      <c r="R6" s="9">
        <f>Model_Data!AM6</f>
        <v/>
      </c>
      <c r="S6" s="9">
        <f>Model_Data!Q6</f>
        <v/>
      </c>
      <c r="T6" s="9">
        <f>Model_Data!AN6</f>
        <v/>
      </c>
      <c r="U6" s="10" t="n"/>
      <c r="V6" s="9">
        <f>Model_Data!A6</f>
        <v/>
      </c>
      <c r="W6" s="9">
        <f>Model_Data!B6-Inputs!$C$5</f>
        <v/>
      </c>
      <c r="X6" s="10" t="n"/>
      <c r="Y6" s="9">
        <f>Model_Data!A6</f>
        <v/>
      </c>
      <c r="Z6" s="9">
        <f>0</f>
        <v/>
      </c>
      <c r="AA6" s="9">
        <f>((SQRT((Inputs!$C$52+Inputs!$C$5)^2+Inputs!$C$52^2-2*(Inputs!$C$52+Inputs!$C$5)*Inputs!$C$52*COS(SQRT((Model_Data!A6)^2+Inputs!$C$6^2)/Inputs!$C$52))-Inputs!$C$5)*1000/Inputs!$C$12)</f>
        <v/>
      </c>
      <c r="AB6" s="9">
        <f>Model_Data!F6</f>
        <v/>
      </c>
    </row>
    <row r="7">
      <c r="A7" s="9">
        <f>Model_Data!A7</f>
        <v/>
      </c>
      <c r="B7" s="9">
        <f>0</f>
        <v/>
      </c>
      <c r="C7" s="9">
        <f>((SQRT((Inputs!$C$52+Inputs!$C$5)^2+Inputs!$C$52^2-2*(Inputs!$C$52+Inputs!$C$5)*Inputs!$C$52*COS(SQRT((Model_Data!A7)^2+Inputs!$C$6^2)/Inputs!$C$52))-Inputs!$C$5)*1000/Inputs!$C$12)</f>
        <v/>
      </c>
      <c r="D7" s="9">
        <f>Model_Data!F7</f>
        <v/>
      </c>
      <c r="E7" s="9">
        <f>Model_Data!AC7</f>
        <v/>
      </c>
      <c r="F7" s="10" t="n"/>
      <c r="G7" s="9">
        <f>Model_Data!A7</f>
        <v/>
      </c>
      <c r="H7" s="9">
        <f>Model_Data!Y7</f>
        <v/>
      </c>
      <c r="I7" s="9">
        <f>Model_Data!Y7</f>
        <v/>
      </c>
      <c r="J7" s="9">
        <f>Model_Data!X7</f>
        <v/>
      </c>
      <c r="K7" s="9">
        <f>Model_Data!A7</f>
        <v/>
      </c>
      <c r="L7" s="9">
        <f>Model_Data!Y7</f>
        <v/>
      </c>
      <c r="M7" s="9">
        <f>Model_Data!X7</f>
        <v/>
      </c>
      <c r="N7" s="9">
        <f>-(Model_Data!AC7-Model_Data!F7)*Inputs!$C$12</f>
        <v/>
      </c>
      <c r="O7" s="10" t="n"/>
      <c r="P7" s="9">
        <f>Model_Data!A7</f>
        <v/>
      </c>
      <c r="Q7" s="9">
        <f>Model_Data!P7</f>
        <v/>
      </c>
      <c r="R7" s="9">
        <f>Model_Data!AM7</f>
        <v/>
      </c>
      <c r="S7" s="9">
        <f>Model_Data!Q7</f>
        <v/>
      </c>
      <c r="T7" s="9">
        <f>Model_Data!AN7</f>
        <v/>
      </c>
      <c r="U7" s="10" t="n"/>
      <c r="V7" s="9">
        <f>Model_Data!A7</f>
        <v/>
      </c>
      <c r="W7" s="9">
        <f>Model_Data!B7-Inputs!$C$5</f>
        <v/>
      </c>
      <c r="X7" s="10" t="n"/>
      <c r="Y7" s="9">
        <f>Model_Data!A7</f>
        <v/>
      </c>
      <c r="Z7" s="9">
        <f>0</f>
        <v/>
      </c>
      <c r="AA7" s="9">
        <f>((SQRT((Inputs!$C$52+Inputs!$C$5)^2+Inputs!$C$52^2-2*(Inputs!$C$52+Inputs!$C$5)*Inputs!$C$52*COS(SQRT((Model_Data!A7)^2+Inputs!$C$6^2)/Inputs!$C$52))-Inputs!$C$5)*1000/Inputs!$C$12)</f>
        <v/>
      </c>
      <c r="AB7" s="9">
        <f>Model_Data!F7</f>
        <v/>
      </c>
    </row>
    <row r="8">
      <c r="A8" s="9">
        <f>Model_Data!A8</f>
        <v/>
      </c>
      <c r="B8" s="9">
        <f>0</f>
        <v/>
      </c>
      <c r="C8" s="9">
        <f>((SQRT((Inputs!$C$52+Inputs!$C$5)^2+Inputs!$C$52^2-2*(Inputs!$C$52+Inputs!$C$5)*Inputs!$C$52*COS(SQRT((Model_Data!A8)^2+Inputs!$C$6^2)/Inputs!$C$52))-Inputs!$C$5)*1000/Inputs!$C$12)</f>
        <v/>
      </c>
      <c r="D8" s="9">
        <f>Model_Data!F8</f>
        <v/>
      </c>
      <c r="E8" s="9">
        <f>Model_Data!AC8</f>
        <v/>
      </c>
      <c r="F8" s="10" t="n"/>
      <c r="G8" s="9">
        <f>Model_Data!A8</f>
        <v/>
      </c>
      <c r="H8" s="9">
        <f>Model_Data!Y8</f>
        <v/>
      </c>
      <c r="I8" s="9">
        <f>Model_Data!Y8</f>
        <v/>
      </c>
      <c r="J8" s="9">
        <f>Model_Data!X8</f>
        <v/>
      </c>
      <c r="K8" s="9">
        <f>Model_Data!A8</f>
        <v/>
      </c>
      <c r="L8" s="9">
        <f>Model_Data!Y8</f>
        <v/>
      </c>
      <c r="M8" s="9">
        <f>Model_Data!X8</f>
        <v/>
      </c>
      <c r="N8" s="9">
        <f>-(Model_Data!AC8-Model_Data!F8)*Inputs!$C$12</f>
        <v/>
      </c>
      <c r="O8" s="10" t="n"/>
      <c r="P8" s="9">
        <f>Model_Data!A8</f>
        <v/>
      </c>
      <c r="Q8" s="9">
        <f>Model_Data!P8</f>
        <v/>
      </c>
      <c r="R8" s="9">
        <f>Model_Data!AM8</f>
        <v/>
      </c>
      <c r="S8" s="9">
        <f>Model_Data!Q8</f>
        <v/>
      </c>
      <c r="T8" s="9">
        <f>Model_Data!AN8</f>
        <v/>
      </c>
      <c r="U8" s="10" t="n"/>
      <c r="V8" s="9">
        <f>Model_Data!A8</f>
        <v/>
      </c>
      <c r="W8" s="9">
        <f>Model_Data!B8-Inputs!$C$5</f>
        <v/>
      </c>
      <c r="X8" s="10" t="n"/>
      <c r="Y8" s="9">
        <f>Model_Data!A8</f>
        <v/>
      </c>
      <c r="Z8" s="9">
        <f>0</f>
        <v/>
      </c>
      <c r="AA8" s="9">
        <f>((SQRT((Inputs!$C$52+Inputs!$C$5)^2+Inputs!$C$52^2-2*(Inputs!$C$52+Inputs!$C$5)*Inputs!$C$52*COS(SQRT((Model_Data!A8)^2+Inputs!$C$6^2)/Inputs!$C$52))-Inputs!$C$5)*1000/Inputs!$C$12)</f>
        <v/>
      </c>
      <c r="AB8" s="9">
        <f>Model_Data!F8</f>
        <v/>
      </c>
    </row>
    <row r="9">
      <c r="A9" s="9">
        <f>Model_Data!A9</f>
        <v/>
      </c>
      <c r="B9" s="9">
        <f>0</f>
        <v/>
      </c>
      <c r="C9" s="9">
        <f>((SQRT((Inputs!$C$52+Inputs!$C$5)^2+Inputs!$C$52^2-2*(Inputs!$C$52+Inputs!$C$5)*Inputs!$C$52*COS(SQRT((Model_Data!A9)^2+Inputs!$C$6^2)/Inputs!$C$52))-Inputs!$C$5)*1000/Inputs!$C$12)</f>
        <v/>
      </c>
      <c r="D9" s="9">
        <f>Model_Data!F9</f>
        <v/>
      </c>
      <c r="E9" s="9">
        <f>Model_Data!AC9</f>
        <v/>
      </c>
      <c r="F9" s="10" t="n"/>
      <c r="G9" s="9">
        <f>Model_Data!A9</f>
        <v/>
      </c>
      <c r="H9" s="9">
        <f>Model_Data!Y9</f>
        <v/>
      </c>
      <c r="I9" s="9">
        <f>Model_Data!Y9</f>
        <v/>
      </c>
      <c r="J9" s="9">
        <f>Model_Data!X9</f>
        <v/>
      </c>
      <c r="K9" s="9">
        <f>Model_Data!A9</f>
        <v/>
      </c>
      <c r="L9" s="9">
        <f>Model_Data!Y9</f>
        <v/>
      </c>
      <c r="M9" s="9">
        <f>Model_Data!X9</f>
        <v/>
      </c>
      <c r="N9" s="9">
        <f>-(Model_Data!AC9-Model_Data!F9)*Inputs!$C$12</f>
        <v/>
      </c>
      <c r="O9" s="10" t="n"/>
      <c r="P9" s="9">
        <f>Model_Data!A9</f>
        <v/>
      </c>
      <c r="Q9" s="9">
        <f>Model_Data!P9</f>
        <v/>
      </c>
      <c r="R9" s="9">
        <f>Model_Data!AM9</f>
        <v/>
      </c>
      <c r="S9" s="9">
        <f>Model_Data!Q9</f>
        <v/>
      </c>
      <c r="T9" s="9">
        <f>Model_Data!AN9</f>
        <v/>
      </c>
      <c r="U9" s="10" t="n"/>
      <c r="V9" s="9">
        <f>Model_Data!A9</f>
        <v/>
      </c>
      <c r="W9" s="9">
        <f>Model_Data!B9-Inputs!$C$5</f>
        <v/>
      </c>
      <c r="X9" s="10" t="n"/>
      <c r="Y9" s="9">
        <f>Model_Data!A9</f>
        <v/>
      </c>
      <c r="Z9" s="9">
        <f>0</f>
        <v/>
      </c>
      <c r="AA9" s="9">
        <f>((SQRT((Inputs!$C$52+Inputs!$C$5)^2+Inputs!$C$52^2-2*(Inputs!$C$52+Inputs!$C$5)*Inputs!$C$52*COS(SQRT((Model_Data!A9)^2+Inputs!$C$6^2)/Inputs!$C$52))-Inputs!$C$5)*1000/Inputs!$C$12)</f>
        <v/>
      </c>
      <c r="AB9" s="9">
        <f>Model_Data!F9</f>
        <v/>
      </c>
    </row>
    <row r="10">
      <c r="A10" s="9">
        <f>Model_Data!A10</f>
        <v/>
      </c>
      <c r="B10" s="9">
        <f>0</f>
        <v/>
      </c>
      <c r="C10" s="9">
        <f>((SQRT((Inputs!$C$52+Inputs!$C$5)^2+Inputs!$C$52^2-2*(Inputs!$C$52+Inputs!$C$5)*Inputs!$C$52*COS(SQRT((Model_Data!A10)^2+Inputs!$C$6^2)/Inputs!$C$52))-Inputs!$C$5)*1000/Inputs!$C$12)</f>
        <v/>
      </c>
      <c r="D10" s="9">
        <f>Model_Data!F10</f>
        <v/>
      </c>
      <c r="E10" s="9">
        <f>Model_Data!AC10</f>
        <v/>
      </c>
      <c r="F10" s="10" t="n"/>
      <c r="G10" s="9">
        <f>Model_Data!A10</f>
        <v/>
      </c>
      <c r="H10" s="9">
        <f>Model_Data!Y10</f>
        <v/>
      </c>
      <c r="I10" s="9">
        <f>Model_Data!Y10</f>
        <v/>
      </c>
      <c r="J10" s="9">
        <f>Model_Data!X10</f>
        <v/>
      </c>
      <c r="K10" s="9">
        <f>Model_Data!A10</f>
        <v/>
      </c>
      <c r="L10" s="9">
        <f>Model_Data!Y10</f>
        <v/>
      </c>
      <c r="M10" s="9">
        <f>Model_Data!X10</f>
        <v/>
      </c>
      <c r="N10" s="9">
        <f>-(Model_Data!AC10-Model_Data!F10)*Inputs!$C$12</f>
        <v/>
      </c>
      <c r="O10" s="10" t="n"/>
      <c r="P10" s="9">
        <f>Model_Data!A10</f>
        <v/>
      </c>
      <c r="Q10" s="9">
        <f>Model_Data!P10</f>
        <v/>
      </c>
      <c r="R10" s="9">
        <f>Model_Data!AM10</f>
        <v/>
      </c>
      <c r="S10" s="9">
        <f>Model_Data!Q10</f>
        <v/>
      </c>
      <c r="T10" s="9">
        <f>Model_Data!AN10</f>
        <v/>
      </c>
      <c r="U10" s="10" t="n"/>
      <c r="V10" s="9">
        <f>Model_Data!A10</f>
        <v/>
      </c>
      <c r="W10" s="9">
        <f>Model_Data!B10-Inputs!$C$5</f>
        <v/>
      </c>
      <c r="X10" s="10" t="n"/>
      <c r="Y10" s="9">
        <f>Model_Data!A10</f>
        <v/>
      </c>
      <c r="Z10" s="9">
        <f>0</f>
        <v/>
      </c>
      <c r="AA10" s="9">
        <f>((SQRT((Inputs!$C$52+Inputs!$C$5)^2+Inputs!$C$52^2-2*(Inputs!$C$52+Inputs!$C$5)*Inputs!$C$52*COS(SQRT((Model_Data!A10)^2+Inputs!$C$6^2)/Inputs!$C$52))-Inputs!$C$5)*1000/Inputs!$C$12)</f>
        <v/>
      </c>
      <c r="AB10" s="9">
        <f>Model_Data!F10</f>
        <v/>
      </c>
    </row>
    <row r="11">
      <c r="A11" s="9">
        <f>Model_Data!A11</f>
        <v/>
      </c>
      <c r="B11" s="9">
        <f>0</f>
        <v/>
      </c>
      <c r="C11" s="9">
        <f>((SQRT((Inputs!$C$52+Inputs!$C$5)^2+Inputs!$C$52^2-2*(Inputs!$C$52+Inputs!$C$5)*Inputs!$C$52*COS(SQRT((Model_Data!A11)^2+Inputs!$C$6^2)/Inputs!$C$52))-Inputs!$C$5)*1000/Inputs!$C$12)</f>
        <v/>
      </c>
      <c r="D11" s="9">
        <f>Model_Data!F11</f>
        <v/>
      </c>
      <c r="E11" s="9">
        <f>Model_Data!AC11</f>
        <v/>
      </c>
      <c r="F11" s="10" t="n"/>
      <c r="G11" s="9">
        <f>Model_Data!A11</f>
        <v/>
      </c>
      <c r="H11" s="9">
        <f>Model_Data!Y11</f>
        <v/>
      </c>
      <c r="I11" s="9">
        <f>Model_Data!Y11</f>
        <v/>
      </c>
      <c r="J11" s="9">
        <f>Model_Data!X11</f>
        <v/>
      </c>
      <c r="K11" s="9">
        <f>Model_Data!A11</f>
        <v/>
      </c>
      <c r="L11" s="9">
        <f>Model_Data!Y11</f>
        <v/>
      </c>
      <c r="M11" s="9">
        <f>Model_Data!X11</f>
        <v/>
      </c>
      <c r="N11" s="9">
        <f>-(Model_Data!AC11-Model_Data!F11)*Inputs!$C$12</f>
        <v/>
      </c>
      <c r="O11" s="10" t="n"/>
      <c r="P11" s="9">
        <f>Model_Data!A11</f>
        <v/>
      </c>
      <c r="Q11" s="9">
        <f>Model_Data!P11</f>
        <v/>
      </c>
      <c r="R11" s="9">
        <f>Model_Data!AM11</f>
        <v/>
      </c>
      <c r="S11" s="9">
        <f>Model_Data!Q11</f>
        <v/>
      </c>
      <c r="T11" s="9">
        <f>Model_Data!AN11</f>
        <v/>
      </c>
      <c r="U11" s="10" t="n"/>
      <c r="V11" s="9">
        <f>Model_Data!A11</f>
        <v/>
      </c>
      <c r="W11" s="9">
        <f>Model_Data!B11-Inputs!$C$5</f>
        <v/>
      </c>
      <c r="X11" s="10" t="n"/>
      <c r="Y11" s="9">
        <f>Model_Data!A11</f>
        <v/>
      </c>
      <c r="Z11" s="9">
        <f>0</f>
        <v/>
      </c>
      <c r="AA11" s="9">
        <f>((SQRT((Inputs!$C$52+Inputs!$C$5)^2+Inputs!$C$52^2-2*(Inputs!$C$52+Inputs!$C$5)*Inputs!$C$52*COS(SQRT((Model_Data!A11)^2+Inputs!$C$6^2)/Inputs!$C$52))-Inputs!$C$5)*1000/Inputs!$C$12)</f>
        <v/>
      </c>
      <c r="AB11" s="9">
        <f>Model_Data!F11</f>
        <v/>
      </c>
    </row>
    <row r="12">
      <c r="A12" s="9">
        <f>Model_Data!A12</f>
        <v/>
      </c>
      <c r="B12" s="9">
        <f>0</f>
        <v/>
      </c>
      <c r="C12" s="9">
        <f>((SQRT((Inputs!$C$52+Inputs!$C$5)^2+Inputs!$C$52^2-2*(Inputs!$C$52+Inputs!$C$5)*Inputs!$C$52*COS(SQRT((Model_Data!A12)^2+Inputs!$C$6^2)/Inputs!$C$52))-Inputs!$C$5)*1000/Inputs!$C$12)</f>
        <v/>
      </c>
      <c r="D12" s="9">
        <f>Model_Data!F12</f>
        <v/>
      </c>
      <c r="E12" s="9">
        <f>Model_Data!AC12</f>
        <v/>
      </c>
      <c r="F12" s="10" t="n"/>
      <c r="G12" s="9">
        <f>Model_Data!A12</f>
        <v/>
      </c>
      <c r="H12" s="9">
        <f>Model_Data!Y12</f>
        <v/>
      </c>
      <c r="I12" s="9">
        <f>Model_Data!Y12</f>
        <v/>
      </c>
      <c r="J12" s="9">
        <f>Model_Data!X12</f>
        <v/>
      </c>
      <c r="K12" s="9">
        <f>Model_Data!A12</f>
        <v/>
      </c>
      <c r="L12" s="9">
        <f>Model_Data!Y12</f>
        <v/>
      </c>
      <c r="M12" s="9">
        <f>Model_Data!X12</f>
        <v/>
      </c>
      <c r="N12" s="9">
        <f>-(Model_Data!AC12-Model_Data!F12)*Inputs!$C$12</f>
        <v/>
      </c>
      <c r="O12" s="10" t="n"/>
      <c r="P12" s="9">
        <f>Model_Data!A12</f>
        <v/>
      </c>
      <c r="Q12" s="9">
        <f>Model_Data!P12</f>
        <v/>
      </c>
      <c r="R12" s="9">
        <f>Model_Data!AM12</f>
        <v/>
      </c>
      <c r="S12" s="9">
        <f>Model_Data!Q12</f>
        <v/>
      </c>
      <c r="T12" s="9">
        <f>Model_Data!AN12</f>
        <v/>
      </c>
      <c r="U12" s="10" t="n"/>
      <c r="V12" s="9">
        <f>Model_Data!A12</f>
        <v/>
      </c>
      <c r="W12" s="9">
        <f>Model_Data!B12-Inputs!$C$5</f>
        <v/>
      </c>
      <c r="X12" s="10" t="n"/>
      <c r="Y12" s="9">
        <f>Model_Data!A12</f>
        <v/>
      </c>
      <c r="Z12" s="9">
        <f>0</f>
        <v/>
      </c>
      <c r="AA12" s="9">
        <f>((SQRT((Inputs!$C$52+Inputs!$C$5)^2+Inputs!$C$52^2-2*(Inputs!$C$52+Inputs!$C$5)*Inputs!$C$52*COS(SQRT((Model_Data!A12)^2+Inputs!$C$6^2)/Inputs!$C$52))-Inputs!$C$5)*1000/Inputs!$C$12)</f>
        <v/>
      </c>
      <c r="AB12" s="9">
        <f>Model_Data!F12</f>
        <v/>
      </c>
    </row>
    <row r="13">
      <c r="A13" s="9">
        <f>Model_Data!A13</f>
        <v/>
      </c>
      <c r="B13" s="9">
        <f>0</f>
        <v/>
      </c>
      <c r="C13" s="9">
        <f>((SQRT((Inputs!$C$52+Inputs!$C$5)^2+Inputs!$C$52^2-2*(Inputs!$C$52+Inputs!$C$5)*Inputs!$C$52*COS(SQRT((Model_Data!A13)^2+Inputs!$C$6^2)/Inputs!$C$52))-Inputs!$C$5)*1000/Inputs!$C$12)</f>
        <v/>
      </c>
      <c r="D13" s="9">
        <f>Model_Data!F13</f>
        <v/>
      </c>
      <c r="E13" s="9">
        <f>Model_Data!AC13</f>
        <v/>
      </c>
      <c r="F13" s="10" t="n"/>
      <c r="G13" s="9">
        <f>Model_Data!A13</f>
        <v/>
      </c>
      <c r="H13" s="9">
        <f>Model_Data!Y13</f>
        <v/>
      </c>
      <c r="I13" s="9">
        <f>Model_Data!Y13</f>
        <v/>
      </c>
      <c r="J13" s="9">
        <f>Model_Data!X13</f>
        <v/>
      </c>
      <c r="K13" s="9">
        <f>Model_Data!A13</f>
        <v/>
      </c>
      <c r="L13" s="9">
        <f>Model_Data!Y13</f>
        <v/>
      </c>
      <c r="M13" s="9">
        <f>Model_Data!X13</f>
        <v/>
      </c>
      <c r="N13" s="9">
        <f>-(Model_Data!AC13-Model_Data!F13)*Inputs!$C$12</f>
        <v/>
      </c>
      <c r="O13" s="10" t="n"/>
      <c r="P13" s="9">
        <f>Model_Data!A13</f>
        <v/>
      </c>
      <c r="Q13" s="9">
        <f>Model_Data!P13</f>
        <v/>
      </c>
      <c r="R13" s="9">
        <f>Model_Data!AM13</f>
        <v/>
      </c>
      <c r="S13" s="9">
        <f>Model_Data!Q13</f>
        <v/>
      </c>
      <c r="T13" s="9">
        <f>Model_Data!AN13</f>
        <v/>
      </c>
      <c r="U13" s="10" t="n"/>
      <c r="V13" s="9">
        <f>Model_Data!A13</f>
        <v/>
      </c>
      <c r="W13" s="9">
        <f>Model_Data!B13-Inputs!$C$5</f>
        <v/>
      </c>
      <c r="X13" s="10" t="n"/>
      <c r="Y13" s="9">
        <f>Model_Data!A13</f>
        <v/>
      </c>
      <c r="Z13" s="9">
        <f>0</f>
        <v/>
      </c>
      <c r="AA13" s="9">
        <f>((SQRT((Inputs!$C$52+Inputs!$C$5)^2+Inputs!$C$52^2-2*(Inputs!$C$52+Inputs!$C$5)*Inputs!$C$52*COS(SQRT((Model_Data!A13)^2+Inputs!$C$6^2)/Inputs!$C$52))-Inputs!$C$5)*1000/Inputs!$C$12)</f>
        <v/>
      </c>
      <c r="AB13" s="9">
        <f>Model_Data!F13</f>
        <v/>
      </c>
    </row>
    <row r="14">
      <c r="A14" s="9">
        <f>Model_Data!A14</f>
        <v/>
      </c>
      <c r="B14" s="9">
        <f>0</f>
        <v/>
      </c>
      <c r="C14" s="9">
        <f>((SQRT((Inputs!$C$52+Inputs!$C$5)^2+Inputs!$C$52^2-2*(Inputs!$C$52+Inputs!$C$5)*Inputs!$C$52*COS(SQRT((Model_Data!A14)^2+Inputs!$C$6^2)/Inputs!$C$52))-Inputs!$C$5)*1000/Inputs!$C$12)</f>
        <v/>
      </c>
      <c r="D14" s="9">
        <f>Model_Data!F14</f>
        <v/>
      </c>
      <c r="E14" s="9">
        <f>Model_Data!AC14</f>
        <v/>
      </c>
      <c r="F14" s="10" t="n"/>
      <c r="G14" s="9">
        <f>Model_Data!A14</f>
        <v/>
      </c>
      <c r="H14" s="9">
        <f>Model_Data!Y14</f>
        <v/>
      </c>
      <c r="I14" s="9">
        <f>Model_Data!Y14</f>
        <v/>
      </c>
      <c r="J14" s="9">
        <f>Model_Data!X14</f>
        <v/>
      </c>
      <c r="K14" s="9">
        <f>Model_Data!A14</f>
        <v/>
      </c>
      <c r="L14" s="9">
        <f>Model_Data!Y14</f>
        <v/>
      </c>
      <c r="M14" s="9">
        <f>Model_Data!X14</f>
        <v/>
      </c>
      <c r="N14" s="9">
        <f>-(Model_Data!AC14-Model_Data!F14)*Inputs!$C$12</f>
        <v/>
      </c>
      <c r="O14" s="10" t="n"/>
      <c r="P14" s="9">
        <f>Model_Data!A14</f>
        <v/>
      </c>
      <c r="Q14" s="9">
        <f>Model_Data!P14</f>
        <v/>
      </c>
      <c r="R14" s="9">
        <f>Model_Data!AM14</f>
        <v/>
      </c>
      <c r="S14" s="9">
        <f>Model_Data!Q14</f>
        <v/>
      </c>
      <c r="T14" s="9">
        <f>Model_Data!AN14</f>
        <v/>
      </c>
      <c r="U14" s="10" t="n"/>
      <c r="V14" s="9">
        <f>Model_Data!A14</f>
        <v/>
      </c>
      <c r="W14" s="9">
        <f>Model_Data!B14-Inputs!$C$5</f>
        <v/>
      </c>
      <c r="X14" s="10" t="n"/>
      <c r="Y14" s="9">
        <f>Model_Data!A14</f>
        <v/>
      </c>
      <c r="Z14" s="9">
        <f>0</f>
        <v/>
      </c>
      <c r="AA14" s="9">
        <f>((SQRT((Inputs!$C$52+Inputs!$C$5)^2+Inputs!$C$52^2-2*(Inputs!$C$52+Inputs!$C$5)*Inputs!$C$52*COS(SQRT((Model_Data!A14)^2+Inputs!$C$6^2)/Inputs!$C$52))-Inputs!$C$5)*1000/Inputs!$C$12)</f>
        <v/>
      </c>
      <c r="AB14" s="9">
        <f>Model_Data!F14</f>
        <v/>
      </c>
    </row>
    <row r="15">
      <c r="A15" s="9">
        <f>Model_Data!A15</f>
        <v/>
      </c>
      <c r="B15" s="9">
        <f>0</f>
        <v/>
      </c>
      <c r="C15" s="9">
        <f>((SQRT((Inputs!$C$52+Inputs!$C$5)^2+Inputs!$C$52^2-2*(Inputs!$C$52+Inputs!$C$5)*Inputs!$C$52*COS(SQRT((Model_Data!A15)^2+Inputs!$C$6^2)/Inputs!$C$52))-Inputs!$C$5)*1000/Inputs!$C$12)</f>
        <v/>
      </c>
      <c r="D15" s="9">
        <f>Model_Data!F15</f>
        <v/>
      </c>
      <c r="E15" s="9">
        <f>Model_Data!AC15</f>
        <v/>
      </c>
      <c r="F15" s="10" t="n"/>
      <c r="G15" s="9">
        <f>Model_Data!A15</f>
        <v/>
      </c>
      <c r="H15" s="9">
        <f>Model_Data!Y15</f>
        <v/>
      </c>
      <c r="I15" s="9">
        <f>Model_Data!Y15</f>
        <v/>
      </c>
      <c r="J15" s="9">
        <f>Model_Data!X15</f>
        <v/>
      </c>
      <c r="K15" s="9">
        <f>Model_Data!A15</f>
        <v/>
      </c>
      <c r="L15" s="9">
        <f>Model_Data!Y15</f>
        <v/>
      </c>
      <c r="M15" s="9">
        <f>Model_Data!X15</f>
        <v/>
      </c>
      <c r="N15" s="9">
        <f>-(Model_Data!AC15-Model_Data!F15)*Inputs!$C$12</f>
        <v/>
      </c>
      <c r="O15" s="10" t="n"/>
      <c r="P15" s="9">
        <f>Model_Data!A15</f>
        <v/>
      </c>
      <c r="Q15" s="9">
        <f>Model_Data!P15</f>
        <v/>
      </c>
      <c r="R15" s="9">
        <f>Model_Data!AM15</f>
        <v/>
      </c>
      <c r="S15" s="9">
        <f>Model_Data!Q15</f>
        <v/>
      </c>
      <c r="T15" s="9">
        <f>Model_Data!AN15</f>
        <v/>
      </c>
      <c r="U15" s="10" t="n"/>
      <c r="V15" s="9">
        <f>Model_Data!A15</f>
        <v/>
      </c>
      <c r="W15" s="9">
        <f>Model_Data!B15-Inputs!$C$5</f>
        <v/>
      </c>
      <c r="X15" s="10" t="n"/>
      <c r="Y15" s="9">
        <f>Model_Data!A15</f>
        <v/>
      </c>
      <c r="Z15" s="9">
        <f>0</f>
        <v/>
      </c>
      <c r="AA15" s="9">
        <f>((SQRT((Inputs!$C$52+Inputs!$C$5)^2+Inputs!$C$52^2-2*(Inputs!$C$52+Inputs!$C$5)*Inputs!$C$52*COS(SQRT((Model_Data!A15)^2+Inputs!$C$6^2)/Inputs!$C$52))-Inputs!$C$5)*1000/Inputs!$C$12)</f>
        <v/>
      </c>
      <c r="AB15" s="9">
        <f>Model_Data!F15</f>
        <v/>
      </c>
    </row>
    <row r="16">
      <c r="A16" s="9">
        <f>Model_Data!A16</f>
        <v/>
      </c>
      <c r="B16" s="9">
        <f>0</f>
        <v/>
      </c>
      <c r="C16" s="9">
        <f>((SQRT((Inputs!$C$52+Inputs!$C$5)^2+Inputs!$C$52^2-2*(Inputs!$C$52+Inputs!$C$5)*Inputs!$C$52*COS(SQRT((Model_Data!A16)^2+Inputs!$C$6^2)/Inputs!$C$52))-Inputs!$C$5)*1000/Inputs!$C$12)</f>
        <v/>
      </c>
      <c r="D16" s="9">
        <f>Model_Data!F16</f>
        <v/>
      </c>
      <c r="E16" s="9">
        <f>Model_Data!AC16</f>
        <v/>
      </c>
      <c r="F16" s="10" t="n"/>
      <c r="G16" s="9">
        <f>Model_Data!A16</f>
        <v/>
      </c>
      <c r="H16" s="9">
        <f>Model_Data!Y16</f>
        <v/>
      </c>
      <c r="I16" s="9">
        <f>Model_Data!Y16</f>
        <v/>
      </c>
      <c r="J16" s="9">
        <f>Model_Data!X16</f>
        <v/>
      </c>
      <c r="K16" s="9">
        <f>Model_Data!A16</f>
        <v/>
      </c>
      <c r="L16" s="9">
        <f>Model_Data!Y16</f>
        <v/>
      </c>
      <c r="M16" s="9">
        <f>Model_Data!X16</f>
        <v/>
      </c>
      <c r="N16" s="9">
        <f>-(Model_Data!AC16-Model_Data!F16)*Inputs!$C$12</f>
        <v/>
      </c>
      <c r="O16" s="10" t="n"/>
      <c r="P16" s="9">
        <f>Model_Data!A16</f>
        <v/>
      </c>
      <c r="Q16" s="9">
        <f>Model_Data!P16</f>
        <v/>
      </c>
      <c r="R16" s="9">
        <f>Model_Data!AM16</f>
        <v/>
      </c>
      <c r="S16" s="9">
        <f>Model_Data!Q16</f>
        <v/>
      </c>
      <c r="T16" s="9">
        <f>Model_Data!AN16</f>
        <v/>
      </c>
      <c r="U16" s="10" t="n"/>
      <c r="V16" s="9">
        <f>Model_Data!A16</f>
        <v/>
      </c>
      <c r="W16" s="9">
        <f>Model_Data!B16-Inputs!$C$5</f>
        <v/>
      </c>
      <c r="X16" s="10" t="n"/>
      <c r="Y16" s="9">
        <f>Model_Data!A16</f>
        <v/>
      </c>
      <c r="Z16" s="9">
        <f>0</f>
        <v/>
      </c>
      <c r="AA16" s="9">
        <f>((SQRT((Inputs!$C$52+Inputs!$C$5)^2+Inputs!$C$52^2-2*(Inputs!$C$52+Inputs!$C$5)*Inputs!$C$52*COS(SQRT((Model_Data!A16)^2+Inputs!$C$6^2)/Inputs!$C$52))-Inputs!$C$5)*1000/Inputs!$C$12)</f>
        <v/>
      </c>
      <c r="AB16" s="9">
        <f>Model_Data!F16</f>
        <v/>
      </c>
    </row>
    <row r="17">
      <c r="A17" s="9">
        <f>Model_Data!A17</f>
        <v/>
      </c>
      <c r="B17" s="9">
        <f>0</f>
        <v/>
      </c>
      <c r="C17" s="9">
        <f>((SQRT((Inputs!$C$52+Inputs!$C$5)^2+Inputs!$C$52^2-2*(Inputs!$C$52+Inputs!$C$5)*Inputs!$C$52*COS(SQRT((Model_Data!A17)^2+Inputs!$C$6^2)/Inputs!$C$52))-Inputs!$C$5)*1000/Inputs!$C$12)</f>
        <v/>
      </c>
      <c r="D17" s="9">
        <f>Model_Data!F17</f>
        <v/>
      </c>
      <c r="E17" s="9">
        <f>Model_Data!AC17</f>
        <v/>
      </c>
      <c r="F17" s="10" t="n"/>
      <c r="G17" s="9">
        <f>Model_Data!A17</f>
        <v/>
      </c>
      <c r="H17" s="9">
        <f>Model_Data!Y17</f>
        <v/>
      </c>
      <c r="I17" s="9">
        <f>Model_Data!Y17</f>
        <v/>
      </c>
      <c r="J17" s="9">
        <f>Model_Data!X17</f>
        <v/>
      </c>
      <c r="K17" s="9">
        <f>Model_Data!A17</f>
        <v/>
      </c>
      <c r="L17" s="9">
        <f>Model_Data!Y17</f>
        <v/>
      </c>
      <c r="M17" s="9">
        <f>Model_Data!X17</f>
        <v/>
      </c>
      <c r="N17" s="9">
        <f>-(Model_Data!AC17-Model_Data!F17)*Inputs!$C$12</f>
        <v/>
      </c>
      <c r="O17" s="10" t="n"/>
      <c r="P17" s="9">
        <f>Model_Data!A17</f>
        <v/>
      </c>
      <c r="Q17" s="9">
        <f>Model_Data!P17</f>
        <v/>
      </c>
      <c r="R17" s="9">
        <f>Model_Data!AM17</f>
        <v/>
      </c>
      <c r="S17" s="9">
        <f>Model_Data!Q17</f>
        <v/>
      </c>
      <c r="T17" s="9">
        <f>Model_Data!AN17</f>
        <v/>
      </c>
      <c r="U17" s="10" t="n"/>
      <c r="V17" s="9">
        <f>Model_Data!A17</f>
        <v/>
      </c>
      <c r="W17" s="9">
        <f>Model_Data!B17-Inputs!$C$5</f>
        <v/>
      </c>
      <c r="X17" s="10" t="n"/>
      <c r="Y17" s="9">
        <f>Model_Data!A17</f>
        <v/>
      </c>
      <c r="Z17" s="9">
        <f>0</f>
        <v/>
      </c>
      <c r="AA17" s="9">
        <f>((SQRT((Inputs!$C$52+Inputs!$C$5)^2+Inputs!$C$52^2-2*(Inputs!$C$52+Inputs!$C$5)*Inputs!$C$52*COS(SQRT((Model_Data!A17)^2+Inputs!$C$6^2)/Inputs!$C$52))-Inputs!$C$5)*1000/Inputs!$C$12)</f>
        <v/>
      </c>
      <c r="AB17" s="9">
        <f>Model_Data!F17</f>
        <v/>
      </c>
    </row>
    <row r="18">
      <c r="A18" s="9">
        <f>Model_Data!A18</f>
        <v/>
      </c>
      <c r="B18" s="9">
        <f>0</f>
        <v/>
      </c>
      <c r="C18" s="9">
        <f>((SQRT((Inputs!$C$52+Inputs!$C$5)^2+Inputs!$C$52^2-2*(Inputs!$C$52+Inputs!$C$5)*Inputs!$C$52*COS(SQRT((Model_Data!A18)^2+Inputs!$C$6^2)/Inputs!$C$52))-Inputs!$C$5)*1000/Inputs!$C$12)</f>
        <v/>
      </c>
      <c r="D18" s="9">
        <f>Model_Data!F18</f>
        <v/>
      </c>
      <c r="E18" s="9">
        <f>Model_Data!AC18</f>
        <v/>
      </c>
      <c r="F18" s="10" t="n"/>
      <c r="G18" s="9">
        <f>Model_Data!A18</f>
        <v/>
      </c>
      <c r="H18" s="9">
        <f>Model_Data!Y18</f>
        <v/>
      </c>
      <c r="I18" s="9">
        <f>Model_Data!Y18</f>
        <v/>
      </c>
      <c r="J18" s="9">
        <f>Model_Data!X18</f>
        <v/>
      </c>
      <c r="K18" s="9">
        <f>Model_Data!A18</f>
        <v/>
      </c>
      <c r="L18" s="9">
        <f>Model_Data!Y18</f>
        <v/>
      </c>
      <c r="M18" s="9">
        <f>Model_Data!X18</f>
        <v/>
      </c>
      <c r="N18" s="9">
        <f>-(Model_Data!AC18-Model_Data!F18)*Inputs!$C$12</f>
        <v/>
      </c>
      <c r="O18" s="10" t="n"/>
      <c r="P18" s="9">
        <f>Model_Data!A18</f>
        <v/>
      </c>
      <c r="Q18" s="9">
        <f>Model_Data!P18</f>
        <v/>
      </c>
      <c r="R18" s="9">
        <f>Model_Data!AM18</f>
        <v/>
      </c>
      <c r="S18" s="9">
        <f>Model_Data!Q18</f>
        <v/>
      </c>
      <c r="T18" s="9">
        <f>Model_Data!AN18</f>
        <v/>
      </c>
      <c r="U18" s="10" t="n"/>
      <c r="V18" s="9">
        <f>Model_Data!A18</f>
        <v/>
      </c>
      <c r="W18" s="9">
        <f>Model_Data!B18-Inputs!$C$5</f>
        <v/>
      </c>
      <c r="X18" s="10" t="n"/>
      <c r="Y18" s="9">
        <f>Model_Data!A18</f>
        <v/>
      </c>
      <c r="Z18" s="9">
        <f>0</f>
        <v/>
      </c>
      <c r="AA18" s="9">
        <f>((SQRT((Inputs!$C$52+Inputs!$C$5)^2+Inputs!$C$52^2-2*(Inputs!$C$52+Inputs!$C$5)*Inputs!$C$52*COS(SQRT((Model_Data!A18)^2+Inputs!$C$6^2)/Inputs!$C$52))-Inputs!$C$5)*1000/Inputs!$C$12)</f>
        <v/>
      </c>
      <c r="AB18" s="9">
        <f>Model_Data!F18</f>
        <v/>
      </c>
    </row>
    <row r="19">
      <c r="A19" s="9">
        <f>Model_Data!A19</f>
        <v/>
      </c>
      <c r="B19" s="9">
        <f>0</f>
        <v/>
      </c>
      <c r="C19" s="9">
        <f>((SQRT((Inputs!$C$52+Inputs!$C$5)^2+Inputs!$C$52^2-2*(Inputs!$C$52+Inputs!$C$5)*Inputs!$C$52*COS(SQRT((Model_Data!A19)^2+Inputs!$C$6^2)/Inputs!$C$52))-Inputs!$C$5)*1000/Inputs!$C$12)</f>
        <v/>
      </c>
      <c r="D19" s="9">
        <f>Model_Data!F19</f>
        <v/>
      </c>
      <c r="E19" s="9">
        <f>Model_Data!AC19</f>
        <v/>
      </c>
      <c r="F19" s="10" t="n"/>
      <c r="G19" s="9">
        <f>Model_Data!A19</f>
        <v/>
      </c>
      <c r="H19" s="9">
        <f>Model_Data!Y19</f>
        <v/>
      </c>
      <c r="I19" s="9">
        <f>Model_Data!Y19</f>
        <v/>
      </c>
      <c r="J19" s="9">
        <f>Model_Data!X19</f>
        <v/>
      </c>
      <c r="K19" s="9">
        <f>Model_Data!A19</f>
        <v/>
      </c>
      <c r="L19" s="9">
        <f>Model_Data!Y19</f>
        <v/>
      </c>
      <c r="M19" s="9">
        <f>Model_Data!X19</f>
        <v/>
      </c>
      <c r="N19" s="9">
        <f>-(Model_Data!AC19-Model_Data!F19)*Inputs!$C$12</f>
        <v/>
      </c>
      <c r="O19" s="10" t="n"/>
      <c r="P19" s="9">
        <f>Model_Data!A19</f>
        <v/>
      </c>
      <c r="Q19" s="9">
        <f>Model_Data!P19</f>
        <v/>
      </c>
      <c r="R19" s="9">
        <f>Model_Data!AM19</f>
        <v/>
      </c>
      <c r="S19" s="9">
        <f>Model_Data!Q19</f>
        <v/>
      </c>
      <c r="T19" s="9">
        <f>Model_Data!AN19</f>
        <v/>
      </c>
      <c r="U19" s="10" t="n"/>
      <c r="V19" s="9">
        <f>Model_Data!A19</f>
        <v/>
      </c>
      <c r="W19" s="9">
        <f>Model_Data!B19-Inputs!$C$5</f>
        <v/>
      </c>
      <c r="X19" s="10" t="n"/>
      <c r="Y19" s="9">
        <f>Model_Data!A19</f>
        <v/>
      </c>
      <c r="Z19" s="9">
        <f>0</f>
        <v/>
      </c>
      <c r="AA19" s="9">
        <f>((SQRT((Inputs!$C$52+Inputs!$C$5)^2+Inputs!$C$52^2-2*(Inputs!$C$52+Inputs!$C$5)*Inputs!$C$52*COS(SQRT((Model_Data!A19)^2+Inputs!$C$6^2)/Inputs!$C$52))-Inputs!$C$5)*1000/Inputs!$C$12)</f>
        <v/>
      </c>
      <c r="AB19" s="9">
        <f>Model_Data!F19</f>
        <v/>
      </c>
    </row>
    <row r="20">
      <c r="A20" s="9">
        <f>Model_Data!A20</f>
        <v/>
      </c>
      <c r="B20" s="9">
        <f>0</f>
        <v/>
      </c>
      <c r="C20" s="9">
        <f>((SQRT((Inputs!$C$52+Inputs!$C$5)^2+Inputs!$C$52^2-2*(Inputs!$C$52+Inputs!$C$5)*Inputs!$C$52*COS(SQRT((Model_Data!A20)^2+Inputs!$C$6^2)/Inputs!$C$52))-Inputs!$C$5)*1000/Inputs!$C$12)</f>
        <v/>
      </c>
      <c r="D20" s="9">
        <f>Model_Data!F20</f>
        <v/>
      </c>
      <c r="E20" s="9">
        <f>Model_Data!AC20</f>
        <v/>
      </c>
      <c r="F20" s="10" t="n"/>
      <c r="G20" s="9">
        <f>Model_Data!A20</f>
        <v/>
      </c>
      <c r="H20" s="9">
        <f>Model_Data!Y20</f>
        <v/>
      </c>
      <c r="I20" s="9">
        <f>Model_Data!Y20</f>
        <v/>
      </c>
      <c r="J20" s="9">
        <f>Model_Data!X20</f>
        <v/>
      </c>
      <c r="K20" s="9">
        <f>Model_Data!A20</f>
        <v/>
      </c>
      <c r="L20" s="9">
        <f>Model_Data!Y20</f>
        <v/>
      </c>
      <c r="M20" s="9">
        <f>Model_Data!X20</f>
        <v/>
      </c>
      <c r="N20" s="9">
        <f>-(Model_Data!AC20-Model_Data!F20)*Inputs!$C$12</f>
        <v/>
      </c>
      <c r="O20" s="10" t="n"/>
      <c r="P20" s="9">
        <f>Model_Data!A20</f>
        <v/>
      </c>
      <c r="Q20" s="9">
        <f>Model_Data!P20</f>
        <v/>
      </c>
      <c r="R20" s="9">
        <f>Model_Data!AM20</f>
        <v/>
      </c>
      <c r="S20" s="9">
        <f>Model_Data!Q20</f>
        <v/>
      </c>
      <c r="T20" s="9">
        <f>Model_Data!AN20</f>
        <v/>
      </c>
      <c r="U20" s="10" t="n"/>
      <c r="V20" s="9">
        <f>Model_Data!A20</f>
        <v/>
      </c>
      <c r="W20" s="9">
        <f>Model_Data!B20-Inputs!$C$5</f>
        <v/>
      </c>
      <c r="X20" s="10" t="n"/>
      <c r="Y20" s="9">
        <f>Model_Data!A20</f>
        <v/>
      </c>
      <c r="Z20" s="9">
        <f>0</f>
        <v/>
      </c>
      <c r="AA20" s="9">
        <f>((SQRT((Inputs!$C$52+Inputs!$C$5)^2+Inputs!$C$52^2-2*(Inputs!$C$52+Inputs!$C$5)*Inputs!$C$52*COS(SQRT((Model_Data!A20)^2+Inputs!$C$6^2)/Inputs!$C$52))-Inputs!$C$5)*1000/Inputs!$C$12)</f>
        <v/>
      </c>
      <c r="AB20" s="9">
        <f>Model_Data!F20</f>
        <v/>
      </c>
    </row>
    <row r="21">
      <c r="A21" s="9">
        <f>Model_Data!A21</f>
        <v/>
      </c>
      <c r="B21" s="9">
        <f>0</f>
        <v/>
      </c>
      <c r="C21" s="9">
        <f>((SQRT((Inputs!$C$52+Inputs!$C$5)^2+Inputs!$C$52^2-2*(Inputs!$C$52+Inputs!$C$5)*Inputs!$C$52*COS(SQRT((Model_Data!A21)^2+Inputs!$C$6^2)/Inputs!$C$52))-Inputs!$C$5)*1000/Inputs!$C$12)</f>
        <v/>
      </c>
      <c r="D21" s="9">
        <f>Model_Data!F21</f>
        <v/>
      </c>
      <c r="E21" s="9">
        <f>Model_Data!AC21</f>
        <v/>
      </c>
      <c r="F21" s="10" t="n"/>
      <c r="G21" s="9">
        <f>Model_Data!A21</f>
        <v/>
      </c>
      <c r="H21" s="9">
        <f>Model_Data!Y21</f>
        <v/>
      </c>
      <c r="I21" s="9">
        <f>Model_Data!Y21</f>
        <v/>
      </c>
      <c r="J21" s="9">
        <f>Model_Data!X21</f>
        <v/>
      </c>
      <c r="K21" s="9">
        <f>Model_Data!A21</f>
        <v/>
      </c>
      <c r="L21" s="9">
        <f>Model_Data!Y21</f>
        <v/>
      </c>
      <c r="M21" s="9">
        <f>Model_Data!X21</f>
        <v/>
      </c>
      <c r="N21" s="9">
        <f>-(Model_Data!AC21-Model_Data!F21)*Inputs!$C$12</f>
        <v/>
      </c>
      <c r="O21" s="10" t="n"/>
      <c r="P21" s="9">
        <f>Model_Data!A21</f>
        <v/>
      </c>
      <c r="Q21" s="9">
        <f>Model_Data!P21</f>
        <v/>
      </c>
      <c r="R21" s="9">
        <f>Model_Data!AM21</f>
        <v/>
      </c>
      <c r="S21" s="9">
        <f>Model_Data!Q21</f>
        <v/>
      </c>
      <c r="T21" s="9">
        <f>Model_Data!AN21</f>
        <v/>
      </c>
      <c r="U21" s="10" t="n"/>
      <c r="V21" s="9">
        <f>Model_Data!A21</f>
        <v/>
      </c>
      <c r="W21" s="9">
        <f>Model_Data!B21-Inputs!$C$5</f>
        <v/>
      </c>
      <c r="X21" s="10" t="n"/>
      <c r="Y21" s="9">
        <f>Model_Data!A21</f>
        <v/>
      </c>
      <c r="Z21" s="9">
        <f>0</f>
        <v/>
      </c>
      <c r="AA21" s="9">
        <f>((SQRT((Inputs!$C$52+Inputs!$C$5)^2+Inputs!$C$52^2-2*(Inputs!$C$52+Inputs!$C$5)*Inputs!$C$52*COS(SQRT((Model_Data!A21)^2+Inputs!$C$6^2)/Inputs!$C$52))-Inputs!$C$5)*1000/Inputs!$C$12)</f>
        <v/>
      </c>
      <c r="AB21" s="9">
        <f>Model_Data!F21</f>
        <v/>
      </c>
    </row>
    <row r="22">
      <c r="A22" s="9">
        <f>Model_Data!A22</f>
        <v/>
      </c>
      <c r="B22" s="9">
        <f>0</f>
        <v/>
      </c>
      <c r="C22" s="9">
        <f>((SQRT((Inputs!$C$52+Inputs!$C$5)^2+Inputs!$C$52^2-2*(Inputs!$C$52+Inputs!$C$5)*Inputs!$C$52*COS(SQRT((Model_Data!A22)^2+Inputs!$C$6^2)/Inputs!$C$52))-Inputs!$C$5)*1000/Inputs!$C$12)</f>
        <v/>
      </c>
      <c r="D22" s="9">
        <f>Model_Data!F22</f>
        <v/>
      </c>
      <c r="E22" s="9">
        <f>Model_Data!AC22</f>
        <v/>
      </c>
      <c r="F22" s="10" t="n"/>
      <c r="G22" s="9">
        <f>Model_Data!A22</f>
        <v/>
      </c>
      <c r="H22" s="9">
        <f>Model_Data!Y22</f>
        <v/>
      </c>
      <c r="I22" s="9">
        <f>Model_Data!Y22</f>
        <v/>
      </c>
      <c r="J22" s="9">
        <f>Model_Data!X22</f>
        <v/>
      </c>
      <c r="K22" s="9">
        <f>Model_Data!A22</f>
        <v/>
      </c>
      <c r="L22" s="9">
        <f>Model_Data!Y22</f>
        <v/>
      </c>
      <c r="M22" s="9">
        <f>Model_Data!X22</f>
        <v/>
      </c>
      <c r="N22" s="9">
        <f>-(Model_Data!AC22-Model_Data!F22)*Inputs!$C$12</f>
        <v/>
      </c>
      <c r="O22" s="10" t="n"/>
      <c r="P22" s="9">
        <f>Model_Data!A22</f>
        <v/>
      </c>
      <c r="Q22" s="9">
        <f>Model_Data!P22</f>
        <v/>
      </c>
      <c r="R22" s="9">
        <f>Model_Data!AM22</f>
        <v/>
      </c>
      <c r="S22" s="9">
        <f>Model_Data!Q22</f>
        <v/>
      </c>
      <c r="T22" s="9">
        <f>Model_Data!AN22</f>
        <v/>
      </c>
      <c r="U22" s="10" t="n"/>
      <c r="V22" s="9">
        <f>Model_Data!A22</f>
        <v/>
      </c>
      <c r="W22" s="9">
        <f>Model_Data!B22-Inputs!$C$5</f>
        <v/>
      </c>
      <c r="X22" s="10" t="n"/>
      <c r="Y22" s="9">
        <f>Model_Data!A22</f>
        <v/>
      </c>
      <c r="Z22" s="9">
        <f>0</f>
        <v/>
      </c>
      <c r="AA22" s="9">
        <f>((SQRT((Inputs!$C$52+Inputs!$C$5)^2+Inputs!$C$52^2-2*(Inputs!$C$52+Inputs!$C$5)*Inputs!$C$52*COS(SQRT((Model_Data!A22)^2+Inputs!$C$6^2)/Inputs!$C$52))-Inputs!$C$5)*1000/Inputs!$C$12)</f>
        <v/>
      </c>
      <c r="AB22" s="9">
        <f>Model_Data!F22</f>
        <v/>
      </c>
    </row>
    <row r="23">
      <c r="A23" s="9">
        <f>Model_Data!A23</f>
        <v/>
      </c>
      <c r="B23" s="9">
        <f>0</f>
        <v/>
      </c>
      <c r="C23" s="9">
        <f>((SQRT((Inputs!$C$52+Inputs!$C$5)^2+Inputs!$C$52^2-2*(Inputs!$C$52+Inputs!$C$5)*Inputs!$C$52*COS(SQRT((Model_Data!A23)^2+Inputs!$C$6^2)/Inputs!$C$52))-Inputs!$C$5)*1000/Inputs!$C$12)</f>
        <v/>
      </c>
      <c r="D23" s="9">
        <f>Model_Data!F23</f>
        <v/>
      </c>
      <c r="E23" s="9">
        <f>Model_Data!AC23</f>
        <v/>
      </c>
      <c r="F23" s="10" t="n"/>
      <c r="G23" s="9">
        <f>Model_Data!A23</f>
        <v/>
      </c>
      <c r="H23" s="9">
        <f>Model_Data!Y23</f>
        <v/>
      </c>
      <c r="I23" s="9">
        <f>Model_Data!Y23</f>
        <v/>
      </c>
      <c r="J23" s="9">
        <f>Model_Data!X23</f>
        <v/>
      </c>
      <c r="K23" s="9">
        <f>Model_Data!A23</f>
        <v/>
      </c>
      <c r="L23" s="9">
        <f>Model_Data!Y23</f>
        <v/>
      </c>
      <c r="M23" s="9">
        <f>Model_Data!X23</f>
        <v/>
      </c>
      <c r="N23" s="9">
        <f>-(Model_Data!AC23-Model_Data!F23)*Inputs!$C$12</f>
        <v/>
      </c>
      <c r="O23" s="10" t="n"/>
      <c r="P23" s="9">
        <f>Model_Data!A23</f>
        <v/>
      </c>
      <c r="Q23" s="9">
        <f>Model_Data!P23</f>
        <v/>
      </c>
      <c r="R23" s="9">
        <f>Model_Data!AM23</f>
        <v/>
      </c>
      <c r="S23" s="9">
        <f>Model_Data!Q23</f>
        <v/>
      </c>
      <c r="T23" s="9">
        <f>Model_Data!AN23</f>
        <v/>
      </c>
      <c r="U23" s="10" t="n"/>
      <c r="V23" s="9">
        <f>Model_Data!A23</f>
        <v/>
      </c>
      <c r="W23" s="9">
        <f>Model_Data!B23-Inputs!$C$5</f>
        <v/>
      </c>
      <c r="X23" s="10" t="n"/>
      <c r="Y23" s="9">
        <f>Model_Data!A23</f>
        <v/>
      </c>
      <c r="Z23" s="9">
        <f>0</f>
        <v/>
      </c>
      <c r="AA23" s="9">
        <f>((SQRT((Inputs!$C$52+Inputs!$C$5)^2+Inputs!$C$52^2-2*(Inputs!$C$52+Inputs!$C$5)*Inputs!$C$52*COS(SQRT((Model_Data!A23)^2+Inputs!$C$6^2)/Inputs!$C$52))-Inputs!$C$5)*1000/Inputs!$C$12)</f>
        <v/>
      </c>
      <c r="AB23" s="9">
        <f>Model_Data!F23</f>
        <v/>
      </c>
    </row>
    <row r="24">
      <c r="A24" s="9">
        <f>Model_Data!A24</f>
        <v/>
      </c>
      <c r="B24" s="9">
        <f>0</f>
        <v/>
      </c>
      <c r="C24" s="9">
        <f>((SQRT((Inputs!$C$52+Inputs!$C$5)^2+Inputs!$C$52^2-2*(Inputs!$C$52+Inputs!$C$5)*Inputs!$C$52*COS(SQRT((Model_Data!A24)^2+Inputs!$C$6^2)/Inputs!$C$52))-Inputs!$C$5)*1000/Inputs!$C$12)</f>
        <v/>
      </c>
      <c r="D24" s="9">
        <f>Model_Data!F24</f>
        <v/>
      </c>
      <c r="E24" s="9">
        <f>Model_Data!AC24</f>
        <v/>
      </c>
      <c r="F24" s="10" t="n"/>
      <c r="G24" s="9">
        <f>Model_Data!A24</f>
        <v/>
      </c>
      <c r="H24" s="9">
        <f>Model_Data!Y24</f>
        <v/>
      </c>
      <c r="I24" s="9">
        <f>Model_Data!Y24</f>
        <v/>
      </c>
      <c r="J24" s="9">
        <f>Model_Data!X24</f>
        <v/>
      </c>
      <c r="K24" s="9">
        <f>Model_Data!A24</f>
        <v/>
      </c>
      <c r="L24" s="9">
        <f>Model_Data!Y24</f>
        <v/>
      </c>
      <c r="M24" s="9">
        <f>Model_Data!X24</f>
        <v/>
      </c>
      <c r="N24" s="9">
        <f>-(Model_Data!AC24-Model_Data!F24)*Inputs!$C$12</f>
        <v/>
      </c>
      <c r="O24" s="10" t="n"/>
      <c r="P24" s="9">
        <f>Model_Data!A24</f>
        <v/>
      </c>
      <c r="Q24" s="9">
        <f>Model_Data!P24</f>
        <v/>
      </c>
      <c r="R24" s="9">
        <f>Model_Data!AM24</f>
        <v/>
      </c>
      <c r="S24" s="9">
        <f>Model_Data!Q24</f>
        <v/>
      </c>
      <c r="T24" s="9">
        <f>Model_Data!AN24</f>
        <v/>
      </c>
      <c r="U24" s="10" t="n"/>
      <c r="V24" s="9">
        <f>Model_Data!A24</f>
        <v/>
      </c>
      <c r="W24" s="9">
        <f>Model_Data!B24-Inputs!$C$5</f>
        <v/>
      </c>
      <c r="X24" s="10" t="n"/>
      <c r="Y24" s="9">
        <f>Model_Data!A24</f>
        <v/>
      </c>
      <c r="Z24" s="9">
        <f>0</f>
        <v/>
      </c>
      <c r="AA24" s="9">
        <f>((SQRT((Inputs!$C$52+Inputs!$C$5)^2+Inputs!$C$52^2-2*(Inputs!$C$52+Inputs!$C$5)*Inputs!$C$52*COS(SQRT((Model_Data!A24)^2+Inputs!$C$6^2)/Inputs!$C$52))-Inputs!$C$5)*1000/Inputs!$C$12)</f>
        <v/>
      </c>
      <c r="AB24" s="9">
        <f>Model_Data!F24</f>
        <v/>
      </c>
    </row>
    <row r="25">
      <c r="A25" s="9">
        <f>Model_Data!A25</f>
        <v/>
      </c>
      <c r="B25" s="9">
        <f>0</f>
        <v/>
      </c>
      <c r="C25" s="9">
        <f>((SQRT((Inputs!$C$52+Inputs!$C$5)^2+Inputs!$C$52^2-2*(Inputs!$C$52+Inputs!$C$5)*Inputs!$C$52*COS(SQRT((Model_Data!A25)^2+Inputs!$C$6^2)/Inputs!$C$52))-Inputs!$C$5)*1000/Inputs!$C$12)</f>
        <v/>
      </c>
      <c r="D25" s="9">
        <f>Model_Data!F25</f>
        <v/>
      </c>
      <c r="E25" s="9">
        <f>Model_Data!AC25</f>
        <v/>
      </c>
      <c r="F25" s="10" t="n"/>
      <c r="G25" s="9">
        <f>Model_Data!A25</f>
        <v/>
      </c>
      <c r="H25" s="9">
        <f>Model_Data!Y25</f>
        <v/>
      </c>
      <c r="I25" s="9">
        <f>Model_Data!Y25</f>
        <v/>
      </c>
      <c r="J25" s="9">
        <f>Model_Data!X25</f>
        <v/>
      </c>
      <c r="K25" s="9">
        <f>Model_Data!A25</f>
        <v/>
      </c>
      <c r="L25" s="9">
        <f>Model_Data!Y25</f>
        <v/>
      </c>
      <c r="M25" s="9">
        <f>Model_Data!X25</f>
        <v/>
      </c>
      <c r="N25" s="9">
        <f>-(Model_Data!AC25-Model_Data!F25)*Inputs!$C$12</f>
        <v/>
      </c>
      <c r="O25" s="10" t="n"/>
      <c r="P25" s="9">
        <f>Model_Data!A25</f>
        <v/>
      </c>
      <c r="Q25" s="9">
        <f>Model_Data!P25</f>
        <v/>
      </c>
      <c r="R25" s="9">
        <f>Model_Data!AM25</f>
        <v/>
      </c>
      <c r="S25" s="9">
        <f>Model_Data!Q25</f>
        <v/>
      </c>
      <c r="T25" s="9">
        <f>Model_Data!AN25</f>
        <v/>
      </c>
      <c r="U25" s="10" t="n"/>
      <c r="V25" s="9">
        <f>Model_Data!A25</f>
        <v/>
      </c>
      <c r="W25" s="9">
        <f>Model_Data!B25-Inputs!$C$5</f>
        <v/>
      </c>
      <c r="X25" s="10" t="n"/>
      <c r="Y25" s="9">
        <f>Model_Data!A25</f>
        <v/>
      </c>
      <c r="Z25" s="9">
        <f>0</f>
        <v/>
      </c>
      <c r="AA25" s="9">
        <f>((SQRT((Inputs!$C$52+Inputs!$C$5)^2+Inputs!$C$52^2-2*(Inputs!$C$52+Inputs!$C$5)*Inputs!$C$52*COS(SQRT((Model_Data!A25)^2+Inputs!$C$6^2)/Inputs!$C$52))-Inputs!$C$5)*1000/Inputs!$C$12)</f>
        <v/>
      </c>
      <c r="AB25" s="9">
        <f>Model_Data!F25</f>
        <v/>
      </c>
    </row>
    <row r="26">
      <c r="A26" s="9">
        <f>Model_Data!A26</f>
        <v/>
      </c>
      <c r="B26" s="9">
        <f>0</f>
        <v/>
      </c>
      <c r="C26" s="9">
        <f>((SQRT((Inputs!$C$52+Inputs!$C$5)^2+Inputs!$C$52^2-2*(Inputs!$C$52+Inputs!$C$5)*Inputs!$C$52*COS(SQRT((Model_Data!A26)^2+Inputs!$C$6^2)/Inputs!$C$52))-Inputs!$C$5)*1000/Inputs!$C$12)</f>
        <v/>
      </c>
      <c r="D26" s="9">
        <f>Model_Data!F26</f>
        <v/>
      </c>
      <c r="E26" s="9">
        <f>Model_Data!AC26</f>
        <v/>
      </c>
      <c r="F26" s="10" t="n"/>
      <c r="G26" s="9">
        <f>Model_Data!A26</f>
        <v/>
      </c>
      <c r="H26" s="9">
        <f>Model_Data!Y26</f>
        <v/>
      </c>
      <c r="I26" s="9">
        <f>Model_Data!Y26</f>
        <v/>
      </c>
      <c r="J26" s="9">
        <f>Model_Data!X26</f>
        <v/>
      </c>
      <c r="K26" s="9">
        <f>Model_Data!A26</f>
        <v/>
      </c>
      <c r="L26" s="9">
        <f>Model_Data!Y26</f>
        <v/>
      </c>
      <c r="M26" s="9">
        <f>Model_Data!X26</f>
        <v/>
      </c>
      <c r="N26" s="9">
        <f>-(Model_Data!AC26-Model_Data!F26)*Inputs!$C$12</f>
        <v/>
      </c>
      <c r="O26" s="10" t="n"/>
      <c r="P26" s="9">
        <f>Model_Data!A26</f>
        <v/>
      </c>
      <c r="Q26" s="9">
        <f>Model_Data!P26</f>
        <v/>
      </c>
      <c r="R26" s="9">
        <f>Model_Data!AM26</f>
        <v/>
      </c>
      <c r="S26" s="9">
        <f>Model_Data!Q26</f>
        <v/>
      </c>
      <c r="T26" s="9">
        <f>Model_Data!AN26</f>
        <v/>
      </c>
      <c r="U26" s="10" t="n"/>
      <c r="V26" s="9">
        <f>Model_Data!A26</f>
        <v/>
      </c>
      <c r="W26" s="9">
        <f>Model_Data!B26-Inputs!$C$5</f>
        <v/>
      </c>
      <c r="X26" s="10" t="n"/>
      <c r="Y26" s="9">
        <f>Model_Data!A26</f>
        <v/>
      </c>
      <c r="Z26" s="9">
        <f>0</f>
        <v/>
      </c>
      <c r="AA26" s="9">
        <f>((SQRT((Inputs!$C$52+Inputs!$C$5)^2+Inputs!$C$52^2-2*(Inputs!$C$52+Inputs!$C$5)*Inputs!$C$52*COS(SQRT((Model_Data!A26)^2+Inputs!$C$6^2)/Inputs!$C$52))-Inputs!$C$5)*1000/Inputs!$C$12)</f>
        <v/>
      </c>
      <c r="AB26" s="9">
        <f>Model_Data!F26</f>
        <v/>
      </c>
    </row>
    <row r="27">
      <c r="A27" s="9">
        <f>Model_Data!A27</f>
        <v/>
      </c>
      <c r="B27" s="9">
        <f>0</f>
        <v/>
      </c>
      <c r="C27" s="9">
        <f>((SQRT((Inputs!$C$52+Inputs!$C$5)^2+Inputs!$C$52^2-2*(Inputs!$C$52+Inputs!$C$5)*Inputs!$C$52*COS(SQRT((Model_Data!A27)^2+Inputs!$C$6^2)/Inputs!$C$52))-Inputs!$C$5)*1000/Inputs!$C$12)</f>
        <v/>
      </c>
      <c r="D27" s="9">
        <f>Model_Data!F27</f>
        <v/>
      </c>
      <c r="E27" s="9">
        <f>Model_Data!AC27</f>
        <v/>
      </c>
      <c r="F27" s="10" t="n"/>
      <c r="G27" s="9">
        <f>Model_Data!A27</f>
        <v/>
      </c>
      <c r="H27" s="9">
        <f>Model_Data!Y27</f>
        <v/>
      </c>
      <c r="I27" s="9">
        <f>Model_Data!Y27</f>
        <v/>
      </c>
      <c r="J27" s="9">
        <f>Model_Data!X27</f>
        <v/>
      </c>
      <c r="K27" s="9">
        <f>Model_Data!A27</f>
        <v/>
      </c>
      <c r="L27" s="9">
        <f>Model_Data!Y27</f>
        <v/>
      </c>
      <c r="M27" s="9">
        <f>Model_Data!X27</f>
        <v/>
      </c>
      <c r="N27" s="9">
        <f>-(Model_Data!AC27-Model_Data!F27)*Inputs!$C$12</f>
        <v/>
      </c>
      <c r="O27" s="10" t="n"/>
      <c r="P27" s="9">
        <f>Model_Data!A27</f>
        <v/>
      </c>
      <c r="Q27" s="9">
        <f>Model_Data!P27</f>
        <v/>
      </c>
      <c r="R27" s="9">
        <f>Model_Data!AM27</f>
        <v/>
      </c>
      <c r="S27" s="9">
        <f>Model_Data!Q27</f>
        <v/>
      </c>
      <c r="T27" s="9">
        <f>Model_Data!AN27</f>
        <v/>
      </c>
      <c r="U27" s="10" t="n"/>
      <c r="V27" s="9">
        <f>Model_Data!A27</f>
        <v/>
      </c>
      <c r="W27" s="9">
        <f>Model_Data!B27-Inputs!$C$5</f>
        <v/>
      </c>
      <c r="X27" s="10" t="n"/>
      <c r="Y27" s="9">
        <f>Model_Data!A27</f>
        <v/>
      </c>
      <c r="Z27" s="9">
        <f>0</f>
        <v/>
      </c>
      <c r="AA27" s="9">
        <f>((SQRT((Inputs!$C$52+Inputs!$C$5)^2+Inputs!$C$52^2-2*(Inputs!$C$52+Inputs!$C$5)*Inputs!$C$52*COS(SQRT((Model_Data!A27)^2+Inputs!$C$6^2)/Inputs!$C$52))-Inputs!$C$5)*1000/Inputs!$C$12)</f>
        <v/>
      </c>
      <c r="AB27" s="9">
        <f>Model_Data!F27</f>
        <v/>
      </c>
    </row>
    <row r="28">
      <c r="A28" s="9">
        <f>Model_Data!A28</f>
        <v/>
      </c>
      <c r="B28" s="9">
        <f>0</f>
        <v/>
      </c>
      <c r="C28" s="9">
        <f>((SQRT((Inputs!$C$52+Inputs!$C$5)^2+Inputs!$C$52^2-2*(Inputs!$C$52+Inputs!$C$5)*Inputs!$C$52*COS(SQRT((Model_Data!A28)^2+Inputs!$C$6^2)/Inputs!$C$52))-Inputs!$C$5)*1000/Inputs!$C$12)</f>
        <v/>
      </c>
      <c r="D28" s="9">
        <f>Model_Data!F28</f>
        <v/>
      </c>
      <c r="E28" s="9">
        <f>Model_Data!AC28</f>
        <v/>
      </c>
      <c r="F28" s="10" t="n"/>
      <c r="G28" s="9">
        <f>Model_Data!A28</f>
        <v/>
      </c>
      <c r="H28" s="9">
        <f>Model_Data!Y28</f>
        <v/>
      </c>
      <c r="I28" s="9">
        <f>Model_Data!Y28</f>
        <v/>
      </c>
      <c r="J28" s="9">
        <f>Model_Data!X28</f>
        <v/>
      </c>
      <c r="K28" s="9">
        <f>Model_Data!A28</f>
        <v/>
      </c>
      <c r="L28" s="9">
        <f>Model_Data!Y28</f>
        <v/>
      </c>
      <c r="M28" s="9">
        <f>Model_Data!X28</f>
        <v/>
      </c>
      <c r="N28" s="9">
        <f>-(Model_Data!AC28-Model_Data!F28)*Inputs!$C$12</f>
        <v/>
      </c>
      <c r="O28" s="10" t="n"/>
      <c r="P28" s="9">
        <f>Model_Data!A28</f>
        <v/>
      </c>
      <c r="Q28" s="9">
        <f>Model_Data!P28</f>
        <v/>
      </c>
      <c r="R28" s="9">
        <f>Model_Data!AM28</f>
        <v/>
      </c>
      <c r="S28" s="9">
        <f>Model_Data!Q28</f>
        <v/>
      </c>
      <c r="T28" s="9">
        <f>Model_Data!AN28</f>
        <v/>
      </c>
      <c r="U28" s="10" t="n"/>
      <c r="V28" s="9">
        <f>Model_Data!A28</f>
        <v/>
      </c>
      <c r="W28" s="9">
        <f>Model_Data!B28-Inputs!$C$5</f>
        <v/>
      </c>
      <c r="X28" s="10" t="n"/>
      <c r="Y28" s="9">
        <f>Model_Data!A28</f>
        <v/>
      </c>
      <c r="Z28" s="9">
        <f>0</f>
        <v/>
      </c>
      <c r="AA28" s="9">
        <f>((SQRT((Inputs!$C$52+Inputs!$C$5)^2+Inputs!$C$52^2-2*(Inputs!$C$52+Inputs!$C$5)*Inputs!$C$52*COS(SQRT((Model_Data!A28)^2+Inputs!$C$6^2)/Inputs!$C$52))-Inputs!$C$5)*1000/Inputs!$C$12)</f>
        <v/>
      </c>
      <c r="AB28" s="9">
        <f>Model_Data!F28</f>
        <v/>
      </c>
    </row>
    <row r="29">
      <c r="A29" s="9">
        <f>Model_Data!A29</f>
        <v/>
      </c>
      <c r="B29" s="9">
        <f>0</f>
        <v/>
      </c>
      <c r="C29" s="9">
        <f>((SQRT((Inputs!$C$52+Inputs!$C$5)^2+Inputs!$C$52^2-2*(Inputs!$C$52+Inputs!$C$5)*Inputs!$C$52*COS(SQRT((Model_Data!A29)^2+Inputs!$C$6^2)/Inputs!$C$52))-Inputs!$C$5)*1000/Inputs!$C$12)</f>
        <v/>
      </c>
      <c r="D29" s="9">
        <f>Model_Data!F29</f>
        <v/>
      </c>
      <c r="E29" s="9">
        <f>Model_Data!AC29</f>
        <v/>
      </c>
      <c r="F29" s="10" t="n"/>
      <c r="G29" s="9">
        <f>Model_Data!A29</f>
        <v/>
      </c>
      <c r="H29" s="9">
        <f>Model_Data!Y29</f>
        <v/>
      </c>
      <c r="I29" s="9">
        <f>Model_Data!Y29</f>
        <v/>
      </c>
      <c r="J29" s="9">
        <f>Model_Data!X29</f>
        <v/>
      </c>
      <c r="K29" s="9">
        <f>Model_Data!A29</f>
        <v/>
      </c>
      <c r="L29" s="9">
        <f>Model_Data!Y29</f>
        <v/>
      </c>
      <c r="M29" s="9">
        <f>Model_Data!X29</f>
        <v/>
      </c>
      <c r="N29" s="9">
        <f>-(Model_Data!AC29-Model_Data!F29)*Inputs!$C$12</f>
        <v/>
      </c>
      <c r="O29" s="10" t="n"/>
      <c r="P29" s="9">
        <f>Model_Data!A29</f>
        <v/>
      </c>
      <c r="Q29" s="9">
        <f>Model_Data!P29</f>
        <v/>
      </c>
      <c r="R29" s="9">
        <f>Model_Data!AM29</f>
        <v/>
      </c>
      <c r="S29" s="9">
        <f>Model_Data!Q29</f>
        <v/>
      </c>
      <c r="T29" s="9">
        <f>Model_Data!AN29</f>
        <v/>
      </c>
      <c r="U29" s="10" t="n"/>
      <c r="V29" s="9">
        <f>Model_Data!A29</f>
        <v/>
      </c>
      <c r="W29" s="9">
        <f>Model_Data!B29-Inputs!$C$5</f>
        <v/>
      </c>
      <c r="X29" s="10" t="n"/>
      <c r="Y29" s="9">
        <f>Model_Data!A29</f>
        <v/>
      </c>
      <c r="Z29" s="9">
        <f>0</f>
        <v/>
      </c>
      <c r="AA29" s="9">
        <f>((SQRT((Inputs!$C$52+Inputs!$C$5)^2+Inputs!$C$52^2-2*(Inputs!$C$52+Inputs!$C$5)*Inputs!$C$52*COS(SQRT((Model_Data!A29)^2+Inputs!$C$6^2)/Inputs!$C$52))-Inputs!$C$5)*1000/Inputs!$C$12)</f>
        <v/>
      </c>
      <c r="AB29" s="9">
        <f>Model_Data!F29</f>
        <v/>
      </c>
    </row>
    <row r="30">
      <c r="A30" s="9">
        <f>Model_Data!A30</f>
        <v/>
      </c>
      <c r="B30" s="9">
        <f>0</f>
        <v/>
      </c>
      <c r="C30" s="9">
        <f>((SQRT((Inputs!$C$52+Inputs!$C$5)^2+Inputs!$C$52^2-2*(Inputs!$C$52+Inputs!$C$5)*Inputs!$C$52*COS(SQRT((Model_Data!A30)^2+Inputs!$C$6^2)/Inputs!$C$52))-Inputs!$C$5)*1000/Inputs!$C$12)</f>
        <v/>
      </c>
      <c r="D30" s="9">
        <f>Model_Data!F30</f>
        <v/>
      </c>
      <c r="E30" s="9">
        <f>Model_Data!AC30</f>
        <v/>
      </c>
      <c r="F30" s="10" t="n"/>
      <c r="G30" s="9">
        <f>Model_Data!A30</f>
        <v/>
      </c>
      <c r="H30" s="9">
        <f>Model_Data!Y30</f>
        <v/>
      </c>
      <c r="I30" s="9">
        <f>Model_Data!Y30</f>
        <v/>
      </c>
      <c r="J30" s="9">
        <f>Model_Data!X30</f>
        <v/>
      </c>
      <c r="K30" s="9">
        <f>Model_Data!A30</f>
        <v/>
      </c>
      <c r="L30" s="9">
        <f>Model_Data!Y30</f>
        <v/>
      </c>
      <c r="M30" s="9">
        <f>Model_Data!X30</f>
        <v/>
      </c>
      <c r="N30" s="9">
        <f>-(Model_Data!AC30-Model_Data!F30)*Inputs!$C$12</f>
        <v/>
      </c>
      <c r="O30" s="10" t="n"/>
      <c r="P30" s="9">
        <f>Model_Data!A30</f>
        <v/>
      </c>
      <c r="Q30" s="9">
        <f>Model_Data!P30</f>
        <v/>
      </c>
      <c r="R30" s="9">
        <f>Model_Data!AM30</f>
        <v/>
      </c>
      <c r="S30" s="9">
        <f>Model_Data!Q30</f>
        <v/>
      </c>
      <c r="T30" s="9">
        <f>Model_Data!AN30</f>
        <v/>
      </c>
      <c r="U30" s="10" t="n"/>
      <c r="V30" s="9">
        <f>Model_Data!A30</f>
        <v/>
      </c>
      <c r="W30" s="9">
        <f>Model_Data!B30-Inputs!$C$5</f>
        <v/>
      </c>
      <c r="X30" s="10" t="n"/>
      <c r="Y30" s="9">
        <f>Model_Data!A30</f>
        <v/>
      </c>
      <c r="Z30" s="9">
        <f>0</f>
        <v/>
      </c>
      <c r="AA30" s="9">
        <f>((SQRT((Inputs!$C$52+Inputs!$C$5)^2+Inputs!$C$52^2-2*(Inputs!$C$52+Inputs!$C$5)*Inputs!$C$52*COS(SQRT((Model_Data!A30)^2+Inputs!$C$6^2)/Inputs!$C$52))-Inputs!$C$5)*1000/Inputs!$C$12)</f>
        <v/>
      </c>
      <c r="AB30" s="9">
        <f>Model_Data!F30</f>
        <v/>
      </c>
    </row>
    <row r="31">
      <c r="A31" s="9">
        <f>Model_Data!A31</f>
        <v/>
      </c>
      <c r="B31" s="9">
        <f>0</f>
        <v/>
      </c>
      <c r="C31" s="9">
        <f>((SQRT((Inputs!$C$52+Inputs!$C$5)^2+Inputs!$C$52^2-2*(Inputs!$C$52+Inputs!$C$5)*Inputs!$C$52*COS(SQRT((Model_Data!A31)^2+Inputs!$C$6^2)/Inputs!$C$52))-Inputs!$C$5)*1000/Inputs!$C$12)</f>
        <v/>
      </c>
      <c r="D31" s="9">
        <f>Model_Data!F31</f>
        <v/>
      </c>
      <c r="E31" s="9">
        <f>Model_Data!AC31</f>
        <v/>
      </c>
      <c r="F31" s="10" t="n"/>
      <c r="G31" s="9">
        <f>Model_Data!A31</f>
        <v/>
      </c>
      <c r="H31" s="9">
        <f>Model_Data!Y31</f>
        <v/>
      </c>
      <c r="I31" s="9">
        <f>Model_Data!Y31</f>
        <v/>
      </c>
      <c r="J31" s="9">
        <f>Model_Data!X31</f>
        <v/>
      </c>
      <c r="K31" s="9">
        <f>Model_Data!A31</f>
        <v/>
      </c>
      <c r="L31" s="9">
        <f>Model_Data!Y31</f>
        <v/>
      </c>
      <c r="M31" s="9">
        <f>Model_Data!X31</f>
        <v/>
      </c>
      <c r="N31" s="9">
        <f>-(Model_Data!AC31-Model_Data!F31)*Inputs!$C$12</f>
        <v/>
      </c>
      <c r="O31" s="10" t="n"/>
      <c r="P31" s="9">
        <f>Model_Data!A31</f>
        <v/>
      </c>
      <c r="Q31" s="9">
        <f>Model_Data!P31</f>
        <v/>
      </c>
      <c r="R31" s="9">
        <f>Model_Data!AM31</f>
        <v/>
      </c>
      <c r="S31" s="9">
        <f>Model_Data!Q31</f>
        <v/>
      </c>
      <c r="T31" s="9">
        <f>Model_Data!AN31</f>
        <v/>
      </c>
      <c r="U31" s="10" t="n"/>
      <c r="V31" s="9">
        <f>Model_Data!A31</f>
        <v/>
      </c>
      <c r="W31" s="9">
        <f>Model_Data!B31-Inputs!$C$5</f>
        <v/>
      </c>
      <c r="X31" s="10" t="n"/>
      <c r="Y31" s="9">
        <f>Model_Data!A31</f>
        <v/>
      </c>
      <c r="Z31" s="9">
        <f>0</f>
        <v/>
      </c>
      <c r="AA31" s="9">
        <f>((SQRT((Inputs!$C$52+Inputs!$C$5)^2+Inputs!$C$52^2-2*(Inputs!$C$52+Inputs!$C$5)*Inputs!$C$52*COS(SQRT((Model_Data!A31)^2+Inputs!$C$6^2)/Inputs!$C$52))-Inputs!$C$5)*1000/Inputs!$C$12)</f>
        <v/>
      </c>
      <c r="AB31" s="9">
        <f>Model_Data!F31</f>
        <v/>
      </c>
    </row>
    <row r="32">
      <c r="A32" s="9">
        <f>Model_Data!A32</f>
        <v/>
      </c>
      <c r="B32" s="9">
        <f>0</f>
        <v/>
      </c>
      <c r="C32" s="9">
        <f>((SQRT((Inputs!$C$52+Inputs!$C$5)^2+Inputs!$C$52^2-2*(Inputs!$C$52+Inputs!$C$5)*Inputs!$C$52*COS(SQRT((Model_Data!A32)^2+Inputs!$C$6^2)/Inputs!$C$52))-Inputs!$C$5)*1000/Inputs!$C$12)</f>
        <v/>
      </c>
      <c r="D32" s="9">
        <f>Model_Data!F32</f>
        <v/>
      </c>
      <c r="E32" s="9">
        <f>Model_Data!AC32</f>
        <v/>
      </c>
      <c r="F32" s="10" t="n"/>
      <c r="G32" s="9">
        <f>Model_Data!A32</f>
        <v/>
      </c>
      <c r="H32" s="9">
        <f>Model_Data!Y32</f>
        <v/>
      </c>
      <c r="I32" s="9">
        <f>Model_Data!Y32</f>
        <v/>
      </c>
      <c r="J32" s="9">
        <f>Model_Data!X32</f>
        <v/>
      </c>
      <c r="K32" s="9">
        <f>Model_Data!A32</f>
        <v/>
      </c>
      <c r="L32" s="9">
        <f>Model_Data!Y32</f>
        <v/>
      </c>
      <c r="M32" s="9">
        <f>Model_Data!X32</f>
        <v/>
      </c>
      <c r="N32" s="9">
        <f>-(Model_Data!AC32-Model_Data!F32)*Inputs!$C$12</f>
        <v/>
      </c>
      <c r="O32" s="10" t="n"/>
      <c r="P32" s="9">
        <f>Model_Data!A32</f>
        <v/>
      </c>
      <c r="Q32" s="9">
        <f>Model_Data!P32</f>
        <v/>
      </c>
      <c r="R32" s="9">
        <f>Model_Data!AM32</f>
        <v/>
      </c>
      <c r="S32" s="9">
        <f>Model_Data!Q32</f>
        <v/>
      </c>
      <c r="T32" s="9">
        <f>Model_Data!AN32</f>
        <v/>
      </c>
      <c r="U32" s="10" t="n"/>
      <c r="V32" s="9">
        <f>Model_Data!A32</f>
        <v/>
      </c>
      <c r="W32" s="9">
        <f>Model_Data!B32-Inputs!$C$5</f>
        <v/>
      </c>
      <c r="X32" s="10" t="n"/>
      <c r="Y32" s="9">
        <f>Model_Data!A32</f>
        <v/>
      </c>
      <c r="Z32" s="9">
        <f>0</f>
        <v/>
      </c>
      <c r="AA32" s="9">
        <f>((SQRT((Inputs!$C$52+Inputs!$C$5)^2+Inputs!$C$52^2-2*(Inputs!$C$52+Inputs!$C$5)*Inputs!$C$52*COS(SQRT((Model_Data!A32)^2+Inputs!$C$6^2)/Inputs!$C$52))-Inputs!$C$5)*1000/Inputs!$C$12)</f>
        <v/>
      </c>
      <c r="AB32" s="9">
        <f>Model_Data!F32</f>
        <v/>
      </c>
    </row>
    <row r="33">
      <c r="A33" s="9">
        <f>Model_Data!A33</f>
        <v/>
      </c>
      <c r="B33" s="9">
        <f>0</f>
        <v/>
      </c>
      <c r="C33" s="9">
        <f>((SQRT((Inputs!$C$52+Inputs!$C$5)^2+Inputs!$C$52^2-2*(Inputs!$C$52+Inputs!$C$5)*Inputs!$C$52*COS(SQRT((Model_Data!A33)^2+Inputs!$C$6^2)/Inputs!$C$52))-Inputs!$C$5)*1000/Inputs!$C$12)</f>
        <v/>
      </c>
      <c r="D33" s="9">
        <f>Model_Data!F33</f>
        <v/>
      </c>
      <c r="E33" s="9">
        <f>Model_Data!AC33</f>
        <v/>
      </c>
      <c r="F33" s="10" t="n"/>
      <c r="G33" s="9">
        <f>Model_Data!A33</f>
        <v/>
      </c>
      <c r="H33" s="9">
        <f>Model_Data!Y33</f>
        <v/>
      </c>
      <c r="I33" s="9">
        <f>Model_Data!Y33</f>
        <v/>
      </c>
      <c r="J33" s="9">
        <f>Model_Data!X33</f>
        <v/>
      </c>
      <c r="K33" s="9">
        <f>Model_Data!A33</f>
        <v/>
      </c>
      <c r="L33" s="9">
        <f>Model_Data!Y33</f>
        <v/>
      </c>
      <c r="M33" s="9">
        <f>Model_Data!X33</f>
        <v/>
      </c>
      <c r="N33" s="9">
        <f>-(Model_Data!AC33-Model_Data!F33)*Inputs!$C$12</f>
        <v/>
      </c>
      <c r="O33" s="10" t="n"/>
      <c r="P33" s="9">
        <f>Model_Data!A33</f>
        <v/>
      </c>
      <c r="Q33" s="9">
        <f>Model_Data!P33</f>
        <v/>
      </c>
      <c r="R33" s="9">
        <f>Model_Data!AM33</f>
        <v/>
      </c>
      <c r="S33" s="9">
        <f>Model_Data!Q33</f>
        <v/>
      </c>
      <c r="T33" s="9">
        <f>Model_Data!AN33</f>
        <v/>
      </c>
      <c r="U33" s="10" t="n"/>
      <c r="V33" s="9">
        <f>Model_Data!A33</f>
        <v/>
      </c>
      <c r="W33" s="9">
        <f>Model_Data!B33-Inputs!$C$5</f>
        <v/>
      </c>
      <c r="X33" s="10" t="n"/>
      <c r="Y33" s="9">
        <f>Model_Data!A33</f>
        <v/>
      </c>
      <c r="Z33" s="9">
        <f>0</f>
        <v/>
      </c>
      <c r="AA33" s="9">
        <f>((SQRT((Inputs!$C$52+Inputs!$C$5)^2+Inputs!$C$52^2-2*(Inputs!$C$52+Inputs!$C$5)*Inputs!$C$52*COS(SQRT((Model_Data!A33)^2+Inputs!$C$6^2)/Inputs!$C$52))-Inputs!$C$5)*1000/Inputs!$C$12)</f>
        <v/>
      </c>
      <c r="AB33" s="9">
        <f>Model_Data!F33</f>
        <v/>
      </c>
    </row>
    <row r="34">
      <c r="A34" s="9">
        <f>Model_Data!A34</f>
        <v/>
      </c>
      <c r="B34" s="9">
        <f>0</f>
        <v/>
      </c>
      <c r="C34" s="9">
        <f>((SQRT((Inputs!$C$52+Inputs!$C$5)^2+Inputs!$C$52^2-2*(Inputs!$C$52+Inputs!$C$5)*Inputs!$C$52*COS(SQRT((Model_Data!A34)^2+Inputs!$C$6^2)/Inputs!$C$52))-Inputs!$C$5)*1000/Inputs!$C$12)</f>
        <v/>
      </c>
      <c r="D34" s="9">
        <f>Model_Data!F34</f>
        <v/>
      </c>
      <c r="E34" s="9">
        <f>Model_Data!AC34</f>
        <v/>
      </c>
      <c r="F34" s="10" t="n"/>
      <c r="G34" s="9">
        <f>Model_Data!A34</f>
        <v/>
      </c>
      <c r="H34" s="9">
        <f>Model_Data!Y34</f>
        <v/>
      </c>
      <c r="I34" s="9">
        <f>Model_Data!Y34</f>
        <v/>
      </c>
      <c r="J34" s="9">
        <f>Model_Data!X34</f>
        <v/>
      </c>
      <c r="K34" s="9">
        <f>Model_Data!A34</f>
        <v/>
      </c>
      <c r="L34" s="9">
        <f>Model_Data!Y34</f>
        <v/>
      </c>
      <c r="M34" s="9">
        <f>Model_Data!X34</f>
        <v/>
      </c>
      <c r="N34" s="9">
        <f>-(Model_Data!AC34-Model_Data!F34)*Inputs!$C$12</f>
        <v/>
      </c>
      <c r="O34" s="10" t="n"/>
      <c r="P34" s="9">
        <f>Model_Data!A34</f>
        <v/>
      </c>
      <c r="Q34" s="9">
        <f>Model_Data!P34</f>
        <v/>
      </c>
      <c r="R34" s="9">
        <f>Model_Data!AM34</f>
        <v/>
      </c>
      <c r="S34" s="9">
        <f>Model_Data!Q34</f>
        <v/>
      </c>
      <c r="T34" s="9">
        <f>Model_Data!AN34</f>
        <v/>
      </c>
      <c r="U34" s="10" t="n"/>
      <c r="V34" s="9">
        <f>Model_Data!A34</f>
        <v/>
      </c>
      <c r="W34" s="9">
        <f>Model_Data!B34-Inputs!$C$5</f>
        <v/>
      </c>
      <c r="X34" s="10" t="n"/>
      <c r="Y34" s="9">
        <f>Model_Data!A34</f>
        <v/>
      </c>
      <c r="Z34" s="9">
        <f>0</f>
        <v/>
      </c>
      <c r="AA34" s="9">
        <f>((SQRT((Inputs!$C$52+Inputs!$C$5)^2+Inputs!$C$52^2-2*(Inputs!$C$52+Inputs!$C$5)*Inputs!$C$52*COS(SQRT((Model_Data!A34)^2+Inputs!$C$6^2)/Inputs!$C$52))-Inputs!$C$5)*1000/Inputs!$C$12)</f>
        <v/>
      </c>
      <c r="AB34" s="9">
        <f>Model_Data!F34</f>
        <v/>
      </c>
    </row>
    <row r="35">
      <c r="A35" s="9">
        <f>Model_Data!A35</f>
        <v/>
      </c>
      <c r="B35" s="9">
        <f>0</f>
        <v/>
      </c>
      <c r="C35" s="9">
        <f>((SQRT((Inputs!$C$52+Inputs!$C$5)^2+Inputs!$C$52^2-2*(Inputs!$C$52+Inputs!$C$5)*Inputs!$C$52*COS(SQRT((Model_Data!A35)^2+Inputs!$C$6^2)/Inputs!$C$52))-Inputs!$C$5)*1000/Inputs!$C$12)</f>
        <v/>
      </c>
      <c r="D35" s="9">
        <f>Model_Data!F35</f>
        <v/>
      </c>
      <c r="E35" s="9">
        <f>Model_Data!AC35</f>
        <v/>
      </c>
      <c r="F35" s="10" t="n"/>
      <c r="G35" s="9">
        <f>Model_Data!A35</f>
        <v/>
      </c>
      <c r="H35" s="9">
        <f>Model_Data!Y35</f>
        <v/>
      </c>
      <c r="I35" s="9">
        <f>Model_Data!Y35</f>
        <v/>
      </c>
      <c r="J35" s="9">
        <f>Model_Data!X35</f>
        <v/>
      </c>
      <c r="K35" s="9">
        <f>Model_Data!A35</f>
        <v/>
      </c>
      <c r="L35" s="9">
        <f>Model_Data!Y35</f>
        <v/>
      </c>
      <c r="M35" s="9">
        <f>Model_Data!X35</f>
        <v/>
      </c>
      <c r="N35" s="9">
        <f>-(Model_Data!AC35-Model_Data!F35)*Inputs!$C$12</f>
        <v/>
      </c>
      <c r="O35" s="10" t="n"/>
      <c r="P35" s="9">
        <f>Model_Data!A35</f>
        <v/>
      </c>
      <c r="Q35" s="9">
        <f>Model_Data!P35</f>
        <v/>
      </c>
      <c r="R35" s="9">
        <f>Model_Data!AM35</f>
        <v/>
      </c>
      <c r="S35" s="9">
        <f>Model_Data!Q35</f>
        <v/>
      </c>
      <c r="T35" s="9">
        <f>Model_Data!AN35</f>
        <v/>
      </c>
      <c r="U35" s="10" t="n"/>
      <c r="V35" s="9">
        <f>Model_Data!A35</f>
        <v/>
      </c>
      <c r="W35" s="9">
        <f>Model_Data!B35-Inputs!$C$5</f>
        <v/>
      </c>
      <c r="X35" s="10" t="n"/>
      <c r="Y35" s="9">
        <f>Model_Data!A35</f>
        <v/>
      </c>
      <c r="Z35" s="9">
        <f>0</f>
        <v/>
      </c>
      <c r="AA35" s="9">
        <f>((SQRT((Inputs!$C$52+Inputs!$C$5)^2+Inputs!$C$52^2-2*(Inputs!$C$52+Inputs!$C$5)*Inputs!$C$52*COS(SQRT((Model_Data!A35)^2+Inputs!$C$6^2)/Inputs!$C$52))-Inputs!$C$5)*1000/Inputs!$C$12)</f>
        <v/>
      </c>
      <c r="AB35" s="9">
        <f>Model_Data!F35</f>
        <v/>
      </c>
    </row>
    <row r="36">
      <c r="A36" s="9">
        <f>Model_Data!A36</f>
        <v/>
      </c>
      <c r="B36" s="9">
        <f>0</f>
        <v/>
      </c>
      <c r="C36" s="9">
        <f>((SQRT((Inputs!$C$52+Inputs!$C$5)^2+Inputs!$C$52^2-2*(Inputs!$C$52+Inputs!$C$5)*Inputs!$C$52*COS(SQRT((Model_Data!A36)^2+Inputs!$C$6^2)/Inputs!$C$52))-Inputs!$C$5)*1000/Inputs!$C$12)</f>
        <v/>
      </c>
      <c r="D36" s="9">
        <f>Model_Data!F36</f>
        <v/>
      </c>
      <c r="E36" s="9">
        <f>Model_Data!AC36</f>
        <v/>
      </c>
      <c r="F36" s="10" t="n"/>
      <c r="G36" s="9">
        <f>Model_Data!A36</f>
        <v/>
      </c>
      <c r="H36" s="9">
        <f>Model_Data!Y36</f>
        <v/>
      </c>
      <c r="I36" s="9">
        <f>Model_Data!Y36</f>
        <v/>
      </c>
      <c r="J36" s="9">
        <f>Model_Data!X36</f>
        <v/>
      </c>
      <c r="K36" s="9">
        <f>Model_Data!A36</f>
        <v/>
      </c>
      <c r="L36" s="9">
        <f>Model_Data!Y36</f>
        <v/>
      </c>
      <c r="M36" s="9">
        <f>Model_Data!X36</f>
        <v/>
      </c>
      <c r="N36" s="9">
        <f>-(Model_Data!AC36-Model_Data!F36)*Inputs!$C$12</f>
        <v/>
      </c>
      <c r="O36" s="10" t="n"/>
      <c r="P36" s="9">
        <f>Model_Data!A36</f>
        <v/>
      </c>
      <c r="Q36" s="9">
        <f>Model_Data!P36</f>
        <v/>
      </c>
      <c r="R36" s="9">
        <f>Model_Data!AM36</f>
        <v/>
      </c>
      <c r="S36" s="9">
        <f>Model_Data!Q36</f>
        <v/>
      </c>
      <c r="T36" s="9">
        <f>Model_Data!AN36</f>
        <v/>
      </c>
      <c r="U36" s="10" t="n"/>
      <c r="V36" s="9">
        <f>Model_Data!A36</f>
        <v/>
      </c>
      <c r="W36" s="9">
        <f>Model_Data!B36-Inputs!$C$5</f>
        <v/>
      </c>
      <c r="X36" s="10" t="n"/>
      <c r="Y36" s="9">
        <f>Model_Data!A36</f>
        <v/>
      </c>
      <c r="Z36" s="9">
        <f>0</f>
        <v/>
      </c>
      <c r="AA36" s="9">
        <f>((SQRT((Inputs!$C$52+Inputs!$C$5)^2+Inputs!$C$52^2-2*(Inputs!$C$52+Inputs!$C$5)*Inputs!$C$52*COS(SQRT((Model_Data!A36)^2+Inputs!$C$6^2)/Inputs!$C$52))-Inputs!$C$5)*1000/Inputs!$C$12)</f>
        <v/>
      </c>
      <c r="AB36" s="9">
        <f>Model_Data!F36</f>
        <v/>
      </c>
    </row>
    <row r="37">
      <c r="A37" s="9">
        <f>Model_Data!A37</f>
        <v/>
      </c>
      <c r="B37" s="9">
        <f>0</f>
        <v/>
      </c>
      <c r="C37" s="9">
        <f>((SQRT((Inputs!$C$52+Inputs!$C$5)^2+Inputs!$C$52^2-2*(Inputs!$C$52+Inputs!$C$5)*Inputs!$C$52*COS(SQRT((Model_Data!A37)^2+Inputs!$C$6^2)/Inputs!$C$52))-Inputs!$C$5)*1000/Inputs!$C$12)</f>
        <v/>
      </c>
      <c r="D37" s="9">
        <f>Model_Data!F37</f>
        <v/>
      </c>
      <c r="E37" s="9">
        <f>Model_Data!AC37</f>
        <v/>
      </c>
      <c r="F37" s="10" t="n"/>
      <c r="G37" s="9">
        <f>Model_Data!A37</f>
        <v/>
      </c>
      <c r="H37" s="9">
        <f>Model_Data!Y37</f>
        <v/>
      </c>
      <c r="I37" s="9">
        <f>Model_Data!Y37</f>
        <v/>
      </c>
      <c r="J37" s="9">
        <f>Model_Data!X37</f>
        <v/>
      </c>
      <c r="K37" s="9">
        <f>Model_Data!A37</f>
        <v/>
      </c>
      <c r="L37" s="9">
        <f>Model_Data!Y37</f>
        <v/>
      </c>
      <c r="M37" s="9">
        <f>Model_Data!X37</f>
        <v/>
      </c>
      <c r="N37" s="9">
        <f>-(Model_Data!AC37-Model_Data!F37)*Inputs!$C$12</f>
        <v/>
      </c>
      <c r="O37" s="10" t="n"/>
      <c r="P37" s="9">
        <f>Model_Data!A37</f>
        <v/>
      </c>
      <c r="Q37" s="9">
        <f>Model_Data!P37</f>
        <v/>
      </c>
      <c r="R37" s="9">
        <f>Model_Data!AM37</f>
        <v/>
      </c>
      <c r="S37" s="9">
        <f>Model_Data!Q37</f>
        <v/>
      </c>
      <c r="T37" s="9">
        <f>Model_Data!AN37</f>
        <v/>
      </c>
      <c r="U37" s="10" t="n"/>
      <c r="V37" s="9">
        <f>Model_Data!A37</f>
        <v/>
      </c>
      <c r="W37" s="9">
        <f>Model_Data!B37-Inputs!$C$5</f>
        <v/>
      </c>
      <c r="X37" s="10" t="n"/>
      <c r="Y37" s="9">
        <f>Model_Data!A37</f>
        <v/>
      </c>
      <c r="Z37" s="9">
        <f>0</f>
        <v/>
      </c>
      <c r="AA37" s="9">
        <f>((SQRT((Inputs!$C$52+Inputs!$C$5)^2+Inputs!$C$52^2-2*(Inputs!$C$52+Inputs!$C$5)*Inputs!$C$52*COS(SQRT((Model_Data!A37)^2+Inputs!$C$6^2)/Inputs!$C$52))-Inputs!$C$5)*1000/Inputs!$C$12)</f>
        <v/>
      </c>
      <c r="AB37" s="9">
        <f>Model_Data!F37</f>
        <v/>
      </c>
    </row>
    <row r="38">
      <c r="A38" s="9">
        <f>Model_Data!A38</f>
        <v/>
      </c>
      <c r="B38" s="9">
        <f>0</f>
        <v/>
      </c>
      <c r="C38" s="9">
        <f>((SQRT((Inputs!$C$52+Inputs!$C$5)^2+Inputs!$C$52^2-2*(Inputs!$C$52+Inputs!$C$5)*Inputs!$C$52*COS(SQRT((Model_Data!A38)^2+Inputs!$C$6^2)/Inputs!$C$52))-Inputs!$C$5)*1000/Inputs!$C$12)</f>
        <v/>
      </c>
      <c r="D38" s="9">
        <f>Model_Data!F38</f>
        <v/>
      </c>
      <c r="E38" s="9">
        <f>Model_Data!AC38</f>
        <v/>
      </c>
      <c r="F38" s="10" t="n"/>
      <c r="G38" s="9">
        <f>Model_Data!A38</f>
        <v/>
      </c>
      <c r="H38" s="9">
        <f>Model_Data!Y38</f>
        <v/>
      </c>
      <c r="I38" s="9">
        <f>Model_Data!Y38</f>
        <v/>
      </c>
      <c r="J38" s="9">
        <f>Model_Data!X38</f>
        <v/>
      </c>
      <c r="K38" s="9">
        <f>Model_Data!A38</f>
        <v/>
      </c>
      <c r="L38" s="9">
        <f>Model_Data!Y38</f>
        <v/>
      </c>
      <c r="M38" s="9">
        <f>Model_Data!X38</f>
        <v/>
      </c>
      <c r="N38" s="9">
        <f>-(Model_Data!AC38-Model_Data!F38)*Inputs!$C$12</f>
        <v/>
      </c>
      <c r="O38" s="10" t="n"/>
      <c r="P38" s="9">
        <f>Model_Data!A38</f>
        <v/>
      </c>
      <c r="Q38" s="9">
        <f>Model_Data!P38</f>
        <v/>
      </c>
      <c r="R38" s="9">
        <f>Model_Data!AM38</f>
        <v/>
      </c>
      <c r="S38" s="9">
        <f>Model_Data!Q38</f>
        <v/>
      </c>
      <c r="T38" s="9">
        <f>Model_Data!AN38</f>
        <v/>
      </c>
      <c r="U38" s="10" t="n"/>
      <c r="V38" s="9">
        <f>Model_Data!A38</f>
        <v/>
      </c>
      <c r="W38" s="9">
        <f>Model_Data!B38-Inputs!$C$5</f>
        <v/>
      </c>
      <c r="X38" s="10" t="n"/>
      <c r="Y38" s="9">
        <f>Model_Data!A38</f>
        <v/>
      </c>
      <c r="Z38" s="9">
        <f>0</f>
        <v/>
      </c>
      <c r="AA38" s="9">
        <f>((SQRT((Inputs!$C$52+Inputs!$C$5)^2+Inputs!$C$52^2-2*(Inputs!$C$52+Inputs!$C$5)*Inputs!$C$52*COS(SQRT((Model_Data!A38)^2+Inputs!$C$6^2)/Inputs!$C$52))-Inputs!$C$5)*1000/Inputs!$C$12)</f>
        <v/>
      </c>
      <c r="AB38" s="9">
        <f>Model_Data!F38</f>
        <v/>
      </c>
    </row>
    <row r="39">
      <c r="A39" s="9">
        <f>Model_Data!A39</f>
        <v/>
      </c>
      <c r="B39" s="9">
        <f>0</f>
        <v/>
      </c>
      <c r="C39" s="9">
        <f>((SQRT((Inputs!$C$52+Inputs!$C$5)^2+Inputs!$C$52^2-2*(Inputs!$C$52+Inputs!$C$5)*Inputs!$C$52*COS(SQRT((Model_Data!A39)^2+Inputs!$C$6^2)/Inputs!$C$52))-Inputs!$C$5)*1000/Inputs!$C$12)</f>
        <v/>
      </c>
      <c r="D39" s="9">
        <f>Model_Data!F39</f>
        <v/>
      </c>
      <c r="E39" s="9">
        <f>Model_Data!AC39</f>
        <v/>
      </c>
      <c r="F39" s="10" t="n"/>
      <c r="G39" s="9">
        <f>Model_Data!A39</f>
        <v/>
      </c>
      <c r="H39" s="9">
        <f>Model_Data!Y39</f>
        <v/>
      </c>
      <c r="I39" s="9">
        <f>Model_Data!Y39</f>
        <v/>
      </c>
      <c r="J39" s="9">
        <f>Model_Data!X39</f>
        <v/>
      </c>
      <c r="K39" s="9">
        <f>Model_Data!A39</f>
        <v/>
      </c>
      <c r="L39" s="9">
        <f>Model_Data!Y39</f>
        <v/>
      </c>
      <c r="M39" s="9">
        <f>Model_Data!X39</f>
        <v/>
      </c>
      <c r="N39" s="9">
        <f>-(Model_Data!AC39-Model_Data!F39)*Inputs!$C$12</f>
        <v/>
      </c>
      <c r="O39" s="10" t="n"/>
      <c r="P39" s="9">
        <f>Model_Data!A39</f>
        <v/>
      </c>
      <c r="Q39" s="9">
        <f>Model_Data!P39</f>
        <v/>
      </c>
      <c r="R39" s="9">
        <f>Model_Data!AM39</f>
        <v/>
      </c>
      <c r="S39" s="9">
        <f>Model_Data!Q39</f>
        <v/>
      </c>
      <c r="T39" s="9">
        <f>Model_Data!AN39</f>
        <v/>
      </c>
      <c r="U39" s="10" t="n"/>
      <c r="V39" s="9">
        <f>Model_Data!A39</f>
        <v/>
      </c>
      <c r="W39" s="9">
        <f>Model_Data!B39-Inputs!$C$5</f>
        <v/>
      </c>
      <c r="X39" s="10" t="n"/>
      <c r="Y39" s="9">
        <f>Model_Data!A39</f>
        <v/>
      </c>
      <c r="Z39" s="9">
        <f>0</f>
        <v/>
      </c>
      <c r="AA39" s="9">
        <f>((SQRT((Inputs!$C$52+Inputs!$C$5)^2+Inputs!$C$52^2-2*(Inputs!$C$52+Inputs!$C$5)*Inputs!$C$52*COS(SQRT((Model_Data!A39)^2+Inputs!$C$6^2)/Inputs!$C$52))-Inputs!$C$5)*1000/Inputs!$C$12)</f>
        <v/>
      </c>
      <c r="AB39" s="9">
        <f>Model_Data!F39</f>
        <v/>
      </c>
    </row>
    <row r="40">
      <c r="A40" s="9">
        <f>Model_Data!A40</f>
        <v/>
      </c>
      <c r="B40" s="9">
        <f>0</f>
        <v/>
      </c>
      <c r="C40" s="9">
        <f>((SQRT((Inputs!$C$52+Inputs!$C$5)^2+Inputs!$C$52^2-2*(Inputs!$C$52+Inputs!$C$5)*Inputs!$C$52*COS(SQRT((Model_Data!A40)^2+Inputs!$C$6^2)/Inputs!$C$52))-Inputs!$C$5)*1000/Inputs!$C$12)</f>
        <v/>
      </c>
      <c r="D40" s="9">
        <f>Model_Data!F40</f>
        <v/>
      </c>
      <c r="E40" s="9">
        <f>Model_Data!AC40</f>
        <v/>
      </c>
      <c r="F40" s="10" t="n"/>
      <c r="G40" s="9">
        <f>Model_Data!A40</f>
        <v/>
      </c>
      <c r="H40" s="9">
        <f>Model_Data!Y40</f>
        <v/>
      </c>
      <c r="I40" s="9">
        <f>Model_Data!Y40</f>
        <v/>
      </c>
      <c r="J40" s="9">
        <f>Model_Data!X40</f>
        <v/>
      </c>
      <c r="K40" s="9">
        <f>Model_Data!A40</f>
        <v/>
      </c>
      <c r="L40" s="9">
        <f>Model_Data!Y40</f>
        <v/>
      </c>
      <c r="M40" s="9">
        <f>Model_Data!X40</f>
        <v/>
      </c>
      <c r="N40" s="9">
        <f>-(Model_Data!AC40-Model_Data!F40)*Inputs!$C$12</f>
        <v/>
      </c>
      <c r="O40" s="10" t="n"/>
      <c r="P40" s="9">
        <f>Model_Data!A40</f>
        <v/>
      </c>
      <c r="Q40" s="9">
        <f>Model_Data!P40</f>
        <v/>
      </c>
      <c r="R40" s="9">
        <f>Model_Data!AM40</f>
        <v/>
      </c>
      <c r="S40" s="9">
        <f>Model_Data!Q40</f>
        <v/>
      </c>
      <c r="T40" s="9">
        <f>Model_Data!AN40</f>
        <v/>
      </c>
      <c r="U40" s="10" t="n"/>
      <c r="V40" s="9">
        <f>Model_Data!A40</f>
        <v/>
      </c>
      <c r="W40" s="9">
        <f>Model_Data!B40-Inputs!$C$5</f>
        <v/>
      </c>
      <c r="X40" s="10" t="n"/>
      <c r="Y40" s="9">
        <f>Model_Data!A40</f>
        <v/>
      </c>
      <c r="Z40" s="9">
        <f>0</f>
        <v/>
      </c>
      <c r="AA40" s="9">
        <f>((SQRT((Inputs!$C$52+Inputs!$C$5)^2+Inputs!$C$52^2-2*(Inputs!$C$52+Inputs!$C$5)*Inputs!$C$52*COS(SQRT((Model_Data!A40)^2+Inputs!$C$6^2)/Inputs!$C$52))-Inputs!$C$5)*1000/Inputs!$C$12)</f>
        <v/>
      </c>
      <c r="AB40" s="9">
        <f>Model_Data!F40</f>
        <v/>
      </c>
    </row>
    <row r="41">
      <c r="A41" s="9">
        <f>Model_Data!A41</f>
        <v/>
      </c>
      <c r="B41" s="9">
        <f>0</f>
        <v/>
      </c>
      <c r="C41" s="9">
        <f>((SQRT((Inputs!$C$52+Inputs!$C$5)^2+Inputs!$C$52^2-2*(Inputs!$C$52+Inputs!$C$5)*Inputs!$C$52*COS(SQRT((Model_Data!A41)^2+Inputs!$C$6^2)/Inputs!$C$52))-Inputs!$C$5)*1000/Inputs!$C$12)</f>
        <v/>
      </c>
      <c r="D41" s="9">
        <f>Model_Data!F41</f>
        <v/>
      </c>
      <c r="E41" s="9">
        <f>Model_Data!AC41</f>
        <v/>
      </c>
      <c r="F41" s="10" t="n"/>
      <c r="G41" s="9">
        <f>Model_Data!A41</f>
        <v/>
      </c>
      <c r="H41" s="9">
        <f>Model_Data!Y41</f>
        <v/>
      </c>
      <c r="I41" s="9">
        <f>Model_Data!Y41</f>
        <v/>
      </c>
      <c r="J41" s="9">
        <f>Model_Data!X41</f>
        <v/>
      </c>
      <c r="K41" s="9">
        <f>Model_Data!A41</f>
        <v/>
      </c>
      <c r="L41" s="9">
        <f>Model_Data!Y41</f>
        <v/>
      </c>
      <c r="M41" s="9">
        <f>Model_Data!X41</f>
        <v/>
      </c>
      <c r="N41" s="9">
        <f>-(Model_Data!AC41-Model_Data!F41)*Inputs!$C$12</f>
        <v/>
      </c>
      <c r="O41" s="10" t="n"/>
      <c r="P41" s="9">
        <f>Model_Data!A41</f>
        <v/>
      </c>
      <c r="Q41" s="9">
        <f>Model_Data!P41</f>
        <v/>
      </c>
      <c r="R41" s="9">
        <f>Model_Data!AM41</f>
        <v/>
      </c>
      <c r="S41" s="9">
        <f>Model_Data!Q41</f>
        <v/>
      </c>
      <c r="T41" s="9">
        <f>Model_Data!AN41</f>
        <v/>
      </c>
      <c r="U41" s="10" t="n"/>
      <c r="V41" s="9">
        <f>Model_Data!A41</f>
        <v/>
      </c>
      <c r="W41" s="9">
        <f>Model_Data!B41-Inputs!$C$5</f>
        <v/>
      </c>
      <c r="X41" s="10" t="n"/>
      <c r="Y41" s="9">
        <f>Model_Data!A41</f>
        <v/>
      </c>
      <c r="Z41" s="9">
        <f>0</f>
        <v/>
      </c>
      <c r="AA41" s="9">
        <f>((SQRT((Inputs!$C$52+Inputs!$C$5)^2+Inputs!$C$52^2-2*(Inputs!$C$52+Inputs!$C$5)*Inputs!$C$52*COS(SQRT((Model_Data!A41)^2+Inputs!$C$6^2)/Inputs!$C$52))-Inputs!$C$5)*1000/Inputs!$C$12)</f>
        <v/>
      </c>
      <c r="AB41" s="9">
        <f>Model_Data!F41</f>
        <v/>
      </c>
    </row>
    <row r="42">
      <c r="A42" s="9">
        <f>Model_Data!A42</f>
        <v/>
      </c>
      <c r="B42" s="9">
        <f>0</f>
        <v/>
      </c>
      <c r="C42" s="9">
        <f>((SQRT((Inputs!$C$52+Inputs!$C$5)^2+Inputs!$C$52^2-2*(Inputs!$C$52+Inputs!$C$5)*Inputs!$C$52*COS(SQRT((Model_Data!A42)^2+Inputs!$C$6^2)/Inputs!$C$52))-Inputs!$C$5)*1000/Inputs!$C$12)</f>
        <v/>
      </c>
      <c r="D42" s="9">
        <f>Model_Data!F42</f>
        <v/>
      </c>
      <c r="E42" s="9">
        <f>Model_Data!AC42</f>
        <v/>
      </c>
      <c r="F42" s="10" t="n"/>
      <c r="G42" s="9">
        <f>Model_Data!A42</f>
        <v/>
      </c>
      <c r="H42" s="9">
        <f>Model_Data!Y42</f>
        <v/>
      </c>
      <c r="I42" s="9">
        <f>Model_Data!Y42</f>
        <v/>
      </c>
      <c r="J42" s="9">
        <f>Model_Data!X42</f>
        <v/>
      </c>
      <c r="K42" s="9">
        <f>Model_Data!A42</f>
        <v/>
      </c>
      <c r="L42" s="9">
        <f>Model_Data!Y42</f>
        <v/>
      </c>
      <c r="M42" s="9">
        <f>Model_Data!X42</f>
        <v/>
      </c>
      <c r="N42" s="9">
        <f>-(Model_Data!AC42-Model_Data!F42)*Inputs!$C$12</f>
        <v/>
      </c>
      <c r="O42" s="10" t="n"/>
      <c r="P42" s="9">
        <f>Model_Data!A42</f>
        <v/>
      </c>
      <c r="Q42" s="9">
        <f>Model_Data!P42</f>
        <v/>
      </c>
      <c r="R42" s="9">
        <f>Model_Data!AM42</f>
        <v/>
      </c>
      <c r="S42" s="9">
        <f>Model_Data!Q42</f>
        <v/>
      </c>
      <c r="T42" s="9">
        <f>Model_Data!AN42</f>
        <v/>
      </c>
      <c r="U42" s="10" t="n"/>
      <c r="V42" s="9">
        <f>Model_Data!A42</f>
        <v/>
      </c>
      <c r="W42" s="9">
        <f>Model_Data!B42-Inputs!$C$5</f>
        <v/>
      </c>
      <c r="X42" s="10" t="n"/>
      <c r="Y42" s="9">
        <f>Model_Data!A42</f>
        <v/>
      </c>
      <c r="Z42" s="9">
        <f>0</f>
        <v/>
      </c>
      <c r="AA42" s="9">
        <f>((SQRT((Inputs!$C$52+Inputs!$C$5)^2+Inputs!$C$52^2-2*(Inputs!$C$52+Inputs!$C$5)*Inputs!$C$52*COS(SQRT((Model_Data!A42)^2+Inputs!$C$6^2)/Inputs!$C$52))-Inputs!$C$5)*1000/Inputs!$C$12)</f>
        <v/>
      </c>
      <c r="AB42" s="9">
        <f>Model_Data!F42</f>
        <v/>
      </c>
    </row>
    <row r="43">
      <c r="A43" s="9">
        <f>Model_Data!A43</f>
        <v/>
      </c>
      <c r="B43" s="9">
        <f>0</f>
        <v/>
      </c>
      <c r="C43" s="9">
        <f>((SQRT((Inputs!$C$52+Inputs!$C$5)^2+Inputs!$C$52^2-2*(Inputs!$C$52+Inputs!$C$5)*Inputs!$C$52*COS(SQRT((Model_Data!A43)^2+Inputs!$C$6^2)/Inputs!$C$52))-Inputs!$C$5)*1000/Inputs!$C$12)</f>
        <v/>
      </c>
      <c r="D43" s="9">
        <f>Model_Data!F43</f>
        <v/>
      </c>
      <c r="E43" s="9">
        <f>Model_Data!AC43</f>
        <v/>
      </c>
      <c r="F43" s="10" t="n"/>
      <c r="G43" s="9">
        <f>Model_Data!A43</f>
        <v/>
      </c>
      <c r="H43" s="9">
        <f>Model_Data!Y43</f>
        <v/>
      </c>
      <c r="I43" s="9">
        <f>Model_Data!Y43</f>
        <v/>
      </c>
      <c r="J43" s="9">
        <f>Model_Data!X43</f>
        <v/>
      </c>
      <c r="K43" s="9">
        <f>Model_Data!A43</f>
        <v/>
      </c>
      <c r="L43" s="9">
        <f>Model_Data!Y43</f>
        <v/>
      </c>
      <c r="M43" s="9">
        <f>Model_Data!X43</f>
        <v/>
      </c>
      <c r="N43" s="9">
        <f>-(Model_Data!AC43-Model_Data!F43)*Inputs!$C$12</f>
        <v/>
      </c>
      <c r="O43" s="10" t="n"/>
      <c r="P43" s="9">
        <f>Model_Data!A43</f>
        <v/>
      </c>
      <c r="Q43" s="9">
        <f>Model_Data!P43</f>
        <v/>
      </c>
      <c r="R43" s="9">
        <f>Model_Data!AM43</f>
        <v/>
      </c>
      <c r="S43" s="9">
        <f>Model_Data!Q43</f>
        <v/>
      </c>
      <c r="T43" s="9">
        <f>Model_Data!AN43</f>
        <v/>
      </c>
      <c r="U43" s="10" t="n"/>
      <c r="V43" s="9">
        <f>Model_Data!A43</f>
        <v/>
      </c>
      <c r="W43" s="9">
        <f>Model_Data!B43-Inputs!$C$5</f>
        <v/>
      </c>
      <c r="X43" s="10" t="n"/>
      <c r="Y43" s="9">
        <f>Model_Data!A43</f>
        <v/>
      </c>
      <c r="Z43" s="9">
        <f>0</f>
        <v/>
      </c>
      <c r="AA43" s="9">
        <f>((SQRT((Inputs!$C$52+Inputs!$C$5)^2+Inputs!$C$52^2-2*(Inputs!$C$52+Inputs!$C$5)*Inputs!$C$52*COS(SQRT((Model_Data!A43)^2+Inputs!$C$6^2)/Inputs!$C$52))-Inputs!$C$5)*1000/Inputs!$C$12)</f>
        <v/>
      </c>
      <c r="AB43" s="9">
        <f>Model_Data!F43</f>
        <v/>
      </c>
    </row>
    <row r="44">
      <c r="A44" s="9">
        <f>Model_Data!A44</f>
        <v/>
      </c>
      <c r="B44" s="9">
        <f>0</f>
        <v/>
      </c>
      <c r="C44" s="9">
        <f>((SQRT((Inputs!$C$52+Inputs!$C$5)^2+Inputs!$C$52^2-2*(Inputs!$C$52+Inputs!$C$5)*Inputs!$C$52*COS(SQRT((Model_Data!A44)^2+Inputs!$C$6^2)/Inputs!$C$52))-Inputs!$C$5)*1000/Inputs!$C$12)</f>
        <v/>
      </c>
      <c r="D44" s="9">
        <f>Model_Data!F44</f>
        <v/>
      </c>
      <c r="E44" s="9">
        <f>Model_Data!AC44</f>
        <v/>
      </c>
      <c r="F44" s="10" t="n"/>
      <c r="G44" s="9">
        <f>Model_Data!A44</f>
        <v/>
      </c>
      <c r="H44" s="9">
        <f>Model_Data!Y44</f>
        <v/>
      </c>
      <c r="I44" s="9">
        <f>Model_Data!Y44</f>
        <v/>
      </c>
      <c r="J44" s="9">
        <f>Model_Data!X44</f>
        <v/>
      </c>
      <c r="K44" s="9">
        <f>Model_Data!A44</f>
        <v/>
      </c>
      <c r="L44" s="9">
        <f>Model_Data!Y44</f>
        <v/>
      </c>
      <c r="M44" s="9">
        <f>Model_Data!X44</f>
        <v/>
      </c>
      <c r="N44" s="9">
        <f>-(Model_Data!AC44-Model_Data!F44)*Inputs!$C$12</f>
        <v/>
      </c>
      <c r="O44" s="10" t="n"/>
      <c r="P44" s="9">
        <f>Model_Data!A44</f>
        <v/>
      </c>
      <c r="Q44" s="9">
        <f>Model_Data!P44</f>
        <v/>
      </c>
      <c r="R44" s="9">
        <f>Model_Data!AM44</f>
        <v/>
      </c>
      <c r="S44" s="9">
        <f>Model_Data!Q44</f>
        <v/>
      </c>
      <c r="T44" s="9">
        <f>Model_Data!AN44</f>
        <v/>
      </c>
      <c r="U44" s="10" t="n"/>
      <c r="V44" s="9">
        <f>Model_Data!A44</f>
        <v/>
      </c>
      <c r="W44" s="9">
        <f>Model_Data!B44-Inputs!$C$5</f>
        <v/>
      </c>
      <c r="X44" s="10" t="n"/>
      <c r="Y44" s="9">
        <f>Model_Data!A44</f>
        <v/>
      </c>
      <c r="Z44" s="9">
        <f>0</f>
        <v/>
      </c>
      <c r="AA44" s="9">
        <f>((SQRT((Inputs!$C$52+Inputs!$C$5)^2+Inputs!$C$52^2-2*(Inputs!$C$52+Inputs!$C$5)*Inputs!$C$52*COS(SQRT((Model_Data!A44)^2+Inputs!$C$6^2)/Inputs!$C$52))-Inputs!$C$5)*1000/Inputs!$C$12)</f>
        <v/>
      </c>
      <c r="AB44" s="9">
        <f>Model_Data!F44</f>
        <v/>
      </c>
    </row>
    <row r="45">
      <c r="A45" s="9">
        <f>Model_Data!A45</f>
        <v/>
      </c>
      <c r="B45" s="9">
        <f>0</f>
        <v/>
      </c>
      <c r="C45" s="9">
        <f>((SQRT((Inputs!$C$52+Inputs!$C$5)^2+Inputs!$C$52^2-2*(Inputs!$C$52+Inputs!$C$5)*Inputs!$C$52*COS(SQRT((Model_Data!A45)^2+Inputs!$C$6^2)/Inputs!$C$52))-Inputs!$C$5)*1000/Inputs!$C$12)</f>
        <v/>
      </c>
      <c r="D45" s="9">
        <f>Model_Data!F45</f>
        <v/>
      </c>
      <c r="E45" s="9">
        <f>Model_Data!AC45</f>
        <v/>
      </c>
      <c r="F45" s="10" t="n"/>
      <c r="G45" s="9">
        <f>Model_Data!A45</f>
        <v/>
      </c>
      <c r="H45" s="9">
        <f>Model_Data!Y45</f>
        <v/>
      </c>
      <c r="I45" s="9">
        <f>Model_Data!Y45</f>
        <v/>
      </c>
      <c r="J45" s="9">
        <f>Model_Data!X45</f>
        <v/>
      </c>
      <c r="K45" s="9">
        <f>Model_Data!A45</f>
        <v/>
      </c>
      <c r="L45" s="9">
        <f>Model_Data!Y45</f>
        <v/>
      </c>
      <c r="M45" s="9">
        <f>Model_Data!X45</f>
        <v/>
      </c>
      <c r="N45" s="9">
        <f>-(Model_Data!AC45-Model_Data!F45)*Inputs!$C$12</f>
        <v/>
      </c>
      <c r="O45" s="10" t="n"/>
      <c r="P45" s="9">
        <f>Model_Data!A45</f>
        <v/>
      </c>
      <c r="Q45" s="9">
        <f>Model_Data!P45</f>
        <v/>
      </c>
      <c r="R45" s="9">
        <f>Model_Data!AM45</f>
        <v/>
      </c>
      <c r="S45" s="9">
        <f>Model_Data!Q45</f>
        <v/>
      </c>
      <c r="T45" s="9">
        <f>Model_Data!AN45</f>
        <v/>
      </c>
      <c r="U45" s="10" t="n"/>
      <c r="V45" s="9">
        <f>Model_Data!A45</f>
        <v/>
      </c>
      <c r="W45" s="9">
        <f>Model_Data!B45-Inputs!$C$5</f>
        <v/>
      </c>
      <c r="X45" s="10" t="n"/>
      <c r="Y45" s="9">
        <f>Model_Data!A45</f>
        <v/>
      </c>
      <c r="Z45" s="9">
        <f>0</f>
        <v/>
      </c>
      <c r="AA45" s="9">
        <f>((SQRT((Inputs!$C$52+Inputs!$C$5)^2+Inputs!$C$52^2-2*(Inputs!$C$52+Inputs!$C$5)*Inputs!$C$52*COS(SQRT((Model_Data!A45)^2+Inputs!$C$6^2)/Inputs!$C$52))-Inputs!$C$5)*1000/Inputs!$C$12)</f>
        <v/>
      </c>
      <c r="AB45" s="9">
        <f>Model_Data!F45</f>
        <v/>
      </c>
    </row>
    <row r="46">
      <c r="A46" s="9">
        <f>Model_Data!A46</f>
        <v/>
      </c>
      <c r="B46" s="9">
        <f>0</f>
        <v/>
      </c>
      <c r="C46" s="9">
        <f>((SQRT((Inputs!$C$52+Inputs!$C$5)^2+Inputs!$C$52^2-2*(Inputs!$C$52+Inputs!$C$5)*Inputs!$C$52*COS(SQRT((Model_Data!A46)^2+Inputs!$C$6^2)/Inputs!$C$52))-Inputs!$C$5)*1000/Inputs!$C$12)</f>
        <v/>
      </c>
      <c r="D46" s="9">
        <f>Model_Data!F46</f>
        <v/>
      </c>
      <c r="E46" s="9">
        <f>Model_Data!AC46</f>
        <v/>
      </c>
      <c r="F46" s="10" t="n"/>
      <c r="G46" s="9">
        <f>Model_Data!A46</f>
        <v/>
      </c>
      <c r="H46" s="9">
        <f>Model_Data!Y46</f>
        <v/>
      </c>
      <c r="I46" s="9">
        <f>Model_Data!Y46</f>
        <v/>
      </c>
      <c r="J46" s="9">
        <f>Model_Data!X46</f>
        <v/>
      </c>
      <c r="K46" s="9">
        <f>Model_Data!A46</f>
        <v/>
      </c>
      <c r="L46" s="9">
        <f>Model_Data!Y46</f>
        <v/>
      </c>
      <c r="M46" s="9">
        <f>Model_Data!X46</f>
        <v/>
      </c>
      <c r="N46" s="9">
        <f>-(Model_Data!AC46-Model_Data!F46)*Inputs!$C$12</f>
        <v/>
      </c>
      <c r="O46" s="10" t="n"/>
      <c r="P46" s="9">
        <f>Model_Data!A46</f>
        <v/>
      </c>
      <c r="Q46" s="9">
        <f>Model_Data!P46</f>
        <v/>
      </c>
      <c r="R46" s="9">
        <f>Model_Data!AM46</f>
        <v/>
      </c>
      <c r="S46" s="9">
        <f>Model_Data!Q46</f>
        <v/>
      </c>
      <c r="T46" s="9">
        <f>Model_Data!AN46</f>
        <v/>
      </c>
      <c r="U46" s="10" t="n"/>
      <c r="V46" s="9">
        <f>Model_Data!A46</f>
        <v/>
      </c>
      <c r="W46" s="9">
        <f>Model_Data!B46-Inputs!$C$5</f>
        <v/>
      </c>
      <c r="X46" s="10" t="n"/>
      <c r="Y46" s="9">
        <f>Model_Data!A46</f>
        <v/>
      </c>
      <c r="Z46" s="9">
        <f>0</f>
        <v/>
      </c>
      <c r="AA46" s="9">
        <f>((SQRT((Inputs!$C$52+Inputs!$C$5)^2+Inputs!$C$52^2-2*(Inputs!$C$52+Inputs!$C$5)*Inputs!$C$52*COS(SQRT((Model_Data!A46)^2+Inputs!$C$6^2)/Inputs!$C$52))-Inputs!$C$5)*1000/Inputs!$C$12)</f>
        <v/>
      </c>
      <c r="AB46" s="9">
        <f>Model_Data!F46</f>
        <v/>
      </c>
    </row>
    <row r="47">
      <c r="A47" s="9">
        <f>Model_Data!A47</f>
        <v/>
      </c>
      <c r="B47" s="9">
        <f>0</f>
        <v/>
      </c>
      <c r="C47" s="9">
        <f>((SQRT((Inputs!$C$52+Inputs!$C$5)^2+Inputs!$C$52^2-2*(Inputs!$C$52+Inputs!$C$5)*Inputs!$C$52*COS(SQRT((Model_Data!A47)^2+Inputs!$C$6^2)/Inputs!$C$52))-Inputs!$C$5)*1000/Inputs!$C$12)</f>
        <v/>
      </c>
      <c r="D47" s="9">
        <f>Model_Data!F47</f>
        <v/>
      </c>
      <c r="E47" s="9">
        <f>Model_Data!AC47</f>
        <v/>
      </c>
      <c r="F47" s="10" t="n"/>
      <c r="G47" s="9">
        <f>Model_Data!A47</f>
        <v/>
      </c>
      <c r="H47" s="9">
        <f>Model_Data!Y47</f>
        <v/>
      </c>
      <c r="I47" s="9">
        <f>Model_Data!Y47</f>
        <v/>
      </c>
      <c r="J47" s="9">
        <f>Model_Data!X47</f>
        <v/>
      </c>
      <c r="K47" s="9">
        <f>Model_Data!A47</f>
        <v/>
      </c>
      <c r="L47" s="9">
        <f>Model_Data!Y47</f>
        <v/>
      </c>
      <c r="M47" s="9">
        <f>Model_Data!X47</f>
        <v/>
      </c>
      <c r="N47" s="9">
        <f>-(Model_Data!AC47-Model_Data!F47)*Inputs!$C$12</f>
        <v/>
      </c>
      <c r="O47" s="10" t="n"/>
      <c r="P47" s="9">
        <f>Model_Data!A47</f>
        <v/>
      </c>
      <c r="Q47" s="9">
        <f>Model_Data!P47</f>
        <v/>
      </c>
      <c r="R47" s="9">
        <f>Model_Data!AM47</f>
        <v/>
      </c>
      <c r="S47" s="9">
        <f>Model_Data!Q47</f>
        <v/>
      </c>
      <c r="T47" s="9">
        <f>Model_Data!AN47</f>
        <v/>
      </c>
      <c r="U47" s="10" t="n"/>
      <c r="V47" s="9">
        <f>Model_Data!A47</f>
        <v/>
      </c>
      <c r="W47" s="9">
        <f>Model_Data!B47-Inputs!$C$5</f>
        <v/>
      </c>
      <c r="X47" s="10" t="n"/>
      <c r="Y47" s="9">
        <f>Model_Data!A47</f>
        <v/>
      </c>
      <c r="Z47" s="9">
        <f>0</f>
        <v/>
      </c>
      <c r="AA47" s="9">
        <f>((SQRT((Inputs!$C$52+Inputs!$C$5)^2+Inputs!$C$52^2-2*(Inputs!$C$52+Inputs!$C$5)*Inputs!$C$52*COS(SQRT((Model_Data!A47)^2+Inputs!$C$6^2)/Inputs!$C$52))-Inputs!$C$5)*1000/Inputs!$C$12)</f>
        <v/>
      </c>
      <c r="AB47" s="9">
        <f>Model_Data!F47</f>
        <v/>
      </c>
    </row>
    <row r="48">
      <c r="A48" s="9">
        <f>Model_Data!A48</f>
        <v/>
      </c>
      <c r="B48" s="9">
        <f>0</f>
        <v/>
      </c>
      <c r="C48" s="9">
        <f>((SQRT((Inputs!$C$52+Inputs!$C$5)^2+Inputs!$C$52^2-2*(Inputs!$C$52+Inputs!$C$5)*Inputs!$C$52*COS(SQRT((Model_Data!A48)^2+Inputs!$C$6^2)/Inputs!$C$52))-Inputs!$C$5)*1000/Inputs!$C$12)</f>
        <v/>
      </c>
      <c r="D48" s="9">
        <f>Model_Data!F48</f>
        <v/>
      </c>
      <c r="E48" s="9">
        <f>Model_Data!AC48</f>
        <v/>
      </c>
      <c r="F48" s="10" t="n"/>
      <c r="G48" s="9">
        <f>Model_Data!A48</f>
        <v/>
      </c>
      <c r="H48" s="9">
        <f>Model_Data!Y48</f>
        <v/>
      </c>
      <c r="I48" s="9">
        <f>Model_Data!Y48</f>
        <v/>
      </c>
      <c r="J48" s="9">
        <f>Model_Data!X48</f>
        <v/>
      </c>
      <c r="K48" s="9">
        <f>Model_Data!A48</f>
        <v/>
      </c>
      <c r="L48" s="9">
        <f>Model_Data!Y48</f>
        <v/>
      </c>
      <c r="M48" s="9">
        <f>Model_Data!X48</f>
        <v/>
      </c>
      <c r="N48" s="9">
        <f>-(Model_Data!AC48-Model_Data!F48)*Inputs!$C$12</f>
        <v/>
      </c>
      <c r="O48" s="10" t="n"/>
      <c r="P48" s="9">
        <f>Model_Data!A48</f>
        <v/>
      </c>
      <c r="Q48" s="9">
        <f>Model_Data!P48</f>
        <v/>
      </c>
      <c r="R48" s="9">
        <f>Model_Data!AM48</f>
        <v/>
      </c>
      <c r="S48" s="9">
        <f>Model_Data!Q48</f>
        <v/>
      </c>
      <c r="T48" s="9">
        <f>Model_Data!AN48</f>
        <v/>
      </c>
      <c r="U48" s="10" t="n"/>
      <c r="V48" s="9">
        <f>Model_Data!A48</f>
        <v/>
      </c>
      <c r="W48" s="9">
        <f>Model_Data!B48-Inputs!$C$5</f>
        <v/>
      </c>
      <c r="X48" s="10" t="n"/>
      <c r="Y48" s="9">
        <f>Model_Data!A48</f>
        <v/>
      </c>
      <c r="Z48" s="9">
        <f>0</f>
        <v/>
      </c>
      <c r="AA48" s="9">
        <f>((SQRT((Inputs!$C$52+Inputs!$C$5)^2+Inputs!$C$52^2-2*(Inputs!$C$52+Inputs!$C$5)*Inputs!$C$52*COS(SQRT((Model_Data!A48)^2+Inputs!$C$6^2)/Inputs!$C$52))-Inputs!$C$5)*1000/Inputs!$C$12)</f>
        <v/>
      </c>
      <c r="AB48" s="9">
        <f>Model_Data!F48</f>
        <v/>
      </c>
    </row>
    <row r="49">
      <c r="A49" s="9">
        <f>Model_Data!A49</f>
        <v/>
      </c>
      <c r="B49" s="9">
        <f>0</f>
        <v/>
      </c>
      <c r="C49" s="9">
        <f>((SQRT((Inputs!$C$52+Inputs!$C$5)^2+Inputs!$C$52^2-2*(Inputs!$C$52+Inputs!$C$5)*Inputs!$C$52*COS(SQRT((Model_Data!A49)^2+Inputs!$C$6^2)/Inputs!$C$52))-Inputs!$C$5)*1000/Inputs!$C$12)</f>
        <v/>
      </c>
      <c r="D49" s="9">
        <f>Model_Data!F49</f>
        <v/>
      </c>
      <c r="E49" s="9">
        <f>Model_Data!AC49</f>
        <v/>
      </c>
      <c r="F49" s="10" t="n"/>
      <c r="G49" s="9">
        <f>Model_Data!A49</f>
        <v/>
      </c>
      <c r="H49" s="9">
        <f>Model_Data!Y49</f>
        <v/>
      </c>
      <c r="I49" s="9">
        <f>Model_Data!Y49</f>
        <v/>
      </c>
      <c r="J49" s="9">
        <f>Model_Data!X49</f>
        <v/>
      </c>
      <c r="K49" s="9">
        <f>Model_Data!A49</f>
        <v/>
      </c>
      <c r="L49" s="9">
        <f>Model_Data!Y49</f>
        <v/>
      </c>
      <c r="M49" s="9">
        <f>Model_Data!X49</f>
        <v/>
      </c>
      <c r="N49" s="9">
        <f>-(Model_Data!AC49-Model_Data!F49)*Inputs!$C$12</f>
        <v/>
      </c>
      <c r="O49" s="10" t="n"/>
      <c r="P49" s="9">
        <f>Model_Data!A49</f>
        <v/>
      </c>
      <c r="Q49" s="9">
        <f>Model_Data!P49</f>
        <v/>
      </c>
      <c r="R49" s="9">
        <f>Model_Data!AM49</f>
        <v/>
      </c>
      <c r="S49" s="9">
        <f>Model_Data!Q49</f>
        <v/>
      </c>
      <c r="T49" s="9">
        <f>Model_Data!AN49</f>
        <v/>
      </c>
      <c r="U49" s="10" t="n"/>
      <c r="V49" s="9">
        <f>Model_Data!A49</f>
        <v/>
      </c>
      <c r="W49" s="9">
        <f>Model_Data!B49-Inputs!$C$5</f>
        <v/>
      </c>
      <c r="X49" s="10" t="n"/>
      <c r="Y49" s="9">
        <f>Model_Data!A49</f>
        <v/>
      </c>
      <c r="Z49" s="9">
        <f>0</f>
        <v/>
      </c>
      <c r="AA49" s="9">
        <f>((SQRT((Inputs!$C$52+Inputs!$C$5)^2+Inputs!$C$52^2-2*(Inputs!$C$52+Inputs!$C$5)*Inputs!$C$52*COS(SQRT((Model_Data!A49)^2+Inputs!$C$6^2)/Inputs!$C$52))-Inputs!$C$5)*1000/Inputs!$C$12)</f>
        <v/>
      </c>
      <c r="AB49" s="9">
        <f>Model_Data!F49</f>
        <v/>
      </c>
    </row>
    <row r="50">
      <c r="A50" s="9">
        <f>Model_Data!A50</f>
        <v/>
      </c>
      <c r="B50" s="9">
        <f>0</f>
        <v/>
      </c>
      <c r="C50" s="9">
        <f>((SQRT((Inputs!$C$52+Inputs!$C$5)^2+Inputs!$C$52^2-2*(Inputs!$C$52+Inputs!$C$5)*Inputs!$C$52*COS(SQRT((Model_Data!A50)^2+Inputs!$C$6^2)/Inputs!$C$52))-Inputs!$C$5)*1000/Inputs!$C$12)</f>
        <v/>
      </c>
      <c r="D50" s="9">
        <f>Model_Data!F50</f>
        <v/>
      </c>
      <c r="E50" s="9">
        <f>Model_Data!AC50</f>
        <v/>
      </c>
      <c r="F50" s="10" t="n"/>
      <c r="G50" s="9">
        <f>Model_Data!A50</f>
        <v/>
      </c>
      <c r="H50" s="9">
        <f>Model_Data!Y50</f>
        <v/>
      </c>
      <c r="I50" s="9">
        <f>Model_Data!Y50</f>
        <v/>
      </c>
      <c r="J50" s="9">
        <f>Model_Data!X50</f>
        <v/>
      </c>
      <c r="K50" s="9">
        <f>Model_Data!A50</f>
        <v/>
      </c>
      <c r="L50" s="9">
        <f>Model_Data!Y50</f>
        <v/>
      </c>
      <c r="M50" s="9">
        <f>Model_Data!X50</f>
        <v/>
      </c>
      <c r="N50" s="9">
        <f>-(Model_Data!AC50-Model_Data!F50)*Inputs!$C$12</f>
        <v/>
      </c>
      <c r="O50" s="10" t="n"/>
      <c r="P50" s="9">
        <f>Model_Data!A50</f>
        <v/>
      </c>
      <c r="Q50" s="9">
        <f>Model_Data!P50</f>
        <v/>
      </c>
      <c r="R50" s="9">
        <f>Model_Data!AM50</f>
        <v/>
      </c>
      <c r="S50" s="9">
        <f>Model_Data!Q50</f>
        <v/>
      </c>
      <c r="T50" s="9">
        <f>Model_Data!AN50</f>
        <v/>
      </c>
      <c r="U50" s="10" t="n"/>
      <c r="V50" s="9">
        <f>Model_Data!A50</f>
        <v/>
      </c>
      <c r="W50" s="9">
        <f>Model_Data!B50-Inputs!$C$5</f>
        <v/>
      </c>
      <c r="X50" s="10" t="n"/>
      <c r="Y50" s="9">
        <f>Model_Data!A50</f>
        <v/>
      </c>
      <c r="Z50" s="9">
        <f>0</f>
        <v/>
      </c>
      <c r="AA50" s="9">
        <f>((SQRT((Inputs!$C$52+Inputs!$C$5)^2+Inputs!$C$52^2-2*(Inputs!$C$52+Inputs!$C$5)*Inputs!$C$52*COS(SQRT((Model_Data!A50)^2+Inputs!$C$6^2)/Inputs!$C$52))-Inputs!$C$5)*1000/Inputs!$C$12)</f>
        <v/>
      </c>
      <c r="AB50" s="9">
        <f>Model_Data!F50</f>
        <v/>
      </c>
    </row>
    <row r="51">
      <c r="A51" s="9">
        <f>Model_Data!A51</f>
        <v/>
      </c>
      <c r="B51" s="9">
        <f>0</f>
        <v/>
      </c>
      <c r="C51" s="9">
        <f>((SQRT((Inputs!$C$52+Inputs!$C$5)^2+Inputs!$C$52^2-2*(Inputs!$C$52+Inputs!$C$5)*Inputs!$C$52*COS(SQRT((Model_Data!A51)^2+Inputs!$C$6^2)/Inputs!$C$52))-Inputs!$C$5)*1000/Inputs!$C$12)</f>
        <v/>
      </c>
      <c r="D51" s="9">
        <f>Model_Data!F51</f>
        <v/>
      </c>
      <c r="E51" s="9">
        <f>Model_Data!AC51</f>
        <v/>
      </c>
      <c r="F51" s="10" t="n"/>
      <c r="G51" s="9">
        <f>Model_Data!A51</f>
        <v/>
      </c>
      <c r="H51" s="9">
        <f>Model_Data!Y51</f>
        <v/>
      </c>
      <c r="I51" s="9">
        <f>Model_Data!Y51</f>
        <v/>
      </c>
      <c r="J51" s="9">
        <f>Model_Data!X51</f>
        <v/>
      </c>
      <c r="K51" s="9">
        <f>Model_Data!A51</f>
        <v/>
      </c>
      <c r="L51" s="9">
        <f>Model_Data!Y51</f>
        <v/>
      </c>
      <c r="M51" s="9">
        <f>Model_Data!X51</f>
        <v/>
      </c>
      <c r="N51" s="9">
        <f>-(Model_Data!AC51-Model_Data!F51)*Inputs!$C$12</f>
        <v/>
      </c>
      <c r="O51" s="10" t="n"/>
      <c r="P51" s="9">
        <f>Model_Data!A51</f>
        <v/>
      </c>
      <c r="Q51" s="9">
        <f>Model_Data!P51</f>
        <v/>
      </c>
      <c r="R51" s="9">
        <f>Model_Data!AM51</f>
        <v/>
      </c>
      <c r="S51" s="9">
        <f>Model_Data!Q51</f>
        <v/>
      </c>
      <c r="T51" s="9">
        <f>Model_Data!AN51</f>
        <v/>
      </c>
      <c r="U51" s="10" t="n"/>
      <c r="V51" s="9">
        <f>Model_Data!A51</f>
        <v/>
      </c>
      <c r="W51" s="9">
        <f>Model_Data!B51-Inputs!$C$5</f>
        <v/>
      </c>
      <c r="X51" s="10" t="n"/>
      <c r="Y51" s="9">
        <f>Model_Data!A51</f>
        <v/>
      </c>
      <c r="Z51" s="9">
        <f>0</f>
        <v/>
      </c>
      <c r="AA51" s="9">
        <f>((SQRT((Inputs!$C$52+Inputs!$C$5)^2+Inputs!$C$52^2-2*(Inputs!$C$52+Inputs!$C$5)*Inputs!$C$52*COS(SQRT((Model_Data!A51)^2+Inputs!$C$6^2)/Inputs!$C$52))-Inputs!$C$5)*1000/Inputs!$C$12)</f>
        <v/>
      </c>
      <c r="AB51" s="9">
        <f>Model_Data!F51</f>
        <v/>
      </c>
    </row>
    <row r="52">
      <c r="A52" s="9">
        <f>Model_Data!A52</f>
        <v/>
      </c>
      <c r="B52" s="9">
        <f>0</f>
        <v/>
      </c>
      <c r="C52" s="9">
        <f>((SQRT((Inputs!$C$52+Inputs!$C$5)^2+Inputs!$C$52^2-2*(Inputs!$C$52+Inputs!$C$5)*Inputs!$C$52*COS(SQRT((Model_Data!A52)^2+Inputs!$C$6^2)/Inputs!$C$52))-Inputs!$C$5)*1000/Inputs!$C$12)</f>
        <v/>
      </c>
      <c r="D52" s="9">
        <f>Model_Data!F52</f>
        <v/>
      </c>
      <c r="E52" s="9">
        <f>Model_Data!AC52</f>
        <v/>
      </c>
      <c r="F52" s="10" t="n"/>
      <c r="G52" s="9">
        <f>Model_Data!A52</f>
        <v/>
      </c>
      <c r="H52" s="9">
        <f>Model_Data!Y52</f>
        <v/>
      </c>
      <c r="I52" s="9">
        <f>Model_Data!Y52</f>
        <v/>
      </c>
      <c r="J52" s="9">
        <f>Model_Data!X52</f>
        <v/>
      </c>
      <c r="K52" s="9">
        <f>Model_Data!A52</f>
        <v/>
      </c>
      <c r="L52" s="9">
        <f>Model_Data!Y52</f>
        <v/>
      </c>
      <c r="M52" s="9">
        <f>Model_Data!X52</f>
        <v/>
      </c>
      <c r="N52" s="9">
        <f>-(Model_Data!AC52-Model_Data!F52)*Inputs!$C$12</f>
        <v/>
      </c>
      <c r="O52" s="10" t="n"/>
      <c r="P52" s="9">
        <f>Model_Data!A52</f>
        <v/>
      </c>
      <c r="Q52" s="9">
        <f>Model_Data!P52</f>
        <v/>
      </c>
      <c r="R52" s="9">
        <f>Model_Data!AM52</f>
        <v/>
      </c>
      <c r="S52" s="9">
        <f>Model_Data!Q52</f>
        <v/>
      </c>
      <c r="T52" s="9">
        <f>Model_Data!AN52</f>
        <v/>
      </c>
      <c r="U52" s="10" t="n"/>
      <c r="V52" s="9">
        <f>Model_Data!A52</f>
        <v/>
      </c>
      <c r="W52" s="9">
        <f>Model_Data!B52-Inputs!$C$5</f>
        <v/>
      </c>
      <c r="X52" s="10" t="n"/>
      <c r="Y52" s="9">
        <f>Model_Data!A52</f>
        <v/>
      </c>
      <c r="Z52" s="9">
        <f>0</f>
        <v/>
      </c>
      <c r="AA52" s="9">
        <f>((SQRT((Inputs!$C$52+Inputs!$C$5)^2+Inputs!$C$52^2-2*(Inputs!$C$52+Inputs!$C$5)*Inputs!$C$52*COS(SQRT((Model_Data!A52)^2+Inputs!$C$6^2)/Inputs!$C$52))-Inputs!$C$5)*1000/Inputs!$C$12)</f>
        <v/>
      </c>
      <c r="AB52" s="9">
        <f>Model_Data!F52</f>
        <v/>
      </c>
    </row>
    <row r="53">
      <c r="A53" s="9">
        <f>Model_Data!A53</f>
        <v/>
      </c>
      <c r="B53" s="9">
        <f>0</f>
        <v/>
      </c>
      <c r="C53" s="9">
        <f>((SQRT((Inputs!$C$52+Inputs!$C$5)^2+Inputs!$C$52^2-2*(Inputs!$C$52+Inputs!$C$5)*Inputs!$C$52*COS(SQRT((Model_Data!A53)^2+Inputs!$C$6^2)/Inputs!$C$52))-Inputs!$C$5)*1000/Inputs!$C$12)</f>
        <v/>
      </c>
      <c r="D53" s="9">
        <f>Model_Data!F53</f>
        <v/>
      </c>
      <c r="E53" s="9">
        <f>Model_Data!AC53</f>
        <v/>
      </c>
      <c r="F53" s="10" t="n"/>
      <c r="G53" s="9">
        <f>Model_Data!A53</f>
        <v/>
      </c>
      <c r="H53" s="9">
        <f>Model_Data!Y53</f>
        <v/>
      </c>
      <c r="I53" s="9">
        <f>Model_Data!Y53</f>
        <v/>
      </c>
      <c r="J53" s="9">
        <f>Model_Data!X53</f>
        <v/>
      </c>
      <c r="K53" s="9">
        <f>Model_Data!A53</f>
        <v/>
      </c>
      <c r="L53" s="9">
        <f>Model_Data!Y53</f>
        <v/>
      </c>
      <c r="M53" s="9">
        <f>Model_Data!X53</f>
        <v/>
      </c>
      <c r="N53" s="9">
        <f>-(Model_Data!AC53-Model_Data!F53)*Inputs!$C$12</f>
        <v/>
      </c>
      <c r="O53" s="10" t="n"/>
      <c r="P53" s="9">
        <f>Model_Data!A53</f>
        <v/>
      </c>
      <c r="Q53" s="9">
        <f>Model_Data!P53</f>
        <v/>
      </c>
      <c r="R53" s="9">
        <f>Model_Data!AM53</f>
        <v/>
      </c>
      <c r="S53" s="9">
        <f>Model_Data!Q53</f>
        <v/>
      </c>
      <c r="T53" s="9">
        <f>Model_Data!AN53</f>
        <v/>
      </c>
      <c r="U53" s="10" t="n"/>
      <c r="V53" s="9">
        <f>Model_Data!A53</f>
        <v/>
      </c>
      <c r="W53" s="9">
        <f>Model_Data!B53-Inputs!$C$5</f>
        <v/>
      </c>
      <c r="X53" s="10" t="n"/>
      <c r="Y53" s="9">
        <f>Model_Data!A53</f>
        <v/>
      </c>
      <c r="Z53" s="9">
        <f>0</f>
        <v/>
      </c>
      <c r="AA53" s="9">
        <f>((SQRT((Inputs!$C$52+Inputs!$C$5)^2+Inputs!$C$52^2-2*(Inputs!$C$52+Inputs!$C$5)*Inputs!$C$52*COS(SQRT((Model_Data!A53)^2+Inputs!$C$6^2)/Inputs!$C$52))-Inputs!$C$5)*1000/Inputs!$C$12)</f>
        <v/>
      </c>
      <c r="AB53" s="9">
        <f>Model_Data!F53</f>
        <v/>
      </c>
    </row>
    <row r="54">
      <c r="A54" s="9">
        <f>Model_Data!A54</f>
        <v/>
      </c>
      <c r="B54" s="9">
        <f>0</f>
        <v/>
      </c>
      <c r="C54" s="9">
        <f>((SQRT((Inputs!$C$52+Inputs!$C$5)^2+Inputs!$C$52^2-2*(Inputs!$C$52+Inputs!$C$5)*Inputs!$C$52*COS(SQRT((Model_Data!A54)^2+Inputs!$C$6^2)/Inputs!$C$52))-Inputs!$C$5)*1000/Inputs!$C$12)</f>
        <v/>
      </c>
      <c r="D54" s="9">
        <f>Model_Data!F54</f>
        <v/>
      </c>
      <c r="E54" s="9">
        <f>Model_Data!AC54</f>
        <v/>
      </c>
      <c r="F54" s="10" t="n"/>
      <c r="G54" s="9">
        <f>Model_Data!A54</f>
        <v/>
      </c>
      <c r="H54" s="9">
        <f>Model_Data!Y54</f>
        <v/>
      </c>
      <c r="I54" s="9">
        <f>Model_Data!Y54</f>
        <v/>
      </c>
      <c r="J54" s="9">
        <f>Model_Data!X54</f>
        <v/>
      </c>
      <c r="K54" s="9">
        <f>Model_Data!A54</f>
        <v/>
      </c>
      <c r="L54" s="9">
        <f>Model_Data!Y54</f>
        <v/>
      </c>
      <c r="M54" s="9">
        <f>Model_Data!X54</f>
        <v/>
      </c>
      <c r="N54" s="9">
        <f>-(Model_Data!AC54-Model_Data!F54)*Inputs!$C$12</f>
        <v/>
      </c>
      <c r="O54" s="10" t="n"/>
      <c r="P54" s="9">
        <f>Model_Data!A54</f>
        <v/>
      </c>
      <c r="Q54" s="9">
        <f>Model_Data!P54</f>
        <v/>
      </c>
      <c r="R54" s="9">
        <f>Model_Data!AM54</f>
        <v/>
      </c>
      <c r="S54" s="9">
        <f>Model_Data!Q54</f>
        <v/>
      </c>
      <c r="T54" s="9">
        <f>Model_Data!AN54</f>
        <v/>
      </c>
      <c r="U54" s="10" t="n"/>
      <c r="V54" s="9">
        <f>Model_Data!A54</f>
        <v/>
      </c>
      <c r="W54" s="9">
        <f>Model_Data!B54-Inputs!$C$5</f>
        <v/>
      </c>
      <c r="X54" s="10" t="n"/>
      <c r="Y54" s="9">
        <f>Model_Data!A54</f>
        <v/>
      </c>
      <c r="Z54" s="9">
        <f>0</f>
        <v/>
      </c>
      <c r="AA54" s="9">
        <f>((SQRT((Inputs!$C$52+Inputs!$C$5)^2+Inputs!$C$52^2-2*(Inputs!$C$52+Inputs!$C$5)*Inputs!$C$52*COS(SQRT((Model_Data!A54)^2+Inputs!$C$6^2)/Inputs!$C$52))-Inputs!$C$5)*1000/Inputs!$C$12)</f>
        <v/>
      </c>
      <c r="AB54" s="9">
        <f>Model_Data!F54</f>
        <v/>
      </c>
    </row>
    <row r="55">
      <c r="A55" s="9">
        <f>Model_Data!A55</f>
        <v/>
      </c>
      <c r="B55" s="9">
        <f>0</f>
        <v/>
      </c>
      <c r="C55" s="9">
        <f>((SQRT((Inputs!$C$52+Inputs!$C$5)^2+Inputs!$C$52^2-2*(Inputs!$C$52+Inputs!$C$5)*Inputs!$C$52*COS(SQRT((Model_Data!A55)^2+Inputs!$C$6^2)/Inputs!$C$52))-Inputs!$C$5)*1000/Inputs!$C$12)</f>
        <v/>
      </c>
      <c r="D55" s="9">
        <f>Model_Data!F55</f>
        <v/>
      </c>
      <c r="E55" s="9">
        <f>Model_Data!AC55</f>
        <v/>
      </c>
      <c r="F55" s="10" t="n"/>
      <c r="G55" s="9">
        <f>Model_Data!A55</f>
        <v/>
      </c>
      <c r="H55" s="9">
        <f>Model_Data!Y55</f>
        <v/>
      </c>
      <c r="I55" s="9">
        <f>Model_Data!Y55</f>
        <v/>
      </c>
      <c r="J55" s="9">
        <f>Model_Data!X55</f>
        <v/>
      </c>
      <c r="K55" s="9">
        <f>Model_Data!A55</f>
        <v/>
      </c>
      <c r="L55" s="9">
        <f>Model_Data!Y55</f>
        <v/>
      </c>
      <c r="M55" s="9">
        <f>Model_Data!X55</f>
        <v/>
      </c>
      <c r="N55" s="9">
        <f>-(Model_Data!AC55-Model_Data!F55)*Inputs!$C$12</f>
        <v/>
      </c>
      <c r="O55" s="10" t="n"/>
      <c r="P55" s="9">
        <f>Model_Data!A55</f>
        <v/>
      </c>
      <c r="Q55" s="9">
        <f>Model_Data!P55</f>
        <v/>
      </c>
      <c r="R55" s="9">
        <f>Model_Data!AM55</f>
        <v/>
      </c>
      <c r="S55" s="9">
        <f>Model_Data!Q55</f>
        <v/>
      </c>
      <c r="T55" s="9">
        <f>Model_Data!AN55</f>
        <v/>
      </c>
      <c r="U55" s="10" t="n"/>
      <c r="V55" s="9">
        <f>Model_Data!A55</f>
        <v/>
      </c>
      <c r="W55" s="9">
        <f>Model_Data!B55-Inputs!$C$5</f>
        <v/>
      </c>
      <c r="X55" s="10" t="n"/>
      <c r="Y55" s="9">
        <f>Model_Data!A55</f>
        <v/>
      </c>
      <c r="Z55" s="9">
        <f>0</f>
        <v/>
      </c>
      <c r="AA55" s="9">
        <f>((SQRT((Inputs!$C$52+Inputs!$C$5)^2+Inputs!$C$52^2-2*(Inputs!$C$52+Inputs!$C$5)*Inputs!$C$52*COS(SQRT((Model_Data!A55)^2+Inputs!$C$6^2)/Inputs!$C$52))-Inputs!$C$5)*1000/Inputs!$C$12)</f>
        <v/>
      </c>
      <c r="AB55" s="9">
        <f>Model_Data!F55</f>
        <v/>
      </c>
    </row>
    <row r="56">
      <c r="A56" s="9">
        <f>Model_Data!A56</f>
        <v/>
      </c>
      <c r="B56" s="9">
        <f>0</f>
        <v/>
      </c>
      <c r="C56" s="9">
        <f>((SQRT((Inputs!$C$52+Inputs!$C$5)^2+Inputs!$C$52^2-2*(Inputs!$C$52+Inputs!$C$5)*Inputs!$C$52*COS(SQRT((Model_Data!A56)^2+Inputs!$C$6^2)/Inputs!$C$52))-Inputs!$C$5)*1000/Inputs!$C$12)</f>
        <v/>
      </c>
      <c r="D56" s="9">
        <f>Model_Data!F56</f>
        <v/>
      </c>
      <c r="E56" s="9">
        <f>Model_Data!AC56</f>
        <v/>
      </c>
      <c r="F56" s="10" t="n"/>
      <c r="G56" s="9">
        <f>Model_Data!A56</f>
        <v/>
      </c>
      <c r="H56" s="9">
        <f>Model_Data!Y56</f>
        <v/>
      </c>
      <c r="I56" s="9">
        <f>Model_Data!Y56</f>
        <v/>
      </c>
      <c r="J56" s="9">
        <f>Model_Data!X56</f>
        <v/>
      </c>
      <c r="K56" s="9">
        <f>Model_Data!A56</f>
        <v/>
      </c>
      <c r="L56" s="9">
        <f>Model_Data!Y56</f>
        <v/>
      </c>
      <c r="M56" s="9">
        <f>Model_Data!X56</f>
        <v/>
      </c>
      <c r="N56" s="9">
        <f>-(Model_Data!AC56-Model_Data!F56)*Inputs!$C$12</f>
        <v/>
      </c>
      <c r="O56" s="10" t="n"/>
      <c r="P56" s="9">
        <f>Model_Data!A56</f>
        <v/>
      </c>
      <c r="Q56" s="9">
        <f>Model_Data!P56</f>
        <v/>
      </c>
      <c r="R56" s="9">
        <f>Model_Data!AM56</f>
        <v/>
      </c>
      <c r="S56" s="9">
        <f>Model_Data!Q56</f>
        <v/>
      </c>
      <c r="T56" s="9">
        <f>Model_Data!AN56</f>
        <v/>
      </c>
      <c r="U56" s="10" t="n"/>
      <c r="V56" s="9">
        <f>Model_Data!A56</f>
        <v/>
      </c>
      <c r="W56" s="9">
        <f>Model_Data!B56-Inputs!$C$5</f>
        <v/>
      </c>
      <c r="X56" s="10" t="n"/>
      <c r="Y56" s="9">
        <f>Model_Data!A56</f>
        <v/>
      </c>
      <c r="Z56" s="9">
        <f>0</f>
        <v/>
      </c>
      <c r="AA56" s="9">
        <f>((SQRT((Inputs!$C$52+Inputs!$C$5)^2+Inputs!$C$52^2-2*(Inputs!$C$52+Inputs!$C$5)*Inputs!$C$52*COS(SQRT((Model_Data!A56)^2+Inputs!$C$6^2)/Inputs!$C$52))-Inputs!$C$5)*1000/Inputs!$C$12)</f>
        <v/>
      </c>
      <c r="AB56" s="9">
        <f>Model_Data!F56</f>
        <v/>
      </c>
    </row>
    <row r="57">
      <c r="A57" s="9">
        <f>Model_Data!A57</f>
        <v/>
      </c>
      <c r="B57" s="9">
        <f>0</f>
        <v/>
      </c>
      <c r="C57" s="9">
        <f>((SQRT((Inputs!$C$52+Inputs!$C$5)^2+Inputs!$C$52^2-2*(Inputs!$C$52+Inputs!$C$5)*Inputs!$C$52*COS(SQRT((Model_Data!A57)^2+Inputs!$C$6^2)/Inputs!$C$52))-Inputs!$C$5)*1000/Inputs!$C$12)</f>
        <v/>
      </c>
      <c r="D57" s="9">
        <f>Model_Data!F57</f>
        <v/>
      </c>
      <c r="E57" s="9">
        <f>Model_Data!AC57</f>
        <v/>
      </c>
      <c r="F57" s="10" t="n"/>
      <c r="G57" s="9">
        <f>Model_Data!A57</f>
        <v/>
      </c>
      <c r="H57" s="9">
        <f>Model_Data!Y57</f>
        <v/>
      </c>
      <c r="I57" s="9">
        <f>Model_Data!Y57</f>
        <v/>
      </c>
      <c r="J57" s="9">
        <f>Model_Data!X57</f>
        <v/>
      </c>
      <c r="K57" s="9">
        <f>Model_Data!A57</f>
        <v/>
      </c>
      <c r="L57" s="9">
        <f>Model_Data!Y57</f>
        <v/>
      </c>
      <c r="M57" s="9">
        <f>Model_Data!X57</f>
        <v/>
      </c>
      <c r="N57" s="9">
        <f>-(Model_Data!AC57-Model_Data!F57)*Inputs!$C$12</f>
        <v/>
      </c>
      <c r="O57" s="10" t="n"/>
      <c r="P57" s="9">
        <f>Model_Data!A57</f>
        <v/>
      </c>
      <c r="Q57" s="9">
        <f>Model_Data!P57</f>
        <v/>
      </c>
      <c r="R57" s="9">
        <f>Model_Data!AM57</f>
        <v/>
      </c>
      <c r="S57" s="9">
        <f>Model_Data!Q57</f>
        <v/>
      </c>
      <c r="T57" s="9">
        <f>Model_Data!AN57</f>
        <v/>
      </c>
      <c r="U57" s="10" t="n"/>
      <c r="V57" s="9">
        <f>Model_Data!A57</f>
        <v/>
      </c>
      <c r="W57" s="9">
        <f>Model_Data!B57-Inputs!$C$5</f>
        <v/>
      </c>
      <c r="X57" s="10" t="n"/>
      <c r="Y57" s="9">
        <f>Model_Data!A57</f>
        <v/>
      </c>
      <c r="Z57" s="9">
        <f>0</f>
        <v/>
      </c>
      <c r="AA57" s="9">
        <f>((SQRT((Inputs!$C$52+Inputs!$C$5)^2+Inputs!$C$52^2-2*(Inputs!$C$52+Inputs!$C$5)*Inputs!$C$52*COS(SQRT((Model_Data!A57)^2+Inputs!$C$6^2)/Inputs!$C$52))-Inputs!$C$5)*1000/Inputs!$C$12)</f>
        <v/>
      </c>
      <c r="AB57" s="9">
        <f>Model_Data!F57</f>
        <v/>
      </c>
    </row>
    <row r="58">
      <c r="A58" s="9">
        <f>Model_Data!A58</f>
        <v/>
      </c>
      <c r="B58" s="9">
        <f>0</f>
        <v/>
      </c>
      <c r="C58" s="9">
        <f>((SQRT((Inputs!$C$52+Inputs!$C$5)^2+Inputs!$C$52^2-2*(Inputs!$C$52+Inputs!$C$5)*Inputs!$C$52*COS(SQRT((Model_Data!A58)^2+Inputs!$C$6^2)/Inputs!$C$52))-Inputs!$C$5)*1000/Inputs!$C$12)</f>
        <v/>
      </c>
      <c r="D58" s="9">
        <f>Model_Data!F58</f>
        <v/>
      </c>
      <c r="E58" s="9">
        <f>Model_Data!AC58</f>
        <v/>
      </c>
      <c r="F58" s="10" t="n"/>
      <c r="G58" s="9">
        <f>Model_Data!A58</f>
        <v/>
      </c>
      <c r="H58" s="9">
        <f>Model_Data!Y58</f>
        <v/>
      </c>
      <c r="I58" s="9">
        <f>Model_Data!Y58</f>
        <v/>
      </c>
      <c r="J58" s="9">
        <f>Model_Data!X58</f>
        <v/>
      </c>
      <c r="K58" s="9">
        <f>Model_Data!A58</f>
        <v/>
      </c>
      <c r="L58" s="9">
        <f>Model_Data!Y58</f>
        <v/>
      </c>
      <c r="M58" s="9">
        <f>Model_Data!X58</f>
        <v/>
      </c>
      <c r="N58" s="9">
        <f>-(Model_Data!AC58-Model_Data!F58)*Inputs!$C$12</f>
        <v/>
      </c>
      <c r="O58" s="10" t="n"/>
      <c r="P58" s="9">
        <f>Model_Data!A58</f>
        <v/>
      </c>
      <c r="Q58" s="9">
        <f>Model_Data!P58</f>
        <v/>
      </c>
      <c r="R58" s="9">
        <f>Model_Data!AM58</f>
        <v/>
      </c>
      <c r="S58" s="9">
        <f>Model_Data!Q58</f>
        <v/>
      </c>
      <c r="T58" s="9">
        <f>Model_Data!AN58</f>
        <v/>
      </c>
      <c r="U58" s="10" t="n"/>
      <c r="V58" s="9">
        <f>Model_Data!A58</f>
        <v/>
      </c>
      <c r="W58" s="9">
        <f>Model_Data!B58-Inputs!$C$5</f>
        <v/>
      </c>
      <c r="X58" s="10" t="n"/>
      <c r="Y58" s="9">
        <f>Model_Data!A58</f>
        <v/>
      </c>
      <c r="Z58" s="9">
        <f>0</f>
        <v/>
      </c>
      <c r="AA58" s="9">
        <f>((SQRT((Inputs!$C$52+Inputs!$C$5)^2+Inputs!$C$52^2-2*(Inputs!$C$52+Inputs!$C$5)*Inputs!$C$52*COS(SQRT((Model_Data!A58)^2+Inputs!$C$6^2)/Inputs!$C$52))-Inputs!$C$5)*1000/Inputs!$C$12)</f>
        <v/>
      </c>
      <c r="AB58" s="9">
        <f>Model_Data!F58</f>
        <v/>
      </c>
    </row>
    <row r="59">
      <c r="A59" s="9">
        <f>Model_Data!A59</f>
        <v/>
      </c>
      <c r="B59" s="9">
        <f>0</f>
        <v/>
      </c>
      <c r="C59" s="9">
        <f>((SQRT((Inputs!$C$52+Inputs!$C$5)^2+Inputs!$C$52^2-2*(Inputs!$C$52+Inputs!$C$5)*Inputs!$C$52*COS(SQRT((Model_Data!A59)^2+Inputs!$C$6^2)/Inputs!$C$52))-Inputs!$C$5)*1000/Inputs!$C$12)</f>
        <v/>
      </c>
      <c r="D59" s="9">
        <f>Model_Data!F59</f>
        <v/>
      </c>
      <c r="E59" s="9">
        <f>Model_Data!AC59</f>
        <v/>
      </c>
      <c r="F59" s="10" t="n"/>
      <c r="G59" s="9">
        <f>Model_Data!A59</f>
        <v/>
      </c>
      <c r="H59" s="9">
        <f>Model_Data!Y59</f>
        <v/>
      </c>
      <c r="I59" s="9">
        <f>Model_Data!Y59</f>
        <v/>
      </c>
      <c r="J59" s="9">
        <f>Model_Data!X59</f>
        <v/>
      </c>
      <c r="K59" s="9">
        <f>Model_Data!A59</f>
        <v/>
      </c>
      <c r="L59" s="9">
        <f>Model_Data!Y59</f>
        <v/>
      </c>
      <c r="M59" s="9">
        <f>Model_Data!X59</f>
        <v/>
      </c>
      <c r="N59" s="9">
        <f>-(Model_Data!AC59-Model_Data!F59)*Inputs!$C$12</f>
        <v/>
      </c>
      <c r="O59" s="10" t="n"/>
      <c r="P59" s="9">
        <f>Model_Data!A59</f>
        <v/>
      </c>
      <c r="Q59" s="9">
        <f>Model_Data!P59</f>
        <v/>
      </c>
      <c r="R59" s="9">
        <f>Model_Data!AM59</f>
        <v/>
      </c>
      <c r="S59" s="9">
        <f>Model_Data!Q59</f>
        <v/>
      </c>
      <c r="T59" s="9">
        <f>Model_Data!AN59</f>
        <v/>
      </c>
      <c r="U59" s="10" t="n"/>
      <c r="V59" s="9">
        <f>Model_Data!A59</f>
        <v/>
      </c>
      <c r="W59" s="9">
        <f>Model_Data!B59-Inputs!$C$5</f>
        <v/>
      </c>
      <c r="X59" s="10" t="n"/>
      <c r="Y59" s="9">
        <f>Model_Data!A59</f>
        <v/>
      </c>
      <c r="Z59" s="9">
        <f>0</f>
        <v/>
      </c>
      <c r="AA59" s="9">
        <f>((SQRT((Inputs!$C$52+Inputs!$C$5)^2+Inputs!$C$52^2-2*(Inputs!$C$52+Inputs!$C$5)*Inputs!$C$52*COS(SQRT((Model_Data!A59)^2+Inputs!$C$6^2)/Inputs!$C$52))-Inputs!$C$5)*1000/Inputs!$C$12)</f>
        <v/>
      </c>
      <c r="AB59" s="9">
        <f>Model_Data!F59</f>
        <v/>
      </c>
    </row>
    <row r="60">
      <c r="A60" s="9">
        <f>Model_Data!A60</f>
        <v/>
      </c>
      <c r="B60" s="9">
        <f>0</f>
        <v/>
      </c>
      <c r="C60" s="9">
        <f>((SQRT((Inputs!$C$52+Inputs!$C$5)^2+Inputs!$C$52^2-2*(Inputs!$C$52+Inputs!$C$5)*Inputs!$C$52*COS(SQRT((Model_Data!A60)^2+Inputs!$C$6^2)/Inputs!$C$52))-Inputs!$C$5)*1000/Inputs!$C$12)</f>
        <v/>
      </c>
      <c r="D60" s="9">
        <f>Model_Data!F60</f>
        <v/>
      </c>
      <c r="E60" s="9">
        <f>Model_Data!AC60</f>
        <v/>
      </c>
      <c r="F60" s="10" t="n"/>
      <c r="G60" s="9">
        <f>Model_Data!A60</f>
        <v/>
      </c>
      <c r="H60" s="9">
        <f>Model_Data!Y60</f>
        <v/>
      </c>
      <c r="I60" s="9">
        <f>Model_Data!Y60</f>
        <v/>
      </c>
      <c r="J60" s="9">
        <f>Model_Data!X60</f>
        <v/>
      </c>
      <c r="K60" s="9">
        <f>Model_Data!A60</f>
        <v/>
      </c>
      <c r="L60" s="9">
        <f>Model_Data!Y60</f>
        <v/>
      </c>
      <c r="M60" s="9">
        <f>Model_Data!X60</f>
        <v/>
      </c>
      <c r="N60" s="9">
        <f>-(Model_Data!AC60-Model_Data!F60)*Inputs!$C$12</f>
        <v/>
      </c>
      <c r="O60" s="10" t="n"/>
      <c r="P60" s="9">
        <f>Model_Data!A60</f>
        <v/>
      </c>
      <c r="Q60" s="9">
        <f>Model_Data!P60</f>
        <v/>
      </c>
      <c r="R60" s="9">
        <f>Model_Data!AM60</f>
        <v/>
      </c>
      <c r="S60" s="9">
        <f>Model_Data!Q60</f>
        <v/>
      </c>
      <c r="T60" s="9">
        <f>Model_Data!AN60</f>
        <v/>
      </c>
      <c r="U60" s="10" t="n"/>
      <c r="V60" s="9">
        <f>Model_Data!A60</f>
        <v/>
      </c>
      <c r="W60" s="9">
        <f>Model_Data!B60-Inputs!$C$5</f>
        <v/>
      </c>
      <c r="X60" s="10" t="n"/>
      <c r="Y60" s="9">
        <f>Model_Data!A60</f>
        <v/>
      </c>
      <c r="Z60" s="9">
        <f>0</f>
        <v/>
      </c>
      <c r="AA60" s="9">
        <f>((SQRT((Inputs!$C$52+Inputs!$C$5)^2+Inputs!$C$52^2-2*(Inputs!$C$52+Inputs!$C$5)*Inputs!$C$52*COS(SQRT((Model_Data!A60)^2+Inputs!$C$6^2)/Inputs!$C$52))-Inputs!$C$5)*1000/Inputs!$C$12)</f>
        <v/>
      </c>
      <c r="AB60" s="9">
        <f>Model_Data!F60</f>
        <v/>
      </c>
    </row>
    <row r="61">
      <c r="A61" s="9">
        <f>Model_Data!A61</f>
        <v/>
      </c>
      <c r="B61" s="9">
        <f>0</f>
        <v/>
      </c>
      <c r="C61" s="9">
        <f>((SQRT((Inputs!$C$52+Inputs!$C$5)^2+Inputs!$C$52^2-2*(Inputs!$C$52+Inputs!$C$5)*Inputs!$C$52*COS(SQRT((Model_Data!A61)^2+Inputs!$C$6^2)/Inputs!$C$52))-Inputs!$C$5)*1000/Inputs!$C$12)</f>
        <v/>
      </c>
      <c r="D61" s="9">
        <f>Model_Data!F61</f>
        <v/>
      </c>
      <c r="E61" s="9">
        <f>Model_Data!AC61</f>
        <v/>
      </c>
      <c r="F61" s="10" t="n"/>
      <c r="G61" s="9">
        <f>Model_Data!A61</f>
        <v/>
      </c>
      <c r="H61" s="9">
        <f>Model_Data!Y61</f>
        <v/>
      </c>
      <c r="I61" s="9">
        <f>Model_Data!Y61</f>
        <v/>
      </c>
      <c r="J61" s="9">
        <f>Model_Data!X61</f>
        <v/>
      </c>
      <c r="K61" s="9">
        <f>Model_Data!A61</f>
        <v/>
      </c>
      <c r="L61" s="9">
        <f>Model_Data!Y61</f>
        <v/>
      </c>
      <c r="M61" s="9">
        <f>Model_Data!X61</f>
        <v/>
      </c>
      <c r="N61" s="9">
        <f>-(Model_Data!AC61-Model_Data!F61)*Inputs!$C$12</f>
        <v/>
      </c>
      <c r="O61" s="10" t="n"/>
      <c r="P61" s="9">
        <f>Model_Data!A61</f>
        <v/>
      </c>
      <c r="Q61" s="9">
        <f>Model_Data!P61</f>
        <v/>
      </c>
      <c r="R61" s="9">
        <f>Model_Data!AM61</f>
        <v/>
      </c>
      <c r="S61" s="9">
        <f>Model_Data!Q61</f>
        <v/>
      </c>
      <c r="T61" s="9">
        <f>Model_Data!AN61</f>
        <v/>
      </c>
      <c r="U61" s="10" t="n"/>
      <c r="V61" s="9">
        <f>Model_Data!A61</f>
        <v/>
      </c>
      <c r="W61" s="9">
        <f>Model_Data!B61-Inputs!$C$5</f>
        <v/>
      </c>
      <c r="X61" s="10" t="n"/>
      <c r="Y61" s="9">
        <f>Model_Data!A61</f>
        <v/>
      </c>
      <c r="Z61" s="9">
        <f>0</f>
        <v/>
      </c>
      <c r="AA61" s="9">
        <f>((SQRT((Inputs!$C$52+Inputs!$C$5)^2+Inputs!$C$52^2-2*(Inputs!$C$52+Inputs!$C$5)*Inputs!$C$52*COS(SQRT((Model_Data!A61)^2+Inputs!$C$6^2)/Inputs!$C$52))-Inputs!$C$5)*1000/Inputs!$C$12)</f>
        <v/>
      </c>
      <c r="AB61" s="9">
        <f>Model_Data!F61</f>
        <v/>
      </c>
    </row>
    <row r="62">
      <c r="A62" s="9">
        <f>Model_Data!A62</f>
        <v/>
      </c>
      <c r="B62" s="9">
        <f>0</f>
        <v/>
      </c>
      <c r="C62" s="9">
        <f>((SQRT((Inputs!$C$52+Inputs!$C$5)^2+Inputs!$C$52^2-2*(Inputs!$C$52+Inputs!$C$5)*Inputs!$C$52*COS(SQRT((Model_Data!A62)^2+Inputs!$C$6^2)/Inputs!$C$52))-Inputs!$C$5)*1000/Inputs!$C$12)</f>
        <v/>
      </c>
      <c r="D62" s="9">
        <f>Model_Data!F62</f>
        <v/>
      </c>
      <c r="E62" s="9">
        <f>Model_Data!AC62</f>
        <v/>
      </c>
      <c r="F62" s="10" t="n"/>
      <c r="G62" s="9">
        <f>Model_Data!A62</f>
        <v/>
      </c>
      <c r="H62" s="9">
        <f>Model_Data!Y62</f>
        <v/>
      </c>
      <c r="I62" s="9">
        <f>Model_Data!Y62</f>
        <v/>
      </c>
      <c r="J62" s="9">
        <f>Model_Data!X62</f>
        <v/>
      </c>
      <c r="K62" s="9">
        <f>Model_Data!A62</f>
        <v/>
      </c>
      <c r="L62" s="9">
        <f>Model_Data!Y62</f>
        <v/>
      </c>
      <c r="M62" s="9">
        <f>Model_Data!X62</f>
        <v/>
      </c>
      <c r="N62" s="9">
        <f>-(Model_Data!AC62-Model_Data!F62)*Inputs!$C$12</f>
        <v/>
      </c>
      <c r="O62" s="10" t="n"/>
      <c r="P62" s="9">
        <f>Model_Data!A62</f>
        <v/>
      </c>
      <c r="Q62" s="9">
        <f>Model_Data!P62</f>
        <v/>
      </c>
      <c r="R62" s="9">
        <f>Model_Data!AM62</f>
        <v/>
      </c>
      <c r="S62" s="9">
        <f>Model_Data!Q62</f>
        <v/>
      </c>
      <c r="T62" s="9">
        <f>Model_Data!AN62</f>
        <v/>
      </c>
      <c r="U62" s="10" t="n"/>
      <c r="V62" s="9">
        <f>Model_Data!A62</f>
        <v/>
      </c>
      <c r="W62" s="9">
        <f>Model_Data!B62-Inputs!$C$5</f>
        <v/>
      </c>
      <c r="X62" s="10" t="n"/>
      <c r="Y62" s="9">
        <f>Model_Data!A62</f>
        <v/>
      </c>
      <c r="Z62" s="9">
        <f>0</f>
        <v/>
      </c>
      <c r="AA62" s="9">
        <f>((SQRT((Inputs!$C$52+Inputs!$C$5)^2+Inputs!$C$52^2-2*(Inputs!$C$52+Inputs!$C$5)*Inputs!$C$52*COS(SQRT((Model_Data!A62)^2+Inputs!$C$6^2)/Inputs!$C$52))-Inputs!$C$5)*1000/Inputs!$C$12)</f>
        <v/>
      </c>
      <c r="AB62" s="9">
        <f>Model_Data!F62</f>
        <v/>
      </c>
    </row>
    <row r="63">
      <c r="A63" s="9">
        <f>Model_Data!A63</f>
        <v/>
      </c>
      <c r="B63" s="9">
        <f>0</f>
        <v/>
      </c>
      <c r="C63" s="9">
        <f>((SQRT((Inputs!$C$52+Inputs!$C$5)^2+Inputs!$C$52^2-2*(Inputs!$C$52+Inputs!$C$5)*Inputs!$C$52*COS(SQRT((Model_Data!A63)^2+Inputs!$C$6^2)/Inputs!$C$52))-Inputs!$C$5)*1000/Inputs!$C$12)</f>
        <v/>
      </c>
      <c r="D63" s="9">
        <f>Model_Data!F63</f>
        <v/>
      </c>
      <c r="E63" s="9">
        <f>Model_Data!AC63</f>
        <v/>
      </c>
      <c r="F63" s="10" t="n"/>
      <c r="G63" s="9">
        <f>Model_Data!A63</f>
        <v/>
      </c>
      <c r="H63" s="9">
        <f>Model_Data!Y63</f>
        <v/>
      </c>
      <c r="I63" s="9">
        <f>Model_Data!Y63</f>
        <v/>
      </c>
      <c r="J63" s="9">
        <f>Model_Data!X63</f>
        <v/>
      </c>
      <c r="K63" s="9">
        <f>Model_Data!A63</f>
        <v/>
      </c>
      <c r="L63" s="9">
        <f>Model_Data!Y63</f>
        <v/>
      </c>
      <c r="M63" s="9">
        <f>Model_Data!X63</f>
        <v/>
      </c>
      <c r="N63" s="9">
        <f>-(Model_Data!AC63-Model_Data!F63)*Inputs!$C$12</f>
        <v/>
      </c>
      <c r="O63" s="10" t="n"/>
      <c r="P63" s="9">
        <f>Model_Data!A63</f>
        <v/>
      </c>
      <c r="Q63" s="9">
        <f>Model_Data!P63</f>
        <v/>
      </c>
      <c r="R63" s="9">
        <f>Model_Data!AM63</f>
        <v/>
      </c>
      <c r="S63" s="9">
        <f>Model_Data!Q63</f>
        <v/>
      </c>
      <c r="T63" s="9">
        <f>Model_Data!AN63</f>
        <v/>
      </c>
      <c r="U63" s="10" t="n"/>
      <c r="V63" s="9">
        <f>Model_Data!A63</f>
        <v/>
      </c>
      <c r="W63" s="9">
        <f>Model_Data!B63-Inputs!$C$5</f>
        <v/>
      </c>
      <c r="X63" s="10" t="n"/>
      <c r="Y63" s="9">
        <f>Model_Data!A63</f>
        <v/>
      </c>
      <c r="Z63" s="9">
        <f>0</f>
        <v/>
      </c>
      <c r="AA63" s="9">
        <f>((SQRT((Inputs!$C$52+Inputs!$C$5)^2+Inputs!$C$52^2-2*(Inputs!$C$52+Inputs!$C$5)*Inputs!$C$52*COS(SQRT((Model_Data!A63)^2+Inputs!$C$6^2)/Inputs!$C$52))-Inputs!$C$5)*1000/Inputs!$C$12)</f>
        <v/>
      </c>
      <c r="AB63" s="9">
        <f>Model_Data!F63</f>
        <v/>
      </c>
    </row>
    <row r="64">
      <c r="A64" s="9">
        <f>Model_Data!A64</f>
        <v/>
      </c>
      <c r="B64" s="9">
        <f>0</f>
        <v/>
      </c>
      <c r="C64" s="9">
        <f>((SQRT((Inputs!$C$52+Inputs!$C$5)^2+Inputs!$C$52^2-2*(Inputs!$C$52+Inputs!$C$5)*Inputs!$C$52*COS(SQRT((Model_Data!A64)^2+Inputs!$C$6^2)/Inputs!$C$52))-Inputs!$C$5)*1000/Inputs!$C$12)</f>
        <v/>
      </c>
      <c r="D64" s="9">
        <f>Model_Data!F64</f>
        <v/>
      </c>
      <c r="E64" s="9">
        <f>Model_Data!AC64</f>
        <v/>
      </c>
      <c r="F64" s="10" t="n"/>
      <c r="G64" s="9">
        <f>Model_Data!A64</f>
        <v/>
      </c>
      <c r="H64" s="9">
        <f>Model_Data!Y64</f>
        <v/>
      </c>
      <c r="I64" s="9">
        <f>Model_Data!Y64</f>
        <v/>
      </c>
      <c r="J64" s="9">
        <f>Model_Data!X64</f>
        <v/>
      </c>
      <c r="K64" s="9">
        <f>Model_Data!A64</f>
        <v/>
      </c>
      <c r="L64" s="9">
        <f>Model_Data!Y64</f>
        <v/>
      </c>
      <c r="M64" s="9">
        <f>Model_Data!X64</f>
        <v/>
      </c>
      <c r="N64" s="9">
        <f>-(Model_Data!AC64-Model_Data!F64)*Inputs!$C$12</f>
        <v/>
      </c>
      <c r="O64" s="10" t="n"/>
      <c r="P64" s="9">
        <f>Model_Data!A64</f>
        <v/>
      </c>
      <c r="Q64" s="9">
        <f>Model_Data!P64</f>
        <v/>
      </c>
      <c r="R64" s="9">
        <f>Model_Data!AM64</f>
        <v/>
      </c>
      <c r="S64" s="9">
        <f>Model_Data!Q64</f>
        <v/>
      </c>
      <c r="T64" s="9">
        <f>Model_Data!AN64</f>
        <v/>
      </c>
      <c r="U64" s="10" t="n"/>
      <c r="V64" s="9">
        <f>Model_Data!A64</f>
        <v/>
      </c>
      <c r="W64" s="9">
        <f>Model_Data!B64-Inputs!$C$5</f>
        <v/>
      </c>
      <c r="X64" s="10" t="n"/>
      <c r="Y64" s="9">
        <f>Model_Data!A64</f>
        <v/>
      </c>
      <c r="Z64" s="9">
        <f>0</f>
        <v/>
      </c>
      <c r="AA64" s="9">
        <f>((SQRT((Inputs!$C$52+Inputs!$C$5)^2+Inputs!$C$52^2-2*(Inputs!$C$52+Inputs!$C$5)*Inputs!$C$52*COS(SQRT((Model_Data!A64)^2+Inputs!$C$6^2)/Inputs!$C$52))-Inputs!$C$5)*1000/Inputs!$C$12)</f>
        <v/>
      </c>
      <c r="AB64" s="9">
        <f>Model_Data!F64</f>
        <v/>
      </c>
    </row>
    <row r="65">
      <c r="A65" s="9">
        <f>Model_Data!A65</f>
        <v/>
      </c>
      <c r="B65" s="9">
        <f>0</f>
        <v/>
      </c>
      <c r="C65" s="9">
        <f>((SQRT((Inputs!$C$52+Inputs!$C$5)^2+Inputs!$C$52^2-2*(Inputs!$C$52+Inputs!$C$5)*Inputs!$C$52*COS(SQRT((Model_Data!A65)^2+Inputs!$C$6^2)/Inputs!$C$52))-Inputs!$C$5)*1000/Inputs!$C$12)</f>
        <v/>
      </c>
      <c r="D65" s="9">
        <f>Model_Data!F65</f>
        <v/>
      </c>
      <c r="E65" s="9">
        <f>Model_Data!AC65</f>
        <v/>
      </c>
      <c r="F65" s="10" t="n"/>
      <c r="G65" s="9">
        <f>Model_Data!A65</f>
        <v/>
      </c>
      <c r="H65" s="9">
        <f>Model_Data!Y65</f>
        <v/>
      </c>
      <c r="I65" s="9">
        <f>Model_Data!Y65</f>
        <v/>
      </c>
      <c r="J65" s="9">
        <f>Model_Data!X65</f>
        <v/>
      </c>
      <c r="K65" s="9">
        <f>Model_Data!A65</f>
        <v/>
      </c>
      <c r="L65" s="9">
        <f>Model_Data!Y65</f>
        <v/>
      </c>
      <c r="M65" s="9">
        <f>Model_Data!X65</f>
        <v/>
      </c>
      <c r="N65" s="9">
        <f>-(Model_Data!AC65-Model_Data!F65)*Inputs!$C$12</f>
        <v/>
      </c>
      <c r="O65" s="10" t="n"/>
      <c r="P65" s="9">
        <f>Model_Data!A65</f>
        <v/>
      </c>
      <c r="Q65" s="9">
        <f>Model_Data!P65</f>
        <v/>
      </c>
      <c r="R65" s="9">
        <f>Model_Data!AM65</f>
        <v/>
      </c>
      <c r="S65" s="9">
        <f>Model_Data!Q65</f>
        <v/>
      </c>
      <c r="T65" s="9">
        <f>Model_Data!AN65</f>
        <v/>
      </c>
      <c r="U65" s="10" t="n"/>
      <c r="V65" s="9">
        <f>Model_Data!A65</f>
        <v/>
      </c>
      <c r="W65" s="9">
        <f>Model_Data!B65-Inputs!$C$5</f>
        <v/>
      </c>
      <c r="X65" s="10" t="n"/>
      <c r="Y65" s="9">
        <f>Model_Data!A65</f>
        <v/>
      </c>
      <c r="Z65" s="9">
        <f>0</f>
        <v/>
      </c>
      <c r="AA65" s="9">
        <f>((SQRT((Inputs!$C$52+Inputs!$C$5)^2+Inputs!$C$52^2-2*(Inputs!$C$52+Inputs!$C$5)*Inputs!$C$52*COS(SQRT((Model_Data!A65)^2+Inputs!$C$6^2)/Inputs!$C$52))-Inputs!$C$5)*1000/Inputs!$C$12)</f>
        <v/>
      </c>
      <c r="AB65" s="9">
        <f>Model_Data!F65</f>
        <v/>
      </c>
    </row>
    <row r="66">
      <c r="A66" s="9">
        <f>Model_Data!A66</f>
        <v/>
      </c>
      <c r="B66" s="9">
        <f>0</f>
        <v/>
      </c>
      <c r="C66" s="9">
        <f>((SQRT((Inputs!$C$52+Inputs!$C$5)^2+Inputs!$C$52^2-2*(Inputs!$C$52+Inputs!$C$5)*Inputs!$C$52*COS(SQRT((Model_Data!A66)^2+Inputs!$C$6^2)/Inputs!$C$52))-Inputs!$C$5)*1000/Inputs!$C$12)</f>
        <v/>
      </c>
      <c r="D66" s="9">
        <f>Model_Data!F66</f>
        <v/>
      </c>
      <c r="E66" s="9">
        <f>Model_Data!AC66</f>
        <v/>
      </c>
      <c r="F66" s="10" t="n"/>
      <c r="G66" s="9">
        <f>Model_Data!A66</f>
        <v/>
      </c>
      <c r="H66" s="9">
        <f>Model_Data!Y66</f>
        <v/>
      </c>
      <c r="I66" s="9">
        <f>Model_Data!Y66</f>
        <v/>
      </c>
      <c r="J66" s="9">
        <f>Model_Data!X66</f>
        <v/>
      </c>
      <c r="K66" s="9">
        <f>Model_Data!A66</f>
        <v/>
      </c>
      <c r="L66" s="9">
        <f>Model_Data!Y66</f>
        <v/>
      </c>
      <c r="M66" s="9">
        <f>Model_Data!X66</f>
        <v/>
      </c>
      <c r="N66" s="9">
        <f>-(Model_Data!AC66-Model_Data!F66)*Inputs!$C$12</f>
        <v/>
      </c>
      <c r="O66" s="10" t="n"/>
      <c r="P66" s="9">
        <f>Model_Data!A66</f>
        <v/>
      </c>
      <c r="Q66" s="9">
        <f>Model_Data!P66</f>
        <v/>
      </c>
      <c r="R66" s="9">
        <f>Model_Data!AM66</f>
        <v/>
      </c>
      <c r="S66" s="9">
        <f>Model_Data!Q66</f>
        <v/>
      </c>
      <c r="T66" s="9">
        <f>Model_Data!AN66</f>
        <v/>
      </c>
      <c r="U66" s="10" t="n"/>
      <c r="V66" s="9">
        <f>Model_Data!A66</f>
        <v/>
      </c>
      <c r="W66" s="9">
        <f>Model_Data!B66-Inputs!$C$5</f>
        <v/>
      </c>
      <c r="X66" s="10" t="n"/>
      <c r="Y66" s="9">
        <f>Model_Data!A66</f>
        <v/>
      </c>
      <c r="Z66" s="9">
        <f>0</f>
        <v/>
      </c>
      <c r="AA66" s="9">
        <f>((SQRT((Inputs!$C$52+Inputs!$C$5)^2+Inputs!$C$52^2-2*(Inputs!$C$52+Inputs!$C$5)*Inputs!$C$52*COS(SQRT((Model_Data!A66)^2+Inputs!$C$6^2)/Inputs!$C$52))-Inputs!$C$5)*1000/Inputs!$C$12)</f>
        <v/>
      </c>
      <c r="AB66" s="9">
        <f>Model_Data!F66</f>
        <v/>
      </c>
    </row>
    <row r="67">
      <c r="A67" s="9">
        <f>Model_Data!A67</f>
        <v/>
      </c>
      <c r="B67" s="9">
        <f>0</f>
        <v/>
      </c>
      <c r="C67" s="9">
        <f>((SQRT((Inputs!$C$52+Inputs!$C$5)^2+Inputs!$C$52^2-2*(Inputs!$C$52+Inputs!$C$5)*Inputs!$C$52*COS(SQRT((Model_Data!A67)^2+Inputs!$C$6^2)/Inputs!$C$52))-Inputs!$C$5)*1000/Inputs!$C$12)</f>
        <v/>
      </c>
      <c r="D67" s="9">
        <f>Model_Data!F67</f>
        <v/>
      </c>
      <c r="E67" s="9">
        <f>Model_Data!AC67</f>
        <v/>
      </c>
      <c r="F67" s="10" t="n"/>
      <c r="G67" s="9">
        <f>Model_Data!A67</f>
        <v/>
      </c>
      <c r="H67" s="9">
        <f>Model_Data!Y67</f>
        <v/>
      </c>
      <c r="I67" s="9">
        <f>Model_Data!Y67</f>
        <v/>
      </c>
      <c r="J67" s="9">
        <f>Model_Data!X67</f>
        <v/>
      </c>
      <c r="K67" s="9">
        <f>Model_Data!A67</f>
        <v/>
      </c>
      <c r="L67" s="9">
        <f>Model_Data!Y67</f>
        <v/>
      </c>
      <c r="M67" s="9">
        <f>Model_Data!X67</f>
        <v/>
      </c>
      <c r="N67" s="9">
        <f>-(Model_Data!AC67-Model_Data!F67)*Inputs!$C$12</f>
        <v/>
      </c>
      <c r="O67" s="10" t="n"/>
      <c r="P67" s="9">
        <f>Model_Data!A67</f>
        <v/>
      </c>
      <c r="Q67" s="9">
        <f>Model_Data!P67</f>
        <v/>
      </c>
      <c r="R67" s="9">
        <f>Model_Data!AM67</f>
        <v/>
      </c>
      <c r="S67" s="9">
        <f>Model_Data!Q67</f>
        <v/>
      </c>
      <c r="T67" s="9">
        <f>Model_Data!AN67</f>
        <v/>
      </c>
      <c r="U67" s="10" t="n"/>
      <c r="V67" s="9">
        <f>Model_Data!A67</f>
        <v/>
      </c>
      <c r="W67" s="9">
        <f>Model_Data!B67-Inputs!$C$5</f>
        <v/>
      </c>
      <c r="X67" s="10" t="n"/>
      <c r="Y67" s="9">
        <f>Model_Data!A67</f>
        <v/>
      </c>
      <c r="Z67" s="9">
        <f>0</f>
        <v/>
      </c>
      <c r="AA67" s="9">
        <f>((SQRT((Inputs!$C$52+Inputs!$C$5)^2+Inputs!$C$52^2-2*(Inputs!$C$52+Inputs!$C$5)*Inputs!$C$52*COS(SQRT((Model_Data!A67)^2+Inputs!$C$6^2)/Inputs!$C$52))-Inputs!$C$5)*1000/Inputs!$C$12)</f>
        <v/>
      </c>
      <c r="AB67" s="9">
        <f>Model_Data!F67</f>
        <v/>
      </c>
    </row>
    <row r="68">
      <c r="A68" s="9">
        <f>Model_Data!A68</f>
        <v/>
      </c>
      <c r="B68" s="9">
        <f>0</f>
        <v/>
      </c>
      <c r="C68" s="9">
        <f>((SQRT((Inputs!$C$52+Inputs!$C$5)^2+Inputs!$C$52^2-2*(Inputs!$C$52+Inputs!$C$5)*Inputs!$C$52*COS(SQRT((Model_Data!A68)^2+Inputs!$C$6^2)/Inputs!$C$52))-Inputs!$C$5)*1000/Inputs!$C$12)</f>
        <v/>
      </c>
      <c r="D68" s="9">
        <f>Model_Data!F68</f>
        <v/>
      </c>
      <c r="E68" s="9">
        <f>Model_Data!AC68</f>
        <v/>
      </c>
      <c r="F68" s="10" t="n"/>
      <c r="G68" s="9">
        <f>Model_Data!A68</f>
        <v/>
      </c>
      <c r="H68" s="9">
        <f>Model_Data!Y68</f>
        <v/>
      </c>
      <c r="I68" s="9">
        <f>Model_Data!Y68</f>
        <v/>
      </c>
      <c r="J68" s="9">
        <f>Model_Data!X68</f>
        <v/>
      </c>
      <c r="K68" s="9">
        <f>Model_Data!A68</f>
        <v/>
      </c>
      <c r="L68" s="9">
        <f>Model_Data!Y68</f>
        <v/>
      </c>
      <c r="M68" s="9">
        <f>Model_Data!X68</f>
        <v/>
      </c>
      <c r="N68" s="9">
        <f>-(Model_Data!AC68-Model_Data!F68)*Inputs!$C$12</f>
        <v/>
      </c>
      <c r="O68" s="10" t="n"/>
      <c r="P68" s="9">
        <f>Model_Data!A68</f>
        <v/>
      </c>
      <c r="Q68" s="9">
        <f>Model_Data!P68</f>
        <v/>
      </c>
      <c r="R68" s="9">
        <f>Model_Data!AM68</f>
        <v/>
      </c>
      <c r="S68" s="9">
        <f>Model_Data!Q68</f>
        <v/>
      </c>
      <c r="T68" s="9">
        <f>Model_Data!AN68</f>
        <v/>
      </c>
      <c r="U68" s="10" t="n"/>
      <c r="V68" s="9">
        <f>Model_Data!A68</f>
        <v/>
      </c>
      <c r="W68" s="9">
        <f>Model_Data!B68-Inputs!$C$5</f>
        <v/>
      </c>
      <c r="X68" s="10" t="n"/>
      <c r="Y68" s="9">
        <f>Model_Data!A68</f>
        <v/>
      </c>
      <c r="Z68" s="9">
        <f>0</f>
        <v/>
      </c>
      <c r="AA68" s="9">
        <f>((SQRT((Inputs!$C$52+Inputs!$C$5)^2+Inputs!$C$52^2-2*(Inputs!$C$52+Inputs!$C$5)*Inputs!$C$52*COS(SQRT((Model_Data!A68)^2+Inputs!$C$6^2)/Inputs!$C$52))-Inputs!$C$5)*1000/Inputs!$C$12)</f>
        <v/>
      </c>
      <c r="AB68" s="9">
        <f>Model_Data!F68</f>
        <v/>
      </c>
    </row>
    <row r="69">
      <c r="A69" s="9">
        <f>Model_Data!A69</f>
        <v/>
      </c>
      <c r="B69" s="9">
        <f>0</f>
        <v/>
      </c>
      <c r="C69" s="9">
        <f>((SQRT((Inputs!$C$52+Inputs!$C$5)^2+Inputs!$C$52^2-2*(Inputs!$C$52+Inputs!$C$5)*Inputs!$C$52*COS(SQRT((Model_Data!A69)^2+Inputs!$C$6^2)/Inputs!$C$52))-Inputs!$C$5)*1000/Inputs!$C$12)</f>
        <v/>
      </c>
      <c r="D69" s="9">
        <f>Model_Data!F69</f>
        <v/>
      </c>
      <c r="E69" s="9">
        <f>Model_Data!AC69</f>
        <v/>
      </c>
      <c r="F69" s="10" t="n"/>
      <c r="G69" s="9">
        <f>Model_Data!A69</f>
        <v/>
      </c>
      <c r="H69" s="9">
        <f>Model_Data!Y69</f>
        <v/>
      </c>
      <c r="I69" s="9">
        <f>Model_Data!Y69</f>
        <v/>
      </c>
      <c r="J69" s="9">
        <f>Model_Data!X69</f>
        <v/>
      </c>
      <c r="K69" s="9">
        <f>Model_Data!A69</f>
        <v/>
      </c>
      <c r="L69" s="9">
        <f>Model_Data!Y69</f>
        <v/>
      </c>
      <c r="M69" s="9">
        <f>Model_Data!X69</f>
        <v/>
      </c>
      <c r="N69" s="9">
        <f>-(Model_Data!AC69-Model_Data!F69)*Inputs!$C$12</f>
        <v/>
      </c>
      <c r="O69" s="10" t="n"/>
      <c r="P69" s="9">
        <f>Model_Data!A69</f>
        <v/>
      </c>
      <c r="Q69" s="9">
        <f>Model_Data!P69</f>
        <v/>
      </c>
      <c r="R69" s="9">
        <f>Model_Data!AM69</f>
        <v/>
      </c>
      <c r="S69" s="9">
        <f>Model_Data!Q69</f>
        <v/>
      </c>
      <c r="T69" s="9">
        <f>Model_Data!AN69</f>
        <v/>
      </c>
      <c r="U69" s="10" t="n"/>
      <c r="V69" s="9">
        <f>Model_Data!A69</f>
        <v/>
      </c>
      <c r="W69" s="9">
        <f>Model_Data!B69-Inputs!$C$5</f>
        <v/>
      </c>
      <c r="X69" s="10" t="n"/>
      <c r="Y69" s="9">
        <f>Model_Data!A69</f>
        <v/>
      </c>
      <c r="Z69" s="9">
        <f>0</f>
        <v/>
      </c>
      <c r="AA69" s="9">
        <f>((SQRT((Inputs!$C$52+Inputs!$C$5)^2+Inputs!$C$52^2-2*(Inputs!$C$52+Inputs!$C$5)*Inputs!$C$52*COS(SQRT((Model_Data!A69)^2+Inputs!$C$6^2)/Inputs!$C$52))-Inputs!$C$5)*1000/Inputs!$C$12)</f>
        <v/>
      </c>
      <c r="AB69" s="9">
        <f>Model_Data!F69</f>
        <v/>
      </c>
    </row>
    <row r="70">
      <c r="A70" s="9">
        <f>Model_Data!A70</f>
        <v/>
      </c>
      <c r="B70" s="9">
        <f>0</f>
        <v/>
      </c>
      <c r="C70" s="9">
        <f>((SQRT((Inputs!$C$52+Inputs!$C$5)^2+Inputs!$C$52^2-2*(Inputs!$C$52+Inputs!$C$5)*Inputs!$C$52*COS(SQRT((Model_Data!A70)^2+Inputs!$C$6^2)/Inputs!$C$52))-Inputs!$C$5)*1000/Inputs!$C$12)</f>
        <v/>
      </c>
      <c r="D70" s="9">
        <f>Model_Data!F70</f>
        <v/>
      </c>
      <c r="E70" s="9">
        <f>Model_Data!AC70</f>
        <v/>
      </c>
      <c r="F70" s="10" t="n"/>
      <c r="G70" s="9">
        <f>Model_Data!A70</f>
        <v/>
      </c>
      <c r="H70" s="9">
        <f>Model_Data!Y70</f>
        <v/>
      </c>
      <c r="I70" s="9">
        <f>Model_Data!Y70</f>
        <v/>
      </c>
      <c r="J70" s="9">
        <f>Model_Data!X70</f>
        <v/>
      </c>
      <c r="K70" s="9">
        <f>Model_Data!A70</f>
        <v/>
      </c>
      <c r="L70" s="9">
        <f>Model_Data!Y70</f>
        <v/>
      </c>
      <c r="M70" s="9">
        <f>Model_Data!X70</f>
        <v/>
      </c>
      <c r="N70" s="9">
        <f>-(Model_Data!AC70-Model_Data!F70)*Inputs!$C$12</f>
        <v/>
      </c>
      <c r="O70" s="10" t="n"/>
      <c r="P70" s="9">
        <f>Model_Data!A70</f>
        <v/>
      </c>
      <c r="Q70" s="9">
        <f>Model_Data!P70</f>
        <v/>
      </c>
      <c r="R70" s="9">
        <f>Model_Data!AM70</f>
        <v/>
      </c>
      <c r="S70" s="9">
        <f>Model_Data!Q70</f>
        <v/>
      </c>
      <c r="T70" s="9">
        <f>Model_Data!AN70</f>
        <v/>
      </c>
      <c r="U70" s="10" t="n"/>
      <c r="V70" s="9">
        <f>Model_Data!A70</f>
        <v/>
      </c>
      <c r="W70" s="9">
        <f>Model_Data!B70-Inputs!$C$5</f>
        <v/>
      </c>
      <c r="X70" s="10" t="n"/>
      <c r="Y70" s="9">
        <f>Model_Data!A70</f>
        <v/>
      </c>
      <c r="Z70" s="9">
        <f>0</f>
        <v/>
      </c>
      <c r="AA70" s="9">
        <f>((SQRT((Inputs!$C$52+Inputs!$C$5)^2+Inputs!$C$52^2-2*(Inputs!$C$52+Inputs!$C$5)*Inputs!$C$52*COS(SQRT((Model_Data!A70)^2+Inputs!$C$6^2)/Inputs!$C$52))-Inputs!$C$5)*1000/Inputs!$C$12)</f>
        <v/>
      </c>
      <c r="AB70" s="9">
        <f>Model_Data!F70</f>
        <v/>
      </c>
    </row>
    <row r="71">
      <c r="A71" s="9">
        <f>Model_Data!A71</f>
        <v/>
      </c>
      <c r="B71" s="9">
        <f>0</f>
        <v/>
      </c>
      <c r="C71" s="9">
        <f>((SQRT((Inputs!$C$52+Inputs!$C$5)^2+Inputs!$C$52^2-2*(Inputs!$C$52+Inputs!$C$5)*Inputs!$C$52*COS(SQRT((Model_Data!A71)^2+Inputs!$C$6^2)/Inputs!$C$52))-Inputs!$C$5)*1000/Inputs!$C$12)</f>
        <v/>
      </c>
      <c r="D71" s="9">
        <f>Model_Data!F71</f>
        <v/>
      </c>
      <c r="E71" s="9">
        <f>Model_Data!AC71</f>
        <v/>
      </c>
      <c r="F71" s="10" t="n"/>
      <c r="G71" s="9">
        <f>Model_Data!A71</f>
        <v/>
      </c>
      <c r="H71" s="9">
        <f>Model_Data!Y71</f>
        <v/>
      </c>
      <c r="I71" s="9">
        <f>Model_Data!Y71</f>
        <v/>
      </c>
      <c r="J71" s="9">
        <f>Model_Data!X71</f>
        <v/>
      </c>
      <c r="K71" s="9">
        <f>Model_Data!A71</f>
        <v/>
      </c>
      <c r="L71" s="9">
        <f>Model_Data!Y71</f>
        <v/>
      </c>
      <c r="M71" s="9">
        <f>Model_Data!X71</f>
        <v/>
      </c>
      <c r="N71" s="9">
        <f>-(Model_Data!AC71-Model_Data!F71)*Inputs!$C$12</f>
        <v/>
      </c>
      <c r="O71" s="10" t="n"/>
      <c r="P71" s="9">
        <f>Model_Data!A71</f>
        <v/>
      </c>
      <c r="Q71" s="9">
        <f>Model_Data!P71</f>
        <v/>
      </c>
      <c r="R71" s="9">
        <f>Model_Data!AM71</f>
        <v/>
      </c>
      <c r="S71" s="9">
        <f>Model_Data!Q71</f>
        <v/>
      </c>
      <c r="T71" s="9">
        <f>Model_Data!AN71</f>
        <v/>
      </c>
      <c r="U71" s="10" t="n"/>
      <c r="V71" s="9">
        <f>Model_Data!A71</f>
        <v/>
      </c>
      <c r="W71" s="9">
        <f>Model_Data!B71-Inputs!$C$5</f>
        <v/>
      </c>
      <c r="X71" s="10" t="n"/>
      <c r="Y71" s="9">
        <f>Model_Data!A71</f>
        <v/>
      </c>
      <c r="Z71" s="9">
        <f>0</f>
        <v/>
      </c>
      <c r="AA71" s="9">
        <f>((SQRT((Inputs!$C$52+Inputs!$C$5)^2+Inputs!$C$52^2-2*(Inputs!$C$52+Inputs!$C$5)*Inputs!$C$52*COS(SQRT((Model_Data!A71)^2+Inputs!$C$6^2)/Inputs!$C$52))-Inputs!$C$5)*1000/Inputs!$C$12)</f>
        <v/>
      </c>
      <c r="AB71" s="9">
        <f>Model_Data!F71</f>
        <v/>
      </c>
    </row>
    <row r="72">
      <c r="A72" s="9">
        <f>Model_Data!A72</f>
        <v/>
      </c>
      <c r="B72" s="9">
        <f>0</f>
        <v/>
      </c>
      <c r="C72" s="9">
        <f>((SQRT((Inputs!$C$52+Inputs!$C$5)^2+Inputs!$C$52^2-2*(Inputs!$C$52+Inputs!$C$5)*Inputs!$C$52*COS(SQRT((Model_Data!A72)^2+Inputs!$C$6^2)/Inputs!$C$52))-Inputs!$C$5)*1000/Inputs!$C$12)</f>
        <v/>
      </c>
      <c r="D72" s="9">
        <f>Model_Data!F72</f>
        <v/>
      </c>
      <c r="E72" s="9">
        <f>Model_Data!AC72</f>
        <v/>
      </c>
      <c r="F72" s="10" t="n"/>
      <c r="G72" s="9">
        <f>Model_Data!A72</f>
        <v/>
      </c>
      <c r="H72" s="9">
        <f>Model_Data!Y72</f>
        <v/>
      </c>
      <c r="I72" s="9">
        <f>Model_Data!Y72</f>
        <v/>
      </c>
      <c r="J72" s="9">
        <f>Model_Data!X72</f>
        <v/>
      </c>
      <c r="K72" s="9">
        <f>Model_Data!A72</f>
        <v/>
      </c>
      <c r="L72" s="9">
        <f>Model_Data!Y72</f>
        <v/>
      </c>
      <c r="M72" s="9">
        <f>Model_Data!X72</f>
        <v/>
      </c>
      <c r="N72" s="9">
        <f>-(Model_Data!AC72-Model_Data!F72)*Inputs!$C$12</f>
        <v/>
      </c>
      <c r="O72" s="10" t="n"/>
      <c r="P72" s="9">
        <f>Model_Data!A72</f>
        <v/>
      </c>
      <c r="Q72" s="9">
        <f>Model_Data!P72</f>
        <v/>
      </c>
      <c r="R72" s="9">
        <f>Model_Data!AM72</f>
        <v/>
      </c>
      <c r="S72" s="9">
        <f>Model_Data!Q72</f>
        <v/>
      </c>
      <c r="T72" s="9">
        <f>Model_Data!AN72</f>
        <v/>
      </c>
      <c r="U72" s="10" t="n"/>
      <c r="V72" s="9">
        <f>Model_Data!A72</f>
        <v/>
      </c>
      <c r="W72" s="9">
        <f>Model_Data!B72-Inputs!$C$5</f>
        <v/>
      </c>
      <c r="X72" s="10" t="n"/>
      <c r="Y72" s="9">
        <f>Model_Data!A72</f>
        <v/>
      </c>
      <c r="Z72" s="9">
        <f>0</f>
        <v/>
      </c>
      <c r="AA72" s="9">
        <f>((SQRT((Inputs!$C$52+Inputs!$C$5)^2+Inputs!$C$52^2-2*(Inputs!$C$52+Inputs!$C$5)*Inputs!$C$52*COS(SQRT((Model_Data!A72)^2+Inputs!$C$6^2)/Inputs!$C$52))-Inputs!$C$5)*1000/Inputs!$C$12)</f>
        <v/>
      </c>
      <c r="AB72" s="9">
        <f>Model_Data!F72</f>
        <v/>
      </c>
    </row>
    <row r="73">
      <c r="A73" s="9">
        <f>Model_Data!A73</f>
        <v/>
      </c>
      <c r="B73" s="9">
        <f>0</f>
        <v/>
      </c>
      <c r="C73" s="9">
        <f>((SQRT((Inputs!$C$52+Inputs!$C$5)^2+Inputs!$C$52^2-2*(Inputs!$C$52+Inputs!$C$5)*Inputs!$C$52*COS(SQRT((Model_Data!A73)^2+Inputs!$C$6^2)/Inputs!$C$52))-Inputs!$C$5)*1000/Inputs!$C$12)</f>
        <v/>
      </c>
      <c r="D73" s="9">
        <f>Model_Data!F73</f>
        <v/>
      </c>
      <c r="E73" s="9">
        <f>Model_Data!AC73</f>
        <v/>
      </c>
      <c r="F73" s="10" t="n"/>
      <c r="G73" s="9">
        <f>Model_Data!A73</f>
        <v/>
      </c>
      <c r="H73" s="9">
        <f>Model_Data!Y73</f>
        <v/>
      </c>
      <c r="I73" s="9">
        <f>Model_Data!Y73</f>
        <v/>
      </c>
      <c r="J73" s="9">
        <f>Model_Data!X73</f>
        <v/>
      </c>
      <c r="K73" s="9">
        <f>Model_Data!A73</f>
        <v/>
      </c>
      <c r="L73" s="9">
        <f>Model_Data!Y73</f>
        <v/>
      </c>
      <c r="M73" s="9">
        <f>Model_Data!X73</f>
        <v/>
      </c>
      <c r="N73" s="9">
        <f>-(Model_Data!AC73-Model_Data!F73)*Inputs!$C$12</f>
        <v/>
      </c>
      <c r="O73" s="10" t="n"/>
      <c r="P73" s="9">
        <f>Model_Data!A73</f>
        <v/>
      </c>
      <c r="Q73" s="9">
        <f>Model_Data!P73</f>
        <v/>
      </c>
      <c r="R73" s="9">
        <f>Model_Data!AM73</f>
        <v/>
      </c>
      <c r="S73" s="9">
        <f>Model_Data!Q73</f>
        <v/>
      </c>
      <c r="T73" s="9">
        <f>Model_Data!AN73</f>
        <v/>
      </c>
      <c r="U73" s="10" t="n"/>
      <c r="V73" s="9">
        <f>Model_Data!A73</f>
        <v/>
      </c>
      <c r="W73" s="9">
        <f>Model_Data!B73-Inputs!$C$5</f>
        <v/>
      </c>
      <c r="X73" s="10" t="n"/>
      <c r="Y73" s="9">
        <f>Model_Data!A73</f>
        <v/>
      </c>
      <c r="Z73" s="9">
        <f>0</f>
        <v/>
      </c>
      <c r="AA73" s="9">
        <f>((SQRT((Inputs!$C$52+Inputs!$C$5)^2+Inputs!$C$52^2-2*(Inputs!$C$52+Inputs!$C$5)*Inputs!$C$52*COS(SQRT((Model_Data!A73)^2+Inputs!$C$6^2)/Inputs!$C$52))-Inputs!$C$5)*1000/Inputs!$C$12)</f>
        <v/>
      </c>
      <c r="AB73" s="9">
        <f>Model_Data!F73</f>
        <v/>
      </c>
    </row>
    <row r="74">
      <c r="A74" s="9">
        <f>Model_Data!A74</f>
        <v/>
      </c>
      <c r="B74" s="9">
        <f>0</f>
        <v/>
      </c>
      <c r="C74" s="9">
        <f>((SQRT((Inputs!$C$52+Inputs!$C$5)^2+Inputs!$C$52^2-2*(Inputs!$C$52+Inputs!$C$5)*Inputs!$C$52*COS(SQRT((Model_Data!A74)^2+Inputs!$C$6^2)/Inputs!$C$52))-Inputs!$C$5)*1000/Inputs!$C$12)</f>
        <v/>
      </c>
      <c r="D74" s="9">
        <f>Model_Data!F74</f>
        <v/>
      </c>
      <c r="E74" s="9">
        <f>Model_Data!AC74</f>
        <v/>
      </c>
      <c r="F74" s="10" t="n"/>
      <c r="G74" s="9">
        <f>Model_Data!A74</f>
        <v/>
      </c>
      <c r="H74" s="9">
        <f>Model_Data!Y74</f>
        <v/>
      </c>
      <c r="I74" s="9">
        <f>Model_Data!Y74</f>
        <v/>
      </c>
      <c r="J74" s="9">
        <f>Model_Data!X74</f>
        <v/>
      </c>
      <c r="K74" s="9">
        <f>Model_Data!A74</f>
        <v/>
      </c>
      <c r="L74" s="9">
        <f>Model_Data!Y74</f>
        <v/>
      </c>
      <c r="M74" s="9">
        <f>Model_Data!X74</f>
        <v/>
      </c>
      <c r="N74" s="9">
        <f>-(Model_Data!AC74-Model_Data!F74)*Inputs!$C$12</f>
        <v/>
      </c>
      <c r="O74" s="10" t="n"/>
      <c r="P74" s="9">
        <f>Model_Data!A74</f>
        <v/>
      </c>
      <c r="Q74" s="9">
        <f>Model_Data!P74</f>
        <v/>
      </c>
      <c r="R74" s="9">
        <f>Model_Data!AM74</f>
        <v/>
      </c>
      <c r="S74" s="9">
        <f>Model_Data!Q74</f>
        <v/>
      </c>
      <c r="T74" s="9">
        <f>Model_Data!AN74</f>
        <v/>
      </c>
      <c r="U74" s="10" t="n"/>
      <c r="V74" s="9">
        <f>Model_Data!A74</f>
        <v/>
      </c>
      <c r="W74" s="9">
        <f>Model_Data!B74-Inputs!$C$5</f>
        <v/>
      </c>
      <c r="X74" s="10" t="n"/>
      <c r="Y74" s="9">
        <f>Model_Data!A74</f>
        <v/>
      </c>
      <c r="Z74" s="9">
        <f>0</f>
        <v/>
      </c>
      <c r="AA74" s="9">
        <f>((SQRT((Inputs!$C$52+Inputs!$C$5)^2+Inputs!$C$52^2-2*(Inputs!$C$52+Inputs!$C$5)*Inputs!$C$52*COS(SQRT((Model_Data!A74)^2+Inputs!$C$6^2)/Inputs!$C$52))-Inputs!$C$5)*1000/Inputs!$C$12)</f>
        <v/>
      </c>
      <c r="AB74" s="9">
        <f>Model_Data!F74</f>
        <v/>
      </c>
    </row>
    <row r="75">
      <c r="A75" s="9">
        <f>Model_Data!A75</f>
        <v/>
      </c>
      <c r="B75" s="9">
        <f>0</f>
        <v/>
      </c>
      <c r="C75" s="9">
        <f>((SQRT((Inputs!$C$52+Inputs!$C$5)^2+Inputs!$C$52^2-2*(Inputs!$C$52+Inputs!$C$5)*Inputs!$C$52*COS(SQRT((Model_Data!A75)^2+Inputs!$C$6^2)/Inputs!$C$52))-Inputs!$C$5)*1000/Inputs!$C$12)</f>
        <v/>
      </c>
      <c r="D75" s="9">
        <f>Model_Data!F75</f>
        <v/>
      </c>
      <c r="E75" s="9">
        <f>Model_Data!AC75</f>
        <v/>
      </c>
      <c r="F75" s="10" t="n"/>
      <c r="G75" s="9">
        <f>Model_Data!A75</f>
        <v/>
      </c>
      <c r="H75" s="9">
        <f>Model_Data!Y75</f>
        <v/>
      </c>
      <c r="I75" s="9">
        <f>Model_Data!Y75</f>
        <v/>
      </c>
      <c r="J75" s="9">
        <f>Model_Data!X75</f>
        <v/>
      </c>
      <c r="K75" s="9">
        <f>Model_Data!A75</f>
        <v/>
      </c>
      <c r="L75" s="9">
        <f>Model_Data!Y75</f>
        <v/>
      </c>
      <c r="M75" s="9">
        <f>Model_Data!X75</f>
        <v/>
      </c>
      <c r="N75" s="9">
        <f>-(Model_Data!AC75-Model_Data!F75)*Inputs!$C$12</f>
        <v/>
      </c>
      <c r="O75" s="10" t="n"/>
      <c r="P75" s="9">
        <f>Model_Data!A75</f>
        <v/>
      </c>
      <c r="Q75" s="9">
        <f>Model_Data!P75</f>
        <v/>
      </c>
      <c r="R75" s="9">
        <f>Model_Data!AM75</f>
        <v/>
      </c>
      <c r="S75" s="9">
        <f>Model_Data!Q75</f>
        <v/>
      </c>
      <c r="T75" s="9">
        <f>Model_Data!AN75</f>
        <v/>
      </c>
      <c r="U75" s="10" t="n"/>
      <c r="V75" s="9">
        <f>Model_Data!A75</f>
        <v/>
      </c>
      <c r="W75" s="9">
        <f>Model_Data!B75-Inputs!$C$5</f>
        <v/>
      </c>
      <c r="X75" s="10" t="n"/>
      <c r="Y75" s="9">
        <f>Model_Data!A75</f>
        <v/>
      </c>
      <c r="Z75" s="9">
        <f>0</f>
        <v/>
      </c>
      <c r="AA75" s="9">
        <f>((SQRT((Inputs!$C$52+Inputs!$C$5)^2+Inputs!$C$52^2-2*(Inputs!$C$52+Inputs!$C$5)*Inputs!$C$52*COS(SQRT((Model_Data!A75)^2+Inputs!$C$6^2)/Inputs!$C$52))-Inputs!$C$5)*1000/Inputs!$C$12)</f>
        <v/>
      </c>
      <c r="AB75" s="9">
        <f>Model_Data!F75</f>
        <v/>
      </c>
    </row>
    <row r="76">
      <c r="A76" s="9">
        <f>Model_Data!A76</f>
        <v/>
      </c>
      <c r="B76" s="9">
        <f>0</f>
        <v/>
      </c>
      <c r="C76" s="9">
        <f>((SQRT((Inputs!$C$52+Inputs!$C$5)^2+Inputs!$C$52^2-2*(Inputs!$C$52+Inputs!$C$5)*Inputs!$C$52*COS(SQRT((Model_Data!A76)^2+Inputs!$C$6^2)/Inputs!$C$52))-Inputs!$C$5)*1000/Inputs!$C$12)</f>
        <v/>
      </c>
      <c r="D76" s="9">
        <f>Model_Data!F76</f>
        <v/>
      </c>
      <c r="E76" s="9">
        <f>Model_Data!AC76</f>
        <v/>
      </c>
      <c r="F76" s="10" t="n"/>
      <c r="G76" s="9">
        <f>Model_Data!A76</f>
        <v/>
      </c>
      <c r="H76" s="9">
        <f>Model_Data!Y76</f>
        <v/>
      </c>
      <c r="I76" s="9">
        <f>Model_Data!Y76</f>
        <v/>
      </c>
      <c r="J76" s="9">
        <f>Model_Data!X76</f>
        <v/>
      </c>
      <c r="K76" s="9">
        <f>Model_Data!A76</f>
        <v/>
      </c>
      <c r="L76" s="9">
        <f>Model_Data!Y76</f>
        <v/>
      </c>
      <c r="M76" s="9">
        <f>Model_Data!X76</f>
        <v/>
      </c>
      <c r="N76" s="9">
        <f>-(Model_Data!AC76-Model_Data!F76)*Inputs!$C$12</f>
        <v/>
      </c>
      <c r="O76" s="10" t="n"/>
      <c r="P76" s="9">
        <f>Model_Data!A76</f>
        <v/>
      </c>
      <c r="Q76" s="9">
        <f>Model_Data!P76</f>
        <v/>
      </c>
      <c r="R76" s="9">
        <f>Model_Data!AM76</f>
        <v/>
      </c>
      <c r="S76" s="9">
        <f>Model_Data!Q76</f>
        <v/>
      </c>
      <c r="T76" s="9">
        <f>Model_Data!AN76</f>
        <v/>
      </c>
      <c r="U76" s="10" t="n"/>
      <c r="V76" s="9">
        <f>Model_Data!A76</f>
        <v/>
      </c>
      <c r="W76" s="9">
        <f>Model_Data!B76-Inputs!$C$5</f>
        <v/>
      </c>
      <c r="X76" s="10" t="n"/>
      <c r="Y76" s="9">
        <f>Model_Data!A76</f>
        <v/>
      </c>
      <c r="Z76" s="9">
        <f>0</f>
        <v/>
      </c>
      <c r="AA76" s="9">
        <f>((SQRT((Inputs!$C$52+Inputs!$C$5)^2+Inputs!$C$52^2-2*(Inputs!$C$52+Inputs!$C$5)*Inputs!$C$52*COS(SQRT((Model_Data!A76)^2+Inputs!$C$6^2)/Inputs!$C$52))-Inputs!$C$5)*1000/Inputs!$C$12)</f>
        <v/>
      </c>
      <c r="AB76" s="9">
        <f>Model_Data!F76</f>
        <v/>
      </c>
    </row>
    <row r="77">
      <c r="A77" s="9">
        <f>Model_Data!A77</f>
        <v/>
      </c>
      <c r="B77" s="9">
        <f>0</f>
        <v/>
      </c>
      <c r="C77" s="9">
        <f>((SQRT((Inputs!$C$52+Inputs!$C$5)^2+Inputs!$C$52^2-2*(Inputs!$C$52+Inputs!$C$5)*Inputs!$C$52*COS(SQRT((Model_Data!A77)^2+Inputs!$C$6^2)/Inputs!$C$52))-Inputs!$C$5)*1000/Inputs!$C$12)</f>
        <v/>
      </c>
      <c r="D77" s="9">
        <f>Model_Data!F77</f>
        <v/>
      </c>
      <c r="E77" s="9">
        <f>Model_Data!AC77</f>
        <v/>
      </c>
      <c r="F77" s="10" t="n"/>
      <c r="G77" s="9">
        <f>Model_Data!A77</f>
        <v/>
      </c>
      <c r="H77" s="9">
        <f>Model_Data!Y77</f>
        <v/>
      </c>
      <c r="I77" s="9">
        <f>Model_Data!Y77</f>
        <v/>
      </c>
      <c r="J77" s="9">
        <f>Model_Data!X77</f>
        <v/>
      </c>
      <c r="K77" s="9">
        <f>Model_Data!A77</f>
        <v/>
      </c>
      <c r="L77" s="9">
        <f>Model_Data!Y77</f>
        <v/>
      </c>
      <c r="M77" s="9">
        <f>Model_Data!X77</f>
        <v/>
      </c>
      <c r="N77" s="9">
        <f>-(Model_Data!AC77-Model_Data!F77)*Inputs!$C$12</f>
        <v/>
      </c>
      <c r="O77" s="10" t="n"/>
      <c r="P77" s="9">
        <f>Model_Data!A77</f>
        <v/>
      </c>
      <c r="Q77" s="9">
        <f>Model_Data!P77</f>
        <v/>
      </c>
      <c r="R77" s="9">
        <f>Model_Data!AM77</f>
        <v/>
      </c>
      <c r="S77" s="9">
        <f>Model_Data!Q77</f>
        <v/>
      </c>
      <c r="T77" s="9">
        <f>Model_Data!AN77</f>
        <v/>
      </c>
      <c r="U77" s="10" t="n"/>
      <c r="V77" s="9">
        <f>Model_Data!A77</f>
        <v/>
      </c>
      <c r="W77" s="9">
        <f>Model_Data!B77-Inputs!$C$5</f>
        <v/>
      </c>
      <c r="X77" s="10" t="n"/>
      <c r="Y77" s="9">
        <f>Model_Data!A77</f>
        <v/>
      </c>
      <c r="Z77" s="9">
        <f>0</f>
        <v/>
      </c>
      <c r="AA77" s="9">
        <f>((SQRT((Inputs!$C$52+Inputs!$C$5)^2+Inputs!$C$52^2-2*(Inputs!$C$52+Inputs!$C$5)*Inputs!$C$52*COS(SQRT((Model_Data!A77)^2+Inputs!$C$6^2)/Inputs!$C$52))-Inputs!$C$5)*1000/Inputs!$C$12)</f>
        <v/>
      </c>
      <c r="AB77" s="9">
        <f>Model_Data!F77</f>
        <v/>
      </c>
    </row>
    <row r="78">
      <c r="A78" s="9">
        <f>Model_Data!A78</f>
        <v/>
      </c>
      <c r="B78" s="9">
        <f>0</f>
        <v/>
      </c>
      <c r="C78" s="9">
        <f>((SQRT((Inputs!$C$52+Inputs!$C$5)^2+Inputs!$C$52^2-2*(Inputs!$C$52+Inputs!$C$5)*Inputs!$C$52*COS(SQRT((Model_Data!A78)^2+Inputs!$C$6^2)/Inputs!$C$52))-Inputs!$C$5)*1000/Inputs!$C$12)</f>
        <v/>
      </c>
      <c r="D78" s="9">
        <f>Model_Data!F78</f>
        <v/>
      </c>
      <c r="E78" s="9">
        <f>Model_Data!AC78</f>
        <v/>
      </c>
      <c r="F78" s="10" t="n"/>
      <c r="G78" s="9">
        <f>Model_Data!A78</f>
        <v/>
      </c>
      <c r="H78" s="9">
        <f>Model_Data!Y78</f>
        <v/>
      </c>
      <c r="I78" s="9">
        <f>Model_Data!Y78</f>
        <v/>
      </c>
      <c r="J78" s="9">
        <f>Model_Data!X78</f>
        <v/>
      </c>
      <c r="K78" s="9">
        <f>Model_Data!A78</f>
        <v/>
      </c>
      <c r="L78" s="9">
        <f>Model_Data!Y78</f>
        <v/>
      </c>
      <c r="M78" s="9">
        <f>Model_Data!X78</f>
        <v/>
      </c>
      <c r="N78" s="9">
        <f>-(Model_Data!AC78-Model_Data!F78)*Inputs!$C$12</f>
        <v/>
      </c>
      <c r="O78" s="10" t="n"/>
      <c r="P78" s="9">
        <f>Model_Data!A78</f>
        <v/>
      </c>
      <c r="Q78" s="9">
        <f>Model_Data!P78</f>
        <v/>
      </c>
      <c r="R78" s="9">
        <f>Model_Data!AM78</f>
        <v/>
      </c>
      <c r="S78" s="9">
        <f>Model_Data!Q78</f>
        <v/>
      </c>
      <c r="T78" s="9">
        <f>Model_Data!AN78</f>
        <v/>
      </c>
      <c r="U78" s="10" t="n"/>
      <c r="V78" s="9">
        <f>Model_Data!A78</f>
        <v/>
      </c>
      <c r="W78" s="9">
        <f>Model_Data!B78-Inputs!$C$5</f>
        <v/>
      </c>
      <c r="X78" s="10" t="n"/>
      <c r="Y78" s="9">
        <f>Model_Data!A78</f>
        <v/>
      </c>
      <c r="Z78" s="9">
        <f>0</f>
        <v/>
      </c>
      <c r="AA78" s="9">
        <f>((SQRT((Inputs!$C$52+Inputs!$C$5)^2+Inputs!$C$52^2-2*(Inputs!$C$52+Inputs!$C$5)*Inputs!$C$52*COS(SQRT((Model_Data!A78)^2+Inputs!$C$6^2)/Inputs!$C$52))-Inputs!$C$5)*1000/Inputs!$C$12)</f>
        <v/>
      </c>
      <c r="AB78" s="9">
        <f>Model_Data!F78</f>
        <v/>
      </c>
    </row>
    <row r="79">
      <c r="A79" s="9">
        <f>Model_Data!A79</f>
        <v/>
      </c>
      <c r="B79" s="9">
        <f>0</f>
        <v/>
      </c>
      <c r="C79" s="9">
        <f>((SQRT((Inputs!$C$52+Inputs!$C$5)^2+Inputs!$C$52^2-2*(Inputs!$C$52+Inputs!$C$5)*Inputs!$C$52*COS(SQRT((Model_Data!A79)^2+Inputs!$C$6^2)/Inputs!$C$52))-Inputs!$C$5)*1000/Inputs!$C$12)</f>
        <v/>
      </c>
      <c r="D79" s="9">
        <f>Model_Data!F79</f>
        <v/>
      </c>
      <c r="E79" s="9">
        <f>Model_Data!AC79</f>
        <v/>
      </c>
      <c r="F79" s="10" t="n"/>
      <c r="G79" s="9">
        <f>Model_Data!A79</f>
        <v/>
      </c>
      <c r="H79" s="9">
        <f>Model_Data!Y79</f>
        <v/>
      </c>
      <c r="I79" s="9">
        <f>Model_Data!Y79</f>
        <v/>
      </c>
      <c r="J79" s="9">
        <f>Model_Data!X79</f>
        <v/>
      </c>
      <c r="K79" s="9">
        <f>Model_Data!A79</f>
        <v/>
      </c>
      <c r="L79" s="9">
        <f>Model_Data!Y79</f>
        <v/>
      </c>
      <c r="M79" s="9">
        <f>Model_Data!X79</f>
        <v/>
      </c>
      <c r="N79" s="9">
        <f>-(Model_Data!AC79-Model_Data!F79)*Inputs!$C$12</f>
        <v/>
      </c>
      <c r="O79" s="10" t="n"/>
      <c r="P79" s="9">
        <f>Model_Data!A79</f>
        <v/>
      </c>
      <c r="Q79" s="9">
        <f>Model_Data!P79</f>
        <v/>
      </c>
      <c r="R79" s="9">
        <f>Model_Data!AM79</f>
        <v/>
      </c>
      <c r="S79" s="9">
        <f>Model_Data!Q79</f>
        <v/>
      </c>
      <c r="T79" s="9">
        <f>Model_Data!AN79</f>
        <v/>
      </c>
      <c r="U79" s="10" t="n"/>
      <c r="V79" s="9">
        <f>Model_Data!A79</f>
        <v/>
      </c>
      <c r="W79" s="9">
        <f>Model_Data!B79-Inputs!$C$5</f>
        <v/>
      </c>
      <c r="X79" s="10" t="n"/>
      <c r="Y79" s="9">
        <f>Model_Data!A79</f>
        <v/>
      </c>
      <c r="Z79" s="9">
        <f>0</f>
        <v/>
      </c>
      <c r="AA79" s="9">
        <f>((SQRT((Inputs!$C$52+Inputs!$C$5)^2+Inputs!$C$52^2-2*(Inputs!$C$52+Inputs!$C$5)*Inputs!$C$52*COS(SQRT((Model_Data!A79)^2+Inputs!$C$6^2)/Inputs!$C$52))-Inputs!$C$5)*1000/Inputs!$C$12)</f>
        <v/>
      </c>
      <c r="AB79" s="9">
        <f>Model_Data!F79</f>
        <v/>
      </c>
    </row>
    <row r="80">
      <c r="A80" s="9">
        <f>Model_Data!A80</f>
        <v/>
      </c>
      <c r="B80" s="9">
        <f>0</f>
        <v/>
      </c>
      <c r="C80" s="9">
        <f>((SQRT((Inputs!$C$52+Inputs!$C$5)^2+Inputs!$C$52^2-2*(Inputs!$C$52+Inputs!$C$5)*Inputs!$C$52*COS(SQRT((Model_Data!A80)^2+Inputs!$C$6^2)/Inputs!$C$52))-Inputs!$C$5)*1000/Inputs!$C$12)</f>
        <v/>
      </c>
      <c r="D80" s="9">
        <f>Model_Data!F80</f>
        <v/>
      </c>
      <c r="E80" s="9">
        <f>Model_Data!AC80</f>
        <v/>
      </c>
      <c r="F80" s="10" t="n"/>
      <c r="G80" s="9">
        <f>Model_Data!A80</f>
        <v/>
      </c>
      <c r="H80" s="9">
        <f>Model_Data!Y80</f>
        <v/>
      </c>
      <c r="I80" s="9">
        <f>Model_Data!Y80</f>
        <v/>
      </c>
      <c r="J80" s="9">
        <f>Model_Data!X80</f>
        <v/>
      </c>
      <c r="K80" s="9">
        <f>Model_Data!A80</f>
        <v/>
      </c>
      <c r="L80" s="9">
        <f>Model_Data!Y80</f>
        <v/>
      </c>
      <c r="M80" s="9">
        <f>Model_Data!X80</f>
        <v/>
      </c>
      <c r="N80" s="9">
        <f>-(Model_Data!AC80-Model_Data!F80)*Inputs!$C$12</f>
        <v/>
      </c>
      <c r="O80" s="10" t="n"/>
      <c r="P80" s="9">
        <f>Model_Data!A80</f>
        <v/>
      </c>
      <c r="Q80" s="9">
        <f>Model_Data!P80</f>
        <v/>
      </c>
      <c r="R80" s="9">
        <f>Model_Data!AM80</f>
        <v/>
      </c>
      <c r="S80" s="9">
        <f>Model_Data!Q80</f>
        <v/>
      </c>
      <c r="T80" s="9">
        <f>Model_Data!AN80</f>
        <v/>
      </c>
      <c r="U80" s="10" t="n"/>
      <c r="V80" s="9">
        <f>Model_Data!A80</f>
        <v/>
      </c>
      <c r="W80" s="9">
        <f>Model_Data!B80-Inputs!$C$5</f>
        <v/>
      </c>
      <c r="X80" s="10" t="n"/>
      <c r="Y80" s="9">
        <f>Model_Data!A80</f>
        <v/>
      </c>
      <c r="Z80" s="9">
        <f>0</f>
        <v/>
      </c>
      <c r="AA80" s="9">
        <f>((SQRT((Inputs!$C$52+Inputs!$C$5)^2+Inputs!$C$52^2-2*(Inputs!$C$52+Inputs!$C$5)*Inputs!$C$52*COS(SQRT((Model_Data!A80)^2+Inputs!$C$6^2)/Inputs!$C$52))-Inputs!$C$5)*1000/Inputs!$C$12)</f>
        <v/>
      </c>
      <c r="AB80" s="9">
        <f>Model_Data!F80</f>
        <v/>
      </c>
    </row>
    <row r="81">
      <c r="A81" s="9">
        <f>Model_Data!A81</f>
        <v/>
      </c>
      <c r="B81" s="9">
        <f>0</f>
        <v/>
      </c>
      <c r="C81" s="9">
        <f>((SQRT((Inputs!$C$52+Inputs!$C$5)^2+Inputs!$C$52^2-2*(Inputs!$C$52+Inputs!$C$5)*Inputs!$C$52*COS(SQRT((Model_Data!A81)^2+Inputs!$C$6^2)/Inputs!$C$52))-Inputs!$C$5)*1000/Inputs!$C$12)</f>
        <v/>
      </c>
      <c r="D81" s="9">
        <f>Model_Data!F81</f>
        <v/>
      </c>
      <c r="E81" s="9">
        <f>Model_Data!AC81</f>
        <v/>
      </c>
      <c r="F81" s="10" t="n"/>
      <c r="G81" s="9">
        <f>Model_Data!A81</f>
        <v/>
      </c>
      <c r="H81" s="9">
        <f>Model_Data!Y81</f>
        <v/>
      </c>
      <c r="I81" s="9">
        <f>Model_Data!Y81</f>
        <v/>
      </c>
      <c r="J81" s="9">
        <f>Model_Data!X81</f>
        <v/>
      </c>
      <c r="K81" s="9">
        <f>Model_Data!A81</f>
        <v/>
      </c>
      <c r="L81" s="9">
        <f>Model_Data!Y81</f>
        <v/>
      </c>
      <c r="M81" s="9">
        <f>Model_Data!X81</f>
        <v/>
      </c>
      <c r="N81" s="9">
        <f>-(Model_Data!AC81-Model_Data!F81)*Inputs!$C$12</f>
        <v/>
      </c>
      <c r="O81" s="10" t="n"/>
      <c r="P81" s="9">
        <f>Model_Data!A81</f>
        <v/>
      </c>
      <c r="Q81" s="9">
        <f>Model_Data!P81</f>
        <v/>
      </c>
      <c r="R81" s="9">
        <f>Model_Data!AM81</f>
        <v/>
      </c>
      <c r="S81" s="9">
        <f>Model_Data!Q81</f>
        <v/>
      </c>
      <c r="T81" s="9">
        <f>Model_Data!AN81</f>
        <v/>
      </c>
      <c r="U81" s="10" t="n"/>
      <c r="V81" s="9">
        <f>Model_Data!A81</f>
        <v/>
      </c>
      <c r="W81" s="9">
        <f>Model_Data!B81-Inputs!$C$5</f>
        <v/>
      </c>
      <c r="X81" s="10" t="n"/>
      <c r="Y81" s="9">
        <f>Model_Data!A81</f>
        <v/>
      </c>
      <c r="Z81" s="9">
        <f>0</f>
        <v/>
      </c>
      <c r="AA81" s="9">
        <f>((SQRT((Inputs!$C$52+Inputs!$C$5)^2+Inputs!$C$52^2-2*(Inputs!$C$52+Inputs!$C$5)*Inputs!$C$52*COS(SQRT((Model_Data!A81)^2+Inputs!$C$6^2)/Inputs!$C$52))-Inputs!$C$5)*1000/Inputs!$C$12)</f>
        <v/>
      </c>
      <c r="AB81" s="9">
        <f>Model_Data!F81</f>
        <v/>
      </c>
    </row>
    <row r="82">
      <c r="A82" s="9">
        <f>Model_Data!A82</f>
        <v/>
      </c>
      <c r="B82" s="9">
        <f>0</f>
        <v/>
      </c>
      <c r="C82" s="9">
        <f>((SQRT((Inputs!$C$52+Inputs!$C$5)^2+Inputs!$C$52^2-2*(Inputs!$C$52+Inputs!$C$5)*Inputs!$C$52*COS(SQRT((Model_Data!A82)^2+Inputs!$C$6^2)/Inputs!$C$52))-Inputs!$C$5)*1000/Inputs!$C$12)</f>
        <v/>
      </c>
      <c r="D82" s="9">
        <f>Model_Data!F82</f>
        <v/>
      </c>
      <c r="E82" s="9">
        <f>Model_Data!AC82</f>
        <v/>
      </c>
      <c r="F82" s="10" t="n"/>
      <c r="G82" s="9">
        <f>Model_Data!A82</f>
        <v/>
      </c>
      <c r="H82" s="9">
        <f>Model_Data!Y82</f>
        <v/>
      </c>
      <c r="I82" s="9">
        <f>Model_Data!Y82</f>
        <v/>
      </c>
      <c r="J82" s="9">
        <f>Model_Data!X82</f>
        <v/>
      </c>
      <c r="K82" s="9">
        <f>Model_Data!A82</f>
        <v/>
      </c>
      <c r="L82" s="9">
        <f>Model_Data!Y82</f>
        <v/>
      </c>
      <c r="M82" s="9">
        <f>Model_Data!X82</f>
        <v/>
      </c>
      <c r="N82" s="9">
        <f>-(Model_Data!AC82-Model_Data!F82)*Inputs!$C$12</f>
        <v/>
      </c>
      <c r="O82" s="10" t="n"/>
      <c r="P82" s="9">
        <f>Model_Data!A82</f>
        <v/>
      </c>
      <c r="Q82" s="9">
        <f>Model_Data!P82</f>
        <v/>
      </c>
      <c r="R82" s="9">
        <f>Model_Data!AM82</f>
        <v/>
      </c>
      <c r="S82" s="9">
        <f>Model_Data!Q82</f>
        <v/>
      </c>
      <c r="T82" s="9">
        <f>Model_Data!AN82</f>
        <v/>
      </c>
      <c r="U82" s="10" t="n"/>
      <c r="V82" s="9">
        <f>Model_Data!A82</f>
        <v/>
      </c>
      <c r="W82" s="9">
        <f>Model_Data!B82-Inputs!$C$5</f>
        <v/>
      </c>
      <c r="X82" s="10" t="n"/>
      <c r="Y82" s="9">
        <f>Model_Data!A82</f>
        <v/>
      </c>
      <c r="Z82" s="9">
        <f>0</f>
        <v/>
      </c>
      <c r="AA82" s="9">
        <f>((SQRT((Inputs!$C$52+Inputs!$C$5)^2+Inputs!$C$52^2-2*(Inputs!$C$52+Inputs!$C$5)*Inputs!$C$52*COS(SQRT((Model_Data!A82)^2+Inputs!$C$6^2)/Inputs!$C$52))-Inputs!$C$5)*1000/Inputs!$C$12)</f>
        <v/>
      </c>
      <c r="AB82" s="9">
        <f>Model_Data!F82</f>
        <v/>
      </c>
    </row>
    <row r="83">
      <c r="A83" s="9">
        <f>Model_Data!A83</f>
        <v/>
      </c>
      <c r="B83" s="9">
        <f>0</f>
        <v/>
      </c>
      <c r="C83" s="9">
        <f>((SQRT((Inputs!$C$52+Inputs!$C$5)^2+Inputs!$C$52^2-2*(Inputs!$C$52+Inputs!$C$5)*Inputs!$C$52*COS(SQRT((Model_Data!A83)^2+Inputs!$C$6^2)/Inputs!$C$52))-Inputs!$C$5)*1000/Inputs!$C$12)</f>
        <v/>
      </c>
      <c r="D83" s="9">
        <f>Model_Data!F83</f>
        <v/>
      </c>
      <c r="E83" s="9">
        <f>Model_Data!AC83</f>
        <v/>
      </c>
      <c r="F83" s="10" t="n"/>
      <c r="G83" s="9">
        <f>Model_Data!A83</f>
        <v/>
      </c>
      <c r="H83" s="9">
        <f>Model_Data!Y83</f>
        <v/>
      </c>
      <c r="I83" s="9">
        <f>Model_Data!Y83</f>
        <v/>
      </c>
      <c r="J83" s="9">
        <f>Model_Data!X83</f>
        <v/>
      </c>
      <c r="K83" s="9">
        <f>Model_Data!A83</f>
        <v/>
      </c>
      <c r="L83" s="9">
        <f>Model_Data!Y83</f>
        <v/>
      </c>
      <c r="M83" s="9">
        <f>Model_Data!X83</f>
        <v/>
      </c>
      <c r="N83" s="9">
        <f>-(Model_Data!AC83-Model_Data!F83)*Inputs!$C$12</f>
        <v/>
      </c>
      <c r="O83" s="10" t="n"/>
      <c r="P83" s="9">
        <f>Model_Data!A83</f>
        <v/>
      </c>
      <c r="Q83" s="9">
        <f>Model_Data!P83</f>
        <v/>
      </c>
      <c r="R83" s="9">
        <f>Model_Data!AM83</f>
        <v/>
      </c>
      <c r="S83" s="9">
        <f>Model_Data!Q83</f>
        <v/>
      </c>
      <c r="T83" s="9">
        <f>Model_Data!AN83</f>
        <v/>
      </c>
      <c r="U83" s="10" t="n"/>
      <c r="V83" s="9">
        <f>Model_Data!A83</f>
        <v/>
      </c>
      <c r="W83" s="9">
        <f>Model_Data!B83-Inputs!$C$5</f>
        <v/>
      </c>
      <c r="X83" s="10" t="n"/>
      <c r="Y83" s="9">
        <f>Model_Data!A83</f>
        <v/>
      </c>
      <c r="Z83" s="9">
        <f>0</f>
        <v/>
      </c>
      <c r="AA83" s="9">
        <f>((SQRT((Inputs!$C$52+Inputs!$C$5)^2+Inputs!$C$52^2-2*(Inputs!$C$52+Inputs!$C$5)*Inputs!$C$52*COS(SQRT((Model_Data!A83)^2+Inputs!$C$6^2)/Inputs!$C$52))-Inputs!$C$5)*1000/Inputs!$C$12)</f>
        <v/>
      </c>
      <c r="AB83" s="9">
        <f>Model_Data!F83</f>
        <v/>
      </c>
    </row>
    <row r="84">
      <c r="A84" s="9">
        <f>Model_Data!A84</f>
        <v/>
      </c>
      <c r="B84" s="9">
        <f>0</f>
        <v/>
      </c>
      <c r="C84" s="9">
        <f>((SQRT((Inputs!$C$52+Inputs!$C$5)^2+Inputs!$C$52^2-2*(Inputs!$C$52+Inputs!$C$5)*Inputs!$C$52*COS(SQRT((Model_Data!A84)^2+Inputs!$C$6^2)/Inputs!$C$52))-Inputs!$C$5)*1000/Inputs!$C$12)</f>
        <v/>
      </c>
      <c r="D84" s="9">
        <f>Model_Data!F84</f>
        <v/>
      </c>
      <c r="E84" s="9">
        <f>Model_Data!AC84</f>
        <v/>
      </c>
      <c r="F84" s="10" t="n"/>
      <c r="G84" s="9">
        <f>Model_Data!A84</f>
        <v/>
      </c>
      <c r="H84" s="9">
        <f>Model_Data!Y84</f>
        <v/>
      </c>
      <c r="I84" s="9">
        <f>Model_Data!Y84</f>
        <v/>
      </c>
      <c r="J84" s="9">
        <f>Model_Data!X84</f>
        <v/>
      </c>
      <c r="K84" s="9">
        <f>Model_Data!A84</f>
        <v/>
      </c>
      <c r="L84" s="9">
        <f>Model_Data!Y84</f>
        <v/>
      </c>
      <c r="M84" s="9">
        <f>Model_Data!X84</f>
        <v/>
      </c>
      <c r="N84" s="9">
        <f>-(Model_Data!AC84-Model_Data!F84)*Inputs!$C$12</f>
        <v/>
      </c>
      <c r="O84" s="10" t="n"/>
      <c r="P84" s="9">
        <f>Model_Data!A84</f>
        <v/>
      </c>
      <c r="Q84" s="9">
        <f>Model_Data!P84</f>
        <v/>
      </c>
      <c r="R84" s="9">
        <f>Model_Data!AM84</f>
        <v/>
      </c>
      <c r="S84" s="9">
        <f>Model_Data!Q84</f>
        <v/>
      </c>
      <c r="T84" s="9">
        <f>Model_Data!AN84</f>
        <v/>
      </c>
      <c r="U84" s="10" t="n"/>
      <c r="V84" s="9">
        <f>Model_Data!A84</f>
        <v/>
      </c>
      <c r="W84" s="9">
        <f>Model_Data!B84-Inputs!$C$5</f>
        <v/>
      </c>
      <c r="X84" s="10" t="n"/>
      <c r="Y84" s="9">
        <f>Model_Data!A84</f>
        <v/>
      </c>
      <c r="Z84" s="9">
        <f>0</f>
        <v/>
      </c>
      <c r="AA84" s="9">
        <f>((SQRT((Inputs!$C$52+Inputs!$C$5)^2+Inputs!$C$52^2-2*(Inputs!$C$52+Inputs!$C$5)*Inputs!$C$52*COS(SQRT((Model_Data!A84)^2+Inputs!$C$6^2)/Inputs!$C$52))-Inputs!$C$5)*1000/Inputs!$C$12)</f>
        <v/>
      </c>
      <c r="AB84" s="9">
        <f>Model_Data!F84</f>
        <v/>
      </c>
    </row>
    <row r="85">
      <c r="A85" s="9">
        <f>Model_Data!A85</f>
        <v/>
      </c>
      <c r="B85" s="9">
        <f>0</f>
        <v/>
      </c>
      <c r="C85" s="9">
        <f>((SQRT((Inputs!$C$52+Inputs!$C$5)^2+Inputs!$C$52^2-2*(Inputs!$C$52+Inputs!$C$5)*Inputs!$C$52*COS(SQRT((Model_Data!A85)^2+Inputs!$C$6^2)/Inputs!$C$52))-Inputs!$C$5)*1000/Inputs!$C$12)</f>
        <v/>
      </c>
      <c r="D85" s="9">
        <f>Model_Data!F85</f>
        <v/>
      </c>
      <c r="E85" s="9">
        <f>Model_Data!AC85</f>
        <v/>
      </c>
      <c r="F85" s="10" t="n"/>
      <c r="G85" s="9">
        <f>Model_Data!A85</f>
        <v/>
      </c>
      <c r="H85" s="9">
        <f>Model_Data!Y85</f>
        <v/>
      </c>
      <c r="I85" s="9">
        <f>Model_Data!Y85</f>
        <v/>
      </c>
      <c r="J85" s="9">
        <f>Model_Data!X85</f>
        <v/>
      </c>
      <c r="K85" s="9">
        <f>Model_Data!A85</f>
        <v/>
      </c>
      <c r="L85" s="9">
        <f>Model_Data!Y85</f>
        <v/>
      </c>
      <c r="M85" s="9">
        <f>Model_Data!X85</f>
        <v/>
      </c>
      <c r="N85" s="9">
        <f>-(Model_Data!AC85-Model_Data!F85)*Inputs!$C$12</f>
        <v/>
      </c>
      <c r="O85" s="10" t="n"/>
      <c r="P85" s="9">
        <f>Model_Data!A85</f>
        <v/>
      </c>
      <c r="Q85" s="9">
        <f>Model_Data!P85</f>
        <v/>
      </c>
      <c r="R85" s="9">
        <f>Model_Data!AM85</f>
        <v/>
      </c>
      <c r="S85" s="9">
        <f>Model_Data!Q85</f>
        <v/>
      </c>
      <c r="T85" s="9">
        <f>Model_Data!AN85</f>
        <v/>
      </c>
      <c r="U85" s="10" t="n"/>
      <c r="V85" s="9">
        <f>Model_Data!A85</f>
        <v/>
      </c>
      <c r="W85" s="9">
        <f>Model_Data!B85-Inputs!$C$5</f>
        <v/>
      </c>
      <c r="X85" s="10" t="n"/>
      <c r="Y85" s="9">
        <f>Model_Data!A85</f>
        <v/>
      </c>
      <c r="Z85" s="9">
        <f>0</f>
        <v/>
      </c>
      <c r="AA85" s="9">
        <f>((SQRT((Inputs!$C$52+Inputs!$C$5)^2+Inputs!$C$52^2-2*(Inputs!$C$52+Inputs!$C$5)*Inputs!$C$52*COS(SQRT((Model_Data!A85)^2+Inputs!$C$6^2)/Inputs!$C$52))-Inputs!$C$5)*1000/Inputs!$C$12)</f>
        <v/>
      </c>
      <c r="AB85" s="9">
        <f>Model_Data!F85</f>
        <v/>
      </c>
    </row>
    <row r="86">
      <c r="A86" s="9">
        <f>Model_Data!A86</f>
        <v/>
      </c>
      <c r="B86" s="9">
        <f>0</f>
        <v/>
      </c>
      <c r="C86" s="9">
        <f>((SQRT((Inputs!$C$52+Inputs!$C$5)^2+Inputs!$C$52^2-2*(Inputs!$C$52+Inputs!$C$5)*Inputs!$C$52*COS(SQRT((Model_Data!A86)^2+Inputs!$C$6^2)/Inputs!$C$52))-Inputs!$C$5)*1000/Inputs!$C$12)</f>
        <v/>
      </c>
      <c r="D86" s="9">
        <f>Model_Data!F86</f>
        <v/>
      </c>
      <c r="E86" s="9">
        <f>Model_Data!AC86</f>
        <v/>
      </c>
      <c r="F86" s="10" t="n"/>
      <c r="G86" s="9">
        <f>Model_Data!A86</f>
        <v/>
      </c>
      <c r="H86" s="9">
        <f>Model_Data!Y86</f>
        <v/>
      </c>
      <c r="I86" s="9">
        <f>Model_Data!Y86</f>
        <v/>
      </c>
      <c r="J86" s="9">
        <f>Model_Data!X86</f>
        <v/>
      </c>
      <c r="K86" s="9">
        <f>Model_Data!A86</f>
        <v/>
      </c>
      <c r="L86" s="9">
        <f>Model_Data!Y86</f>
        <v/>
      </c>
      <c r="M86" s="9">
        <f>Model_Data!X86</f>
        <v/>
      </c>
      <c r="N86" s="9">
        <f>-(Model_Data!AC86-Model_Data!F86)*Inputs!$C$12</f>
        <v/>
      </c>
      <c r="O86" s="10" t="n"/>
      <c r="P86" s="9">
        <f>Model_Data!A86</f>
        <v/>
      </c>
      <c r="Q86" s="9">
        <f>Model_Data!P86</f>
        <v/>
      </c>
      <c r="R86" s="9">
        <f>Model_Data!AM86</f>
        <v/>
      </c>
      <c r="S86" s="9">
        <f>Model_Data!Q86</f>
        <v/>
      </c>
      <c r="T86" s="9">
        <f>Model_Data!AN86</f>
        <v/>
      </c>
      <c r="U86" s="10" t="n"/>
      <c r="V86" s="9">
        <f>Model_Data!A86</f>
        <v/>
      </c>
      <c r="W86" s="9">
        <f>Model_Data!B86-Inputs!$C$5</f>
        <v/>
      </c>
      <c r="X86" s="10" t="n"/>
      <c r="Y86" s="9">
        <f>Model_Data!A86</f>
        <v/>
      </c>
      <c r="Z86" s="9">
        <f>0</f>
        <v/>
      </c>
      <c r="AA86" s="9">
        <f>((SQRT((Inputs!$C$52+Inputs!$C$5)^2+Inputs!$C$52^2-2*(Inputs!$C$52+Inputs!$C$5)*Inputs!$C$52*COS(SQRT((Model_Data!A86)^2+Inputs!$C$6^2)/Inputs!$C$52))-Inputs!$C$5)*1000/Inputs!$C$12)</f>
        <v/>
      </c>
      <c r="AB86" s="9">
        <f>Model_Data!F86</f>
        <v/>
      </c>
    </row>
    <row r="87">
      <c r="A87" s="9">
        <f>Model_Data!A87</f>
        <v/>
      </c>
      <c r="B87" s="9">
        <f>0</f>
        <v/>
      </c>
      <c r="C87" s="9">
        <f>((SQRT((Inputs!$C$52+Inputs!$C$5)^2+Inputs!$C$52^2-2*(Inputs!$C$52+Inputs!$C$5)*Inputs!$C$52*COS(SQRT((Model_Data!A87)^2+Inputs!$C$6^2)/Inputs!$C$52))-Inputs!$C$5)*1000/Inputs!$C$12)</f>
        <v/>
      </c>
      <c r="D87" s="9">
        <f>Model_Data!F87</f>
        <v/>
      </c>
      <c r="E87" s="9">
        <f>Model_Data!AC87</f>
        <v/>
      </c>
      <c r="F87" s="10" t="n"/>
      <c r="G87" s="9">
        <f>Model_Data!A87</f>
        <v/>
      </c>
      <c r="H87" s="9">
        <f>Model_Data!Y87</f>
        <v/>
      </c>
      <c r="I87" s="9">
        <f>Model_Data!Y87</f>
        <v/>
      </c>
      <c r="J87" s="9">
        <f>Model_Data!X87</f>
        <v/>
      </c>
      <c r="K87" s="9">
        <f>Model_Data!A87</f>
        <v/>
      </c>
      <c r="L87" s="9">
        <f>Model_Data!Y87</f>
        <v/>
      </c>
      <c r="M87" s="9">
        <f>Model_Data!X87</f>
        <v/>
      </c>
      <c r="N87" s="9">
        <f>-(Model_Data!AC87-Model_Data!F87)*Inputs!$C$12</f>
        <v/>
      </c>
      <c r="O87" s="10" t="n"/>
      <c r="P87" s="9">
        <f>Model_Data!A87</f>
        <v/>
      </c>
      <c r="Q87" s="9">
        <f>Model_Data!P87</f>
        <v/>
      </c>
      <c r="R87" s="9">
        <f>Model_Data!AM87</f>
        <v/>
      </c>
      <c r="S87" s="9">
        <f>Model_Data!Q87</f>
        <v/>
      </c>
      <c r="T87" s="9">
        <f>Model_Data!AN87</f>
        <v/>
      </c>
      <c r="U87" s="10" t="n"/>
      <c r="V87" s="9">
        <f>Model_Data!A87</f>
        <v/>
      </c>
      <c r="W87" s="9">
        <f>Model_Data!B87-Inputs!$C$5</f>
        <v/>
      </c>
      <c r="X87" s="10" t="n"/>
      <c r="Y87" s="9">
        <f>Model_Data!A87</f>
        <v/>
      </c>
      <c r="Z87" s="9">
        <f>0</f>
        <v/>
      </c>
      <c r="AA87" s="9">
        <f>((SQRT((Inputs!$C$52+Inputs!$C$5)^2+Inputs!$C$52^2-2*(Inputs!$C$52+Inputs!$C$5)*Inputs!$C$52*COS(SQRT((Model_Data!A87)^2+Inputs!$C$6^2)/Inputs!$C$52))-Inputs!$C$5)*1000/Inputs!$C$12)</f>
        <v/>
      </c>
      <c r="AB87" s="9">
        <f>Model_Data!F87</f>
        <v/>
      </c>
    </row>
    <row r="88">
      <c r="A88" s="9">
        <f>Model_Data!A88</f>
        <v/>
      </c>
      <c r="B88" s="9">
        <f>0</f>
        <v/>
      </c>
      <c r="C88" s="9">
        <f>((SQRT((Inputs!$C$52+Inputs!$C$5)^2+Inputs!$C$52^2-2*(Inputs!$C$52+Inputs!$C$5)*Inputs!$C$52*COS(SQRT((Model_Data!A88)^2+Inputs!$C$6^2)/Inputs!$C$52))-Inputs!$C$5)*1000/Inputs!$C$12)</f>
        <v/>
      </c>
      <c r="D88" s="9">
        <f>Model_Data!F88</f>
        <v/>
      </c>
      <c r="E88" s="9">
        <f>Model_Data!AC88</f>
        <v/>
      </c>
      <c r="F88" s="10" t="n"/>
      <c r="G88" s="9">
        <f>Model_Data!A88</f>
        <v/>
      </c>
      <c r="H88" s="9">
        <f>Model_Data!Y88</f>
        <v/>
      </c>
      <c r="I88" s="9">
        <f>Model_Data!Y88</f>
        <v/>
      </c>
      <c r="J88" s="9">
        <f>Model_Data!X88</f>
        <v/>
      </c>
      <c r="K88" s="9">
        <f>Model_Data!A88</f>
        <v/>
      </c>
      <c r="L88" s="9">
        <f>Model_Data!Y88</f>
        <v/>
      </c>
      <c r="M88" s="9">
        <f>Model_Data!X88</f>
        <v/>
      </c>
      <c r="N88" s="9">
        <f>-(Model_Data!AC88-Model_Data!F88)*Inputs!$C$12</f>
        <v/>
      </c>
      <c r="O88" s="10" t="n"/>
      <c r="P88" s="9">
        <f>Model_Data!A88</f>
        <v/>
      </c>
      <c r="Q88" s="9">
        <f>Model_Data!P88</f>
        <v/>
      </c>
      <c r="R88" s="9">
        <f>Model_Data!AM88</f>
        <v/>
      </c>
      <c r="S88" s="9">
        <f>Model_Data!Q88</f>
        <v/>
      </c>
      <c r="T88" s="9">
        <f>Model_Data!AN88</f>
        <v/>
      </c>
      <c r="U88" s="10" t="n"/>
      <c r="V88" s="9">
        <f>Model_Data!A88</f>
        <v/>
      </c>
      <c r="W88" s="9">
        <f>Model_Data!B88-Inputs!$C$5</f>
        <v/>
      </c>
      <c r="X88" s="10" t="n"/>
      <c r="Y88" s="9">
        <f>Model_Data!A88</f>
        <v/>
      </c>
      <c r="Z88" s="9">
        <f>0</f>
        <v/>
      </c>
      <c r="AA88" s="9">
        <f>((SQRT((Inputs!$C$52+Inputs!$C$5)^2+Inputs!$C$52^2-2*(Inputs!$C$52+Inputs!$C$5)*Inputs!$C$52*COS(SQRT((Model_Data!A88)^2+Inputs!$C$6^2)/Inputs!$C$52))-Inputs!$C$5)*1000/Inputs!$C$12)</f>
        <v/>
      </c>
      <c r="AB88" s="9">
        <f>Model_Data!F88</f>
        <v/>
      </c>
    </row>
    <row r="89">
      <c r="A89" s="9">
        <f>Model_Data!A89</f>
        <v/>
      </c>
      <c r="B89" s="9">
        <f>0</f>
        <v/>
      </c>
      <c r="C89" s="9">
        <f>((SQRT((Inputs!$C$52+Inputs!$C$5)^2+Inputs!$C$52^2-2*(Inputs!$C$52+Inputs!$C$5)*Inputs!$C$52*COS(SQRT((Model_Data!A89)^2+Inputs!$C$6^2)/Inputs!$C$52))-Inputs!$C$5)*1000/Inputs!$C$12)</f>
        <v/>
      </c>
      <c r="D89" s="9">
        <f>Model_Data!F89</f>
        <v/>
      </c>
      <c r="E89" s="9">
        <f>Model_Data!AC89</f>
        <v/>
      </c>
      <c r="F89" s="10" t="n"/>
      <c r="G89" s="9">
        <f>Model_Data!A89</f>
        <v/>
      </c>
      <c r="H89" s="9">
        <f>Model_Data!Y89</f>
        <v/>
      </c>
      <c r="I89" s="9">
        <f>Model_Data!Y89</f>
        <v/>
      </c>
      <c r="J89" s="9">
        <f>Model_Data!X89</f>
        <v/>
      </c>
      <c r="K89" s="9">
        <f>Model_Data!A89</f>
        <v/>
      </c>
      <c r="L89" s="9">
        <f>Model_Data!Y89</f>
        <v/>
      </c>
      <c r="M89" s="9">
        <f>Model_Data!X89</f>
        <v/>
      </c>
      <c r="N89" s="9">
        <f>-(Model_Data!AC89-Model_Data!F89)*Inputs!$C$12</f>
        <v/>
      </c>
      <c r="O89" s="10" t="n"/>
      <c r="P89" s="9">
        <f>Model_Data!A89</f>
        <v/>
      </c>
      <c r="Q89" s="9">
        <f>Model_Data!P89</f>
        <v/>
      </c>
      <c r="R89" s="9">
        <f>Model_Data!AM89</f>
        <v/>
      </c>
      <c r="S89" s="9">
        <f>Model_Data!Q89</f>
        <v/>
      </c>
      <c r="T89" s="9">
        <f>Model_Data!AN89</f>
        <v/>
      </c>
      <c r="U89" s="10" t="n"/>
      <c r="V89" s="9">
        <f>Model_Data!A89</f>
        <v/>
      </c>
      <c r="W89" s="9">
        <f>Model_Data!B89-Inputs!$C$5</f>
        <v/>
      </c>
      <c r="X89" s="10" t="n"/>
      <c r="Y89" s="9">
        <f>Model_Data!A89</f>
        <v/>
      </c>
      <c r="Z89" s="9">
        <f>0</f>
        <v/>
      </c>
      <c r="AA89" s="9">
        <f>((SQRT((Inputs!$C$52+Inputs!$C$5)^2+Inputs!$C$52^2-2*(Inputs!$C$52+Inputs!$C$5)*Inputs!$C$52*COS(SQRT((Model_Data!A89)^2+Inputs!$C$6^2)/Inputs!$C$52))-Inputs!$C$5)*1000/Inputs!$C$12)</f>
        <v/>
      </c>
      <c r="AB89" s="9">
        <f>Model_Data!F89</f>
        <v/>
      </c>
    </row>
    <row r="90">
      <c r="A90" s="9">
        <f>Model_Data!A90</f>
        <v/>
      </c>
      <c r="B90" s="9">
        <f>0</f>
        <v/>
      </c>
      <c r="C90" s="9">
        <f>((SQRT((Inputs!$C$52+Inputs!$C$5)^2+Inputs!$C$52^2-2*(Inputs!$C$52+Inputs!$C$5)*Inputs!$C$52*COS(SQRT((Model_Data!A90)^2+Inputs!$C$6^2)/Inputs!$C$52))-Inputs!$C$5)*1000/Inputs!$C$12)</f>
        <v/>
      </c>
      <c r="D90" s="9">
        <f>Model_Data!F90</f>
        <v/>
      </c>
      <c r="E90" s="9">
        <f>Model_Data!AC90</f>
        <v/>
      </c>
      <c r="F90" s="10" t="n"/>
      <c r="G90" s="9">
        <f>Model_Data!A90</f>
        <v/>
      </c>
      <c r="H90" s="9">
        <f>Model_Data!Y90</f>
        <v/>
      </c>
      <c r="I90" s="9">
        <f>Model_Data!Y90</f>
        <v/>
      </c>
      <c r="J90" s="9">
        <f>Model_Data!X90</f>
        <v/>
      </c>
      <c r="K90" s="9">
        <f>Model_Data!A90</f>
        <v/>
      </c>
      <c r="L90" s="9">
        <f>Model_Data!Y90</f>
        <v/>
      </c>
      <c r="M90" s="9">
        <f>Model_Data!X90</f>
        <v/>
      </c>
      <c r="N90" s="9">
        <f>-(Model_Data!AC90-Model_Data!F90)*Inputs!$C$12</f>
        <v/>
      </c>
      <c r="O90" s="10" t="n"/>
      <c r="P90" s="9">
        <f>Model_Data!A90</f>
        <v/>
      </c>
      <c r="Q90" s="9">
        <f>Model_Data!P90</f>
        <v/>
      </c>
      <c r="R90" s="9">
        <f>Model_Data!AM90</f>
        <v/>
      </c>
      <c r="S90" s="9">
        <f>Model_Data!Q90</f>
        <v/>
      </c>
      <c r="T90" s="9">
        <f>Model_Data!AN90</f>
        <v/>
      </c>
      <c r="U90" s="10" t="n"/>
      <c r="V90" s="9">
        <f>Model_Data!A90</f>
        <v/>
      </c>
      <c r="W90" s="9">
        <f>Model_Data!B90-Inputs!$C$5</f>
        <v/>
      </c>
      <c r="X90" s="10" t="n"/>
      <c r="Y90" s="9">
        <f>Model_Data!A90</f>
        <v/>
      </c>
      <c r="Z90" s="9">
        <f>0</f>
        <v/>
      </c>
      <c r="AA90" s="9">
        <f>((SQRT((Inputs!$C$52+Inputs!$C$5)^2+Inputs!$C$52^2-2*(Inputs!$C$52+Inputs!$C$5)*Inputs!$C$52*COS(SQRT((Model_Data!A90)^2+Inputs!$C$6^2)/Inputs!$C$52))-Inputs!$C$5)*1000/Inputs!$C$12)</f>
        <v/>
      </c>
      <c r="AB90" s="9">
        <f>Model_Data!F90</f>
        <v/>
      </c>
    </row>
    <row r="91">
      <c r="A91" s="9">
        <f>Model_Data!A91</f>
        <v/>
      </c>
      <c r="B91" s="9">
        <f>0</f>
        <v/>
      </c>
      <c r="C91" s="9">
        <f>((SQRT((Inputs!$C$52+Inputs!$C$5)^2+Inputs!$C$52^2-2*(Inputs!$C$52+Inputs!$C$5)*Inputs!$C$52*COS(SQRT((Model_Data!A91)^2+Inputs!$C$6^2)/Inputs!$C$52))-Inputs!$C$5)*1000/Inputs!$C$12)</f>
        <v/>
      </c>
      <c r="D91" s="9">
        <f>Model_Data!F91</f>
        <v/>
      </c>
      <c r="E91" s="9">
        <f>Model_Data!AC91</f>
        <v/>
      </c>
      <c r="F91" s="10" t="n"/>
      <c r="G91" s="9">
        <f>Model_Data!A91</f>
        <v/>
      </c>
      <c r="H91" s="9">
        <f>Model_Data!Y91</f>
        <v/>
      </c>
      <c r="I91" s="9">
        <f>Model_Data!Y91</f>
        <v/>
      </c>
      <c r="J91" s="9">
        <f>Model_Data!X91</f>
        <v/>
      </c>
      <c r="K91" s="9">
        <f>Model_Data!A91</f>
        <v/>
      </c>
      <c r="L91" s="9">
        <f>Model_Data!Y91</f>
        <v/>
      </c>
      <c r="M91" s="9">
        <f>Model_Data!X91</f>
        <v/>
      </c>
      <c r="N91" s="9">
        <f>-(Model_Data!AC91-Model_Data!F91)*Inputs!$C$12</f>
        <v/>
      </c>
      <c r="O91" s="10" t="n"/>
      <c r="P91" s="9">
        <f>Model_Data!A91</f>
        <v/>
      </c>
      <c r="Q91" s="9">
        <f>Model_Data!P91</f>
        <v/>
      </c>
      <c r="R91" s="9">
        <f>Model_Data!AM91</f>
        <v/>
      </c>
      <c r="S91" s="9">
        <f>Model_Data!Q91</f>
        <v/>
      </c>
      <c r="T91" s="9">
        <f>Model_Data!AN91</f>
        <v/>
      </c>
      <c r="U91" s="10" t="n"/>
      <c r="V91" s="9">
        <f>Model_Data!A91</f>
        <v/>
      </c>
      <c r="W91" s="9">
        <f>Model_Data!B91-Inputs!$C$5</f>
        <v/>
      </c>
      <c r="X91" s="10" t="n"/>
      <c r="Y91" s="9">
        <f>Model_Data!A91</f>
        <v/>
      </c>
      <c r="Z91" s="9">
        <f>0</f>
        <v/>
      </c>
      <c r="AA91" s="9">
        <f>((SQRT((Inputs!$C$52+Inputs!$C$5)^2+Inputs!$C$52^2-2*(Inputs!$C$52+Inputs!$C$5)*Inputs!$C$52*COS(SQRT((Model_Data!A91)^2+Inputs!$C$6^2)/Inputs!$C$52))-Inputs!$C$5)*1000/Inputs!$C$12)</f>
        <v/>
      </c>
      <c r="AB91" s="9">
        <f>Model_Data!F91</f>
        <v/>
      </c>
    </row>
    <row r="92">
      <c r="A92" s="9">
        <f>Model_Data!A92</f>
        <v/>
      </c>
      <c r="B92" s="9">
        <f>0</f>
        <v/>
      </c>
      <c r="C92" s="9">
        <f>((SQRT((Inputs!$C$52+Inputs!$C$5)^2+Inputs!$C$52^2-2*(Inputs!$C$52+Inputs!$C$5)*Inputs!$C$52*COS(SQRT((Model_Data!A92)^2+Inputs!$C$6^2)/Inputs!$C$52))-Inputs!$C$5)*1000/Inputs!$C$12)</f>
        <v/>
      </c>
      <c r="D92" s="9">
        <f>Model_Data!F92</f>
        <v/>
      </c>
      <c r="E92" s="9">
        <f>Model_Data!AC92</f>
        <v/>
      </c>
      <c r="F92" s="10" t="n"/>
      <c r="G92" s="9">
        <f>Model_Data!A92</f>
        <v/>
      </c>
      <c r="H92" s="9">
        <f>Model_Data!Y92</f>
        <v/>
      </c>
      <c r="I92" s="9">
        <f>Model_Data!Y92</f>
        <v/>
      </c>
      <c r="J92" s="9">
        <f>Model_Data!X92</f>
        <v/>
      </c>
      <c r="K92" s="9">
        <f>Model_Data!A92</f>
        <v/>
      </c>
      <c r="L92" s="9">
        <f>Model_Data!Y92</f>
        <v/>
      </c>
      <c r="M92" s="9">
        <f>Model_Data!X92</f>
        <v/>
      </c>
      <c r="N92" s="9">
        <f>-(Model_Data!AC92-Model_Data!F92)*Inputs!$C$12</f>
        <v/>
      </c>
      <c r="O92" s="10" t="n"/>
      <c r="P92" s="9">
        <f>Model_Data!A92</f>
        <v/>
      </c>
      <c r="Q92" s="9">
        <f>Model_Data!P92</f>
        <v/>
      </c>
      <c r="R92" s="9">
        <f>Model_Data!AM92</f>
        <v/>
      </c>
      <c r="S92" s="9">
        <f>Model_Data!Q92</f>
        <v/>
      </c>
      <c r="T92" s="9">
        <f>Model_Data!AN92</f>
        <v/>
      </c>
      <c r="U92" s="10" t="n"/>
      <c r="V92" s="9">
        <f>Model_Data!A92</f>
        <v/>
      </c>
      <c r="W92" s="9">
        <f>Model_Data!B92-Inputs!$C$5</f>
        <v/>
      </c>
      <c r="X92" s="10" t="n"/>
      <c r="Y92" s="9">
        <f>Model_Data!A92</f>
        <v/>
      </c>
      <c r="Z92" s="9">
        <f>0</f>
        <v/>
      </c>
      <c r="AA92" s="9">
        <f>((SQRT((Inputs!$C$52+Inputs!$C$5)^2+Inputs!$C$52^2-2*(Inputs!$C$52+Inputs!$C$5)*Inputs!$C$52*COS(SQRT((Model_Data!A92)^2+Inputs!$C$6^2)/Inputs!$C$52))-Inputs!$C$5)*1000/Inputs!$C$12)</f>
        <v/>
      </c>
      <c r="AB92" s="9">
        <f>Model_Data!F92</f>
        <v/>
      </c>
    </row>
    <row r="93">
      <c r="A93" s="9">
        <f>Model_Data!A93</f>
        <v/>
      </c>
      <c r="B93" s="9">
        <f>0</f>
        <v/>
      </c>
      <c r="C93" s="9">
        <f>((SQRT((Inputs!$C$52+Inputs!$C$5)^2+Inputs!$C$52^2-2*(Inputs!$C$52+Inputs!$C$5)*Inputs!$C$52*COS(SQRT((Model_Data!A93)^2+Inputs!$C$6^2)/Inputs!$C$52))-Inputs!$C$5)*1000/Inputs!$C$12)</f>
        <v/>
      </c>
      <c r="D93" s="9">
        <f>Model_Data!F93</f>
        <v/>
      </c>
      <c r="E93" s="9">
        <f>Model_Data!AC93</f>
        <v/>
      </c>
      <c r="F93" s="10" t="n"/>
      <c r="G93" s="9">
        <f>Model_Data!A93</f>
        <v/>
      </c>
      <c r="H93" s="9">
        <f>Model_Data!Y93</f>
        <v/>
      </c>
      <c r="I93" s="9">
        <f>Model_Data!Y93</f>
        <v/>
      </c>
      <c r="J93" s="9">
        <f>Model_Data!X93</f>
        <v/>
      </c>
      <c r="K93" s="9">
        <f>Model_Data!A93</f>
        <v/>
      </c>
      <c r="L93" s="9">
        <f>Model_Data!Y93</f>
        <v/>
      </c>
      <c r="M93" s="9">
        <f>Model_Data!X93</f>
        <v/>
      </c>
      <c r="N93" s="9">
        <f>-(Model_Data!AC93-Model_Data!F93)*Inputs!$C$12</f>
        <v/>
      </c>
      <c r="O93" s="10" t="n"/>
      <c r="P93" s="9">
        <f>Model_Data!A93</f>
        <v/>
      </c>
      <c r="Q93" s="9">
        <f>Model_Data!P93</f>
        <v/>
      </c>
      <c r="R93" s="9">
        <f>Model_Data!AM93</f>
        <v/>
      </c>
      <c r="S93" s="9">
        <f>Model_Data!Q93</f>
        <v/>
      </c>
      <c r="T93" s="9">
        <f>Model_Data!AN93</f>
        <v/>
      </c>
      <c r="U93" s="10" t="n"/>
      <c r="V93" s="9">
        <f>Model_Data!A93</f>
        <v/>
      </c>
      <c r="W93" s="9">
        <f>Model_Data!B93-Inputs!$C$5</f>
        <v/>
      </c>
      <c r="X93" s="10" t="n"/>
      <c r="Y93" s="9">
        <f>Model_Data!A93</f>
        <v/>
      </c>
      <c r="Z93" s="9">
        <f>0</f>
        <v/>
      </c>
      <c r="AA93" s="9">
        <f>((SQRT((Inputs!$C$52+Inputs!$C$5)^2+Inputs!$C$52^2-2*(Inputs!$C$52+Inputs!$C$5)*Inputs!$C$52*COS(SQRT((Model_Data!A93)^2+Inputs!$C$6^2)/Inputs!$C$52))-Inputs!$C$5)*1000/Inputs!$C$12)</f>
        <v/>
      </c>
      <c r="AB93" s="9">
        <f>Model_Data!F93</f>
        <v/>
      </c>
    </row>
    <row r="94">
      <c r="A94" s="9">
        <f>Model_Data!A94</f>
        <v/>
      </c>
      <c r="B94" s="9">
        <f>0</f>
        <v/>
      </c>
      <c r="C94" s="9">
        <f>((SQRT((Inputs!$C$52+Inputs!$C$5)^2+Inputs!$C$52^2-2*(Inputs!$C$52+Inputs!$C$5)*Inputs!$C$52*COS(SQRT((Model_Data!A94)^2+Inputs!$C$6^2)/Inputs!$C$52))-Inputs!$C$5)*1000/Inputs!$C$12)</f>
        <v/>
      </c>
      <c r="D94" s="9">
        <f>Model_Data!F94</f>
        <v/>
      </c>
      <c r="E94" s="9">
        <f>Model_Data!AC94</f>
        <v/>
      </c>
      <c r="F94" s="10" t="n"/>
      <c r="G94" s="9">
        <f>Model_Data!A94</f>
        <v/>
      </c>
      <c r="H94" s="9">
        <f>Model_Data!Y94</f>
        <v/>
      </c>
      <c r="I94" s="9">
        <f>Model_Data!Y94</f>
        <v/>
      </c>
      <c r="J94" s="9">
        <f>Model_Data!X94</f>
        <v/>
      </c>
      <c r="K94" s="9">
        <f>Model_Data!A94</f>
        <v/>
      </c>
      <c r="L94" s="9">
        <f>Model_Data!Y94</f>
        <v/>
      </c>
      <c r="M94" s="9">
        <f>Model_Data!X94</f>
        <v/>
      </c>
      <c r="N94" s="9">
        <f>-(Model_Data!AC94-Model_Data!F94)*Inputs!$C$12</f>
        <v/>
      </c>
      <c r="O94" s="10" t="n"/>
      <c r="P94" s="9">
        <f>Model_Data!A94</f>
        <v/>
      </c>
      <c r="Q94" s="9">
        <f>Model_Data!P94</f>
        <v/>
      </c>
      <c r="R94" s="9">
        <f>Model_Data!AM94</f>
        <v/>
      </c>
      <c r="S94" s="9">
        <f>Model_Data!Q94</f>
        <v/>
      </c>
      <c r="T94" s="9">
        <f>Model_Data!AN94</f>
        <v/>
      </c>
      <c r="U94" s="10" t="n"/>
      <c r="V94" s="9">
        <f>Model_Data!A94</f>
        <v/>
      </c>
      <c r="W94" s="9">
        <f>Model_Data!B94-Inputs!$C$5</f>
        <v/>
      </c>
      <c r="X94" s="10" t="n"/>
      <c r="Y94" s="9">
        <f>Model_Data!A94</f>
        <v/>
      </c>
      <c r="Z94" s="9">
        <f>0</f>
        <v/>
      </c>
      <c r="AA94" s="9">
        <f>((SQRT((Inputs!$C$52+Inputs!$C$5)^2+Inputs!$C$52^2-2*(Inputs!$C$52+Inputs!$C$5)*Inputs!$C$52*COS(SQRT((Model_Data!A94)^2+Inputs!$C$6^2)/Inputs!$C$52))-Inputs!$C$5)*1000/Inputs!$C$12)</f>
        <v/>
      </c>
      <c r="AB94" s="9">
        <f>Model_Data!F94</f>
        <v/>
      </c>
    </row>
    <row r="95">
      <c r="A95" s="9">
        <f>Model_Data!A95</f>
        <v/>
      </c>
      <c r="B95" s="9">
        <f>0</f>
        <v/>
      </c>
      <c r="C95" s="9">
        <f>((SQRT((Inputs!$C$52+Inputs!$C$5)^2+Inputs!$C$52^2-2*(Inputs!$C$52+Inputs!$C$5)*Inputs!$C$52*COS(SQRT((Model_Data!A95)^2+Inputs!$C$6^2)/Inputs!$C$52))-Inputs!$C$5)*1000/Inputs!$C$12)</f>
        <v/>
      </c>
      <c r="D95" s="9">
        <f>Model_Data!F95</f>
        <v/>
      </c>
      <c r="E95" s="9">
        <f>Model_Data!AC95</f>
        <v/>
      </c>
      <c r="F95" s="10" t="n"/>
      <c r="G95" s="9">
        <f>Model_Data!A95</f>
        <v/>
      </c>
      <c r="H95" s="9">
        <f>Model_Data!Y95</f>
        <v/>
      </c>
      <c r="I95" s="9">
        <f>Model_Data!Y95</f>
        <v/>
      </c>
      <c r="J95" s="9">
        <f>Model_Data!X95</f>
        <v/>
      </c>
      <c r="K95" s="9">
        <f>Model_Data!A95</f>
        <v/>
      </c>
      <c r="L95" s="9">
        <f>Model_Data!Y95</f>
        <v/>
      </c>
      <c r="M95" s="9">
        <f>Model_Data!X95</f>
        <v/>
      </c>
      <c r="N95" s="9">
        <f>-(Model_Data!AC95-Model_Data!F95)*Inputs!$C$12</f>
        <v/>
      </c>
      <c r="O95" s="10" t="n"/>
      <c r="P95" s="9">
        <f>Model_Data!A95</f>
        <v/>
      </c>
      <c r="Q95" s="9">
        <f>Model_Data!P95</f>
        <v/>
      </c>
      <c r="R95" s="9">
        <f>Model_Data!AM95</f>
        <v/>
      </c>
      <c r="S95" s="9">
        <f>Model_Data!Q95</f>
        <v/>
      </c>
      <c r="T95" s="9">
        <f>Model_Data!AN95</f>
        <v/>
      </c>
      <c r="U95" s="10" t="n"/>
      <c r="V95" s="9">
        <f>Model_Data!A95</f>
        <v/>
      </c>
      <c r="W95" s="9">
        <f>Model_Data!B95-Inputs!$C$5</f>
        <v/>
      </c>
      <c r="X95" s="10" t="n"/>
      <c r="Y95" s="9">
        <f>Model_Data!A95</f>
        <v/>
      </c>
      <c r="Z95" s="9">
        <f>0</f>
        <v/>
      </c>
      <c r="AA95" s="9">
        <f>((SQRT((Inputs!$C$52+Inputs!$C$5)^2+Inputs!$C$52^2-2*(Inputs!$C$52+Inputs!$C$5)*Inputs!$C$52*COS(SQRT((Model_Data!A95)^2+Inputs!$C$6^2)/Inputs!$C$52))-Inputs!$C$5)*1000/Inputs!$C$12)</f>
        <v/>
      </c>
      <c r="AB95" s="9">
        <f>Model_Data!F95</f>
        <v/>
      </c>
    </row>
    <row r="96">
      <c r="A96" s="9">
        <f>Model_Data!A96</f>
        <v/>
      </c>
      <c r="B96" s="9">
        <f>0</f>
        <v/>
      </c>
      <c r="C96" s="9">
        <f>((SQRT((Inputs!$C$52+Inputs!$C$5)^2+Inputs!$C$52^2-2*(Inputs!$C$52+Inputs!$C$5)*Inputs!$C$52*COS(SQRT((Model_Data!A96)^2+Inputs!$C$6^2)/Inputs!$C$52))-Inputs!$C$5)*1000/Inputs!$C$12)</f>
        <v/>
      </c>
      <c r="D96" s="9">
        <f>Model_Data!F96</f>
        <v/>
      </c>
      <c r="E96" s="9">
        <f>Model_Data!AC96</f>
        <v/>
      </c>
      <c r="F96" s="10" t="n"/>
      <c r="G96" s="9">
        <f>Model_Data!A96</f>
        <v/>
      </c>
      <c r="H96" s="9">
        <f>Model_Data!Y96</f>
        <v/>
      </c>
      <c r="I96" s="9">
        <f>Model_Data!Y96</f>
        <v/>
      </c>
      <c r="J96" s="9">
        <f>Model_Data!X96</f>
        <v/>
      </c>
      <c r="K96" s="9">
        <f>Model_Data!A96</f>
        <v/>
      </c>
      <c r="L96" s="9">
        <f>Model_Data!Y96</f>
        <v/>
      </c>
      <c r="M96" s="9">
        <f>Model_Data!X96</f>
        <v/>
      </c>
      <c r="N96" s="9">
        <f>-(Model_Data!AC96-Model_Data!F96)*Inputs!$C$12</f>
        <v/>
      </c>
      <c r="O96" s="10" t="n"/>
      <c r="P96" s="9">
        <f>Model_Data!A96</f>
        <v/>
      </c>
      <c r="Q96" s="9">
        <f>Model_Data!P96</f>
        <v/>
      </c>
      <c r="R96" s="9">
        <f>Model_Data!AM96</f>
        <v/>
      </c>
      <c r="S96" s="9">
        <f>Model_Data!Q96</f>
        <v/>
      </c>
      <c r="T96" s="9">
        <f>Model_Data!AN96</f>
        <v/>
      </c>
      <c r="U96" s="10" t="n"/>
      <c r="V96" s="9">
        <f>Model_Data!A96</f>
        <v/>
      </c>
      <c r="W96" s="9">
        <f>Model_Data!B96-Inputs!$C$5</f>
        <v/>
      </c>
      <c r="X96" s="10" t="n"/>
      <c r="Y96" s="9">
        <f>Model_Data!A96</f>
        <v/>
      </c>
      <c r="Z96" s="9">
        <f>0</f>
        <v/>
      </c>
      <c r="AA96" s="9">
        <f>((SQRT((Inputs!$C$52+Inputs!$C$5)^2+Inputs!$C$52^2-2*(Inputs!$C$52+Inputs!$C$5)*Inputs!$C$52*COS(SQRT((Model_Data!A96)^2+Inputs!$C$6^2)/Inputs!$C$52))-Inputs!$C$5)*1000/Inputs!$C$12)</f>
        <v/>
      </c>
      <c r="AB96" s="9">
        <f>Model_Data!F96</f>
        <v/>
      </c>
    </row>
    <row r="97">
      <c r="A97" s="9">
        <f>Model_Data!A97</f>
        <v/>
      </c>
      <c r="B97" s="9">
        <f>0</f>
        <v/>
      </c>
      <c r="C97" s="9">
        <f>((SQRT((Inputs!$C$52+Inputs!$C$5)^2+Inputs!$C$52^2-2*(Inputs!$C$52+Inputs!$C$5)*Inputs!$C$52*COS(SQRT((Model_Data!A97)^2+Inputs!$C$6^2)/Inputs!$C$52))-Inputs!$C$5)*1000/Inputs!$C$12)</f>
        <v/>
      </c>
      <c r="D97" s="9">
        <f>Model_Data!F97</f>
        <v/>
      </c>
      <c r="E97" s="9">
        <f>Model_Data!AC97</f>
        <v/>
      </c>
      <c r="F97" s="10" t="n"/>
      <c r="G97" s="9">
        <f>Model_Data!A97</f>
        <v/>
      </c>
      <c r="H97" s="9">
        <f>Model_Data!Y97</f>
        <v/>
      </c>
      <c r="I97" s="9">
        <f>Model_Data!Y97</f>
        <v/>
      </c>
      <c r="J97" s="9">
        <f>Model_Data!X97</f>
        <v/>
      </c>
      <c r="K97" s="9">
        <f>Model_Data!A97</f>
        <v/>
      </c>
      <c r="L97" s="9">
        <f>Model_Data!Y97</f>
        <v/>
      </c>
      <c r="M97" s="9">
        <f>Model_Data!X97</f>
        <v/>
      </c>
      <c r="N97" s="9">
        <f>-(Model_Data!AC97-Model_Data!F97)*Inputs!$C$12</f>
        <v/>
      </c>
      <c r="O97" s="10" t="n"/>
      <c r="P97" s="9">
        <f>Model_Data!A97</f>
        <v/>
      </c>
      <c r="Q97" s="9">
        <f>Model_Data!P97</f>
        <v/>
      </c>
      <c r="R97" s="9">
        <f>Model_Data!AM97</f>
        <v/>
      </c>
      <c r="S97" s="9">
        <f>Model_Data!Q97</f>
        <v/>
      </c>
      <c r="T97" s="9">
        <f>Model_Data!AN97</f>
        <v/>
      </c>
      <c r="U97" s="10" t="n"/>
      <c r="V97" s="9">
        <f>Model_Data!A97</f>
        <v/>
      </c>
      <c r="W97" s="9">
        <f>Model_Data!B97-Inputs!$C$5</f>
        <v/>
      </c>
      <c r="X97" s="10" t="n"/>
      <c r="Y97" s="9">
        <f>Model_Data!A97</f>
        <v/>
      </c>
      <c r="Z97" s="9">
        <f>0</f>
        <v/>
      </c>
      <c r="AA97" s="9">
        <f>((SQRT((Inputs!$C$52+Inputs!$C$5)^2+Inputs!$C$52^2-2*(Inputs!$C$52+Inputs!$C$5)*Inputs!$C$52*COS(SQRT((Model_Data!A97)^2+Inputs!$C$6^2)/Inputs!$C$52))-Inputs!$C$5)*1000/Inputs!$C$12)</f>
        <v/>
      </c>
      <c r="AB97" s="9">
        <f>Model_Data!F97</f>
        <v/>
      </c>
    </row>
    <row r="98">
      <c r="A98" s="9">
        <f>Model_Data!A98</f>
        <v/>
      </c>
      <c r="B98" s="9">
        <f>0</f>
        <v/>
      </c>
      <c r="C98" s="9">
        <f>((SQRT((Inputs!$C$52+Inputs!$C$5)^2+Inputs!$C$52^2-2*(Inputs!$C$52+Inputs!$C$5)*Inputs!$C$52*COS(SQRT((Model_Data!A98)^2+Inputs!$C$6^2)/Inputs!$C$52))-Inputs!$C$5)*1000/Inputs!$C$12)</f>
        <v/>
      </c>
      <c r="D98" s="9">
        <f>Model_Data!F98</f>
        <v/>
      </c>
      <c r="E98" s="9">
        <f>Model_Data!AC98</f>
        <v/>
      </c>
      <c r="F98" s="10" t="n"/>
      <c r="G98" s="9">
        <f>Model_Data!A98</f>
        <v/>
      </c>
      <c r="H98" s="9">
        <f>Model_Data!Y98</f>
        <v/>
      </c>
      <c r="I98" s="9">
        <f>Model_Data!Y98</f>
        <v/>
      </c>
      <c r="J98" s="9">
        <f>Model_Data!X98</f>
        <v/>
      </c>
      <c r="K98" s="9">
        <f>Model_Data!A98</f>
        <v/>
      </c>
      <c r="L98" s="9">
        <f>Model_Data!Y98</f>
        <v/>
      </c>
      <c r="M98" s="9">
        <f>Model_Data!X98</f>
        <v/>
      </c>
      <c r="N98" s="9">
        <f>-(Model_Data!AC98-Model_Data!F98)*Inputs!$C$12</f>
        <v/>
      </c>
      <c r="O98" s="10" t="n"/>
      <c r="P98" s="9">
        <f>Model_Data!A98</f>
        <v/>
      </c>
      <c r="Q98" s="9">
        <f>Model_Data!P98</f>
        <v/>
      </c>
      <c r="R98" s="9">
        <f>Model_Data!AM98</f>
        <v/>
      </c>
      <c r="S98" s="9">
        <f>Model_Data!Q98</f>
        <v/>
      </c>
      <c r="T98" s="9">
        <f>Model_Data!AN98</f>
        <v/>
      </c>
      <c r="U98" s="10" t="n"/>
      <c r="V98" s="9">
        <f>Model_Data!A98</f>
        <v/>
      </c>
      <c r="W98" s="9">
        <f>Model_Data!B98-Inputs!$C$5</f>
        <v/>
      </c>
      <c r="X98" s="10" t="n"/>
      <c r="Y98" s="9">
        <f>Model_Data!A98</f>
        <v/>
      </c>
      <c r="Z98" s="9">
        <f>0</f>
        <v/>
      </c>
      <c r="AA98" s="9">
        <f>((SQRT((Inputs!$C$52+Inputs!$C$5)^2+Inputs!$C$52^2-2*(Inputs!$C$52+Inputs!$C$5)*Inputs!$C$52*COS(SQRT((Model_Data!A98)^2+Inputs!$C$6^2)/Inputs!$C$52))-Inputs!$C$5)*1000/Inputs!$C$12)</f>
        <v/>
      </c>
      <c r="AB98" s="9">
        <f>Model_Data!F98</f>
        <v/>
      </c>
    </row>
    <row r="99">
      <c r="A99" s="9">
        <f>Model_Data!A99</f>
        <v/>
      </c>
      <c r="B99" s="9">
        <f>0</f>
        <v/>
      </c>
      <c r="C99" s="9">
        <f>((SQRT((Inputs!$C$52+Inputs!$C$5)^2+Inputs!$C$52^2-2*(Inputs!$C$52+Inputs!$C$5)*Inputs!$C$52*COS(SQRT((Model_Data!A99)^2+Inputs!$C$6^2)/Inputs!$C$52))-Inputs!$C$5)*1000/Inputs!$C$12)</f>
        <v/>
      </c>
      <c r="D99" s="9">
        <f>Model_Data!F99</f>
        <v/>
      </c>
      <c r="E99" s="9">
        <f>Model_Data!AC99</f>
        <v/>
      </c>
      <c r="F99" s="10" t="n"/>
      <c r="G99" s="9">
        <f>Model_Data!A99</f>
        <v/>
      </c>
      <c r="H99" s="9">
        <f>Model_Data!Y99</f>
        <v/>
      </c>
      <c r="I99" s="9">
        <f>Model_Data!Y99</f>
        <v/>
      </c>
      <c r="J99" s="9">
        <f>Model_Data!X99</f>
        <v/>
      </c>
      <c r="K99" s="9">
        <f>Model_Data!A99</f>
        <v/>
      </c>
      <c r="L99" s="9">
        <f>Model_Data!Y99</f>
        <v/>
      </c>
      <c r="M99" s="9">
        <f>Model_Data!X99</f>
        <v/>
      </c>
      <c r="N99" s="9">
        <f>-(Model_Data!AC99-Model_Data!F99)*Inputs!$C$12</f>
        <v/>
      </c>
      <c r="O99" s="10" t="n"/>
      <c r="P99" s="9">
        <f>Model_Data!A99</f>
        <v/>
      </c>
      <c r="Q99" s="9">
        <f>Model_Data!P99</f>
        <v/>
      </c>
      <c r="R99" s="9">
        <f>Model_Data!AM99</f>
        <v/>
      </c>
      <c r="S99" s="9">
        <f>Model_Data!Q99</f>
        <v/>
      </c>
      <c r="T99" s="9">
        <f>Model_Data!AN99</f>
        <v/>
      </c>
      <c r="U99" s="10" t="n"/>
      <c r="V99" s="9">
        <f>Model_Data!A99</f>
        <v/>
      </c>
      <c r="W99" s="9">
        <f>Model_Data!B99-Inputs!$C$5</f>
        <v/>
      </c>
      <c r="X99" s="10" t="n"/>
      <c r="Y99" s="9">
        <f>Model_Data!A99</f>
        <v/>
      </c>
      <c r="Z99" s="9">
        <f>0</f>
        <v/>
      </c>
      <c r="AA99" s="9">
        <f>((SQRT((Inputs!$C$52+Inputs!$C$5)^2+Inputs!$C$52^2-2*(Inputs!$C$52+Inputs!$C$5)*Inputs!$C$52*COS(SQRT((Model_Data!A99)^2+Inputs!$C$6^2)/Inputs!$C$52))-Inputs!$C$5)*1000/Inputs!$C$12)</f>
        <v/>
      </c>
      <c r="AB99" s="9">
        <f>Model_Data!F99</f>
        <v/>
      </c>
    </row>
    <row r="100">
      <c r="A100" s="9">
        <f>Model_Data!A100</f>
        <v/>
      </c>
      <c r="B100" s="9">
        <f>0</f>
        <v/>
      </c>
      <c r="C100" s="9">
        <f>((SQRT((Inputs!$C$52+Inputs!$C$5)^2+Inputs!$C$52^2-2*(Inputs!$C$52+Inputs!$C$5)*Inputs!$C$52*COS(SQRT((Model_Data!A100)^2+Inputs!$C$6^2)/Inputs!$C$52))-Inputs!$C$5)*1000/Inputs!$C$12)</f>
        <v/>
      </c>
      <c r="D100" s="9">
        <f>Model_Data!F100</f>
        <v/>
      </c>
      <c r="E100" s="9">
        <f>Model_Data!AC100</f>
        <v/>
      </c>
      <c r="F100" s="10" t="n"/>
      <c r="G100" s="9">
        <f>Model_Data!A100</f>
        <v/>
      </c>
      <c r="H100" s="9">
        <f>Model_Data!Y100</f>
        <v/>
      </c>
      <c r="I100" s="9">
        <f>Model_Data!Y100</f>
        <v/>
      </c>
      <c r="J100" s="9">
        <f>Model_Data!X100</f>
        <v/>
      </c>
      <c r="K100" s="9">
        <f>Model_Data!A100</f>
        <v/>
      </c>
      <c r="L100" s="9">
        <f>Model_Data!Y100</f>
        <v/>
      </c>
      <c r="M100" s="9">
        <f>Model_Data!X100</f>
        <v/>
      </c>
      <c r="N100" s="9">
        <f>-(Model_Data!AC100-Model_Data!F100)*Inputs!$C$12</f>
        <v/>
      </c>
      <c r="O100" s="10" t="n"/>
      <c r="P100" s="9">
        <f>Model_Data!A100</f>
        <v/>
      </c>
      <c r="Q100" s="9">
        <f>Model_Data!P100</f>
        <v/>
      </c>
      <c r="R100" s="9">
        <f>Model_Data!AM100</f>
        <v/>
      </c>
      <c r="S100" s="9">
        <f>Model_Data!Q100</f>
        <v/>
      </c>
      <c r="T100" s="9">
        <f>Model_Data!AN100</f>
        <v/>
      </c>
      <c r="U100" s="10" t="n"/>
      <c r="V100" s="9">
        <f>Model_Data!A100</f>
        <v/>
      </c>
      <c r="W100" s="9">
        <f>Model_Data!B100-Inputs!$C$5</f>
        <v/>
      </c>
      <c r="X100" s="10" t="n"/>
      <c r="Y100" s="9">
        <f>Model_Data!A100</f>
        <v/>
      </c>
      <c r="Z100" s="9">
        <f>0</f>
        <v/>
      </c>
      <c r="AA100" s="9">
        <f>((SQRT((Inputs!$C$52+Inputs!$C$5)^2+Inputs!$C$52^2-2*(Inputs!$C$52+Inputs!$C$5)*Inputs!$C$52*COS(SQRT((Model_Data!A100)^2+Inputs!$C$6^2)/Inputs!$C$52))-Inputs!$C$5)*1000/Inputs!$C$12)</f>
        <v/>
      </c>
      <c r="AB100" s="9">
        <f>Model_Data!F100</f>
        <v/>
      </c>
    </row>
    <row r="101">
      <c r="A101" s="9">
        <f>Model_Data!A101</f>
        <v/>
      </c>
      <c r="B101" s="9">
        <f>0</f>
        <v/>
      </c>
      <c r="C101" s="9">
        <f>((SQRT((Inputs!$C$52+Inputs!$C$5)^2+Inputs!$C$52^2-2*(Inputs!$C$52+Inputs!$C$5)*Inputs!$C$52*COS(SQRT((Model_Data!A101)^2+Inputs!$C$6^2)/Inputs!$C$52))-Inputs!$C$5)*1000/Inputs!$C$12)</f>
        <v/>
      </c>
      <c r="D101" s="9">
        <f>Model_Data!F101</f>
        <v/>
      </c>
      <c r="E101" s="9">
        <f>Model_Data!AC101</f>
        <v/>
      </c>
      <c r="F101" s="10" t="n"/>
      <c r="G101" s="9">
        <f>Model_Data!A101</f>
        <v/>
      </c>
      <c r="H101" s="9">
        <f>Model_Data!Y101</f>
        <v/>
      </c>
      <c r="I101" s="9">
        <f>Model_Data!Y101</f>
        <v/>
      </c>
      <c r="J101" s="9">
        <f>Model_Data!X101</f>
        <v/>
      </c>
      <c r="K101" s="9">
        <f>Model_Data!A101</f>
        <v/>
      </c>
      <c r="L101" s="9">
        <f>Model_Data!Y101</f>
        <v/>
      </c>
      <c r="M101" s="9">
        <f>Model_Data!X101</f>
        <v/>
      </c>
      <c r="N101" s="9">
        <f>-(Model_Data!AC101-Model_Data!F101)*Inputs!$C$12</f>
        <v/>
      </c>
      <c r="O101" s="10" t="n"/>
      <c r="P101" s="9">
        <f>Model_Data!A101</f>
        <v/>
      </c>
      <c r="Q101" s="9">
        <f>Model_Data!P101</f>
        <v/>
      </c>
      <c r="R101" s="9">
        <f>Model_Data!AM101</f>
        <v/>
      </c>
      <c r="S101" s="9">
        <f>Model_Data!Q101</f>
        <v/>
      </c>
      <c r="T101" s="9">
        <f>Model_Data!AN101</f>
        <v/>
      </c>
      <c r="U101" s="10" t="n"/>
      <c r="V101" s="9">
        <f>Model_Data!A101</f>
        <v/>
      </c>
      <c r="W101" s="9">
        <f>Model_Data!B101-Inputs!$C$5</f>
        <v/>
      </c>
      <c r="X101" s="10" t="n"/>
      <c r="Y101" s="9">
        <f>Model_Data!A101</f>
        <v/>
      </c>
      <c r="Z101" s="9">
        <f>0</f>
        <v/>
      </c>
      <c r="AA101" s="9">
        <f>((SQRT((Inputs!$C$52+Inputs!$C$5)^2+Inputs!$C$52^2-2*(Inputs!$C$52+Inputs!$C$5)*Inputs!$C$52*COS(SQRT((Model_Data!A101)^2+Inputs!$C$6^2)/Inputs!$C$52))-Inputs!$C$5)*1000/Inputs!$C$12)</f>
        <v/>
      </c>
      <c r="AB101" s="9">
        <f>Model_Data!F101</f>
        <v/>
      </c>
    </row>
    <row r="102">
      <c r="A102" s="9">
        <f>Model_Data!A102</f>
        <v/>
      </c>
      <c r="B102" s="9">
        <f>0</f>
        <v/>
      </c>
      <c r="C102" s="9">
        <f>((SQRT((Inputs!$C$52+Inputs!$C$5)^2+Inputs!$C$52^2-2*(Inputs!$C$52+Inputs!$C$5)*Inputs!$C$52*COS(SQRT((Model_Data!A102)^2+Inputs!$C$6^2)/Inputs!$C$52))-Inputs!$C$5)*1000/Inputs!$C$12)</f>
        <v/>
      </c>
      <c r="D102" s="9">
        <f>Model_Data!F102</f>
        <v/>
      </c>
      <c r="E102" s="9">
        <f>Model_Data!AC102</f>
        <v/>
      </c>
      <c r="F102" s="10" t="n"/>
      <c r="G102" s="9">
        <f>Model_Data!A102</f>
        <v/>
      </c>
      <c r="H102" s="9">
        <f>Model_Data!Y102</f>
        <v/>
      </c>
      <c r="I102" s="9">
        <f>Model_Data!Y102</f>
        <v/>
      </c>
      <c r="J102" s="9">
        <f>Model_Data!X102</f>
        <v/>
      </c>
      <c r="K102" s="9">
        <f>Model_Data!A102</f>
        <v/>
      </c>
      <c r="L102" s="9">
        <f>Model_Data!Y102</f>
        <v/>
      </c>
      <c r="M102" s="9">
        <f>Model_Data!X102</f>
        <v/>
      </c>
      <c r="N102" s="9">
        <f>-(Model_Data!AC102-Model_Data!F102)*Inputs!$C$12</f>
        <v/>
      </c>
      <c r="O102" s="10" t="n"/>
      <c r="P102" s="9">
        <f>Model_Data!A102</f>
        <v/>
      </c>
      <c r="Q102" s="9">
        <f>Model_Data!P102</f>
        <v/>
      </c>
      <c r="R102" s="9">
        <f>Model_Data!AM102</f>
        <v/>
      </c>
      <c r="S102" s="9">
        <f>Model_Data!Q102</f>
        <v/>
      </c>
      <c r="T102" s="9">
        <f>Model_Data!AN102</f>
        <v/>
      </c>
      <c r="U102" s="10" t="n"/>
      <c r="V102" s="9">
        <f>Model_Data!A102</f>
        <v/>
      </c>
      <c r="W102" s="9">
        <f>Model_Data!B102-Inputs!$C$5</f>
        <v/>
      </c>
      <c r="X102" s="10" t="n"/>
      <c r="Y102" s="9">
        <f>Model_Data!A102</f>
        <v/>
      </c>
      <c r="Z102" s="9">
        <f>0</f>
        <v/>
      </c>
      <c r="AA102" s="9">
        <f>((SQRT((Inputs!$C$52+Inputs!$C$5)^2+Inputs!$C$52^2-2*(Inputs!$C$52+Inputs!$C$5)*Inputs!$C$52*COS(SQRT((Model_Data!A102)^2+Inputs!$C$6^2)/Inputs!$C$52))-Inputs!$C$5)*1000/Inputs!$C$12)</f>
        <v/>
      </c>
      <c r="AB102" s="9">
        <f>Model_Data!F102</f>
        <v/>
      </c>
    </row>
    <row r="103">
      <c r="A103" s="9">
        <f>Model_Data!A103</f>
        <v/>
      </c>
      <c r="B103" s="9">
        <f>0</f>
        <v/>
      </c>
      <c r="C103" s="9">
        <f>((SQRT((Inputs!$C$52+Inputs!$C$5)^2+Inputs!$C$52^2-2*(Inputs!$C$52+Inputs!$C$5)*Inputs!$C$52*COS(SQRT((Model_Data!A103)^2+Inputs!$C$6^2)/Inputs!$C$52))-Inputs!$C$5)*1000/Inputs!$C$12)</f>
        <v/>
      </c>
      <c r="D103" s="9">
        <f>Model_Data!F103</f>
        <v/>
      </c>
      <c r="E103" s="9">
        <f>Model_Data!AC103</f>
        <v/>
      </c>
      <c r="F103" s="10" t="n"/>
      <c r="G103" s="9">
        <f>Model_Data!A103</f>
        <v/>
      </c>
      <c r="H103" s="9">
        <f>Model_Data!Y103</f>
        <v/>
      </c>
      <c r="I103" s="9">
        <f>Model_Data!Y103</f>
        <v/>
      </c>
      <c r="J103" s="9">
        <f>Model_Data!X103</f>
        <v/>
      </c>
      <c r="K103" s="9">
        <f>Model_Data!A103</f>
        <v/>
      </c>
      <c r="L103" s="9">
        <f>Model_Data!Y103</f>
        <v/>
      </c>
      <c r="M103" s="9">
        <f>Model_Data!X103</f>
        <v/>
      </c>
      <c r="N103" s="9">
        <f>-(Model_Data!AC103-Model_Data!F103)*Inputs!$C$12</f>
        <v/>
      </c>
      <c r="O103" s="10" t="n"/>
      <c r="P103" s="9">
        <f>Model_Data!A103</f>
        <v/>
      </c>
      <c r="Q103" s="9">
        <f>Model_Data!P103</f>
        <v/>
      </c>
      <c r="R103" s="9">
        <f>Model_Data!AM103</f>
        <v/>
      </c>
      <c r="S103" s="9">
        <f>Model_Data!Q103</f>
        <v/>
      </c>
      <c r="T103" s="9">
        <f>Model_Data!AN103</f>
        <v/>
      </c>
      <c r="U103" s="10" t="n"/>
      <c r="V103" s="9">
        <f>Model_Data!A103</f>
        <v/>
      </c>
      <c r="W103" s="9">
        <f>Model_Data!B103-Inputs!$C$5</f>
        <v/>
      </c>
      <c r="X103" s="10" t="n"/>
      <c r="Y103" s="9">
        <f>Model_Data!A103</f>
        <v/>
      </c>
      <c r="Z103" s="9">
        <f>0</f>
        <v/>
      </c>
      <c r="AA103" s="9">
        <f>((SQRT((Inputs!$C$52+Inputs!$C$5)^2+Inputs!$C$52^2-2*(Inputs!$C$52+Inputs!$C$5)*Inputs!$C$52*COS(SQRT((Model_Data!A103)^2+Inputs!$C$6^2)/Inputs!$C$52))-Inputs!$C$5)*1000/Inputs!$C$12)</f>
        <v/>
      </c>
      <c r="AB103" s="9">
        <f>Model_Data!F103</f>
        <v/>
      </c>
    </row>
    <row r="104">
      <c r="A104" s="9">
        <f>Model_Data!A104</f>
        <v/>
      </c>
      <c r="B104" s="9">
        <f>0</f>
        <v/>
      </c>
      <c r="C104" s="9">
        <f>((SQRT((Inputs!$C$52+Inputs!$C$5)^2+Inputs!$C$52^2-2*(Inputs!$C$52+Inputs!$C$5)*Inputs!$C$52*COS(SQRT((Model_Data!A104)^2+Inputs!$C$6^2)/Inputs!$C$52))-Inputs!$C$5)*1000/Inputs!$C$12)</f>
        <v/>
      </c>
      <c r="D104" s="9">
        <f>Model_Data!F104</f>
        <v/>
      </c>
      <c r="E104" s="9">
        <f>Model_Data!AC104</f>
        <v/>
      </c>
      <c r="F104" s="10" t="n"/>
      <c r="G104" s="9">
        <f>Model_Data!A104</f>
        <v/>
      </c>
      <c r="H104" s="9">
        <f>Model_Data!Y104</f>
        <v/>
      </c>
      <c r="I104" s="9">
        <f>Model_Data!Y104</f>
        <v/>
      </c>
      <c r="J104" s="9">
        <f>Model_Data!X104</f>
        <v/>
      </c>
      <c r="K104" s="9">
        <f>Model_Data!A104</f>
        <v/>
      </c>
      <c r="L104" s="9">
        <f>Model_Data!Y104</f>
        <v/>
      </c>
      <c r="M104" s="9">
        <f>Model_Data!X104</f>
        <v/>
      </c>
      <c r="N104" s="9">
        <f>-(Model_Data!AC104-Model_Data!F104)*Inputs!$C$12</f>
        <v/>
      </c>
      <c r="O104" s="10" t="n"/>
      <c r="P104" s="9">
        <f>Model_Data!A104</f>
        <v/>
      </c>
      <c r="Q104" s="9">
        <f>Model_Data!P104</f>
        <v/>
      </c>
      <c r="R104" s="9">
        <f>Model_Data!AM104</f>
        <v/>
      </c>
      <c r="S104" s="9">
        <f>Model_Data!Q104</f>
        <v/>
      </c>
      <c r="T104" s="9">
        <f>Model_Data!AN104</f>
        <v/>
      </c>
      <c r="U104" s="10" t="n"/>
      <c r="V104" s="9">
        <f>Model_Data!A104</f>
        <v/>
      </c>
      <c r="W104" s="9">
        <f>Model_Data!B104-Inputs!$C$5</f>
        <v/>
      </c>
      <c r="X104" s="10" t="n"/>
      <c r="Y104" s="9">
        <f>Model_Data!A104</f>
        <v/>
      </c>
      <c r="Z104" s="9">
        <f>0</f>
        <v/>
      </c>
      <c r="AA104" s="9">
        <f>((SQRT((Inputs!$C$52+Inputs!$C$5)^2+Inputs!$C$52^2-2*(Inputs!$C$52+Inputs!$C$5)*Inputs!$C$52*COS(SQRT((Model_Data!A104)^2+Inputs!$C$6^2)/Inputs!$C$52))-Inputs!$C$5)*1000/Inputs!$C$12)</f>
        <v/>
      </c>
      <c r="AB104" s="9">
        <f>Model_Data!F104</f>
        <v/>
      </c>
    </row>
    <row r="105">
      <c r="A105" s="9">
        <f>Model_Data!A105</f>
        <v/>
      </c>
      <c r="B105" s="9">
        <f>0</f>
        <v/>
      </c>
      <c r="C105" s="9">
        <f>((SQRT((Inputs!$C$52+Inputs!$C$5)^2+Inputs!$C$52^2-2*(Inputs!$C$52+Inputs!$C$5)*Inputs!$C$52*COS(SQRT((Model_Data!A105)^2+Inputs!$C$6^2)/Inputs!$C$52))-Inputs!$C$5)*1000/Inputs!$C$12)</f>
        <v/>
      </c>
      <c r="D105" s="9">
        <f>Model_Data!F105</f>
        <v/>
      </c>
      <c r="E105" s="9">
        <f>Model_Data!AC105</f>
        <v/>
      </c>
      <c r="F105" s="10" t="n"/>
      <c r="G105" s="9">
        <f>Model_Data!A105</f>
        <v/>
      </c>
      <c r="H105" s="9">
        <f>Model_Data!Y105</f>
        <v/>
      </c>
      <c r="I105" s="9">
        <f>Model_Data!Y105</f>
        <v/>
      </c>
      <c r="J105" s="9">
        <f>Model_Data!X105</f>
        <v/>
      </c>
      <c r="K105" s="9">
        <f>Model_Data!A105</f>
        <v/>
      </c>
      <c r="L105" s="9">
        <f>Model_Data!Y105</f>
        <v/>
      </c>
      <c r="M105" s="9">
        <f>Model_Data!X105</f>
        <v/>
      </c>
      <c r="N105" s="9">
        <f>-(Model_Data!AC105-Model_Data!F105)*Inputs!$C$12</f>
        <v/>
      </c>
      <c r="O105" s="10" t="n"/>
      <c r="P105" s="9">
        <f>Model_Data!A105</f>
        <v/>
      </c>
      <c r="Q105" s="9">
        <f>Model_Data!P105</f>
        <v/>
      </c>
      <c r="R105" s="9">
        <f>Model_Data!AM105</f>
        <v/>
      </c>
      <c r="S105" s="9">
        <f>Model_Data!Q105</f>
        <v/>
      </c>
      <c r="T105" s="9">
        <f>Model_Data!AN105</f>
        <v/>
      </c>
      <c r="U105" s="10" t="n"/>
      <c r="V105" s="9">
        <f>Model_Data!A105</f>
        <v/>
      </c>
      <c r="W105" s="9">
        <f>Model_Data!B105-Inputs!$C$5</f>
        <v/>
      </c>
      <c r="X105" s="10" t="n"/>
      <c r="Y105" s="9">
        <f>Model_Data!A105</f>
        <v/>
      </c>
      <c r="Z105" s="9">
        <f>0</f>
        <v/>
      </c>
      <c r="AA105" s="9">
        <f>((SQRT((Inputs!$C$52+Inputs!$C$5)^2+Inputs!$C$52^2-2*(Inputs!$C$52+Inputs!$C$5)*Inputs!$C$52*COS(SQRT((Model_Data!A105)^2+Inputs!$C$6^2)/Inputs!$C$52))-Inputs!$C$5)*1000/Inputs!$C$12)</f>
        <v/>
      </c>
      <c r="AB105" s="9">
        <f>Model_Data!F105</f>
        <v/>
      </c>
    </row>
    <row r="106">
      <c r="A106" s="9">
        <f>Model_Data!A106</f>
        <v/>
      </c>
      <c r="B106" s="9">
        <f>0</f>
        <v/>
      </c>
      <c r="C106" s="9">
        <f>((SQRT((Inputs!$C$52+Inputs!$C$5)^2+Inputs!$C$52^2-2*(Inputs!$C$52+Inputs!$C$5)*Inputs!$C$52*COS(SQRT((Model_Data!A106)^2+Inputs!$C$6^2)/Inputs!$C$52))-Inputs!$C$5)*1000/Inputs!$C$12)</f>
        <v/>
      </c>
      <c r="D106" s="9">
        <f>Model_Data!F106</f>
        <v/>
      </c>
      <c r="E106" s="9">
        <f>Model_Data!AC106</f>
        <v/>
      </c>
      <c r="F106" s="10" t="n"/>
      <c r="G106" s="9">
        <f>Model_Data!A106</f>
        <v/>
      </c>
      <c r="H106" s="9">
        <f>Model_Data!Y106</f>
        <v/>
      </c>
      <c r="I106" s="9">
        <f>Model_Data!Y106</f>
        <v/>
      </c>
      <c r="J106" s="9">
        <f>Model_Data!X106</f>
        <v/>
      </c>
      <c r="K106" s="9">
        <f>Model_Data!A106</f>
        <v/>
      </c>
      <c r="L106" s="9">
        <f>Model_Data!Y106</f>
        <v/>
      </c>
      <c r="M106" s="9">
        <f>Model_Data!X106</f>
        <v/>
      </c>
      <c r="N106" s="9">
        <f>-(Model_Data!AC106-Model_Data!F106)*Inputs!$C$12</f>
        <v/>
      </c>
      <c r="O106" s="10" t="n"/>
      <c r="P106" s="9">
        <f>Model_Data!A106</f>
        <v/>
      </c>
      <c r="Q106" s="9">
        <f>Model_Data!P106</f>
        <v/>
      </c>
      <c r="R106" s="9">
        <f>Model_Data!AM106</f>
        <v/>
      </c>
      <c r="S106" s="9">
        <f>Model_Data!Q106</f>
        <v/>
      </c>
      <c r="T106" s="9">
        <f>Model_Data!AN106</f>
        <v/>
      </c>
      <c r="U106" s="10" t="n"/>
      <c r="V106" s="9">
        <f>Model_Data!A106</f>
        <v/>
      </c>
      <c r="W106" s="9">
        <f>Model_Data!B106-Inputs!$C$5</f>
        <v/>
      </c>
      <c r="X106" s="10" t="n"/>
      <c r="Y106" s="9">
        <f>Model_Data!A106</f>
        <v/>
      </c>
      <c r="Z106" s="9">
        <f>0</f>
        <v/>
      </c>
      <c r="AA106" s="9">
        <f>((SQRT((Inputs!$C$52+Inputs!$C$5)^2+Inputs!$C$52^2-2*(Inputs!$C$52+Inputs!$C$5)*Inputs!$C$52*COS(SQRT((Model_Data!A106)^2+Inputs!$C$6^2)/Inputs!$C$52))-Inputs!$C$5)*1000/Inputs!$C$12)</f>
        <v/>
      </c>
      <c r="AB106" s="9">
        <f>Model_Data!F106</f>
        <v/>
      </c>
    </row>
    <row r="107">
      <c r="A107" s="9">
        <f>Model_Data!A107</f>
        <v/>
      </c>
      <c r="B107" s="9">
        <f>0</f>
        <v/>
      </c>
      <c r="C107" s="9">
        <f>((SQRT((Inputs!$C$52+Inputs!$C$5)^2+Inputs!$C$52^2-2*(Inputs!$C$52+Inputs!$C$5)*Inputs!$C$52*COS(SQRT((Model_Data!A107)^2+Inputs!$C$6^2)/Inputs!$C$52))-Inputs!$C$5)*1000/Inputs!$C$12)</f>
        <v/>
      </c>
      <c r="D107" s="9">
        <f>Model_Data!F107</f>
        <v/>
      </c>
      <c r="E107" s="9">
        <f>Model_Data!AC107</f>
        <v/>
      </c>
      <c r="F107" s="10" t="n"/>
      <c r="G107" s="9">
        <f>Model_Data!A107</f>
        <v/>
      </c>
      <c r="H107" s="9">
        <f>Model_Data!Y107</f>
        <v/>
      </c>
      <c r="I107" s="9">
        <f>Model_Data!Y107</f>
        <v/>
      </c>
      <c r="J107" s="9">
        <f>Model_Data!X107</f>
        <v/>
      </c>
      <c r="K107" s="9">
        <f>Model_Data!A107</f>
        <v/>
      </c>
      <c r="L107" s="9">
        <f>Model_Data!Y107</f>
        <v/>
      </c>
      <c r="M107" s="9">
        <f>Model_Data!X107</f>
        <v/>
      </c>
      <c r="N107" s="9">
        <f>-(Model_Data!AC107-Model_Data!F107)*Inputs!$C$12</f>
        <v/>
      </c>
      <c r="O107" s="10" t="n"/>
      <c r="P107" s="9">
        <f>Model_Data!A107</f>
        <v/>
      </c>
      <c r="Q107" s="9">
        <f>Model_Data!P107</f>
        <v/>
      </c>
      <c r="R107" s="9">
        <f>Model_Data!AM107</f>
        <v/>
      </c>
      <c r="S107" s="9">
        <f>Model_Data!Q107</f>
        <v/>
      </c>
      <c r="T107" s="9">
        <f>Model_Data!AN107</f>
        <v/>
      </c>
      <c r="U107" s="10" t="n"/>
      <c r="V107" s="9">
        <f>Model_Data!A107</f>
        <v/>
      </c>
      <c r="W107" s="9">
        <f>Model_Data!B107-Inputs!$C$5</f>
        <v/>
      </c>
      <c r="X107" s="10" t="n"/>
      <c r="Y107" s="9">
        <f>Model_Data!A107</f>
        <v/>
      </c>
      <c r="Z107" s="9">
        <f>0</f>
        <v/>
      </c>
      <c r="AA107" s="9">
        <f>((SQRT((Inputs!$C$52+Inputs!$C$5)^2+Inputs!$C$52^2-2*(Inputs!$C$52+Inputs!$C$5)*Inputs!$C$52*COS(SQRT((Model_Data!A107)^2+Inputs!$C$6^2)/Inputs!$C$52))-Inputs!$C$5)*1000/Inputs!$C$12)</f>
        <v/>
      </c>
      <c r="AB107" s="9">
        <f>Model_Data!F107</f>
        <v/>
      </c>
    </row>
    <row r="108">
      <c r="A108" s="9">
        <f>Model_Data!A108</f>
        <v/>
      </c>
      <c r="B108" s="9">
        <f>0</f>
        <v/>
      </c>
      <c r="C108" s="9">
        <f>((SQRT((Inputs!$C$52+Inputs!$C$5)^2+Inputs!$C$52^2-2*(Inputs!$C$52+Inputs!$C$5)*Inputs!$C$52*COS(SQRT((Model_Data!A108)^2+Inputs!$C$6^2)/Inputs!$C$52))-Inputs!$C$5)*1000/Inputs!$C$12)</f>
        <v/>
      </c>
      <c r="D108" s="9">
        <f>Model_Data!F108</f>
        <v/>
      </c>
      <c r="E108" s="9">
        <f>Model_Data!AC108</f>
        <v/>
      </c>
      <c r="F108" s="10" t="n"/>
      <c r="G108" s="9">
        <f>Model_Data!A108</f>
        <v/>
      </c>
      <c r="H108" s="9">
        <f>Model_Data!Y108</f>
        <v/>
      </c>
      <c r="I108" s="9">
        <f>Model_Data!Y108</f>
        <v/>
      </c>
      <c r="J108" s="9">
        <f>Model_Data!X108</f>
        <v/>
      </c>
      <c r="K108" s="9">
        <f>Model_Data!A108</f>
        <v/>
      </c>
      <c r="L108" s="9">
        <f>Model_Data!Y108</f>
        <v/>
      </c>
      <c r="M108" s="9">
        <f>Model_Data!X108</f>
        <v/>
      </c>
      <c r="N108" s="9">
        <f>-(Model_Data!AC108-Model_Data!F108)*Inputs!$C$12</f>
        <v/>
      </c>
      <c r="O108" s="10" t="n"/>
      <c r="P108" s="9">
        <f>Model_Data!A108</f>
        <v/>
      </c>
      <c r="Q108" s="9">
        <f>Model_Data!P108</f>
        <v/>
      </c>
      <c r="R108" s="9">
        <f>Model_Data!AM108</f>
        <v/>
      </c>
      <c r="S108" s="9">
        <f>Model_Data!Q108</f>
        <v/>
      </c>
      <c r="T108" s="9">
        <f>Model_Data!AN108</f>
        <v/>
      </c>
      <c r="U108" s="10" t="n"/>
      <c r="V108" s="9">
        <f>Model_Data!A108</f>
        <v/>
      </c>
      <c r="W108" s="9">
        <f>Model_Data!B108-Inputs!$C$5</f>
        <v/>
      </c>
      <c r="X108" s="10" t="n"/>
      <c r="Y108" s="9">
        <f>Model_Data!A108</f>
        <v/>
      </c>
      <c r="Z108" s="9">
        <f>0</f>
        <v/>
      </c>
      <c r="AA108" s="9">
        <f>((SQRT((Inputs!$C$52+Inputs!$C$5)^2+Inputs!$C$52^2-2*(Inputs!$C$52+Inputs!$C$5)*Inputs!$C$52*COS(SQRT((Model_Data!A108)^2+Inputs!$C$6^2)/Inputs!$C$52))-Inputs!$C$5)*1000/Inputs!$C$12)</f>
        <v/>
      </c>
      <c r="AB108" s="9">
        <f>Model_Data!F108</f>
        <v/>
      </c>
    </row>
    <row r="109">
      <c r="A109" s="9">
        <f>Model_Data!A109</f>
        <v/>
      </c>
      <c r="B109" s="9">
        <f>0</f>
        <v/>
      </c>
      <c r="C109" s="9">
        <f>((SQRT((Inputs!$C$52+Inputs!$C$5)^2+Inputs!$C$52^2-2*(Inputs!$C$52+Inputs!$C$5)*Inputs!$C$52*COS(SQRT((Model_Data!A109)^2+Inputs!$C$6^2)/Inputs!$C$52))-Inputs!$C$5)*1000/Inputs!$C$12)</f>
        <v/>
      </c>
      <c r="D109" s="9">
        <f>Model_Data!F109</f>
        <v/>
      </c>
      <c r="E109" s="9">
        <f>Model_Data!AC109</f>
        <v/>
      </c>
      <c r="F109" s="10" t="n"/>
      <c r="G109" s="9">
        <f>Model_Data!A109</f>
        <v/>
      </c>
      <c r="H109" s="9">
        <f>Model_Data!Y109</f>
        <v/>
      </c>
      <c r="I109" s="9">
        <f>Model_Data!Y109</f>
        <v/>
      </c>
      <c r="J109" s="9">
        <f>Model_Data!X109</f>
        <v/>
      </c>
      <c r="K109" s="9">
        <f>Model_Data!A109</f>
        <v/>
      </c>
      <c r="L109" s="9">
        <f>Model_Data!Y109</f>
        <v/>
      </c>
      <c r="M109" s="9">
        <f>Model_Data!X109</f>
        <v/>
      </c>
      <c r="N109" s="9">
        <f>-(Model_Data!AC109-Model_Data!F109)*Inputs!$C$12</f>
        <v/>
      </c>
      <c r="O109" s="10" t="n"/>
      <c r="P109" s="9">
        <f>Model_Data!A109</f>
        <v/>
      </c>
      <c r="Q109" s="9">
        <f>Model_Data!P109</f>
        <v/>
      </c>
      <c r="R109" s="9">
        <f>Model_Data!AM109</f>
        <v/>
      </c>
      <c r="S109" s="9">
        <f>Model_Data!Q109</f>
        <v/>
      </c>
      <c r="T109" s="9">
        <f>Model_Data!AN109</f>
        <v/>
      </c>
      <c r="U109" s="10" t="n"/>
      <c r="V109" s="9">
        <f>Model_Data!A109</f>
        <v/>
      </c>
      <c r="W109" s="9">
        <f>Model_Data!B109-Inputs!$C$5</f>
        <v/>
      </c>
      <c r="X109" s="10" t="n"/>
      <c r="Y109" s="9">
        <f>Model_Data!A109</f>
        <v/>
      </c>
      <c r="Z109" s="9">
        <f>0</f>
        <v/>
      </c>
      <c r="AA109" s="9">
        <f>((SQRT((Inputs!$C$52+Inputs!$C$5)^2+Inputs!$C$52^2-2*(Inputs!$C$52+Inputs!$C$5)*Inputs!$C$52*COS(SQRT((Model_Data!A109)^2+Inputs!$C$6^2)/Inputs!$C$52))-Inputs!$C$5)*1000/Inputs!$C$12)</f>
        <v/>
      </c>
      <c r="AB109" s="9">
        <f>Model_Data!F109</f>
        <v/>
      </c>
    </row>
    <row r="110">
      <c r="A110" s="9">
        <f>Model_Data!A110</f>
        <v/>
      </c>
      <c r="B110" s="9">
        <f>0</f>
        <v/>
      </c>
      <c r="C110" s="9">
        <f>((SQRT((Inputs!$C$52+Inputs!$C$5)^2+Inputs!$C$52^2-2*(Inputs!$C$52+Inputs!$C$5)*Inputs!$C$52*COS(SQRT((Model_Data!A110)^2+Inputs!$C$6^2)/Inputs!$C$52))-Inputs!$C$5)*1000/Inputs!$C$12)</f>
        <v/>
      </c>
      <c r="D110" s="9">
        <f>Model_Data!F110</f>
        <v/>
      </c>
      <c r="E110" s="9">
        <f>Model_Data!AC110</f>
        <v/>
      </c>
      <c r="F110" s="10" t="n"/>
      <c r="G110" s="9">
        <f>Model_Data!A110</f>
        <v/>
      </c>
      <c r="H110" s="9">
        <f>Model_Data!Y110</f>
        <v/>
      </c>
      <c r="I110" s="9">
        <f>Model_Data!Y110</f>
        <v/>
      </c>
      <c r="J110" s="9">
        <f>Model_Data!X110</f>
        <v/>
      </c>
      <c r="K110" s="9">
        <f>Model_Data!A110</f>
        <v/>
      </c>
      <c r="L110" s="9">
        <f>Model_Data!Y110</f>
        <v/>
      </c>
      <c r="M110" s="9">
        <f>Model_Data!X110</f>
        <v/>
      </c>
      <c r="N110" s="9">
        <f>-(Model_Data!AC110-Model_Data!F110)*Inputs!$C$12</f>
        <v/>
      </c>
      <c r="O110" s="10" t="n"/>
      <c r="P110" s="9">
        <f>Model_Data!A110</f>
        <v/>
      </c>
      <c r="Q110" s="9">
        <f>Model_Data!P110</f>
        <v/>
      </c>
      <c r="R110" s="9">
        <f>Model_Data!AM110</f>
        <v/>
      </c>
      <c r="S110" s="9">
        <f>Model_Data!Q110</f>
        <v/>
      </c>
      <c r="T110" s="9">
        <f>Model_Data!AN110</f>
        <v/>
      </c>
      <c r="U110" s="10" t="n"/>
      <c r="V110" s="9">
        <f>Model_Data!A110</f>
        <v/>
      </c>
      <c r="W110" s="9">
        <f>Model_Data!B110-Inputs!$C$5</f>
        <v/>
      </c>
      <c r="X110" s="10" t="n"/>
      <c r="Y110" s="9">
        <f>Model_Data!A110</f>
        <v/>
      </c>
      <c r="Z110" s="9">
        <f>0</f>
        <v/>
      </c>
      <c r="AA110" s="9">
        <f>((SQRT((Inputs!$C$52+Inputs!$C$5)^2+Inputs!$C$52^2-2*(Inputs!$C$52+Inputs!$C$5)*Inputs!$C$52*COS(SQRT((Model_Data!A110)^2+Inputs!$C$6^2)/Inputs!$C$52))-Inputs!$C$5)*1000/Inputs!$C$12)</f>
        <v/>
      </c>
      <c r="AB110" s="9">
        <f>Model_Data!F110</f>
        <v/>
      </c>
    </row>
    <row r="111">
      <c r="A111" s="9">
        <f>Model_Data!A111</f>
        <v/>
      </c>
      <c r="B111" s="9">
        <f>0</f>
        <v/>
      </c>
      <c r="C111" s="9">
        <f>((SQRT((Inputs!$C$52+Inputs!$C$5)^2+Inputs!$C$52^2-2*(Inputs!$C$52+Inputs!$C$5)*Inputs!$C$52*COS(SQRT((Model_Data!A111)^2+Inputs!$C$6^2)/Inputs!$C$52))-Inputs!$C$5)*1000/Inputs!$C$12)</f>
        <v/>
      </c>
      <c r="D111" s="9">
        <f>Model_Data!F111</f>
        <v/>
      </c>
      <c r="E111" s="9">
        <f>Model_Data!AC111</f>
        <v/>
      </c>
      <c r="F111" s="10" t="n"/>
      <c r="G111" s="9">
        <f>Model_Data!A111</f>
        <v/>
      </c>
      <c r="H111" s="9">
        <f>Model_Data!Y111</f>
        <v/>
      </c>
      <c r="I111" s="9">
        <f>Model_Data!Y111</f>
        <v/>
      </c>
      <c r="J111" s="9">
        <f>Model_Data!X111</f>
        <v/>
      </c>
      <c r="K111" s="9">
        <f>Model_Data!A111</f>
        <v/>
      </c>
      <c r="L111" s="9">
        <f>Model_Data!Y111</f>
        <v/>
      </c>
      <c r="M111" s="9">
        <f>Model_Data!X111</f>
        <v/>
      </c>
      <c r="N111" s="9">
        <f>-(Model_Data!AC111-Model_Data!F111)*Inputs!$C$12</f>
        <v/>
      </c>
      <c r="O111" s="10" t="n"/>
      <c r="P111" s="9">
        <f>Model_Data!A111</f>
        <v/>
      </c>
      <c r="Q111" s="9">
        <f>Model_Data!P111</f>
        <v/>
      </c>
      <c r="R111" s="9">
        <f>Model_Data!AM111</f>
        <v/>
      </c>
      <c r="S111" s="9">
        <f>Model_Data!Q111</f>
        <v/>
      </c>
      <c r="T111" s="9">
        <f>Model_Data!AN111</f>
        <v/>
      </c>
      <c r="U111" s="10" t="n"/>
      <c r="V111" s="9">
        <f>Model_Data!A111</f>
        <v/>
      </c>
      <c r="W111" s="9">
        <f>Model_Data!B111-Inputs!$C$5</f>
        <v/>
      </c>
      <c r="X111" s="10" t="n"/>
      <c r="Y111" s="9">
        <f>Model_Data!A111</f>
        <v/>
      </c>
      <c r="Z111" s="9">
        <f>0</f>
        <v/>
      </c>
      <c r="AA111" s="9">
        <f>((SQRT((Inputs!$C$52+Inputs!$C$5)^2+Inputs!$C$52^2-2*(Inputs!$C$52+Inputs!$C$5)*Inputs!$C$52*COS(SQRT((Model_Data!A111)^2+Inputs!$C$6^2)/Inputs!$C$52))-Inputs!$C$5)*1000/Inputs!$C$12)</f>
        <v/>
      </c>
      <c r="AB111" s="9">
        <f>Model_Data!F111</f>
        <v/>
      </c>
    </row>
    <row r="112">
      <c r="A112" s="9">
        <f>Model_Data!A112</f>
        <v/>
      </c>
      <c r="B112" s="9">
        <f>0</f>
        <v/>
      </c>
      <c r="C112" s="9">
        <f>((SQRT((Inputs!$C$52+Inputs!$C$5)^2+Inputs!$C$52^2-2*(Inputs!$C$52+Inputs!$C$5)*Inputs!$C$52*COS(SQRT((Model_Data!A112)^2+Inputs!$C$6^2)/Inputs!$C$52))-Inputs!$C$5)*1000/Inputs!$C$12)</f>
        <v/>
      </c>
      <c r="D112" s="9">
        <f>Model_Data!F112</f>
        <v/>
      </c>
      <c r="E112" s="9">
        <f>Model_Data!AC112</f>
        <v/>
      </c>
      <c r="F112" s="10" t="n"/>
      <c r="G112" s="9">
        <f>Model_Data!A112</f>
        <v/>
      </c>
      <c r="H112" s="9">
        <f>Model_Data!Y112</f>
        <v/>
      </c>
      <c r="I112" s="9">
        <f>Model_Data!Y112</f>
        <v/>
      </c>
      <c r="J112" s="9">
        <f>Model_Data!X112</f>
        <v/>
      </c>
      <c r="K112" s="9">
        <f>Model_Data!A112</f>
        <v/>
      </c>
      <c r="L112" s="9">
        <f>Model_Data!Y112</f>
        <v/>
      </c>
      <c r="M112" s="9">
        <f>Model_Data!X112</f>
        <v/>
      </c>
      <c r="N112" s="9">
        <f>-(Model_Data!AC112-Model_Data!F112)*Inputs!$C$12</f>
        <v/>
      </c>
      <c r="O112" s="10" t="n"/>
      <c r="P112" s="9">
        <f>Model_Data!A112</f>
        <v/>
      </c>
      <c r="Q112" s="9">
        <f>Model_Data!P112</f>
        <v/>
      </c>
      <c r="R112" s="9">
        <f>Model_Data!AM112</f>
        <v/>
      </c>
      <c r="S112" s="9">
        <f>Model_Data!Q112</f>
        <v/>
      </c>
      <c r="T112" s="9">
        <f>Model_Data!AN112</f>
        <v/>
      </c>
      <c r="U112" s="10" t="n"/>
      <c r="V112" s="9">
        <f>Model_Data!A112</f>
        <v/>
      </c>
      <c r="W112" s="9">
        <f>Model_Data!B112-Inputs!$C$5</f>
        <v/>
      </c>
      <c r="X112" s="10" t="n"/>
      <c r="Y112" s="9">
        <f>Model_Data!A112</f>
        <v/>
      </c>
      <c r="Z112" s="9">
        <f>0</f>
        <v/>
      </c>
      <c r="AA112" s="9">
        <f>((SQRT((Inputs!$C$52+Inputs!$C$5)^2+Inputs!$C$52^2-2*(Inputs!$C$52+Inputs!$C$5)*Inputs!$C$52*COS(SQRT((Model_Data!A112)^2+Inputs!$C$6^2)/Inputs!$C$52))-Inputs!$C$5)*1000/Inputs!$C$12)</f>
        <v/>
      </c>
      <c r="AB112" s="9">
        <f>Model_Data!F112</f>
        <v/>
      </c>
    </row>
    <row r="113">
      <c r="A113" s="9">
        <f>Model_Data!A113</f>
        <v/>
      </c>
      <c r="B113" s="9">
        <f>0</f>
        <v/>
      </c>
      <c r="C113" s="9">
        <f>((SQRT((Inputs!$C$52+Inputs!$C$5)^2+Inputs!$C$52^2-2*(Inputs!$C$52+Inputs!$C$5)*Inputs!$C$52*COS(SQRT((Model_Data!A113)^2+Inputs!$C$6^2)/Inputs!$C$52))-Inputs!$C$5)*1000/Inputs!$C$12)</f>
        <v/>
      </c>
      <c r="D113" s="9">
        <f>Model_Data!F113</f>
        <v/>
      </c>
      <c r="E113" s="9">
        <f>Model_Data!AC113</f>
        <v/>
      </c>
      <c r="F113" s="10" t="n"/>
      <c r="G113" s="9">
        <f>Model_Data!A113</f>
        <v/>
      </c>
      <c r="H113" s="9">
        <f>Model_Data!Y113</f>
        <v/>
      </c>
      <c r="I113" s="9">
        <f>Model_Data!Y113</f>
        <v/>
      </c>
      <c r="J113" s="9">
        <f>Model_Data!X113</f>
        <v/>
      </c>
      <c r="K113" s="9">
        <f>Model_Data!A113</f>
        <v/>
      </c>
      <c r="L113" s="9">
        <f>Model_Data!Y113</f>
        <v/>
      </c>
      <c r="M113" s="9">
        <f>Model_Data!X113</f>
        <v/>
      </c>
      <c r="N113" s="9">
        <f>-(Model_Data!AC113-Model_Data!F113)*Inputs!$C$12</f>
        <v/>
      </c>
      <c r="O113" s="10" t="n"/>
      <c r="P113" s="9">
        <f>Model_Data!A113</f>
        <v/>
      </c>
      <c r="Q113" s="9">
        <f>Model_Data!P113</f>
        <v/>
      </c>
      <c r="R113" s="9">
        <f>Model_Data!AM113</f>
        <v/>
      </c>
      <c r="S113" s="9">
        <f>Model_Data!Q113</f>
        <v/>
      </c>
      <c r="T113" s="9">
        <f>Model_Data!AN113</f>
        <v/>
      </c>
      <c r="U113" s="10" t="n"/>
      <c r="V113" s="9">
        <f>Model_Data!A113</f>
        <v/>
      </c>
      <c r="W113" s="9">
        <f>Model_Data!B113-Inputs!$C$5</f>
        <v/>
      </c>
      <c r="X113" s="10" t="n"/>
      <c r="Y113" s="9">
        <f>Model_Data!A113</f>
        <v/>
      </c>
      <c r="Z113" s="9">
        <f>0</f>
        <v/>
      </c>
      <c r="AA113" s="9">
        <f>((SQRT((Inputs!$C$52+Inputs!$C$5)^2+Inputs!$C$52^2-2*(Inputs!$C$52+Inputs!$C$5)*Inputs!$C$52*COS(SQRT((Model_Data!A113)^2+Inputs!$C$6^2)/Inputs!$C$52))-Inputs!$C$5)*1000/Inputs!$C$12)</f>
        <v/>
      </c>
      <c r="AB113" s="9">
        <f>Model_Data!F113</f>
        <v/>
      </c>
    </row>
    <row r="114">
      <c r="A114" s="9">
        <f>Model_Data!A114</f>
        <v/>
      </c>
      <c r="B114" s="9">
        <f>0</f>
        <v/>
      </c>
      <c r="C114" s="9">
        <f>((SQRT((Inputs!$C$52+Inputs!$C$5)^2+Inputs!$C$52^2-2*(Inputs!$C$52+Inputs!$C$5)*Inputs!$C$52*COS(SQRT((Model_Data!A114)^2+Inputs!$C$6^2)/Inputs!$C$52))-Inputs!$C$5)*1000/Inputs!$C$12)</f>
        <v/>
      </c>
      <c r="D114" s="9">
        <f>Model_Data!F114</f>
        <v/>
      </c>
      <c r="E114" s="9">
        <f>Model_Data!AC114</f>
        <v/>
      </c>
      <c r="F114" s="10" t="n"/>
      <c r="G114" s="9">
        <f>Model_Data!A114</f>
        <v/>
      </c>
      <c r="H114" s="9">
        <f>Model_Data!Y114</f>
        <v/>
      </c>
      <c r="I114" s="9">
        <f>Model_Data!Y114</f>
        <v/>
      </c>
      <c r="J114" s="9">
        <f>Model_Data!X114</f>
        <v/>
      </c>
      <c r="K114" s="9">
        <f>Model_Data!A114</f>
        <v/>
      </c>
      <c r="L114" s="9">
        <f>Model_Data!Y114</f>
        <v/>
      </c>
      <c r="M114" s="9">
        <f>Model_Data!X114</f>
        <v/>
      </c>
      <c r="N114" s="9">
        <f>-(Model_Data!AC114-Model_Data!F114)*Inputs!$C$12</f>
        <v/>
      </c>
      <c r="O114" s="10" t="n"/>
      <c r="P114" s="9">
        <f>Model_Data!A114</f>
        <v/>
      </c>
      <c r="Q114" s="9">
        <f>Model_Data!P114</f>
        <v/>
      </c>
      <c r="R114" s="9">
        <f>Model_Data!AM114</f>
        <v/>
      </c>
      <c r="S114" s="9">
        <f>Model_Data!Q114</f>
        <v/>
      </c>
      <c r="T114" s="9">
        <f>Model_Data!AN114</f>
        <v/>
      </c>
      <c r="U114" s="10" t="n"/>
      <c r="V114" s="9">
        <f>Model_Data!A114</f>
        <v/>
      </c>
      <c r="W114" s="9">
        <f>Model_Data!B114-Inputs!$C$5</f>
        <v/>
      </c>
      <c r="X114" s="10" t="n"/>
      <c r="Y114" s="9">
        <f>Model_Data!A114</f>
        <v/>
      </c>
      <c r="Z114" s="9">
        <f>0</f>
        <v/>
      </c>
      <c r="AA114" s="9">
        <f>((SQRT((Inputs!$C$52+Inputs!$C$5)^2+Inputs!$C$52^2-2*(Inputs!$C$52+Inputs!$C$5)*Inputs!$C$52*COS(SQRT((Model_Data!A114)^2+Inputs!$C$6^2)/Inputs!$C$52))-Inputs!$C$5)*1000/Inputs!$C$12)</f>
        <v/>
      </c>
      <c r="AB114" s="9">
        <f>Model_Data!F114</f>
        <v/>
      </c>
    </row>
    <row r="115">
      <c r="A115" s="9">
        <f>Model_Data!A115</f>
        <v/>
      </c>
      <c r="B115" s="9">
        <f>0</f>
        <v/>
      </c>
      <c r="C115" s="9">
        <f>((SQRT((Inputs!$C$52+Inputs!$C$5)^2+Inputs!$C$52^2-2*(Inputs!$C$52+Inputs!$C$5)*Inputs!$C$52*COS(SQRT((Model_Data!A115)^2+Inputs!$C$6^2)/Inputs!$C$52))-Inputs!$C$5)*1000/Inputs!$C$12)</f>
        <v/>
      </c>
      <c r="D115" s="9">
        <f>Model_Data!F115</f>
        <v/>
      </c>
      <c r="E115" s="9">
        <f>Model_Data!AC115</f>
        <v/>
      </c>
      <c r="F115" s="10" t="n"/>
      <c r="G115" s="9">
        <f>Model_Data!A115</f>
        <v/>
      </c>
      <c r="H115" s="9">
        <f>Model_Data!Y115</f>
        <v/>
      </c>
      <c r="I115" s="9">
        <f>Model_Data!Y115</f>
        <v/>
      </c>
      <c r="J115" s="9">
        <f>Model_Data!X115</f>
        <v/>
      </c>
      <c r="K115" s="9">
        <f>Model_Data!A115</f>
        <v/>
      </c>
      <c r="L115" s="9">
        <f>Model_Data!Y115</f>
        <v/>
      </c>
      <c r="M115" s="9">
        <f>Model_Data!X115</f>
        <v/>
      </c>
      <c r="N115" s="9">
        <f>-(Model_Data!AC115-Model_Data!F115)*Inputs!$C$12</f>
        <v/>
      </c>
      <c r="O115" s="10" t="n"/>
      <c r="P115" s="9">
        <f>Model_Data!A115</f>
        <v/>
      </c>
      <c r="Q115" s="9">
        <f>Model_Data!P115</f>
        <v/>
      </c>
      <c r="R115" s="9">
        <f>Model_Data!AM115</f>
        <v/>
      </c>
      <c r="S115" s="9">
        <f>Model_Data!Q115</f>
        <v/>
      </c>
      <c r="T115" s="9">
        <f>Model_Data!AN115</f>
        <v/>
      </c>
      <c r="U115" s="10" t="n"/>
      <c r="V115" s="9">
        <f>Model_Data!A115</f>
        <v/>
      </c>
      <c r="W115" s="9">
        <f>Model_Data!B115-Inputs!$C$5</f>
        <v/>
      </c>
      <c r="X115" s="10" t="n"/>
      <c r="Y115" s="9">
        <f>Model_Data!A115</f>
        <v/>
      </c>
      <c r="Z115" s="9">
        <f>0</f>
        <v/>
      </c>
      <c r="AA115" s="9">
        <f>((SQRT((Inputs!$C$52+Inputs!$C$5)^2+Inputs!$C$52^2-2*(Inputs!$C$52+Inputs!$C$5)*Inputs!$C$52*COS(SQRT((Model_Data!A115)^2+Inputs!$C$6^2)/Inputs!$C$52))-Inputs!$C$5)*1000/Inputs!$C$12)</f>
        <v/>
      </c>
      <c r="AB115" s="9">
        <f>Model_Data!F115</f>
        <v/>
      </c>
    </row>
    <row r="116">
      <c r="A116" s="9">
        <f>Model_Data!A116</f>
        <v/>
      </c>
      <c r="B116" s="9">
        <f>0</f>
        <v/>
      </c>
      <c r="C116" s="9">
        <f>((SQRT((Inputs!$C$52+Inputs!$C$5)^2+Inputs!$C$52^2-2*(Inputs!$C$52+Inputs!$C$5)*Inputs!$C$52*COS(SQRT((Model_Data!A116)^2+Inputs!$C$6^2)/Inputs!$C$52))-Inputs!$C$5)*1000/Inputs!$C$12)</f>
        <v/>
      </c>
      <c r="D116" s="9">
        <f>Model_Data!F116</f>
        <v/>
      </c>
      <c r="E116" s="9">
        <f>Model_Data!AC116</f>
        <v/>
      </c>
      <c r="F116" s="10" t="n"/>
      <c r="G116" s="9">
        <f>Model_Data!A116</f>
        <v/>
      </c>
      <c r="H116" s="9">
        <f>Model_Data!Y116</f>
        <v/>
      </c>
      <c r="I116" s="9">
        <f>Model_Data!Y116</f>
        <v/>
      </c>
      <c r="J116" s="9">
        <f>Model_Data!X116</f>
        <v/>
      </c>
      <c r="K116" s="9">
        <f>Model_Data!A116</f>
        <v/>
      </c>
      <c r="L116" s="9">
        <f>Model_Data!Y116</f>
        <v/>
      </c>
      <c r="M116" s="9">
        <f>Model_Data!X116</f>
        <v/>
      </c>
      <c r="N116" s="9">
        <f>-(Model_Data!AC116-Model_Data!F116)*Inputs!$C$12</f>
        <v/>
      </c>
      <c r="O116" s="10" t="n"/>
      <c r="P116" s="9">
        <f>Model_Data!A116</f>
        <v/>
      </c>
      <c r="Q116" s="9">
        <f>Model_Data!P116</f>
        <v/>
      </c>
      <c r="R116" s="9">
        <f>Model_Data!AM116</f>
        <v/>
      </c>
      <c r="S116" s="9">
        <f>Model_Data!Q116</f>
        <v/>
      </c>
      <c r="T116" s="9">
        <f>Model_Data!AN116</f>
        <v/>
      </c>
      <c r="U116" s="10" t="n"/>
      <c r="V116" s="9">
        <f>Model_Data!A116</f>
        <v/>
      </c>
      <c r="W116" s="9">
        <f>Model_Data!B116-Inputs!$C$5</f>
        <v/>
      </c>
      <c r="X116" s="10" t="n"/>
      <c r="Y116" s="9">
        <f>Model_Data!A116</f>
        <v/>
      </c>
      <c r="Z116" s="9">
        <f>0</f>
        <v/>
      </c>
      <c r="AA116" s="9">
        <f>((SQRT((Inputs!$C$52+Inputs!$C$5)^2+Inputs!$C$52^2-2*(Inputs!$C$52+Inputs!$C$5)*Inputs!$C$52*COS(SQRT((Model_Data!A116)^2+Inputs!$C$6^2)/Inputs!$C$52))-Inputs!$C$5)*1000/Inputs!$C$12)</f>
        <v/>
      </c>
      <c r="AB116" s="9">
        <f>Model_Data!F116</f>
        <v/>
      </c>
    </row>
    <row r="117">
      <c r="A117" s="9">
        <f>Model_Data!A117</f>
        <v/>
      </c>
      <c r="B117" s="9">
        <f>0</f>
        <v/>
      </c>
      <c r="C117" s="9">
        <f>((SQRT((Inputs!$C$52+Inputs!$C$5)^2+Inputs!$C$52^2-2*(Inputs!$C$52+Inputs!$C$5)*Inputs!$C$52*COS(SQRT((Model_Data!A117)^2+Inputs!$C$6^2)/Inputs!$C$52))-Inputs!$C$5)*1000/Inputs!$C$12)</f>
        <v/>
      </c>
      <c r="D117" s="9">
        <f>Model_Data!F117</f>
        <v/>
      </c>
      <c r="E117" s="9">
        <f>Model_Data!AC117</f>
        <v/>
      </c>
      <c r="F117" s="10" t="n"/>
      <c r="G117" s="9">
        <f>Model_Data!A117</f>
        <v/>
      </c>
      <c r="H117" s="9">
        <f>Model_Data!Y117</f>
        <v/>
      </c>
      <c r="I117" s="9">
        <f>Model_Data!Y117</f>
        <v/>
      </c>
      <c r="J117" s="9">
        <f>Model_Data!X117</f>
        <v/>
      </c>
      <c r="K117" s="9">
        <f>Model_Data!A117</f>
        <v/>
      </c>
      <c r="L117" s="9">
        <f>Model_Data!Y117</f>
        <v/>
      </c>
      <c r="M117" s="9">
        <f>Model_Data!X117</f>
        <v/>
      </c>
      <c r="N117" s="9">
        <f>-(Model_Data!AC117-Model_Data!F117)*Inputs!$C$12</f>
        <v/>
      </c>
      <c r="O117" s="10" t="n"/>
      <c r="P117" s="9">
        <f>Model_Data!A117</f>
        <v/>
      </c>
      <c r="Q117" s="9">
        <f>Model_Data!P117</f>
        <v/>
      </c>
      <c r="R117" s="9">
        <f>Model_Data!AM117</f>
        <v/>
      </c>
      <c r="S117" s="9">
        <f>Model_Data!Q117</f>
        <v/>
      </c>
      <c r="T117" s="9">
        <f>Model_Data!AN117</f>
        <v/>
      </c>
      <c r="U117" s="10" t="n"/>
      <c r="V117" s="9">
        <f>Model_Data!A117</f>
        <v/>
      </c>
      <c r="W117" s="9">
        <f>Model_Data!B117-Inputs!$C$5</f>
        <v/>
      </c>
      <c r="X117" s="10" t="n"/>
      <c r="Y117" s="9">
        <f>Model_Data!A117</f>
        <v/>
      </c>
      <c r="Z117" s="9">
        <f>0</f>
        <v/>
      </c>
      <c r="AA117" s="9">
        <f>((SQRT((Inputs!$C$52+Inputs!$C$5)^2+Inputs!$C$52^2-2*(Inputs!$C$52+Inputs!$C$5)*Inputs!$C$52*COS(SQRT((Model_Data!A117)^2+Inputs!$C$6^2)/Inputs!$C$52))-Inputs!$C$5)*1000/Inputs!$C$12)</f>
        <v/>
      </c>
      <c r="AB117" s="9">
        <f>Model_Data!F117</f>
        <v/>
      </c>
    </row>
    <row r="118">
      <c r="A118" s="9">
        <f>Model_Data!A118</f>
        <v/>
      </c>
      <c r="B118" s="9">
        <f>0</f>
        <v/>
      </c>
      <c r="C118" s="9">
        <f>((SQRT((Inputs!$C$52+Inputs!$C$5)^2+Inputs!$C$52^2-2*(Inputs!$C$52+Inputs!$C$5)*Inputs!$C$52*COS(SQRT((Model_Data!A118)^2+Inputs!$C$6^2)/Inputs!$C$52))-Inputs!$C$5)*1000/Inputs!$C$12)</f>
        <v/>
      </c>
      <c r="D118" s="9">
        <f>Model_Data!F118</f>
        <v/>
      </c>
      <c r="E118" s="9">
        <f>Model_Data!AC118</f>
        <v/>
      </c>
      <c r="F118" s="10" t="n"/>
      <c r="G118" s="9">
        <f>Model_Data!A118</f>
        <v/>
      </c>
      <c r="H118" s="9">
        <f>Model_Data!Y118</f>
        <v/>
      </c>
      <c r="I118" s="9">
        <f>Model_Data!Y118</f>
        <v/>
      </c>
      <c r="J118" s="9">
        <f>Model_Data!X118</f>
        <v/>
      </c>
      <c r="K118" s="9">
        <f>Model_Data!A118</f>
        <v/>
      </c>
      <c r="L118" s="9">
        <f>Model_Data!Y118</f>
        <v/>
      </c>
      <c r="M118" s="9">
        <f>Model_Data!X118</f>
        <v/>
      </c>
      <c r="N118" s="9">
        <f>-(Model_Data!AC118-Model_Data!F118)*Inputs!$C$12</f>
        <v/>
      </c>
      <c r="O118" s="10" t="n"/>
      <c r="P118" s="9">
        <f>Model_Data!A118</f>
        <v/>
      </c>
      <c r="Q118" s="9">
        <f>Model_Data!P118</f>
        <v/>
      </c>
      <c r="R118" s="9">
        <f>Model_Data!AM118</f>
        <v/>
      </c>
      <c r="S118" s="9">
        <f>Model_Data!Q118</f>
        <v/>
      </c>
      <c r="T118" s="9">
        <f>Model_Data!AN118</f>
        <v/>
      </c>
      <c r="U118" s="10" t="n"/>
      <c r="V118" s="9">
        <f>Model_Data!A118</f>
        <v/>
      </c>
      <c r="W118" s="9">
        <f>Model_Data!B118-Inputs!$C$5</f>
        <v/>
      </c>
      <c r="X118" s="10" t="n"/>
      <c r="Y118" s="9">
        <f>Model_Data!A118</f>
        <v/>
      </c>
      <c r="Z118" s="9">
        <f>0</f>
        <v/>
      </c>
      <c r="AA118" s="9">
        <f>((SQRT((Inputs!$C$52+Inputs!$C$5)^2+Inputs!$C$52^2-2*(Inputs!$C$52+Inputs!$C$5)*Inputs!$C$52*COS(SQRT((Model_Data!A118)^2+Inputs!$C$6^2)/Inputs!$C$52))-Inputs!$C$5)*1000/Inputs!$C$12)</f>
        <v/>
      </c>
      <c r="AB118" s="9">
        <f>Model_Data!F118</f>
        <v/>
      </c>
    </row>
    <row r="119">
      <c r="A119" s="9">
        <f>Model_Data!A119</f>
        <v/>
      </c>
      <c r="B119" s="9">
        <f>0</f>
        <v/>
      </c>
      <c r="C119" s="9">
        <f>((SQRT((Inputs!$C$52+Inputs!$C$5)^2+Inputs!$C$52^2-2*(Inputs!$C$52+Inputs!$C$5)*Inputs!$C$52*COS(SQRT((Model_Data!A119)^2+Inputs!$C$6^2)/Inputs!$C$52))-Inputs!$C$5)*1000/Inputs!$C$12)</f>
        <v/>
      </c>
      <c r="D119" s="9">
        <f>Model_Data!F119</f>
        <v/>
      </c>
      <c r="E119" s="9">
        <f>Model_Data!AC119</f>
        <v/>
      </c>
      <c r="F119" s="10" t="n"/>
      <c r="G119" s="9">
        <f>Model_Data!A119</f>
        <v/>
      </c>
      <c r="H119" s="9">
        <f>Model_Data!Y119</f>
        <v/>
      </c>
      <c r="I119" s="9">
        <f>Model_Data!Y119</f>
        <v/>
      </c>
      <c r="J119" s="9">
        <f>Model_Data!X119</f>
        <v/>
      </c>
      <c r="K119" s="9">
        <f>Model_Data!A119</f>
        <v/>
      </c>
      <c r="L119" s="9">
        <f>Model_Data!Y119</f>
        <v/>
      </c>
      <c r="M119" s="9">
        <f>Model_Data!X119</f>
        <v/>
      </c>
      <c r="N119" s="9">
        <f>-(Model_Data!AC119-Model_Data!F119)*Inputs!$C$12</f>
        <v/>
      </c>
      <c r="O119" s="10" t="n"/>
      <c r="P119" s="9">
        <f>Model_Data!A119</f>
        <v/>
      </c>
      <c r="Q119" s="9">
        <f>Model_Data!P119</f>
        <v/>
      </c>
      <c r="R119" s="9">
        <f>Model_Data!AM119</f>
        <v/>
      </c>
      <c r="S119" s="9">
        <f>Model_Data!Q119</f>
        <v/>
      </c>
      <c r="T119" s="9">
        <f>Model_Data!AN119</f>
        <v/>
      </c>
      <c r="U119" s="10" t="n"/>
      <c r="V119" s="9">
        <f>Model_Data!A119</f>
        <v/>
      </c>
      <c r="W119" s="9">
        <f>Model_Data!B119-Inputs!$C$5</f>
        <v/>
      </c>
      <c r="X119" s="10" t="n"/>
      <c r="Y119" s="9">
        <f>Model_Data!A119</f>
        <v/>
      </c>
      <c r="Z119" s="9">
        <f>0</f>
        <v/>
      </c>
      <c r="AA119" s="9">
        <f>((SQRT((Inputs!$C$52+Inputs!$C$5)^2+Inputs!$C$52^2-2*(Inputs!$C$52+Inputs!$C$5)*Inputs!$C$52*COS(SQRT((Model_Data!A119)^2+Inputs!$C$6^2)/Inputs!$C$52))-Inputs!$C$5)*1000/Inputs!$C$12)</f>
        <v/>
      </c>
      <c r="AB119" s="9">
        <f>Model_Data!F119</f>
        <v/>
      </c>
    </row>
    <row r="120">
      <c r="A120" s="9">
        <f>Model_Data!A120</f>
        <v/>
      </c>
      <c r="B120" s="9">
        <f>0</f>
        <v/>
      </c>
      <c r="C120" s="9">
        <f>((SQRT((Inputs!$C$52+Inputs!$C$5)^2+Inputs!$C$52^2-2*(Inputs!$C$52+Inputs!$C$5)*Inputs!$C$52*COS(SQRT((Model_Data!A120)^2+Inputs!$C$6^2)/Inputs!$C$52))-Inputs!$C$5)*1000/Inputs!$C$12)</f>
        <v/>
      </c>
      <c r="D120" s="9">
        <f>Model_Data!F120</f>
        <v/>
      </c>
      <c r="E120" s="9">
        <f>Model_Data!AC120</f>
        <v/>
      </c>
      <c r="F120" s="10" t="n"/>
      <c r="G120" s="9">
        <f>Model_Data!A120</f>
        <v/>
      </c>
      <c r="H120" s="9">
        <f>Model_Data!Y120</f>
        <v/>
      </c>
      <c r="I120" s="9">
        <f>Model_Data!Y120</f>
        <v/>
      </c>
      <c r="J120" s="9">
        <f>Model_Data!X120</f>
        <v/>
      </c>
      <c r="K120" s="9">
        <f>Model_Data!A120</f>
        <v/>
      </c>
      <c r="L120" s="9">
        <f>Model_Data!Y120</f>
        <v/>
      </c>
      <c r="M120" s="9">
        <f>Model_Data!X120</f>
        <v/>
      </c>
      <c r="N120" s="9">
        <f>-(Model_Data!AC120-Model_Data!F120)*Inputs!$C$12</f>
        <v/>
      </c>
      <c r="O120" s="10" t="n"/>
      <c r="P120" s="9">
        <f>Model_Data!A120</f>
        <v/>
      </c>
      <c r="Q120" s="9">
        <f>Model_Data!P120</f>
        <v/>
      </c>
      <c r="R120" s="9">
        <f>Model_Data!AM120</f>
        <v/>
      </c>
      <c r="S120" s="9">
        <f>Model_Data!Q120</f>
        <v/>
      </c>
      <c r="T120" s="9">
        <f>Model_Data!AN120</f>
        <v/>
      </c>
      <c r="U120" s="10" t="n"/>
      <c r="V120" s="9">
        <f>Model_Data!A120</f>
        <v/>
      </c>
      <c r="W120" s="9">
        <f>Model_Data!B120-Inputs!$C$5</f>
        <v/>
      </c>
      <c r="X120" s="10" t="n"/>
      <c r="Y120" s="9">
        <f>Model_Data!A120</f>
        <v/>
      </c>
      <c r="Z120" s="9">
        <f>0</f>
        <v/>
      </c>
      <c r="AA120" s="9">
        <f>((SQRT((Inputs!$C$52+Inputs!$C$5)^2+Inputs!$C$52^2-2*(Inputs!$C$52+Inputs!$C$5)*Inputs!$C$52*COS(SQRT((Model_Data!A120)^2+Inputs!$C$6^2)/Inputs!$C$52))-Inputs!$C$5)*1000/Inputs!$C$12)</f>
        <v/>
      </c>
      <c r="AB120" s="9">
        <f>Model_Data!F120</f>
        <v/>
      </c>
    </row>
    <row r="121">
      <c r="A121" s="9">
        <f>Model_Data!A121</f>
        <v/>
      </c>
      <c r="B121" s="9">
        <f>0</f>
        <v/>
      </c>
      <c r="C121" s="9">
        <f>((SQRT((Inputs!$C$52+Inputs!$C$5)^2+Inputs!$C$52^2-2*(Inputs!$C$52+Inputs!$C$5)*Inputs!$C$52*COS(SQRT((Model_Data!A121)^2+Inputs!$C$6^2)/Inputs!$C$52))-Inputs!$C$5)*1000/Inputs!$C$12)</f>
        <v/>
      </c>
      <c r="D121" s="9">
        <f>Model_Data!F121</f>
        <v/>
      </c>
      <c r="E121" s="9">
        <f>Model_Data!AC121</f>
        <v/>
      </c>
      <c r="F121" s="10" t="n"/>
      <c r="G121" s="9">
        <f>Model_Data!A121</f>
        <v/>
      </c>
      <c r="H121" s="9">
        <f>Model_Data!Y121</f>
        <v/>
      </c>
      <c r="I121" s="9">
        <f>Model_Data!Y121</f>
        <v/>
      </c>
      <c r="J121" s="9">
        <f>Model_Data!X121</f>
        <v/>
      </c>
      <c r="K121" s="9">
        <f>Model_Data!A121</f>
        <v/>
      </c>
      <c r="L121" s="9">
        <f>Model_Data!Y121</f>
        <v/>
      </c>
      <c r="M121" s="9">
        <f>Model_Data!X121</f>
        <v/>
      </c>
      <c r="N121" s="9">
        <f>-(Model_Data!AC121-Model_Data!F121)*Inputs!$C$12</f>
        <v/>
      </c>
      <c r="O121" s="10" t="n"/>
      <c r="P121" s="9">
        <f>Model_Data!A121</f>
        <v/>
      </c>
      <c r="Q121" s="9">
        <f>Model_Data!P121</f>
        <v/>
      </c>
      <c r="R121" s="9">
        <f>Model_Data!AM121</f>
        <v/>
      </c>
      <c r="S121" s="9">
        <f>Model_Data!Q121</f>
        <v/>
      </c>
      <c r="T121" s="9">
        <f>Model_Data!AN121</f>
        <v/>
      </c>
      <c r="U121" s="10" t="n"/>
      <c r="V121" s="9">
        <f>Model_Data!A121</f>
        <v/>
      </c>
      <c r="W121" s="9">
        <f>Model_Data!B121-Inputs!$C$5</f>
        <v/>
      </c>
      <c r="X121" s="10" t="n"/>
      <c r="Y121" s="9">
        <f>Model_Data!A121</f>
        <v/>
      </c>
      <c r="Z121" s="9">
        <f>0</f>
        <v/>
      </c>
      <c r="AA121" s="9">
        <f>((SQRT((Inputs!$C$52+Inputs!$C$5)^2+Inputs!$C$52^2-2*(Inputs!$C$52+Inputs!$C$5)*Inputs!$C$52*COS(SQRT((Model_Data!A121)^2+Inputs!$C$6^2)/Inputs!$C$52))-Inputs!$C$5)*1000/Inputs!$C$12)</f>
        <v/>
      </c>
      <c r="AB121" s="9">
        <f>Model_Data!F121</f>
        <v/>
      </c>
    </row>
    <row r="122">
      <c r="A122" s="9">
        <f>Model_Data!A122</f>
        <v/>
      </c>
      <c r="B122" s="9">
        <f>0</f>
        <v/>
      </c>
      <c r="C122" s="9">
        <f>((SQRT((Inputs!$C$52+Inputs!$C$5)^2+Inputs!$C$52^2-2*(Inputs!$C$52+Inputs!$C$5)*Inputs!$C$52*COS(SQRT((Model_Data!A122)^2+Inputs!$C$6^2)/Inputs!$C$52))-Inputs!$C$5)*1000/Inputs!$C$12)</f>
        <v/>
      </c>
      <c r="D122" s="9">
        <f>Model_Data!F122</f>
        <v/>
      </c>
      <c r="E122" s="9">
        <f>Model_Data!AC122</f>
        <v/>
      </c>
      <c r="F122" s="10" t="n"/>
      <c r="G122" s="9">
        <f>Model_Data!A122</f>
        <v/>
      </c>
      <c r="H122" s="9">
        <f>Model_Data!Y122</f>
        <v/>
      </c>
      <c r="I122" s="9">
        <f>Model_Data!Y122</f>
        <v/>
      </c>
      <c r="J122" s="9">
        <f>Model_Data!X122</f>
        <v/>
      </c>
      <c r="K122" s="9">
        <f>Model_Data!A122</f>
        <v/>
      </c>
      <c r="L122" s="9">
        <f>Model_Data!Y122</f>
        <v/>
      </c>
      <c r="M122" s="9">
        <f>Model_Data!X122</f>
        <v/>
      </c>
      <c r="N122" s="9">
        <f>-(Model_Data!AC122-Model_Data!F122)*Inputs!$C$12</f>
        <v/>
      </c>
      <c r="O122" s="10" t="n"/>
      <c r="P122" s="9">
        <f>Model_Data!A122</f>
        <v/>
      </c>
      <c r="Q122" s="9">
        <f>Model_Data!P122</f>
        <v/>
      </c>
      <c r="R122" s="9">
        <f>Model_Data!AM122</f>
        <v/>
      </c>
      <c r="S122" s="9">
        <f>Model_Data!Q122</f>
        <v/>
      </c>
      <c r="T122" s="9">
        <f>Model_Data!AN122</f>
        <v/>
      </c>
      <c r="U122" s="10" t="n"/>
      <c r="V122" s="9">
        <f>Model_Data!A122</f>
        <v/>
      </c>
      <c r="W122" s="9">
        <f>Model_Data!B122-Inputs!$C$5</f>
        <v/>
      </c>
      <c r="X122" s="10" t="n"/>
      <c r="Y122" s="9">
        <f>Model_Data!A122</f>
        <v/>
      </c>
      <c r="Z122" s="9">
        <f>0</f>
        <v/>
      </c>
      <c r="AA122" s="9">
        <f>((SQRT((Inputs!$C$52+Inputs!$C$5)^2+Inputs!$C$52^2-2*(Inputs!$C$52+Inputs!$C$5)*Inputs!$C$52*COS(SQRT((Model_Data!A122)^2+Inputs!$C$6^2)/Inputs!$C$52))-Inputs!$C$5)*1000/Inputs!$C$12)</f>
        <v/>
      </c>
      <c r="AB122" s="9">
        <f>Model_Data!F122</f>
        <v/>
      </c>
    </row>
    <row r="123">
      <c r="A123" s="9">
        <f>Model_Data!A123</f>
        <v/>
      </c>
      <c r="B123" s="9">
        <f>0</f>
        <v/>
      </c>
      <c r="C123" s="9">
        <f>((SQRT((Inputs!$C$52+Inputs!$C$5)^2+Inputs!$C$52^2-2*(Inputs!$C$52+Inputs!$C$5)*Inputs!$C$52*COS(SQRT((Model_Data!A123)^2+Inputs!$C$6^2)/Inputs!$C$52))-Inputs!$C$5)*1000/Inputs!$C$12)</f>
        <v/>
      </c>
      <c r="D123" s="9">
        <f>Model_Data!F123</f>
        <v/>
      </c>
      <c r="E123" s="9">
        <f>Model_Data!AC123</f>
        <v/>
      </c>
      <c r="F123" s="10" t="n"/>
      <c r="G123" s="9">
        <f>Model_Data!A123</f>
        <v/>
      </c>
      <c r="H123" s="9">
        <f>Model_Data!Y123</f>
        <v/>
      </c>
      <c r="I123" s="9">
        <f>Model_Data!Y123</f>
        <v/>
      </c>
      <c r="J123" s="9">
        <f>Model_Data!X123</f>
        <v/>
      </c>
      <c r="K123" s="9">
        <f>Model_Data!A123</f>
        <v/>
      </c>
      <c r="L123" s="9">
        <f>Model_Data!Y123</f>
        <v/>
      </c>
      <c r="M123" s="9">
        <f>Model_Data!X123</f>
        <v/>
      </c>
      <c r="N123" s="9">
        <f>-(Model_Data!AC123-Model_Data!F123)*Inputs!$C$12</f>
        <v/>
      </c>
      <c r="O123" s="10" t="n"/>
      <c r="P123" s="9">
        <f>Model_Data!A123</f>
        <v/>
      </c>
      <c r="Q123" s="9">
        <f>Model_Data!P123</f>
        <v/>
      </c>
      <c r="R123" s="9">
        <f>Model_Data!AM123</f>
        <v/>
      </c>
      <c r="S123" s="9">
        <f>Model_Data!Q123</f>
        <v/>
      </c>
      <c r="T123" s="9">
        <f>Model_Data!AN123</f>
        <v/>
      </c>
      <c r="U123" s="10" t="n"/>
      <c r="V123" s="9">
        <f>Model_Data!A123</f>
        <v/>
      </c>
      <c r="W123" s="9">
        <f>Model_Data!B123-Inputs!$C$5</f>
        <v/>
      </c>
      <c r="X123" s="10" t="n"/>
      <c r="Y123" s="9">
        <f>Model_Data!A123</f>
        <v/>
      </c>
      <c r="Z123" s="9">
        <f>0</f>
        <v/>
      </c>
      <c r="AA123" s="9">
        <f>((SQRT((Inputs!$C$52+Inputs!$C$5)^2+Inputs!$C$52^2-2*(Inputs!$C$52+Inputs!$C$5)*Inputs!$C$52*COS(SQRT((Model_Data!A123)^2+Inputs!$C$6^2)/Inputs!$C$52))-Inputs!$C$5)*1000/Inputs!$C$12)</f>
        <v/>
      </c>
      <c r="AB123" s="9">
        <f>Model_Data!F123</f>
        <v/>
      </c>
    </row>
    <row r="124">
      <c r="A124" s="9">
        <f>Model_Data!A124</f>
        <v/>
      </c>
      <c r="B124" s="9">
        <f>0</f>
        <v/>
      </c>
      <c r="C124" s="9">
        <f>((SQRT((Inputs!$C$52+Inputs!$C$5)^2+Inputs!$C$52^2-2*(Inputs!$C$52+Inputs!$C$5)*Inputs!$C$52*COS(SQRT((Model_Data!A124)^2+Inputs!$C$6^2)/Inputs!$C$52))-Inputs!$C$5)*1000/Inputs!$C$12)</f>
        <v/>
      </c>
      <c r="D124" s="9">
        <f>Model_Data!F124</f>
        <v/>
      </c>
      <c r="E124" s="9">
        <f>Model_Data!AC124</f>
        <v/>
      </c>
      <c r="F124" s="10" t="n"/>
      <c r="G124" s="9">
        <f>Model_Data!A124</f>
        <v/>
      </c>
      <c r="H124" s="9">
        <f>Model_Data!Y124</f>
        <v/>
      </c>
      <c r="I124" s="9">
        <f>Model_Data!Y124</f>
        <v/>
      </c>
      <c r="J124" s="9">
        <f>Model_Data!X124</f>
        <v/>
      </c>
      <c r="K124" s="9">
        <f>Model_Data!A124</f>
        <v/>
      </c>
      <c r="L124" s="9">
        <f>Model_Data!Y124</f>
        <v/>
      </c>
      <c r="M124" s="9">
        <f>Model_Data!X124</f>
        <v/>
      </c>
      <c r="N124" s="9">
        <f>-(Model_Data!AC124-Model_Data!F124)*Inputs!$C$12</f>
        <v/>
      </c>
      <c r="O124" s="10" t="n"/>
      <c r="P124" s="9">
        <f>Model_Data!A124</f>
        <v/>
      </c>
      <c r="Q124" s="9">
        <f>Model_Data!P124</f>
        <v/>
      </c>
      <c r="R124" s="9">
        <f>Model_Data!AM124</f>
        <v/>
      </c>
      <c r="S124" s="9">
        <f>Model_Data!Q124</f>
        <v/>
      </c>
      <c r="T124" s="9">
        <f>Model_Data!AN124</f>
        <v/>
      </c>
      <c r="U124" s="10" t="n"/>
      <c r="V124" s="9">
        <f>Model_Data!A124</f>
        <v/>
      </c>
      <c r="W124" s="9">
        <f>Model_Data!B124-Inputs!$C$5</f>
        <v/>
      </c>
      <c r="X124" s="10" t="n"/>
      <c r="Y124" s="9">
        <f>Model_Data!A124</f>
        <v/>
      </c>
      <c r="Z124" s="9">
        <f>0</f>
        <v/>
      </c>
      <c r="AA124" s="9">
        <f>((SQRT((Inputs!$C$52+Inputs!$C$5)^2+Inputs!$C$52^2-2*(Inputs!$C$52+Inputs!$C$5)*Inputs!$C$52*COS(SQRT((Model_Data!A124)^2+Inputs!$C$6^2)/Inputs!$C$52))-Inputs!$C$5)*1000/Inputs!$C$12)</f>
        <v/>
      </c>
      <c r="AB124" s="9">
        <f>Model_Data!F124</f>
        <v/>
      </c>
    </row>
    <row r="125">
      <c r="A125" s="9">
        <f>Model_Data!A125</f>
        <v/>
      </c>
      <c r="B125" s="9">
        <f>0</f>
        <v/>
      </c>
      <c r="C125" s="9">
        <f>((SQRT((Inputs!$C$52+Inputs!$C$5)^2+Inputs!$C$52^2-2*(Inputs!$C$52+Inputs!$C$5)*Inputs!$C$52*COS(SQRT((Model_Data!A125)^2+Inputs!$C$6^2)/Inputs!$C$52))-Inputs!$C$5)*1000/Inputs!$C$12)</f>
        <v/>
      </c>
      <c r="D125" s="9">
        <f>Model_Data!F125</f>
        <v/>
      </c>
      <c r="E125" s="9">
        <f>Model_Data!AC125</f>
        <v/>
      </c>
      <c r="F125" s="10" t="n"/>
      <c r="G125" s="9">
        <f>Model_Data!A125</f>
        <v/>
      </c>
      <c r="H125" s="9">
        <f>Model_Data!Y125</f>
        <v/>
      </c>
      <c r="I125" s="9">
        <f>Model_Data!Y125</f>
        <v/>
      </c>
      <c r="J125" s="9">
        <f>Model_Data!X125</f>
        <v/>
      </c>
      <c r="K125" s="9">
        <f>Model_Data!A125</f>
        <v/>
      </c>
      <c r="L125" s="9">
        <f>Model_Data!Y125</f>
        <v/>
      </c>
      <c r="M125" s="9">
        <f>Model_Data!X125</f>
        <v/>
      </c>
      <c r="N125" s="9">
        <f>-(Model_Data!AC125-Model_Data!F125)*Inputs!$C$12</f>
        <v/>
      </c>
      <c r="O125" s="10" t="n"/>
      <c r="P125" s="9">
        <f>Model_Data!A125</f>
        <v/>
      </c>
      <c r="Q125" s="9">
        <f>Model_Data!P125</f>
        <v/>
      </c>
      <c r="R125" s="9">
        <f>Model_Data!AM125</f>
        <v/>
      </c>
      <c r="S125" s="9">
        <f>Model_Data!Q125</f>
        <v/>
      </c>
      <c r="T125" s="9">
        <f>Model_Data!AN125</f>
        <v/>
      </c>
      <c r="U125" s="10" t="n"/>
      <c r="V125" s="9">
        <f>Model_Data!A125</f>
        <v/>
      </c>
      <c r="W125" s="9">
        <f>Model_Data!B125-Inputs!$C$5</f>
        <v/>
      </c>
      <c r="X125" s="10" t="n"/>
      <c r="Y125" s="9">
        <f>Model_Data!A125</f>
        <v/>
      </c>
      <c r="Z125" s="9">
        <f>0</f>
        <v/>
      </c>
      <c r="AA125" s="9">
        <f>((SQRT((Inputs!$C$52+Inputs!$C$5)^2+Inputs!$C$52^2-2*(Inputs!$C$52+Inputs!$C$5)*Inputs!$C$52*COS(SQRT((Model_Data!A125)^2+Inputs!$C$6^2)/Inputs!$C$52))-Inputs!$C$5)*1000/Inputs!$C$12)</f>
        <v/>
      </c>
      <c r="AB125" s="9">
        <f>Model_Data!F125</f>
        <v/>
      </c>
    </row>
    <row r="126">
      <c r="A126" s="9">
        <f>Model_Data!A126</f>
        <v/>
      </c>
      <c r="B126" s="9">
        <f>0</f>
        <v/>
      </c>
      <c r="C126" s="9">
        <f>((SQRT((Inputs!$C$52+Inputs!$C$5)^2+Inputs!$C$52^2-2*(Inputs!$C$52+Inputs!$C$5)*Inputs!$C$52*COS(SQRT((Model_Data!A126)^2+Inputs!$C$6^2)/Inputs!$C$52))-Inputs!$C$5)*1000/Inputs!$C$12)</f>
        <v/>
      </c>
      <c r="D126" s="9">
        <f>Model_Data!F126</f>
        <v/>
      </c>
      <c r="E126" s="9">
        <f>Model_Data!AC126</f>
        <v/>
      </c>
      <c r="F126" s="10" t="n"/>
      <c r="G126" s="9">
        <f>Model_Data!A126</f>
        <v/>
      </c>
      <c r="H126" s="9">
        <f>Model_Data!Y126</f>
        <v/>
      </c>
      <c r="I126" s="9">
        <f>Model_Data!Y126</f>
        <v/>
      </c>
      <c r="J126" s="9">
        <f>Model_Data!X126</f>
        <v/>
      </c>
      <c r="K126" s="9">
        <f>Model_Data!A126</f>
        <v/>
      </c>
      <c r="L126" s="9">
        <f>Model_Data!Y126</f>
        <v/>
      </c>
      <c r="M126" s="9">
        <f>Model_Data!X126</f>
        <v/>
      </c>
      <c r="N126" s="9">
        <f>-(Model_Data!AC126-Model_Data!F126)*Inputs!$C$12</f>
        <v/>
      </c>
      <c r="O126" s="10" t="n"/>
      <c r="P126" s="9">
        <f>Model_Data!A126</f>
        <v/>
      </c>
      <c r="Q126" s="9">
        <f>Model_Data!P126</f>
        <v/>
      </c>
      <c r="R126" s="9">
        <f>Model_Data!AM126</f>
        <v/>
      </c>
      <c r="S126" s="9">
        <f>Model_Data!Q126</f>
        <v/>
      </c>
      <c r="T126" s="9">
        <f>Model_Data!AN126</f>
        <v/>
      </c>
      <c r="U126" s="10" t="n"/>
      <c r="V126" s="9">
        <f>Model_Data!A126</f>
        <v/>
      </c>
      <c r="W126" s="9">
        <f>Model_Data!B126-Inputs!$C$5</f>
        <v/>
      </c>
      <c r="X126" s="10" t="n"/>
      <c r="Y126" s="9">
        <f>Model_Data!A126</f>
        <v/>
      </c>
      <c r="Z126" s="9">
        <f>0</f>
        <v/>
      </c>
      <c r="AA126" s="9">
        <f>((SQRT((Inputs!$C$52+Inputs!$C$5)^2+Inputs!$C$52^2-2*(Inputs!$C$52+Inputs!$C$5)*Inputs!$C$52*COS(SQRT((Model_Data!A126)^2+Inputs!$C$6^2)/Inputs!$C$52))-Inputs!$C$5)*1000/Inputs!$C$12)</f>
        <v/>
      </c>
      <c r="AB126" s="9">
        <f>Model_Data!F126</f>
        <v/>
      </c>
    </row>
    <row r="127">
      <c r="A127" s="9">
        <f>Model_Data!A127</f>
        <v/>
      </c>
      <c r="B127" s="9">
        <f>0</f>
        <v/>
      </c>
      <c r="C127" s="9">
        <f>((SQRT((Inputs!$C$52+Inputs!$C$5)^2+Inputs!$C$52^2-2*(Inputs!$C$52+Inputs!$C$5)*Inputs!$C$52*COS(SQRT((Model_Data!A127)^2+Inputs!$C$6^2)/Inputs!$C$52))-Inputs!$C$5)*1000/Inputs!$C$12)</f>
        <v/>
      </c>
      <c r="D127" s="9">
        <f>Model_Data!F127</f>
        <v/>
      </c>
      <c r="E127" s="9">
        <f>Model_Data!AC127</f>
        <v/>
      </c>
      <c r="F127" s="10" t="n"/>
      <c r="G127" s="9">
        <f>Model_Data!A127</f>
        <v/>
      </c>
      <c r="H127" s="9">
        <f>Model_Data!Y127</f>
        <v/>
      </c>
      <c r="I127" s="9">
        <f>Model_Data!Y127</f>
        <v/>
      </c>
      <c r="J127" s="9">
        <f>Model_Data!X127</f>
        <v/>
      </c>
      <c r="K127" s="9">
        <f>Model_Data!A127</f>
        <v/>
      </c>
      <c r="L127" s="9">
        <f>Model_Data!Y127</f>
        <v/>
      </c>
      <c r="M127" s="9">
        <f>Model_Data!X127</f>
        <v/>
      </c>
      <c r="N127" s="9">
        <f>-(Model_Data!AC127-Model_Data!F127)*Inputs!$C$12</f>
        <v/>
      </c>
      <c r="O127" s="10" t="n"/>
      <c r="P127" s="9">
        <f>Model_Data!A127</f>
        <v/>
      </c>
      <c r="Q127" s="9">
        <f>Model_Data!P127</f>
        <v/>
      </c>
      <c r="R127" s="9">
        <f>Model_Data!AM127</f>
        <v/>
      </c>
      <c r="S127" s="9">
        <f>Model_Data!Q127</f>
        <v/>
      </c>
      <c r="T127" s="9">
        <f>Model_Data!AN127</f>
        <v/>
      </c>
      <c r="U127" s="10" t="n"/>
      <c r="V127" s="9">
        <f>Model_Data!A127</f>
        <v/>
      </c>
      <c r="W127" s="9">
        <f>Model_Data!B127-Inputs!$C$5</f>
        <v/>
      </c>
      <c r="X127" s="10" t="n"/>
      <c r="Y127" s="9">
        <f>Model_Data!A127</f>
        <v/>
      </c>
      <c r="Z127" s="9">
        <f>0</f>
        <v/>
      </c>
      <c r="AA127" s="9">
        <f>((SQRT((Inputs!$C$52+Inputs!$C$5)^2+Inputs!$C$52^2-2*(Inputs!$C$52+Inputs!$C$5)*Inputs!$C$52*COS(SQRT((Model_Data!A127)^2+Inputs!$C$6^2)/Inputs!$C$52))-Inputs!$C$5)*1000/Inputs!$C$12)</f>
        <v/>
      </c>
      <c r="AB127" s="9">
        <f>Model_Data!F127</f>
        <v/>
      </c>
    </row>
    <row r="128">
      <c r="A128" s="9">
        <f>Model_Data!A128</f>
        <v/>
      </c>
      <c r="B128" s="9">
        <f>0</f>
        <v/>
      </c>
      <c r="C128" s="9">
        <f>((SQRT((Inputs!$C$52+Inputs!$C$5)^2+Inputs!$C$52^2-2*(Inputs!$C$52+Inputs!$C$5)*Inputs!$C$52*COS(SQRT((Model_Data!A128)^2+Inputs!$C$6^2)/Inputs!$C$52))-Inputs!$C$5)*1000/Inputs!$C$12)</f>
        <v/>
      </c>
      <c r="D128" s="9">
        <f>Model_Data!F128</f>
        <v/>
      </c>
      <c r="E128" s="9">
        <f>Model_Data!AC128</f>
        <v/>
      </c>
      <c r="F128" s="10" t="n"/>
      <c r="G128" s="9">
        <f>Model_Data!A128</f>
        <v/>
      </c>
      <c r="H128" s="9">
        <f>Model_Data!Y128</f>
        <v/>
      </c>
      <c r="I128" s="9">
        <f>Model_Data!Y128</f>
        <v/>
      </c>
      <c r="J128" s="9">
        <f>Model_Data!X128</f>
        <v/>
      </c>
      <c r="K128" s="9">
        <f>Model_Data!A128</f>
        <v/>
      </c>
      <c r="L128" s="9">
        <f>Model_Data!Y128</f>
        <v/>
      </c>
      <c r="M128" s="9">
        <f>Model_Data!X128</f>
        <v/>
      </c>
      <c r="N128" s="9">
        <f>-(Model_Data!AC128-Model_Data!F128)*Inputs!$C$12</f>
        <v/>
      </c>
      <c r="O128" s="10" t="n"/>
      <c r="P128" s="9">
        <f>Model_Data!A128</f>
        <v/>
      </c>
      <c r="Q128" s="9">
        <f>Model_Data!P128</f>
        <v/>
      </c>
      <c r="R128" s="9">
        <f>Model_Data!AM128</f>
        <v/>
      </c>
      <c r="S128" s="9">
        <f>Model_Data!Q128</f>
        <v/>
      </c>
      <c r="T128" s="9">
        <f>Model_Data!AN128</f>
        <v/>
      </c>
      <c r="U128" s="10" t="n"/>
      <c r="V128" s="9">
        <f>Model_Data!A128</f>
        <v/>
      </c>
      <c r="W128" s="9">
        <f>Model_Data!B128-Inputs!$C$5</f>
        <v/>
      </c>
      <c r="X128" s="10" t="n"/>
      <c r="Y128" s="9">
        <f>Model_Data!A128</f>
        <v/>
      </c>
      <c r="Z128" s="9">
        <f>0</f>
        <v/>
      </c>
      <c r="AA128" s="9">
        <f>((SQRT((Inputs!$C$52+Inputs!$C$5)^2+Inputs!$C$52^2-2*(Inputs!$C$52+Inputs!$C$5)*Inputs!$C$52*COS(SQRT((Model_Data!A128)^2+Inputs!$C$6^2)/Inputs!$C$52))-Inputs!$C$5)*1000/Inputs!$C$12)</f>
        <v/>
      </c>
      <c r="AB128" s="9">
        <f>Model_Data!F128</f>
        <v/>
      </c>
    </row>
    <row r="129">
      <c r="A129" s="9">
        <f>Model_Data!A129</f>
        <v/>
      </c>
      <c r="B129" s="9">
        <f>0</f>
        <v/>
      </c>
      <c r="C129" s="9">
        <f>((SQRT((Inputs!$C$52+Inputs!$C$5)^2+Inputs!$C$52^2-2*(Inputs!$C$52+Inputs!$C$5)*Inputs!$C$52*COS(SQRT((Model_Data!A129)^2+Inputs!$C$6^2)/Inputs!$C$52))-Inputs!$C$5)*1000/Inputs!$C$12)</f>
        <v/>
      </c>
      <c r="D129" s="9">
        <f>Model_Data!F129</f>
        <v/>
      </c>
      <c r="E129" s="9">
        <f>Model_Data!AC129</f>
        <v/>
      </c>
      <c r="F129" s="10" t="n"/>
      <c r="G129" s="9">
        <f>Model_Data!A129</f>
        <v/>
      </c>
      <c r="H129" s="9">
        <f>Model_Data!Y129</f>
        <v/>
      </c>
      <c r="I129" s="9">
        <f>Model_Data!Y129</f>
        <v/>
      </c>
      <c r="J129" s="9">
        <f>Model_Data!X129</f>
        <v/>
      </c>
      <c r="K129" s="9">
        <f>Model_Data!A129</f>
        <v/>
      </c>
      <c r="L129" s="9">
        <f>Model_Data!Y129</f>
        <v/>
      </c>
      <c r="M129" s="9">
        <f>Model_Data!X129</f>
        <v/>
      </c>
      <c r="N129" s="9">
        <f>-(Model_Data!AC129-Model_Data!F129)*Inputs!$C$12</f>
        <v/>
      </c>
      <c r="O129" s="10" t="n"/>
      <c r="P129" s="9">
        <f>Model_Data!A129</f>
        <v/>
      </c>
      <c r="Q129" s="9">
        <f>Model_Data!P129</f>
        <v/>
      </c>
      <c r="R129" s="9">
        <f>Model_Data!AM129</f>
        <v/>
      </c>
      <c r="S129" s="9">
        <f>Model_Data!Q129</f>
        <v/>
      </c>
      <c r="T129" s="9">
        <f>Model_Data!AN129</f>
        <v/>
      </c>
      <c r="U129" s="10" t="n"/>
      <c r="V129" s="9">
        <f>Model_Data!A129</f>
        <v/>
      </c>
      <c r="W129" s="9">
        <f>Model_Data!B129-Inputs!$C$5</f>
        <v/>
      </c>
      <c r="X129" s="10" t="n"/>
      <c r="Y129" s="9">
        <f>Model_Data!A129</f>
        <v/>
      </c>
      <c r="Z129" s="9">
        <f>0</f>
        <v/>
      </c>
      <c r="AA129" s="9">
        <f>((SQRT((Inputs!$C$52+Inputs!$C$5)^2+Inputs!$C$52^2-2*(Inputs!$C$52+Inputs!$C$5)*Inputs!$C$52*COS(SQRT((Model_Data!A129)^2+Inputs!$C$6^2)/Inputs!$C$52))-Inputs!$C$5)*1000/Inputs!$C$12)</f>
        <v/>
      </c>
      <c r="AB129" s="9">
        <f>Model_Data!F129</f>
        <v/>
      </c>
    </row>
    <row r="130">
      <c r="A130" s="9">
        <f>Model_Data!A130</f>
        <v/>
      </c>
      <c r="B130" s="9">
        <f>0</f>
        <v/>
      </c>
      <c r="C130" s="9">
        <f>((SQRT((Inputs!$C$52+Inputs!$C$5)^2+Inputs!$C$52^2-2*(Inputs!$C$52+Inputs!$C$5)*Inputs!$C$52*COS(SQRT((Model_Data!A130)^2+Inputs!$C$6^2)/Inputs!$C$52))-Inputs!$C$5)*1000/Inputs!$C$12)</f>
        <v/>
      </c>
      <c r="D130" s="9">
        <f>Model_Data!F130</f>
        <v/>
      </c>
      <c r="E130" s="9">
        <f>Model_Data!AC130</f>
        <v/>
      </c>
      <c r="F130" s="10" t="n"/>
      <c r="G130" s="9">
        <f>Model_Data!A130</f>
        <v/>
      </c>
      <c r="H130" s="9">
        <f>Model_Data!Y130</f>
        <v/>
      </c>
      <c r="I130" s="9">
        <f>Model_Data!Y130</f>
        <v/>
      </c>
      <c r="J130" s="9">
        <f>Model_Data!X130</f>
        <v/>
      </c>
      <c r="K130" s="9">
        <f>Model_Data!A130</f>
        <v/>
      </c>
      <c r="L130" s="9">
        <f>Model_Data!Y130</f>
        <v/>
      </c>
      <c r="M130" s="9">
        <f>Model_Data!X130</f>
        <v/>
      </c>
      <c r="N130" s="9">
        <f>-(Model_Data!AC130-Model_Data!F130)*Inputs!$C$12</f>
        <v/>
      </c>
      <c r="O130" s="10" t="n"/>
      <c r="P130" s="9">
        <f>Model_Data!A130</f>
        <v/>
      </c>
      <c r="Q130" s="9">
        <f>Model_Data!P130</f>
        <v/>
      </c>
      <c r="R130" s="9">
        <f>Model_Data!AM130</f>
        <v/>
      </c>
      <c r="S130" s="9">
        <f>Model_Data!Q130</f>
        <v/>
      </c>
      <c r="T130" s="9">
        <f>Model_Data!AN130</f>
        <v/>
      </c>
      <c r="U130" s="10" t="n"/>
      <c r="V130" s="9">
        <f>Model_Data!A130</f>
        <v/>
      </c>
      <c r="W130" s="9">
        <f>Model_Data!B130-Inputs!$C$5</f>
        <v/>
      </c>
      <c r="X130" s="10" t="n"/>
      <c r="Y130" s="9">
        <f>Model_Data!A130</f>
        <v/>
      </c>
      <c r="Z130" s="9">
        <f>0</f>
        <v/>
      </c>
      <c r="AA130" s="9">
        <f>((SQRT((Inputs!$C$52+Inputs!$C$5)^2+Inputs!$C$52^2-2*(Inputs!$C$52+Inputs!$C$5)*Inputs!$C$52*COS(SQRT((Model_Data!A130)^2+Inputs!$C$6^2)/Inputs!$C$52))-Inputs!$C$5)*1000/Inputs!$C$12)</f>
        <v/>
      </c>
      <c r="AB130" s="9">
        <f>Model_Data!F130</f>
        <v/>
      </c>
    </row>
    <row r="131">
      <c r="A131" s="9">
        <f>Model_Data!A131</f>
        <v/>
      </c>
      <c r="B131" s="9">
        <f>0</f>
        <v/>
      </c>
      <c r="C131" s="9">
        <f>((SQRT((Inputs!$C$52+Inputs!$C$5)^2+Inputs!$C$52^2-2*(Inputs!$C$52+Inputs!$C$5)*Inputs!$C$52*COS(SQRT((Model_Data!A131)^2+Inputs!$C$6^2)/Inputs!$C$52))-Inputs!$C$5)*1000/Inputs!$C$12)</f>
        <v/>
      </c>
      <c r="D131" s="9">
        <f>Model_Data!F131</f>
        <v/>
      </c>
      <c r="E131" s="9">
        <f>Model_Data!AC131</f>
        <v/>
      </c>
      <c r="F131" s="10" t="n"/>
      <c r="G131" s="9">
        <f>Model_Data!A131</f>
        <v/>
      </c>
      <c r="H131" s="9">
        <f>Model_Data!Y131</f>
        <v/>
      </c>
      <c r="I131" s="9">
        <f>Model_Data!Y131</f>
        <v/>
      </c>
      <c r="J131" s="9">
        <f>Model_Data!X131</f>
        <v/>
      </c>
      <c r="K131" s="9">
        <f>Model_Data!A131</f>
        <v/>
      </c>
      <c r="L131" s="9">
        <f>Model_Data!Y131</f>
        <v/>
      </c>
      <c r="M131" s="9">
        <f>Model_Data!X131</f>
        <v/>
      </c>
      <c r="N131" s="9">
        <f>-(Model_Data!AC131-Model_Data!F131)*Inputs!$C$12</f>
        <v/>
      </c>
      <c r="O131" s="10" t="n"/>
      <c r="P131" s="9">
        <f>Model_Data!A131</f>
        <v/>
      </c>
      <c r="Q131" s="9">
        <f>Model_Data!P131</f>
        <v/>
      </c>
      <c r="R131" s="9">
        <f>Model_Data!AM131</f>
        <v/>
      </c>
      <c r="S131" s="9">
        <f>Model_Data!Q131</f>
        <v/>
      </c>
      <c r="T131" s="9">
        <f>Model_Data!AN131</f>
        <v/>
      </c>
      <c r="U131" s="10" t="n"/>
      <c r="V131" s="9">
        <f>Model_Data!A131</f>
        <v/>
      </c>
      <c r="W131" s="9">
        <f>Model_Data!B131-Inputs!$C$5</f>
        <v/>
      </c>
      <c r="X131" s="10" t="n"/>
      <c r="Y131" s="9">
        <f>Model_Data!A131</f>
        <v/>
      </c>
      <c r="Z131" s="9">
        <f>0</f>
        <v/>
      </c>
      <c r="AA131" s="9">
        <f>((SQRT((Inputs!$C$52+Inputs!$C$5)^2+Inputs!$C$52^2-2*(Inputs!$C$52+Inputs!$C$5)*Inputs!$C$52*COS(SQRT((Model_Data!A131)^2+Inputs!$C$6^2)/Inputs!$C$52))-Inputs!$C$5)*1000/Inputs!$C$12)</f>
        <v/>
      </c>
      <c r="AB131" s="9">
        <f>Model_Data!F131</f>
        <v/>
      </c>
    </row>
    <row r="132">
      <c r="A132" s="9">
        <f>Model_Data!A132</f>
        <v/>
      </c>
      <c r="B132" s="9">
        <f>0</f>
        <v/>
      </c>
      <c r="C132" s="9">
        <f>((SQRT((Inputs!$C$52+Inputs!$C$5)^2+Inputs!$C$52^2-2*(Inputs!$C$52+Inputs!$C$5)*Inputs!$C$52*COS(SQRT((Model_Data!A132)^2+Inputs!$C$6^2)/Inputs!$C$52))-Inputs!$C$5)*1000/Inputs!$C$12)</f>
        <v/>
      </c>
      <c r="D132" s="9">
        <f>Model_Data!F132</f>
        <v/>
      </c>
      <c r="E132" s="9">
        <f>Model_Data!AC132</f>
        <v/>
      </c>
      <c r="F132" s="10" t="n"/>
      <c r="G132" s="9">
        <f>Model_Data!A132</f>
        <v/>
      </c>
      <c r="H132" s="9">
        <f>Model_Data!Y132</f>
        <v/>
      </c>
      <c r="I132" s="9">
        <f>Model_Data!Y132</f>
        <v/>
      </c>
      <c r="J132" s="9">
        <f>Model_Data!X132</f>
        <v/>
      </c>
      <c r="K132" s="9">
        <f>Model_Data!A132</f>
        <v/>
      </c>
      <c r="L132" s="9">
        <f>Model_Data!Y132</f>
        <v/>
      </c>
      <c r="M132" s="9">
        <f>Model_Data!X132</f>
        <v/>
      </c>
      <c r="N132" s="9">
        <f>-(Model_Data!AC132-Model_Data!F132)*Inputs!$C$12</f>
        <v/>
      </c>
      <c r="O132" s="10" t="n"/>
      <c r="P132" s="9">
        <f>Model_Data!A132</f>
        <v/>
      </c>
      <c r="Q132" s="9">
        <f>Model_Data!P132</f>
        <v/>
      </c>
      <c r="R132" s="9">
        <f>Model_Data!AM132</f>
        <v/>
      </c>
      <c r="S132" s="9">
        <f>Model_Data!Q132</f>
        <v/>
      </c>
      <c r="T132" s="9">
        <f>Model_Data!AN132</f>
        <v/>
      </c>
      <c r="U132" s="10" t="n"/>
      <c r="V132" s="9">
        <f>Model_Data!A132</f>
        <v/>
      </c>
      <c r="W132" s="9">
        <f>Model_Data!B132-Inputs!$C$5</f>
        <v/>
      </c>
      <c r="X132" s="10" t="n"/>
      <c r="Y132" s="9">
        <f>Model_Data!A132</f>
        <v/>
      </c>
      <c r="Z132" s="9">
        <f>0</f>
        <v/>
      </c>
      <c r="AA132" s="9">
        <f>((SQRT((Inputs!$C$52+Inputs!$C$5)^2+Inputs!$C$52^2-2*(Inputs!$C$52+Inputs!$C$5)*Inputs!$C$52*COS(SQRT((Model_Data!A132)^2+Inputs!$C$6^2)/Inputs!$C$52))-Inputs!$C$5)*1000/Inputs!$C$12)</f>
        <v/>
      </c>
      <c r="AB132" s="9">
        <f>Model_Data!F132</f>
        <v/>
      </c>
    </row>
    <row r="133">
      <c r="A133" s="9">
        <f>Model_Data!A133</f>
        <v/>
      </c>
      <c r="B133" s="9">
        <f>0</f>
        <v/>
      </c>
      <c r="C133" s="9">
        <f>((SQRT((Inputs!$C$52+Inputs!$C$5)^2+Inputs!$C$52^2-2*(Inputs!$C$52+Inputs!$C$5)*Inputs!$C$52*COS(SQRT((Model_Data!A133)^2+Inputs!$C$6^2)/Inputs!$C$52))-Inputs!$C$5)*1000/Inputs!$C$12)</f>
        <v/>
      </c>
      <c r="D133" s="9">
        <f>Model_Data!F133</f>
        <v/>
      </c>
      <c r="E133" s="9">
        <f>Model_Data!AC133</f>
        <v/>
      </c>
      <c r="F133" s="10" t="n"/>
      <c r="G133" s="9">
        <f>Model_Data!A133</f>
        <v/>
      </c>
      <c r="H133" s="9">
        <f>Model_Data!Y133</f>
        <v/>
      </c>
      <c r="I133" s="9">
        <f>Model_Data!Y133</f>
        <v/>
      </c>
      <c r="J133" s="9">
        <f>Model_Data!X133</f>
        <v/>
      </c>
      <c r="K133" s="9">
        <f>Model_Data!A133</f>
        <v/>
      </c>
      <c r="L133" s="9">
        <f>Model_Data!Y133</f>
        <v/>
      </c>
      <c r="M133" s="9">
        <f>Model_Data!X133</f>
        <v/>
      </c>
      <c r="N133" s="9">
        <f>-(Model_Data!AC133-Model_Data!F133)*Inputs!$C$12</f>
        <v/>
      </c>
      <c r="O133" s="10" t="n"/>
      <c r="P133" s="9">
        <f>Model_Data!A133</f>
        <v/>
      </c>
      <c r="Q133" s="9">
        <f>Model_Data!P133</f>
        <v/>
      </c>
      <c r="R133" s="9">
        <f>Model_Data!AM133</f>
        <v/>
      </c>
      <c r="S133" s="9">
        <f>Model_Data!Q133</f>
        <v/>
      </c>
      <c r="T133" s="9">
        <f>Model_Data!AN133</f>
        <v/>
      </c>
      <c r="U133" s="10" t="n"/>
      <c r="V133" s="9">
        <f>Model_Data!A133</f>
        <v/>
      </c>
      <c r="W133" s="9">
        <f>Model_Data!B133-Inputs!$C$5</f>
        <v/>
      </c>
      <c r="X133" s="10" t="n"/>
      <c r="Y133" s="9">
        <f>Model_Data!A133</f>
        <v/>
      </c>
      <c r="Z133" s="9">
        <f>0</f>
        <v/>
      </c>
      <c r="AA133" s="9">
        <f>((SQRT((Inputs!$C$52+Inputs!$C$5)^2+Inputs!$C$52^2-2*(Inputs!$C$52+Inputs!$C$5)*Inputs!$C$52*COS(SQRT((Model_Data!A133)^2+Inputs!$C$6^2)/Inputs!$C$52))-Inputs!$C$5)*1000/Inputs!$C$12)</f>
        <v/>
      </c>
      <c r="AB133" s="9">
        <f>Model_Data!F133</f>
        <v/>
      </c>
    </row>
    <row r="134">
      <c r="A134" s="9">
        <f>Model_Data!A134</f>
        <v/>
      </c>
      <c r="B134" s="9">
        <f>0</f>
        <v/>
      </c>
      <c r="C134" s="9">
        <f>((SQRT((Inputs!$C$52+Inputs!$C$5)^2+Inputs!$C$52^2-2*(Inputs!$C$52+Inputs!$C$5)*Inputs!$C$52*COS(SQRT((Model_Data!A134)^2+Inputs!$C$6^2)/Inputs!$C$52))-Inputs!$C$5)*1000/Inputs!$C$12)</f>
        <v/>
      </c>
      <c r="D134" s="9">
        <f>Model_Data!F134</f>
        <v/>
      </c>
      <c r="E134" s="9">
        <f>Model_Data!AC134</f>
        <v/>
      </c>
      <c r="F134" s="10" t="n"/>
      <c r="G134" s="9">
        <f>Model_Data!A134</f>
        <v/>
      </c>
      <c r="H134" s="9">
        <f>Model_Data!Y134</f>
        <v/>
      </c>
      <c r="I134" s="9">
        <f>Model_Data!Y134</f>
        <v/>
      </c>
      <c r="J134" s="9">
        <f>Model_Data!X134</f>
        <v/>
      </c>
      <c r="K134" s="9">
        <f>Model_Data!A134</f>
        <v/>
      </c>
      <c r="L134" s="9">
        <f>Model_Data!Y134</f>
        <v/>
      </c>
      <c r="M134" s="9">
        <f>Model_Data!X134</f>
        <v/>
      </c>
      <c r="N134" s="9">
        <f>-(Model_Data!AC134-Model_Data!F134)*Inputs!$C$12</f>
        <v/>
      </c>
      <c r="O134" s="10" t="n"/>
      <c r="P134" s="9">
        <f>Model_Data!A134</f>
        <v/>
      </c>
      <c r="Q134" s="9">
        <f>Model_Data!P134</f>
        <v/>
      </c>
      <c r="R134" s="9">
        <f>Model_Data!AM134</f>
        <v/>
      </c>
      <c r="S134" s="9">
        <f>Model_Data!Q134</f>
        <v/>
      </c>
      <c r="T134" s="9">
        <f>Model_Data!AN134</f>
        <v/>
      </c>
      <c r="U134" s="10" t="n"/>
      <c r="V134" s="9">
        <f>Model_Data!A134</f>
        <v/>
      </c>
      <c r="W134" s="9">
        <f>Model_Data!B134-Inputs!$C$5</f>
        <v/>
      </c>
      <c r="X134" s="10" t="n"/>
      <c r="Y134" s="9">
        <f>Model_Data!A134</f>
        <v/>
      </c>
      <c r="Z134" s="9">
        <f>0</f>
        <v/>
      </c>
      <c r="AA134" s="9">
        <f>((SQRT((Inputs!$C$52+Inputs!$C$5)^2+Inputs!$C$52^2-2*(Inputs!$C$52+Inputs!$C$5)*Inputs!$C$52*COS(SQRT((Model_Data!A134)^2+Inputs!$C$6^2)/Inputs!$C$52))-Inputs!$C$5)*1000/Inputs!$C$12)</f>
        <v/>
      </c>
      <c r="AB134" s="9">
        <f>Model_Data!F134</f>
        <v/>
      </c>
    </row>
    <row r="135">
      <c r="A135" s="9">
        <f>Model_Data!A135</f>
        <v/>
      </c>
      <c r="B135" s="9">
        <f>0</f>
        <v/>
      </c>
      <c r="C135" s="9">
        <f>((SQRT((Inputs!$C$52+Inputs!$C$5)^2+Inputs!$C$52^2-2*(Inputs!$C$52+Inputs!$C$5)*Inputs!$C$52*COS(SQRT((Model_Data!A135)^2+Inputs!$C$6^2)/Inputs!$C$52))-Inputs!$C$5)*1000/Inputs!$C$12)</f>
        <v/>
      </c>
      <c r="D135" s="9">
        <f>Model_Data!F135</f>
        <v/>
      </c>
      <c r="E135" s="9">
        <f>Model_Data!AC135</f>
        <v/>
      </c>
      <c r="F135" s="10" t="n"/>
      <c r="G135" s="9">
        <f>Model_Data!A135</f>
        <v/>
      </c>
      <c r="H135" s="9">
        <f>Model_Data!Y135</f>
        <v/>
      </c>
      <c r="I135" s="9">
        <f>Model_Data!Y135</f>
        <v/>
      </c>
      <c r="J135" s="9">
        <f>Model_Data!X135</f>
        <v/>
      </c>
      <c r="K135" s="9">
        <f>Model_Data!A135</f>
        <v/>
      </c>
      <c r="L135" s="9">
        <f>Model_Data!Y135</f>
        <v/>
      </c>
      <c r="M135" s="9">
        <f>Model_Data!X135</f>
        <v/>
      </c>
      <c r="N135" s="9">
        <f>-(Model_Data!AC135-Model_Data!F135)*Inputs!$C$12</f>
        <v/>
      </c>
      <c r="O135" s="10" t="n"/>
      <c r="P135" s="9">
        <f>Model_Data!A135</f>
        <v/>
      </c>
      <c r="Q135" s="9">
        <f>Model_Data!P135</f>
        <v/>
      </c>
      <c r="R135" s="9">
        <f>Model_Data!AM135</f>
        <v/>
      </c>
      <c r="S135" s="9">
        <f>Model_Data!Q135</f>
        <v/>
      </c>
      <c r="T135" s="9">
        <f>Model_Data!AN135</f>
        <v/>
      </c>
      <c r="U135" s="10" t="n"/>
      <c r="V135" s="9">
        <f>Model_Data!A135</f>
        <v/>
      </c>
      <c r="W135" s="9">
        <f>Model_Data!B135-Inputs!$C$5</f>
        <v/>
      </c>
      <c r="X135" s="10" t="n"/>
      <c r="Y135" s="9">
        <f>Model_Data!A135</f>
        <v/>
      </c>
      <c r="Z135" s="9">
        <f>0</f>
        <v/>
      </c>
      <c r="AA135" s="9">
        <f>((SQRT((Inputs!$C$52+Inputs!$C$5)^2+Inputs!$C$52^2-2*(Inputs!$C$52+Inputs!$C$5)*Inputs!$C$52*COS(SQRT((Model_Data!A135)^2+Inputs!$C$6^2)/Inputs!$C$52))-Inputs!$C$5)*1000/Inputs!$C$12)</f>
        <v/>
      </c>
      <c r="AB135" s="9">
        <f>Model_Data!F135</f>
        <v/>
      </c>
    </row>
    <row r="136">
      <c r="A136" s="9">
        <f>Model_Data!A136</f>
        <v/>
      </c>
      <c r="B136" s="9">
        <f>0</f>
        <v/>
      </c>
      <c r="C136" s="9">
        <f>((SQRT((Inputs!$C$52+Inputs!$C$5)^2+Inputs!$C$52^2-2*(Inputs!$C$52+Inputs!$C$5)*Inputs!$C$52*COS(SQRT((Model_Data!A136)^2+Inputs!$C$6^2)/Inputs!$C$52))-Inputs!$C$5)*1000/Inputs!$C$12)</f>
        <v/>
      </c>
      <c r="D136" s="9">
        <f>Model_Data!F136</f>
        <v/>
      </c>
      <c r="E136" s="9">
        <f>Model_Data!AC136</f>
        <v/>
      </c>
      <c r="F136" s="10" t="n"/>
      <c r="G136" s="9">
        <f>Model_Data!A136</f>
        <v/>
      </c>
      <c r="H136" s="9">
        <f>Model_Data!Y136</f>
        <v/>
      </c>
      <c r="I136" s="9">
        <f>Model_Data!Y136</f>
        <v/>
      </c>
      <c r="J136" s="9">
        <f>Model_Data!X136</f>
        <v/>
      </c>
      <c r="K136" s="9">
        <f>Model_Data!A136</f>
        <v/>
      </c>
      <c r="L136" s="9">
        <f>Model_Data!Y136</f>
        <v/>
      </c>
      <c r="M136" s="9">
        <f>Model_Data!X136</f>
        <v/>
      </c>
      <c r="N136" s="9">
        <f>-(Model_Data!AC136-Model_Data!F136)*Inputs!$C$12</f>
        <v/>
      </c>
      <c r="O136" s="10" t="n"/>
      <c r="P136" s="9">
        <f>Model_Data!A136</f>
        <v/>
      </c>
      <c r="Q136" s="9">
        <f>Model_Data!P136</f>
        <v/>
      </c>
      <c r="R136" s="9">
        <f>Model_Data!AM136</f>
        <v/>
      </c>
      <c r="S136" s="9">
        <f>Model_Data!Q136</f>
        <v/>
      </c>
      <c r="T136" s="9">
        <f>Model_Data!AN136</f>
        <v/>
      </c>
      <c r="U136" s="10" t="n"/>
      <c r="V136" s="9">
        <f>Model_Data!A136</f>
        <v/>
      </c>
      <c r="W136" s="9">
        <f>Model_Data!B136-Inputs!$C$5</f>
        <v/>
      </c>
      <c r="X136" s="10" t="n"/>
      <c r="Y136" s="9">
        <f>Model_Data!A136</f>
        <v/>
      </c>
      <c r="Z136" s="9">
        <f>0</f>
        <v/>
      </c>
      <c r="AA136" s="9">
        <f>((SQRT((Inputs!$C$52+Inputs!$C$5)^2+Inputs!$C$52^2-2*(Inputs!$C$52+Inputs!$C$5)*Inputs!$C$52*COS(SQRT((Model_Data!A136)^2+Inputs!$C$6^2)/Inputs!$C$52))-Inputs!$C$5)*1000/Inputs!$C$12)</f>
        <v/>
      </c>
      <c r="AB136" s="9">
        <f>Model_Data!F136</f>
        <v/>
      </c>
    </row>
    <row r="137">
      <c r="A137" s="9">
        <f>Model_Data!A137</f>
        <v/>
      </c>
      <c r="B137" s="9">
        <f>0</f>
        <v/>
      </c>
      <c r="C137" s="9">
        <f>((SQRT((Inputs!$C$52+Inputs!$C$5)^2+Inputs!$C$52^2-2*(Inputs!$C$52+Inputs!$C$5)*Inputs!$C$52*COS(SQRT((Model_Data!A137)^2+Inputs!$C$6^2)/Inputs!$C$52))-Inputs!$C$5)*1000/Inputs!$C$12)</f>
        <v/>
      </c>
      <c r="D137" s="9">
        <f>Model_Data!F137</f>
        <v/>
      </c>
      <c r="E137" s="9">
        <f>Model_Data!AC137</f>
        <v/>
      </c>
      <c r="F137" s="10" t="n"/>
      <c r="G137" s="9">
        <f>Model_Data!A137</f>
        <v/>
      </c>
      <c r="H137" s="9">
        <f>Model_Data!Y137</f>
        <v/>
      </c>
      <c r="I137" s="9">
        <f>Model_Data!Y137</f>
        <v/>
      </c>
      <c r="J137" s="9">
        <f>Model_Data!X137</f>
        <v/>
      </c>
      <c r="K137" s="9">
        <f>Model_Data!A137</f>
        <v/>
      </c>
      <c r="L137" s="9">
        <f>Model_Data!Y137</f>
        <v/>
      </c>
      <c r="M137" s="9">
        <f>Model_Data!X137</f>
        <v/>
      </c>
      <c r="N137" s="9">
        <f>-(Model_Data!AC137-Model_Data!F137)*Inputs!$C$12</f>
        <v/>
      </c>
      <c r="O137" s="10" t="n"/>
      <c r="P137" s="9">
        <f>Model_Data!A137</f>
        <v/>
      </c>
      <c r="Q137" s="9">
        <f>Model_Data!P137</f>
        <v/>
      </c>
      <c r="R137" s="9">
        <f>Model_Data!AM137</f>
        <v/>
      </c>
      <c r="S137" s="9">
        <f>Model_Data!Q137</f>
        <v/>
      </c>
      <c r="T137" s="9">
        <f>Model_Data!AN137</f>
        <v/>
      </c>
      <c r="U137" s="10" t="n"/>
      <c r="V137" s="9">
        <f>Model_Data!A137</f>
        <v/>
      </c>
      <c r="W137" s="9">
        <f>Model_Data!B137-Inputs!$C$5</f>
        <v/>
      </c>
      <c r="X137" s="10" t="n"/>
      <c r="Y137" s="9">
        <f>Model_Data!A137</f>
        <v/>
      </c>
      <c r="Z137" s="9">
        <f>0</f>
        <v/>
      </c>
      <c r="AA137" s="9">
        <f>((SQRT((Inputs!$C$52+Inputs!$C$5)^2+Inputs!$C$52^2-2*(Inputs!$C$52+Inputs!$C$5)*Inputs!$C$52*COS(SQRT((Model_Data!A137)^2+Inputs!$C$6^2)/Inputs!$C$52))-Inputs!$C$5)*1000/Inputs!$C$12)</f>
        <v/>
      </c>
      <c r="AB137" s="9">
        <f>Model_Data!F137</f>
        <v/>
      </c>
    </row>
    <row r="138">
      <c r="A138" s="9">
        <f>Model_Data!A138</f>
        <v/>
      </c>
      <c r="B138" s="9">
        <f>0</f>
        <v/>
      </c>
      <c r="C138" s="9">
        <f>((SQRT((Inputs!$C$52+Inputs!$C$5)^2+Inputs!$C$52^2-2*(Inputs!$C$52+Inputs!$C$5)*Inputs!$C$52*COS(SQRT((Model_Data!A138)^2+Inputs!$C$6^2)/Inputs!$C$52))-Inputs!$C$5)*1000/Inputs!$C$12)</f>
        <v/>
      </c>
      <c r="D138" s="9">
        <f>Model_Data!F138</f>
        <v/>
      </c>
      <c r="E138" s="9">
        <f>Model_Data!AC138</f>
        <v/>
      </c>
      <c r="F138" s="10" t="n"/>
      <c r="G138" s="9">
        <f>Model_Data!A138</f>
        <v/>
      </c>
      <c r="H138" s="9">
        <f>Model_Data!Y138</f>
        <v/>
      </c>
      <c r="I138" s="9">
        <f>Model_Data!Y138</f>
        <v/>
      </c>
      <c r="J138" s="9">
        <f>Model_Data!X138</f>
        <v/>
      </c>
      <c r="K138" s="9">
        <f>Model_Data!A138</f>
        <v/>
      </c>
      <c r="L138" s="9">
        <f>Model_Data!Y138</f>
        <v/>
      </c>
      <c r="M138" s="9">
        <f>Model_Data!X138</f>
        <v/>
      </c>
      <c r="N138" s="9">
        <f>-(Model_Data!AC138-Model_Data!F138)*Inputs!$C$12</f>
        <v/>
      </c>
      <c r="O138" s="10" t="n"/>
      <c r="P138" s="9">
        <f>Model_Data!A138</f>
        <v/>
      </c>
      <c r="Q138" s="9">
        <f>Model_Data!P138</f>
        <v/>
      </c>
      <c r="R138" s="9">
        <f>Model_Data!AM138</f>
        <v/>
      </c>
      <c r="S138" s="9">
        <f>Model_Data!Q138</f>
        <v/>
      </c>
      <c r="T138" s="9">
        <f>Model_Data!AN138</f>
        <v/>
      </c>
      <c r="U138" s="10" t="n"/>
      <c r="V138" s="9">
        <f>Model_Data!A138</f>
        <v/>
      </c>
      <c r="W138" s="9">
        <f>Model_Data!B138-Inputs!$C$5</f>
        <v/>
      </c>
      <c r="X138" s="10" t="n"/>
      <c r="Y138" s="9">
        <f>Model_Data!A138</f>
        <v/>
      </c>
      <c r="Z138" s="9">
        <f>0</f>
        <v/>
      </c>
      <c r="AA138" s="9">
        <f>((SQRT((Inputs!$C$52+Inputs!$C$5)^2+Inputs!$C$52^2-2*(Inputs!$C$52+Inputs!$C$5)*Inputs!$C$52*COS(SQRT((Model_Data!A138)^2+Inputs!$C$6^2)/Inputs!$C$52))-Inputs!$C$5)*1000/Inputs!$C$12)</f>
        <v/>
      </c>
      <c r="AB138" s="9">
        <f>Model_Data!F138</f>
        <v/>
      </c>
    </row>
    <row r="139">
      <c r="A139" s="9">
        <f>Model_Data!A139</f>
        <v/>
      </c>
      <c r="B139" s="9">
        <f>0</f>
        <v/>
      </c>
      <c r="C139" s="9">
        <f>((SQRT((Inputs!$C$52+Inputs!$C$5)^2+Inputs!$C$52^2-2*(Inputs!$C$52+Inputs!$C$5)*Inputs!$C$52*COS(SQRT((Model_Data!A139)^2+Inputs!$C$6^2)/Inputs!$C$52))-Inputs!$C$5)*1000/Inputs!$C$12)</f>
        <v/>
      </c>
      <c r="D139" s="9">
        <f>Model_Data!F139</f>
        <v/>
      </c>
      <c r="E139" s="9">
        <f>Model_Data!AC139</f>
        <v/>
      </c>
      <c r="F139" s="10" t="n"/>
      <c r="G139" s="9">
        <f>Model_Data!A139</f>
        <v/>
      </c>
      <c r="H139" s="9">
        <f>Model_Data!Y139</f>
        <v/>
      </c>
      <c r="I139" s="9">
        <f>Model_Data!Y139</f>
        <v/>
      </c>
      <c r="J139" s="9">
        <f>Model_Data!X139</f>
        <v/>
      </c>
      <c r="K139" s="9">
        <f>Model_Data!A139</f>
        <v/>
      </c>
      <c r="L139" s="9">
        <f>Model_Data!Y139</f>
        <v/>
      </c>
      <c r="M139" s="9">
        <f>Model_Data!X139</f>
        <v/>
      </c>
      <c r="N139" s="9">
        <f>-(Model_Data!AC139-Model_Data!F139)*Inputs!$C$12</f>
        <v/>
      </c>
      <c r="O139" s="10" t="n"/>
      <c r="P139" s="9">
        <f>Model_Data!A139</f>
        <v/>
      </c>
      <c r="Q139" s="9">
        <f>Model_Data!P139</f>
        <v/>
      </c>
      <c r="R139" s="9">
        <f>Model_Data!AM139</f>
        <v/>
      </c>
      <c r="S139" s="9">
        <f>Model_Data!Q139</f>
        <v/>
      </c>
      <c r="T139" s="9">
        <f>Model_Data!AN139</f>
        <v/>
      </c>
      <c r="U139" s="10" t="n"/>
      <c r="V139" s="9">
        <f>Model_Data!A139</f>
        <v/>
      </c>
      <c r="W139" s="9">
        <f>Model_Data!B139-Inputs!$C$5</f>
        <v/>
      </c>
      <c r="X139" s="10" t="n"/>
      <c r="Y139" s="9">
        <f>Model_Data!A139</f>
        <v/>
      </c>
      <c r="Z139" s="9">
        <f>0</f>
        <v/>
      </c>
      <c r="AA139" s="9">
        <f>((SQRT((Inputs!$C$52+Inputs!$C$5)^2+Inputs!$C$52^2-2*(Inputs!$C$52+Inputs!$C$5)*Inputs!$C$52*COS(SQRT((Model_Data!A139)^2+Inputs!$C$6^2)/Inputs!$C$52))-Inputs!$C$5)*1000/Inputs!$C$12)</f>
        <v/>
      </c>
      <c r="AB139" s="9">
        <f>Model_Data!F139</f>
        <v/>
      </c>
    </row>
    <row r="140">
      <c r="A140" s="9">
        <f>Model_Data!A140</f>
        <v/>
      </c>
      <c r="B140" s="9">
        <f>0</f>
        <v/>
      </c>
      <c r="C140" s="9">
        <f>((SQRT((Inputs!$C$52+Inputs!$C$5)^2+Inputs!$C$52^2-2*(Inputs!$C$52+Inputs!$C$5)*Inputs!$C$52*COS(SQRT((Model_Data!A140)^2+Inputs!$C$6^2)/Inputs!$C$52))-Inputs!$C$5)*1000/Inputs!$C$12)</f>
        <v/>
      </c>
      <c r="D140" s="9">
        <f>Model_Data!F140</f>
        <v/>
      </c>
      <c r="E140" s="9">
        <f>Model_Data!AC140</f>
        <v/>
      </c>
      <c r="F140" s="10" t="n"/>
      <c r="G140" s="9">
        <f>Model_Data!A140</f>
        <v/>
      </c>
      <c r="H140" s="9">
        <f>Model_Data!Y140</f>
        <v/>
      </c>
      <c r="I140" s="9">
        <f>Model_Data!Y140</f>
        <v/>
      </c>
      <c r="J140" s="9">
        <f>Model_Data!X140</f>
        <v/>
      </c>
      <c r="K140" s="9">
        <f>Model_Data!A140</f>
        <v/>
      </c>
      <c r="L140" s="9">
        <f>Model_Data!Y140</f>
        <v/>
      </c>
      <c r="M140" s="9">
        <f>Model_Data!X140</f>
        <v/>
      </c>
      <c r="N140" s="9">
        <f>-(Model_Data!AC140-Model_Data!F140)*Inputs!$C$12</f>
        <v/>
      </c>
      <c r="O140" s="10" t="n"/>
      <c r="P140" s="9">
        <f>Model_Data!A140</f>
        <v/>
      </c>
      <c r="Q140" s="9">
        <f>Model_Data!P140</f>
        <v/>
      </c>
      <c r="R140" s="9">
        <f>Model_Data!AM140</f>
        <v/>
      </c>
      <c r="S140" s="9">
        <f>Model_Data!Q140</f>
        <v/>
      </c>
      <c r="T140" s="9">
        <f>Model_Data!AN140</f>
        <v/>
      </c>
      <c r="U140" s="10" t="n"/>
      <c r="V140" s="9">
        <f>Model_Data!A140</f>
        <v/>
      </c>
      <c r="W140" s="9">
        <f>Model_Data!B140-Inputs!$C$5</f>
        <v/>
      </c>
      <c r="X140" s="10" t="n"/>
      <c r="Y140" s="9">
        <f>Model_Data!A140</f>
        <v/>
      </c>
      <c r="Z140" s="9">
        <f>0</f>
        <v/>
      </c>
      <c r="AA140" s="9">
        <f>((SQRT((Inputs!$C$52+Inputs!$C$5)^2+Inputs!$C$52^2-2*(Inputs!$C$52+Inputs!$C$5)*Inputs!$C$52*COS(SQRT((Model_Data!A140)^2+Inputs!$C$6^2)/Inputs!$C$52))-Inputs!$C$5)*1000/Inputs!$C$12)</f>
        <v/>
      </c>
      <c r="AB140" s="9">
        <f>Model_Data!F140</f>
        <v/>
      </c>
    </row>
    <row r="141">
      <c r="A141" s="9">
        <f>Model_Data!A141</f>
        <v/>
      </c>
      <c r="B141" s="9">
        <f>0</f>
        <v/>
      </c>
      <c r="C141" s="9">
        <f>((SQRT((Inputs!$C$52+Inputs!$C$5)^2+Inputs!$C$52^2-2*(Inputs!$C$52+Inputs!$C$5)*Inputs!$C$52*COS(SQRT((Model_Data!A141)^2+Inputs!$C$6^2)/Inputs!$C$52))-Inputs!$C$5)*1000/Inputs!$C$12)</f>
        <v/>
      </c>
      <c r="D141" s="9">
        <f>Model_Data!F141</f>
        <v/>
      </c>
      <c r="E141" s="9">
        <f>Model_Data!AC141</f>
        <v/>
      </c>
      <c r="F141" s="10" t="n"/>
      <c r="G141" s="9">
        <f>Model_Data!A141</f>
        <v/>
      </c>
      <c r="H141" s="9">
        <f>Model_Data!Y141</f>
        <v/>
      </c>
      <c r="I141" s="9">
        <f>Model_Data!Y141</f>
        <v/>
      </c>
      <c r="J141" s="9">
        <f>Model_Data!X141</f>
        <v/>
      </c>
      <c r="K141" s="9">
        <f>Model_Data!A141</f>
        <v/>
      </c>
      <c r="L141" s="9">
        <f>Model_Data!Y141</f>
        <v/>
      </c>
      <c r="M141" s="9">
        <f>Model_Data!X141</f>
        <v/>
      </c>
      <c r="N141" s="9">
        <f>-(Model_Data!AC141-Model_Data!F141)*Inputs!$C$12</f>
        <v/>
      </c>
      <c r="O141" s="10" t="n"/>
      <c r="P141" s="9">
        <f>Model_Data!A141</f>
        <v/>
      </c>
      <c r="Q141" s="9">
        <f>Model_Data!P141</f>
        <v/>
      </c>
      <c r="R141" s="9">
        <f>Model_Data!AM141</f>
        <v/>
      </c>
      <c r="S141" s="9">
        <f>Model_Data!Q141</f>
        <v/>
      </c>
      <c r="T141" s="9">
        <f>Model_Data!AN141</f>
        <v/>
      </c>
      <c r="U141" s="10" t="n"/>
      <c r="V141" s="9">
        <f>Model_Data!A141</f>
        <v/>
      </c>
      <c r="W141" s="9">
        <f>Model_Data!B141-Inputs!$C$5</f>
        <v/>
      </c>
      <c r="X141" s="10" t="n"/>
      <c r="Y141" s="9">
        <f>Model_Data!A141</f>
        <v/>
      </c>
      <c r="Z141" s="9">
        <f>0</f>
        <v/>
      </c>
      <c r="AA141" s="9">
        <f>((SQRT((Inputs!$C$52+Inputs!$C$5)^2+Inputs!$C$52^2-2*(Inputs!$C$52+Inputs!$C$5)*Inputs!$C$52*COS(SQRT((Model_Data!A141)^2+Inputs!$C$6^2)/Inputs!$C$52))-Inputs!$C$5)*1000/Inputs!$C$12)</f>
        <v/>
      </c>
      <c r="AB141" s="9">
        <f>Model_Data!F141</f>
        <v/>
      </c>
    </row>
    <row r="142">
      <c r="A142" s="9">
        <f>Model_Data!A142</f>
        <v/>
      </c>
      <c r="B142" s="9">
        <f>0</f>
        <v/>
      </c>
      <c r="C142" s="9">
        <f>((SQRT((Inputs!$C$52+Inputs!$C$5)^2+Inputs!$C$52^2-2*(Inputs!$C$52+Inputs!$C$5)*Inputs!$C$52*COS(SQRT((Model_Data!A142)^2+Inputs!$C$6^2)/Inputs!$C$52))-Inputs!$C$5)*1000/Inputs!$C$12)</f>
        <v/>
      </c>
      <c r="D142" s="9">
        <f>Model_Data!F142</f>
        <v/>
      </c>
      <c r="E142" s="9">
        <f>Model_Data!AC142</f>
        <v/>
      </c>
      <c r="F142" s="10" t="n"/>
      <c r="G142" s="9">
        <f>Model_Data!A142</f>
        <v/>
      </c>
      <c r="H142" s="9">
        <f>Model_Data!Y142</f>
        <v/>
      </c>
      <c r="I142" s="9">
        <f>Model_Data!Y142</f>
        <v/>
      </c>
      <c r="J142" s="9">
        <f>Model_Data!X142</f>
        <v/>
      </c>
      <c r="K142" s="9">
        <f>Model_Data!A142</f>
        <v/>
      </c>
      <c r="L142" s="9">
        <f>Model_Data!Y142</f>
        <v/>
      </c>
      <c r="M142" s="9">
        <f>Model_Data!X142</f>
        <v/>
      </c>
      <c r="N142" s="9">
        <f>-(Model_Data!AC142-Model_Data!F142)*Inputs!$C$12</f>
        <v/>
      </c>
      <c r="O142" s="10" t="n"/>
      <c r="P142" s="9">
        <f>Model_Data!A142</f>
        <v/>
      </c>
      <c r="Q142" s="9">
        <f>Model_Data!P142</f>
        <v/>
      </c>
      <c r="R142" s="9">
        <f>Model_Data!AM142</f>
        <v/>
      </c>
      <c r="S142" s="9">
        <f>Model_Data!Q142</f>
        <v/>
      </c>
      <c r="T142" s="9">
        <f>Model_Data!AN142</f>
        <v/>
      </c>
      <c r="U142" s="10" t="n"/>
      <c r="V142" s="9">
        <f>Model_Data!A142</f>
        <v/>
      </c>
      <c r="W142" s="9">
        <f>Model_Data!B142-Inputs!$C$5</f>
        <v/>
      </c>
      <c r="X142" s="10" t="n"/>
      <c r="Y142" s="9">
        <f>Model_Data!A142</f>
        <v/>
      </c>
      <c r="Z142" s="9">
        <f>0</f>
        <v/>
      </c>
      <c r="AA142" s="9">
        <f>((SQRT((Inputs!$C$52+Inputs!$C$5)^2+Inputs!$C$52^2-2*(Inputs!$C$52+Inputs!$C$5)*Inputs!$C$52*COS(SQRT((Model_Data!A142)^2+Inputs!$C$6^2)/Inputs!$C$52))-Inputs!$C$5)*1000/Inputs!$C$12)</f>
        <v/>
      </c>
      <c r="AB142" s="9">
        <f>Model_Data!F142</f>
        <v/>
      </c>
    </row>
    <row r="143">
      <c r="A143" s="9">
        <f>Model_Data!A143</f>
        <v/>
      </c>
      <c r="B143" s="9">
        <f>0</f>
        <v/>
      </c>
      <c r="C143" s="9">
        <f>((SQRT((Inputs!$C$52+Inputs!$C$5)^2+Inputs!$C$52^2-2*(Inputs!$C$52+Inputs!$C$5)*Inputs!$C$52*COS(SQRT((Model_Data!A143)^2+Inputs!$C$6^2)/Inputs!$C$52))-Inputs!$C$5)*1000/Inputs!$C$12)</f>
        <v/>
      </c>
      <c r="D143" s="9">
        <f>Model_Data!F143</f>
        <v/>
      </c>
      <c r="E143" s="9">
        <f>Model_Data!AC143</f>
        <v/>
      </c>
      <c r="F143" s="10" t="n"/>
      <c r="G143" s="9">
        <f>Model_Data!A143</f>
        <v/>
      </c>
      <c r="H143" s="9">
        <f>Model_Data!Y143</f>
        <v/>
      </c>
      <c r="I143" s="9">
        <f>Model_Data!Y143</f>
        <v/>
      </c>
      <c r="J143" s="9">
        <f>Model_Data!X143</f>
        <v/>
      </c>
      <c r="K143" s="9">
        <f>Model_Data!A143</f>
        <v/>
      </c>
      <c r="L143" s="9">
        <f>Model_Data!Y143</f>
        <v/>
      </c>
      <c r="M143" s="9">
        <f>Model_Data!X143</f>
        <v/>
      </c>
      <c r="N143" s="9">
        <f>-(Model_Data!AC143-Model_Data!F143)*Inputs!$C$12</f>
        <v/>
      </c>
      <c r="O143" s="10" t="n"/>
      <c r="P143" s="9">
        <f>Model_Data!A143</f>
        <v/>
      </c>
      <c r="Q143" s="9">
        <f>Model_Data!P143</f>
        <v/>
      </c>
      <c r="R143" s="9">
        <f>Model_Data!AM143</f>
        <v/>
      </c>
      <c r="S143" s="9">
        <f>Model_Data!Q143</f>
        <v/>
      </c>
      <c r="T143" s="9">
        <f>Model_Data!AN143</f>
        <v/>
      </c>
      <c r="U143" s="10" t="n"/>
      <c r="V143" s="9">
        <f>Model_Data!A143</f>
        <v/>
      </c>
      <c r="W143" s="9">
        <f>Model_Data!B143-Inputs!$C$5</f>
        <v/>
      </c>
      <c r="X143" s="10" t="n"/>
      <c r="Y143" s="9">
        <f>Model_Data!A143</f>
        <v/>
      </c>
      <c r="Z143" s="9">
        <f>0</f>
        <v/>
      </c>
      <c r="AA143" s="9">
        <f>((SQRT((Inputs!$C$52+Inputs!$C$5)^2+Inputs!$C$52^2-2*(Inputs!$C$52+Inputs!$C$5)*Inputs!$C$52*COS(SQRT((Model_Data!A143)^2+Inputs!$C$6^2)/Inputs!$C$52))-Inputs!$C$5)*1000/Inputs!$C$12)</f>
        <v/>
      </c>
      <c r="AB143" s="9">
        <f>Model_Data!F143</f>
        <v/>
      </c>
    </row>
    <row r="144">
      <c r="A144" s="9">
        <f>Model_Data!A144</f>
        <v/>
      </c>
      <c r="B144" s="9">
        <f>0</f>
        <v/>
      </c>
      <c r="C144" s="9">
        <f>((SQRT((Inputs!$C$52+Inputs!$C$5)^2+Inputs!$C$52^2-2*(Inputs!$C$52+Inputs!$C$5)*Inputs!$C$52*COS(SQRT((Model_Data!A144)^2+Inputs!$C$6^2)/Inputs!$C$52))-Inputs!$C$5)*1000/Inputs!$C$12)</f>
        <v/>
      </c>
      <c r="D144" s="9">
        <f>Model_Data!F144</f>
        <v/>
      </c>
      <c r="E144" s="9">
        <f>Model_Data!AC144</f>
        <v/>
      </c>
      <c r="F144" s="10" t="n"/>
      <c r="G144" s="9">
        <f>Model_Data!A144</f>
        <v/>
      </c>
      <c r="H144" s="9">
        <f>Model_Data!Y144</f>
        <v/>
      </c>
      <c r="I144" s="9">
        <f>Model_Data!Y144</f>
        <v/>
      </c>
      <c r="J144" s="9">
        <f>Model_Data!X144</f>
        <v/>
      </c>
      <c r="K144" s="9">
        <f>Model_Data!A144</f>
        <v/>
      </c>
      <c r="L144" s="9">
        <f>Model_Data!Y144</f>
        <v/>
      </c>
      <c r="M144" s="9">
        <f>Model_Data!X144</f>
        <v/>
      </c>
      <c r="N144" s="9">
        <f>-(Model_Data!AC144-Model_Data!F144)*Inputs!$C$12</f>
        <v/>
      </c>
      <c r="O144" s="10" t="n"/>
      <c r="P144" s="9">
        <f>Model_Data!A144</f>
        <v/>
      </c>
      <c r="Q144" s="9">
        <f>Model_Data!P144</f>
        <v/>
      </c>
      <c r="R144" s="9">
        <f>Model_Data!AM144</f>
        <v/>
      </c>
      <c r="S144" s="9">
        <f>Model_Data!Q144</f>
        <v/>
      </c>
      <c r="T144" s="9">
        <f>Model_Data!AN144</f>
        <v/>
      </c>
      <c r="U144" s="10" t="n"/>
      <c r="V144" s="9">
        <f>Model_Data!A144</f>
        <v/>
      </c>
      <c r="W144" s="9">
        <f>Model_Data!B144-Inputs!$C$5</f>
        <v/>
      </c>
      <c r="X144" s="10" t="n"/>
      <c r="Y144" s="9">
        <f>Model_Data!A144</f>
        <v/>
      </c>
      <c r="Z144" s="9">
        <f>0</f>
        <v/>
      </c>
      <c r="AA144" s="9">
        <f>((SQRT((Inputs!$C$52+Inputs!$C$5)^2+Inputs!$C$52^2-2*(Inputs!$C$52+Inputs!$C$5)*Inputs!$C$52*COS(SQRT((Model_Data!A144)^2+Inputs!$C$6^2)/Inputs!$C$52))-Inputs!$C$5)*1000/Inputs!$C$12)</f>
        <v/>
      </c>
      <c r="AB144" s="9">
        <f>Model_Data!F144</f>
        <v/>
      </c>
    </row>
    <row r="145">
      <c r="A145" s="9">
        <f>Model_Data!A145</f>
        <v/>
      </c>
      <c r="B145" s="9">
        <f>0</f>
        <v/>
      </c>
      <c r="C145" s="9">
        <f>((SQRT((Inputs!$C$52+Inputs!$C$5)^2+Inputs!$C$52^2-2*(Inputs!$C$52+Inputs!$C$5)*Inputs!$C$52*COS(SQRT((Model_Data!A145)^2+Inputs!$C$6^2)/Inputs!$C$52))-Inputs!$C$5)*1000/Inputs!$C$12)</f>
        <v/>
      </c>
      <c r="D145" s="9">
        <f>Model_Data!F145</f>
        <v/>
      </c>
      <c r="E145" s="9">
        <f>Model_Data!AC145</f>
        <v/>
      </c>
      <c r="F145" s="10" t="n"/>
      <c r="G145" s="9">
        <f>Model_Data!A145</f>
        <v/>
      </c>
      <c r="H145" s="9">
        <f>Model_Data!Y145</f>
        <v/>
      </c>
      <c r="I145" s="9">
        <f>Model_Data!Y145</f>
        <v/>
      </c>
      <c r="J145" s="9">
        <f>Model_Data!X145</f>
        <v/>
      </c>
      <c r="K145" s="9">
        <f>Model_Data!A145</f>
        <v/>
      </c>
      <c r="L145" s="9">
        <f>Model_Data!Y145</f>
        <v/>
      </c>
      <c r="M145" s="9">
        <f>Model_Data!X145</f>
        <v/>
      </c>
      <c r="N145" s="9">
        <f>-(Model_Data!AC145-Model_Data!F145)*Inputs!$C$12</f>
        <v/>
      </c>
      <c r="O145" s="10" t="n"/>
      <c r="P145" s="9">
        <f>Model_Data!A145</f>
        <v/>
      </c>
      <c r="Q145" s="9">
        <f>Model_Data!P145</f>
        <v/>
      </c>
      <c r="R145" s="9">
        <f>Model_Data!AM145</f>
        <v/>
      </c>
      <c r="S145" s="9">
        <f>Model_Data!Q145</f>
        <v/>
      </c>
      <c r="T145" s="9">
        <f>Model_Data!AN145</f>
        <v/>
      </c>
      <c r="U145" s="10" t="n"/>
      <c r="V145" s="9">
        <f>Model_Data!A145</f>
        <v/>
      </c>
      <c r="W145" s="9">
        <f>Model_Data!B145-Inputs!$C$5</f>
        <v/>
      </c>
      <c r="X145" s="10" t="n"/>
      <c r="Y145" s="9">
        <f>Model_Data!A145</f>
        <v/>
      </c>
      <c r="Z145" s="9">
        <f>0</f>
        <v/>
      </c>
      <c r="AA145" s="9">
        <f>((SQRT((Inputs!$C$52+Inputs!$C$5)^2+Inputs!$C$52^2-2*(Inputs!$C$52+Inputs!$C$5)*Inputs!$C$52*COS(SQRT((Model_Data!A145)^2+Inputs!$C$6^2)/Inputs!$C$52))-Inputs!$C$5)*1000/Inputs!$C$12)</f>
        <v/>
      </c>
      <c r="AB145" s="9">
        <f>Model_Data!F145</f>
        <v/>
      </c>
    </row>
    <row r="146">
      <c r="A146" s="9">
        <f>Model_Data!A146</f>
        <v/>
      </c>
      <c r="B146" s="9">
        <f>0</f>
        <v/>
      </c>
      <c r="C146" s="9">
        <f>((SQRT((Inputs!$C$52+Inputs!$C$5)^2+Inputs!$C$52^2-2*(Inputs!$C$52+Inputs!$C$5)*Inputs!$C$52*COS(SQRT((Model_Data!A146)^2+Inputs!$C$6^2)/Inputs!$C$52))-Inputs!$C$5)*1000/Inputs!$C$12)</f>
        <v/>
      </c>
      <c r="D146" s="9">
        <f>Model_Data!F146</f>
        <v/>
      </c>
      <c r="E146" s="9">
        <f>Model_Data!AC146</f>
        <v/>
      </c>
      <c r="F146" s="10" t="n"/>
      <c r="G146" s="9">
        <f>Model_Data!A146</f>
        <v/>
      </c>
      <c r="H146" s="9">
        <f>Model_Data!Y146</f>
        <v/>
      </c>
      <c r="I146" s="9">
        <f>Model_Data!Y146</f>
        <v/>
      </c>
      <c r="J146" s="9">
        <f>Model_Data!X146</f>
        <v/>
      </c>
      <c r="K146" s="9">
        <f>Model_Data!A146</f>
        <v/>
      </c>
      <c r="L146" s="9">
        <f>Model_Data!Y146</f>
        <v/>
      </c>
      <c r="M146" s="9">
        <f>Model_Data!X146</f>
        <v/>
      </c>
      <c r="N146" s="9">
        <f>-(Model_Data!AC146-Model_Data!F146)*Inputs!$C$12</f>
        <v/>
      </c>
      <c r="O146" s="10" t="n"/>
      <c r="P146" s="9">
        <f>Model_Data!A146</f>
        <v/>
      </c>
      <c r="Q146" s="9">
        <f>Model_Data!P146</f>
        <v/>
      </c>
      <c r="R146" s="9">
        <f>Model_Data!AM146</f>
        <v/>
      </c>
      <c r="S146" s="9">
        <f>Model_Data!Q146</f>
        <v/>
      </c>
      <c r="T146" s="9">
        <f>Model_Data!AN146</f>
        <v/>
      </c>
      <c r="U146" s="10" t="n"/>
      <c r="V146" s="9">
        <f>Model_Data!A146</f>
        <v/>
      </c>
      <c r="W146" s="9">
        <f>Model_Data!B146-Inputs!$C$5</f>
        <v/>
      </c>
      <c r="X146" s="10" t="n"/>
      <c r="Y146" s="9">
        <f>Model_Data!A146</f>
        <v/>
      </c>
      <c r="Z146" s="9">
        <f>0</f>
        <v/>
      </c>
      <c r="AA146" s="9">
        <f>((SQRT((Inputs!$C$52+Inputs!$C$5)^2+Inputs!$C$52^2-2*(Inputs!$C$52+Inputs!$C$5)*Inputs!$C$52*COS(SQRT((Model_Data!A146)^2+Inputs!$C$6^2)/Inputs!$C$52))-Inputs!$C$5)*1000/Inputs!$C$12)</f>
        <v/>
      </c>
      <c r="AB146" s="9">
        <f>Model_Data!F146</f>
        <v/>
      </c>
    </row>
    <row r="147">
      <c r="A147" s="9">
        <f>Model_Data!A147</f>
        <v/>
      </c>
      <c r="B147" s="9">
        <f>0</f>
        <v/>
      </c>
      <c r="C147" s="9">
        <f>((SQRT((Inputs!$C$52+Inputs!$C$5)^2+Inputs!$C$52^2-2*(Inputs!$C$52+Inputs!$C$5)*Inputs!$C$52*COS(SQRT((Model_Data!A147)^2+Inputs!$C$6^2)/Inputs!$C$52))-Inputs!$C$5)*1000/Inputs!$C$12)</f>
        <v/>
      </c>
      <c r="D147" s="9">
        <f>Model_Data!F147</f>
        <v/>
      </c>
      <c r="E147" s="9">
        <f>Model_Data!AC147</f>
        <v/>
      </c>
      <c r="F147" s="10" t="n"/>
      <c r="G147" s="9">
        <f>Model_Data!A147</f>
        <v/>
      </c>
      <c r="H147" s="9">
        <f>Model_Data!Y147</f>
        <v/>
      </c>
      <c r="I147" s="9">
        <f>Model_Data!Y147</f>
        <v/>
      </c>
      <c r="J147" s="9">
        <f>Model_Data!X147</f>
        <v/>
      </c>
      <c r="K147" s="9">
        <f>Model_Data!A147</f>
        <v/>
      </c>
      <c r="L147" s="9">
        <f>Model_Data!Y147</f>
        <v/>
      </c>
      <c r="M147" s="9">
        <f>Model_Data!X147</f>
        <v/>
      </c>
      <c r="N147" s="9">
        <f>-(Model_Data!AC147-Model_Data!F147)*Inputs!$C$12</f>
        <v/>
      </c>
      <c r="O147" s="10" t="n"/>
      <c r="P147" s="9">
        <f>Model_Data!A147</f>
        <v/>
      </c>
      <c r="Q147" s="9">
        <f>Model_Data!P147</f>
        <v/>
      </c>
      <c r="R147" s="9">
        <f>Model_Data!AM147</f>
        <v/>
      </c>
      <c r="S147" s="9">
        <f>Model_Data!Q147</f>
        <v/>
      </c>
      <c r="T147" s="9">
        <f>Model_Data!AN147</f>
        <v/>
      </c>
      <c r="U147" s="10" t="n"/>
      <c r="V147" s="9">
        <f>Model_Data!A147</f>
        <v/>
      </c>
      <c r="W147" s="9">
        <f>Model_Data!B147-Inputs!$C$5</f>
        <v/>
      </c>
      <c r="X147" s="10" t="n"/>
      <c r="Y147" s="9">
        <f>Model_Data!A147</f>
        <v/>
      </c>
      <c r="Z147" s="9">
        <f>0</f>
        <v/>
      </c>
      <c r="AA147" s="9">
        <f>((SQRT((Inputs!$C$52+Inputs!$C$5)^2+Inputs!$C$52^2-2*(Inputs!$C$52+Inputs!$C$5)*Inputs!$C$52*COS(SQRT((Model_Data!A147)^2+Inputs!$C$6^2)/Inputs!$C$52))-Inputs!$C$5)*1000/Inputs!$C$12)</f>
        <v/>
      </c>
      <c r="AB147" s="9">
        <f>Model_Data!F147</f>
        <v/>
      </c>
    </row>
    <row r="148">
      <c r="A148" s="9">
        <f>Model_Data!A148</f>
        <v/>
      </c>
      <c r="B148" s="9">
        <f>0</f>
        <v/>
      </c>
      <c r="C148" s="9">
        <f>((SQRT((Inputs!$C$52+Inputs!$C$5)^2+Inputs!$C$52^2-2*(Inputs!$C$52+Inputs!$C$5)*Inputs!$C$52*COS(SQRT((Model_Data!A148)^2+Inputs!$C$6^2)/Inputs!$C$52))-Inputs!$C$5)*1000/Inputs!$C$12)</f>
        <v/>
      </c>
      <c r="D148" s="9">
        <f>Model_Data!F148</f>
        <v/>
      </c>
      <c r="E148" s="9">
        <f>Model_Data!AC148</f>
        <v/>
      </c>
      <c r="F148" s="10" t="n"/>
      <c r="G148" s="9">
        <f>Model_Data!A148</f>
        <v/>
      </c>
      <c r="H148" s="9">
        <f>Model_Data!Y148</f>
        <v/>
      </c>
      <c r="I148" s="9">
        <f>Model_Data!Y148</f>
        <v/>
      </c>
      <c r="J148" s="9">
        <f>Model_Data!X148</f>
        <v/>
      </c>
      <c r="K148" s="9">
        <f>Model_Data!A148</f>
        <v/>
      </c>
      <c r="L148" s="9">
        <f>Model_Data!Y148</f>
        <v/>
      </c>
      <c r="M148" s="9">
        <f>Model_Data!X148</f>
        <v/>
      </c>
      <c r="N148" s="9">
        <f>-(Model_Data!AC148-Model_Data!F148)*Inputs!$C$12</f>
        <v/>
      </c>
      <c r="O148" s="10" t="n"/>
      <c r="P148" s="9">
        <f>Model_Data!A148</f>
        <v/>
      </c>
      <c r="Q148" s="9">
        <f>Model_Data!P148</f>
        <v/>
      </c>
      <c r="R148" s="9">
        <f>Model_Data!AM148</f>
        <v/>
      </c>
      <c r="S148" s="9">
        <f>Model_Data!Q148</f>
        <v/>
      </c>
      <c r="T148" s="9">
        <f>Model_Data!AN148</f>
        <v/>
      </c>
      <c r="U148" s="10" t="n"/>
      <c r="V148" s="9">
        <f>Model_Data!A148</f>
        <v/>
      </c>
      <c r="W148" s="9">
        <f>Model_Data!B148-Inputs!$C$5</f>
        <v/>
      </c>
      <c r="X148" s="10" t="n"/>
      <c r="Y148" s="9">
        <f>Model_Data!A148</f>
        <v/>
      </c>
      <c r="Z148" s="9">
        <f>0</f>
        <v/>
      </c>
      <c r="AA148" s="9">
        <f>((SQRT((Inputs!$C$52+Inputs!$C$5)^2+Inputs!$C$52^2-2*(Inputs!$C$52+Inputs!$C$5)*Inputs!$C$52*COS(SQRT((Model_Data!A148)^2+Inputs!$C$6^2)/Inputs!$C$52))-Inputs!$C$5)*1000/Inputs!$C$12)</f>
        <v/>
      </c>
      <c r="AB148" s="9">
        <f>Model_Data!F148</f>
        <v/>
      </c>
    </row>
    <row r="149">
      <c r="A149" s="9">
        <f>Model_Data!A149</f>
        <v/>
      </c>
      <c r="B149" s="9">
        <f>0</f>
        <v/>
      </c>
      <c r="C149" s="9">
        <f>((SQRT((Inputs!$C$52+Inputs!$C$5)^2+Inputs!$C$52^2-2*(Inputs!$C$52+Inputs!$C$5)*Inputs!$C$52*COS(SQRT((Model_Data!A149)^2+Inputs!$C$6^2)/Inputs!$C$52))-Inputs!$C$5)*1000/Inputs!$C$12)</f>
        <v/>
      </c>
      <c r="D149" s="9">
        <f>Model_Data!F149</f>
        <v/>
      </c>
      <c r="E149" s="9">
        <f>Model_Data!AC149</f>
        <v/>
      </c>
      <c r="F149" s="10" t="n"/>
      <c r="G149" s="9">
        <f>Model_Data!A149</f>
        <v/>
      </c>
      <c r="H149" s="9">
        <f>Model_Data!Y149</f>
        <v/>
      </c>
      <c r="I149" s="9">
        <f>Model_Data!Y149</f>
        <v/>
      </c>
      <c r="J149" s="9">
        <f>Model_Data!X149</f>
        <v/>
      </c>
      <c r="K149" s="9">
        <f>Model_Data!A149</f>
        <v/>
      </c>
      <c r="L149" s="9">
        <f>Model_Data!Y149</f>
        <v/>
      </c>
      <c r="M149" s="9">
        <f>Model_Data!X149</f>
        <v/>
      </c>
      <c r="N149" s="9">
        <f>-(Model_Data!AC149-Model_Data!F149)*Inputs!$C$12</f>
        <v/>
      </c>
      <c r="O149" s="10" t="n"/>
      <c r="P149" s="9">
        <f>Model_Data!A149</f>
        <v/>
      </c>
      <c r="Q149" s="9">
        <f>Model_Data!P149</f>
        <v/>
      </c>
      <c r="R149" s="9">
        <f>Model_Data!AM149</f>
        <v/>
      </c>
      <c r="S149" s="9">
        <f>Model_Data!Q149</f>
        <v/>
      </c>
      <c r="T149" s="9">
        <f>Model_Data!AN149</f>
        <v/>
      </c>
      <c r="U149" s="10" t="n"/>
      <c r="V149" s="9">
        <f>Model_Data!A149</f>
        <v/>
      </c>
      <c r="W149" s="9">
        <f>Model_Data!B149-Inputs!$C$5</f>
        <v/>
      </c>
      <c r="X149" s="10" t="n"/>
      <c r="Y149" s="9">
        <f>Model_Data!A149</f>
        <v/>
      </c>
      <c r="Z149" s="9">
        <f>0</f>
        <v/>
      </c>
      <c r="AA149" s="9">
        <f>((SQRT((Inputs!$C$52+Inputs!$C$5)^2+Inputs!$C$52^2-2*(Inputs!$C$52+Inputs!$C$5)*Inputs!$C$52*COS(SQRT((Model_Data!A149)^2+Inputs!$C$6^2)/Inputs!$C$52))-Inputs!$C$5)*1000/Inputs!$C$12)</f>
        <v/>
      </c>
      <c r="AB149" s="9">
        <f>Model_Data!F149</f>
        <v/>
      </c>
    </row>
    <row r="150">
      <c r="A150" s="9">
        <f>Model_Data!A150</f>
        <v/>
      </c>
      <c r="B150" s="9">
        <f>0</f>
        <v/>
      </c>
      <c r="C150" s="9">
        <f>((SQRT((Inputs!$C$52+Inputs!$C$5)^2+Inputs!$C$52^2-2*(Inputs!$C$52+Inputs!$C$5)*Inputs!$C$52*COS(SQRT((Model_Data!A150)^2+Inputs!$C$6^2)/Inputs!$C$52))-Inputs!$C$5)*1000/Inputs!$C$12)</f>
        <v/>
      </c>
      <c r="D150" s="9">
        <f>Model_Data!F150</f>
        <v/>
      </c>
      <c r="E150" s="9">
        <f>Model_Data!AC150</f>
        <v/>
      </c>
      <c r="F150" s="10" t="n"/>
      <c r="G150" s="9">
        <f>Model_Data!A150</f>
        <v/>
      </c>
      <c r="H150" s="9">
        <f>Model_Data!Y150</f>
        <v/>
      </c>
      <c r="I150" s="9">
        <f>Model_Data!Y150</f>
        <v/>
      </c>
      <c r="J150" s="9">
        <f>Model_Data!X150</f>
        <v/>
      </c>
      <c r="K150" s="9">
        <f>Model_Data!A150</f>
        <v/>
      </c>
      <c r="L150" s="9">
        <f>Model_Data!Y150</f>
        <v/>
      </c>
      <c r="M150" s="9">
        <f>Model_Data!X150</f>
        <v/>
      </c>
      <c r="N150" s="9">
        <f>-(Model_Data!AC150-Model_Data!F150)*Inputs!$C$12</f>
        <v/>
      </c>
      <c r="O150" s="10" t="n"/>
      <c r="P150" s="9">
        <f>Model_Data!A150</f>
        <v/>
      </c>
      <c r="Q150" s="9">
        <f>Model_Data!P150</f>
        <v/>
      </c>
      <c r="R150" s="9">
        <f>Model_Data!AM150</f>
        <v/>
      </c>
      <c r="S150" s="9">
        <f>Model_Data!Q150</f>
        <v/>
      </c>
      <c r="T150" s="9">
        <f>Model_Data!AN150</f>
        <v/>
      </c>
      <c r="U150" s="10" t="n"/>
      <c r="V150" s="9">
        <f>Model_Data!A150</f>
        <v/>
      </c>
      <c r="W150" s="9">
        <f>Model_Data!B150-Inputs!$C$5</f>
        <v/>
      </c>
      <c r="X150" s="10" t="n"/>
      <c r="Y150" s="9">
        <f>Model_Data!A150</f>
        <v/>
      </c>
      <c r="Z150" s="9">
        <f>0</f>
        <v/>
      </c>
      <c r="AA150" s="9">
        <f>((SQRT((Inputs!$C$52+Inputs!$C$5)^2+Inputs!$C$52^2-2*(Inputs!$C$52+Inputs!$C$5)*Inputs!$C$52*COS(SQRT((Model_Data!A150)^2+Inputs!$C$6^2)/Inputs!$C$52))-Inputs!$C$5)*1000/Inputs!$C$12)</f>
        <v/>
      </c>
      <c r="AB150" s="9">
        <f>Model_Data!F150</f>
        <v/>
      </c>
    </row>
    <row r="151">
      <c r="A151" s="9">
        <f>Model_Data!A151</f>
        <v/>
      </c>
      <c r="B151" s="9">
        <f>0</f>
        <v/>
      </c>
      <c r="C151" s="9">
        <f>((SQRT((Inputs!$C$52+Inputs!$C$5)^2+Inputs!$C$52^2-2*(Inputs!$C$52+Inputs!$C$5)*Inputs!$C$52*COS(SQRT((Model_Data!A151)^2+Inputs!$C$6^2)/Inputs!$C$52))-Inputs!$C$5)*1000/Inputs!$C$12)</f>
        <v/>
      </c>
      <c r="D151" s="9">
        <f>Model_Data!F151</f>
        <v/>
      </c>
      <c r="E151" s="9">
        <f>Model_Data!AC151</f>
        <v/>
      </c>
      <c r="F151" s="10" t="n"/>
      <c r="G151" s="9">
        <f>Model_Data!A151</f>
        <v/>
      </c>
      <c r="H151" s="9">
        <f>Model_Data!Y151</f>
        <v/>
      </c>
      <c r="I151" s="9">
        <f>Model_Data!Y151</f>
        <v/>
      </c>
      <c r="J151" s="9">
        <f>Model_Data!X151</f>
        <v/>
      </c>
      <c r="K151" s="9">
        <f>Model_Data!A151</f>
        <v/>
      </c>
      <c r="L151" s="9">
        <f>Model_Data!Y151</f>
        <v/>
      </c>
      <c r="M151" s="9">
        <f>Model_Data!X151</f>
        <v/>
      </c>
      <c r="N151" s="9">
        <f>-(Model_Data!AC151-Model_Data!F151)*Inputs!$C$12</f>
        <v/>
      </c>
      <c r="O151" s="10" t="n"/>
      <c r="P151" s="9">
        <f>Model_Data!A151</f>
        <v/>
      </c>
      <c r="Q151" s="9">
        <f>Model_Data!P151</f>
        <v/>
      </c>
      <c r="R151" s="9">
        <f>Model_Data!AM151</f>
        <v/>
      </c>
      <c r="S151" s="9">
        <f>Model_Data!Q151</f>
        <v/>
      </c>
      <c r="T151" s="9">
        <f>Model_Data!AN151</f>
        <v/>
      </c>
      <c r="U151" s="10" t="n"/>
      <c r="V151" s="9">
        <f>Model_Data!A151</f>
        <v/>
      </c>
      <c r="W151" s="9">
        <f>Model_Data!B151-Inputs!$C$5</f>
        <v/>
      </c>
      <c r="X151" s="10" t="n"/>
      <c r="Y151" s="9">
        <f>Model_Data!A151</f>
        <v/>
      </c>
      <c r="Z151" s="9">
        <f>0</f>
        <v/>
      </c>
      <c r="AA151" s="9">
        <f>((SQRT((Inputs!$C$52+Inputs!$C$5)^2+Inputs!$C$52^2-2*(Inputs!$C$52+Inputs!$C$5)*Inputs!$C$52*COS(SQRT((Model_Data!A151)^2+Inputs!$C$6^2)/Inputs!$C$52))-Inputs!$C$5)*1000/Inputs!$C$12)</f>
        <v/>
      </c>
      <c r="AB151" s="9">
        <f>Model_Data!F151</f>
        <v/>
      </c>
    </row>
    <row r="152">
      <c r="A152" s="9">
        <f>Model_Data!A152</f>
        <v/>
      </c>
      <c r="B152" s="9">
        <f>0</f>
        <v/>
      </c>
      <c r="C152" s="9">
        <f>((SQRT((Inputs!$C$52+Inputs!$C$5)^2+Inputs!$C$52^2-2*(Inputs!$C$52+Inputs!$C$5)*Inputs!$C$52*COS(SQRT((Model_Data!A152)^2+Inputs!$C$6^2)/Inputs!$C$52))-Inputs!$C$5)*1000/Inputs!$C$12)</f>
        <v/>
      </c>
      <c r="D152" s="9">
        <f>Model_Data!F152</f>
        <v/>
      </c>
      <c r="E152" s="9">
        <f>Model_Data!AC152</f>
        <v/>
      </c>
      <c r="F152" s="10" t="n"/>
      <c r="G152" s="9">
        <f>Model_Data!A152</f>
        <v/>
      </c>
      <c r="H152" s="9">
        <f>Model_Data!Y152</f>
        <v/>
      </c>
      <c r="I152" s="9">
        <f>Model_Data!Y152</f>
        <v/>
      </c>
      <c r="J152" s="9">
        <f>Model_Data!X152</f>
        <v/>
      </c>
      <c r="K152" s="9">
        <f>Model_Data!A152</f>
        <v/>
      </c>
      <c r="L152" s="9">
        <f>Model_Data!Y152</f>
        <v/>
      </c>
      <c r="M152" s="9">
        <f>Model_Data!X152</f>
        <v/>
      </c>
      <c r="N152" s="9">
        <f>-(Model_Data!AC152-Model_Data!F152)*Inputs!$C$12</f>
        <v/>
      </c>
      <c r="O152" s="10" t="n"/>
      <c r="P152" s="9">
        <f>Model_Data!A152</f>
        <v/>
      </c>
      <c r="Q152" s="9">
        <f>Model_Data!P152</f>
        <v/>
      </c>
      <c r="R152" s="9">
        <f>Model_Data!AM152</f>
        <v/>
      </c>
      <c r="S152" s="9">
        <f>Model_Data!Q152</f>
        <v/>
      </c>
      <c r="T152" s="9">
        <f>Model_Data!AN152</f>
        <v/>
      </c>
      <c r="U152" s="10" t="n"/>
      <c r="V152" s="9">
        <f>Model_Data!A152</f>
        <v/>
      </c>
      <c r="W152" s="9">
        <f>Model_Data!B152-Inputs!$C$5</f>
        <v/>
      </c>
      <c r="X152" s="10" t="n"/>
      <c r="Y152" s="9">
        <f>Model_Data!A152</f>
        <v/>
      </c>
      <c r="Z152" s="9">
        <f>0</f>
        <v/>
      </c>
      <c r="AA152" s="9">
        <f>((SQRT((Inputs!$C$52+Inputs!$C$5)^2+Inputs!$C$52^2-2*(Inputs!$C$52+Inputs!$C$5)*Inputs!$C$52*COS(SQRT((Model_Data!A152)^2+Inputs!$C$6^2)/Inputs!$C$52))-Inputs!$C$5)*1000/Inputs!$C$12)</f>
        <v/>
      </c>
      <c r="AB152" s="9">
        <f>Model_Data!F152</f>
        <v/>
      </c>
    </row>
    <row r="153">
      <c r="A153" s="9">
        <f>Model_Data!A153</f>
        <v/>
      </c>
      <c r="B153" s="9">
        <f>0</f>
        <v/>
      </c>
      <c r="C153" s="9">
        <f>((SQRT((Inputs!$C$52+Inputs!$C$5)^2+Inputs!$C$52^2-2*(Inputs!$C$52+Inputs!$C$5)*Inputs!$C$52*COS(SQRT((Model_Data!A153)^2+Inputs!$C$6^2)/Inputs!$C$52))-Inputs!$C$5)*1000/Inputs!$C$12)</f>
        <v/>
      </c>
      <c r="D153" s="9">
        <f>Model_Data!F153</f>
        <v/>
      </c>
      <c r="E153" s="9">
        <f>Model_Data!AC153</f>
        <v/>
      </c>
      <c r="F153" s="10" t="n"/>
      <c r="G153" s="9">
        <f>Model_Data!A153</f>
        <v/>
      </c>
      <c r="H153" s="9">
        <f>Model_Data!Y153</f>
        <v/>
      </c>
      <c r="I153" s="9">
        <f>Model_Data!Y153</f>
        <v/>
      </c>
      <c r="J153" s="9">
        <f>Model_Data!X153</f>
        <v/>
      </c>
      <c r="K153" s="9">
        <f>Model_Data!A153</f>
        <v/>
      </c>
      <c r="L153" s="9">
        <f>Model_Data!Y153</f>
        <v/>
      </c>
      <c r="M153" s="9">
        <f>Model_Data!X153</f>
        <v/>
      </c>
      <c r="N153" s="9">
        <f>-(Model_Data!AC153-Model_Data!F153)*Inputs!$C$12</f>
        <v/>
      </c>
      <c r="O153" s="10" t="n"/>
      <c r="P153" s="9">
        <f>Model_Data!A153</f>
        <v/>
      </c>
      <c r="Q153" s="9">
        <f>Model_Data!P153</f>
        <v/>
      </c>
      <c r="R153" s="9">
        <f>Model_Data!AM153</f>
        <v/>
      </c>
      <c r="S153" s="9">
        <f>Model_Data!Q153</f>
        <v/>
      </c>
      <c r="T153" s="9">
        <f>Model_Data!AN153</f>
        <v/>
      </c>
      <c r="U153" s="10" t="n"/>
      <c r="V153" s="9">
        <f>Model_Data!A153</f>
        <v/>
      </c>
      <c r="W153" s="9">
        <f>Model_Data!B153-Inputs!$C$5</f>
        <v/>
      </c>
      <c r="X153" s="10" t="n"/>
      <c r="Y153" s="9">
        <f>Model_Data!A153</f>
        <v/>
      </c>
      <c r="Z153" s="9">
        <f>0</f>
        <v/>
      </c>
      <c r="AA153" s="9">
        <f>((SQRT((Inputs!$C$52+Inputs!$C$5)^2+Inputs!$C$52^2-2*(Inputs!$C$52+Inputs!$C$5)*Inputs!$C$52*COS(SQRT((Model_Data!A153)^2+Inputs!$C$6^2)/Inputs!$C$52))-Inputs!$C$5)*1000/Inputs!$C$12)</f>
        <v/>
      </c>
      <c r="AB153" s="9">
        <f>Model_Data!F153</f>
        <v/>
      </c>
    </row>
    <row r="154">
      <c r="A154" s="9">
        <f>Model_Data!A154</f>
        <v/>
      </c>
      <c r="B154" s="9">
        <f>0</f>
        <v/>
      </c>
      <c r="C154" s="9">
        <f>((SQRT((Inputs!$C$52+Inputs!$C$5)^2+Inputs!$C$52^2-2*(Inputs!$C$52+Inputs!$C$5)*Inputs!$C$52*COS(SQRT((Model_Data!A154)^2+Inputs!$C$6^2)/Inputs!$C$52))-Inputs!$C$5)*1000/Inputs!$C$12)</f>
        <v/>
      </c>
      <c r="D154" s="9">
        <f>Model_Data!F154</f>
        <v/>
      </c>
      <c r="E154" s="9">
        <f>Model_Data!AC154</f>
        <v/>
      </c>
      <c r="F154" s="10" t="n"/>
      <c r="G154" s="9">
        <f>Model_Data!A154</f>
        <v/>
      </c>
      <c r="H154" s="9">
        <f>Model_Data!Y154</f>
        <v/>
      </c>
      <c r="I154" s="9">
        <f>Model_Data!Y154</f>
        <v/>
      </c>
      <c r="J154" s="9">
        <f>Model_Data!X154</f>
        <v/>
      </c>
      <c r="K154" s="9">
        <f>Model_Data!A154</f>
        <v/>
      </c>
      <c r="L154" s="9">
        <f>Model_Data!Y154</f>
        <v/>
      </c>
      <c r="M154" s="9">
        <f>Model_Data!X154</f>
        <v/>
      </c>
      <c r="N154" s="9">
        <f>-(Model_Data!AC154-Model_Data!F154)*Inputs!$C$12</f>
        <v/>
      </c>
      <c r="O154" s="10" t="n"/>
      <c r="P154" s="9">
        <f>Model_Data!A154</f>
        <v/>
      </c>
      <c r="Q154" s="9">
        <f>Model_Data!P154</f>
        <v/>
      </c>
      <c r="R154" s="9">
        <f>Model_Data!AM154</f>
        <v/>
      </c>
      <c r="S154" s="9">
        <f>Model_Data!Q154</f>
        <v/>
      </c>
      <c r="T154" s="9">
        <f>Model_Data!AN154</f>
        <v/>
      </c>
      <c r="U154" s="10" t="n"/>
      <c r="V154" s="9">
        <f>Model_Data!A154</f>
        <v/>
      </c>
      <c r="W154" s="9">
        <f>Model_Data!B154-Inputs!$C$5</f>
        <v/>
      </c>
      <c r="X154" s="10" t="n"/>
      <c r="Y154" s="9">
        <f>Model_Data!A154</f>
        <v/>
      </c>
      <c r="Z154" s="9">
        <f>0</f>
        <v/>
      </c>
      <c r="AA154" s="9">
        <f>((SQRT((Inputs!$C$52+Inputs!$C$5)^2+Inputs!$C$52^2-2*(Inputs!$C$52+Inputs!$C$5)*Inputs!$C$52*COS(SQRT((Model_Data!A154)^2+Inputs!$C$6^2)/Inputs!$C$52))-Inputs!$C$5)*1000/Inputs!$C$12)</f>
        <v/>
      </c>
      <c r="AB154" s="9">
        <f>Model_Data!F154</f>
        <v/>
      </c>
    </row>
    <row r="155">
      <c r="A155" s="9">
        <f>Model_Data!A155</f>
        <v/>
      </c>
      <c r="B155" s="9">
        <f>0</f>
        <v/>
      </c>
      <c r="C155" s="9">
        <f>((SQRT((Inputs!$C$52+Inputs!$C$5)^2+Inputs!$C$52^2-2*(Inputs!$C$52+Inputs!$C$5)*Inputs!$C$52*COS(SQRT((Model_Data!A155)^2+Inputs!$C$6^2)/Inputs!$C$52))-Inputs!$C$5)*1000/Inputs!$C$12)</f>
        <v/>
      </c>
      <c r="D155" s="9">
        <f>Model_Data!F155</f>
        <v/>
      </c>
      <c r="E155" s="9">
        <f>Model_Data!AC155</f>
        <v/>
      </c>
      <c r="F155" s="10" t="n"/>
      <c r="G155" s="9">
        <f>Model_Data!A155</f>
        <v/>
      </c>
      <c r="H155" s="9">
        <f>Model_Data!Y155</f>
        <v/>
      </c>
      <c r="I155" s="9">
        <f>Model_Data!Y155</f>
        <v/>
      </c>
      <c r="J155" s="9">
        <f>Model_Data!X155</f>
        <v/>
      </c>
      <c r="K155" s="9">
        <f>Model_Data!A155</f>
        <v/>
      </c>
      <c r="L155" s="9">
        <f>Model_Data!Y155</f>
        <v/>
      </c>
      <c r="M155" s="9">
        <f>Model_Data!X155</f>
        <v/>
      </c>
      <c r="N155" s="9">
        <f>-(Model_Data!AC155-Model_Data!F155)*Inputs!$C$12</f>
        <v/>
      </c>
      <c r="O155" s="10" t="n"/>
      <c r="P155" s="9">
        <f>Model_Data!A155</f>
        <v/>
      </c>
      <c r="Q155" s="9">
        <f>Model_Data!P155</f>
        <v/>
      </c>
      <c r="R155" s="9">
        <f>Model_Data!AM155</f>
        <v/>
      </c>
      <c r="S155" s="9">
        <f>Model_Data!Q155</f>
        <v/>
      </c>
      <c r="T155" s="9">
        <f>Model_Data!AN155</f>
        <v/>
      </c>
      <c r="U155" s="10" t="n"/>
      <c r="V155" s="9">
        <f>Model_Data!A155</f>
        <v/>
      </c>
      <c r="W155" s="9">
        <f>Model_Data!B155-Inputs!$C$5</f>
        <v/>
      </c>
      <c r="X155" s="10" t="n"/>
      <c r="Y155" s="9">
        <f>Model_Data!A155</f>
        <v/>
      </c>
      <c r="Z155" s="9">
        <f>0</f>
        <v/>
      </c>
      <c r="AA155" s="9">
        <f>((SQRT((Inputs!$C$52+Inputs!$C$5)^2+Inputs!$C$52^2-2*(Inputs!$C$52+Inputs!$C$5)*Inputs!$C$52*COS(SQRT((Model_Data!A155)^2+Inputs!$C$6^2)/Inputs!$C$52))-Inputs!$C$5)*1000/Inputs!$C$12)</f>
        <v/>
      </c>
      <c r="AB155" s="9">
        <f>Model_Data!F155</f>
        <v/>
      </c>
    </row>
    <row r="156">
      <c r="A156" s="9">
        <f>Model_Data!A156</f>
        <v/>
      </c>
      <c r="B156" s="9">
        <f>0</f>
        <v/>
      </c>
      <c r="C156" s="9">
        <f>((SQRT((Inputs!$C$52+Inputs!$C$5)^2+Inputs!$C$52^2-2*(Inputs!$C$52+Inputs!$C$5)*Inputs!$C$52*COS(SQRT((Model_Data!A156)^2+Inputs!$C$6^2)/Inputs!$C$52))-Inputs!$C$5)*1000/Inputs!$C$12)</f>
        <v/>
      </c>
      <c r="D156" s="9">
        <f>Model_Data!F156</f>
        <v/>
      </c>
      <c r="E156" s="9">
        <f>Model_Data!AC156</f>
        <v/>
      </c>
      <c r="F156" s="10" t="n"/>
      <c r="G156" s="9">
        <f>Model_Data!A156</f>
        <v/>
      </c>
      <c r="H156" s="9">
        <f>Model_Data!Y156</f>
        <v/>
      </c>
      <c r="I156" s="9">
        <f>Model_Data!Y156</f>
        <v/>
      </c>
      <c r="J156" s="9">
        <f>Model_Data!X156</f>
        <v/>
      </c>
      <c r="K156" s="9">
        <f>Model_Data!A156</f>
        <v/>
      </c>
      <c r="L156" s="9">
        <f>Model_Data!Y156</f>
        <v/>
      </c>
      <c r="M156" s="9">
        <f>Model_Data!X156</f>
        <v/>
      </c>
      <c r="N156" s="9">
        <f>-(Model_Data!AC156-Model_Data!F156)*Inputs!$C$12</f>
        <v/>
      </c>
      <c r="O156" s="10" t="n"/>
      <c r="P156" s="9">
        <f>Model_Data!A156</f>
        <v/>
      </c>
      <c r="Q156" s="9">
        <f>Model_Data!P156</f>
        <v/>
      </c>
      <c r="R156" s="9">
        <f>Model_Data!AM156</f>
        <v/>
      </c>
      <c r="S156" s="9">
        <f>Model_Data!Q156</f>
        <v/>
      </c>
      <c r="T156" s="9">
        <f>Model_Data!AN156</f>
        <v/>
      </c>
      <c r="U156" s="10" t="n"/>
      <c r="V156" s="9">
        <f>Model_Data!A156</f>
        <v/>
      </c>
      <c r="W156" s="9">
        <f>Model_Data!B156-Inputs!$C$5</f>
        <v/>
      </c>
      <c r="X156" s="10" t="n"/>
      <c r="Y156" s="9">
        <f>Model_Data!A156</f>
        <v/>
      </c>
      <c r="Z156" s="9">
        <f>0</f>
        <v/>
      </c>
      <c r="AA156" s="9">
        <f>((SQRT((Inputs!$C$52+Inputs!$C$5)^2+Inputs!$C$52^2-2*(Inputs!$C$52+Inputs!$C$5)*Inputs!$C$52*COS(SQRT((Model_Data!A156)^2+Inputs!$C$6^2)/Inputs!$C$52))-Inputs!$C$5)*1000/Inputs!$C$12)</f>
        <v/>
      </c>
      <c r="AB156" s="9">
        <f>Model_Data!F156</f>
        <v/>
      </c>
    </row>
    <row r="157">
      <c r="A157" s="9">
        <f>Model_Data!A157</f>
        <v/>
      </c>
      <c r="B157" s="9">
        <f>0</f>
        <v/>
      </c>
      <c r="C157" s="9">
        <f>((SQRT((Inputs!$C$52+Inputs!$C$5)^2+Inputs!$C$52^2-2*(Inputs!$C$52+Inputs!$C$5)*Inputs!$C$52*COS(SQRT((Model_Data!A157)^2+Inputs!$C$6^2)/Inputs!$C$52))-Inputs!$C$5)*1000/Inputs!$C$12)</f>
        <v/>
      </c>
      <c r="D157" s="9">
        <f>Model_Data!F157</f>
        <v/>
      </c>
      <c r="E157" s="9">
        <f>Model_Data!AC157</f>
        <v/>
      </c>
      <c r="F157" s="10" t="n"/>
      <c r="G157" s="9">
        <f>Model_Data!A157</f>
        <v/>
      </c>
      <c r="H157" s="9">
        <f>Model_Data!Y157</f>
        <v/>
      </c>
      <c r="I157" s="9">
        <f>Model_Data!Y157</f>
        <v/>
      </c>
      <c r="J157" s="9">
        <f>Model_Data!X157</f>
        <v/>
      </c>
      <c r="K157" s="9">
        <f>Model_Data!A157</f>
        <v/>
      </c>
      <c r="L157" s="9">
        <f>Model_Data!Y157</f>
        <v/>
      </c>
      <c r="M157" s="9">
        <f>Model_Data!X157</f>
        <v/>
      </c>
      <c r="N157" s="9">
        <f>-(Model_Data!AC157-Model_Data!F157)*Inputs!$C$12</f>
        <v/>
      </c>
      <c r="O157" s="10" t="n"/>
      <c r="P157" s="9">
        <f>Model_Data!A157</f>
        <v/>
      </c>
      <c r="Q157" s="9">
        <f>Model_Data!P157</f>
        <v/>
      </c>
      <c r="R157" s="9">
        <f>Model_Data!AM157</f>
        <v/>
      </c>
      <c r="S157" s="9">
        <f>Model_Data!Q157</f>
        <v/>
      </c>
      <c r="T157" s="9">
        <f>Model_Data!AN157</f>
        <v/>
      </c>
      <c r="U157" s="10" t="n"/>
      <c r="V157" s="9">
        <f>Model_Data!A157</f>
        <v/>
      </c>
      <c r="W157" s="9">
        <f>Model_Data!B157-Inputs!$C$5</f>
        <v/>
      </c>
      <c r="X157" s="10" t="n"/>
      <c r="Y157" s="9">
        <f>Model_Data!A157</f>
        <v/>
      </c>
      <c r="Z157" s="9">
        <f>0</f>
        <v/>
      </c>
      <c r="AA157" s="9">
        <f>((SQRT((Inputs!$C$52+Inputs!$C$5)^2+Inputs!$C$52^2-2*(Inputs!$C$52+Inputs!$C$5)*Inputs!$C$52*COS(SQRT((Model_Data!A157)^2+Inputs!$C$6^2)/Inputs!$C$52))-Inputs!$C$5)*1000/Inputs!$C$12)</f>
        <v/>
      </c>
      <c r="AB157" s="9">
        <f>Model_Data!F157</f>
        <v/>
      </c>
    </row>
    <row r="158">
      <c r="A158" s="9">
        <f>Model_Data!A158</f>
        <v/>
      </c>
      <c r="B158" s="9">
        <f>0</f>
        <v/>
      </c>
      <c r="C158" s="9">
        <f>((SQRT((Inputs!$C$52+Inputs!$C$5)^2+Inputs!$C$52^2-2*(Inputs!$C$52+Inputs!$C$5)*Inputs!$C$52*COS(SQRT((Model_Data!A158)^2+Inputs!$C$6^2)/Inputs!$C$52))-Inputs!$C$5)*1000/Inputs!$C$12)</f>
        <v/>
      </c>
      <c r="D158" s="9">
        <f>Model_Data!F158</f>
        <v/>
      </c>
      <c r="E158" s="9">
        <f>Model_Data!AC158</f>
        <v/>
      </c>
      <c r="F158" s="10" t="n"/>
      <c r="G158" s="9">
        <f>Model_Data!A158</f>
        <v/>
      </c>
      <c r="H158" s="9">
        <f>Model_Data!Y158</f>
        <v/>
      </c>
      <c r="I158" s="9">
        <f>Model_Data!Y158</f>
        <v/>
      </c>
      <c r="J158" s="9">
        <f>Model_Data!X158</f>
        <v/>
      </c>
      <c r="K158" s="9">
        <f>Model_Data!A158</f>
        <v/>
      </c>
      <c r="L158" s="9">
        <f>Model_Data!Y158</f>
        <v/>
      </c>
      <c r="M158" s="9">
        <f>Model_Data!X158</f>
        <v/>
      </c>
      <c r="N158" s="9">
        <f>-(Model_Data!AC158-Model_Data!F158)*Inputs!$C$12</f>
        <v/>
      </c>
      <c r="O158" s="10" t="n"/>
      <c r="P158" s="9">
        <f>Model_Data!A158</f>
        <v/>
      </c>
      <c r="Q158" s="9">
        <f>Model_Data!P158</f>
        <v/>
      </c>
      <c r="R158" s="9">
        <f>Model_Data!AM158</f>
        <v/>
      </c>
      <c r="S158" s="9">
        <f>Model_Data!Q158</f>
        <v/>
      </c>
      <c r="T158" s="9">
        <f>Model_Data!AN158</f>
        <v/>
      </c>
      <c r="U158" s="10" t="n"/>
      <c r="V158" s="9">
        <f>Model_Data!A158</f>
        <v/>
      </c>
      <c r="W158" s="9">
        <f>Model_Data!B158-Inputs!$C$5</f>
        <v/>
      </c>
      <c r="X158" s="10" t="n"/>
      <c r="Y158" s="9">
        <f>Model_Data!A158</f>
        <v/>
      </c>
      <c r="Z158" s="9">
        <f>0</f>
        <v/>
      </c>
      <c r="AA158" s="9">
        <f>((SQRT((Inputs!$C$52+Inputs!$C$5)^2+Inputs!$C$52^2-2*(Inputs!$C$52+Inputs!$C$5)*Inputs!$C$52*COS(SQRT((Model_Data!A158)^2+Inputs!$C$6^2)/Inputs!$C$52))-Inputs!$C$5)*1000/Inputs!$C$12)</f>
        <v/>
      </c>
      <c r="AB158" s="9">
        <f>Model_Data!F158</f>
        <v/>
      </c>
    </row>
    <row r="159">
      <c r="A159" s="9">
        <f>Model_Data!A159</f>
        <v/>
      </c>
      <c r="B159" s="9">
        <f>0</f>
        <v/>
      </c>
      <c r="C159" s="9">
        <f>((SQRT((Inputs!$C$52+Inputs!$C$5)^2+Inputs!$C$52^2-2*(Inputs!$C$52+Inputs!$C$5)*Inputs!$C$52*COS(SQRT((Model_Data!A159)^2+Inputs!$C$6^2)/Inputs!$C$52))-Inputs!$C$5)*1000/Inputs!$C$12)</f>
        <v/>
      </c>
      <c r="D159" s="9">
        <f>Model_Data!F159</f>
        <v/>
      </c>
      <c r="E159" s="9">
        <f>Model_Data!AC159</f>
        <v/>
      </c>
      <c r="F159" s="10" t="n"/>
      <c r="G159" s="9">
        <f>Model_Data!A159</f>
        <v/>
      </c>
      <c r="H159" s="9">
        <f>Model_Data!Y159</f>
        <v/>
      </c>
      <c r="I159" s="9">
        <f>Model_Data!Y159</f>
        <v/>
      </c>
      <c r="J159" s="9">
        <f>Model_Data!X159</f>
        <v/>
      </c>
      <c r="K159" s="9">
        <f>Model_Data!A159</f>
        <v/>
      </c>
      <c r="L159" s="9">
        <f>Model_Data!Y159</f>
        <v/>
      </c>
      <c r="M159" s="9">
        <f>Model_Data!X159</f>
        <v/>
      </c>
      <c r="N159" s="9">
        <f>-(Model_Data!AC159-Model_Data!F159)*Inputs!$C$12</f>
        <v/>
      </c>
      <c r="O159" s="10" t="n"/>
      <c r="P159" s="9">
        <f>Model_Data!A159</f>
        <v/>
      </c>
      <c r="Q159" s="9">
        <f>Model_Data!P159</f>
        <v/>
      </c>
      <c r="R159" s="9">
        <f>Model_Data!AM159</f>
        <v/>
      </c>
      <c r="S159" s="9">
        <f>Model_Data!Q159</f>
        <v/>
      </c>
      <c r="T159" s="9">
        <f>Model_Data!AN159</f>
        <v/>
      </c>
      <c r="U159" s="10" t="n"/>
      <c r="V159" s="9">
        <f>Model_Data!A159</f>
        <v/>
      </c>
      <c r="W159" s="9">
        <f>Model_Data!B159-Inputs!$C$5</f>
        <v/>
      </c>
      <c r="X159" s="10" t="n"/>
      <c r="Y159" s="9">
        <f>Model_Data!A159</f>
        <v/>
      </c>
      <c r="Z159" s="9">
        <f>0</f>
        <v/>
      </c>
      <c r="AA159" s="9">
        <f>((SQRT((Inputs!$C$52+Inputs!$C$5)^2+Inputs!$C$52^2-2*(Inputs!$C$52+Inputs!$C$5)*Inputs!$C$52*COS(SQRT((Model_Data!A159)^2+Inputs!$C$6^2)/Inputs!$C$52))-Inputs!$C$5)*1000/Inputs!$C$12)</f>
        <v/>
      </c>
      <c r="AB159" s="9">
        <f>Model_Data!F159</f>
        <v/>
      </c>
    </row>
    <row r="160">
      <c r="A160" s="9">
        <f>Model_Data!A160</f>
        <v/>
      </c>
      <c r="B160" s="9">
        <f>0</f>
        <v/>
      </c>
      <c r="C160" s="9">
        <f>((SQRT((Inputs!$C$52+Inputs!$C$5)^2+Inputs!$C$52^2-2*(Inputs!$C$52+Inputs!$C$5)*Inputs!$C$52*COS(SQRT((Model_Data!A160)^2+Inputs!$C$6^2)/Inputs!$C$52))-Inputs!$C$5)*1000/Inputs!$C$12)</f>
        <v/>
      </c>
      <c r="D160" s="9">
        <f>Model_Data!F160</f>
        <v/>
      </c>
      <c r="E160" s="9">
        <f>Model_Data!AC160</f>
        <v/>
      </c>
      <c r="F160" s="10" t="n"/>
      <c r="G160" s="9">
        <f>Model_Data!A160</f>
        <v/>
      </c>
      <c r="H160" s="9">
        <f>Model_Data!Y160</f>
        <v/>
      </c>
      <c r="I160" s="9">
        <f>Model_Data!Y160</f>
        <v/>
      </c>
      <c r="J160" s="9">
        <f>Model_Data!X160</f>
        <v/>
      </c>
      <c r="K160" s="9">
        <f>Model_Data!A160</f>
        <v/>
      </c>
      <c r="L160" s="9">
        <f>Model_Data!Y160</f>
        <v/>
      </c>
      <c r="M160" s="9">
        <f>Model_Data!X160</f>
        <v/>
      </c>
      <c r="N160" s="9">
        <f>-(Model_Data!AC160-Model_Data!F160)*Inputs!$C$12</f>
        <v/>
      </c>
      <c r="O160" s="10" t="n"/>
      <c r="P160" s="9">
        <f>Model_Data!A160</f>
        <v/>
      </c>
      <c r="Q160" s="9">
        <f>Model_Data!P160</f>
        <v/>
      </c>
      <c r="R160" s="9">
        <f>Model_Data!AM160</f>
        <v/>
      </c>
      <c r="S160" s="9">
        <f>Model_Data!Q160</f>
        <v/>
      </c>
      <c r="T160" s="9">
        <f>Model_Data!AN160</f>
        <v/>
      </c>
      <c r="U160" s="10" t="n"/>
      <c r="V160" s="9">
        <f>Model_Data!A160</f>
        <v/>
      </c>
      <c r="W160" s="9">
        <f>Model_Data!B160-Inputs!$C$5</f>
        <v/>
      </c>
      <c r="X160" s="10" t="n"/>
      <c r="Y160" s="9">
        <f>Model_Data!A160</f>
        <v/>
      </c>
      <c r="Z160" s="9">
        <f>0</f>
        <v/>
      </c>
      <c r="AA160" s="9">
        <f>((SQRT((Inputs!$C$52+Inputs!$C$5)^2+Inputs!$C$52^2-2*(Inputs!$C$52+Inputs!$C$5)*Inputs!$C$52*COS(SQRT((Model_Data!A160)^2+Inputs!$C$6^2)/Inputs!$C$52))-Inputs!$C$5)*1000/Inputs!$C$12)</f>
        <v/>
      </c>
      <c r="AB160" s="9">
        <f>Model_Data!F160</f>
        <v/>
      </c>
    </row>
    <row r="161">
      <c r="A161" s="9">
        <f>Model_Data!A161</f>
        <v/>
      </c>
      <c r="B161" s="9">
        <f>0</f>
        <v/>
      </c>
      <c r="C161" s="9">
        <f>((SQRT((Inputs!$C$52+Inputs!$C$5)^2+Inputs!$C$52^2-2*(Inputs!$C$52+Inputs!$C$5)*Inputs!$C$52*COS(SQRT((Model_Data!A161)^2+Inputs!$C$6^2)/Inputs!$C$52))-Inputs!$C$5)*1000/Inputs!$C$12)</f>
        <v/>
      </c>
      <c r="D161" s="9">
        <f>Model_Data!F161</f>
        <v/>
      </c>
      <c r="E161" s="9">
        <f>Model_Data!AC161</f>
        <v/>
      </c>
      <c r="F161" s="10" t="n"/>
      <c r="G161" s="9">
        <f>Model_Data!A161</f>
        <v/>
      </c>
      <c r="H161" s="9">
        <f>Model_Data!Y161</f>
        <v/>
      </c>
      <c r="I161" s="9">
        <f>Model_Data!Y161</f>
        <v/>
      </c>
      <c r="J161" s="9">
        <f>Model_Data!X161</f>
        <v/>
      </c>
      <c r="K161" s="9">
        <f>Model_Data!A161</f>
        <v/>
      </c>
      <c r="L161" s="9">
        <f>Model_Data!Y161</f>
        <v/>
      </c>
      <c r="M161" s="9">
        <f>Model_Data!X161</f>
        <v/>
      </c>
      <c r="N161" s="9">
        <f>-(Model_Data!AC161-Model_Data!F161)*Inputs!$C$12</f>
        <v/>
      </c>
      <c r="O161" s="10" t="n"/>
      <c r="P161" s="9">
        <f>Model_Data!A161</f>
        <v/>
      </c>
      <c r="Q161" s="9">
        <f>Model_Data!P161</f>
        <v/>
      </c>
      <c r="R161" s="9">
        <f>Model_Data!AM161</f>
        <v/>
      </c>
      <c r="S161" s="9">
        <f>Model_Data!Q161</f>
        <v/>
      </c>
      <c r="T161" s="9">
        <f>Model_Data!AN161</f>
        <v/>
      </c>
      <c r="U161" s="10" t="n"/>
      <c r="V161" s="9">
        <f>Model_Data!A161</f>
        <v/>
      </c>
      <c r="W161" s="9">
        <f>Model_Data!B161-Inputs!$C$5</f>
        <v/>
      </c>
      <c r="X161" s="10" t="n"/>
      <c r="Y161" s="9">
        <f>Model_Data!A161</f>
        <v/>
      </c>
      <c r="Z161" s="9">
        <f>0</f>
        <v/>
      </c>
      <c r="AA161" s="9">
        <f>((SQRT((Inputs!$C$52+Inputs!$C$5)^2+Inputs!$C$52^2-2*(Inputs!$C$52+Inputs!$C$5)*Inputs!$C$52*COS(SQRT((Model_Data!A161)^2+Inputs!$C$6^2)/Inputs!$C$52))-Inputs!$C$5)*1000/Inputs!$C$12)</f>
        <v/>
      </c>
      <c r="AB161" s="9">
        <f>Model_Data!F161</f>
        <v/>
      </c>
    </row>
    <row r="162">
      <c r="A162" s="9">
        <f>Model_Data!A162</f>
        <v/>
      </c>
      <c r="B162" s="9">
        <f>0</f>
        <v/>
      </c>
      <c r="C162" s="9">
        <f>((SQRT((Inputs!$C$52+Inputs!$C$5)^2+Inputs!$C$52^2-2*(Inputs!$C$52+Inputs!$C$5)*Inputs!$C$52*COS(SQRT((Model_Data!A162)^2+Inputs!$C$6^2)/Inputs!$C$52))-Inputs!$C$5)*1000/Inputs!$C$12)</f>
        <v/>
      </c>
      <c r="D162" s="9">
        <f>Model_Data!F162</f>
        <v/>
      </c>
      <c r="E162" s="9">
        <f>Model_Data!AC162</f>
        <v/>
      </c>
      <c r="F162" s="10" t="n"/>
      <c r="G162" s="9">
        <f>Model_Data!A162</f>
        <v/>
      </c>
      <c r="H162" s="9">
        <f>Model_Data!Y162</f>
        <v/>
      </c>
      <c r="I162" s="9">
        <f>Model_Data!Y162</f>
        <v/>
      </c>
      <c r="J162" s="9">
        <f>Model_Data!X162</f>
        <v/>
      </c>
      <c r="K162" s="9">
        <f>Model_Data!A162</f>
        <v/>
      </c>
      <c r="L162" s="9">
        <f>Model_Data!Y162</f>
        <v/>
      </c>
      <c r="M162" s="9">
        <f>Model_Data!X162</f>
        <v/>
      </c>
      <c r="N162" s="9">
        <f>-(Model_Data!AC162-Model_Data!F162)*Inputs!$C$12</f>
        <v/>
      </c>
      <c r="O162" s="10" t="n"/>
      <c r="P162" s="9">
        <f>Model_Data!A162</f>
        <v/>
      </c>
      <c r="Q162" s="9">
        <f>Model_Data!P162</f>
        <v/>
      </c>
      <c r="R162" s="9">
        <f>Model_Data!AM162</f>
        <v/>
      </c>
      <c r="S162" s="9">
        <f>Model_Data!Q162</f>
        <v/>
      </c>
      <c r="T162" s="9">
        <f>Model_Data!AN162</f>
        <v/>
      </c>
      <c r="U162" s="10" t="n"/>
      <c r="V162" s="9">
        <f>Model_Data!A162</f>
        <v/>
      </c>
      <c r="W162" s="9">
        <f>Model_Data!B162-Inputs!$C$5</f>
        <v/>
      </c>
      <c r="X162" s="10" t="n"/>
      <c r="Y162" s="9">
        <f>Model_Data!A162</f>
        <v/>
      </c>
      <c r="Z162" s="9">
        <f>0</f>
        <v/>
      </c>
      <c r="AA162" s="9">
        <f>((SQRT((Inputs!$C$52+Inputs!$C$5)^2+Inputs!$C$52^2-2*(Inputs!$C$52+Inputs!$C$5)*Inputs!$C$52*COS(SQRT((Model_Data!A162)^2+Inputs!$C$6^2)/Inputs!$C$52))-Inputs!$C$5)*1000/Inputs!$C$12)</f>
        <v/>
      </c>
      <c r="AB162" s="9">
        <f>Model_Data!F162</f>
        <v/>
      </c>
    </row>
    <row r="163">
      <c r="A163" s="9">
        <f>Model_Data!A163</f>
        <v/>
      </c>
      <c r="B163" s="9">
        <f>0</f>
        <v/>
      </c>
      <c r="C163" s="9">
        <f>((SQRT((Inputs!$C$52+Inputs!$C$5)^2+Inputs!$C$52^2-2*(Inputs!$C$52+Inputs!$C$5)*Inputs!$C$52*COS(SQRT((Model_Data!A163)^2+Inputs!$C$6^2)/Inputs!$C$52))-Inputs!$C$5)*1000/Inputs!$C$12)</f>
        <v/>
      </c>
      <c r="D163" s="9">
        <f>Model_Data!F163</f>
        <v/>
      </c>
      <c r="E163" s="9">
        <f>Model_Data!AC163</f>
        <v/>
      </c>
      <c r="F163" s="10" t="n"/>
      <c r="G163" s="9">
        <f>Model_Data!A163</f>
        <v/>
      </c>
      <c r="H163" s="9">
        <f>Model_Data!Y163</f>
        <v/>
      </c>
      <c r="I163" s="9">
        <f>Model_Data!Y163</f>
        <v/>
      </c>
      <c r="J163" s="9">
        <f>Model_Data!X163</f>
        <v/>
      </c>
      <c r="K163" s="9">
        <f>Model_Data!A163</f>
        <v/>
      </c>
      <c r="L163" s="9">
        <f>Model_Data!Y163</f>
        <v/>
      </c>
      <c r="M163" s="9">
        <f>Model_Data!X163</f>
        <v/>
      </c>
      <c r="N163" s="9">
        <f>-(Model_Data!AC163-Model_Data!F163)*Inputs!$C$12</f>
        <v/>
      </c>
      <c r="O163" s="10" t="n"/>
      <c r="P163" s="9">
        <f>Model_Data!A163</f>
        <v/>
      </c>
      <c r="Q163" s="9">
        <f>Model_Data!P163</f>
        <v/>
      </c>
      <c r="R163" s="9">
        <f>Model_Data!AM163</f>
        <v/>
      </c>
      <c r="S163" s="9">
        <f>Model_Data!Q163</f>
        <v/>
      </c>
      <c r="T163" s="9">
        <f>Model_Data!AN163</f>
        <v/>
      </c>
      <c r="U163" s="10" t="n"/>
      <c r="V163" s="9">
        <f>Model_Data!A163</f>
        <v/>
      </c>
      <c r="W163" s="9">
        <f>Model_Data!B163-Inputs!$C$5</f>
        <v/>
      </c>
      <c r="X163" s="10" t="n"/>
      <c r="Y163" s="9">
        <f>Model_Data!A163</f>
        <v/>
      </c>
      <c r="Z163" s="9">
        <f>0</f>
        <v/>
      </c>
      <c r="AA163" s="9">
        <f>((SQRT((Inputs!$C$52+Inputs!$C$5)^2+Inputs!$C$52^2-2*(Inputs!$C$52+Inputs!$C$5)*Inputs!$C$52*COS(SQRT((Model_Data!A163)^2+Inputs!$C$6^2)/Inputs!$C$52))-Inputs!$C$5)*1000/Inputs!$C$12)</f>
        <v/>
      </c>
      <c r="AB163" s="9">
        <f>Model_Data!F163</f>
        <v/>
      </c>
    </row>
    <row r="164">
      <c r="A164" s="9">
        <f>Model_Data!A164</f>
        <v/>
      </c>
      <c r="B164" s="9">
        <f>0</f>
        <v/>
      </c>
      <c r="C164" s="9">
        <f>((SQRT((Inputs!$C$52+Inputs!$C$5)^2+Inputs!$C$52^2-2*(Inputs!$C$52+Inputs!$C$5)*Inputs!$C$52*COS(SQRT((Model_Data!A164)^2+Inputs!$C$6^2)/Inputs!$C$52))-Inputs!$C$5)*1000/Inputs!$C$12)</f>
        <v/>
      </c>
      <c r="D164" s="9">
        <f>Model_Data!F164</f>
        <v/>
      </c>
      <c r="E164" s="9">
        <f>Model_Data!AC164</f>
        <v/>
      </c>
      <c r="F164" s="10" t="n"/>
      <c r="G164" s="9">
        <f>Model_Data!A164</f>
        <v/>
      </c>
      <c r="H164" s="9">
        <f>Model_Data!Y164</f>
        <v/>
      </c>
      <c r="I164" s="9">
        <f>Model_Data!Y164</f>
        <v/>
      </c>
      <c r="J164" s="9">
        <f>Model_Data!X164</f>
        <v/>
      </c>
      <c r="K164" s="9">
        <f>Model_Data!A164</f>
        <v/>
      </c>
      <c r="L164" s="9">
        <f>Model_Data!Y164</f>
        <v/>
      </c>
      <c r="M164" s="9">
        <f>Model_Data!X164</f>
        <v/>
      </c>
      <c r="N164" s="9">
        <f>-(Model_Data!AC164-Model_Data!F164)*Inputs!$C$12</f>
        <v/>
      </c>
      <c r="O164" s="10" t="n"/>
      <c r="P164" s="9">
        <f>Model_Data!A164</f>
        <v/>
      </c>
      <c r="Q164" s="9">
        <f>Model_Data!P164</f>
        <v/>
      </c>
      <c r="R164" s="9">
        <f>Model_Data!AM164</f>
        <v/>
      </c>
      <c r="S164" s="9">
        <f>Model_Data!Q164</f>
        <v/>
      </c>
      <c r="T164" s="9">
        <f>Model_Data!AN164</f>
        <v/>
      </c>
      <c r="U164" s="10" t="n"/>
      <c r="V164" s="9">
        <f>Model_Data!A164</f>
        <v/>
      </c>
      <c r="W164" s="9">
        <f>Model_Data!B164-Inputs!$C$5</f>
        <v/>
      </c>
      <c r="X164" s="10" t="n"/>
      <c r="Y164" s="9">
        <f>Model_Data!A164</f>
        <v/>
      </c>
      <c r="Z164" s="9">
        <f>0</f>
        <v/>
      </c>
      <c r="AA164" s="9">
        <f>((SQRT((Inputs!$C$52+Inputs!$C$5)^2+Inputs!$C$52^2-2*(Inputs!$C$52+Inputs!$C$5)*Inputs!$C$52*COS(SQRT((Model_Data!A164)^2+Inputs!$C$6^2)/Inputs!$C$52))-Inputs!$C$5)*1000/Inputs!$C$12)</f>
        <v/>
      </c>
      <c r="AB164" s="9">
        <f>Model_Data!F164</f>
        <v/>
      </c>
    </row>
    <row r="165">
      <c r="A165" s="9">
        <f>Model_Data!A165</f>
        <v/>
      </c>
      <c r="B165" s="9">
        <f>0</f>
        <v/>
      </c>
      <c r="C165" s="9">
        <f>((SQRT((Inputs!$C$52+Inputs!$C$5)^2+Inputs!$C$52^2-2*(Inputs!$C$52+Inputs!$C$5)*Inputs!$C$52*COS(SQRT((Model_Data!A165)^2+Inputs!$C$6^2)/Inputs!$C$52))-Inputs!$C$5)*1000/Inputs!$C$12)</f>
        <v/>
      </c>
      <c r="D165" s="9">
        <f>Model_Data!F165</f>
        <v/>
      </c>
      <c r="E165" s="9">
        <f>Model_Data!AC165</f>
        <v/>
      </c>
      <c r="F165" s="10" t="n"/>
      <c r="G165" s="9">
        <f>Model_Data!A165</f>
        <v/>
      </c>
      <c r="H165" s="9">
        <f>Model_Data!Y165</f>
        <v/>
      </c>
      <c r="I165" s="9">
        <f>Model_Data!Y165</f>
        <v/>
      </c>
      <c r="J165" s="9">
        <f>Model_Data!X165</f>
        <v/>
      </c>
      <c r="K165" s="9">
        <f>Model_Data!A165</f>
        <v/>
      </c>
      <c r="L165" s="9">
        <f>Model_Data!Y165</f>
        <v/>
      </c>
      <c r="M165" s="9">
        <f>Model_Data!X165</f>
        <v/>
      </c>
      <c r="N165" s="9">
        <f>-(Model_Data!AC165-Model_Data!F165)*Inputs!$C$12</f>
        <v/>
      </c>
      <c r="O165" s="10" t="n"/>
      <c r="P165" s="9">
        <f>Model_Data!A165</f>
        <v/>
      </c>
      <c r="Q165" s="9">
        <f>Model_Data!P165</f>
        <v/>
      </c>
      <c r="R165" s="9">
        <f>Model_Data!AM165</f>
        <v/>
      </c>
      <c r="S165" s="9">
        <f>Model_Data!Q165</f>
        <v/>
      </c>
      <c r="T165" s="9">
        <f>Model_Data!AN165</f>
        <v/>
      </c>
      <c r="U165" s="10" t="n"/>
      <c r="V165" s="9">
        <f>Model_Data!A165</f>
        <v/>
      </c>
      <c r="W165" s="9">
        <f>Model_Data!B165-Inputs!$C$5</f>
        <v/>
      </c>
      <c r="X165" s="10" t="n"/>
      <c r="Y165" s="9">
        <f>Model_Data!A165</f>
        <v/>
      </c>
      <c r="Z165" s="9">
        <f>0</f>
        <v/>
      </c>
      <c r="AA165" s="9">
        <f>((SQRT((Inputs!$C$52+Inputs!$C$5)^2+Inputs!$C$52^2-2*(Inputs!$C$52+Inputs!$C$5)*Inputs!$C$52*COS(SQRT((Model_Data!A165)^2+Inputs!$C$6^2)/Inputs!$C$52))-Inputs!$C$5)*1000/Inputs!$C$12)</f>
        <v/>
      </c>
      <c r="AB165" s="9">
        <f>Model_Data!F165</f>
        <v/>
      </c>
    </row>
    <row r="166">
      <c r="A166" s="9">
        <f>Model_Data!A166</f>
        <v/>
      </c>
      <c r="B166" s="9">
        <f>0</f>
        <v/>
      </c>
      <c r="C166" s="9">
        <f>((SQRT((Inputs!$C$52+Inputs!$C$5)^2+Inputs!$C$52^2-2*(Inputs!$C$52+Inputs!$C$5)*Inputs!$C$52*COS(SQRT((Model_Data!A166)^2+Inputs!$C$6^2)/Inputs!$C$52))-Inputs!$C$5)*1000/Inputs!$C$12)</f>
        <v/>
      </c>
      <c r="D166" s="9">
        <f>Model_Data!F166</f>
        <v/>
      </c>
      <c r="E166" s="9">
        <f>Model_Data!AC166</f>
        <v/>
      </c>
      <c r="F166" s="10" t="n"/>
      <c r="G166" s="9">
        <f>Model_Data!A166</f>
        <v/>
      </c>
      <c r="H166" s="9">
        <f>Model_Data!Y166</f>
        <v/>
      </c>
      <c r="I166" s="9">
        <f>Model_Data!Y166</f>
        <v/>
      </c>
      <c r="J166" s="9">
        <f>Model_Data!X166</f>
        <v/>
      </c>
      <c r="K166" s="9">
        <f>Model_Data!A166</f>
        <v/>
      </c>
      <c r="L166" s="9">
        <f>Model_Data!Y166</f>
        <v/>
      </c>
      <c r="M166" s="9">
        <f>Model_Data!X166</f>
        <v/>
      </c>
      <c r="N166" s="9">
        <f>-(Model_Data!AC166-Model_Data!F166)*Inputs!$C$12</f>
        <v/>
      </c>
      <c r="O166" s="10" t="n"/>
      <c r="P166" s="9">
        <f>Model_Data!A166</f>
        <v/>
      </c>
      <c r="Q166" s="9">
        <f>Model_Data!P166</f>
        <v/>
      </c>
      <c r="R166" s="9">
        <f>Model_Data!AM166</f>
        <v/>
      </c>
      <c r="S166" s="9">
        <f>Model_Data!Q166</f>
        <v/>
      </c>
      <c r="T166" s="9">
        <f>Model_Data!AN166</f>
        <v/>
      </c>
      <c r="U166" s="10" t="n"/>
      <c r="V166" s="9">
        <f>Model_Data!A166</f>
        <v/>
      </c>
      <c r="W166" s="9">
        <f>Model_Data!B166-Inputs!$C$5</f>
        <v/>
      </c>
      <c r="X166" s="10" t="n"/>
      <c r="Y166" s="9">
        <f>Model_Data!A166</f>
        <v/>
      </c>
      <c r="Z166" s="9">
        <f>0</f>
        <v/>
      </c>
      <c r="AA166" s="9">
        <f>((SQRT((Inputs!$C$52+Inputs!$C$5)^2+Inputs!$C$52^2-2*(Inputs!$C$52+Inputs!$C$5)*Inputs!$C$52*COS(SQRT((Model_Data!A166)^2+Inputs!$C$6^2)/Inputs!$C$52))-Inputs!$C$5)*1000/Inputs!$C$12)</f>
        <v/>
      </c>
      <c r="AB166" s="9">
        <f>Model_Data!F166</f>
        <v/>
      </c>
    </row>
    <row r="167">
      <c r="A167" s="9">
        <f>Model_Data!A167</f>
        <v/>
      </c>
      <c r="B167" s="9">
        <f>0</f>
        <v/>
      </c>
      <c r="C167" s="9">
        <f>((SQRT((Inputs!$C$52+Inputs!$C$5)^2+Inputs!$C$52^2-2*(Inputs!$C$52+Inputs!$C$5)*Inputs!$C$52*COS(SQRT((Model_Data!A167)^2+Inputs!$C$6^2)/Inputs!$C$52))-Inputs!$C$5)*1000/Inputs!$C$12)</f>
        <v/>
      </c>
      <c r="D167" s="9">
        <f>Model_Data!F167</f>
        <v/>
      </c>
      <c r="E167" s="9">
        <f>Model_Data!AC167</f>
        <v/>
      </c>
      <c r="F167" s="10" t="n"/>
      <c r="G167" s="9">
        <f>Model_Data!A167</f>
        <v/>
      </c>
      <c r="H167" s="9">
        <f>Model_Data!Y167</f>
        <v/>
      </c>
      <c r="I167" s="9">
        <f>Model_Data!Y167</f>
        <v/>
      </c>
      <c r="J167" s="9">
        <f>Model_Data!X167</f>
        <v/>
      </c>
      <c r="K167" s="9">
        <f>Model_Data!A167</f>
        <v/>
      </c>
      <c r="L167" s="9">
        <f>Model_Data!Y167</f>
        <v/>
      </c>
      <c r="M167" s="9">
        <f>Model_Data!X167</f>
        <v/>
      </c>
      <c r="N167" s="9">
        <f>-(Model_Data!AC167-Model_Data!F167)*Inputs!$C$12</f>
        <v/>
      </c>
      <c r="O167" s="10" t="n"/>
      <c r="P167" s="9">
        <f>Model_Data!A167</f>
        <v/>
      </c>
      <c r="Q167" s="9">
        <f>Model_Data!P167</f>
        <v/>
      </c>
      <c r="R167" s="9">
        <f>Model_Data!AM167</f>
        <v/>
      </c>
      <c r="S167" s="9">
        <f>Model_Data!Q167</f>
        <v/>
      </c>
      <c r="T167" s="9">
        <f>Model_Data!AN167</f>
        <v/>
      </c>
      <c r="U167" s="10" t="n"/>
      <c r="V167" s="9">
        <f>Model_Data!A167</f>
        <v/>
      </c>
      <c r="W167" s="9">
        <f>Model_Data!B167-Inputs!$C$5</f>
        <v/>
      </c>
      <c r="X167" s="10" t="n"/>
      <c r="Y167" s="9">
        <f>Model_Data!A167</f>
        <v/>
      </c>
      <c r="Z167" s="9">
        <f>0</f>
        <v/>
      </c>
      <c r="AA167" s="9">
        <f>((SQRT((Inputs!$C$52+Inputs!$C$5)^2+Inputs!$C$52^2-2*(Inputs!$C$52+Inputs!$C$5)*Inputs!$C$52*COS(SQRT((Model_Data!A167)^2+Inputs!$C$6^2)/Inputs!$C$52))-Inputs!$C$5)*1000/Inputs!$C$12)</f>
        <v/>
      </c>
      <c r="AB167" s="9">
        <f>Model_Data!F167</f>
        <v/>
      </c>
    </row>
    <row r="168">
      <c r="A168" s="9">
        <f>Model_Data!A168</f>
        <v/>
      </c>
      <c r="B168" s="9">
        <f>0</f>
        <v/>
      </c>
      <c r="C168" s="9">
        <f>((SQRT((Inputs!$C$52+Inputs!$C$5)^2+Inputs!$C$52^2-2*(Inputs!$C$52+Inputs!$C$5)*Inputs!$C$52*COS(SQRT((Model_Data!A168)^2+Inputs!$C$6^2)/Inputs!$C$52))-Inputs!$C$5)*1000/Inputs!$C$12)</f>
        <v/>
      </c>
      <c r="D168" s="9">
        <f>Model_Data!F168</f>
        <v/>
      </c>
      <c r="E168" s="9">
        <f>Model_Data!AC168</f>
        <v/>
      </c>
      <c r="F168" s="10" t="n"/>
      <c r="G168" s="9">
        <f>Model_Data!A168</f>
        <v/>
      </c>
      <c r="H168" s="9">
        <f>Model_Data!Y168</f>
        <v/>
      </c>
      <c r="I168" s="9">
        <f>Model_Data!Y168</f>
        <v/>
      </c>
      <c r="J168" s="9">
        <f>Model_Data!X168</f>
        <v/>
      </c>
      <c r="K168" s="9">
        <f>Model_Data!A168</f>
        <v/>
      </c>
      <c r="L168" s="9">
        <f>Model_Data!Y168</f>
        <v/>
      </c>
      <c r="M168" s="9">
        <f>Model_Data!X168</f>
        <v/>
      </c>
      <c r="N168" s="9">
        <f>-(Model_Data!AC168-Model_Data!F168)*Inputs!$C$12</f>
        <v/>
      </c>
      <c r="O168" s="10" t="n"/>
      <c r="P168" s="9">
        <f>Model_Data!A168</f>
        <v/>
      </c>
      <c r="Q168" s="9">
        <f>Model_Data!P168</f>
        <v/>
      </c>
      <c r="R168" s="9">
        <f>Model_Data!AM168</f>
        <v/>
      </c>
      <c r="S168" s="9">
        <f>Model_Data!Q168</f>
        <v/>
      </c>
      <c r="T168" s="9">
        <f>Model_Data!AN168</f>
        <v/>
      </c>
      <c r="U168" s="10" t="n"/>
      <c r="V168" s="9">
        <f>Model_Data!A168</f>
        <v/>
      </c>
      <c r="W168" s="9">
        <f>Model_Data!B168-Inputs!$C$5</f>
        <v/>
      </c>
      <c r="X168" s="10" t="n"/>
      <c r="Y168" s="9">
        <f>Model_Data!A168</f>
        <v/>
      </c>
      <c r="Z168" s="9">
        <f>0</f>
        <v/>
      </c>
      <c r="AA168" s="9">
        <f>((SQRT((Inputs!$C$52+Inputs!$C$5)^2+Inputs!$C$52^2-2*(Inputs!$C$52+Inputs!$C$5)*Inputs!$C$52*COS(SQRT((Model_Data!A168)^2+Inputs!$C$6^2)/Inputs!$C$52))-Inputs!$C$5)*1000/Inputs!$C$12)</f>
        <v/>
      </c>
      <c r="AB168" s="9">
        <f>Model_Data!F168</f>
        <v/>
      </c>
    </row>
    <row r="169">
      <c r="A169" s="9">
        <f>Model_Data!A169</f>
        <v/>
      </c>
      <c r="B169" s="9">
        <f>0</f>
        <v/>
      </c>
      <c r="C169" s="9">
        <f>((SQRT((Inputs!$C$52+Inputs!$C$5)^2+Inputs!$C$52^2-2*(Inputs!$C$52+Inputs!$C$5)*Inputs!$C$52*COS(SQRT((Model_Data!A169)^2+Inputs!$C$6^2)/Inputs!$C$52))-Inputs!$C$5)*1000/Inputs!$C$12)</f>
        <v/>
      </c>
      <c r="D169" s="9">
        <f>Model_Data!F169</f>
        <v/>
      </c>
      <c r="E169" s="9">
        <f>Model_Data!AC169</f>
        <v/>
      </c>
      <c r="F169" s="10" t="n"/>
      <c r="G169" s="9">
        <f>Model_Data!A169</f>
        <v/>
      </c>
      <c r="H169" s="9">
        <f>Model_Data!Y169</f>
        <v/>
      </c>
      <c r="I169" s="9">
        <f>Model_Data!Y169</f>
        <v/>
      </c>
      <c r="J169" s="9">
        <f>Model_Data!X169</f>
        <v/>
      </c>
      <c r="K169" s="9">
        <f>Model_Data!A169</f>
        <v/>
      </c>
      <c r="L169" s="9">
        <f>Model_Data!Y169</f>
        <v/>
      </c>
      <c r="M169" s="9">
        <f>Model_Data!X169</f>
        <v/>
      </c>
      <c r="N169" s="9">
        <f>-(Model_Data!AC169-Model_Data!F169)*Inputs!$C$12</f>
        <v/>
      </c>
      <c r="O169" s="10" t="n"/>
      <c r="P169" s="9">
        <f>Model_Data!A169</f>
        <v/>
      </c>
      <c r="Q169" s="9">
        <f>Model_Data!P169</f>
        <v/>
      </c>
      <c r="R169" s="9">
        <f>Model_Data!AM169</f>
        <v/>
      </c>
      <c r="S169" s="9">
        <f>Model_Data!Q169</f>
        <v/>
      </c>
      <c r="T169" s="9">
        <f>Model_Data!AN169</f>
        <v/>
      </c>
      <c r="U169" s="10" t="n"/>
      <c r="V169" s="9">
        <f>Model_Data!A169</f>
        <v/>
      </c>
      <c r="W169" s="9">
        <f>Model_Data!B169-Inputs!$C$5</f>
        <v/>
      </c>
      <c r="X169" s="10" t="n"/>
      <c r="Y169" s="9">
        <f>Model_Data!A169</f>
        <v/>
      </c>
      <c r="Z169" s="9">
        <f>0</f>
        <v/>
      </c>
      <c r="AA169" s="9">
        <f>((SQRT((Inputs!$C$52+Inputs!$C$5)^2+Inputs!$C$52^2-2*(Inputs!$C$52+Inputs!$C$5)*Inputs!$C$52*COS(SQRT((Model_Data!A169)^2+Inputs!$C$6^2)/Inputs!$C$52))-Inputs!$C$5)*1000/Inputs!$C$12)</f>
        <v/>
      </c>
      <c r="AB169" s="9">
        <f>Model_Data!F169</f>
        <v/>
      </c>
    </row>
    <row r="170">
      <c r="A170" s="9">
        <f>Model_Data!A170</f>
        <v/>
      </c>
      <c r="B170" s="9">
        <f>0</f>
        <v/>
      </c>
      <c r="C170" s="9">
        <f>((SQRT((Inputs!$C$52+Inputs!$C$5)^2+Inputs!$C$52^2-2*(Inputs!$C$52+Inputs!$C$5)*Inputs!$C$52*COS(SQRT((Model_Data!A170)^2+Inputs!$C$6^2)/Inputs!$C$52))-Inputs!$C$5)*1000/Inputs!$C$12)</f>
        <v/>
      </c>
      <c r="D170" s="9">
        <f>Model_Data!F170</f>
        <v/>
      </c>
      <c r="E170" s="9">
        <f>Model_Data!AC170</f>
        <v/>
      </c>
      <c r="F170" s="10" t="n"/>
      <c r="G170" s="9">
        <f>Model_Data!A170</f>
        <v/>
      </c>
      <c r="H170" s="9">
        <f>Model_Data!Y170</f>
        <v/>
      </c>
      <c r="I170" s="9">
        <f>Model_Data!Y170</f>
        <v/>
      </c>
      <c r="J170" s="9">
        <f>Model_Data!X170</f>
        <v/>
      </c>
      <c r="K170" s="9">
        <f>Model_Data!A170</f>
        <v/>
      </c>
      <c r="L170" s="9">
        <f>Model_Data!Y170</f>
        <v/>
      </c>
      <c r="M170" s="9">
        <f>Model_Data!X170</f>
        <v/>
      </c>
      <c r="N170" s="9">
        <f>-(Model_Data!AC170-Model_Data!F170)*Inputs!$C$12</f>
        <v/>
      </c>
      <c r="O170" s="10" t="n"/>
      <c r="P170" s="9">
        <f>Model_Data!A170</f>
        <v/>
      </c>
      <c r="Q170" s="9">
        <f>Model_Data!P170</f>
        <v/>
      </c>
      <c r="R170" s="9">
        <f>Model_Data!AM170</f>
        <v/>
      </c>
      <c r="S170" s="9">
        <f>Model_Data!Q170</f>
        <v/>
      </c>
      <c r="T170" s="9">
        <f>Model_Data!AN170</f>
        <v/>
      </c>
      <c r="U170" s="10" t="n"/>
      <c r="V170" s="9">
        <f>Model_Data!A170</f>
        <v/>
      </c>
      <c r="W170" s="9">
        <f>Model_Data!B170-Inputs!$C$5</f>
        <v/>
      </c>
      <c r="X170" s="10" t="n"/>
      <c r="Y170" s="9">
        <f>Model_Data!A170</f>
        <v/>
      </c>
      <c r="Z170" s="9">
        <f>0</f>
        <v/>
      </c>
      <c r="AA170" s="9">
        <f>((SQRT((Inputs!$C$52+Inputs!$C$5)^2+Inputs!$C$52^2-2*(Inputs!$C$52+Inputs!$C$5)*Inputs!$C$52*COS(SQRT((Model_Data!A170)^2+Inputs!$C$6^2)/Inputs!$C$52))-Inputs!$C$5)*1000/Inputs!$C$12)</f>
        <v/>
      </c>
      <c r="AB170" s="9">
        <f>Model_Data!F170</f>
        <v/>
      </c>
    </row>
    <row r="171">
      <c r="A171" s="9">
        <f>Model_Data!A171</f>
        <v/>
      </c>
      <c r="B171" s="9">
        <f>0</f>
        <v/>
      </c>
      <c r="C171" s="9">
        <f>((SQRT((Inputs!$C$52+Inputs!$C$5)^2+Inputs!$C$52^2-2*(Inputs!$C$52+Inputs!$C$5)*Inputs!$C$52*COS(SQRT((Model_Data!A171)^2+Inputs!$C$6^2)/Inputs!$C$52))-Inputs!$C$5)*1000/Inputs!$C$12)</f>
        <v/>
      </c>
      <c r="D171" s="9">
        <f>Model_Data!F171</f>
        <v/>
      </c>
      <c r="E171" s="9">
        <f>Model_Data!AC171</f>
        <v/>
      </c>
      <c r="F171" s="10" t="n"/>
      <c r="G171" s="9">
        <f>Model_Data!A171</f>
        <v/>
      </c>
      <c r="H171" s="9">
        <f>Model_Data!Y171</f>
        <v/>
      </c>
      <c r="I171" s="9">
        <f>Model_Data!Y171</f>
        <v/>
      </c>
      <c r="J171" s="9">
        <f>Model_Data!X171</f>
        <v/>
      </c>
      <c r="K171" s="9">
        <f>Model_Data!A171</f>
        <v/>
      </c>
      <c r="L171" s="9">
        <f>Model_Data!Y171</f>
        <v/>
      </c>
      <c r="M171" s="9">
        <f>Model_Data!X171</f>
        <v/>
      </c>
      <c r="N171" s="9">
        <f>-(Model_Data!AC171-Model_Data!F171)*Inputs!$C$12</f>
        <v/>
      </c>
      <c r="O171" s="10" t="n"/>
      <c r="P171" s="9">
        <f>Model_Data!A171</f>
        <v/>
      </c>
      <c r="Q171" s="9">
        <f>Model_Data!P171</f>
        <v/>
      </c>
      <c r="R171" s="9">
        <f>Model_Data!AM171</f>
        <v/>
      </c>
      <c r="S171" s="9">
        <f>Model_Data!Q171</f>
        <v/>
      </c>
      <c r="T171" s="9">
        <f>Model_Data!AN171</f>
        <v/>
      </c>
      <c r="U171" s="10" t="n"/>
      <c r="V171" s="9">
        <f>Model_Data!A171</f>
        <v/>
      </c>
      <c r="W171" s="9">
        <f>Model_Data!B171-Inputs!$C$5</f>
        <v/>
      </c>
      <c r="X171" s="10" t="n"/>
      <c r="Y171" s="9">
        <f>Model_Data!A171</f>
        <v/>
      </c>
      <c r="Z171" s="9">
        <f>0</f>
        <v/>
      </c>
      <c r="AA171" s="9">
        <f>((SQRT((Inputs!$C$52+Inputs!$C$5)^2+Inputs!$C$52^2-2*(Inputs!$C$52+Inputs!$C$5)*Inputs!$C$52*COS(SQRT((Model_Data!A171)^2+Inputs!$C$6^2)/Inputs!$C$52))-Inputs!$C$5)*1000/Inputs!$C$12)</f>
        <v/>
      </c>
      <c r="AB171" s="9">
        <f>Model_Data!F171</f>
        <v/>
      </c>
    </row>
    <row r="172">
      <c r="A172" s="9">
        <f>Model_Data!A172</f>
        <v/>
      </c>
      <c r="B172" s="9">
        <f>0</f>
        <v/>
      </c>
      <c r="C172" s="9">
        <f>((SQRT((Inputs!$C$52+Inputs!$C$5)^2+Inputs!$C$52^2-2*(Inputs!$C$52+Inputs!$C$5)*Inputs!$C$52*COS(SQRT((Model_Data!A172)^2+Inputs!$C$6^2)/Inputs!$C$52))-Inputs!$C$5)*1000/Inputs!$C$12)</f>
        <v/>
      </c>
      <c r="D172" s="9">
        <f>Model_Data!F172</f>
        <v/>
      </c>
      <c r="E172" s="9">
        <f>Model_Data!AC172</f>
        <v/>
      </c>
      <c r="F172" s="10" t="n"/>
      <c r="G172" s="9">
        <f>Model_Data!A172</f>
        <v/>
      </c>
      <c r="H172" s="9">
        <f>Model_Data!Y172</f>
        <v/>
      </c>
      <c r="I172" s="9">
        <f>Model_Data!Y172</f>
        <v/>
      </c>
      <c r="J172" s="9">
        <f>Model_Data!X172</f>
        <v/>
      </c>
      <c r="K172" s="9">
        <f>Model_Data!A172</f>
        <v/>
      </c>
      <c r="L172" s="9">
        <f>Model_Data!Y172</f>
        <v/>
      </c>
      <c r="M172" s="9">
        <f>Model_Data!X172</f>
        <v/>
      </c>
      <c r="N172" s="9">
        <f>-(Model_Data!AC172-Model_Data!F172)*Inputs!$C$12</f>
        <v/>
      </c>
      <c r="O172" s="10" t="n"/>
      <c r="P172" s="9">
        <f>Model_Data!A172</f>
        <v/>
      </c>
      <c r="Q172" s="9">
        <f>Model_Data!P172</f>
        <v/>
      </c>
      <c r="R172" s="9">
        <f>Model_Data!AM172</f>
        <v/>
      </c>
      <c r="S172" s="9">
        <f>Model_Data!Q172</f>
        <v/>
      </c>
      <c r="T172" s="9">
        <f>Model_Data!AN172</f>
        <v/>
      </c>
      <c r="U172" s="10" t="n"/>
      <c r="V172" s="9">
        <f>Model_Data!A172</f>
        <v/>
      </c>
      <c r="W172" s="9">
        <f>Model_Data!B172-Inputs!$C$5</f>
        <v/>
      </c>
      <c r="X172" s="10" t="n"/>
      <c r="Y172" s="9">
        <f>Model_Data!A172</f>
        <v/>
      </c>
      <c r="Z172" s="9">
        <f>0</f>
        <v/>
      </c>
      <c r="AA172" s="9">
        <f>((SQRT((Inputs!$C$52+Inputs!$C$5)^2+Inputs!$C$52^2-2*(Inputs!$C$52+Inputs!$C$5)*Inputs!$C$52*COS(SQRT((Model_Data!A172)^2+Inputs!$C$6^2)/Inputs!$C$52))-Inputs!$C$5)*1000/Inputs!$C$12)</f>
        <v/>
      </c>
      <c r="AB172" s="9">
        <f>Model_Data!F172</f>
        <v/>
      </c>
    </row>
    <row r="173">
      <c r="A173" s="9">
        <f>Model_Data!A173</f>
        <v/>
      </c>
      <c r="B173" s="9">
        <f>0</f>
        <v/>
      </c>
      <c r="C173" s="9">
        <f>((SQRT((Inputs!$C$52+Inputs!$C$5)^2+Inputs!$C$52^2-2*(Inputs!$C$52+Inputs!$C$5)*Inputs!$C$52*COS(SQRT((Model_Data!A173)^2+Inputs!$C$6^2)/Inputs!$C$52))-Inputs!$C$5)*1000/Inputs!$C$12)</f>
        <v/>
      </c>
      <c r="D173" s="9">
        <f>Model_Data!F173</f>
        <v/>
      </c>
      <c r="E173" s="9">
        <f>Model_Data!AC173</f>
        <v/>
      </c>
      <c r="F173" s="10" t="n"/>
      <c r="G173" s="9">
        <f>Model_Data!A173</f>
        <v/>
      </c>
      <c r="H173" s="9">
        <f>Model_Data!Y173</f>
        <v/>
      </c>
      <c r="I173" s="9">
        <f>Model_Data!Y173</f>
        <v/>
      </c>
      <c r="J173" s="9">
        <f>Model_Data!X173</f>
        <v/>
      </c>
      <c r="K173" s="9">
        <f>Model_Data!A173</f>
        <v/>
      </c>
      <c r="L173" s="9">
        <f>Model_Data!Y173</f>
        <v/>
      </c>
      <c r="M173" s="9">
        <f>Model_Data!X173</f>
        <v/>
      </c>
      <c r="N173" s="9">
        <f>-(Model_Data!AC173-Model_Data!F173)*Inputs!$C$12</f>
        <v/>
      </c>
      <c r="O173" s="10" t="n"/>
      <c r="P173" s="9">
        <f>Model_Data!A173</f>
        <v/>
      </c>
      <c r="Q173" s="9">
        <f>Model_Data!P173</f>
        <v/>
      </c>
      <c r="R173" s="9">
        <f>Model_Data!AM173</f>
        <v/>
      </c>
      <c r="S173" s="9">
        <f>Model_Data!Q173</f>
        <v/>
      </c>
      <c r="T173" s="9">
        <f>Model_Data!AN173</f>
        <v/>
      </c>
      <c r="U173" s="10" t="n"/>
      <c r="V173" s="9">
        <f>Model_Data!A173</f>
        <v/>
      </c>
      <c r="W173" s="9">
        <f>Model_Data!B173-Inputs!$C$5</f>
        <v/>
      </c>
      <c r="X173" s="10" t="n"/>
      <c r="Y173" s="9">
        <f>Model_Data!A173</f>
        <v/>
      </c>
      <c r="Z173" s="9">
        <f>0</f>
        <v/>
      </c>
      <c r="AA173" s="9">
        <f>((SQRT((Inputs!$C$52+Inputs!$C$5)^2+Inputs!$C$52^2-2*(Inputs!$C$52+Inputs!$C$5)*Inputs!$C$52*COS(SQRT((Model_Data!A173)^2+Inputs!$C$6^2)/Inputs!$C$52))-Inputs!$C$5)*1000/Inputs!$C$12)</f>
        <v/>
      </c>
      <c r="AB173" s="9">
        <f>Model_Data!F173</f>
        <v/>
      </c>
    </row>
    <row r="174">
      <c r="A174" s="9">
        <f>Model_Data!A174</f>
        <v/>
      </c>
      <c r="B174" s="9">
        <f>0</f>
        <v/>
      </c>
      <c r="C174" s="9">
        <f>((SQRT((Inputs!$C$52+Inputs!$C$5)^2+Inputs!$C$52^2-2*(Inputs!$C$52+Inputs!$C$5)*Inputs!$C$52*COS(SQRT((Model_Data!A174)^2+Inputs!$C$6^2)/Inputs!$C$52))-Inputs!$C$5)*1000/Inputs!$C$12)</f>
        <v/>
      </c>
      <c r="D174" s="9">
        <f>Model_Data!F174</f>
        <v/>
      </c>
      <c r="E174" s="9">
        <f>Model_Data!AC174</f>
        <v/>
      </c>
      <c r="F174" s="10" t="n"/>
      <c r="G174" s="9">
        <f>Model_Data!A174</f>
        <v/>
      </c>
      <c r="H174" s="9">
        <f>Model_Data!Y174</f>
        <v/>
      </c>
      <c r="I174" s="9">
        <f>Model_Data!Y174</f>
        <v/>
      </c>
      <c r="J174" s="9">
        <f>Model_Data!X174</f>
        <v/>
      </c>
      <c r="K174" s="9">
        <f>Model_Data!A174</f>
        <v/>
      </c>
      <c r="L174" s="9">
        <f>Model_Data!Y174</f>
        <v/>
      </c>
      <c r="M174" s="9">
        <f>Model_Data!X174</f>
        <v/>
      </c>
      <c r="N174" s="9">
        <f>-(Model_Data!AC174-Model_Data!F174)*Inputs!$C$12</f>
        <v/>
      </c>
      <c r="O174" s="10" t="n"/>
      <c r="P174" s="9">
        <f>Model_Data!A174</f>
        <v/>
      </c>
      <c r="Q174" s="9">
        <f>Model_Data!P174</f>
        <v/>
      </c>
      <c r="R174" s="9">
        <f>Model_Data!AM174</f>
        <v/>
      </c>
      <c r="S174" s="9">
        <f>Model_Data!Q174</f>
        <v/>
      </c>
      <c r="T174" s="9">
        <f>Model_Data!AN174</f>
        <v/>
      </c>
      <c r="U174" s="10" t="n"/>
      <c r="V174" s="9">
        <f>Model_Data!A174</f>
        <v/>
      </c>
      <c r="W174" s="9">
        <f>Model_Data!B174-Inputs!$C$5</f>
        <v/>
      </c>
      <c r="X174" s="10" t="n"/>
      <c r="Y174" s="9">
        <f>Model_Data!A174</f>
        <v/>
      </c>
      <c r="Z174" s="9">
        <f>0</f>
        <v/>
      </c>
      <c r="AA174" s="9">
        <f>((SQRT((Inputs!$C$52+Inputs!$C$5)^2+Inputs!$C$52^2-2*(Inputs!$C$52+Inputs!$C$5)*Inputs!$C$52*COS(SQRT((Model_Data!A174)^2+Inputs!$C$6^2)/Inputs!$C$52))-Inputs!$C$5)*1000/Inputs!$C$12)</f>
        <v/>
      </c>
      <c r="AB174" s="9">
        <f>Model_Data!F174</f>
        <v/>
      </c>
    </row>
    <row r="175">
      <c r="A175" s="9">
        <f>Model_Data!A175</f>
        <v/>
      </c>
      <c r="B175" s="9">
        <f>0</f>
        <v/>
      </c>
      <c r="C175" s="9">
        <f>((SQRT((Inputs!$C$52+Inputs!$C$5)^2+Inputs!$C$52^2-2*(Inputs!$C$52+Inputs!$C$5)*Inputs!$C$52*COS(SQRT((Model_Data!A175)^2+Inputs!$C$6^2)/Inputs!$C$52))-Inputs!$C$5)*1000/Inputs!$C$12)</f>
        <v/>
      </c>
      <c r="D175" s="9">
        <f>Model_Data!F175</f>
        <v/>
      </c>
      <c r="E175" s="9">
        <f>Model_Data!AC175</f>
        <v/>
      </c>
      <c r="F175" s="10" t="n"/>
      <c r="G175" s="9">
        <f>Model_Data!A175</f>
        <v/>
      </c>
      <c r="H175" s="9">
        <f>Model_Data!Y175</f>
        <v/>
      </c>
      <c r="I175" s="9">
        <f>Model_Data!Y175</f>
        <v/>
      </c>
      <c r="J175" s="9">
        <f>Model_Data!X175</f>
        <v/>
      </c>
      <c r="K175" s="9">
        <f>Model_Data!A175</f>
        <v/>
      </c>
      <c r="L175" s="9">
        <f>Model_Data!Y175</f>
        <v/>
      </c>
      <c r="M175" s="9">
        <f>Model_Data!X175</f>
        <v/>
      </c>
      <c r="N175" s="9">
        <f>-(Model_Data!AC175-Model_Data!F175)*Inputs!$C$12</f>
        <v/>
      </c>
      <c r="O175" s="10" t="n"/>
      <c r="P175" s="9">
        <f>Model_Data!A175</f>
        <v/>
      </c>
      <c r="Q175" s="9">
        <f>Model_Data!P175</f>
        <v/>
      </c>
      <c r="R175" s="9">
        <f>Model_Data!AM175</f>
        <v/>
      </c>
      <c r="S175" s="9">
        <f>Model_Data!Q175</f>
        <v/>
      </c>
      <c r="T175" s="9">
        <f>Model_Data!AN175</f>
        <v/>
      </c>
      <c r="U175" s="10" t="n"/>
      <c r="V175" s="9">
        <f>Model_Data!A175</f>
        <v/>
      </c>
      <c r="W175" s="9">
        <f>Model_Data!B175-Inputs!$C$5</f>
        <v/>
      </c>
      <c r="X175" s="10" t="n"/>
      <c r="Y175" s="9">
        <f>Model_Data!A175</f>
        <v/>
      </c>
      <c r="Z175" s="9">
        <f>0</f>
        <v/>
      </c>
      <c r="AA175" s="9">
        <f>((SQRT((Inputs!$C$52+Inputs!$C$5)^2+Inputs!$C$52^2-2*(Inputs!$C$52+Inputs!$C$5)*Inputs!$C$52*COS(SQRT((Model_Data!A175)^2+Inputs!$C$6^2)/Inputs!$C$52))-Inputs!$C$5)*1000/Inputs!$C$12)</f>
        <v/>
      </c>
      <c r="AB175" s="9">
        <f>Model_Data!F175</f>
        <v/>
      </c>
    </row>
    <row r="176">
      <c r="A176" s="9">
        <f>Model_Data!A176</f>
        <v/>
      </c>
      <c r="B176" s="9">
        <f>0</f>
        <v/>
      </c>
      <c r="C176" s="9">
        <f>((SQRT((Inputs!$C$52+Inputs!$C$5)^2+Inputs!$C$52^2-2*(Inputs!$C$52+Inputs!$C$5)*Inputs!$C$52*COS(SQRT((Model_Data!A176)^2+Inputs!$C$6^2)/Inputs!$C$52))-Inputs!$C$5)*1000/Inputs!$C$12)</f>
        <v/>
      </c>
      <c r="D176" s="9">
        <f>Model_Data!F176</f>
        <v/>
      </c>
      <c r="E176" s="9">
        <f>Model_Data!AC176</f>
        <v/>
      </c>
      <c r="F176" s="10" t="n"/>
      <c r="G176" s="9">
        <f>Model_Data!A176</f>
        <v/>
      </c>
      <c r="H176" s="9">
        <f>Model_Data!Y176</f>
        <v/>
      </c>
      <c r="I176" s="9">
        <f>Model_Data!Y176</f>
        <v/>
      </c>
      <c r="J176" s="9">
        <f>Model_Data!X176</f>
        <v/>
      </c>
      <c r="K176" s="9">
        <f>Model_Data!A176</f>
        <v/>
      </c>
      <c r="L176" s="9">
        <f>Model_Data!Y176</f>
        <v/>
      </c>
      <c r="M176" s="9">
        <f>Model_Data!X176</f>
        <v/>
      </c>
      <c r="N176" s="9">
        <f>-(Model_Data!AC176-Model_Data!F176)*Inputs!$C$12</f>
        <v/>
      </c>
      <c r="O176" s="10" t="n"/>
      <c r="P176" s="9">
        <f>Model_Data!A176</f>
        <v/>
      </c>
      <c r="Q176" s="9">
        <f>Model_Data!P176</f>
        <v/>
      </c>
      <c r="R176" s="9">
        <f>Model_Data!AM176</f>
        <v/>
      </c>
      <c r="S176" s="9">
        <f>Model_Data!Q176</f>
        <v/>
      </c>
      <c r="T176" s="9">
        <f>Model_Data!AN176</f>
        <v/>
      </c>
      <c r="U176" s="10" t="n"/>
      <c r="V176" s="9">
        <f>Model_Data!A176</f>
        <v/>
      </c>
      <c r="W176" s="9">
        <f>Model_Data!B176-Inputs!$C$5</f>
        <v/>
      </c>
      <c r="X176" s="10" t="n"/>
      <c r="Y176" s="9">
        <f>Model_Data!A176</f>
        <v/>
      </c>
      <c r="Z176" s="9">
        <f>0</f>
        <v/>
      </c>
      <c r="AA176" s="9">
        <f>((SQRT((Inputs!$C$52+Inputs!$C$5)^2+Inputs!$C$52^2-2*(Inputs!$C$52+Inputs!$C$5)*Inputs!$C$52*COS(SQRT((Model_Data!A176)^2+Inputs!$C$6^2)/Inputs!$C$52))-Inputs!$C$5)*1000/Inputs!$C$12)</f>
        <v/>
      </c>
      <c r="AB176" s="9">
        <f>Model_Data!F176</f>
        <v/>
      </c>
    </row>
    <row r="177">
      <c r="A177" s="9">
        <f>Model_Data!A177</f>
        <v/>
      </c>
      <c r="B177" s="9">
        <f>0</f>
        <v/>
      </c>
      <c r="C177" s="9">
        <f>((SQRT((Inputs!$C$52+Inputs!$C$5)^2+Inputs!$C$52^2-2*(Inputs!$C$52+Inputs!$C$5)*Inputs!$C$52*COS(SQRT((Model_Data!A177)^2+Inputs!$C$6^2)/Inputs!$C$52))-Inputs!$C$5)*1000/Inputs!$C$12)</f>
        <v/>
      </c>
      <c r="D177" s="9">
        <f>Model_Data!F177</f>
        <v/>
      </c>
      <c r="E177" s="9">
        <f>Model_Data!AC177</f>
        <v/>
      </c>
      <c r="F177" s="10" t="n"/>
      <c r="G177" s="9">
        <f>Model_Data!A177</f>
        <v/>
      </c>
      <c r="H177" s="9">
        <f>Model_Data!Y177</f>
        <v/>
      </c>
      <c r="I177" s="9">
        <f>Model_Data!Y177</f>
        <v/>
      </c>
      <c r="J177" s="9">
        <f>Model_Data!X177</f>
        <v/>
      </c>
      <c r="K177" s="9">
        <f>Model_Data!A177</f>
        <v/>
      </c>
      <c r="L177" s="9">
        <f>Model_Data!Y177</f>
        <v/>
      </c>
      <c r="M177" s="9">
        <f>Model_Data!X177</f>
        <v/>
      </c>
      <c r="N177" s="9">
        <f>-(Model_Data!AC177-Model_Data!F177)*Inputs!$C$12</f>
        <v/>
      </c>
      <c r="O177" s="10" t="n"/>
      <c r="P177" s="9">
        <f>Model_Data!A177</f>
        <v/>
      </c>
      <c r="Q177" s="9">
        <f>Model_Data!P177</f>
        <v/>
      </c>
      <c r="R177" s="9">
        <f>Model_Data!AM177</f>
        <v/>
      </c>
      <c r="S177" s="9">
        <f>Model_Data!Q177</f>
        <v/>
      </c>
      <c r="T177" s="9">
        <f>Model_Data!AN177</f>
        <v/>
      </c>
      <c r="U177" s="10" t="n"/>
      <c r="V177" s="9">
        <f>Model_Data!A177</f>
        <v/>
      </c>
      <c r="W177" s="9">
        <f>Model_Data!B177-Inputs!$C$5</f>
        <v/>
      </c>
      <c r="X177" s="10" t="n"/>
      <c r="Y177" s="9">
        <f>Model_Data!A177</f>
        <v/>
      </c>
      <c r="Z177" s="9">
        <f>0</f>
        <v/>
      </c>
      <c r="AA177" s="9">
        <f>((SQRT((Inputs!$C$52+Inputs!$C$5)^2+Inputs!$C$52^2-2*(Inputs!$C$52+Inputs!$C$5)*Inputs!$C$52*COS(SQRT((Model_Data!A177)^2+Inputs!$C$6^2)/Inputs!$C$52))-Inputs!$C$5)*1000/Inputs!$C$12)</f>
        <v/>
      </c>
      <c r="AB177" s="9">
        <f>Model_Data!F177</f>
        <v/>
      </c>
    </row>
    <row r="178">
      <c r="A178" s="9">
        <f>Model_Data!A178</f>
        <v/>
      </c>
      <c r="B178" s="9">
        <f>0</f>
        <v/>
      </c>
      <c r="C178" s="9">
        <f>((SQRT((Inputs!$C$52+Inputs!$C$5)^2+Inputs!$C$52^2-2*(Inputs!$C$52+Inputs!$C$5)*Inputs!$C$52*COS(SQRT((Model_Data!A178)^2+Inputs!$C$6^2)/Inputs!$C$52))-Inputs!$C$5)*1000/Inputs!$C$12)</f>
        <v/>
      </c>
      <c r="D178" s="9">
        <f>Model_Data!F178</f>
        <v/>
      </c>
      <c r="E178" s="9">
        <f>Model_Data!AC178</f>
        <v/>
      </c>
      <c r="F178" s="10" t="n"/>
      <c r="G178" s="9">
        <f>Model_Data!A178</f>
        <v/>
      </c>
      <c r="H178" s="9">
        <f>Model_Data!Y178</f>
        <v/>
      </c>
      <c r="I178" s="9">
        <f>Model_Data!Y178</f>
        <v/>
      </c>
      <c r="J178" s="9">
        <f>Model_Data!X178</f>
        <v/>
      </c>
      <c r="K178" s="9">
        <f>Model_Data!A178</f>
        <v/>
      </c>
      <c r="L178" s="9">
        <f>Model_Data!Y178</f>
        <v/>
      </c>
      <c r="M178" s="9">
        <f>Model_Data!X178</f>
        <v/>
      </c>
      <c r="N178" s="9">
        <f>-(Model_Data!AC178-Model_Data!F178)*Inputs!$C$12</f>
        <v/>
      </c>
      <c r="O178" s="10" t="n"/>
      <c r="P178" s="9">
        <f>Model_Data!A178</f>
        <v/>
      </c>
      <c r="Q178" s="9">
        <f>Model_Data!P178</f>
        <v/>
      </c>
      <c r="R178" s="9">
        <f>Model_Data!AM178</f>
        <v/>
      </c>
      <c r="S178" s="9">
        <f>Model_Data!Q178</f>
        <v/>
      </c>
      <c r="T178" s="9">
        <f>Model_Data!AN178</f>
        <v/>
      </c>
      <c r="U178" s="10" t="n"/>
      <c r="V178" s="9">
        <f>Model_Data!A178</f>
        <v/>
      </c>
      <c r="W178" s="9">
        <f>Model_Data!B178-Inputs!$C$5</f>
        <v/>
      </c>
      <c r="X178" s="10" t="n"/>
      <c r="Y178" s="9">
        <f>Model_Data!A178</f>
        <v/>
      </c>
      <c r="Z178" s="9">
        <f>0</f>
        <v/>
      </c>
      <c r="AA178" s="9">
        <f>((SQRT((Inputs!$C$52+Inputs!$C$5)^2+Inputs!$C$52^2-2*(Inputs!$C$52+Inputs!$C$5)*Inputs!$C$52*COS(SQRT((Model_Data!A178)^2+Inputs!$C$6^2)/Inputs!$C$52))-Inputs!$C$5)*1000/Inputs!$C$12)</f>
        <v/>
      </c>
      <c r="AB178" s="9">
        <f>Model_Data!F178</f>
        <v/>
      </c>
    </row>
    <row r="179">
      <c r="A179" s="9">
        <f>Model_Data!A179</f>
        <v/>
      </c>
      <c r="B179" s="9">
        <f>0</f>
        <v/>
      </c>
      <c r="C179" s="9">
        <f>((SQRT((Inputs!$C$52+Inputs!$C$5)^2+Inputs!$C$52^2-2*(Inputs!$C$52+Inputs!$C$5)*Inputs!$C$52*COS(SQRT((Model_Data!A179)^2+Inputs!$C$6^2)/Inputs!$C$52))-Inputs!$C$5)*1000/Inputs!$C$12)</f>
        <v/>
      </c>
      <c r="D179" s="9">
        <f>Model_Data!F179</f>
        <v/>
      </c>
      <c r="E179" s="9">
        <f>Model_Data!AC179</f>
        <v/>
      </c>
      <c r="F179" s="10" t="n"/>
      <c r="G179" s="9">
        <f>Model_Data!A179</f>
        <v/>
      </c>
      <c r="H179" s="9">
        <f>Model_Data!Y179</f>
        <v/>
      </c>
      <c r="I179" s="9">
        <f>Model_Data!Y179</f>
        <v/>
      </c>
      <c r="J179" s="9">
        <f>Model_Data!X179</f>
        <v/>
      </c>
      <c r="K179" s="9">
        <f>Model_Data!A179</f>
        <v/>
      </c>
      <c r="L179" s="9">
        <f>Model_Data!Y179</f>
        <v/>
      </c>
      <c r="M179" s="9">
        <f>Model_Data!X179</f>
        <v/>
      </c>
      <c r="N179" s="9">
        <f>-(Model_Data!AC179-Model_Data!F179)*Inputs!$C$12</f>
        <v/>
      </c>
      <c r="O179" s="10" t="n"/>
      <c r="P179" s="9">
        <f>Model_Data!A179</f>
        <v/>
      </c>
      <c r="Q179" s="9">
        <f>Model_Data!P179</f>
        <v/>
      </c>
      <c r="R179" s="9">
        <f>Model_Data!AM179</f>
        <v/>
      </c>
      <c r="S179" s="9">
        <f>Model_Data!Q179</f>
        <v/>
      </c>
      <c r="T179" s="9">
        <f>Model_Data!AN179</f>
        <v/>
      </c>
      <c r="U179" s="10" t="n"/>
      <c r="V179" s="9">
        <f>Model_Data!A179</f>
        <v/>
      </c>
      <c r="W179" s="9">
        <f>Model_Data!B179-Inputs!$C$5</f>
        <v/>
      </c>
      <c r="X179" s="10" t="n"/>
      <c r="Y179" s="9">
        <f>Model_Data!A179</f>
        <v/>
      </c>
      <c r="Z179" s="9">
        <f>0</f>
        <v/>
      </c>
      <c r="AA179" s="9">
        <f>((SQRT((Inputs!$C$52+Inputs!$C$5)^2+Inputs!$C$52^2-2*(Inputs!$C$52+Inputs!$C$5)*Inputs!$C$52*COS(SQRT((Model_Data!A179)^2+Inputs!$C$6^2)/Inputs!$C$52))-Inputs!$C$5)*1000/Inputs!$C$12)</f>
        <v/>
      </c>
      <c r="AB179" s="9">
        <f>Model_Data!F179</f>
        <v/>
      </c>
    </row>
    <row r="180">
      <c r="A180" s="9">
        <f>Model_Data!A180</f>
        <v/>
      </c>
      <c r="B180" s="9">
        <f>0</f>
        <v/>
      </c>
      <c r="C180" s="9">
        <f>((SQRT((Inputs!$C$52+Inputs!$C$5)^2+Inputs!$C$52^2-2*(Inputs!$C$52+Inputs!$C$5)*Inputs!$C$52*COS(SQRT((Model_Data!A180)^2+Inputs!$C$6^2)/Inputs!$C$52))-Inputs!$C$5)*1000/Inputs!$C$12)</f>
        <v/>
      </c>
      <c r="D180" s="9">
        <f>Model_Data!F180</f>
        <v/>
      </c>
      <c r="E180" s="9">
        <f>Model_Data!AC180</f>
        <v/>
      </c>
      <c r="F180" s="10" t="n"/>
      <c r="G180" s="9">
        <f>Model_Data!A180</f>
        <v/>
      </c>
      <c r="H180" s="9">
        <f>Model_Data!Y180</f>
        <v/>
      </c>
      <c r="I180" s="9">
        <f>Model_Data!Y180</f>
        <v/>
      </c>
      <c r="J180" s="9">
        <f>Model_Data!X180</f>
        <v/>
      </c>
      <c r="K180" s="9">
        <f>Model_Data!A180</f>
        <v/>
      </c>
      <c r="L180" s="9">
        <f>Model_Data!Y180</f>
        <v/>
      </c>
      <c r="M180" s="9">
        <f>Model_Data!X180</f>
        <v/>
      </c>
      <c r="N180" s="9">
        <f>-(Model_Data!AC180-Model_Data!F180)*Inputs!$C$12</f>
        <v/>
      </c>
      <c r="O180" s="10" t="n"/>
      <c r="P180" s="9">
        <f>Model_Data!A180</f>
        <v/>
      </c>
      <c r="Q180" s="9">
        <f>Model_Data!P180</f>
        <v/>
      </c>
      <c r="R180" s="9">
        <f>Model_Data!AM180</f>
        <v/>
      </c>
      <c r="S180" s="9">
        <f>Model_Data!Q180</f>
        <v/>
      </c>
      <c r="T180" s="9">
        <f>Model_Data!AN180</f>
        <v/>
      </c>
      <c r="U180" s="10" t="n"/>
      <c r="V180" s="9">
        <f>Model_Data!A180</f>
        <v/>
      </c>
      <c r="W180" s="9">
        <f>Model_Data!B180-Inputs!$C$5</f>
        <v/>
      </c>
      <c r="X180" s="10" t="n"/>
      <c r="Y180" s="9">
        <f>Model_Data!A180</f>
        <v/>
      </c>
      <c r="Z180" s="9">
        <f>0</f>
        <v/>
      </c>
      <c r="AA180" s="9">
        <f>((SQRT((Inputs!$C$52+Inputs!$C$5)^2+Inputs!$C$52^2-2*(Inputs!$C$52+Inputs!$C$5)*Inputs!$C$52*COS(SQRT((Model_Data!A180)^2+Inputs!$C$6^2)/Inputs!$C$52))-Inputs!$C$5)*1000/Inputs!$C$12)</f>
        <v/>
      </c>
      <c r="AB180" s="9">
        <f>Model_Data!F180</f>
        <v/>
      </c>
    </row>
    <row r="181">
      <c r="A181" s="9">
        <f>Model_Data!A181</f>
        <v/>
      </c>
      <c r="B181" s="9">
        <f>0</f>
        <v/>
      </c>
      <c r="C181" s="9">
        <f>((SQRT((Inputs!$C$52+Inputs!$C$5)^2+Inputs!$C$52^2-2*(Inputs!$C$52+Inputs!$C$5)*Inputs!$C$52*COS(SQRT((Model_Data!A181)^2+Inputs!$C$6^2)/Inputs!$C$52))-Inputs!$C$5)*1000/Inputs!$C$12)</f>
        <v/>
      </c>
      <c r="D181" s="9">
        <f>Model_Data!F181</f>
        <v/>
      </c>
      <c r="E181" s="9">
        <f>Model_Data!AC181</f>
        <v/>
      </c>
      <c r="F181" s="10" t="n"/>
      <c r="G181" s="9">
        <f>Model_Data!A181</f>
        <v/>
      </c>
      <c r="H181" s="9">
        <f>Model_Data!Y181</f>
        <v/>
      </c>
      <c r="I181" s="9">
        <f>Model_Data!Y181</f>
        <v/>
      </c>
      <c r="J181" s="9">
        <f>Model_Data!X181</f>
        <v/>
      </c>
      <c r="K181" s="9">
        <f>Model_Data!A181</f>
        <v/>
      </c>
      <c r="L181" s="9">
        <f>Model_Data!Y181</f>
        <v/>
      </c>
      <c r="M181" s="9">
        <f>Model_Data!X181</f>
        <v/>
      </c>
      <c r="N181" s="9">
        <f>-(Model_Data!AC181-Model_Data!F181)*Inputs!$C$12</f>
        <v/>
      </c>
      <c r="O181" s="10" t="n"/>
      <c r="P181" s="9">
        <f>Model_Data!A181</f>
        <v/>
      </c>
      <c r="Q181" s="9">
        <f>Model_Data!P181</f>
        <v/>
      </c>
      <c r="R181" s="9">
        <f>Model_Data!AM181</f>
        <v/>
      </c>
      <c r="S181" s="9">
        <f>Model_Data!Q181</f>
        <v/>
      </c>
      <c r="T181" s="9">
        <f>Model_Data!AN181</f>
        <v/>
      </c>
      <c r="U181" s="10" t="n"/>
      <c r="V181" s="9">
        <f>Model_Data!A181</f>
        <v/>
      </c>
      <c r="W181" s="9">
        <f>Model_Data!B181-Inputs!$C$5</f>
        <v/>
      </c>
      <c r="X181" s="10" t="n"/>
      <c r="Y181" s="9">
        <f>Model_Data!A181</f>
        <v/>
      </c>
      <c r="Z181" s="9">
        <f>0</f>
        <v/>
      </c>
      <c r="AA181" s="9">
        <f>((SQRT((Inputs!$C$52+Inputs!$C$5)^2+Inputs!$C$52^2-2*(Inputs!$C$52+Inputs!$C$5)*Inputs!$C$52*COS(SQRT((Model_Data!A181)^2+Inputs!$C$6^2)/Inputs!$C$52))-Inputs!$C$5)*1000/Inputs!$C$12)</f>
        <v/>
      </c>
      <c r="AB181" s="9">
        <f>Model_Data!F181</f>
        <v/>
      </c>
    </row>
    <row r="182">
      <c r="A182" s="9">
        <f>Model_Data!A182</f>
        <v/>
      </c>
      <c r="B182" s="9">
        <f>0</f>
        <v/>
      </c>
      <c r="C182" s="9">
        <f>((SQRT((Inputs!$C$52+Inputs!$C$5)^2+Inputs!$C$52^2-2*(Inputs!$C$52+Inputs!$C$5)*Inputs!$C$52*COS(SQRT((Model_Data!A182)^2+Inputs!$C$6^2)/Inputs!$C$52))-Inputs!$C$5)*1000/Inputs!$C$12)</f>
        <v/>
      </c>
      <c r="D182" s="9">
        <f>Model_Data!F182</f>
        <v/>
      </c>
      <c r="E182" s="9">
        <f>Model_Data!AC182</f>
        <v/>
      </c>
      <c r="F182" s="10" t="n"/>
      <c r="G182" s="9">
        <f>Model_Data!A182</f>
        <v/>
      </c>
      <c r="H182" s="9">
        <f>Model_Data!Y182</f>
        <v/>
      </c>
      <c r="I182" s="9">
        <f>Model_Data!Y182</f>
        <v/>
      </c>
      <c r="J182" s="9">
        <f>Model_Data!X182</f>
        <v/>
      </c>
      <c r="K182" s="9">
        <f>Model_Data!A182</f>
        <v/>
      </c>
      <c r="L182" s="9">
        <f>Model_Data!Y182</f>
        <v/>
      </c>
      <c r="M182" s="9">
        <f>Model_Data!X182</f>
        <v/>
      </c>
      <c r="N182" s="9">
        <f>-(Model_Data!AC182-Model_Data!F182)*Inputs!$C$12</f>
        <v/>
      </c>
      <c r="O182" s="10" t="n"/>
      <c r="P182" s="9">
        <f>Model_Data!A182</f>
        <v/>
      </c>
      <c r="Q182" s="9">
        <f>Model_Data!P182</f>
        <v/>
      </c>
      <c r="R182" s="9">
        <f>Model_Data!AM182</f>
        <v/>
      </c>
      <c r="S182" s="9">
        <f>Model_Data!Q182</f>
        <v/>
      </c>
      <c r="T182" s="9">
        <f>Model_Data!AN182</f>
        <v/>
      </c>
      <c r="U182" s="10" t="n"/>
      <c r="V182" s="9">
        <f>Model_Data!A182</f>
        <v/>
      </c>
      <c r="W182" s="9">
        <f>Model_Data!B182-Inputs!$C$5</f>
        <v/>
      </c>
      <c r="X182" s="10" t="n"/>
      <c r="Y182" s="9">
        <f>Model_Data!A182</f>
        <v/>
      </c>
      <c r="Z182" s="9">
        <f>0</f>
        <v/>
      </c>
      <c r="AA182" s="9">
        <f>((SQRT((Inputs!$C$52+Inputs!$C$5)^2+Inputs!$C$52^2-2*(Inputs!$C$52+Inputs!$C$5)*Inputs!$C$52*COS(SQRT((Model_Data!A182)^2+Inputs!$C$6^2)/Inputs!$C$52))-Inputs!$C$5)*1000/Inputs!$C$12)</f>
        <v/>
      </c>
      <c r="AB182" s="9">
        <f>Model_Data!F182</f>
        <v/>
      </c>
    </row>
    <row r="183">
      <c r="A183" s="9">
        <f>Model_Data!A183</f>
        <v/>
      </c>
      <c r="B183" s="9">
        <f>0</f>
        <v/>
      </c>
      <c r="C183" s="9">
        <f>((SQRT((Inputs!$C$52+Inputs!$C$5)^2+Inputs!$C$52^2-2*(Inputs!$C$52+Inputs!$C$5)*Inputs!$C$52*COS(SQRT((Model_Data!A183)^2+Inputs!$C$6^2)/Inputs!$C$52))-Inputs!$C$5)*1000/Inputs!$C$12)</f>
        <v/>
      </c>
      <c r="D183" s="9">
        <f>Model_Data!F183</f>
        <v/>
      </c>
      <c r="E183" s="9">
        <f>Model_Data!AC183</f>
        <v/>
      </c>
      <c r="F183" s="10" t="n"/>
      <c r="G183" s="9">
        <f>Model_Data!A183</f>
        <v/>
      </c>
      <c r="H183" s="9">
        <f>Model_Data!Y183</f>
        <v/>
      </c>
      <c r="I183" s="9">
        <f>Model_Data!Y183</f>
        <v/>
      </c>
      <c r="J183" s="9">
        <f>Model_Data!X183</f>
        <v/>
      </c>
      <c r="K183" s="9">
        <f>Model_Data!A183</f>
        <v/>
      </c>
      <c r="L183" s="9">
        <f>Model_Data!Y183</f>
        <v/>
      </c>
      <c r="M183" s="9">
        <f>Model_Data!X183</f>
        <v/>
      </c>
      <c r="N183" s="9">
        <f>-(Model_Data!AC183-Model_Data!F183)*Inputs!$C$12</f>
        <v/>
      </c>
      <c r="O183" s="10" t="n"/>
      <c r="P183" s="9">
        <f>Model_Data!A183</f>
        <v/>
      </c>
      <c r="Q183" s="9">
        <f>Model_Data!P183</f>
        <v/>
      </c>
      <c r="R183" s="9">
        <f>Model_Data!AM183</f>
        <v/>
      </c>
      <c r="S183" s="9">
        <f>Model_Data!Q183</f>
        <v/>
      </c>
      <c r="T183" s="9">
        <f>Model_Data!AN183</f>
        <v/>
      </c>
      <c r="U183" s="10" t="n"/>
      <c r="V183" s="9">
        <f>Model_Data!A183</f>
        <v/>
      </c>
      <c r="W183" s="9">
        <f>Model_Data!B183-Inputs!$C$5</f>
        <v/>
      </c>
      <c r="X183" s="10" t="n"/>
      <c r="Y183" s="9">
        <f>Model_Data!A183</f>
        <v/>
      </c>
      <c r="Z183" s="9">
        <f>0</f>
        <v/>
      </c>
      <c r="AA183" s="9">
        <f>((SQRT((Inputs!$C$52+Inputs!$C$5)^2+Inputs!$C$52^2-2*(Inputs!$C$52+Inputs!$C$5)*Inputs!$C$52*COS(SQRT((Model_Data!A183)^2+Inputs!$C$6^2)/Inputs!$C$52))-Inputs!$C$5)*1000/Inputs!$C$12)</f>
        <v/>
      </c>
      <c r="AB183" s="9">
        <f>Model_Data!F183</f>
        <v/>
      </c>
    </row>
    <row r="184">
      <c r="A184" s="9">
        <f>Model_Data!A184</f>
        <v/>
      </c>
      <c r="B184" s="9">
        <f>0</f>
        <v/>
      </c>
      <c r="C184" s="9">
        <f>((SQRT((Inputs!$C$52+Inputs!$C$5)^2+Inputs!$C$52^2-2*(Inputs!$C$52+Inputs!$C$5)*Inputs!$C$52*COS(SQRT((Model_Data!A184)^2+Inputs!$C$6^2)/Inputs!$C$52))-Inputs!$C$5)*1000/Inputs!$C$12)</f>
        <v/>
      </c>
      <c r="D184" s="9">
        <f>Model_Data!F184</f>
        <v/>
      </c>
      <c r="E184" s="9">
        <f>Model_Data!AC184</f>
        <v/>
      </c>
      <c r="F184" s="10" t="n"/>
      <c r="G184" s="9">
        <f>Model_Data!A184</f>
        <v/>
      </c>
      <c r="H184" s="9">
        <f>Model_Data!Y184</f>
        <v/>
      </c>
      <c r="I184" s="9">
        <f>Model_Data!Y184</f>
        <v/>
      </c>
      <c r="J184" s="9">
        <f>Model_Data!X184</f>
        <v/>
      </c>
      <c r="K184" s="9">
        <f>Model_Data!A184</f>
        <v/>
      </c>
      <c r="L184" s="9">
        <f>Model_Data!Y184</f>
        <v/>
      </c>
      <c r="M184" s="9">
        <f>Model_Data!X184</f>
        <v/>
      </c>
      <c r="N184" s="9">
        <f>-(Model_Data!AC184-Model_Data!F184)*Inputs!$C$12</f>
        <v/>
      </c>
      <c r="O184" s="10" t="n"/>
      <c r="P184" s="9">
        <f>Model_Data!A184</f>
        <v/>
      </c>
      <c r="Q184" s="9">
        <f>Model_Data!P184</f>
        <v/>
      </c>
      <c r="R184" s="9">
        <f>Model_Data!AM184</f>
        <v/>
      </c>
      <c r="S184" s="9">
        <f>Model_Data!Q184</f>
        <v/>
      </c>
      <c r="T184" s="9">
        <f>Model_Data!AN184</f>
        <v/>
      </c>
      <c r="U184" s="10" t="n"/>
      <c r="V184" s="9">
        <f>Model_Data!A184</f>
        <v/>
      </c>
      <c r="W184" s="9">
        <f>Model_Data!B184-Inputs!$C$5</f>
        <v/>
      </c>
      <c r="X184" s="10" t="n"/>
      <c r="Y184" s="9">
        <f>Model_Data!A184</f>
        <v/>
      </c>
      <c r="Z184" s="9">
        <f>0</f>
        <v/>
      </c>
      <c r="AA184" s="9">
        <f>((SQRT((Inputs!$C$52+Inputs!$C$5)^2+Inputs!$C$52^2-2*(Inputs!$C$52+Inputs!$C$5)*Inputs!$C$52*COS(SQRT((Model_Data!A184)^2+Inputs!$C$6^2)/Inputs!$C$52))-Inputs!$C$5)*1000/Inputs!$C$12)</f>
        <v/>
      </c>
      <c r="AB184" s="9">
        <f>Model_Data!F184</f>
        <v/>
      </c>
    </row>
    <row r="185">
      <c r="A185" s="9">
        <f>Model_Data!A185</f>
        <v/>
      </c>
      <c r="B185" s="9">
        <f>0</f>
        <v/>
      </c>
      <c r="C185" s="9">
        <f>((SQRT((Inputs!$C$52+Inputs!$C$5)^2+Inputs!$C$52^2-2*(Inputs!$C$52+Inputs!$C$5)*Inputs!$C$52*COS(SQRT((Model_Data!A185)^2+Inputs!$C$6^2)/Inputs!$C$52))-Inputs!$C$5)*1000/Inputs!$C$12)</f>
        <v/>
      </c>
      <c r="D185" s="9">
        <f>Model_Data!F185</f>
        <v/>
      </c>
      <c r="E185" s="9">
        <f>Model_Data!AC185</f>
        <v/>
      </c>
      <c r="F185" s="10" t="n"/>
      <c r="G185" s="9">
        <f>Model_Data!A185</f>
        <v/>
      </c>
      <c r="H185" s="9">
        <f>Model_Data!Y185</f>
        <v/>
      </c>
      <c r="I185" s="9">
        <f>Model_Data!Y185</f>
        <v/>
      </c>
      <c r="J185" s="9">
        <f>Model_Data!X185</f>
        <v/>
      </c>
      <c r="K185" s="9">
        <f>Model_Data!A185</f>
        <v/>
      </c>
      <c r="L185" s="9">
        <f>Model_Data!Y185</f>
        <v/>
      </c>
      <c r="M185" s="9">
        <f>Model_Data!X185</f>
        <v/>
      </c>
      <c r="N185" s="9">
        <f>-(Model_Data!AC185-Model_Data!F185)*Inputs!$C$12</f>
        <v/>
      </c>
      <c r="O185" s="10" t="n"/>
      <c r="P185" s="9">
        <f>Model_Data!A185</f>
        <v/>
      </c>
      <c r="Q185" s="9">
        <f>Model_Data!P185</f>
        <v/>
      </c>
      <c r="R185" s="9">
        <f>Model_Data!AM185</f>
        <v/>
      </c>
      <c r="S185" s="9">
        <f>Model_Data!Q185</f>
        <v/>
      </c>
      <c r="T185" s="9">
        <f>Model_Data!AN185</f>
        <v/>
      </c>
      <c r="U185" s="10" t="n"/>
      <c r="V185" s="9">
        <f>Model_Data!A185</f>
        <v/>
      </c>
      <c r="W185" s="9">
        <f>Model_Data!B185-Inputs!$C$5</f>
        <v/>
      </c>
      <c r="X185" s="10" t="n"/>
      <c r="Y185" s="9">
        <f>Model_Data!A185</f>
        <v/>
      </c>
      <c r="Z185" s="9">
        <f>0</f>
        <v/>
      </c>
      <c r="AA185" s="9">
        <f>((SQRT((Inputs!$C$52+Inputs!$C$5)^2+Inputs!$C$52^2-2*(Inputs!$C$52+Inputs!$C$5)*Inputs!$C$52*COS(SQRT((Model_Data!A185)^2+Inputs!$C$6^2)/Inputs!$C$52))-Inputs!$C$5)*1000/Inputs!$C$12)</f>
        <v/>
      </c>
      <c r="AB185" s="9">
        <f>Model_Data!F185</f>
        <v/>
      </c>
    </row>
    <row r="186">
      <c r="A186" s="9">
        <f>Model_Data!A186</f>
        <v/>
      </c>
      <c r="B186" s="9">
        <f>0</f>
        <v/>
      </c>
      <c r="C186" s="9">
        <f>((SQRT((Inputs!$C$52+Inputs!$C$5)^2+Inputs!$C$52^2-2*(Inputs!$C$52+Inputs!$C$5)*Inputs!$C$52*COS(SQRT((Model_Data!A186)^2+Inputs!$C$6^2)/Inputs!$C$52))-Inputs!$C$5)*1000/Inputs!$C$12)</f>
        <v/>
      </c>
      <c r="D186" s="9">
        <f>Model_Data!F186</f>
        <v/>
      </c>
      <c r="E186" s="9">
        <f>Model_Data!AC186</f>
        <v/>
      </c>
      <c r="F186" s="10" t="n"/>
      <c r="G186" s="9">
        <f>Model_Data!A186</f>
        <v/>
      </c>
      <c r="H186" s="9">
        <f>Model_Data!Y186</f>
        <v/>
      </c>
      <c r="I186" s="9">
        <f>Model_Data!Y186</f>
        <v/>
      </c>
      <c r="J186" s="9">
        <f>Model_Data!X186</f>
        <v/>
      </c>
      <c r="K186" s="9">
        <f>Model_Data!A186</f>
        <v/>
      </c>
      <c r="L186" s="9">
        <f>Model_Data!Y186</f>
        <v/>
      </c>
      <c r="M186" s="9">
        <f>Model_Data!X186</f>
        <v/>
      </c>
      <c r="N186" s="9">
        <f>-(Model_Data!AC186-Model_Data!F186)*Inputs!$C$12</f>
        <v/>
      </c>
      <c r="O186" s="10" t="n"/>
      <c r="P186" s="9">
        <f>Model_Data!A186</f>
        <v/>
      </c>
      <c r="Q186" s="9">
        <f>Model_Data!P186</f>
        <v/>
      </c>
      <c r="R186" s="9">
        <f>Model_Data!AM186</f>
        <v/>
      </c>
      <c r="S186" s="9">
        <f>Model_Data!Q186</f>
        <v/>
      </c>
      <c r="T186" s="9">
        <f>Model_Data!AN186</f>
        <v/>
      </c>
      <c r="U186" s="10" t="n"/>
      <c r="V186" s="9">
        <f>Model_Data!A186</f>
        <v/>
      </c>
      <c r="W186" s="9">
        <f>Model_Data!B186-Inputs!$C$5</f>
        <v/>
      </c>
      <c r="X186" s="10" t="n"/>
      <c r="Y186" s="9">
        <f>Model_Data!A186</f>
        <v/>
      </c>
      <c r="Z186" s="9">
        <f>0</f>
        <v/>
      </c>
      <c r="AA186" s="9">
        <f>((SQRT((Inputs!$C$52+Inputs!$C$5)^2+Inputs!$C$52^2-2*(Inputs!$C$52+Inputs!$C$5)*Inputs!$C$52*COS(SQRT((Model_Data!A186)^2+Inputs!$C$6^2)/Inputs!$C$52))-Inputs!$C$5)*1000/Inputs!$C$12)</f>
        <v/>
      </c>
      <c r="AB186" s="9">
        <f>Model_Data!F186</f>
        <v/>
      </c>
    </row>
    <row r="187">
      <c r="A187" s="9">
        <f>Model_Data!A187</f>
        <v/>
      </c>
      <c r="B187" s="9">
        <f>0</f>
        <v/>
      </c>
      <c r="C187" s="9">
        <f>((SQRT((Inputs!$C$52+Inputs!$C$5)^2+Inputs!$C$52^2-2*(Inputs!$C$52+Inputs!$C$5)*Inputs!$C$52*COS(SQRT((Model_Data!A187)^2+Inputs!$C$6^2)/Inputs!$C$52))-Inputs!$C$5)*1000/Inputs!$C$12)</f>
        <v/>
      </c>
      <c r="D187" s="9">
        <f>Model_Data!F187</f>
        <v/>
      </c>
      <c r="E187" s="9">
        <f>Model_Data!AC187</f>
        <v/>
      </c>
      <c r="F187" s="10" t="n"/>
      <c r="G187" s="9">
        <f>Model_Data!A187</f>
        <v/>
      </c>
      <c r="H187" s="9">
        <f>Model_Data!Y187</f>
        <v/>
      </c>
      <c r="I187" s="9">
        <f>Model_Data!Y187</f>
        <v/>
      </c>
      <c r="J187" s="9">
        <f>Model_Data!X187</f>
        <v/>
      </c>
      <c r="K187" s="9">
        <f>Model_Data!A187</f>
        <v/>
      </c>
      <c r="L187" s="9">
        <f>Model_Data!Y187</f>
        <v/>
      </c>
      <c r="M187" s="9">
        <f>Model_Data!X187</f>
        <v/>
      </c>
      <c r="N187" s="9">
        <f>-(Model_Data!AC187-Model_Data!F187)*Inputs!$C$12</f>
        <v/>
      </c>
      <c r="O187" s="10" t="n"/>
      <c r="P187" s="9">
        <f>Model_Data!A187</f>
        <v/>
      </c>
      <c r="Q187" s="9">
        <f>Model_Data!P187</f>
        <v/>
      </c>
      <c r="R187" s="9">
        <f>Model_Data!AM187</f>
        <v/>
      </c>
      <c r="S187" s="9">
        <f>Model_Data!Q187</f>
        <v/>
      </c>
      <c r="T187" s="9">
        <f>Model_Data!AN187</f>
        <v/>
      </c>
      <c r="U187" s="10" t="n"/>
      <c r="V187" s="9">
        <f>Model_Data!A187</f>
        <v/>
      </c>
      <c r="W187" s="9">
        <f>Model_Data!B187-Inputs!$C$5</f>
        <v/>
      </c>
      <c r="X187" s="10" t="n"/>
      <c r="Y187" s="9">
        <f>Model_Data!A187</f>
        <v/>
      </c>
      <c r="Z187" s="9">
        <f>0</f>
        <v/>
      </c>
      <c r="AA187" s="9">
        <f>((SQRT((Inputs!$C$52+Inputs!$C$5)^2+Inputs!$C$52^2-2*(Inputs!$C$52+Inputs!$C$5)*Inputs!$C$52*COS(SQRT((Model_Data!A187)^2+Inputs!$C$6^2)/Inputs!$C$52))-Inputs!$C$5)*1000/Inputs!$C$12)</f>
        <v/>
      </c>
      <c r="AB187" s="9">
        <f>Model_Data!F187</f>
        <v/>
      </c>
    </row>
    <row r="188">
      <c r="A188" s="9">
        <f>Model_Data!A188</f>
        <v/>
      </c>
      <c r="B188" s="9">
        <f>0</f>
        <v/>
      </c>
      <c r="C188" s="9">
        <f>((SQRT((Inputs!$C$52+Inputs!$C$5)^2+Inputs!$C$52^2-2*(Inputs!$C$52+Inputs!$C$5)*Inputs!$C$52*COS(SQRT((Model_Data!A188)^2+Inputs!$C$6^2)/Inputs!$C$52))-Inputs!$C$5)*1000/Inputs!$C$12)</f>
        <v/>
      </c>
      <c r="D188" s="9">
        <f>Model_Data!F188</f>
        <v/>
      </c>
      <c r="E188" s="9">
        <f>Model_Data!AC188</f>
        <v/>
      </c>
      <c r="F188" s="10" t="n"/>
      <c r="G188" s="9">
        <f>Model_Data!A188</f>
        <v/>
      </c>
      <c r="H188" s="9">
        <f>Model_Data!Y188</f>
        <v/>
      </c>
      <c r="I188" s="9">
        <f>Model_Data!Y188</f>
        <v/>
      </c>
      <c r="J188" s="9">
        <f>Model_Data!X188</f>
        <v/>
      </c>
      <c r="K188" s="9">
        <f>Model_Data!A188</f>
        <v/>
      </c>
      <c r="L188" s="9">
        <f>Model_Data!Y188</f>
        <v/>
      </c>
      <c r="M188" s="9">
        <f>Model_Data!X188</f>
        <v/>
      </c>
      <c r="N188" s="9">
        <f>-(Model_Data!AC188-Model_Data!F188)*Inputs!$C$12</f>
        <v/>
      </c>
      <c r="O188" s="10" t="n"/>
      <c r="P188" s="9">
        <f>Model_Data!A188</f>
        <v/>
      </c>
      <c r="Q188" s="9">
        <f>Model_Data!P188</f>
        <v/>
      </c>
      <c r="R188" s="9">
        <f>Model_Data!AM188</f>
        <v/>
      </c>
      <c r="S188" s="9">
        <f>Model_Data!Q188</f>
        <v/>
      </c>
      <c r="T188" s="9">
        <f>Model_Data!AN188</f>
        <v/>
      </c>
      <c r="U188" s="10" t="n"/>
      <c r="V188" s="9">
        <f>Model_Data!A188</f>
        <v/>
      </c>
      <c r="W188" s="9">
        <f>Model_Data!B188-Inputs!$C$5</f>
        <v/>
      </c>
      <c r="X188" s="10" t="n"/>
      <c r="Y188" s="9">
        <f>Model_Data!A188</f>
        <v/>
      </c>
      <c r="Z188" s="9">
        <f>0</f>
        <v/>
      </c>
      <c r="AA188" s="9">
        <f>((SQRT((Inputs!$C$52+Inputs!$C$5)^2+Inputs!$C$52^2-2*(Inputs!$C$52+Inputs!$C$5)*Inputs!$C$52*COS(SQRT((Model_Data!A188)^2+Inputs!$C$6^2)/Inputs!$C$52))-Inputs!$C$5)*1000/Inputs!$C$12)</f>
        <v/>
      </c>
      <c r="AB188" s="9">
        <f>Model_Data!F188</f>
        <v/>
      </c>
    </row>
    <row r="189">
      <c r="A189" s="9">
        <f>Model_Data!A189</f>
        <v/>
      </c>
      <c r="B189" s="9">
        <f>0</f>
        <v/>
      </c>
      <c r="C189" s="9">
        <f>((SQRT((Inputs!$C$52+Inputs!$C$5)^2+Inputs!$C$52^2-2*(Inputs!$C$52+Inputs!$C$5)*Inputs!$C$52*COS(SQRT((Model_Data!A189)^2+Inputs!$C$6^2)/Inputs!$C$52))-Inputs!$C$5)*1000/Inputs!$C$12)</f>
        <v/>
      </c>
      <c r="D189" s="9">
        <f>Model_Data!F189</f>
        <v/>
      </c>
      <c r="E189" s="9">
        <f>Model_Data!AC189</f>
        <v/>
      </c>
      <c r="F189" s="10" t="n"/>
      <c r="G189" s="9">
        <f>Model_Data!A189</f>
        <v/>
      </c>
      <c r="H189" s="9">
        <f>Model_Data!Y189</f>
        <v/>
      </c>
      <c r="I189" s="9">
        <f>Model_Data!Y189</f>
        <v/>
      </c>
      <c r="J189" s="9">
        <f>Model_Data!X189</f>
        <v/>
      </c>
      <c r="K189" s="9">
        <f>Model_Data!A189</f>
        <v/>
      </c>
      <c r="L189" s="9">
        <f>Model_Data!Y189</f>
        <v/>
      </c>
      <c r="M189" s="9">
        <f>Model_Data!X189</f>
        <v/>
      </c>
      <c r="N189" s="9">
        <f>-(Model_Data!AC189-Model_Data!F189)*Inputs!$C$12</f>
        <v/>
      </c>
      <c r="O189" s="10" t="n"/>
      <c r="P189" s="9">
        <f>Model_Data!A189</f>
        <v/>
      </c>
      <c r="Q189" s="9">
        <f>Model_Data!P189</f>
        <v/>
      </c>
      <c r="R189" s="9">
        <f>Model_Data!AM189</f>
        <v/>
      </c>
      <c r="S189" s="9">
        <f>Model_Data!Q189</f>
        <v/>
      </c>
      <c r="T189" s="9">
        <f>Model_Data!AN189</f>
        <v/>
      </c>
      <c r="U189" s="10" t="n"/>
      <c r="V189" s="9">
        <f>Model_Data!A189</f>
        <v/>
      </c>
      <c r="W189" s="9">
        <f>Model_Data!B189-Inputs!$C$5</f>
        <v/>
      </c>
      <c r="X189" s="10" t="n"/>
      <c r="Y189" s="9">
        <f>Model_Data!A189</f>
        <v/>
      </c>
      <c r="Z189" s="9">
        <f>0</f>
        <v/>
      </c>
      <c r="AA189" s="9">
        <f>((SQRT((Inputs!$C$52+Inputs!$C$5)^2+Inputs!$C$52^2-2*(Inputs!$C$52+Inputs!$C$5)*Inputs!$C$52*COS(SQRT((Model_Data!A189)^2+Inputs!$C$6^2)/Inputs!$C$52))-Inputs!$C$5)*1000/Inputs!$C$12)</f>
        <v/>
      </c>
      <c r="AB189" s="9">
        <f>Model_Data!F189</f>
        <v/>
      </c>
    </row>
    <row r="190">
      <c r="A190" s="9">
        <f>Model_Data!A190</f>
        <v/>
      </c>
      <c r="B190" s="9">
        <f>0</f>
        <v/>
      </c>
      <c r="C190" s="9">
        <f>((SQRT((Inputs!$C$52+Inputs!$C$5)^2+Inputs!$C$52^2-2*(Inputs!$C$52+Inputs!$C$5)*Inputs!$C$52*COS(SQRT((Model_Data!A190)^2+Inputs!$C$6^2)/Inputs!$C$52))-Inputs!$C$5)*1000/Inputs!$C$12)</f>
        <v/>
      </c>
      <c r="D190" s="9">
        <f>Model_Data!F190</f>
        <v/>
      </c>
      <c r="E190" s="9">
        <f>Model_Data!AC190</f>
        <v/>
      </c>
      <c r="F190" s="10" t="n"/>
      <c r="G190" s="9">
        <f>Model_Data!A190</f>
        <v/>
      </c>
      <c r="H190" s="9">
        <f>Model_Data!Y190</f>
        <v/>
      </c>
      <c r="I190" s="9">
        <f>Model_Data!Y190</f>
        <v/>
      </c>
      <c r="J190" s="9">
        <f>Model_Data!X190</f>
        <v/>
      </c>
      <c r="K190" s="9">
        <f>Model_Data!A190</f>
        <v/>
      </c>
      <c r="L190" s="9">
        <f>Model_Data!Y190</f>
        <v/>
      </c>
      <c r="M190" s="9">
        <f>Model_Data!X190</f>
        <v/>
      </c>
      <c r="N190" s="9">
        <f>-(Model_Data!AC190-Model_Data!F190)*Inputs!$C$12</f>
        <v/>
      </c>
      <c r="O190" s="10" t="n"/>
      <c r="P190" s="9">
        <f>Model_Data!A190</f>
        <v/>
      </c>
      <c r="Q190" s="9">
        <f>Model_Data!P190</f>
        <v/>
      </c>
      <c r="R190" s="9">
        <f>Model_Data!AM190</f>
        <v/>
      </c>
      <c r="S190" s="9">
        <f>Model_Data!Q190</f>
        <v/>
      </c>
      <c r="T190" s="9">
        <f>Model_Data!AN190</f>
        <v/>
      </c>
      <c r="U190" s="10" t="n"/>
      <c r="V190" s="9">
        <f>Model_Data!A190</f>
        <v/>
      </c>
      <c r="W190" s="9">
        <f>Model_Data!B190-Inputs!$C$5</f>
        <v/>
      </c>
      <c r="X190" s="10" t="n"/>
      <c r="Y190" s="9">
        <f>Model_Data!A190</f>
        <v/>
      </c>
      <c r="Z190" s="9">
        <f>0</f>
        <v/>
      </c>
      <c r="AA190" s="9">
        <f>((SQRT((Inputs!$C$52+Inputs!$C$5)^2+Inputs!$C$52^2-2*(Inputs!$C$52+Inputs!$C$5)*Inputs!$C$52*COS(SQRT((Model_Data!A190)^2+Inputs!$C$6^2)/Inputs!$C$52))-Inputs!$C$5)*1000/Inputs!$C$12)</f>
        <v/>
      </c>
      <c r="AB190" s="9">
        <f>Model_Data!F190</f>
        <v/>
      </c>
    </row>
    <row r="191">
      <c r="A191" s="9">
        <f>Model_Data!A191</f>
        <v/>
      </c>
      <c r="B191" s="9">
        <f>0</f>
        <v/>
      </c>
      <c r="C191" s="9">
        <f>((SQRT((Inputs!$C$52+Inputs!$C$5)^2+Inputs!$C$52^2-2*(Inputs!$C$52+Inputs!$C$5)*Inputs!$C$52*COS(SQRT((Model_Data!A191)^2+Inputs!$C$6^2)/Inputs!$C$52))-Inputs!$C$5)*1000/Inputs!$C$12)</f>
        <v/>
      </c>
      <c r="D191" s="9">
        <f>Model_Data!F191</f>
        <v/>
      </c>
      <c r="E191" s="9">
        <f>Model_Data!AC191</f>
        <v/>
      </c>
      <c r="F191" s="10" t="n"/>
      <c r="G191" s="9">
        <f>Model_Data!A191</f>
        <v/>
      </c>
      <c r="H191" s="9">
        <f>Model_Data!Y191</f>
        <v/>
      </c>
      <c r="I191" s="9">
        <f>Model_Data!Y191</f>
        <v/>
      </c>
      <c r="J191" s="9">
        <f>Model_Data!X191</f>
        <v/>
      </c>
      <c r="K191" s="9">
        <f>Model_Data!A191</f>
        <v/>
      </c>
      <c r="L191" s="9">
        <f>Model_Data!Y191</f>
        <v/>
      </c>
      <c r="M191" s="9">
        <f>Model_Data!X191</f>
        <v/>
      </c>
      <c r="N191" s="9">
        <f>-(Model_Data!AC191-Model_Data!F191)*Inputs!$C$12</f>
        <v/>
      </c>
      <c r="O191" s="10" t="n"/>
      <c r="P191" s="9">
        <f>Model_Data!A191</f>
        <v/>
      </c>
      <c r="Q191" s="9">
        <f>Model_Data!P191</f>
        <v/>
      </c>
      <c r="R191" s="9">
        <f>Model_Data!AM191</f>
        <v/>
      </c>
      <c r="S191" s="9">
        <f>Model_Data!Q191</f>
        <v/>
      </c>
      <c r="T191" s="9">
        <f>Model_Data!AN191</f>
        <v/>
      </c>
      <c r="U191" s="10" t="n"/>
      <c r="V191" s="9">
        <f>Model_Data!A191</f>
        <v/>
      </c>
      <c r="W191" s="9">
        <f>Model_Data!B191-Inputs!$C$5</f>
        <v/>
      </c>
      <c r="X191" s="10" t="n"/>
      <c r="Y191" s="9">
        <f>Model_Data!A191</f>
        <v/>
      </c>
      <c r="Z191" s="9">
        <f>0</f>
        <v/>
      </c>
      <c r="AA191" s="9">
        <f>((SQRT((Inputs!$C$52+Inputs!$C$5)^2+Inputs!$C$52^2-2*(Inputs!$C$52+Inputs!$C$5)*Inputs!$C$52*COS(SQRT((Model_Data!A191)^2+Inputs!$C$6^2)/Inputs!$C$52))-Inputs!$C$5)*1000/Inputs!$C$12)</f>
        <v/>
      </c>
      <c r="AB191" s="9">
        <f>Model_Data!F191</f>
        <v/>
      </c>
    </row>
    <row r="192">
      <c r="A192" s="9">
        <f>Model_Data!A192</f>
        <v/>
      </c>
      <c r="B192" s="9">
        <f>0</f>
        <v/>
      </c>
      <c r="C192" s="9">
        <f>((SQRT((Inputs!$C$52+Inputs!$C$5)^2+Inputs!$C$52^2-2*(Inputs!$C$52+Inputs!$C$5)*Inputs!$C$52*COS(SQRT((Model_Data!A192)^2+Inputs!$C$6^2)/Inputs!$C$52))-Inputs!$C$5)*1000/Inputs!$C$12)</f>
        <v/>
      </c>
      <c r="D192" s="9">
        <f>Model_Data!F192</f>
        <v/>
      </c>
      <c r="E192" s="9">
        <f>Model_Data!AC192</f>
        <v/>
      </c>
      <c r="F192" s="10" t="n"/>
      <c r="G192" s="9">
        <f>Model_Data!A192</f>
        <v/>
      </c>
      <c r="H192" s="9">
        <f>Model_Data!Y192</f>
        <v/>
      </c>
      <c r="I192" s="9">
        <f>Model_Data!Y192</f>
        <v/>
      </c>
      <c r="J192" s="9">
        <f>Model_Data!X192</f>
        <v/>
      </c>
      <c r="K192" s="9">
        <f>Model_Data!A192</f>
        <v/>
      </c>
      <c r="L192" s="9">
        <f>Model_Data!Y192</f>
        <v/>
      </c>
      <c r="M192" s="9">
        <f>Model_Data!X192</f>
        <v/>
      </c>
      <c r="N192" s="9">
        <f>-(Model_Data!AC192-Model_Data!F192)*Inputs!$C$12</f>
        <v/>
      </c>
      <c r="O192" s="10" t="n"/>
      <c r="P192" s="9">
        <f>Model_Data!A192</f>
        <v/>
      </c>
      <c r="Q192" s="9">
        <f>Model_Data!P192</f>
        <v/>
      </c>
      <c r="R192" s="9">
        <f>Model_Data!AM192</f>
        <v/>
      </c>
      <c r="S192" s="9">
        <f>Model_Data!Q192</f>
        <v/>
      </c>
      <c r="T192" s="9">
        <f>Model_Data!AN192</f>
        <v/>
      </c>
      <c r="U192" s="10" t="n"/>
      <c r="V192" s="9">
        <f>Model_Data!A192</f>
        <v/>
      </c>
      <c r="W192" s="9">
        <f>Model_Data!B192-Inputs!$C$5</f>
        <v/>
      </c>
      <c r="X192" s="10" t="n"/>
      <c r="Y192" s="9">
        <f>Model_Data!A192</f>
        <v/>
      </c>
      <c r="Z192" s="9">
        <f>0</f>
        <v/>
      </c>
      <c r="AA192" s="9">
        <f>((SQRT((Inputs!$C$52+Inputs!$C$5)^2+Inputs!$C$52^2-2*(Inputs!$C$52+Inputs!$C$5)*Inputs!$C$52*COS(SQRT((Model_Data!A192)^2+Inputs!$C$6^2)/Inputs!$C$52))-Inputs!$C$5)*1000/Inputs!$C$12)</f>
        <v/>
      </c>
      <c r="AB192" s="9">
        <f>Model_Data!F192</f>
        <v/>
      </c>
    </row>
    <row r="193">
      <c r="A193" s="9">
        <f>Model_Data!A193</f>
        <v/>
      </c>
      <c r="B193" s="9">
        <f>0</f>
        <v/>
      </c>
      <c r="C193" s="9">
        <f>((SQRT((Inputs!$C$52+Inputs!$C$5)^2+Inputs!$C$52^2-2*(Inputs!$C$52+Inputs!$C$5)*Inputs!$C$52*COS(SQRT((Model_Data!A193)^2+Inputs!$C$6^2)/Inputs!$C$52))-Inputs!$C$5)*1000/Inputs!$C$12)</f>
        <v/>
      </c>
      <c r="D193" s="9">
        <f>Model_Data!F193</f>
        <v/>
      </c>
      <c r="E193" s="9">
        <f>Model_Data!AC193</f>
        <v/>
      </c>
      <c r="F193" s="10" t="n"/>
      <c r="G193" s="9">
        <f>Model_Data!A193</f>
        <v/>
      </c>
      <c r="H193" s="9">
        <f>Model_Data!Y193</f>
        <v/>
      </c>
      <c r="I193" s="9">
        <f>Model_Data!Y193</f>
        <v/>
      </c>
      <c r="J193" s="9">
        <f>Model_Data!X193</f>
        <v/>
      </c>
      <c r="K193" s="9">
        <f>Model_Data!A193</f>
        <v/>
      </c>
      <c r="L193" s="9">
        <f>Model_Data!Y193</f>
        <v/>
      </c>
      <c r="M193" s="9">
        <f>Model_Data!X193</f>
        <v/>
      </c>
      <c r="N193" s="9">
        <f>-(Model_Data!AC193-Model_Data!F193)*Inputs!$C$12</f>
        <v/>
      </c>
      <c r="O193" s="10" t="n"/>
      <c r="P193" s="9">
        <f>Model_Data!A193</f>
        <v/>
      </c>
      <c r="Q193" s="9">
        <f>Model_Data!P193</f>
        <v/>
      </c>
      <c r="R193" s="9">
        <f>Model_Data!AM193</f>
        <v/>
      </c>
      <c r="S193" s="9">
        <f>Model_Data!Q193</f>
        <v/>
      </c>
      <c r="T193" s="9">
        <f>Model_Data!AN193</f>
        <v/>
      </c>
      <c r="U193" s="10" t="n"/>
      <c r="V193" s="9">
        <f>Model_Data!A193</f>
        <v/>
      </c>
      <c r="W193" s="9">
        <f>Model_Data!B193-Inputs!$C$5</f>
        <v/>
      </c>
      <c r="X193" s="10" t="n"/>
      <c r="Y193" s="9">
        <f>Model_Data!A193</f>
        <v/>
      </c>
      <c r="Z193" s="9">
        <f>0</f>
        <v/>
      </c>
      <c r="AA193" s="9">
        <f>((SQRT((Inputs!$C$52+Inputs!$C$5)^2+Inputs!$C$52^2-2*(Inputs!$C$52+Inputs!$C$5)*Inputs!$C$52*COS(SQRT((Model_Data!A193)^2+Inputs!$C$6^2)/Inputs!$C$52))-Inputs!$C$5)*1000/Inputs!$C$12)</f>
        <v/>
      </c>
      <c r="AB193" s="9">
        <f>Model_Data!F193</f>
        <v/>
      </c>
    </row>
    <row r="194">
      <c r="A194" s="9">
        <f>Model_Data!A194</f>
        <v/>
      </c>
      <c r="B194" s="9">
        <f>0</f>
        <v/>
      </c>
      <c r="C194" s="9">
        <f>((SQRT((Inputs!$C$52+Inputs!$C$5)^2+Inputs!$C$52^2-2*(Inputs!$C$52+Inputs!$C$5)*Inputs!$C$52*COS(SQRT((Model_Data!A194)^2+Inputs!$C$6^2)/Inputs!$C$52))-Inputs!$C$5)*1000/Inputs!$C$12)</f>
        <v/>
      </c>
      <c r="D194" s="9">
        <f>Model_Data!F194</f>
        <v/>
      </c>
      <c r="E194" s="9">
        <f>Model_Data!AC194</f>
        <v/>
      </c>
      <c r="F194" s="10" t="n"/>
      <c r="G194" s="9">
        <f>Model_Data!A194</f>
        <v/>
      </c>
      <c r="H194" s="9">
        <f>Model_Data!Y194</f>
        <v/>
      </c>
      <c r="I194" s="9">
        <f>Model_Data!Y194</f>
        <v/>
      </c>
      <c r="J194" s="9">
        <f>Model_Data!X194</f>
        <v/>
      </c>
      <c r="K194" s="9">
        <f>Model_Data!A194</f>
        <v/>
      </c>
      <c r="L194" s="9">
        <f>Model_Data!Y194</f>
        <v/>
      </c>
      <c r="M194" s="9">
        <f>Model_Data!X194</f>
        <v/>
      </c>
      <c r="N194" s="9">
        <f>-(Model_Data!AC194-Model_Data!F194)*Inputs!$C$12</f>
        <v/>
      </c>
      <c r="O194" s="10" t="n"/>
      <c r="P194" s="9">
        <f>Model_Data!A194</f>
        <v/>
      </c>
      <c r="Q194" s="9">
        <f>Model_Data!P194</f>
        <v/>
      </c>
      <c r="R194" s="9">
        <f>Model_Data!AM194</f>
        <v/>
      </c>
      <c r="S194" s="9">
        <f>Model_Data!Q194</f>
        <v/>
      </c>
      <c r="T194" s="9">
        <f>Model_Data!AN194</f>
        <v/>
      </c>
      <c r="U194" s="10" t="n"/>
      <c r="V194" s="9">
        <f>Model_Data!A194</f>
        <v/>
      </c>
      <c r="W194" s="9">
        <f>Model_Data!B194-Inputs!$C$5</f>
        <v/>
      </c>
      <c r="X194" s="10" t="n"/>
      <c r="Y194" s="9">
        <f>Model_Data!A194</f>
        <v/>
      </c>
      <c r="Z194" s="9">
        <f>0</f>
        <v/>
      </c>
      <c r="AA194" s="9">
        <f>((SQRT((Inputs!$C$52+Inputs!$C$5)^2+Inputs!$C$52^2-2*(Inputs!$C$52+Inputs!$C$5)*Inputs!$C$52*COS(SQRT((Model_Data!A194)^2+Inputs!$C$6^2)/Inputs!$C$52))-Inputs!$C$5)*1000/Inputs!$C$12)</f>
        <v/>
      </c>
      <c r="AB194" s="9">
        <f>Model_Data!F194</f>
        <v/>
      </c>
    </row>
    <row r="195">
      <c r="A195" s="9">
        <f>Model_Data!A195</f>
        <v/>
      </c>
      <c r="B195" s="9">
        <f>0</f>
        <v/>
      </c>
      <c r="C195" s="9">
        <f>((SQRT((Inputs!$C$52+Inputs!$C$5)^2+Inputs!$C$52^2-2*(Inputs!$C$52+Inputs!$C$5)*Inputs!$C$52*COS(SQRT((Model_Data!A195)^2+Inputs!$C$6^2)/Inputs!$C$52))-Inputs!$C$5)*1000/Inputs!$C$12)</f>
        <v/>
      </c>
      <c r="D195" s="9">
        <f>Model_Data!F195</f>
        <v/>
      </c>
      <c r="E195" s="9">
        <f>Model_Data!AC195</f>
        <v/>
      </c>
      <c r="F195" s="10" t="n"/>
      <c r="G195" s="9">
        <f>Model_Data!A195</f>
        <v/>
      </c>
      <c r="H195" s="9">
        <f>Model_Data!Y195</f>
        <v/>
      </c>
      <c r="I195" s="9">
        <f>Model_Data!Y195</f>
        <v/>
      </c>
      <c r="J195" s="9">
        <f>Model_Data!X195</f>
        <v/>
      </c>
      <c r="K195" s="9">
        <f>Model_Data!A195</f>
        <v/>
      </c>
      <c r="L195" s="9">
        <f>Model_Data!Y195</f>
        <v/>
      </c>
      <c r="M195" s="9">
        <f>Model_Data!X195</f>
        <v/>
      </c>
      <c r="N195" s="9">
        <f>-(Model_Data!AC195-Model_Data!F195)*Inputs!$C$12</f>
        <v/>
      </c>
      <c r="O195" s="10" t="n"/>
      <c r="P195" s="9">
        <f>Model_Data!A195</f>
        <v/>
      </c>
      <c r="Q195" s="9">
        <f>Model_Data!P195</f>
        <v/>
      </c>
      <c r="R195" s="9">
        <f>Model_Data!AM195</f>
        <v/>
      </c>
      <c r="S195" s="9">
        <f>Model_Data!Q195</f>
        <v/>
      </c>
      <c r="T195" s="9">
        <f>Model_Data!AN195</f>
        <v/>
      </c>
      <c r="U195" s="10" t="n"/>
      <c r="V195" s="9">
        <f>Model_Data!A195</f>
        <v/>
      </c>
      <c r="W195" s="9">
        <f>Model_Data!B195-Inputs!$C$5</f>
        <v/>
      </c>
      <c r="X195" s="10" t="n"/>
      <c r="Y195" s="9">
        <f>Model_Data!A195</f>
        <v/>
      </c>
      <c r="Z195" s="9">
        <f>0</f>
        <v/>
      </c>
      <c r="AA195" s="9">
        <f>((SQRT((Inputs!$C$52+Inputs!$C$5)^2+Inputs!$C$52^2-2*(Inputs!$C$52+Inputs!$C$5)*Inputs!$C$52*COS(SQRT((Model_Data!A195)^2+Inputs!$C$6^2)/Inputs!$C$52))-Inputs!$C$5)*1000/Inputs!$C$12)</f>
        <v/>
      </c>
      <c r="AB195" s="9">
        <f>Model_Data!F195</f>
        <v/>
      </c>
    </row>
    <row r="196">
      <c r="A196" s="9">
        <f>Model_Data!A196</f>
        <v/>
      </c>
      <c r="B196" s="9">
        <f>0</f>
        <v/>
      </c>
      <c r="C196" s="9">
        <f>((SQRT((Inputs!$C$52+Inputs!$C$5)^2+Inputs!$C$52^2-2*(Inputs!$C$52+Inputs!$C$5)*Inputs!$C$52*COS(SQRT((Model_Data!A196)^2+Inputs!$C$6^2)/Inputs!$C$52))-Inputs!$C$5)*1000/Inputs!$C$12)</f>
        <v/>
      </c>
      <c r="D196" s="9">
        <f>Model_Data!F196</f>
        <v/>
      </c>
      <c r="E196" s="9">
        <f>Model_Data!AC196</f>
        <v/>
      </c>
      <c r="F196" s="10" t="n"/>
      <c r="G196" s="9">
        <f>Model_Data!A196</f>
        <v/>
      </c>
      <c r="H196" s="9">
        <f>Model_Data!Y196</f>
        <v/>
      </c>
      <c r="I196" s="9">
        <f>Model_Data!Y196</f>
        <v/>
      </c>
      <c r="J196" s="9">
        <f>Model_Data!X196</f>
        <v/>
      </c>
      <c r="K196" s="9">
        <f>Model_Data!A196</f>
        <v/>
      </c>
      <c r="L196" s="9">
        <f>Model_Data!Y196</f>
        <v/>
      </c>
      <c r="M196" s="9">
        <f>Model_Data!X196</f>
        <v/>
      </c>
      <c r="N196" s="9">
        <f>-(Model_Data!AC196-Model_Data!F196)*Inputs!$C$12</f>
        <v/>
      </c>
      <c r="O196" s="10" t="n"/>
      <c r="P196" s="9">
        <f>Model_Data!A196</f>
        <v/>
      </c>
      <c r="Q196" s="9">
        <f>Model_Data!P196</f>
        <v/>
      </c>
      <c r="R196" s="9">
        <f>Model_Data!AM196</f>
        <v/>
      </c>
      <c r="S196" s="9">
        <f>Model_Data!Q196</f>
        <v/>
      </c>
      <c r="T196" s="9">
        <f>Model_Data!AN196</f>
        <v/>
      </c>
      <c r="U196" s="10" t="n"/>
      <c r="V196" s="9">
        <f>Model_Data!A196</f>
        <v/>
      </c>
      <c r="W196" s="9">
        <f>Model_Data!B196-Inputs!$C$5</f>
        <v/>
      </c>
      <c r="X196" s="10" t="n"/>
      <c r="Y196" s="9">
        <f>Model_Data!A196</f>
        <v/>
      </c>
      <c r="Z196" s="9">
        <f>0</f>
        <v/>
      </c>
      <c r="AA196" s="9">
        <f>((SQRT((Inputs!$C$52+Inputs!$C$5)^2+Inputs!$C$52^2-2*(Inputs!$C$52+Inputs!$C$5)*Inputs!$C$52*COS(SQRT((Model_Data!A196)^2+Inputs!$C$6^2)/Inputs!$C$52))-Inputs!$C$5)*1000/Inputs!$C$12)</f>
        <v/>
      </c>
      <c r="AB196" s="9">
        <f>Model_Data!F196</f>
        <v/>
      </c>
    </row>
    <row r="197">
      <c r="A197" s="9">
        <f>Model_Data!A197</f>
        <v/>
      </c>
      <c r="B197" s="9">
        <f>0</f>
        <v/>
      </c>
      <c r="C197" s="9">
        <f>((SQRT((Inputs!$C$52+Inputs!$C$5)^2+Inputs!$C$52^2-2*(Inputs!$C$52+Inputs!$C$5)*Inputs!$C$52*COS(SQRT((Model_Data!A197)^2+Inputs!$C$6^2)/Inputs!$C$52))-Inputs!$C$5)*1000/Inputs!$C$12)</f>
        <v/>
      </c>
      <c r="D197" s="9">
        <f>Model_Data!F197</f>
        <v/>
      </c>
      <c r="E197" s="9">
        <f>Model_Data!AC197</f>
        <v/>
      </c>
      <c r="F197" s="10" t="n"/>
      <c r="G197" s="9">
        <f>Model_Data!A197</f>
        <v/>
      </c>
      <c r="H197" s="9">
        <f>Model_Data!Y197</f>
        <v/>
      </c>
      <c r="I197" s="9">
        <f>Model_Data!Y197</f>
        <v/>
      </c>
      <c r="J197" s="9">
        <f>Model_Data!X197</f>
        <v/>
      </c>
      <c r="K197" s="9">
        <f>Model_Data!A197</f>
        <v/>
      </c>
      <c r="L197" s="9">
        <f>Model_Data!Y197</f>
        <v/>
      </c>
      <c r="M197" s="9">
        <f>Model_Data!X197</f>
        <v/>
      </c>
      <c r="N197" s="9">
        <f>-(Model_Data!AC197-Model_Data!F197)*Inputs!$C$12</f>
        <v/>
      </c>
      <c r="O197" s="10" t="n"/>
      <c r="P197" s="9">
        <f>Model_Data!A197</f>
        <v/>
      </c>
      <c r="Q197" s="9">
        <f>Model_Data!P197</f>
        <v/>
      </c>
      <c r="R197" s="9">
        <f>Model_Data!AM197</f>
        <v/>
      </c>
      <c r="S197" s="9">
        <f>Model_Data!Q197</f>
        <v/>
      </c>
      <c r="T197" s="9">
        <f>Model_Data!AN197</f>
        <v/>
      </c>
      <c r="U197" s="10" t="n"/>
      <c r="V197" s="9">
        <f>Model_Data!A197</f>
        <v/>
      </c>
      <c r="W197" s="9">
        <f>Model_Data!B197-Inputs!$C$5</f>
        <v/>
      </c>
      <c r="X197" s="10" t="n"/>
      <c r="Y197" s="9">
        <f>Model_Data!A197</f>
        <v/>
      </c>
      <c r="Z197" s="9">
        <f>0</f>
        <v/>
      </c>
      <c r="AA197" s="9">
        <f>((SQRT((Inputs!$C$52+Inputs!$C$5)^2+Inputs!$C$52^2-2*(Inputs!$C$52+Inputs!$C$5)*Inputs!$C$52*COS(SQRT((Model_Data!A197)^2+Inputs!$C$6^2)/Inputs!$C$52))-Inputs!$C$5)*1000/Inputs!$C$12)</f>
        <v/>
      </c>
      <c r="AB197" s="9">
        <f>Model_Data!F197</f>
        <v/>
      </c>
    </row>
    <row r="198">
      <c r="A198" s="9">
        <f>Model_Data!A198</f>
        <v/>
      </c>
      <c r="B198" s="9">
        <f>0</f>
        <v/>
      </c>
      <c r="C198" s="9">
        <f>((SQRT((Inputs!$C$52+Inputs!$C$5)^2+Inputs!$C$52^2-2*(Inputs!$C$52+Inputs!$C$5)*Inputs!$C$52*COS(SQRT((Model_Data!A198)^2+Inputs!$C$6^2)/Inputs!$C$52))-Inputs!$C$5)*1000/Inputs!$C$12)</f>
        <v/>
      </c>
      <c r="D198" s="9">
        <f>Model_Data!F198</f>
        <v/>
      </c>
      <c r="E198" s="9">
        <f>Model_Data!AC198</f>
        <v/>
      </c>
      <c r="F198" s="10" t="n"/>
      <c r="G198" s="9">
        <f>Model_Data!A198</f>
        <v/>
      </c>
      <c r="H198" s="9">
        <f>Model_Data!Y198</f>
        <v/>
      </c>
      <c r="I198" s="9">
        <f>Model_Data!Y198</f>
        <v/>
      </c>
      <c r="J198" s="9">
        <f>Model_Data!X198</f>
        <v/>
      </c>
      <c r="K198" s="9">
        <f>Model_Data!A198</f>
        <v/>
      </c>
      <c r="L198" s="9">
        <f>Model_Data!Y198</f>
        <v/>
      </c>
      <c r="M198" s="9">
        <f>Model_Data!X198</f>
        <v/>
      </c>
      <c r="N198" s="9">
        <f>-(Model_Data!AC198-Model_Data!F198)*Inputs!$C$12</f>
        <v/>
      </c>
      <c r="O198" s="10" t="n"/>
      <c r="P198" s="9">
        <f>Model_Data!A198</f>
        <v/>
      </c>
      <c r="Q198" s="9">
        <f>Model_Data!P198</f>
        <v/>
      </c>
      <c r="R198" s="9">
        <f>Model_Data!AM198</f>
        <v/>
      </c>
      <c r="S198" s="9">
        <f>Model_Data!Q198</f>
        <v/>
      </c>
      <c r="T198" s="9">
        <f>Model_Data!AN198</f>
        <v/>
      </c>
      <c r="U198" s="10" t="n"/>
      <c r="V198" s="9">
        <f>Model_Data!A198</f>
        <v/>
      </c>
      <c r="W198" s="9">
        <f>Model_Data!B198-Inputs!$C$5</f>
        <v/>
      </c>
      <c r="X198" s="10" t="n"/>
      <c r="Y198" s="9">
        <f>Model_Data!A198</f>
        <v/>
      </c>
      <c r="Z198" s="9">
        <f>0</f>
        <v/>
      </c>
      <c r="AA198" s="9">
        <f>((SQRT((Inputs!$C$52+Inputs!$C$5)^2+Inputs!$C$52^2-2*(Inputs!$C$52+Inputs!$C$5)*Inputs!$C$52*COS(SQRT((Model_Data!A198)^2+Inputs!$C$6^2)/Inputs!$C$52))-Inputs!$C$5)*1000/Inputs!$C$12)</f>
        <v/>
      </c>
      <c r="AB198" s="9">
        <f>Model_Data!F198</f>
        <v/>
      </c>
    </row>
    <row r="199">
      <c r="A199" s="9">
        <f>Model_Data!A199</f>
        <v/>
      </c>
      <c r="B199" s="9">
        <f>0</f>
        <v/>
      </c>
      <c r="C199" s="9">
        <f>((SQRT((Inputs!$C$52+Inputs!$C$5)^2+Inputs!$C$52^2-2*(Inputs!$C$52+Inputs!$C$5)*Inputs!$C$52*COS(SQRT((Model_Data!A199)^2+Inputs!$C$6^2)/Inputs!$C$52))-Inputs!$C$5)*1000/Inputs!$C$12)</f>
        <v/>
      </c>
      <c r="D199" s="9">
        <f>Model_Data!F199</f>
        <v/>
      </c>
      <c r="E199" s="9">
        <f>Model_Data!AC199</f>
        <v/>
      </c>
      <c r="F199" s="10" t="n"/>
      <c r="G199" s="9">
        <f>Model_Data!A199</f>
        <v/>
      </c>
      <c r="H199" s="9">
        <f>Model_Data!Y199</f>
        <v/>
      </c>
      <c r="I199" s="9">
        <f>Model_Data!Y199</f>
        <v/>
      </c>
      <c r="J199" s="9">
        <f>Model_Data!X199</f>
        <v/>
      </c>
      <c r="K199" s="9">
        <f>Model_Data!A199</f>
        <v/>
      </c>
      <c r="L199" s="9">
        <f>Model_Data!Y199</f>
        <v/>
      </c>
      <c r="M199" s="9">
        <f>Model_Data!X199</f>
        <v/>
      </c>
      <c r="N199" s="9">
        <f>-(Model_Data!AC199-Model_Data!F199)*Inputs!$C$12</f>
        <v/>
      </c>
      <c r="O199" s="10" t="n"/>
      <c r="P199" s="9">
        <f>Model_Data!A199</f>
        <v/>
      </c>
      <c r="Q199" s="9">
        <f>Model_Data!P199</f>
        <v/>
      </c>
      <c r="R199" s="9">
        <f>Model_Data!AM199</f>
        <v/>
      </c>
      <c r="S199" s="9">
        <f>Model_Data!Q199</f>
        <v/>
      </c>
      <c r="T199" s="9">
        <f>Model_Data!AN199</f>
        <v/>
      </c>
      <c r="U199" s="10" t="n"/>
      <c r="V199" s="9">
        <f>Model_Data!A199</f>
        <v/>
      </c>
      <c r="W199" s="9">
        <f>Model_Data!B199-Inputs!$C$5</f>
        <v/>
      </c>
      <c r="X199" s="10" t="n"/>
      <c r="Y199" s="9">
        <f>Model_Data!A199</f>
        <v/>
      </c>
      <c r="Z199" s="9">
        <f>0</f>
        <v/>
      </c>
      <c r="AA199" s="9">
        <f>((SQRT((Inputs!$C$52+Inputs!$C$5)^2+Inputs!$C$52^2-2*(Inputs!$C$52+Inputs!$C$5)*Inputs!$C$52*COS(SQRT((Model_Data!A199)^2+Inputs!$C$6^2)/Inputs!$C$52))-Inputs!$C$5)*1000/Inputs!$C$12)</f>
        <v/>
      </c>
      <c r="AB199" s="9">
        <f>Model_Data!F199</f>
        <v/>
      </c>
    </row>
    <row r="200">
      <c r="A200" s="9">
        <f>Model_Data!A200</f>
        <v/>
      </c>
      <c r="B200" s="9">
        <f>0</f>
        <v/>
      </c>
      <c r="C200" s="9">
        <f>((SQRT((Inputs!$C$52+Inputs!$C$5)^2+Inputs!$C$52^2-2*(Inputs!$C$52+Inputs!$C$5)*Inputs!$C$52*COS(SQRT((Model_Data!A200)^2+Inputs!$C$6^2)/Inputs!$C$52))-Inputs!$C$5)*1000/Inputs!$C$12)</f>
        <v/>
      </c>
      <c r="D200" s="9">
        <f>Model_Data!F200</f>
        <v/>
      </c>
      <c r="E200" s="9">
        <f>Model_Data!AC200</f>
        <v/>
      </c>
      <c r="F200" s="10" t="n"/>
      <c r="G200" s="9">
        <f>Model_Data!A200</f>
        <v/>
      </c>
      <c r="H200" s="9">
        <f>Model_Data!Y200</f>
        <v/>
      </c>
      <c r="I200" s="9">
        <f>Model_Data!Y200</f>
        <v/>
      </c>
      <c r="J200" s="9">
        <f>Model_Data!X200</f>
        <v/>
      </c>
      <c r="K200" s="9">
        <f>Model_Data!A200</f>
        <v/>
      </c>
      <c r="L200" s="9">
        <f>Model_Data!Y200</f>
        <v/>
      </c>
      <c r="M200" s="9">
        <f>Model_Data!X200</f>
        <v/>
      </c>
      <c r="N200" s="9">
        <f>-(Model_Data!AC200-Model_Data!F200)*Inputs!$C$12</f>
        <v/>
      </c>
      <c r="O200" s="10" t="n"/>
      <c r="P200" s="9">
        <f>Model_Data!A200</f>
        <v/>
      </c>
      <c r="Q200" s="9">
        <f>Model_Data!P200</f>
        <v/>
      </c>
      <c r="R200" s="9">
        <f>Model_Data!AM200</f>
        <v/>
      </c>
      <c r="S200" s="9">
        <f>Model_Data!Q200</f>
        <v/>
      </c>
      <c r="T200" s="9">
        <f>Model_Data!AN200</f>
        <v/>
      </c>
      <c r="U200" s="10" t="n"/>
      <c r="V200" s="9">
        <f>Model_Data!A200</f>
        <v/>
      </c>
      <c r="W200" s="9">
        <f>Model_Data!B200-Inputs!$C$5</f>
        <v/>
      </c>
      <c r="X200" s="10" t="n"/>
      <c r="Y200" s="9">
        <f>Model_Data!A200</f>
        <v/>
      </c>
      <c r="Z200" s="9">
        <f>0</f>
        <v/>
      </c>
      <c r="AA200" s="9">
        <f>((SQRT((Inputs!$C$52+Inputs!$C$5)^2+Inputs!$C$52^2-2*(Inputs!$C$52+Inputs!$C$5)*Inputs!$C$52*COS(SQRT((Model_Data!A200)^2+Inputs!$C$6^2)/Inputs!$C$52))-Inputs!$C$5)*1000/Inputs!$C$12)</f>
        <v/>
      </c>
      <c r="AB200" s="9">
        <f>Model_Data!F200</f>
        <v/>
      </c>
    </row>
    <row r="201">
      <c r="A201" s="9">
        <f>Model_Data!A201</f>
        <v/>
      </c>
      <c r="B201" s="9">
        <f>0</f>
        <v/>
      </c>
      <c r="C201" s="9">
        <f>((SQRT((Inputs!$C$52+Inputs!$C$5)^2+Inputs!$C$52^2-2*(Inputs!$C$52+Inputs!$C$5)*Inputs!$C$52*COS(SQRT((Model_Data!A201)^2+Inputs!$C$6^2)/Inputs!$C$52))-Inputs!$C$5)*1000/Inputs!$C$12)</f>
        <v/>
      </c>
      <c r="D201" s="9">
        <f>Model_Data!F201</f>
        <v/>
      </c>
      <c r="E201" s="9">
        <f>Model_Data!AC201</f>
        <v/>
      </c>
      <c r="F201" s="10" t="n"/>
      <c r="G201" s="9">
        <f>Model_Data!A201</f>
        <v/>
      </c>
      <c r="H201" s="9">
        <f>Model_Data!Y201</f>
        <v/>
      </c>
      <c r="I201" s="9">
        <f>Model_Data!Y201</f>
        <v/>
      </c>
      <c r="J201" s="9">
        <f>Model_Data!X201</f>
        <v/>
      </c>
      <c r="K201" s="9">
        <f>Model_Data!A201</f>
        <v/>
      </c>
      <c r="L201" s="9">
        <f>Model_Data!Y201</f>
        <v/>
      </c>
      <c r="M201" s="9">
        <f>Model_Data!X201</f>
        <v/>
      </c>
      <c r="N201" s="9">
        <f>-(Model_Data!AC201-Model_Data!F201)*Inputs!$C$12</f>
        <v/>
      </c>
      <c r="O201" s="10" t="n"/>
      <c r="P201" s="9">
        <f>Model_Data!A201</f>
        <v/>
      </c>
      <c r="Q201" s="9">
        <f>Model_Data!P201</f>
        <v/>
      </c>
      <c r="R201" s="9">
        <f>Model_Data!AM201</f>
        <v/>
      </c>
      <c r="S201" s="9">
        <f>Model_Data!Q201</f>
        <v/>
      </c>
      <c r="T201" s="9">
        <f>Model_Data!AN201</f>
        <v/>
      </c>
      <c r="U201" s="10" t="n"/>
      <c r="V201" s="9">
        <f>Model_Data!A201</f>
        <v/>
      </c>
      <c r="W201" s="9">
        <f>Model_Data!B201-Inputs!$C$5</f>
        <v/>
      </c>
      <c r="X201" s="10" t="n"/>
      <c r="Y201" s="9">
        <f>Model_Data!A201</f>
        <v/>
      </c>
      <c r="Z201" s="9">
        <f>0</f>
        <v/>
      </c>
      <c r="AA201" s="9">
        <f>((SQRT((Inputs!$C$52+Inputs!$C$5)^2+Inputs!$C$52^2-2*(Inputs!$C$52+Inputs!$C$5)*Inputs!$C$52*COS(SQRT((Model_Data!A201)^2+Inputs!$C$6^2)/Inputs!$C$52))-Inputs!$C$5)*1000/Inputs!$C$12)</f>
        <v/>
      </c>
      <c r="AB201" s="9">
        <f>Model_Data!F201</f>
        <v/>
      </c>
    </row>
    <row r="202">
      <c r="A202" s="9">
        <f>Model_Data!A202</f>
        <v/>
      </c>
      <c r="B202" s="9">
        <f>0</f>
        <v/>
      </c>
      <c r="C202" s="9">
        <f>((SQRT((Inputs!$C$52+Inputs!$C$5)^2+Inputs!$C$52^2-2*(Inputs!$C$52+Inputs!$C$5)*Inputs!$C$52*COS(SQRT((Model_Data!A202)^2+Inputs!$C$6^2)/Inputs!$C$52))-Inputs!$C$5)*1000/Inputs!$C$12)</f>
        <v/>
      </c>
      <c r="D202" s="9">
        <f>Model_Data!F202</f>
        <v/>
      </c>
      <c r="E202" s="9">
        <f>Model_Data!AC202</f>
        <v/>
      </c>
      <c r="F202" s="10" t="n"/>
      <c r="G202" s="9">
        <f>Model_Data!A202</f>
        <v/>
      </c>
      <c r="H202" s="9">
        <f>Model_Data!Y202</f>
        <v/>
      </c>
      <c r="I202" s="9">
        <f>Model_Data!Y202</f>
        <v/>
      </c>
      <c r="J202" s="9">
        <f>Model_Data!X202</f>
        <v/>
      </c>
      <c r="K202" s="9">
        <f>Model_Data!A202</f>
        <v/>
      </c>
      <c r="L202" s="9">
        <f>Model_Data!Y202</f>
        <v/>
      </c>
      <c r="M202" s="9">
        <f>Model_Data!X202</f>
        <v/>
      </c>
      <c r="N202" s="9">
        <f>-(Model_Data!AC202-Model_Data!F202)*Inputs!$C$12</f>
        <v/>
      </c>
      <c r="O202" s="10" t="n"/>
      <c r="P202" s="9">
        <f>Model_Data!A202</f>
        <v/>
      </c>
      <c r="Q202" s="9">
        <f>Model_Data!P202</f>
        <v/>
      </c>
      <c r="R202" s="9">
        <f>Model_Data!AM202</f>
        <v/>
      </c>
      <c r="S202" s="9">
        <f>Model_Data!Q202</f>
        <v/>
      </c>
      <c r="T202" s="9">
        <f>Model_Data!AN202</f>
        <v/>
      </c>
      <c r="U202" s="10" t="n"/>
      <c r="V202" s="9">
        <f>Model_Data!A202</f>
        <v/>
      </c>
      <c r="W202" s="9">
        <f>Model_Data!B202-Inputs!$C$5</f>
        <v/>
      </c>
      <c r="X202" s="10" t="n"/>
      <c r="Y202" s="9">
        <f>Model_Data!A202</f>
        <v/>
      </c>
      <c r="Z202" s="9">
        <f>0</f>
        <v/>
      </c>
      <c r="AA202" s="9">
        <f>((SQRT((Inputs!$C$52+Inputs!$C$5)^2+Inputs!$C$52^2-2*(Inputs!$C$52+Inputs!$C$5)*Inputs!$C$52*COS(SQRT((Model_Data!A202)^2+Inputs!$C$6^2)/Inputs!$C$52))-Inputs!$C$5)*1000/Inputs!$C$12)</f>
        <v/>
      </c>
      <c r="AB202" s="9">
        <f>Model_Data!F202</f>
        <v/>
      </c>
    </row>
    <row r="203">
      <c r="A203" s="9">
        <f>Model_Data!A203</f>
        <v/>
      </c>
      <c r="B203" s="9">
        <f>0</f>
        <v/>
      </c>
      <c r="C203" s="9">
        <f>((SQRT((Inputs!$C$52+Inputs!$C$5)^2+Inputs!$C$52^2-2*(Inputs!$C$52+Inputs!$C$5)*Inputs!$C$52*COS(SQRT((Model_Data!A203)^2+Inputs!$C$6^2)/Inputs!$C$52))-Inputs!$C$5)*1000/Inputs!$C$12)</f>
        <v/>
      </c>
      <c r="D203" s="9">
        <f>Model_Data!F203</f>
        <v/>
      </c>
      <c r="E203" s="9">
        <f>Model_Data!AC203</f>
        <v/>
      </c>
      <c r="F203" s="10" t="n"/>
      <c r="G203" s="9">
        <f>Model_Data!A203</f>
        <v/>
      </c>
      <c r="H203" s="9">
        <f>Model_Data!Y203</f>
        <v/>
      </c>
      <c r="I203" s="9">
        <f>Model_Data!Y203</f>
        <v/>
      </c>
      <c r="J203" s="9">
        <f>Model_Data!X203</f>
        <v/>
      </c>
      <c r="K203" s="9">
        <f>Model_Data!A203</f>
        <v/>
      </c>
      <c r="L203" s="9">
        <f>Model_Data!Y203</f>
        <v/>
      </c>
      <c r="M203" s="9">
        <f>Model_Data!X203</f>
        <v/>
      </c>
      <c r="N203" s="9">
        <f>-(Model_Data!AC203-Model_Data!F203)*Inputs!$C$12</f>
        <v/>
      </c>
      <c r="O203" s="10" t="n"/>
      <c r="P203" s="9">
        <f>Model_Data!A203</f>
        <v/>
      </c>
      <c r="Q203" s="9">
        <f>Model_Data!P203</f>
        <v/>
      </c>
      <c r="R203" s="9">
        <f>Model_Data!AM203</f>
        <v/>
      </c>
      <c r="S203" s="9">
        <f>Model_Data!Q203</f>
        <v/>
      </c>
      <c r="T203" s="9">
        <f>Model_Data!AN203</f>
        <v/>
      </c>
      <c r="U203" s="10" t="n"/>
      <c r="V203" s="9">
        <f>Model_Data!A203</f>
        <v/>
      </c>
      <c r="W203" s="9">
        <f>Model_Data!B203-Inputs!$C$5</f>
        <v/>
      </c>
      <c r="X203" s="10" t="n"/>
      <c r="Y203" s="9">
        <f>Model_Data!A203</f>
        <v/>
      </c>
      <c r="Z203" s="9">
        <f>0</f>
        <v/>
      </c>
      <c r="AA203" s="9">
        <f>((SQRT((Inputs!$C$52+Inputs!$C$5)^2+Inputs!$C$52^2-2*(Inputs!$C$52+Inputs!$C$5)*Inputs!$C$52*COS(SQRT((Model_Data!A203)^2+Inputs!$C$6^2)/Inputs!$C$52))-Inputs!$C$5)*1000/Inputs!$C$12)</f>
        <v/>
      </c>
      <c r="AB203" s="9">
        <f>Model_Data!F203</f>
        <v/>
      </c>
    </row>
    <row r="204">
      <c r="A204" s="9">
        <f>Model_Data!A204</f>
        <v/>
      </c>
      <c r="B204" s="9">
        <f>0</f>
        <v/>
      </c>
      <c r="C204" s="9">
        <f>((SQRT((Inputs!$C$52+Inputs!$C$5)^2+Inputs!$C$52^2-2*(Inputs!$C$52+Inputs!$C$5)*Inputs!$C$52*COS(SQRT((Model_Data!A204)^2+Inputs!$C$6^2)/Inputs!$C$52))-Inputs!$C$5)*1000/Inputs!$C$12)</f>
        <v/>
      </c>
      <c r="D204" s="9">
        <f>Model_Data!F204</f>
        <v/>
      </c>
      <c r="E204" s="9">
        <f>Model_Data!AC204</f>
        <v/>
      </c>
      <c r="F204" s="10" t="n"/>
      <c r="G204" s="9">
        <f>Model_Data!A204</f>
        <v/>
      </c>
      <c r="H204" s="9">
        <f>Model_Data!Y204</f>
        <v/>
      </c>
      <c r="I204" s="9">
        <f>Model_Data!Y204</f>
        <v/>
      </c>
      <c r="J204" s="9">
        <f>Model_Data!X204</f>
        <v/>
      </c>
      <c r="K204" s="9">
        <f>Model_Data!A204</f>
        <v/>
      </c>
      <c r="L204" s="9">
        <f>Model_Data!Y204</f>
        <v/>
      </c>
      <c r="M204" s="9">
        <f>Model_Data!X204</f>
        <v/>
      </c>
      <c r="N204" s="9">
        <f>-(Model_Data!AC204-Model_Data!F204)*Inputs!$C$12</f>
        <v/>
      </c>
      <c r="O204" s="10" t="n"/>
      <c r="P204" s="9">
        <f>Model_Data!A204</f>
        <v/>
      </c>
      <c r="Q204" s="9">
        <f>Model_Data!P204</f>
        <v/>
      </c>
      <c r="R204" s="9">
        <f>Model_Data!AM204</f>
        <v/>
      </c>
      <c r="S204" s="9">
        <f>Model_Data!Q204</f>
        <v/>
      </c>
      <c r="T204" s="9">
        <f>Model_Data!AN204</f>
        <v/>
      </c>
      <c r="U204" s="10" t="n"/>
      <c r="V204" s="9">
        <f>Model_Data!A204</f>
        <v/>
      </c>
      <c r="W204" s="9">
        <f>Model_Data!B204-Inputs!$C$5</f>
        <v/>
      </c>
      <c r="X204" s="10" t="n"/>
      <c r="Y204" s="9">
        <f>Model_Data!A204</f>
        <v/>
      </c>
      <c r="Z204" s="9">
        <f>0</f>
        <v/>
      </c>
      <c r="AA204" s="9">
        <f>((SQRT((Inputs!$C$52+Inputs!$C$5)^2+Inputs!$C$52^2-2*(Inputs!$C$52+Inputs!$C$5)*Inputs!$C$52*COS(SQRT((Model_Data!A204)^2+Inputs!$C$6^2)/Inputs!$C$52))-Inputs!$C$5)*1000/Inputs!$C$12)</f>
        <v/>
      </c>
      <c r="AB204" s="9">
        <f>Model_Data!F204</f>
        <v/>
      </c>
    </row>
    <row r="205">
      <c r="A205" s="9">
        <f>Model_Data!A205</f>
        <v/>
      </c>
      <c r="B205" s="9">
        <f>0</f>
        <v/>
      </c>
      <c r="C205" s="9">
        <f>((SQRT((Inputs!$C$52+Inputs!$C$5)^2+Inputs!$C$52^2-2*(Inputs!$C$52+Inputs!$C$5)*Inputs!$C$52*COS(SQRT((Model_Data!A205)^2+Inputs!$C$6^2)/Inputs!$C$52))-Inputs!$C$5)*1000/Inputs!$C$12)</f>
        <v/>
      </c>
      <c r="D205" s="9">
        <f>Model_Data!F205</f>
        <v/>
      </c>
      <c r="E205" s="9">
        <f>Model_Data!AC205</f>
        <v/>
      </c>
      <c r="F205" s="10" t="n"/>
      <c r="G205" s="9">
        <f>Model_Data!A205</f>
        <v/>
      </c>
      <c r="H205" s="9">
        <f>Model_Data!Y205</f>
        <v/>
      </c>
      <c r="I205" s="9">
        <f>Model_Data!Y205</f>
        <v/>
      </c>
      <c r="J205" s="9">
        <f>Model_Data!X205</f>
        <v/>
      </c>
      <c r="K205" s="9">
        <f>Model_Data!A205</f>
        <v/>
      </c>
      <c r="L205" s="9">
        <f>Model_Data!Y205</f>
        <v/>
      </c>
      <c r="M205" s="9">
        <f>Model_Data!X205</f>
        <v/>
      </c>
      <c r="N205" s="9">
        <f>-(Model_Data!AC205-Model_Data!F205)*Inputs!$C$12</f>
        <v/>
      </c>
      <c r="O205" s="10" t="n"/>
      <c r="P205" s="9">
        <f>Model_Data!A205</f>
        <v/>
      </c>
      <c r="Q205" s="9">
        <f>Model_Data!P205</f>
        <v/>
      </c>
      <c r="R205" s="9">
        <f>Model_Data!AM205</f>
        <v/>
      </c>
      <c r="S205" s="9">
        <f>Model_Data!Q205</f>
        <v/>
      </c>
      <c r="T205" s="9">
        <f>Model_Data!AN205</f>
        <v/>
      </c>
      <c r="U205" s="10" t="n"/>
      <c r="V205" s="9">
        <f>Model_Data!A205</f>
        <v/>
      </c>
      <c r="W205" s="9">
        <f>Model_Data!B205-Inputs!$C$5</f>
        <v/>
      </c>
      <c r="X205" s="10" t="n"/>
      <c r="Y205" s="9">
        <f>Model_Data!A205</f>
        <v/>
      </c>
      <c r="Z205" s="9">
        <f>0</f>
        <v/>
      </c>
      <c r="AA205" s="9">
        <f>((SQRT((Inputs!$C$52+Inputs!$C$5)^2+Inputs!$C$52^2-2*(Inputs!$C$52+Inputs!$C$5)*Inputs!$C$52*COS(SQRT((Model_Data!A205)^2+Inputs!$C$6^2)/Inputs!$C$52))-Inputs!$C$5)*1000/Inputs!$C$12)</f>
        <v/>
      </c>
      <c r="AB205" s="9">
        <f>Model_Data!F205</f>
        <v/>
      </c>
    </row>
    <row r="206">
      <c r="A206" s="9">
        <f>Model_Data!A206</f>
        <v/>
      </c>
      <c r="B206" s="9">
        <f>0</f>
        <v/>
      </c>
      <c r="C206" s="9">
        <f>((SQRT((Inputs!$C$52+Inputs!$C$5)^2+Inputs!$C$52^2-2*(Inputs!$C$52+Inputs!$C$5)*Inputs!$C$52*COS(SQRT((Model_Data!A206)^2+Inputs!$C$6^2)/Inputs!$C$52))-Inputs!$C$5)*1000/Inputs!$C$12)</f>
        <v/>
      </c>
      <c r="D206" s="9">
        <f>Model_Data!F206</f>
        <v/>
      </c>
      <c r="E206" s="9">
        <f>Model_Data!AC206</f>
        <v/>
      </c>
      <c r="F206" s="10" t="n"/>
      <c r="G206" s="9">
        <f>Model_Data!A206</f>
        <v/>
      </c>
      <c r="H206" s="9">
        <f>Model_Data!Y206</f>
        <v/>
      </c>
      <c r="I206" s="9">
        <f>Model_Data!Y206</f>
        <v/>
      </c>
      <c r="J206" s="9">
        <f>Model_Data!X206</f>
        <v/>
      </c>
      <c r="K206" s="9">
        <f>Model_Data!A206</f>
        <v/>
      </c>
      <c r="L206" s="9">
        <f>Model_Data!Y206</f>
        <v/>
      </c>
      <c r="M206" s="9">
        <f>Model_Data!X206</f>
        <v/>
      </c>
      <c r="N206" s="9">
        <f>-(Model_Data!AC206-Model_Data!F206)*Inputs!$C$12</f>
        <v/>
      </c>
      <c r="O206" s="10" t="n"/>
      <c r="P206" s="9">
        <f>Model_Data!A206</f>
        <v/>
      </c>
      <c r="Q206" s="9">
        <f>Model_Data!P206</f>
        <v/>
      </c>
      <c r="R206" s="9">
        <f>Model_Data!AM206</f>
        <v/>
      </c>
      <c r="S206" s="9">
        <f>Model_Data!Q206</f>
        <v/>
      </c>
      <c r="T206" s="9">
        <f>Model_Data!AN206</f>
        <v/>
      </c>
      <c r="U206" s="10" t="n"/>
      <c r="V206" s="9">
        <f>Model_Data!A206</f>
        <v/>
      </c>
      <c r="W206" s="9">
        <f>Model_Data!B206-Inputs!$C$5</f>
        <v/>
      </c>
      <c r="X206" s="10" t="n"/>
      <c r="Y206" s="9">
        <f>Model_Data!A206</f>
        <v/>
      </c>
      <c r="Z206" s="9">
        <f>0</f>
        <v/>
      </c>
      <c r="AA206" s="9">
        <f>((SQRT((Inputs!$C$52+Inputs!$C$5)^2+Inputs!$C$52^2-2*(Inputs!$C$52+Inputs!$C$5)*Inputs!$C$52*COS(SQRT((Model_Data!A206)^2+Inputs!$C$6^2)/Inputs!$C$52))-Inputs!$C$5)*1000/Inputs!$C$12)</f>
        <v/>
      </c>
      <c r="AB206" s="9">
        <f>Model_Data!F206</f>
        <v/>
      </c>
    </row>
    <row r="207">
      <c r="A207" s="9">
        <f>Model_Data!A207</f>
        <v/>
      </c>
      <c r="B207" s="9">
        <f>0</f>
        <v/>
      </c>
      <c r="C207" s="9">
        <f>((SQRT((Inputs!$C$52+Inputs!$C$5)^2+Inputs!$C$52^2-2*(Inputs!$C$52+Inputs!$C$5)*Inputs!$C$52*COS(SQRT((Model_Data!A207)^2+Inputs!$C$6^2)/Inputs!$C$52))-Inputs!$C$5)*1000/Inputs!$C$12)</f>
        <v/>
      </c>
      <c r="D207" s="9">
        <f>Model_Data!F207</f>
        <v/>
      </c>
      <c r="E207" s="9">
        <f>Model_Data!AC207</f>
        <v/>
      </c>
      <c r="F207" s="10" t="n"/>
      <c r="G207" s="9">
        <f>Model_Data!A207</f>
        <v/>
      </c>
      <c r="H207" s="9">
        <f>Model_Data!Y207</f>
        <v/>
      </c>
      <c r="I207" s="9">
        <f>Model_Data!Y207</f>
        <v/>
      </c>
      <c r="J207" s="9">
        <f>Model_Data!X207</f>
        <v/>
      </c>
      <c r="K207" s="9">
        <f>Model_Data!A207</f>
        <v/>
      </c>
      <c r="L207" s="9">
        <f>Model_Data!Y207</f>
        <v/>
      </c>
      <c r="M207" s="9">
        <f>Model_Data!X207</f>
        <v/>
      </c>
      <c r="N207" s="9">
        <f>-(Model_Data!AC207-Model_Data!F207)*Inputs!$C$12</f>
        <v/>
      </c>
      <c r="O207" s="10" t="n"/>
      <c r="P207" s="9">
        <f>Model_Data!A207</f>
        <v/>
      </c>
      <c r="Q207" s="9">
        <f>Model_Data!P207</f>
        <v/>
      </c>
      <c r="R207" s="9">
        <f>Model_Data!AM207</f>
        <v/>
      </c>
      <c r="S207" s="9">
        <f>Model_Data!Q207</f>
        <v/>
      </c>
      <c r="T207" s="9">
        <f>Model_Data!AN207</f>
        <v/>
      </c>
      <c r="U207" s="10" t="n"/>
      <c r="V207" s="9">
        <f>Model_Data!A207</f>
        <v/>
      </c>
      <c r="W207" s="9">
        <f>Model_Data!B207-Inputs!$C$5</f>
        <v/>
      </c>
      <c r="X207" s="10" t="n"/>
      <c r="Y207" s="9">
        <f>Model_Data!A207</f>
        <v/>
      </c>
      <c r="Z207" s="9">
        <f>0</f>
        <v/>
      </c>
      <c r="AA207" s="9">
        <f>((SQRT((Inputs!$C$52+Inputs!$C$5)^2+Inputs!$C$52^2-2*(Inputs!$C$52+Inputs!$C$5)*Inputs!$C$52*COS(SQRT((Model_Data!A207)^2+Inputs!$C$6^2)/Inputs!$C$52))-Inputs!$C$5)*1000/Inputs!$C$12)</f>
        <v/>
      </c>
      <c r="AB207" s="9">
        <f>Model_Data!F207</f>
        <v/>
      </c>
    </row>
    <row r="208">
      <c r="A208" s="9">
        <f>Model_Data!A208</f>
        <v/>
      </c>
      <c r="B208" s="9">
        <f>0</f>
        <v/>
      </c>
      <c r="C208" s="9">
        <f>((SQRT((Inputs!$C$52+Inputs!$C$5)^2+Inputs!$C$52^2-2*(Inputs!$C$52+Inputs!$C$5)*Inputs!$C$52*COS(SQRT((Model_Data!A208)^2+Inputs!$C$6^2)/Inputs!$C$52))-Inputs!$C$5)*1000/Inputs!$C$12)</f>
        <v/>
      </c>
      <c r="D208" s="9">
        <f>Model_Data!F208</f>
        <v/>
      </c>
      <c r="E208" s="9">
        <f>Model_Data!AC208</f>
        <v/>
      </c>
      <c r="F208" s="10" t="n"/>
      <c r="G208" s="9">
        <f>Model_Data!A208</f>
        <v/>
      </c>
      <c r="H208" s="9">
        <f>Model_Data!Y208</f>
        <v/>
      </c>
      <c r="I208" s="9">
        <f>Model_Data!Y208</f>
        <v/>
      </c>
      <c r="J208" s="9">
        <f>Model_Data!X208</f>
        <v/>
      </c>
      <c r="K208" s="9">
        <f>Model_Data!A208</f>
        <v/>
      </c>
      <c r="L208" s="9">
        <f>Model_Data!Y208</f>
        <v/>
      </c>
      <c r="M208" s="9">
        <f>Model_Data!X208</f>
        <v/>
      </c>
      <c r="N208" s="9">
        <f>-(Model_Data!AC208-Model_Data!F208)*Inputs!$C$12</f>
        <v/>
      </c>
      <c r="O208" s="10" t="n"/>
      <c r="P208" s="9">
        <f>Model_Data!A208</f>
        <v/>
      </c>
      <c r="Q208" s="9">
        <f>Model_Data!P208</f>
        <v/>
      </c>
      <c r="R208" s="9">
        <f>Model_Data!AM208</f>
        <v/>
      </c>
      <c r="S208" s="9">
        <f>Model_Data!Q208</f>
        <v/>
      </c>
      <c r="T208" s="9">
        <f>Model_Data!AN208</f>
        <v/>
      </c>
      <c r="U208" s="10" t="n"/>
      <c r="V208" s="9">
        <f>Model_Data!A208</f>
        <v/>
      </c>
      <c r="W208" s="9">
        <f>Model_Data!B208-Inputs!$C$5</f>
        <v/>
      </c>
      <c r="X208" s="10" t="n"/>
      <c r="Y208" s="9">
        <f>Model_Data!A208</f>
        <v/>
      </c>
      <c r="Z208" s="9">
        <f>0</f>
        <v/>
      </c>
      <c r="AA208" s="9">
        <f>((SQRT((Inputs!$C$52+Inputs!$C$5)^2+Inputs!$C$52^2-2*(Inputs!$C$52+Inputs!$C$5)*Inputs!$C$52*COS(SQRT((Model_Data!A208)^2+Inputs!$C$6^2)/Inputs!$C$52))-Inputs!$C$5)*1000/Inputs!$C$12)</f>
        <v/>
      </c>
      <c r="AB208" s="9">
        <f>Model_Data!F208</f>
        <v/>
      </c>
    </row>
    <row r="209">
      <c r="A209" s="9">
        <f>Model_Data!A209</f>
        <v/>
      </c>
      <c r="B209" s="9">
        <f>0</f>
        <v/>
      </c>
      <c r="C209" s="9">
        <f>((SQRT((Inputs!$C$52+Inputs!$C$5)^2+Inputs!$C$52^2-2*(Inputs!$C$52+Inputs!$C$5)*Inputs!$C$52*COS(SQRT((Model_Data!A209)^2+Inputs!$C$6^2)/Inputs!$C$52))-Inputs!$C$5)*1000/Inputs!$C$12)</f>
        <v/>
      </c>
      <c r="D209" s="9">
        <f>Model_Data!F209</f>
        <v/>
      </c>
      <c r="E209" s="9">
        <f>Model_Data!AC209</f>
        <v/>
      </c>
      <c r="F209" s="10" t="n"/>
      <c r="G209" s="9">
        <f>Model_Data!A209</f>
        <v/>
      </c>
      <c r="H209" s="9">
        <f>Model_Data!Y209</f>
        <v/>
      </c>
      <c r="I209" s="9">
        <f>Model_Data!Y209</f>
        <v/>
      </c>
      <c r="J209" s="9">
        <f>Model_Data!X209</f>
        <v/>
      </c>
      <c r="K209" s="9">
        <f>Model_Data!A209</f>
        <v/>
      </c>
      <c r="L209" s="9">
        <f>Model_Data!Y209</f>
        <v/>
      </c>
      <c r="M209" s="9">
        <f>Model_Data!X209</f>
        <v/>
      </c>
      <c r="N209" s="9">
        <f>-(Model_Data!AC209-Model_Data!F209)*Inputs!$C$12</f>
        <v/>
      </c>
      <c r="O209" s="10" t="n"/>
      <c r="P209" s="9">
        <f>Model_Data!A209</f>
        <v/>
      </c>
      <c r="Q209" s="9">
        <f>Model_Data!P209</f>
        <v/>
      </c>
      <c r="R209" s="9">
        <f>Model_Data!AM209</f>
        <v/>
      </c>
      <c r="S209" s="9">
        <f>Model_Data!Q209</f>
        <v/>
      </c>
      <c r="T209" s="9">
        <f>Model_Data!AN209</f>
        <v/>
      </c>
      <c r="U209" s="10" t="n"/>
      <c r="V209" s="9">
        <f>Model_Data!A209</f>
        <v/>
      </c>
      <c r="W209" s="9">
        <f>Model_Data!B209-Inputs!$C$5</f>
        <v/>
      </c>
      <c r="X209" s="10" t="n"/>
      <c r="Y209" s="9">
        <f>Model_Data!A209</f>
        <v/>
      </c>
      <c r="Z209" s="9">
        <f>0</f>
        <v/>
      </c>
      <c r="AA209" s="9">
        <f>((SQRT((Inputs!$C$52+Inputs!$C$5)^2+Inputs!$C$52^2-2*(Inputs!$C$52+Inputs!$C$5)*Inputs!$C$52*COS(SQRT((Model_Data!A209)^2+Inputs!$C$6^2)/Inputs!$C$52))-Inputs!$C$5)*1000/Inputs!$C$12)</f>
        <v/>
      </c>
      <c r="AB209" s="9">
        <f>Model_Data!F209</f>
        <v/>
      </c>
    </row>
    <row r="210">
      <c r="A210" s="9">
        <f>Model_Data!A210</f>
        <v/>
      </c>
      <c r="B210" s="9">
        <f>0</f>
        <v/>
      </c>
      <c r="C210" s="9">
        <f>((SQRT((Inputs!$C$52+Inputs!$C$5)^2+Inputs!$C$52^2-2*(Inputs!$C$52+Inputs!$C$5)*Inputs!$C$52*COS(SQRT((Model_Data!A210)^2+Inputs!$C$6^2)/Inputs!$C$52))-Inputs!$C$5)*1000/Inputs!$C$12)</f>
        <v/>
      </c>
      <c r="D210" s="9">
        <f>Model_Data!F210</f>
        <v/>
      </c>
      <c r="E210" s="9">
        <f>Model_Data!AC210</f>
        <v/>
      </c>
      <c r="F210" s="10" t="n"/>
      <c r="G210" s="9">
        <f>Model_Data!A210</f>
        <v/>
      </c>
      <c r="H210" s="9">
        <f>Model_Data!Y210</f>
        <v/>
      </c>
      <c r="I210" s="9">
        <f>Model_Data!Y210</f>
        <v/>
      </c>
      <c r="J210" s="9">
        <f>Model_Data!X210</f>
        <v/>
      </c>
      <c r="K210" s="9">
        <f>Model_Data!A210</f>
        <v/>
      </c>
      <c r="L210" s="9">
        <f>Model_Data!Y210</f>
        <v/>
      </c>
      <c r="M210" s="9">
        <f>Model_Data!X210</f>
        <v/>
      </c>
      <c r="N210" s="9">
        <f>-(Model_Data!AC210-Model_Data!F210)*Inputs!$C$12</f>
        <v/>
      </c>
      <c r="O210" s="10" t="n"/>
      <c r="P210" s="9">
        <f>Model_Data!A210</f>
        <v/>
      </c>
      <c r="Q210" s="9">
        <f>Model_Data!P210</f>
        <v/>
      </c>
      <c r="R210" s="9">
        <f>Model_Data!AM210</f>
        <v/>
      </c>
      <c r="S210" s="9">
        <f>Model_Data!Q210</f>
        <v/>
      </c>
      <c r="T210" s="9">
        <f>Model_Data!AN210</f>
        <v/>
      </c>
      <c r="U210" s="10" t="n"/>
      <c r="V210" s="9">
        <f>Model_Data!A210</f>
        <v/>
      </c>
      <c r="W210" s="9">
        <f>Model_Data!B210-Inputs!$C$5</f>
        <v/>
      </c>
      <c r="X210" s="10" t="n"/>
      <c r="Y210" s="9">
        <f>Model_Data!A210</f>
        <v/>
      </c>
      <c r="Z210" s="9">
        <f>0</f>
        <v/>
      </c>
      <c r="AA210" s="9">
        <f>((SQRT((Inputs!$C$52+Inputs!$C$5)^2+Inputs!$C$52^2-2*(Inputs!$C$52+Inputs!$C$5)*Inputs!$C$52*COS(SQRT((Model_Data!A210)^2+Inputs!$C$6^2)/Inputs!$C$52))-Inputs!$C$5)*1000/Inputs!$C$12)</f>
        <v/>
      </c>
      <c r="AB210" s="9">
        <f>Model_Data!F210</f>
        <v/>
      </c>
    </row>
    <row r="211">
      <c r="A211" s="9">
        <f>Model_Data!A211</f>
        <v/>
      </c>
      <c r="B211" s="9">
        <f>0</f>
        <v/>
      </c>
      <c r="C211" s="9">
        <f>((SQRT((Inputs!$C$52+Inputs!$C$5)^2+Inputs!$C$52^2-2*(Inputs!$C$52+Inputs!$C$5)*Inputs!$C$52*COS(SQRT((Model_Data!A211)^2+Inputs!$C$6^2)/Inputs!$C$52))-Inputs!$C$5)*1000/Inputs!$C$12)</f>
        <v/>
      </c>
      <c r="D211" s="9">
        <f>Model_Data!F211</f>
        <v/>
      </c>
      <c r="E211" s="9">
        <f>Model_Data!AC211</f>
        <v/>
      </c>
      <c r="F211" s="10" t="n"/>
      <c r="G211" s="9">
        <f>Model_Data!A211</f>
        <v/>
      </c>
      <c r="H211" s="9">
        <f>Model_Data!Y211</f>
        <v/>
      </c>
      <c r="I211" s="9">
        <f>Model_Data!Y211</f>
        <v/>
      </c>
      <c r="J211" s="9">
        <f>Model_Data!X211</f>
        <v/>
      </c>
      <c r="K211" s="9">
        <f>Model_Data!A211</f>
        <v/>
      </c>
      <c r="L211" s="9">
        <f>Model_Data!Y211</f>
        <v/>
      </c>
      <c r="M211" s="9">
        <f>Model_Data!X211</f>
        <v/>
      </c>
      <c r="N211" s="9">
        <f>-(Model_Data!AC211-Model_Data!F211)*Inputs!$C$12</f>
        <v/>
      </c>
      <c r="O211" s="10" t="n"/>
      <c r="P211" s="9">
        <f>Model_Data!A211</f>
        <v/>
      </c>
      <c r="Q211" s="9">
        <f>Model_Data!P211</f>
        <v/>
      </c>
      <c r="R211" s="9">
        <f>Model_Data!AM211</f>
        <v/>
      </c>
      <c r="S211" s="9">
        <f>Model_Data!Q211</f>
        <v/>
      </c>
      <c r="T211" s="9">
        <f>Model_Data!AN211</f>
        <v/>
      </c>
      <c r="U211" s="10" t="n"/>
      <c r="V211" s="9">
        <f>Model_Data!A211</f>
        <v/>
      </c>
      <c r="W211" s="9">
        <f>Model_Data!B211-Inputs!$C$5</f>
        <v/>
      </c>
      <c r="X211" s="10" t="n"/>
      <c r="Y211" s="9">
        <f>Model_Data!A211</f>
        <v/>
      </c>
      <c r="Z211" s="9">
        <f>0</f>
        <v/>
      </c>
      <c r="AA211" s="9">
        <f>((SQRT((Inputs!$C$52+Inputs!$C$5)^2+Inputs!$C$52^2-2*(Inputs!$C$52+Inputs!$C$5)*Inputs!$C$52*COS(SQRT((Model_Data!A211)^2+Inputs!$C$6^2)/Inputs!$C$52))-Inputs!$C$5)*1000/Inputs!$C$12)</f>
        <v/>
      </c>
      <c r="AB211" s="9">
        <f>Model_Data!F211</f>
        <v/>
      </c>
    </row>
    <row r="212">
      <c r="A212" s="9">
        <f>Model_Data!A212</f>
        <v/>
      </c>
      <c r="B212" s="9">
        <f>0</f>
        <v/>
      </c>
      <c r="C212" s="9">
        <f>((SQRT((Inputs!$C$52+Inputs!$C$5)^2+Inputs!$C$52^2-2*(Inputs!$C$52+Inputs!$C$5)*Inputs!$C$52*COS(SQRT((Model_Data!A212)^2+Inputs!$C$6^2)/Inputs!$C$52))-Inputs!$C$5)*1000/Inputs!$C$12)</f>
        <v/>
      </c>
      <c r="D212" s="9">
        <f>Model_Data!F212</f>
        <v/>
      </c>
      <c r="E212" s="9">
        <f>Model_Data!AC212</f>
        <v/>
      </c>
      <c r="F212" s="10" t="n"/>
      <c r="G212" s="9">
        <f>Model_Data!A212</f>
        <v/>
      </c>
      <c r="H212" s="9">
        <f>Model_Data!Y212</f>
        <v/>
      </c>
      <c r="I212" s="9">
        <f>Model_Data!Y212</f>
        <v/>
      </c>
      <c r="J212" s="9">
        <f>Model_Data!X212</f>
        <v/>
      </c>
      <c r="K212" s="9">
        <f>Model_Data!A212</f>
        <v/>
      </c>
      <c r="L212" s="9">
        <f>Model_Data!Y212</f>
        <v/>
      </c>
      <c r="M212" s="9">
        <f>Model_Data!X212</f>
        <v/>
      </c>
      <c r="N212" s="9">
        <f>-(Model_Data!AC212-Model_Data!F212)*Inputs!$C$12</f>
        <v/>
      </c>
      <c r="O212" s="10" t="n"/>
      <c r="P212" s="9">
        <f>Model_Data!A212</f>
        <v/>
      </c>
      <c r="Q212" s="9">
        <f>Model_Data!P212</f>
        <v/>
      </c>
      <c r="R212" s="9">
        <f>Model_Data!AM212</f>
        <v/>
      </c>
      <c r="S212" s="9">
        <f>Model_Data!Q212</f>
        <v/>
      </c>
      <c r="T212" s="9">
        <f>Model_Data!AN212</f>
        <v/>
      </c>
      <c r="U212" s="10" t="n"/>
      <c r="V212" s="9">
        <f>Model_Data!A212</f>
        <v/>
      </c>
      <c r="W212" s="9">
        <f>Model_Data!B212-Inputs!$C$5</f>
        <v/>
      </c>
      <c r="X212" s="10" t="n"/>
      <c r="Y212" s="9">
        <f>Model_Data!A212</f>
        <v/>
      </c>
      <c r="Z212" s="9">
        <f>0</f>
        <v/>
      </c>
      <c r="AA212" s="9">
        <f>((SQRT((Inputs!$C$52+Inputs!$C$5)^2+Inputs!$C$52^2-2*(Inputs!$C$52+Inputs!$C$5)*Inputs!$C$52*COS(SQRT((Model_Data!A212)^2+Inputs!$C$6^2)/Inputs!$C$52))-Inputs!$C$5)*1000/Inputs!$C$12)</f>
        <v/>
      </c>
      <c r="AB212" s="9">
        <f>Model_Data!F212</f>
        <v/>
      </c>
    </row>
    <row r="213">
      <c r="A213" s="9">
        <f>Model_Data!A213</f>
        <v/>
      </c>
      <c r="B213" s="9">
        <f>0</f>
        <v/>
      </c>
      <c r="C213" s="9">
        <f>((SQRT((Inputs!$C$52+Inputs!$C$5)^2+Inputs!$C$52^2-2*(Inputs!$C$52+Inputs!$C$5)*Inputs!$C$52*COS(SQRT((Model_Data!A213)^2+Inputs!$C$6^2)/Inputs!$C$52))-Inputs!$C$5)*1000/Inputs!$C$12)</f>
        <v/>
      </c>
      <c r="D213" s="9">
        <f>Model_Data!F213</f>
        <v/>
      </c>
      <c r="E213" s="9">
        <f>Model_Data!AC213</f>
        <v/>
      </c>
      <c r="F213" s="10" t="n"/>
      <c r="G213" s="9">
        <f>Model_Data!A213</f>
        <v/>
      </c>
      <c r="H213" s="9">
        <f>Model_Data!Y213</f>
        <v/>
      </c>
      <c r="I213" s="9">
        <f>Model_Data!Y213</f>
        <v/>
      </c>
      <c r="J213" s="9">
        <f>Model_Data!X213</f>
        <v/>
      </c>
      <c r="K213" s="9">
        <f>Model_Data!A213</f>
        <v/>
      </c>
      <c r="L213" s="9">
        <f>Model_Data!Y213</f>
        <v/>
      </c>
      <c r="M213" s="9">
        <f>Model_Data!X213</f>
        <v/>
      </c>
      <c r="N213" s="9">
        <f>-(Model_Data!AC213-Model_Data!F213)*Inputs!$C$12</f>
        <v/>
      </c>
      <c r="O213" s="10" t="n"/>
      <c r="P213" s="9">
        <f>Model_Data!A213</f>
        <v/>
      </c>
      <c r="Q213" s="9">
        <f>Model_Data!P213</f>
        <v/>
      </c>
      <c r="R213" s="9">
        <f>Model_Data!AM213</f>
        <v/>
      </c>
      <c r="S213" s="9">
        <f>Model_Data!Q213</f>
        <v/>
      </c>
      <c r="T213" s="9">
        <f>Model_Data!AN213</f>
        <v/>
      </c>
      <c r="U213" s="10" t="n"/>
      <c r="V213" s="9">
        <f>Model_Data!A213</f>
        <v/>
      </c>
      <c r="W213" s="9">
        <f>Model_Data!B213-Inputs!$C$5</f>
        <v/>
      </c>
      <c r="X213" s="10" t="n"/>
      <c r="Y213" s="9">
        <f>Model_Data!A213</f>
        <v/>
      </c>
      <c r="Z213" s="9">
        <f>0</f>
        <v/>
      </c>
      <c r="AA213" s="9">
        <f>((SQRT((Inputs!$C$52+Inputs!$C$5)^2+Inputs!$C$52^2-2*(Inputs!$C$52+Inputs!$C$5)*Inputs!$C$52*COS(SQRT((Model_Data!A213)^2+Inputs!$C$6^2)/Inputs!$C$52))-Inputs!$C$5)*1000/Inputs!$C$12)</f>
        <v/>
      </c>
      <c r="AB213" s="9">
        <f>Model_Data!F213</f>
        <v/>
      </c>
    </row>
    <row r="214">
      <c r="A214" s="9">
        <f>Model_Data!A214</f>
        <v/>
      </c>
      <c r="B214" s="9">
        <f>0</f>
        <v/>
      </c>
      <c r="C214" s="9">
        <f>((SQRT((Inputs!$C$52+Inputs!$C$5)^2+Inputs!$C$52^2-2*(Inputs!$C$52+Inputs!$C$5)*Inputs!$C$52*COS(SQRT((Model_Data!A214)^2+Inputs!$C$6^2)/Inputs!$C$52))-Inputs!$C$5)*1000/Inputs!$C$12)</f>
        <v/>
      </c>
      <c r="D214" s="9">
        <f>Model_Data!F214</f>
        <v/>
      </c>
      <c r="E214" s="9">
        <f>Model_Data!AC214</f>
        <v/>
      </c>
      <c r="F214" s="10" t="n"/>
      <c r="G214" s="9">
        <f>Model_Data!A214</f>
        <v/>
      </c>
      <c r="H214" s="9">
        <f>Model_Data!Y214</f>
        <v/>
      </c>
      <c r="I214" s="9">
        <f>Model_Data!Y214</f>
        <v/>
      </c>
      <c r="J214" s="9">
        <f>Model_Data!X214</f>
        <v/>
      </c>
      <c r="K214" s="9">
        <f>Model_Data!A214</f>
        <v/>
      </c>
      <c r="L214" s="9">
        <f>Model_Data!Y214</f>
        <v/>
      </c>
      <c r="M214" s="9">
        <f>Model_Data!X214</f>
        <v/>
      </c>
      <c r="N214" s="9">
        <f>-(Model_Data!AC214-Model_Data!F214)*Inputs!$C$12</f>
        <v/>
      </c>
      <c r="O214" s="10" t="n"/>
      <c r="P214" s="9">
        <f>Model_Data!A214</f>
        <v/>
      </c>
      <c r="Q214" s="9">
        <f>Model_Data!P214</f>
        <v/>
      </c>
      <c r="R214" s="9">
        <f>Model_Data!AM214</f>
        <v/>
      </c>
      <c r="S214" s="9">
        <f>Model_Data!Q214</f>
        <v/>
      </c>
      <c r="T214" s="9">
        <f>Model_Data!AN214</f>
        <v/>
      </c>
      <c r="U214" s="10" t="n"/>
      <c r="V214" s="9">
        <f>Model_Data!A214</f>
        <v/>
      </c>
      <c r="W214" s="9">
        <f>Model_Data!B214-Inputs!$C$5</f>
        <v/>
      </c>
      <c r="X214" s="10" t="n"/>
      <c r="Y214" s="9">
        <f>Model_Data!A214</f>
        <v/>
      </c>
      <c r="Z214" s="9">
        <f>0</f>
        <v/>
      </c>
      <c r="AA214" s="9">
        <f>((SQRT((Inputs!$C$52+Inputs!$C$5)^2+Inputs!$C$52^2-2*(Inputs!$C$52+Inputs!$C$5)*Inputs!$C$52*COS(SQRT((Model_Data!A214)^2+Inputs!$C$6^2)/Inputs!$C$52))-Inputs!$C$5)*1000/Inputs!$C$12)</f>
        <v/>
      </c>
      <c r="AB214" s="9">
        <f>Model_Data!F214</f>
        <v/>
      </c>
    </row>
    <row r="215">
      <c r="A215" s="9">
        <f>Model_Data!A215</f>
        <v/>
      </c>
      <c r="B215" s="9">
        <f>0</f>
        <v/>
      </c>
      <c r="C215" s="9">
        <f>((SQRT((Inputs!$C$52+Inputs!$C$5)^2+Inputs!$C$52^2-2*(Inputs!$C$52+Inputs!$C$5)*Inputs!$C$52*COS(SQRT((Model_Data!A215)^2+Inputs!$C$6^2)/Inputs!$C$52))-Inputs!$C$5)*1000/Inputs!$C$12)</f>
        <v/>
      </c>
      <c r="D215" s="9">
        <f>Model_Data!F215</f>
        <v/>
      </c>
      <c r="E215" s="9">
        <f>Model_Data!AC215</f>
        <v/>
      </c>
      <c r="F215" s="10" t="n"/>
      <c r="G215" s="9">
        <f>Model_Data!A215</f>
        <v/>
      </c>
      <c r="H215" s="9">
        <f>Model_Data!Y215</f>
        <v/>
      </c>
      <c r="I215" s="9">
        <f>Model_Data!Y215</f>
        <v/>
      </c>
      <c r="J215" s="9">
        <f>Model_Data!X215</f>
        <v/>
      </c>
      <c r="K215" s="9">
        <f>Model_Data!A215</f>
        <v/>
      </c>
      <c r="L215" s="9">
        <f>Model_Data!Y215</f>
        <v/>
      </c>
      <c r="M215" s="9">
        <f>Model_Data!X215</f>
        <v/>
      </c>
      <c r="N215" s="9">
        <f>-(Model_Data!AC215-Model_Data!F215)*Inputs!$C$12</f>
        <v/>
      </c>
      <c r="O215" s="10" t="n"/>
      <c r="P215" s="9">
        <f>Model_Data!A215</f>
        <v/>
      </c>
      <c r="Q215" s="9">
        <f>Model_Data!P215</f>
        <v/>
      </c>
      <c r="R215" s="9">
        <f>Model_Data!AM215</f>
        <v/>
      </c>
      <c r="S215" s="9">
        <f>Model_Data!Q215</f>
        <v/>
      </c>
      <c r="T215" s="9">
        <f>Model_Data!AN215</f>
        <v/>
      </c>
      <c r="U215" s="10" t="n"/>
      <c r="V215" s="9">
        <f>Model_Data!A215</f>
        <v/>
      </c>
      <c r="W215" s="9">
        <f>Model_Data!B215-Inputs!$C$5</f>
        <v/>
      </c>
      <c r="X215" s="10" t="n"/>
      <c r="Y215" s="9">
        <f>Model_Data!A215</f>
        <v/>
      </c>
      <c r="Z215" s="9">
        <f>0</f>
        <v/>
      </c>
      <c r="AA215" s="9">
        <f>((SQRT((Inputs!$C$52+Inputs!$C$5)^2+Inputs!$C$52^2-2*(Inputs!$C$52+Inputs!$C$5)*Inputs!$C$52*COS(SQRT((Model_Data!A215)^2+Inputs!$C$6^2)/Inputs!$C$52))-Inputs!$C$5)*1000/Inputs!$C$12)</f>
        <v/>
      </c>
      <c r="AB215" s="9">
        <f>Model_Data!F215</f>
        <v/>
      </c>
    </row>
    <row r="216">
      <c r="A216" s="9">
        <f>Model_Data!A216</f>
        <v/>
      </c>
      <c r="B216" s="9">
        <f>0</f>
        <v/>
      </c>
      <c r="C216" s="9">
        <f>((SQRT((Inputs!$C$52+Inputs!$C$5)^2+Inputs!$C$52^2-2*(Inputs!$C$52+Inputs!$C$5)*Inputs!$C$52*COS(SQRT((Model_Data!A216)^2+Inputs!$C$6^2)/Inputs!$C$52))-Inputs!$C$5)*1000/Inputs!$C$12)</f>
        <v/>
      </c>
      <c r="D216" s="9">
        <f>Model_Data!F216</f>
        <v/>
      </c>
      <c r="E216" s="9">
        <f>Model_Data!AC216</f>
        <v/>
      </c>
      <c r="F216" s="10" t="n"/>
      <c r="G216" s="9">
        <f>Model_Data!A216</f>
        <v/>
      </c>
      <c r="H216" s="9">
        <f>Model_Data!Y216</f>
        <v/>
      </c>
      <c r="I216" s="9">
        <f>Model_Data!Y216</f>
        <v/>
      </c>
      <c r="J216" s="9">
        <f>Model_Data!X216</f>
        <v/>
      </c>
      <c r="K216" s="9">
        <f>Model_Data!A216</f>
        <v/>
      </c>
      <c r="L216" s="9">
        <f>Model_Data!Y216</f>
        <v/>
      </c>
      <c r="M216" s="9">
        <f>Model_Data!X216</f>
        <v/>
      </c>
      <c r="N216" s="9">
        <f>-(Model_Data!AC216-Model_Data!F216)*Inputs!$C$12</f>
        <v/>
      </c>
      <c r="O216" s="10" t="n"/>
      <c r="P216" s="9">
        <f>Model_Data!A216</f>
        <v/>
      </c>
      <c r="Q216" s="9">
        <f>Model_Data!P216</f>
        <v/>
      </c>
      <c r="R216" s="9">
        <f>Model_Data!AM216</f>
        <v/>
      </c>
      <c r="S216" s="9">
        <f>Model_Data!Q216</f>
        <v/>
      </c>
      <c r="T216" s="9">
        <f>Model_Data!AN216</f>
        <v/>
      </c>
      <c r="U216" s="10" t="n"/>
      <c r="V216" s="9">
        <f>Model_Data!A216</f>
        <v/>
      </c>
      <c r="W216" s="9">
        <f>Model_Data!B216-Inputs!$C$5</f>
        <v/>
      </c>
      <c r="X216" s="10" t="n"/>
      <c r="Y216" s="9">
        <f>Model_Data!A216</f>
        <v/>
      </c>
      <c r="Z216" s="9">
        <f>0</f>
        <v/>
      </c>
      <c r="AA216" s="9">
        <f>((SQRT((Inputs!$C$52+Inputs!$C$5)^2+Inputs!$C$52^2-2*(Inputs!$C$52+Inputs!$C$5)*Inputs!$C$52*COS(SQRT((Model_Data!A216)^2+Inputs!$C$6^2)/Inputs!$C$52))-Inputs!$C$5)*1000/Inputs!$C$12)</f>
        <v/>
      </c>
      <c r="AB216" s="9">
        <f>Model_Data!F216</f>
        <v/>
      </c>
    </row>
    <row r="217">
      <c r="A217" s="9">
        <f>Model_Data!A217</f>
        <v/>
      </c>
      <c r="B217" s="9">
        <f>0</f>
        <v/>
      </c>
      <c r="C217" s="9">
        <f>((SQRT((Inputs!$C$52+Inputs!$C$5)^2+Inputs!$C$52^2-2*(Inputs!$C$52+Inputs!$C$5)*Inputs!$C$52*COS(SQRT((Model_Data!A217)^2+Inputs!$C$6^2)/Inputs!$C$52))-Inputs!$C$5)*1000/Inputs!$C$12)</f>
        <v/>
      </c>
      <c r="D217" s="9">
        <f>Model_Data!F217</f>
        <v/>
      </c>
      <c r="E217" s="9">
        <f>Model_Data!AC217</f>
        <v/>
      </c>
      <c r="F217" s="10" t="n"/>
      <c r="G217" s="9">
        <f>Model_Data!A217</f>
        <v/>
      </c>
      <c r="H217" s="9">
        <f>Model_Data!Y217</f>
        <v/>
      </c>
      <c r="I217" s="9">
        <f>Model_Data!Y217</f>
        <v/>
      </c>
      <c r="J217" s="9">
        <f>Model_Data!X217</f>
        <v/>
      </c>
      <c r="K217" s="9">
        <f>Model_Data!A217</f>
        <v/>
      </c>
      <c r="L217" s="9">
        <f>Model_Data!Y217</f>
        <v/>
      </c>
      <c r="M217" s="9">
        <f>Model_Data!X217</f>
        <v/>
      </c>
      <c r="N217" s="9">
        <f>-(Model_Data!AC217-Model_Data!F217)*Inputs!$C$12</f>
        <v/>
      </c>
      <c r="O217" s="10" t="n"/>
      <c r="P217" s="9">
        <f>Model_Data!A217</f>
        <v/>
      </c>
      <c r="Q217" s="9">
        <f>Model_Data!P217</f>
        <v/>
      </c>
      <c r="R217" s="9">
        <f>Model_Data!AM217</f>
        <v/>
      </c>
      <c r="S217" s="9">
        <f>Model_Data!Q217</f>
        <v/>
      </c>
      <c r="T217" s="9">
        <f>Model_Data!AN217</f>
        <v/>
      </c>
      <c r="U217" s="10" t="n"/>
      <c r="V217" s="9">
        <f>Model_Data!A217</f>
        <v/>
      </c>
      <c r="W217" s="9">
        <f>Model_Data!B217-Inputs!$C$5</f>
        <v/>
      </c>
      <c r="X217" s="10" t="n"/>
      <c r="Y217" s="9">
        <f>Model_Data!A217</f>
        <v/>
      </c>
      <c r="Z217" s="9">
        <f>0</f>
        <v/>
      </c>
      <c r="AA217" s="9">
        <f>((SQRT((Inputs!$C$52+Inputs!$C$5)^2+Inputs!$C$52^2-2*(Inputs!$C$52+Inputs!$C$5)*Inputs!$C$52*COS(SQRT((Model_Data!A217)^2+Inputs!$C$6^2)/Inputs!$C$52))-Inputs!$C$5)*1000/Inputs!$C$12)</f>
        <v/>
      </c>
      <c r="AB217" s="9">
        <f>Model_Data!F217</f>
        <v/>
      </c>
    </row>
    <row r="218">
      <c r="A218" s="9">
        <f>Model_Data!A218</f>
        <v/>
      </c>
      <c r="B218" s="9">
        <f>0</f>
        <v/>
      </c>
      <c r="C218" s="9">
        <f>((SQRT((Inputs!$C$52+Inputs!$C$5)^2+Inputs!$C$52^2-2*(Inputs!$C$52+Inputs!$C$5)*Inputs!$C$52*COS(SQRT((Model_Data!A218)^2+Inputs!$C$6^2)/Inputs!$C$52))-Inputs!$C$5)*1000/Inputs!$C$12)</f>
        <v/>
      </c>
      <c r="D218" s="9">
        <f>Model_Data!F218</f>
        <v/>
      </c>
      <c r="E218" s="9">
        <f>Model_Data!AC218</f>
        <v/>
      </c>
      <c r="F218" s="10" t="n"/>
      <c r="G218" s="9">
        <f>Model_Data!A218</f>
        <v/>
      </c>
      <c r="H218" s="9">
        <f>Model_Data!Y218</f>
        <v/>
      </c>
      <c r="I218" s="9">
        <f>Model_Data!Y218</f>
        <v/>
      </c>
      <c r="J218" s="9">
        <f>Model_Data!X218</f>
        <v/>
      </c>
      <c r="K218" s="9">
        <f>Model_Data!A218</f>
        <v/>
      </c>
      <c r="L218" s="9">
        <f>Model_Data!Y218</f>
        <v/>
      </c>
      <c r="M218" s="9">
        <f>Model_Data!X218</f>
        <v/>
      </c>
      <c r="N218" s="9">
        <f>-(Model_Data!AC218-Model_Data!F218)*Inputs!$C$12</f>
        <v/>
      </c>
      <c r="O218" s="10" t="n"/>
      <c r="P218" s="9">
        <f>Model_Data!A218</f>
        <v/>
      </c>
      <c r="Q218" s="9">
        <f>Model_Data!P218</f>
        <v/>
      </c>
      <c r="R218" s="9">
        <f>Model_Data!AM218</f>
        <v/>
      </c>
      <c r="S218" s="9">
        <f>Model_Data!Q218</f>
        <v/>
      </c>
      <c r="T218" s="9">
        <f>Model_Data!AN218</f>
        <v/>
      </c>
      <c r="U218" s="10" t="n"/>
      <c r="V218" s="9">
        <f>Model_Data!A218</f>
        <v/>
      </c>
      <c r="W218" s="9">
        <f>Model_Data!B218-Inputs!$C$5</f>
        <v/>
      </c>
      <c r="X218" s="10" t="n"/>
      <c r="Y218" s="9">
        <f>Model_Data!A218</f>
        <v/>
      </c>
      <c r="Z218" s="9">
        <f>0</f>
        <v/>
      </c>
      <c r="AA218" s="9">
        <f>((SQRT((Inputs!$C$52+Inputs!$C$5)^2+Inputs!$C$52^2-2*(Inputs!$C$52+Inputs!$C$5)*Inputs!$C$52*COS(SQRT((Model_Data!A218)^2+Inputs!$C$6^2)/Inputs!$C$52))-Inputs!$C$5)*1000/Inputs!$C$12)</f>
        <v/>
      </c>
      <c r="AB218" s="9">
        <f>Model_Data!F218</f>
        <v/>
      </c>
    </row>
    <row r="219">
      <c r="A219" s="9">
        <f>Model_Data!A219</f>
        <v/>
      </c>
      <c r="B219" s="9">
        <f>0</f>
        <v/>
      </c>
      <c r="C219" s="9">
        <f>((SQRT((Inputs!$C$52+Inputs!$C$5)^2+Inputs!$C$52^2-2*(Inputs!$C$52+Inputs!$C$5)*Inputs!$C$52*COS(SQRT((Model_Data!A219)^2+Inputs!$C$6^2)/Inputs!$C$52))-Inputs!$C$5)*1000/Inputs!$C$12)</f>
        <v/>
      </c>
      <c r="D219" s="9">
        <f>Model_Data!F219</f>
        <v/>
      </c>
      <c r="E219" s="9">
        <f>Model_Data!AC219</f>
        <v/>
      </c>
      <c r="F219" s="10" t="n"/>
      <c r="G219" s="9">
        <f>Model_Data!A219</f>
        <v/>
      </c>
      <c r="H219" s="9">
        <f>Model_Data!Y219</f>
        <v/>
      </c>
      <c r="I219" s="9">
        <f>Model_Data!Y219</f>
        <v/>
      </c>
      <c r="J219" s="9">
        <f>Model_Data!X219</f>
        <v/>
      </c>
      <c r="K219" s="9">
        <f>Model_Data!A219</f>
        <v/>
      </c>
      <c r="L219" s="9">
        <f>Model_Data!Y219</f>
        <v/>
      </c>
      <c r="M219" s="9">
        <f>Model_Data!X219</f>
        <v/>
      </c>
      <c r="N219" s="9">
        <f>-(Model_Data!AC219-Model_Data!F219)*Inputs!$C$12</f>
        <v/>
      </c>
      <c r="O219" s="10" t="n"/>
      <c r="P219" s="9">
        <f>Model_Data!A219</f>
        <v/>
      </c>
      <c r="Q219" s="9">
        <f>Model_Data!P219</f>
        <v/>
      </c>
      <c r="R219" s="9">
        <f>Model_Data!AM219</f>
        <v/>
      </c>
      <c r="S219" s="9">
        <f>Model_Data!Q219</f>
        <v/>
      </c>
      <c r="T219" s="9">
        <f>Model_Data!AN219</f>
        <v/>
      </c>
      <c r="U219" s="10" t="n"/>
      <c r="V219" s="9">
        <f>Model_Data!A219</f>
        <v/>
      </c>
      <c r="W219" s="9">
        <f>Model_Data!B219-Inputs!$C$5</f>
        <v/>
      </c>
      <c r="X219" s="10" t="n"/>
      <c r="Y219" s="9">
        <f>Model_Data!A219</f>
        <v/>
      </c>
      <c r="Z219" s="9">
        <f>0</f>
        <v/>
      </c>
      <c r="AA219" s="9">
        <f>((SQRT((Inputs!$C$52+Inputs!$C$5)^2+Inputs!$C$52^2-2*(Inputs!$C$52+Inputs!$C$5)*Inputs!$C$52*COS(SQRT((Model_Data!A219)^2+Inputs!$C$6^2)/Inputs!$C$52))-Inputs!$C$5)*1000/Inputs!$C$12)</f>
        <v/>
      </c>
      <c r="AB219" s="9">
        <f>Model_Data!F219</f>
        <v/>
      </c>
    </row>
    <row r="220">
      <c r="A220" s="9">
        <f>Model_Data!A220</f>
        <v/>
      </c>
      <c r="B220" s="9">
        <f>0</f>
        <v/>
      </c>
      <c r="C220" s="9">
        <f>((SQRT((Inputs!$C$52+Inputs!$C$5)^2+Inputs!$C$52^2-2*(Inputs!$C$52+Inputs!$C$5)*Inputs!$C$52*COS(SQRT((Model_Data!A220)^2+Inputs!$C$6^2)/Inputs!$C$52))-Inputs!$C$5)*1000/Inputs!$C$12)</f>
        <v/>
      </c>
      <c r="D220" s="9">
        <f>Model_Data!F220</f>
        <v/>
      </c>
      <c r="E220" s="9">
        <f>Model_Data!AC220</f>
        <v/>
      </c>
      <c r="F220" s="10" t="n"/>
      <c r="G220" s="9">
        <f>Model_Data!A220</f>
        <v/>
      </c>
      <c r="H220" s="9">
        <f>Model_Data!Y220</f>
        <v/>
      </c>
      <c r="I220" s="9">
        <f>Model_Data!Y220</f>
        <v/>
      </c>
      <c r="J220" s="9">
        <f>Model_Data!X220</f>
        <v/>
      </c>
      <c r="K220" s="9">
        <f>Model_Data!A220</f>
        <v/>
      </c>
      <c r="L220" s="9">
        <f>Model_Data!Y220</f>
        <v/>
      </c>
      <c r="M220" s="9">
        <f>Model_Data!X220</f>
        <v/>
      </c>
      <c r="N220" s="9">
        <f>-(Model_Data!AC220-Model_Data!F220)*Inputs!$C$12</f>
        <v/>
      </c>
      <c r="O220" s="10" t="n"/>
      <c r="P220" s="9">
        <f>Model_Data!A220</f>
        <v/>
      </c>
      <c r="Q220" s="9">
        <f>Model_Data!P220</f>
        <v/>
      </c>
      <c r="R220" s="9">
        <f>Model_Data!AM220</f>
        <v/>
      </c>
      <c r="S220" s="9">
        <f>Model_Data!Q220</f>
        <v/>
      </c>
      <c r="T220" s="9">
        <f>Model_Data!AN220</f>
        <v/>
      </c>
      <c r="U220" s="10" t="n"/>
      <c r="V220" s="9">
        <f>Model_Data!A220</f>
        <v/>
      </c>
      <c r="W220" s="9">
        <f>Model_Data!B220-Inputs!$C$5</f>
        <v/>
      </c>
      <c r="X220" s="10" t="n"/>
      <c r="Y220" s="9">
        <f>Model_Data!A220</f>
        <v/>
      </c>
      <c r="Z220" s="9">
        <f>0</f>
        <v/>
      </c>
      <c r="AA220" s="9">
        <f>((SQRT((Inputs!$C$52+Inputs!$C$5)^2+Inputs!$C$52^2-2*(Inputs!$C$52+Inputs!$C$5)*Inputs!$C$52*COS(SQRT((Model_Data!A220)^2+Inputs!$C$6^2)/Inputs!$C$52))-Inputs!$C$5)*1000/Inputs!$C$12)</f>
        <v/>
      </c>
      <c r="AB220" s="9">
        <f>Model_Data!F220</f>
        <v/>
      </c>
    </row>
    <row r="221">
      <c r="A221" s="9">
        <f>Model_Data!A221</f>
        <v/>
      </c>
      <c r="B221" s="9">
        <f>0</f>
        <v/>
      </c>
      <c r="C221" s="9">
        <f>((SQRT((Inputs!$C$52+Inputs!$C$5)^2+Inputs!$C$52^2-2*(Inputs!$C$52+Inputs!$C$5)*Inputs!$C$52*COS(SQRT((Model_Data!A221)^2+Inputs!$C$6^2)/Inputs!$C$52))-Inputs!$C$5)*1000/Inputs!$C$12)</f>
        <v/>
      </c>
      <c r="D221" s="9">
        <f>Model_Data!F221</f>
        <v/>
      </c>
      <c r="E221" s="9">
        <f>Model_Data!AC221</f>
        <v/>
      </c>
      <c r="F221" s="10" t="n"/>
      <c r="G221" s="9">
        <f>Model_Data!A221</f>
        <v/>
      </c>
      <c r="H221" s="9">
        <f>Model_Data!Y221</f>
        <v/>
      </c>
      <c r="I221" s="9">
        <f>Model_Data!Y221</f>
        <v/>
      </c>
      <c r="J221" s="9">
        <f>Model_Data!X221</f>
        <v/>
      </c>
      <c r="K221" s="9">
        <f>Model_Data!A221</f>
        <v/>
      </c>
      <c r="L221" s="9">
        <f>Model_Data!Y221</f>
        <v/>
      </c>
      <c r="M221" s="9">
        <f>Model_Data!X221</f>
        <v/>
      </c>
      <c r="N221" s="9">
        <f>-(Model_Data!AC221-Model_Data!F221)*Inputs!$C$12</f>
        <v/>
      </c>
      <c r="O221" s="10" t="n"/>
      <c r="P221" s="9">
        <f>Model_Data!A221</f>
        <v/>
      </c>
      <c r="Q221" s="9">
        <f>Model_Data!P221</f>
        <v/>
      </c>
      <c r="R221" s="9">
        <f>Model_Data!AM221</f>
        <v/>
      </c>
      <c r="S221" s="9">
        <f>Model_Data!Q221</f>
        <v/>
      </c>
      <c r="T221" s="9">
        <f>Model_Data!AN221</f>
        <v/>
      </c>
      <c r="U221" s="10" t="n"/>
      <c r="V221" s="9">
        <f>Model_Data!A221</f>
        <v/>
      </c>
      <c r="W221" s="9">
        <f>Model_Data!B221-Inputs!$C$5</f>
        <v/>
      </c>
      <c r="X221" s="10" t="n"/>
      <c r="Y221" s="9">
        <f>Model_Data!A221</f>
        <v/>
      </c>
      <c r="Z221" s="9">
        <f>0</f>
        <v/>
      </c>
      <c r="AA221" s="9">
        <f>((SQRT((Inputs!$C$52+Inputs!$C$5)^2+Inputs!$C$52^2-2*(Inputs!$C$52+Inputs!$C$5)*Inputs!$C$52*COS(SQRT((Model_Data!A221)^2+Inputs!$C$6^2)/Inputs!$C$52))-Inputs!$C$5)*1000/Inputs!$C$12)</f>
        <v/>
      </c>
      <c r="AB221" s="9">
        <f>Model_Data!F221</f>
        <v/>
      </c>
    </row>
    <row r="222">
      <c r="A222" s="9">
        <f>Model_Data!A222</f>
        <v/>
      </c>
      <c r="B222" s="9">
        <f>0</f>
        <v/>
      </c>
      <c r="C222" s="9">
        <f>((SQRT((Inputs!$C$52+Inputs!$C$5)^2+Inputs!$C$52^2-2*(Inputs!$C$52+Inputs!$C$5)*Inputs!$C$52*COS(SQRT((Model_Data!A222)^2+Inputs!$C$6^2)/Inputs!$C$52))-Inputs!$C$5)*1000/Inputs!$C$12)</f>
        <v/>
      </c>
      <c r="D222" s="9">
        <f>Model_Data!F222</f>
        <v/>
      </c>
      <c r="E222" s="9">
        <f>Model_Data!AC222</f>
        <v/>
      </c>
      <c r="F222" s="10" t="n"/>
      <c r="G222" s="9">
        <f>Model_Data!A222</f>
        <v/>
      </c>
      <c r="H222" s="9">
        <f>Model_Data!Y222</f>
        <v/>
      </c>
      <c r="I222" s="9">
        <f>Model_Data!Y222</f>
        <v/>
      </c>
      <c r="J222" s="9">
        <f>Model_Data!X222</f>
        <v/>
      </c>
      <c r="K222" s="9">
        <f>Model_Data!A222</f>
        <v/>
      </c>
      <c r="L222" s="9">
        <f>Model_Data!Y222</f>
        <v/>
      </c>
      <c r="M222" s="9">
        <f>Model_Data!X222</f>
        <v/>
      </c>
      <c r="N222" s="9">
        <f>-(Model_Data!AC222-Model_Data!F222)*Inputs!$C$12</f>
        <v/>
      </c>
      <c r="O222" s="10" t="n"/>
      <c r="P222" s="9">
        <f>Model_Data!A222</f>
        <v/>
      </c>
      <c r="Q222" s="9">
        <f>Model_Data!P222</f>
        <v/>
      </c>
      <c r="R222" s="9">
        <f>Model_Data!AM222</f>
        <v/>
      </c>
      <c r="S222" s="9">
        <f>Model_Data!Q222</f>
        <v/>
      </c>
      <c r="T222" s="9">
        <f>Model_Data!AN222</f>
        <v/>
      </c>
      <c r="U222" s="10" t="n"/>
      <c r="V222" s="9">
        <f>Model_Data!A222</f>
        <v/>
      </c>
      <c r="W222" s="9">
        <f>Model_Data!B222-Inputs!$C$5</f>
        <v/>
      </c>
      <c r="X222" s="10" t="n"/>
      <c r="Y222" s="9">
        <f>Model_Data!A222</f>
        <v/>
      </c>
      <c r="Z222" s="9">
        <f>0</f>
        <v/>
      </c>
      <c r="AA222" s="9">
        <f>((SQRT((Inputs!$C$52+Inputs!$C$5)^2+Inputs!$C$52^2-2*(Inputs!$C$52+Inputs!$C$5)*Inputs!$C$52*COS(SQRT((Model_Data!A222)^2+Inputs!$C$6^2)/Inputs!$C$52))-Inputs!$C$5)*1000/Inputs!$C$12)</f>
        <v/>
      </c>
      <c r="AB222" s="9">
        <f>Model_Data!F222</f>
        <v/>
      </c>
    </row>
    <row r="223">
      <c r="A223" s="9">
        <f>Model_Data!A223</f>
        <v/>
      </c>
      <c r="B223" s="9">
        <f>0</f>
        <v/>
      </c>
      <c r="C223" s="9">
        <f>((SQRT((Inputs!$C$52+Inputs!$C$5)^2+Inputs!$C$52^2-2*(Inputs!$C$52+Inputs!$C$5)*Inputs!$C$52*COS(SQRT((Model_Data!A223)^2+Inputs!$C$6^2)/Inputs!$C$52))-Inputs!$C$5)*1000/Inputs!$C$12)</f>
        <v/>
      </c>
      <c r="D223" s="9">
        <f>Model_Data!F223</f>
        <v/>
      </c>
      <c r="E223" s="9">
        <f>Model_Data!AC223</f>
        <v/>
      </c>
      <c r="F223" s="10" t="n"/>
      <c r="G223" s="9">
        <f>Model_Data!A223</f>
        <v/>
      </c>
      <c r="H223" s="9">
        <f>Model_Data!Y223</f>
        <v/>
      </c>
      <c r="I223" s="9">
        <f>Model_Data!Y223</f>
        <v/>
      </c>
      <c r="J223" s="9">
        <f>Model_Data!X223</f>
        <v/>
      </c>
      <c r="K223" s="9">
        <f>Model_Data!A223</f>
        <v/>
      </c>
      <c r="L223" s="9">
        <f>Model_Data!Y223</f>
        <v/>
      </c>
      <c r="M223" s="9">
        <f>Model_Data!X223</f>
        <v/>
      </c>
      <c r="N223" s="9">
        <f>-(Model_Data!AC223-Model_Data!F223)*Inputs!$C$12</f>
        <v/>
      </c>
      <c r="O223" s="10" t="n"/>
      <c r="P223" s="9">
        <f>Model_Data!A223</f>
        <v/>
      </c>
      <c r="Q223" s="9">
        <f>Model_Data!P223</f>
        <v/>
      </c>
      <c r="R223" s="9">
        <f>Model_Data!AM223</f>
        <v/>
      </c>
      <c r="S223" s="9">
        <f>Model_Data!Q223</f>
        <v/>
      </c>
      <c r="T223" s="9">
        <f>Model_Data!AN223</f>
        <v/>
      </c>
      <c r="U223" s="10" t="n"/>
      <c r="V223" s="9">
        <f>Model_Data!A223</f>
        <v/>
      </c>
      <c r="W223" s="9">
        <f>Model_Data!B223-Inputs!$C$5</f>
        <v/>
      </c>
      <c r="X223" s="10" t="n"/>
      <c r="Y223" s="9">
        <f>Model_Data!A223</f>
        <v/>
      </c>
      <c r="Z223" s="9">
        <f>0</f>
        <v/>
      </c>
      <c r="AA223" s="9">
        <f>((SQRT((Inputs!$C$52+Inputs!$C$5)^2+Inputs!$C$52^2-2*(Inputs!$C$52+Inputs!$C$5)*Inputs!$C$52*COS(SQRT((Model_Data!A223)^2+Inputs!$C$6^2)/Inputs!$C$52))-Inputs!$C$5)*1000/Inputs!$C$12)</f>
        <v/>
      </c>
      <c r="AB223" s="9">
        <f>Model_Data!F223</f>
        <v/>
      </c>
    </row>
    <row r="224">
      <c r="A224" s="9">
        <f>Model_Data!A224</f>
        <v/>
      </c>
      <c r="B224" s="9">
        <f>0</f>
        <v/>
      </c>
      <c r="C224" s="9">
        <f>((SQRT((Inputs!$C$52+Inputs!$C$5)^2+Inputs!$C$52^2-2*(Inputs!$C$52+Inputs!$C$5)*Inputs!$C$52*COS(SQRT((Model_Data!A224)^2+Inputs!$C$6^2)/Inputs!$C$52))-Inputs!$C$5)*1000/Inputs!$C$12)</f>
        <v/>
      </c>
      <c r="D224" s="9">
        <f>Model_Data!F224</f>
        <v/>
      </c>
      <c r="E224" s="9">
        <f>Model_Data!AC224</f>
        <v/>
      </c>
      <c r="F224" s="10" t="n"/>
      <c r="G224" s="9">
        <f>Model_Data!A224</f>
        <v/>
      </c>
      <c r="H224" s="9">
        <f>Model_Data!Y224</f>
        <v/>
      </c>
      <c r="I224" s="9">
        <f>Model_Data!Y224</f>
        <v/>
      </c>
      <c r="J224" s="9">
        <f>Model_Data!X224</f>
        <v/>
      </c>
      <c r="K224" s="9">
        <f>Model_Data!A224</f>
        <v/>
      </c>
      <c r="L224" s="9">
        <f>Model_Data!Y224</f>
        <v/>
      </c>
      <c r="M224" s="9">
        <f>Model_Data!X224</f>
        <v/>
      </c>
      <c r="N224" s="9">
        <f>-(Model_Data!AC224-Model_Data!F224)*Inputs!$C$12</f>
        <v/>
      </c>
      <c r="O224" s="10" t="n"/>
      <c r="P224" s="9">
        <f>Model_Data!A224</f>
        <v/>
      </c>
      <c r="Q224" s="9">
        <f>Model_Data!P224</f>
        <v/>
      </c>
      <c r="R224" s="9">
        <f>Model_Data!AM224</f>
        <v/>
      </c>
      <c r="S224" s="9">
        <f>Model_Data!Q224</f>
        <v/>
      </c>
      <c r="T224" s="9">
        <f>Model_Data!AN224</f>
        <v/>
      </c>
      <c r="U224" s="10" t="n"/>
      <c r="V224" s="9">
        <f>Model_Data!A224</f>
        <v/>
      </c>
      <c r="W224" s="9">
        <f>Model_Data!B224-Inputs!$C$5</f>
        <v/>
      </c>
      <c r="X224" s="10" t="n"/>
      <c r="Y224" s="9">
        <f>Model_Data!A224</f>
        <v/>
      </c>
      <c r="Z224" s="9">
        <f>0</f>
        <v/>
      </c>
      <c r="AA224" s="9">
        <f>((SQRT((Inputs!$C$52+Inputs!$C$5)^2+Inputs!$C$52^2-2*(Inputs!$C$52+Inputs!$C$5)*Inputs!$C$52*COS(SQRT((Model_Data!A224)^2+Inputs!$C$6^2)/Inputs!$C$52))-Inputs!$C$5)*1000/Inputs!$C$12)</f>
        <v/>
      </c>
      <c r="AB224" s="9">
        <f>Model_Data!F224</f>
        <v/>
      </c>
    </row>
    <row r="225">
      <c r="A225" s="9">
        <f>Model_Data!A225</f>
        <v/>
      </c>
      <c r="B225" s="9">
        <f>0</f>
        <v/>
      </c>
      <c r="C225" s="9">
        <f>((SQRT((Inputs!$C$52+Inputs!$C$5)^2+Inputs!$C$52^2-2*(Inputs!$C$52+Inputs!$C$5)*Inputs!$C$52*COS(SQRT((Model_Data!A225)^2+Inputs!$C$6^2)/Inputs!$C$52))-Inputs!$C$5)*1000/Inputs!$C$12)</f>
        <v/>
      </c>
      <c r="D225" s="9">
        <f>Model_Data!F225</f>
        <v/>
      </c>
      <c r="E225" s="9">
        <f>Model_Data!AC225</f>
        <v/>
      </c>
      <c r="F225" s="10" t="n"/>
      <c r="G225" s="9">
        <f>Model_Data!A225</f>
        <v/>
      </c>
      <c r="H225" s="9">
        <f>Model_Data!Y225</f>
        <v/>
      </c>
      <c r="I225" s="9">
        <f>Model_Data!Y225</f>
        <v/>
      </c>
      <c r="J225" s="9">
        <f>Model_Data!X225</f>
        <v/>
      </c>
      <c r="K225" s="9">
        <f>Model_Data!A225</f>
        <v/>
      </c>
      <c r="L225" s="9">
        <f>Model_Data!Y225</f>
        <v/>
      </c>
      <c r="M225" s="9">
        <f>Model_Data!X225</f>
        <v/>
      </c>
      <c r="N225" s="9">
        <f>-(Model_Data!AC225-Model_Data!F225)*Inputs!$C$12</f>
        <v/>
      </c>
      <c r="O225" s="10" t="n"/>
      <c r="P225" s="9">
        <f>Model_Data!A225</f>
        <v/>
      </c>
      <c r="Q225" s="9">
        <f>Model_Data!P225</f>
        <v/>
      </c>
      <c r="R225" s="9">
        <f>Model_Data!AM225</f>
        <v/>
      </c>
      <c r="S225" s="9">
        <f>Model_Data!Q225</f>
        <v/>
      </c>
      <c r="T225" s="9">
        <f>Model_Data!AN225</f>
        <v/>
      </c>
      <c r="U225" s="10" t="n"/>
      <c r="V225" s="9">
        <f>Model_Data!A225</f>
        <v/>
      </c>
      <c r="W225" s="9">
        <f>Model_Data!B225-Inputs!$C$5</f>
        <v/>
      </c>
      <c r="X225" s="10" t="n"/>
      <c r="Y225" s="9">
        <f>Model_Data!A225</f>
        <v/>
      </c>
      <c r="Z225" s="9">
        <f>0</f>
        <v/>
      </c>
      <c r="AA225" s="9">
        <f>((SQRT((Inputs!$C$52+Inputs!$C$5)^2+Inputs!$C$52^2-2*(Inputs!$C$52+Inputs!$C$5)*Inputs!$C$52*COS(SQRT((Model_Data!A225)^2+Inputs!$C$6^2)/Inputs!$C$52))-Inputs!$C$5)*1000/Inputs!$C$12)</f>
        <v/>
      </c>
      <c r="AB225" s="9">
        <f>Model_Data!F225</f>
        <v/>
      </c>
    </row>
    <row r="226">
      <c r="A226" s="9">
        <f>Model_Data!A226</f>
        <v/>
      </c>
      <c r="B226" s="9">
        <f>0</f>
        <v/>
      </c>
      <c r="C226" s="9">
        <f>((SQRT((Inputs!$C$52+Inputs!$C$5)^2+Inputs!$C$52^2-2*(Inputs!$C$52+Inputs!$C$5)*Inputs!$C$52*COS(SQRT((Model_Data!A226)^2+Inputs!$C$6^2)/Inputs!$C$52))-Inputs!$C$5)*1000/Inputs!$C$12)</f>
        <v/>
      </c>
      <c r="D226" s="9">
        <f>Model_Data!F226</f>
        <v/>
      </c>
      <c r="E226" s="9">
        <f>Model_Data!AC226</f>
        <v/>
      </c>
      <c r="F226" s="10" t="n"/>
      <c r="G226" s="9">
        <f>Model_Data!A226</f>
        <v/>
      </c>
      <c r="H226" s="9">
        <f>Model_Data!Y226</f>
        <v/>
      </c>
      <c r="I226" s="9">
        <f>Model_Data!Y226</f>
        <v/>
      </c>
      <c r="J226" s="9">
        <f>Model_Data!X226</f>
        <v/>
      </c>
      <c r="K226" s="9">
        <f>Model_Data!A226</f>
        <v/>
      </c>
      <c r="L226" s="9">
        <f>Model_Data!Y226</f>
        <v/>
      </c>
      <c r="M226" s="9">
        <f>Model_Data!X226</f>
        <v/>
      </c>
      <c r="N226" s="9">
        <f>-(Model_Data!AC226-Model_Data!F226)*Inputs!$C$12</f>
        <v/>
      </c>
      <c r="O226" s="10" t="n"/>
      <c r="P226" s="9">
        <f>Model_Data!A226</f>
        <v/>
      </c>
      <c r="Q226" s="9">
        <f>Model_Data!P226</f>
        <v/>
      </c>
      <c r="R226" s="9">
        <f>Model_Data!AM226</f>
        <v/>
      </c>
      <c r="S226" s="9">
        <f>Model_Data!Q226</f>
        <v/>
      </c>
      <c r="T226" s="9">
        <f>Model_Data!AN226</f>
        <v/>
      </c>
      <c r="U226" s="10" t="n"/>
      <c r="V226" s="9">
        <f>Model_Data!A226</f>
        <v/>
      </c>
      <c r="W226" s="9">
        <f>Model_Data!B226-Inputs!$C$5</f>
        <v/>
      </c>
      <c r="X226" s="10" t="n"/>
      <c r="Y226" s="9">
        <f>Model_Data!A226</f>
        <v/>
      </c>
      <c r="Z226" s="9">
        <f>0</f>
        <v/>
      </c>
      <c r="AA226" s="9">
        <f>((SQRT((Inputs!$C$52+Inputs!$C$5)^2+Inputs!$C$52^2-2*(Inputs!$C$52+Inputs!$C$5)*Inputs!$C$52*COS(SQRT((Model_Data!A226)^2+Inputs!$C$6^2)/Inputs!$C$52))-Inputs!$C$5)*1000/Inputs!$C$12)</f>
        <v/>
      </c>
      <c r="AB226" s="9">
        <f>Model_Data!F226</f>
        <v/>
      </c>
    </row>
    <row r="227">
      <c r="A227" s="9">
        <f>Model_Data!A227</f>
        <v/>
      </c>
      <c r="B227" s="9">
        <f>0</f>
        <v/>
      </c>
      <c r="C227" s="9">
        <f>((SQRT((Inputs!$C$52+Inputs!$C$5)^2+Inputs!$C$52^2-2*(Inputs!$C$52+Inputs!$C$5)*Inputs!$C$52*COS(SQRT((Model_Data!A227)^2+Inputs!$C$6^2)/Inputs!$C$52))-Inputs!$C$5)*1000/Inputs!$C$12)</f>
        <v/>
      </c>
      <c r="D227" s="9">
        <f>Model_Data!F227</f>
        <v/>
      </c>
      <c r="E227" s="9">
        <f>Model_Data!AC227</f>
        <v/>
      </c>
      <c r="F227" s="10" t="n"/>
      <c r="G227" s="9">
        <f>Model_Data!A227</f>
        <v/>
      </c>
      <c r="H227" s="9">
        <f>Model_Data!Y227</f>
        <v/>
      </c>
      <c r="I227" s="9">
        <f>Model_Data!Y227</f>
        <v/>
      </c>
      <c r="J227" s="9">
        <f>Model_Data!X227</f>
        <v/>
      </c>
      <c r="K227" s="9">
        <f>Model_Data!A227</f>
        <v/>
      </c>
      <c r="L227" s="9">
        <f>Model_Data!Y227</f>
        <v/>
      </c>
      <c r="M227" s="9">
        <f>Model_Data!X227</f>
        <v/>
      </c>
      <c r="N227" s="9">
        <f>-(Model_Data!AC227-Model_Data!F227)*Inputs!$C$12</f>
        <v/>
      </c>
      <c r="O227" s="10" t="n"/>
      <c r="P227" s="9">
        <f>Model_Data!A227</f>
        <v/>
      </c>
      <c r="Q227" s="9">
        <f>Model_Data!P227</f>
        <v/>
      </c>
      <c r="R227" s="9">
        <f>Model_Data!AM227</f>
        <v/>
      </c>
      <c r="S227" s="9">
        <f>Model_Data!Q227</f>
        <v/>
      </c>
      <c r="T227" s="9">
        <f>Model_Data!AN227</f>
        <v/>
      </c>
      <c r="U227" s="10" t="n"/>
      <c r="V227" s="9">
        <f>Model_Data!A227</f>
        <v/>
      </c>
      <c r="W227" s="9">
        <f>Model_Data!B227-Inputs!$C$5</f>
        <v/>
      </c>
      <c r="X227" s="10" t="n"/>
      <c r="Y227" s="9">
        <f>Model_Data!A227</f>
        <v/>
      </c>
      <c r="Z227" s="9">
        <f>0</f>
        <v/>
      </c>
      <c r="AA227" s="9">
        <f>((SQRT((Inputs!$C$52+Inputs!$C$5)^2+Inputs!$C$52^2-2*(Inputs!$C$52+Inputs!$C$5)*Inputs!$C$52*COS(SQRT((Model_Data!A227)^2+Inputs!$C$6^2)/Inputs!$C$52))-Inputs!$C$5)*1000/Inputs!$C$12)</f>
        <v/>
      </c>
      <c r="AB227" s="9">
        <f>Model_Data!F227</f>
        <v/>
      </c>
    </row>
    <row r="228">
      <c r="A228" s="9">
        <f>Model_Data!A228</f>
        <v/>
      </c>
      <c r="B228" s="9">
        <f>0</f>
        <v/>
      </c>
      <c r="C228" s="9">
        <f>((SQRT((Inputs!$C$52+Inputs!$C$5)^2+Inputs!$C$52^2-2*(Inputs!$C$52+Inputs!$C$5)*Inputs!$C$52*COS(SQRT((Model_Data!A228)^2+Inputs!$C$6^2)/Inputs!$C$52))-Inputs!$C$5)*1000/Inputs!$C$12)</f>
        <v/>
      </c>
      <c r="D228" s="9">
        <f>Model_Data!F228</f>
        <v/>
      </c>
      <c r="E228" s="9">
        <f>Model_Data!AC228</f>
        <v/>
      </c>
      <c r="F228" s="10" t="n"/>
      <c r="G228" s="9">
        <f>Model_Data!A228</f>
        <v/>
      </c>
      <c r="H228" s="9">
        <f>Model_Data!Y228</f>
        <v/>
      </c>
      <c r="I228" s="9">
        <f>Model_Data!Y228</f>
        <v/>
      </c>
      <c r="J228" s="9">
        <f>Model_Data!X228</f>
        <v/>
      </c>
      <c r="K228" s="9">
        <f>Model_Data!A228</f>
        <v/>
      </c>
      <c r="L228" s="9">
        <f>Model_Data!Y228</f>
        <v/>
      </c>
      <c r="M228" s="9">
        <f>Model_Data!X228</f>
        <v/>
      </c>
      <c r="N228" s="9">
        <f>-(Model_Data!AC228-Model_Data!F228)*Inputs!$C$12</f>
        <v/>
      </c>
      <c r="O228" s="10" t="n"/>
      <c r="P228" s="9">
        <f>Model_Data!A228</f>
        <v/>
      </c>
      <c r="Q228" s="9">
        <f>Model_Data!P228</f>
        <v/>
      </c>
      <c r="R228" s="9">
        <f>Model_Data!AM228</f>
        <v/>
      </c>
      <c r="S228" s="9">
        <f>Model_Data!Q228</f>
        <v/>
      </c>
      <c r="T228" s="9">
        <f>Model_Data!AN228</f>
        <v/>
      </c>
      <c r="U228" s="10" t="n"/>
      <c r="V228" s="9">
        <f>Model_Data!A228</f>
        <v/>
      </c>
      <c r="W228" s="9">
        <f>Model_Data!B228-Inputs!$C$5</f>
        <v/>
      </c>
      <c r="X228" s="10" t="n"/>
      <c r="Y228" s="9">
        <f>Model_Data!A228</f>
        <v/>
      </c>
      <c r="Z228" s="9">
        <f>0</f>
        <v/>
      </c>
      <c r="AA228" s="9">
        <f>((SQRT((Inputs!$C$52+Inputs!$C$5)^2+Inputs!$C$52^2-2*(Inputs!$C$52+Inputs!$C$5)*Inputs!$C$52*COS(SQRT((Model_Data!A228)^2+Inputs!$C$6^2)/Inputs!$C$52))-Inputs!$C$5)*1000/Inputs!$C$12)</f>
        <v/>
      </c>
      <c r="AB228" s="9">
        <f>Model_Data!F228</f>
        <v/>
      </c>
    </row>
    <row r="229">
      <c r="A229" s="9">
        <f>Model_Data!A229</f>
        <v/>
      </c>
      <c r="B229" s="9">
        <f>0</f>
        <v/>
      </c>
      <c r="C229" s="9">
        <f>((SQRT((Inputs!$C$52+Inputs!$C$5)^2+Inputs!$C$52^2-2*(Inputs!$C$52+Inputs!$C$5)*Inputs!$C$52*COS(SQRT((Model_Data!A229)^2+Inputs!$C$6^2)/Inputs!$C$52))-Inputs!$C$5)*1000/Inputs!$C$12)</f>
        <v/>
      </c>
      <c r="D229" s="9">
        <f>Model_Data!F229</f>
        <v/>
      </c>
      <c r="E229" s="9">
        <f>Model_Data!AC229</f>
        <v/>
      </c>
      <c r="F229" s="10" t="n"/>
      <c r="G229" s="9">
        <f>Model_Data!A229</f>
        <v/>
      </c>
      <c r="H229" s="9">
        <f>Model_Data!Y229</f>
        <v/>
      </c>
      <c r="I229" s="9">
        <f>Model_Data!Y229</f>
        <v/>
      </c>
      <c r="J229" s="9">
        <f>Model_Data!X229</f>
        <v/>
      </c>
      <c r="K229" s="9">
        <f>Model_Data!A229</f>
        <v/>
      </c>
      <c r="L229" s="9">
        <f>Model_Data!Y229</f>
        <v/>
      </c>
      <c r="M229" s="9">
        <f>Model_Data!X229</f>
        <v/>
      </c>
      <c r="N229" s="9">
        <f>-(Model_Data!AC229-Model_Data!F229)*Inputs!$C$12</f>
        <v/>
      </c>
      <c r="O229" s="10" t="n"/>
      <c r="P229" s="9">
        <f>Model_Data!A229</f>
        <v/>
      </c>
      <c r="Q229" s="9">
        <f>Model_Data!P229</f>
        <v/>
      </c>
      <c r="R229" s="9">
        <f>Model_Data!AM229</f>
        <v/>
      </c>
      <c r="S229" s="9">
        <f>Model_Data!Q229</f>
        <v/>
      </c>
      <c r="T229" s="9">
        <f>Model_Data!AN229</f>
        <v/>
      </c>
      <c r="U229" s="10" t="n"/>
      <c r="V229" s="9">
        <f>Model_Data!A229</f>
        <v/>
      </c>
      <c r="W229" s="9">
        <f>Model_Data!B229-Inputs!$C$5</f>
        <v/>
      </c>
      <c r="X229" s="10" t="n"/>
      <c r="Y229" s="9">
        <f>Model_Data!A229</f>
        <v/>
      </c>
      <c r="Z229" s="9">
        <f>0</f>
        <v/>
      </c>
      <c r="AA229" s="9">
        <f>((SQRT((Inputs!$C$52+Inputs!$C$5)^2+Inputs!$C$52^2-2*(Inputs!$C$52+Inputs!$C$5)*Inputs!$C$52*COS(SQRT((Model_Data!A229)^2+Inputs!$C$6^2)/Inputs!$C$52))-Inputs!$C$5)*1000/Inputs!$C$12)</f>
        <v/>
      </c>
      <c r="AB229" s="9">
        <f>Model_Data!F229</f>
        <v/>
      </c>
    </row>
    <row r="230">
      <c r="A230" s="9">
        <f>Model_Data!A230</f>
        <v/>
      </c>
      <c r="B230" s="9">
        <f>0</f>
        <v/>
      </c>
      <c r="C230" s="9">
        <f>((SQRT((Inputs!$C$52+Inputs!$C$5)^2+Inputs!$C$52^2-2*(Inputs!$C$52+Inputs!$C$5)*Inputs!$C$52*COS(SQRT((Model_Data!A230)^2+Inputs!$C$6^2)/Inputs!$C$52))-Inputs!$C$5)*1000/Inputs!$C$12)</f>
        <v/>
      </c>
      <c r="D230" s="9">
        <f>Model_Data!F230</f>
        <v/>
      </c>
      <c r="E230" s="9">
        <f>Model_Data!AC230</f>
        <v/>
      </c>
      <c r="F230" s="10" t="n"/>
      <c r="G230" s="9">
        <f>Model_Data!A230</f>
        <v/>
      </c>
      <c r="H230" s="9">
        <f>Model_Data!Y230</f>
        <v/>
      </c>
      <c r="I230" s="9">
        <f>Model_Data!Y230</f>
        <v/>
      </c>
      <c r="J230" s="9">
        <f>Model_Data!X230</f>
        <v/>
      </c>
      <c r="K230" s="9">
        <f>Model_Data!A230</f>
        <v/>
      </c>
      <c r="L230" s="9">
        <f>Model_Data!Y230</f>
        <v/>
      </c>
      <c r="M230" s="9">
        <f>Model_Data!X230</f>
        <v/>
      </c>
      <c r="N230" s="9">
        <f>-(Model_Data!AC230-Model_Data!F230)*Inputs!$C$12</f>
        <v/>
      </c>
      <c r="O230" s="10" t="n"/>
      <c r="P230" s="9">
        <f>Model_Data!A230</f>
        <v/>
      </c>
      <c r="Q230" s="9">
        <f>Model_Data!P230</f>
        <v/>
      </c>
      <c r="R230" s="9">
        <f>Model_Data!AM230</f>
        <v/>
      </c>
      <c r="S230" s="9">
        <f>Model_Data!Q230</f>
        <v/>
      </c>
      <c r="T230" s="9">
        <f>Model_Data!AN230</f>
        <v/>
      </c>
      <c r="U230" s="10" t="n"/>
      <c r="V230" s="9">
        <f>Model_Data!A230</f>
        <v/>
      </c>
      <c r="W230" s="9">
        <f>Model_Data!B230-Inputs!$C$5</f>
        <v/>
      </c>
      <c r="X230" s="10" t="n"/>
      <c r="Y230" s="9">
        <f>Model_Data!A230</f>
        <v/>
      </c>
      <c r="Z230" s="9">
        <f>0</f>
        <v/>
      </c>
      <c r="AA230" s="9">
        <f>((SQRT((Inputs!$C$52+Inputs!$C$5)^2+Inputs!$C$52^2-2*(Inputs!$C$52+Inputs!$C$5)*Inputs!$C$52*COS(SQRT((Model_Data!A230)^2+Inputs!$C$6^2)/Inputs!$C$52))-Inputs!$C$5)*1000/Inputs!$C$12)</f>
        <v/>
      </c>
      <c r="AB230" s="9">
        <f>Model_Data!F230</f>
        <v/>
      </c>
    </row>
    <row r="231">
      <c r="A231" s="9">
        <f>Model_Data!A231</f>
        <v/>
      </c>
      <c r="B231" s="9">
        <f>0</f>
        <v/>
      </c>
      <c r="C231" s="9">
        <f>((SQRT((Inputs!$C$52+Inputs!$C$5)^2+Inputs!$C$52^2-2*(Inputs!$C$52+Inputs!$C$5)*Inputs!$C$52*COS(SQRT((Model_Data!A231)^2+Inputs!$C$6^2)/Inputs!$C$52))-Inputs!$C$5)*1000/Inputs!$C$12)</f>
        <v/>
      </c>
      <c r="D231" s="9">
        <f>Model_Data!F231</f>
        <v/>
      </c>
      <c r="E231" s="9">
        <f>Model_Data!AC231</f>
        <v/>
      </c>
      <c r="F231" s="10" t="n"/>
      <c r="G231" s="9">
        <f>Model_Data!A231</f>
        <v/>
      </c>
      <c r="H231" s="9">
        <f>Model_Data!Y231</f>
        <v/>
      </c>
      <c r="I231" s="9">
        <f>Model_Data!Y231</f>
        <v/>
      </c>
      <c r="J231" s="9">
        <f>Model_Data!X231</f>
        <v/>
      </c>
      <c r="K231" s="9">
        <f>Model_Data!A231</f>
        <v/>
      </c>
      <c r="L231" s="9">
        <f>Model_Data!Y231</f>
        <v/>
      </c>
      <c r="M231" s="9">
        <f>Model_Data!X231</f>
        <v/>
      </c>
      <c r="N231" s="9">
        <f>-(Model_Data!AC231-Model_Data!F231)*Inputs!$C$12</f>
        <v/>
      </c>
      <c r="O231" s="10" t="n"/>
      <c r="P231" s="9">
        <f>Model_Data!A231</f>
        <v/>
      </c>
      <c r="Q231" s="9">
        <f>Model_Data!P231</f>
        <v/>
      </c>
      <c r="R231" s="9">
        <f>Model_Data!AM231</f>
        <v/>
      </c>
      <c r="S231" s="9">
        <f>Model_Data!Q231</f>
        <v/>
      </c>
      <c r="T231" s="9">
        <f>Model_Data!AN231</f>
        <v/>
      </c>
      <c r="U231" s="10" t="n"/>
      <c r="V231" s="9">
        <f>Model_Data!A231</f>
        <v/>
      </c>
      <c r="W231" s="9">
        <f>Model_Data!B231-Inputs!$C$5</f>
        <v/>
      </c>
      <c r="X231" s="10" t="n"/>
      <c r="Y231" s="9">
        <f>Model_Data!A231</f>
        <v/>
      </c>
      <c r="Z231" s="9">
        <f>0</f>
        <v/>
      </c>
      <c r="AA231" s="9">
        <f>((SQRT((Inputs!$C$52+Inputs!$C$5)^2+Inputs!$C$52^2-2*(Inputs!$C$52+Inputs!$C$5)*Inputs!$C$52*COS(SQRT((Model_Data!A231)^2+Inputs!$C$6^2)/Inputs!$C$52))-Inputs!$C$5)*1000/Inputs!$C$12)</f>
        <v/>
      </c>
      <c r="AB231" s="9">
        <f>Model_Data!F231</f>
        <v/>
      </c>
    </row>
    <row r="232">
      <c r="A232" s="9">
        <f>Model_Data!A232</f>
        <v/>
      </c>
      <c r="B232" s="9">
        <f>0</f>
        <v/>
      </c>
      <c r="C232" s="9">
        <f>((SQRT((Inputs!$C$52+Inputs!$C$5)^2+Inputs!$C$52^2-2*(Inputs!$C$52+Inputs!$C$5)*Inputs!$C$52*COS(SQRT((Model_Data!A232)^2+Inputs!$C$6^2)/Inputs!$C$52))-Inputs!$C$5)*1000/Inputs!$C$12)</f>
        <v/>
      </c>
      <c r="D232" s="9">
        <f>Model_Data!F232</f>
        <v/>
      </c>
      <c r="E232" s="9">
        <f>Model_Data!AC232</f>
        <v/>
      </c>
      <c r="F232" s="10" t="n"/>
      <c r="G232" s="9">
        <f>Model_Data!A232</f>
        <v/>
      </c>
      <c r="H232" s="9">
        <f>Model_Data!Y232</f>
        <v/>
      </c>
      <c r="I232" s="9">
        <f>Model_Data!Y232</f>
        <v/>
      </c>
      <c r="J232" s="9">
        <f>Model_Data!X232</f>
        <v/>
      </c>
      <c r="K232" s="9">
        <f>Model_Data!A232</f>
        <v/>
      </c>
      <c r="L232" s="9">
        <f>Model_Data!Y232</f>
        <v/>
      </c>
      <c r="M232" s="9">
        <f>Model_Data!X232</f>
        <v/>
      </c>
      <c r="N232" s="9">
        <f>-(Model_Data!AC232-Model_Data!F232)*Inputs!$C$12</f>
        <v/>
      </c>
      <c r="O232" s="10" t="n"/>
      <c r="P232" s="9">
        <f>Model_Data!A232</f>
        <v/>
      </c>
      <c r="Q232" s="9">
        <f>Model_Data!P232</f>
        <v/>
      </c>
      <c r="R232" s="9">
        <f>Model_Data!AM232</f>
        <v/>
      </c>
      <c r="S232" s="9">
        <f>Model_Data!Q232</f>
        <v/>
      </c>
      <c r="T232" s="9">
        <f>Model_Data!AN232</f>
        <v/>
      </c>
      <c r="U232" s="10" t="n"/>
      <c r="V232" s="9">
        <f>Model_Data!A232</f>
        <v/>
      </c>
      <c r="W232" s="9">
        <f>Model_Data!B232-Inputs!$C$5</f>
        <v/>
      </c>
      <c r="X232" s="10" t="n"/>
      <c r="Y232" s="9">
        <f>Model_Data!A232</f>
        <v/>
      </c>
      <c r="Z232" s="9">
        <f>0</f>
        <v/>
      </c>
      <c r="AA232" s="9">
        <f>((SQRT((Inputs!$C$52+Inputs!$C$5)^2+Inputs!$C$52^2-2*(Inputs!$C$52+Inputs!$C$5)*Inputs!$C$52*COS(SQRT((Model_Data!A232)^2+Inputs!$C$6^2)/Inputs!$C$52))-Inputs!$C$5)*1000/Inputs!$C$12)</f>
        <v/>
      </c>
      <c r="AB232" s="9">
        <f>Model_Data!F232</f>
        <v/>
      </c>
    </row>
    <row r="233">
      <c r="A233" s="9">
        <f>Model_Data!A233</f>
        <v/>
      </c>
      <c r="B233" s="9">
        <f>0</f>
        <v/>
      </c>
      <c r="C233" s="9">
        <f>((SQRT((Inputs!$C$52+Inputs!$C$5)^2+Inputs!$C$52^2-2*(Inputs!$C$52+Inputs!$C$5)*Inputs!$C$52*COS(SQRT((Model_Data!A233)^2+Inputs!$C$6^2)/Inputs!$C$52))-Inputs!$C$5)*1000/Inputs!$C$12)</f>
        <v/>
      </c>
      <c r="D233" s="9">
        <f>Model_Data!F233</f>
        <v/>
      </c>
      <c r="E233" s="9">
        <f>Model_Data!AC233</f>
        <v/>
      </c>
      <c r="F233" s="10" t="n"/>
      <c r="G233" s="9">
        <f>Model_Data!A233</f>
        <v/>
      </c>
      <c r="H233" s="9">
        <f>Model_Data!Y233</f>
        <v/>
      </c>
      <c r="I233" s="9">
        <f>Model_Data!Y233</f>
        <v/>
      </c>
      <c r="J233" s="9">
        <f>Model_Data!X233</f>
        <v/>
      </c>
      <c r="K233" s="9">
        <f>Model_Data!A233</f>
        <v/>
      </c>
      <c r="L233" s="9">
        <f>Model_Data!Y233</f>
        <v/>
      </c>
      <c r="M233" s="9">
        <f>Model_Data!X233</f>
        <v/>
      </c>
      <c r="N233" s="9">
        <f>-(Model_Data!AC233-Model_Data!F233)*Inputs!$C$12</f>
        <v/>
      </c>
      <c r="O233" s="10" t="n"/>
      <c r="P233" s="9">
        <f>Model_Data!A233</f>
        <v/>
      </c>
      <c r="Q233" s="9">
        <f>Model_Data!P233</f>
        <v/>
      </c>
      <c r="R233" s="9">
        <f>Model_Data!AM233</f>
        <v/>
      </c>
      <c r="S233" s="9">
        <f>Model_Data!Q233</f>
        <v/>
      </c>
      <c r="T233" s="9">
        <f>Model_Data!AN233</f>
        <v/>
      </c>
      <c r="U233" s="10" t="n"/>
      <c r="V233" s="9">
        <f>Model_Data!A233</f>
        <v/>
      </c>
      <c r="W233" s="9">
        <f>Model_Data!B233-Inputs!$C$5</f>
        <v/>
      </c>
      <c r="X233" s="10" t="n"/>
      <c r="Y233" s="9">
        <f>Model_Data!A233</f>
        <v/>
      </c>
      <c r="Z233" s="9">
        <f>0</f>
        <v/>
      </c>
      <c r="AA233" s="9">
        <f>((SQRT((Inputs!$C$52+Inputs!$C$5)^2+Inputs!$C$52^2-2*(Inputs!$C$52+Inputs!$C$5)*Inputs!$C$52*COS(SQRT((Model_Data!A233)^2+Inputs!$C$6^2)/Inputs!$C$52))-Inputs!$C$5)*1000/Inputs!$C$12)</f>
        <v/>
      </c>
      <c r="AB233" s="9">
        <f>Model_Data!F233</f>
        <v/>
      </c>
    </row>
    <row r="234">
      <c r="A234" s="9">
        <f>Model_Data!A234</f>
        <v/>
      </c>
      <c r="B234" s="9">
        <f>0</f>
        <v/>
      </c>
      <c r="C234" s="9">
        <f>((SQRT((Inputs!$C$52+Inputs!$C$5)^2+Inputs!$C$52^2-2*(Inputs!$C$52+Inputs!$C$5)*Inputs!$C$52*COS(SQRT((Model_Data!A234)^2+Inputs!$C$6^2)/Inputs!$C$52))-Inputs!$C$5)*1000/Inputs!$C$12)</f>
        <v/>
      </c>
      <c r="D234" s="9">
        <f>Model_Data!F234</f>
        <v/>
      </c>
      <c r="E234" s="9">
        <f>Model_Data!AC234</f>
        <v/>
      </c>
      <c r="F234" s="10" t="n"/>
      <c r="G234" s="9">
        <f>Model_Data!A234</f>
        <v/>
      </c>
      <c r="H234" s="9">
        <f>Model_Data!Y234</f>
        <v/>
      </c>
      <c r="I234" s="9">
        <f>Model_Data!Y234</f>
        <v/>
      </c>
      <c r="J234" s="9">
        <f>Model_Data!X234</f>
        <v/>
      </c>
      <c r="K234" s="9">
        <f>Model_Data!A234</f>
        <v/>
      </c>
      <c r="L234" s="9">
        <f>Model_Data!Y234</f>
        <v/>
      </c>
      <c r="M234" s="9">
        <f>Model_Data!X234</f>
        <v/>
      </c>
      <c r="N234" s="9">
        <f>-(Model_Data!AC234-Model_Data!F234)*Inputs!$C$12</f>
        <v/>
      </c>
      <c r="O234" s="10" t="n"/>
      <c r="P234" s="9">
        <f>Model_Data!A234</f>
        <v/>
      </c>
      <c r="Q234" s="9">
        <f>Model_Data!P234</f>
        <v/>
      </c>
      <c r="R234" s="9">
        <f>Model_Data!AM234</f>
        <v/>
      </c>
      <c r="S234" s="9">
        <f>Model_Data!Q234</f>
        <v/>
      </c>
      <c r="T234" s="9">
        <f>Model_Data!AN234</f>
        <v/>
      </c>
      <c r="U234" s="10" t="n"/>
      <c r="V234" s="9">
        <f>Model_Data!A234</f>
        <v/>
      </c>
      <c r="W234" s="9">
        <f>Model_Data!B234-Inputs!$C$5</f>
        <v/>
      </c>
      <c r="X234" s="10" t="n"/>
      <c r="Y234" s="9">
        <f>Model_Data!A234</f>
        <v/>
      </c>
      <c r="Z234" s="9">
        <f>0</f>
        <v/>
      </c>
      <c r="AA234" s="9">
        <f>((SQRT((Inputs!$C$52+Inputs!$C$5)^2+Inputs!$C$52^2-2*(Inputs!$C$52+Inputs!$C$5)*Inputs!$C$52*COS(SQRT((Model_Data!A234)^2+Inputs!$C$6^2)/Inputs!$C$52))-Inputs!$C$5)*1000/Inputs!$C$12)</f>
        <v/>
      </c>
      <c r="AB234" s="9">
        <f>Model_Data!F234</f>
        <v/>
      </c>
    </row>
    <row r="235">
      <c r="A235" s="9">
        <f>Model_Data!A235</f>
        <v/>
      </c>
      <c r="B235" s="9">
        <f>0</f>
        <v/>
      </c>
      <c r="C235" s="9">
        <f>((SQRT((Inputs!$C$52+Inputs!$C$5)^2+Inputs!$C$52^2-2*(Inputs!$C$52+Inputs!$C$5)*Inputs!$C$52*COS(SQRT((Model_Data!A235)^2+Inputs!$C$6^2)/Inputs!$C$52))-Inputs!$C$5)*1000/Inputs!$C$12)</f>
        <v/>
      </c>
      <c r="D235" s="9">
        <f>Model_Data!F235</f>
        <v/>
      </c>
      <c r="E235" s="9">
        <f>Model_Data!AC235</f>
        <v/>
      </c>
      <c r="F235" s="10" t="n"/>
      <c r="G235" s="9">
        <f>Model_Data!A235</f>
        <v/>
      </c>
      <c r="H235" s="9">
        <f>Model_Data!Y235</f>
        <v/>
      </c>
      <c r="I235" s="9">
        <f>Model_Data!Y235</f>
        <v/>
      </c>
      <c r="J235" s="9">
        <f>Model_Data!X235</f>
        <v/>
      </c>
      <c r="K235" s="9">
        <f>Model_Data!A235</f>
        <v/>
      </c>
      <c r="L235" s="9">
        <f>Model_Data!Y235</f>
        <v/>
      </c>
      <c r="M235" s="9">
        <f>Model_Data!X235</f>
        <v/>
      </c>
      <c r="N235" s="9">
        <f>-(Model_Data!AC235-Model_Data!F235)*Inputs!$C$12</f>
        <v/>
      </c>
      <c r="O235" s="10" t="n"/>
      <c r="P235" s="9">
        <f>Model_Data!A235</f>
        <v/>
      </c>
      <c r="Q235" s="9">
        <f>Model_Data!P235</f>
        <v/>
      </c>
      <c r="R235" s="9">
        <f>Model_Data!AM235</f>
        <v/>
      </c>
      <c r="S235" s="9">
        <f>Model_Data!Q235</f>
        <v/>
      </c>
      <c r="T235" s="9">
        <f>Model_Data!AN235</f>
        <v/>
      </c>
      <c r="U235" s="10" t="n"/>
      <c r="V235" s="9">
        <f>Model_Data!A235</f>
        <v/>
      </c>
      <c r="W235" s="9">
        <f>Model_Data!B235-Inputs!$C$5</f>
        <v/>
      </c>
      <c r="X235" s="10" t="n"/>
      <c r="Y235" s="9">
        <f>Model_Data!A235</f>
        <v/>
      </c>
      <c r="Z235" s="9">
        <f>0</f>
        <v/>
      </c>
      <c r="AA235" s="9">
        <f>((SQRT((Inputs!$C$52+Inputs!$C$5)^2+Inputs!$C$52^2-2*(Inputs!$C$52+Inputs!$C$5)*Inputs!$C$52*COS(SQRT((Model_Data!A235)^2+Inputs!$C$6^2)/Inputs!$C$52))-Inputs!$C$5)*1000/Inputs!$C$12)</f>
        <v/>
      </c>
      <c r="AB235" s="9">
        <f>Model_Data!F235</f>
        <v/>
      </c>
    </row>
    <row r="236">
      <c r="A236" s="9">
        <f>Model_Data!A236</f>
        <v/>
      </c>
      <c r="B236" s="9">
        <f>0</f>
        <v/>
      </c>
      <c r="C236" s="9">
        <f>((SQRT((Inputs!$C$52+Inputs!$C$5)^2+Inputs!$C$52^2-2*(Inputs!$C$52+Inputs!$C$5)*Inputs!$C$52*COS(SQRT((Model_Data!A236)^2+Inputs!$C$6^2)/Inputs!$C$52))-Inputs!$C$5)*1000/Inputs!$C$12)</f>
        <v/>
      </c>
      <c r="D236" s="9">
        <f>Model_Data!F236</f>
        <v/>
      </c>
      <c r="E236" s="9">
        <f>Model_Data!AC236</f>
        <v/>
      </c>
      <c r="F236" s="10" t="n"/>
      <c r="G236" s="9">
        <f>Model_Data!A236</f>
        <v/>
      </c>
      <c r="H236" s="9">
        <f>Model_Data!Y236</f>
        <v/>
      </c>
      <c r="I236" s="9">
        <f>Model_Data!Y236</f>
        <v/>
      </c>
      <c r="J236" s="9">
        <f>Model_Data!X236</f>
        <v/>
      </c>
      <c r="K236" s="9">
        <f>Model_Data!A236</f>
        <v/>
      </c>
      <c r="L236" s="9">
        <f>Model_Data!Y236</f>
        <v/>
      </c>
      <c r="M236" s="9">
        <f>Model_Data!X236</f>
        <v/>
      </c>
      <c r="N236" s="9">
        <f>-(Model_Data!AC236-Model_Data!F236)*Inputs!$C$12</f>
        <v/>
      </c>
      <c r="O236" s="10" t="n"/>
      <c r="P236" s="9">
        <f>Model_Data!A236</f>
        <v/>
      </c>
      <c r="Q236" s="9">
        <f>Model_Data!P236</f>
        <v/>
      </c>
      <c r="R236" s="9">
        <f>Model_Data!AM236</f>
        <v/>
      </c>
      <c r="S236" s="9">
        <f>Model_Data!Q236</f>
        <v/>
      </c>
      <c r="T236" s="9">
        <f>Model_Data!AN236</f>
        <v/>
      </c>
      <c r="U236" s="10" t="n"/>
      <c r="V236" s="9">
        <f>Model_Data!A236</f>
        <v/>
      </c>
      <c r="W236" s="9">
        <f>Model_Data!B236-Inputs!$C$5</f>
        <v/>
      </c>
      <c r="X236" s="10" t="n"/>
      <c r="Y236" s="9">
        <f>Model_Data!A236</f>
        <v/>
      </c>
      <c r="Z236" s="9">
        <f>0</f>
        <v/>
      </c>
      <c r="AA236" s="9">
        <f>((SQRT((Inputs!$C$52+Inputs!$C$5)^2+Inputs!$C$52^2-2*(Inputs!$C$52+Inputs!$C$5)*Inputs!$C$52*COS(SQRT((Model_Data!A236)^2+Inputs!$C$6^2)/Inputs!$C$52))-Inputs!$C$5)*1000/Inputs!$C$12)</f>
        <v/>
      </c>
      <c r="AB236" s="9">
        <f>Model_Data!F236</f>
        <v/>
      </c>
    </row>
    <row r="237">
      <c r="A237" s="9">
        <f>Model_Data!A237</f>
        <v/>
      </c>
      <c r="B237" s="9">
        <f>0</f>
        <v/>
      </c>
      <c r="C237" s="9">
        <f>((SQRT((Inputs!$C$52+Inputs!$C$5)^2+Inputs!$C$52^2-2*(Inputs!$C$52+Inputs!$C$5)*Inputs!$C$52*COS(SQRT((Model_Data!A237)^2+Inputs!$C$6^2)/Inputs!$C$52))-Inputs!$C$5)*1000/Inputs!$C$12)</f>
        <v/>
      </c>
      <c r="D237" s="9">
        <f>Model_Data!F237</f>
        <v/>
      </c>
      <c r="E237" s="9">
        <f>Model_Data!AC237</f>
        <v/>
      </c>
      <c r="F237" s="10" t="n"/>
      <c r="G237" s="9">
        <f>Model_Data!A237</f>
        <v/>
      </c>
      <c r="H237" s="9">
        <f>Model_Data!Y237</f>
        <v/>
      </c>
      <c r="I237" s="9">
        <f>Model_Data!Y237</f>
        <v/>
      </c>
      <c r="J237" s="9">
        <f>Model_Data!X237</f>
        <v/>
      </c>
      <c r="K237" s="9">
        <f>Model_Data!A237</f>
        <v/>
      </c>
      <c r="L237" s="9">
        <f>Model_Data!Y237</f>
        <v/>
      </c>
      <c r="M237" s="9">
        <f>Model_Data!X237</f>
        <v/>
      </c>
      <c r="N237" s="9">
        <f>-(Model_Data!AC237-Model_Data!F237)*Inputs!$C$12</f>
        <v/>
      </c>
      <c r="O237" s="10" t="n"/>
      <c r="P237" s="9">
        <f>Model_Data!A237</f>
        <v/>
      </c>
      <c r="Q237" s="9">
        <f>Model_Data!P237</f>
        <v/>
      </c>
      <c r="R237" s="9">
        <f>Model_Data!AM237</f>
        <v/>
      </c>
      <c r="S237" s="9">
        <f>Model_Data!Q237</f>
        <v/>
      </c>
      <c r="T237" s="9">
        <f>Model_Data!AN237</f>
        <v/>
      </c>
      <c r="U237" s="10" t="n"/>
      <c r="V237" s="9">
        <f>Model_Data!A237</f>
        <v/>
      </c>
      <c r="W237" s="9">
        <f>Model_Data!B237-Inputs!$C$5</f>
        <v/>
      </c>
      <c r="X237" s="10" t="n"/>
      <c r="Y237" s="9">
        <f>Model_Data!A237</f>
        <v/>
      </c>
      <c r="Z237" s="9">
        <f>0</f>
        <v/>
      </c>
      <c r="AA237" s="9">
        <f>((SQRT((Inputs!$C$52+Inputs!$C$5)^2+Inputs!$C$52^2-2*(Inputs!$C$52+Inputs!$C$5)*Inputs!$C$52*COS(SQRT((Model_Data!A237)^2+Inputs!$C$6^2)/Inputs!$C$52))-Inputs!$C$5)*1000/Inputs!$C$12)</f>
        <v/>
      </c>
      <c r="AB237" s="9">
        <f>Model_Data!F237</f>
        <v/>
      </c>
    </row>
    <row r="238">
      <c r="A238" s="9">
        <f>Model_Data!A238</f>
        <v/>
      </c>
      <c r="B238" s="9">
        <f>0</f>
        <v/>
      </c>
      <c r="C238" s="9">
        <f>((SQRT((Inputs!$C$52+Inputs!$C$5)^2+Inputs!$C$52^2-2*(Inputs!$C$52+Inputs!$C$5)*Inputs!$C$52*COS(SQRT((Model_Data!A238)^2+Inputs!$C$6^2)/Inputs!$C$52))-Inputs!$C$5)*1000/Inputs!$C$12)</f>
        <v/>
      </c>
      <c r="D238" s="9">
        <f>Model_Data!F238</f>
        <v/>
      </c>
      <c r="E238" s="9">
        <f>Model_Data!AC238</f>
        <v/>
      </c>
      <c r="F238" s="10" t="n"/>
      <c r="G238" s="9">
        <f>Model_Data!A238</f>
        <v/>
      </c>
      <c r="H238" s="9">
        <f>Model_Data!Y238</f>
        <v/>
      </c>
      <c r="I238" s="9">
        <f>Model_Data!Y238</f>
        <v/>
      </c>
      <c r="J238" s="9">
        <f>Model_Data!X238</f>
        <v/>
      </c>
      <c r="K238" s="9">
        <f>Model_Data!A238</f>
        <v/>
      </c>
      <c r="L238" s="9">
        <f>Model_Data!Y238</f>
        <v/>
      </c>
      <c r="M238" s="9">
        <f>Model_Data!X238</f>
        <v/>
      </c>
      <c r="N238" s="9">
        <f>-(Model_Data!AC238-Model_Data!F238)*Inputs!$C$12</f>
        <v/>
      </c>
      <c r="O238" s="10" t="n"/>
      <c r="P238" s="9">
        <f>Model_Data!A238</f>
        <v/>
      </c>
      <c r="Q238" s="9">
        <f>Model_Data!P238</f>
        <v/>
      </c>
      <c r="R238" s="9">
        <f>Model_Data!AM238</f>
        <v/>
      </c>
      <c r="S238" s="9">
        <f>Model_Data!Q238</f>
        <v/>
      </c>
      <c r="T238" s="9">
        <f>Model_Data!AN238</f>
        <v/>
      </c>
      <c r="U238" s="10" t="n"/>
      <c r="V238" s="9">
        <f>Model_Data!A238</f>
        <v/>
      </c>
      <c r="W238" s="9">
        <f>Model_Data!B238-Inputs!$C$5</f>
        <v/>
      </c>
      <c r="X238" s="10" t="n"/>
      <c r="Y238" s="9">
        <f>Model_Data!A238</f>
        <v/>
      </c>
      <c r="Z238" s="9">
        <f>0</f>
        <v/>
      </c>
      <c r="AA238" s="9">
        <f>((SQRT((Inputs!$C$52+Inputs!$C$5)^2+Inputs!$C$52^2-2*(Inputs!$C$52+Inputs!$C$5)*Inputs!$C$52*COS(SQRT((Model_Data!A238)^2+Inputs!$C$6^2)/Inputs!$C$52))-Inputs!$C$5)*1000/Inputs!$C$12)</f>
        <v/>
      </c>
      <c r="AB238" s="9">
        <f>Model_Data!F238</f>
        <v/>
      </c>
    </row>
    <row r="239">
      <c r="A239" s="9">
        <f>Model_Data!A239</f>
        <v/>
      </c>
      <c r="B239" s="9">
        <f>0</f>
        <v/>
      </c>
      <c r="C239" s="9">
        <f>((SQRT((Inputs!$C$52+Inputs!$C$5)^2+Inputs!$C$52^2-2*(Inputs!$C$52+Inputs!$C$5)*Inputs!$C$52*COS(SQRT((Model_Data!A239)^2+Inputs!$C$6^2)/Inputs!$C$52))-Inputs!$C$5)*1000/Inputs!$C$12)</f>
        <v/>
      </c>
      <c r="D239" s="9">
        <f>Model_Data!F239</f>
        <v/>
      </c>
      <c r="E239" s="9">
        <f>Model_Data!AC239</f>
        <v/>
      </c>
      <c r="F239" s="10" t="n"/>
      <c r="G239" s="9">
        <f>Model_Data!A239</f>
        <v/>
      </c>
      <c r="H239" s="9">
        <f>Model_Data!Y239</f>
        <v/>
      </c>
      <c r="I239" s="9">
        <f>Model_Data!Y239</f>
        <v/>
      </c>
      <c r="J239" s="9">
        <f>Model_Data!X239</f>
        <v/>
      </c>
      <c r="K239" s="9">
        <f>Model_Data!A239</f>
        <v/>
      </c>
      <c r="L239" s="9">
        <f>Model_Data!Y239</f>
        <v/>
      </c>
      <c r="M239" s="9">
        <f>Model_Data!X239</f>
        <v/>
      </c>
      <c r="N239" s="9">
        <f>-(Model_Data!AC239-Model_Data!F239)*Inputs!$C$12</f>
        <v/>
      </c>
      <c r="O239" s="10" t="n"/>
      <c r="P239" s="9">
        <f>Model_Data!A239</f>
        <v/>
      </c>
      <c r="Q239" s="9">
        <f>Model_Data!P239</f>
        <v/>
      </c>
      <c r="R239" s="9">
        <f>Model_Data!AM239</f>
        <v/>
      </c>
      <c r="S239" s="9">
        <f>Model_Data!Q239</f>
        <v/>
      </c>
      <c r="T239" s="9">
        <f>Model_Data!AN239</f>
        <v/>
      </c>
      <c r="U239" s="10" t="n"/>
      <c r="V239" s="9">
        <f>Model_Data!A239</f>
        <v/>
      </c>
      <c r="W239" s="9">
        <f>Model_Data!B239-Inputs!$C$5</f>
        <v/>
      </c>
      <c r="X239" s="10" t="n"/>
      <c r="Y239" s="9">
        <f>Model_Data!A239</f>
        <v/>
      </c>
      <c r="Z239" s="9">
        <f>0</f>
        <v/>
      </c>
      <c r="AA239" s="9">
        <f>((SQRT((Inputs!$C$52+Inputs!$C$5)^2+Inputs!$C$52^2-2*(Inputs!$C$52+Inputs!$C$5)*Inputs!$C$52*COS(SQRT((Model_Data!A239)^2+Inputs!$C$6^2)/Inputs!$C$52))-Inputs!$C$5)*1000/Inputs!$C$12)</f>
        <v/>
      </c>
      <c r="AB239" s="9">
        <f>Model_Data!F239</f>
        <v/>
      </c>
    </row>
    <row r="240">
      <c r="A240" s="9">
        <f>Model_Data!A240</f>
        <v/>
      </c>
      <c r="B240" s="9">
        <f>0</f>
        <v/>
      </c>
      <c r="C240" s="9">
        <f>((SQRT((Inputs!$C$52+Inputs!$C$5)^2+Inputs!$C$52^2-2*(Inputs!$C$52+Inputs!$C$5)*Inputs!$C$52*COS(SQRT((Model_Data!A240)^2+Inputs!$C$6^2)/Inputs!$C$52))-Inputs!$C$5)*1000/Inputs!$C$12)</f>
        <v/>
      </c>
      <c r="D240" s="9">
        <f>Model_Data!F240</f>
        <v/>
      </c>
      <c r="E240" s="9">
        <f>Model_Data!AC240</f>
        <v/>
      </c>
      <c r="F240" s="10" t="n"/>
      <c r="G240" s="9">
        <f>Model_Data!A240</f>
        <v/>
      </c>
      <c r="H240" s="9">
        <f>Model_Data!Y240</f>
        <v/>
      </c>
      <c r="I240" s="9">
        <f>Model_Data!Y240</f>
        <v/>
      </c>
      <c r="J240" s="9">
        <f>Model_Data!X240</f>
        <v/>
      </c>
      <c r="K240" s="9">
        <f>Model_Data!A240</f>
        <v/>
      </c>
      <c r="L240" s="9">
        <f>Model_Data!Y240</f>
        <v/>
      </c>
      <c r="M240" s="9">
        <f>Model_Data!X240</f>
        <v/>
      </c>
      <c r="N240" s="9">
        <f>-(Model_Data!AC240-Model_Data!F240)*Inputs!$C$12</f>
        <v/>
      </c>
      <c r="O240" s="10" t="n"/>
      <c r="P240" s="9">
        <f>Model_Data!A240</f>
        <v/>
      </c>
      <c r="Q240" s="9">
        <f>Model_Data!P240</f>
        <v/>
      </c>
      <c r="R240" s="9">
        <f>Model_Data!AM240</f>
        <v/>
      </c>
      <c r="S240" s="9">
        <f>Model_Data!Q240</f>
        <v/>
      </c>
      <c r="T240" s="9">
        <f>Model_Data!AN240</f>
        <v/>
      </c>
      <c r="U240" s="10" t="n"/>
      <c r="V240" s="9">
        <f>Model_Data!A240</f>
        <v/>
      </c>
      <c r="W240" s="9">
        <f>Model_Data!B240-Inputs!$C$5</f>
        <v/>
      </c>
      <c r="X240" s="10" t="n"/>
      <c r="Y240" s="9">
        <f>Model_Data!A240</f>
        <v/>
      </c>
      <c r="Z240" s="9">
        <f>0</f>
        <v/>
      </c>
      <c r="AA240" s="9">
        <f>((SQRT((Inputs!$C$52+Inputs!$C$5)^2+Inputs!$C$52^2-2*(Inputs!$C$52+Inputs!$C$5)*Inputs!$C$52*COS(SQRT((Model_Data!A240)^2+Inputs!$C$6^2)/Inputs!$C$52))-Inputs!$C$5)*1000/Inputs!$C$12)</f>
        <v/>
      </c>
      <c r="AB240" s="9">
        <f>Model_Data!F240</f>
        <v/>
      </c>
    </row>
    <row r="241">
      <c r="A241" s="9">
        <f>Model_Data!A241</f>
        <v/>
      </c>
      <c r="B241" s="9">
        <f>0</f>
        <v/>
      </c>
      <c r="C241" s="9">
        <f>((SQRT((Inputs!$C$52+Inputs!$C$5)^2+Inputs!$C$52^2-2*(Inputs!$C$52+Inputs!$C$5)*Inputs!$C$52*COS(SQRT((Model_Data!A241)^2+Inputs!$C$6^2)/Inputs!$C$52))-Inputs!$C$5)*1000/Inputs!$C$12)</f>
        <v/>
      </c>
      <c r="D241" s="9">
        <f>Model_Data!F241</f>
        <v/>
      </c>
      <c r="E241" s="9">
        <f>Model_Data!AC241</f>
        <v/>
      </c>
      <c r="F241" s="10" t="n"/>
      <c r="G241" s="9">
        <f>Model_Data!A241</f>
        <v/>
      </c>
      <c r="H241" s="9">
        <f>Model_Data!Y241</f>
        <v/>
      </c>
      <c r="I241" s="9">
        <f>Model_Data!Y241</f>
        <v/>
      </c>
      <c r="J241" s="9">
        <f>Model_Data!X241</f>
        <v/>
      </c>
      <c r="K241" s="9">
        <f>Model_Data!A241</f>
        <v/>
      </c>
      <c r="L241" s="9">
        <f>Model_Data!Y241</f>
        <v/>
      </c>
      <c r="M241" s="9">
        <f>Model_Data!X241</f>
        <v/>
      </c>
      <c r="N241" s="9">
        <f>-(Model_Data!AC241-Model_Data!F241)*Inputs!$C$12</f>
        <v/>
      </c>
      <c r="O241" s="10" t="n"/>
      <c r="P241" s="9">
        <f>Model_Data!A241</f>
        <v/>
      </c>
      <c r="Q241" s="9">
        <f>Model_Data!P241</f>
        <v/>
      </c>
      <c r="R241" s="9">
        <f>Model_Data!AM241</f>
        <v/>
      </c>
      <c r="S241" s="9">
        <f>Model_Data!Q241</f>
        <v/>
      </c>
      <c r="T241" s="9">
        <f>Model_Data!AN241</f>
        <v/>
      </c>
      <c r="U241" s="10" t="n"/>
      <c r="V241" s="9">
        <f>Model_Data!A241</f>
        <v/>
      </c>
      <c r="W241" s="9">
        <f>Model_Data!B241-Inputs!$C$5</f>
        <v/>
      </c>
      <c r="X241" s="10" t="n"/>
      <c r="Y241" s="9">
        <f>Model_Data!A241</f>
        <v/>
      </c>
      <c r="Z241" s="9">
        <f>0</f>
        <v/>
      </c>
      <c r="AA241" s="9">
        <f>((SQRT((Inputs!$C$52+Inputs!$C$5)^2+Inputs!$C$52^2-2*(Inputs!$C$52+Inputs!$C$5)*Inputs!$C$52*COS(SQRT((Model_Data!A241)^2+Inputs!$C$6^2)/Inputs!$C$52))-Inputs!$C$5)*1000/Inputs!$C$12)</f>
        <v/>
      </c>
      <c r="AB241" s="9">
        <f>Model_Data!F241</f>
        <v/>
      </c>
    </row>
    <row r="242">
      <c r="A242" s="9">
        <f>Model_Data!A242</f>
        <v/>
      </c>
      <c r="B242" s="9">
        <f>0</f>
        <v/>
      </c>
      <c r="C242" s="9">
        <f>((SQRT((Inputs!$C$52+Inputs!$C$5)^2+Inputs!$C$52^2-2*(Inputs!$C$52+Inputs!$C$5)*Inputs!$C$52*COS(SQRT((Model_Data!A242)^2+Inputs!$C$6^2)/Inputs!$C$52))-Inputs!$C$5)*1000/Inputs!$C$12)</f>
        <v/>
      </c>
      <c r="D242" s="9">
        <f>Model_Data!F242</f>
        <v/>
      </c>
      <c r="E242" s="9">
        <f>Model_Data!AC242</f>
        <v/>
      </c>
      <c r="F242" s="10" t="n"/>
      <c r="G242" s="9">
        <f>Model_Data!A242</f>
        <v/>
      </c>
      <c r="H242" s="9">
        <f>Model_Data!Y242</f>
        <v/>
      </c>
      <c r="I242" s="9">
        <f>Model_Data!Y242</f>
        <v/>
      </c>
      <c r="J242" s="9">
        <f>Model_Data!X242</f>
        <v/>
      </c>
      <c r="K242" s="9">
        <f>Model_Data!A242</f>
        <v/>
      </c>
      <c r="L242" s="9">
        <f>Model_Data!Y242</f>
        <v/>
      </c>
      <c r="M242" s="9">
        <f>Model_Data!X242</f>
        <v/>
      </c>
      <c r="N242" s="9">
        <f>-(Model_Data!AC242-Model_Data!F242)*Inputs!$C$12</f>
        <v/>
      </c>
      <c r="O242" s="10" t="n"/>
      <c r="P242" s="9">
        <f>Model_Data!A242</f>
        <v/>
      </c>
      <c r="Q242" s="9">
        <f>Model_Data!P242</f>
        <v/>
      </c>
      <c r="R242" s="9">
        <f>Model_Data!AM242</f>
        <v/>
      </c>
      <c r="S242" s="9">
        <f>Model_Data!Q242</f>
        <v/>
      </c>
      <c r="T242" s="9">
        <f>Model_Data!AN242</f>
        <v/>
      </c>
      <c r="U242" s="10" t="n"/>
      <c r="V242" s="9">
        <f>Model_Data!A242</f>
        <v/>
      </c>
      <c r="W242" s="9">
        <f>Model_Data!B242-Inputs!$C$5</f>
        <v/>
      </c>
      <c r="X242" s="10" t="n"/>
      <c r="Y242" s="9">
        <f>Model_Data!A242</f>
        <v/>
      </c>
      <c r="Z242" s="9">
        <f>0</f>
        <v/>
      </c>
      <c r="AA242" s="9">
        <f>((SQRT((Inputs!$C$52+Inputs!$C$5)^2+Inputs!$C$52^2-2*(Inputs!$C$52+Inputs!$C$5)*Inputs!$C$52*COS(SQRT((Model_Data!A242)^2+Inputs!$C$6^2)/Inputs!$C$52))-Inputs!$C$5)*1000/Inputs!$C$12)</f>
        <v/>
      </c>
      <c r="AB242" s="9">
        <f>Model_Data!F242</f>
        <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BJ242"/>
  <sheetViews>
    <sheetView showGridLines="0" workbookViewId="0">
      <selection activeCell="A1" sqref="A1"/>
    </sheetView>
  </sheetViews>
  <sheetFormatPr baseColWidth="8" defaultRowHeight="13.5"/>
  <cols>
    <col width="12" customWidth="1" min="1" max="1"/>
    <col width="24" customWidth="1" min="2" max="2"/>
    <col width="30" customWidth="1" min="3" max="4"/>
    <col width="32" customWidth="1" min="5" max="5"/>
    <col width="4" customWidth="1" min="6" max="6"/>
    <col width="12" customWidth="1" min="7" max="7"/>
    <col width="30" customWidth="1" min="8" max="8"/>
    <col width="34" customWidth="1" min="9" max="10"/>
    <col width="36" customWidth="1" min="11" max="11"/>
    <col width="4" customWidth="1" min="12" max="12"/>
    <col width="12" customWidth="1" min="13" max="13"/>
    <col width="30" customWidth="1" min="14" max="14"/>
    <col width="34" customWidth="1" min="15" max="16"/>
    <col width="36" customWidth="1" min="17" max="17"/>
    <col width="4" customWidth="1" min="18" max="18"/>
    <col width="12" customWidth="1" min="19" max="19"/>
    <col width="24" customWidth="1" min="20" max="20"/>
    <col width="30" customWidth="1" min="21" max="22"/>
    <col width="32" customWidth="1" min="23" max="23"/>
    <col width="12" customWidth="1" min="25" max="25"/>
    <col width="24" customWidth="1" min="26" max="26"/>
    <col width="30" customWidth="1" min="27" max="28"/>
    <col width="32" customWidth="1" min="29" max="29"/>
    <col width="12" customWidth="1" min="31" max="31"/>
    <col width="30" customWidth="1" min="32" max="32"/>
    <col width="34" customWidth="1" min="33" max="34"/>
    <col width="36" customWidth="1" min="35" max="35"/>
    <col width="12" customWidth="1" min="37" max="37"/>
    <col width="30" customWidth="1" min="38" max="38"/>
    <col width="34" customWidth="1" min="39" max="40"/>
    <col width="36" customWidth="1" min="41" max="41"/>
    <col width="12" customWidth="1" min="43" max="43"/>
    <col width="24" customWidth="1" min="44" max="44"/>
    <col width="32" customWidth="1" min="45" max="45"/>
    <col width="36" customWidth="1" min="46" max="47"/>
    <col width="38" customWidth="1" min="48" max="48"/>
    <col width="12" customWidth="1" min="50" max="50"/>
    <col width="28" customWidth="1" min="51" max="51"/>
    <col width="24" customWidth="1" min="52" max="52"/>
    <col width="30" customWidth="1" min="53" max="54"/>
    <col width="32" customWidth="1" min="55" max="55"/>
    <col width="12" customWidth="1" min="57" max="57"/>
    <col width="28" customWidth="1" min="58" max="58"/>
    <col width="30" customWidth="1" min="59" max="59"/>
    <col width="34" customWidth="1" min="60" max="61"/>
    <col width="36" customWidth="1" min="62" max="62"/>
  </cols>
  <sheetData>
    <row r="1" ht="26.25" customHeight="1">
      <c r="A1" s="2" t="inlineStr">
        <is>
          <t>pass fraction</t>
        </is>
      </c>
      <c r="B1" s="2" t="inlineStr">
        <is>
          <t>Current custom inputs altitude (km)</t>
        </is>
      </c>
      <c r="C1" s="2" t="inlineStr">
        <is>
          <t>Paper low-altitude 800-km pass altitude (km)</t>
        </is>
      </c>
      <c r="D1" s="2" t="inlineStr">
        <is>
          <t>Paper ice-ocean 1600-km pass altitude (km)</t>
        </is>
      </c>
      <c r="E1" s="2" t="inlineStr">
        <is>
          <t>Paper operating 25-to-1000-km pass altitude (km)</t>
        </is>
      </c>
      <c r="G1" s="2" t="inlineStr">
        <is>
          <t>pass fraction</t>
        </is>
      </c>
      <c r="H1" s="2" t="inlineStr">
        <is>
          <t>Current custom inputs apparent depth (m)</t>
        </is>
      </c>
      <c r="I1" s="2" t="inlineStr">
        <is>
          <t>Paper low-altitude 800-km pass apparent depth (m)</t>
        </is>
      </c>
      <c r="J1" s="2" t="inlineStr">
        <is>
          <t>Paper ice-ocean 1600-km pass apparent depth (m)</t>
        </is>
      </c>
      <c r="K1" s="2" t="inlineStr">
        <is>
          <t>Paper operating 25-to-1000-km pass apparent depth (m)</t>
        </is>
      </c>
      <c r="M1" s="2" t="inlineStr">
        <is>
          <t>pass fraction</t>
        </is>
      </c>
      <c r="N1" s="2" t="inlineStr">
        <is>
          <t>Current custom inputs VHF Doppler (Hz)</t>
        </is>
      </c>
      <c r="O1" s="2" t="inlineStr">
        <is>
          <t>Paper low-altitude 800-km pass VHF Doppler (Hz)</t>
        </is>
      </c>
      <c r="P1" s="2" t="inlineStr">
        <is>
          <t>Paper ice-ocean 1600-km pass VHF Doppler (Hz)</t>
        </is>
      </c>
      <c r="Q1" s="2" t="inlineStr">
        <is>
          <t>Paper operating 25-to-1000-km pass VHF Doppler (Hz)</t>
        </is>
      </c>
      <c r="S1" s="2" t="inlineStr">
        <is>
          <t>pass fraction</t>
        </is>
      </c>
      <c r="T1" s="2" t="inlineStr">
        <is>
          <t>Current custom inputs x (km)</t>
        </is>
      </c>
      <c r="U1" s="2" t="inlineStr">
        <is>
          <t>Paper low-altitude 800-km pass x (km)</t>
        </is>
      </c>
      <c r="V1" s="2" t="inlineStr">
        <is>
          <t>Paper ice-ocean 1600-km pass x (km)</t>
        </is>
      </c>
      <c r="W1" s="2" t="inlineStr">
        <is>
          <t>Paper operating 25-to-1000-km pass x (km)</t>
        </is>
      </c>
      <c r="Y1" s="2" t="inlineStr">
        <is>
          <t>pass fraction</t>
        </is>
      </c>
      <c r="Z1" s="2" t="inlineStr">
        <is>
          <t>Current custom inputs raw altitude (km)</t>
        </is>
      </c>
      <c r="AA1" s="2" t="inlineStr">
        <is>
          <t>Paper low-altitude 800-km pass raw altitude (km)</t>
        </is>
      </c>
      <c r="AB1" s="2" t="inlineStr">
        <is>
          <t>Paper ice-ocean 1600-km pass raw altitude (km)</t>
        </is>
      </c>
      <c r="AC1" s="2" t="inlineStr">
        <is>
          <t>Paper operating 25-to-1000-km pass raw altitude (km)</t>
        </is>
      </c>
      <c r="AE1" s="2" t="inlineStr">
        <is>
          <t>pass fraction</t>
        </is>
      </c>
      <c r="AF1" s="2" t="inlineStr">
        <is>
          <t>Current custom inputs raw apparent depth (m)</t>
        </is>
      </c>
      <c r="AG1" s="2" t="inlineStr">
        <is>
          <t>Paper low-altitude 800-km pass raw apparent depth (m)</t>
        </is>
      </c>
      <c r="AH1" s="2" t="inlineStr">
        <is>
          <t>Paper ice-ocean 1600-km pass raw apparent depth (m)</t>
        </is>
      </c>
      <c r="AI1" s="2" t="inlineStr">
        <is>
          <t>Paper operating 25-to-1000-km pass raw apparent depth (m)</t>
        </is>
      </c>
      <c r="AK1" s="2" t="inlineStr">
        <is>
          <t>pass fraction</t>
        </is>
      </c>
      <c r="AL1" s="2" t="inlineStr">
        <is>
          <t>Current custom inputs raw VHF Doppler (Hz)</t>
        </is>
      </c>
      <c r="AM1" s="2" t="inlineStr">
        <is>
          <t>Paper low-altitude 800-km pass raw VHF Doppler (Hz)</t>
        </is>
      </c>
      <c r="AN1" s="2" t="inlineStr">
        <is>
          <t>Paper ice-ocean 1600-km pass raw VHF Doppler (Hz)</t>
        </is>
      </c>
      <c r="AO1" s="2" t="inlineStr">
        <is>
          <t>Paper operating 25-to-1000-km pass raw VHF Doppler (Hz)</t>
        </is>
      </c>
      <c r="AQ1" s="2" t="inlineStr">
        <is>
          <t>pass fraction</t>
        </is>
      </c>
      <c r="AR1" s="2" t="inlineStr">
        <is>
          <t>Reference floor (0 m, not a run)</t>
        </is>
      </c>
      <c r="AS1" s="2" t="inlineStr">
        <is>
          <t>Current custom inputs off-nadir surface (m)</t>
        </is>
      </c>
      <c r="AT1" s="2" t="inlineStr">
        <is>
          <t>Paper low-altitude 800-km pass off-nadir surface (m)</t>
        </is>
      </c>
      <c r="AU1" s="2" t="inlineStr">
        <is>
          <t>Paper ice-ocean 1600-km pass off-nadir surface (m)</t>
        </is>
      </c>
      <c r="AV1" s="2" t="inlineStr">
        <is>
          <t>Paper operating 25-to-1000-km pass off-nadir surface (m)</t>
        </is>
      </c>
      <c r="AX1" s="2" t="inlineStr">
        <is>
          <t>pass fraction</t>
        </is>
      </c>
      <c r="AY1" s="2" t="inlineStr">
        <is>
          <t>Reference surface floor (0 km, not a run)</t>
        </is>
      </c>
      <c r="AZ1" s="2" t="inlineStr">
        <is>
          <t>Current custom inputs altitude (km)</t>
        </is>
      </c>
      <c r="BA1" s="2" t="inlineStr">
        <is>
          <t>Paper low-altitude 800-km pass altitude (km)</t>
        </is>
      </c>
      <c r="BB1" s="2" t="inlineStr">
        <is>
          <t>Paper ice-ocean 1600-km pass altitude (km)</t>
        </is>
      </c>
      <c r="BC1" s="2" t="inlineStr">
        <is>
          <t>Paper operating 25-to-1000-km pass altitude (km)</t>
        </is>
      </c>
      <c r="BE1" s="2" t="inlineStr">
        <is>
          <t>pass fraction</t>
        </is>
      </c>
      <c r="BF1" s="2" t="inlineStr">
        <is>
          <t>Zero-depth reference (0 m, not a run)</t>
        </is>
      </c>
      <c r="BG1" s="2" t="inlineStr">
        <is>
          <t>Current custom inputs apparent depth (m)</t>
        </is>
      </c>
      <c r="BH1" s="2" t="inlineStr">
        <is>
          <t>Paper low-altitude 800-km pass apparent depth (m)</t>
        </is>
      </c>
      <c r="BI1" s="2" t="inlineStr">
        <is>
          <t>Paper ice-ocean 1600-km pass apparent depth (m)</t>
        </is>
      </c>
      <c r="BJ1" s="2" t="inlineStr">
        <is>
          <t>Paper operating 25-to-1000-km pass apparent depth (m)</t>
        </is>
      </c>
    </row>
    <row r="2">
      <c r="A2" s="9">
        <f>ROUND(-1+0*2/240,3)</f>
        <v/>
      </c>
      <c r="B2" s="9">
        <f>IF(OR(Inputs!$F$6=TRUE,Inputs!$F$6="TRUE",Inputs!$F$6=1),(Inputs!$H$6+Inputs!$L$6*(((Inputs!$I$6+(((A2)+1)/2)*(Inputs!$J$6-Inputs!$I$6)))/Inputs!$K$6)^2),NA())</f>
        <v/>
      </c>
      <c r="C2" s="9">
        <f>IF(OR(Inputs!$F$7=TRUE,Inputs!$F$7="TRUE",Inputs!$F$7=1),(Inputs!$H$7+Inputs!$L$7*(((Inputs!$I$7+(((A2)+1)/2)*(Inputs!$J$7-Inputs!$I$7)))/Inputs!$K$7)^2),NA())</f>
        <v/>
      </c>
      <c r="D2" s="9">
        <f>IF(OR(Inputs!$F$8=TRUE,Inputs!$F$8="TRUE",Inputs!$F$8=1),(Inputs!$H$8+Inputs!$L$8*(((Inputs!$I$8+(((A2)+1)/2)*(Inputs!$J$8-Inputs!$I$8)))/Inputs!$K$8)^2),NA())</f>
        <v/>
      </c>
      <c r="E2" s="9">
        <f>IF(OR(Inputs!$F$9=TRUE,Inputs!$F$9="TRUE",Inputs!$F$9=1),(Inputs!$H$9+Inputs!$L$9*(((Inputs!$I$9+(((A2)+1)/2)*(Inputs!$J$9-Inputs!$I$9)))/Inputs!$K$9)^2),NA())</f>
        <v/>
      </c>
      <c r="F2" s="10" t="n"/>
      <c r="G2" s="9">
        <f>A2</f>
        <v/>
      </c>
      <c r="H2" s="9">
        <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f>
        <v/>
      </c>
      <c r="I2" s="9">
        <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f>
        <v/>
      </c>
      <c r="J2" s="9">
        <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f>
        <v/>
      </c>
      <c r="K2" s="9">
        <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f>
        <v/>
      </c>
      <c r="L2" s="10" t="n"/>
      <c r="M2" s="9">
        <f>A2</f>
        <v/>
      </c>
      <c r="N2" s="9">
        <f>IF(OR(Inputs!$F$6=TRUE,Inputs!$F$6="TRUE",Inputs!$F$6=1),(-2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NA())</f>
        <v/>
      </c>
      <c r="O2" s="9">
        <f>IF(OR(Inputs!$F$7=TRUE,Inputs!$F$7="TRUE",Inputs!$F$7=1),(-2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NA())</f>
        <v/>
      </c>
      <c r="P2" s="9">
        <f>IF(OR(Inputs!$F$8=TRUE,Inputs!$F$8="TRUE",Inputs!$F$8=1),(-2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NA())</f>
        <v/>
      </c>
      <c r="Q2" s="9">
        <f>IF(OR(Inputs!$F$9=TRUE,Inputs!$F$9="TRUE",Inputs!$F$9=1),(-2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NA())</f>
        <v/>
      </c>
      <c r="R2" s="10" t="n"/>
      <c r="S2" s="9">
        <f>A2</f>
        <v/>
      </c>
      <c r="T2" s="9">
        <f>(Inputs!$I$6+(((A2)+1)/2)*(Inputs!$J$6-Inputs!$I$6))</f>
        <v/>
      </c>
      <c r="U2" s="9">
        <f>(Inputs!$I$7+(((A2)+1)/2)*(Inputs!$J$7-Inputs!$I$7))</f>
        <v/>
      </c>
      <c r="V2" s="9">
        <f>(Inputs!$I$8+(((A2)+1)/2)*(Inputs!$J$8-Inputs!$I$8))</f>
        <v/>
      </c>
      <c r="W2" s="9">
        <f>(Inputs!$I$9+(((A2)+1)/2)*(Inputs!$J$9-Inputs!$I$9))</f>
        <v/>
      </c>
      <c r="X2" s="10" t="n"/>
      <c r="Y2" s="9">
        <f>A2</f>
        <v/>
      </c>
      <c r="Z2" s="9">
        <f>(Inputs!$H$6+Inputs!$L$6*(((Inputs!$I$6+(((A2)+1)/2)*(Inputs!$J$6-Inputs!$I$6)))/Inputs!$K$6)^2)</f>
        <v/>
      </c>
      <c r="AA2" s="9">
        <f>(Inputs!$H$7+Inputs!$L$7*(((Inputs!$I$7+(((A2)+1)/2)*(Inputs!$J$7-Inputs!$I$7)))/Inputs!$K$7)^2)</f>
        <v/>
      </c>
      <c r="AB2" s="9">
        <f>(Inputs!$H$8+Inputs!$L$8*(((Inputs!$I$8+(((A2)+1)/2)*(Inputs!$J$8-Inputs!$I$8)))/Inputs!$K$8)^2)</f>
        <v/>
      </c>
      <c r="AC2" s="9">
        <f>(Inputs!$H$9+Inputs!$L$9*(((Inputs!$I$9+(((A2)+1)/2)*(Inputs!$J$9-Inputs!$I$9)))/Inputs!$K$9)^2)</f>
        <v/>
      </c>
      <c r="AD2" s="10" t="n"/>
      <c r="AE2" s="9">
        <f>A2</f>
        <v/>
      </c>
      <c r="AF2" s="9">
        <f>(((SQRT((Inputs!$C$52+((Inputs!$H$6+Inputs!$L$6*(((Inputs!$I$6+(((A2)+1)/2)*(Inputs!$J$6-Inputs!$I$6)))/Inputs!$K$6)^2)))^2+Inputs!$C$52^2-2*(Inputs!$C$52+((Inputs!$H$6+Inputs!$L$6*(((Inputs!$I$6+(((A2)+1)/2)*(Inputs!$J$6-Inputs!$I$6)))/Inputs!$K$6)^2)))*Inputs!$C$52*COS(SQRT(((Inputs!$I$6+(((A2)+1)/2)*(Inputs!$J$6-Inputs!$I$6)))^2+Inputs!$C$6^2)/Inputs!$C$52)))-((Inputs!$H$6+Inputs!$L$6*(((Inputs!$I$6+(((A2)+1)/2)*(Inputs!$J$6-Inputs!$I$6)))/Inputs!$K$6)^2)))*1000/Inputs!$C$12)</f>
        <v/>
      </c>
      <c r="AG2" s="9">
        <f>(((SQRT((Inputs!$C$52+((Inputs!$H$7+Inputs!$L$7*(((Inputs!$I$7+(((A2)+1)/2)*(Inputs!$J$7-Inputs!$I$7)))/Inputs!$K$7)^2)))^2+Inputs!$C$52^2-2*(Inputs!$C$52+((Inputs!$H$7+Inputs!$L$7*(((Inputs!$I$7+(((A2)+1)/2)*(Inputs!$J$7-Inputs!$I$7)))/Inputs!$K$7)^2)))*Inputs!$C$52*COS(SQRT(((Inputs!$I$7+(((A2)+1)/2)*(Inputs!$J$7-Inputs!$I$7)))^2+Inputs!$C$6^2)/Inputs!$C$52)))-((Inputs!$H$7+Inputs!$L$7*(((Inputs!$I$7+(((A2)+1)/2)*(Inputs!$J$7-Inputs!$I$7)))/Inputs!$K$7)^2)))*1000/Inputs!$C$12)</f>
        <v/>
      </c>
      <c r="AH2" s="9">
        <f>(((SQRT((Inputs!$C$52+((Inputs!$H$8+Inputs!$L$8*(((Inputs!$I$8+(((A2)+1)/2)*(Inputs!$J$8-Inputs!$I$8)))/Inputs!$K$8)^2)))^2+Inputs!$C$52^2-2*(Inputs!$C$52+((Inputs!$H$8+Inputs!$L$8*(((Inputs!$I$8+(((A2)+1)/2)*(Inputs!$J$8-Inputs!$I$8)))/Inputs!$K$8)^2)))*Inputs!$C$52*COS(SQRT(((Inputs!$I$8+(((A2)+1)/2)*(Inputs!$J$8-Inputs!$I$8)))^2+Inputs!$C$6^2)/Inputs!$C$52)))-((Inputs!$H$8+Inputs!$L$8*(((Inputs!$I$8+(((A2)+1)/2)*(Inputs!$J$8-Inputs!$I$8)))/Inputs!$K$8)^2)))*1000/Inputs!$C$12)</f>
        <v/>
      </c>
      <c r="AI2" s="9">
        <f>(((SQRT((Inputs!$C$52+((Inputs!$H$9+Inputs!$L$9*(((Inputs!$I$9+(((A2)+1)/2)*(Inputs!$J$9-Inputs!$I$9)))/Inputs!$K$9)^2)))^2+Inputs!$C$52^2-2*(Inputs!$C$52+((Inputs!$H$9+Inputs!$L$9*(((Inputs!$I$9+(((A2)+1)/2)*(Inputs!$J$9-Inputs!$I$9)))/Inputs!$K$9)^2)))*Inputs!$C$52*COS(SQRT(((Inputs!$I$9+(((A2)+1)/2)*(Inputs!$J$9-Inputs!$I$9)))^2+Inputs!$C$6^2)/Inputs!$C$52)))-((Inputs!$H$9+Inputs!$L$9*(((Inputs!$I$9+(((A2)+1)/2)*(Inputs!$J$9-Inputs!$I$9)))/Inputs!$K$9)^2)))*1000/Inputs!$C$12)</f>
        <v/>
      </c>
      <c r="AJ2" s="10" t="n"/>
      <c r="AK2" s="9">
        <f>A2</f>
        <v/>
      </c>
      <c r="AL2" s="9">
        <f>(-2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f>
        <v/>
      </c>
      <c r="AM2" s="9">
        <f>(-2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f>
        <v/>
      </c>
      <c r="AN2" s="9">
        <f>(-2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f>
        <v/>
      </c>
      <c r="AO2" s="9">
        <f>(-2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f>
        <v/>
      </c>
      <c r="AP2" s="10" t="n"/>
      <c r="AQ2" s="9">
        <f>A2</f>
        <v/>
      </c>
      <c r="AR2" s="9">
        <f>0</f>
        <v/>
      </c>
      <c r="AS2" s="9">
        <f>IF(OR(Inputs!$F$6=TRUE,Inputs!$F$6="TRUE",Inputs!$F$6=1),IF(OR(Inputs!$C$27=TRUE,Inputs!$C$27="TRUE",Inputs!$C$27=1),1,0)*(Inputs!$C$51*(115*EXP(-(((Inputs!$C$6)-25)^2)/(4.5^2))+70*EXP(-(((Inputs!$C$6)+38)^2)/(7^2))*(0.55+0.45*SIN(2*PI()*((Inputs!$I$6+(((A2)+1)/2)*(Inputs!$J$6-Inputs!$I$6)))/45))+24*SIN(2*PI()*(Inputs!$C$6)/9+((Inputs!$I$6+(((A2)+1)/2)*(Inputs!$J$6-Inputs!$I$6)))/18)*EXP(-(((Inputs!$C$6)+5)^2)/(22^2))+18*SIN(2*PI()*((Inputs!$I$6+(((A2)+1)/2)*(Inputs!$J$6-Inputs!$I$6)))/70))+Inputs!$C$28*EXP(-((((Inputs!$I$6+(((A2)+1)/2)*(Inputs!$J$6-Inputs!$I$6)))-Inputs!$C$29)^2)/(2*Inputs!$C$31^2))*EXP(-(((Inputs!$C$6)-Inputs!$C$30)^2)/(2*Inputs!$C$32^2))+-Inputs!$C$33*EXP(-((((((Inputs!$I$6+(((A2)+1)/2)*(Inputs!$J$6-Inputs!$I$6)))-Inputs!$C$34)^2)+(((Inputs!$C$6)-Inputs!$C$35)^2))/(2*Inputs!$C$36^2)))+Inputs!$C$37*(0.55*SIN(2*PI()*((Inputs!$I$6+(((A2)+1)/2)*(Inputs!$J$6-Inputs!$I$6)))/Inputs!$C$39)+0.35*COS(2*PI()*(Inputs!$C$6)/Inputs!$C$40)+0.2*SIN(2*PI()*(((Inputs!$I$6+(((A2)+1)/2)*(Inputs!$J$6-Inputs!$I$6)))+(Inputs!$C$6))/(0.5*(Inputs!$C$39+Inputs!$C$40))))+Inputs!$C$38*SIN(2*PI()*((Inputs!$I$6+(((A2)+1)/2)*(Inputs!$J$6-Inputs!$I$6)))/Inputs!$C$39)*SIN(2*PI()*(Inputs!$C$6)/Inputs!$C$40)+-Inputs!$C$41*EXP(-(((Inputs!$C$6)-Inputs!$C$43)^2)/(2*Inputs!$C$44^2))*EXP(-((((Inputs!$I$6+(((A2)+1)/2)*(Inputs!$J$6-Inputs!$I$6)))-Inputs!$C$42)^2)/(2*Inputs!$C$45^2))+Inputs!$C$48*(0.7*(0.45*SIN(2*PI()*((((Inputs!$I$6+(((A2)+1)/2)*(Inputs!$J$6-Inputs!$I$6)))/Inputs!$C$49)+Inputs!$C$47*0.137))+0.35*COS(2*PI()*(((Inputs!$C$6)/Inputs!$C$50)+Inputs!$C$47*0.173))+0.2*SIN(2*PI()*((((Inputs!$I$6+(((A2)+1)/2)*(Inputs!$J$6-Inputs!$I$6)))+(Inputs!$C$6))/(0.5*(Inputs!$C$49+Inputs!$C$50))+Inputs!$C$47*0.097)))+0.3*(2*((SIN((((Inputs!$I$6+(((A2)+1)/2)*(Inputs!$J$6-Inputs!$I$6)))*12.9898+(Inputs!$C$6)*78.233+Inputs!$C$47*37.719))*43758.5453)-INT((SIN((((Inputs!$I$6+(((A2)+1)/2)*(Inputs!$J$6-Inputs!$I$6)))*12.9898+(Inputs!$C$6)*78.233+Inputs!$C$47*37.719))*43758.5453)))-1))),NA())</f>
        <v/>
      </c>
      <c r="AT2" s="9">
        <f>IF(OR(Inputs!$F$7=TRUE,Inputs!$F$7="TRUE",Inputs!$F$7=1),IF(OR(Inputs!$C$27=TRUE,Inputs!$C$27="TRUE",Inputs!$C$27=1),1,0)*(Inputs!$C$51*(115*EXP(-(((Inputs!$C$6)-25)^2)/(4.5^2))+70*EXP(-(((Inputs!$C$6)+38)^2)/(7^2))*(0.55+0.45*SIN(2*PI()*((Inputs!$I$7+(((A2)+1)/2)*(Inputs!$J$7-Inputs!$I$7)))/45))+24*SIN(2*PI()*(Inputs!$C$6)/9+((Inputs!$I$7+(((A2)+1)/2)*(Inputs!$J$7-Inputs!$I$7)))/18)*EXP(-(((Inputs!$C$6)+5)^2)/(22^2))+18*SIN(2*PI()*((Inputs!$I$7+(((A2)+1)/2)*(Inputs!$J$7-Inputs!$I$7)))/70))+Inputs!$C$28*EXP(-((((Inputs!$I$7+(((A2)+1)/2)*(Inputs!$J$7-Inputs!$I$7)))-Inputs!$C$29)^2)/(2*Inputs!$C$31^2))*EXP(-(((Inputs!$C$6)-Inputs!$C$30)^2)/(2*Inputs!$C$32^2))+-Inputs!$C$33*EXP(-((((((Inputs!$I$7+(((A2)+1)/2)*(Inputs!$J$7-Inputs!$I$7)))-Inputs!$C$34)^2)+(((Inputs!$C$6)-Inputs!$C$35)^2))/(2*Inputs!$C$36^2)))+Inputs!$C$37*(0.55*SIN(2*PI()*((Inputs!$I$7+(((A2)+1)/2)*(Inputs!$J$7-Inputs!$I$7)))/Inputs!$C$39)+0.35*COS(2*PI()*(Inputs!$C$6)/Inputs!$C$40)+0.2*SIN(2*PI()*(((Inputs!$I$7+(((A2)+1)/2)*(Inputs!$J$7-Inputs!$I$7)))+(Inputs!$C$6))/(0.5*(Inputs!$C$39+Inputs!$C$40))))+Inputs!$C$38*SIN(2*PI()*((Inputs!$I$7+(((A2)+1)/2)*(Inputs!$J$7-Inputs!$I$7)))/Inputs!$C$39)*SIN(2*PI()*(Inputs!$C$6)/Inputs!$C$40)+-Inputs!$C$41*EXP(-(((Inputs!$C$6)-Inputs!$C$43)^2)/(2*Inputs!$C$44^2))*EXP(-((((Inputs!$I$7+(((A2)+1)/2)*(Inputs!$J$7-Inputs!$I$7)))-Inputs!$C$42)^2)/(2*Inputs!$C$45^2))+Inputs!$C$48*(0.7*(0.45*SIN(2*PI()*((((Inputs!$I$7+(((A2)+1)/2)*(Inputs!$J$7-Inputs!$I$7)))/Inputs!$C$49)+Inputs!$C$47*0.137))+0.35*COS(2*PI()*(((Inputs!$C$6)/Inputs!$C$50)+Inputs!$C$47*0.173))+0.2*SIN(2*PI()*((((Inputs!$I$7+(((A2)+1)/2)*(Inputs!$J$7-Inputs!$I$7)))+(Inputs!$C$6))/(0.5*(Inputs!$C$49+Inputs!$C$50))+Inputs!$C$47*0.097)))+0.3*(2*((SIN((((Inputs!$I$7+(((A2)+1)/2)*(Inputs!$J$7-Inputs!$I$7)))*12.9898+(Inputs!$C$6)*78.233+Inputs!$C$47*37.719))*43758.5453)-INT((SIN((((Inputs!$I$7+(((A2)+1)/2)*(Inputs!$J$7-Inputs!$I$7)))*12.9898+(Inputs!$C$6)*78.233+Inputs!$C$47*37.719))*43758.5453)))-1))),NA())</f>
        <v/>
      </c>
      <c r="AU2" s="9">
        <f>IF(OR(Inputs!$F$8=TRUE,Inputs!$F$8="TRUE",Inputs!$F$8=1),IF(OR(Inputs!$C$27=TRUE,Inputs!$C$27="TRUE",Inputs!$C$27=1),1,0)*(Inputs!$C$51*(115*EXP(-(((Inputs!$C$6)-25)^2)/(4.5^2))+70*EXP(-(((Inputs!$C$6)+38)^2)/(7^2))*(0.55+0.45*SIN(2*PI()*((Inputs!$I$8+(((A2)+1)/2)*(Inputs!$J$8-Inputs!$I$8)))/45))+24*SIN(2*PI()*(Inputs!$C$6)/9+((Inputs!$I$8+(((A2)+1)/2)*(Inputs!$J$8-Inputs!$I$8)))/18)*EXP(-(((Inputs!$C$6)+5)^2)/(22^2))+18*SIN(2*PI()*((Inputs!$I$8+(((A2)+1)/2)*(Inputs!$J$8-Inputs!$I$8)))/70))+Inputs!$C$28*EXP(-((((Inputs!$I$8+(((A2)+1)/2)*(Inputs!$J$8-Inputs!$I$8)))-Inputs!$C$29)^2)/(2*Inputs!$C$31^2))*EXP(-(((Inputs!$C$6)-Inputs!$C$30)^2)/(2*Inputs!$C$32^2))+-Inputs!$C$33*EXP(-((((((Inputs!$I$8+(((A2)+1)/2)*(Inputs!$J$8-Inputs!$I$8)))-Inputs!$C$34)^2)+(((Inputs!$C$6)-Inputs!$C$35)^2))/(2*Inputs!$C$36^2)))+Inputs!$C$37*(0.55*SIN(2*PI()*((Inputs!$I$8+(((A2)+1)/2)*(Inputs!$J$8-Inputs!$I$8)))/Inputs!$C$39)+0.35*COS(2*PI()*(Inputs!$C$6)/Inputs!$C$40)+0.2*SIN(2*PI()*(((Inputs!$I$8+(((A2)+1)/2)*(Inputs!$J$8-Inputs!$I$8)))+(Inputs!$C$6))/(0.5*(Inputs!$C$39+Inputs!$C$40))))+Inputs!$C$38*SIN(2*PI()*((Inputs!$I$8+(((A2)+1)/2)*(Inputs!$J$8-Inputs!$I$8)))/Inputs!$C$39)*SIN(2*PI()*(Inputs!$C$6)/Inputs!$C$40)+-Inputs!$C$41*EXP(-(((Inputs!$C$6)-Inputs!$C$43)^2)/(2*Inputs!$C$44^2))*EXP(-((((Inputs!$I$8+(((A2)+1)/2)*(Inputs!$J$8-Inputs!$I$8)))-Inputs!$C$42)^2)/(2*Inputs!$C$45^2))+Inputs!$C$48*(0.7*(0.45*SIN(2*PI()*((((Inputs!$I$8+(((A2)+1)/2)*(Inputs!$J$8-Inputs!$I$8)))/Inputs!$C$49)+Inputs!$C$47*0.137))+0.35*COS(2*PI()*(((Inputs!$C$6)/Inputs!$C$50)+Inputs!$C$47*0.173))+0.2*SIN(2*PI()*((((Inputs!$I$8+(((A2)+1)/2)*(Inputs!$J$8-Inputs!$I$8)))+(Inputs!$C$6))/(0.5*(Inputs!$C$49+Inputs!$C$50))+Inputs!$C$47*0.097)))+0.3*(2*((SIN((((Inputs!$I$8+(((A2)+1)/2)*(Inputs!$J$8-Inputs!$I$8)))*12.9898+(Inputs!$C$6)*78.233+Inputs!$C$47*37.719))*43758.5453)-INT((SIN((((Inputs!$I$8+(((A2)+1)/2)*(Inputs!$J$8-Inputs!$I$8)))*12.9898+(Inputs!$C$6)*78.233+Inputs!$C$47*37.719))*43758.5453)))-1))),NA())</f>
        <v/>
      </c>
      <c r="AV2" s="9">
        <f>IF(OR(Inputs!$F$9=TRUE,Inputs!$F$9="TRUE",Inputs!$F$9=1),IF(OR(Inputs!$C$27=TRUE,Inputs!$C$27="TRUE",Inputs!$C$27=1),1,0)*(Inputs!$C$51*(115*EXP(-(((Inputs!$C$6)-25)^2)/(4.5^2))+70*EXP(-(((Inputs!$C$6)+38)^2)/(7^2))*(0.55+0.45*SIN(2*PI()*((Inputs!$I$9+(((A2)+1)/2)*(Inputs!$J$9-Inputs!$I$9)))/45))+24*SIN(2*PI()*(Inputs!$C$6)/9+((Inputs!$I$9+(((A2)+1)/2)*(Inputs!$J$9-Inputs!$I$9)))/18)*EXP(-(((Inputs!$C$6)+5)^2)/(22^2))+18*SIN(2*PI()*((Inputs!$I$9+(((A2)+1)/2)*(Inputs!$J$9-Inputs!$I$9)))/70))+Inputs!$C$28*EXP(-((((Inputs!$I$9+(((A2)+1)/2)*(Inputs!$J$9-Inputs!$I$9)))-Inputs!$C$29)^2)/(2*Inputs!$C$31^2))*EXP(-(((Inputs!$C$6)-Inputs!$C$30)^2)/(2*Inputs!$C$32^2))+-Inputs!$C$33*EXP(-((((((Inputs!$I$9+(((A2)+1)/2)*(Inputs!$J$9-Inputs!$I$9)))-Inputs!$C$34)^2)+(((Inputs!$C$6)-Inputs!$C$35)^2))/(2*Inputs!$C$36^2)))+Inputs!$C$37*(0.55*SIN(2*PI()*((Inputs!$I$9+(((A2)+1)/2)*(Inputs!$J$9-Inputs!$I$9)))/Inputs!$C$39)+0.35*COS(2*PI()*(Inputs!$C$6)/Inputs!$C$40)+0.2*SIN(2*PI()*(((Inputs!$I$9+(((A2)+1)/2)*(Inputs!$J$9-Inputs!$I$9)))+(Inputs!$C$6))/(0.5*(Inputs!$C$39+Inputs!$C$40))))+Inputs!$C$38*SIN(2*PI()*((Inputs!$I$9+(((A2)+1)/2)*(Inputs!$J$9-Inputs!$I$9)))/Inputs!$C$39)*SIN(2*PI()*(Inputs!$C$6)/Inputs!$C$40)+-Inputs!$C$41*EXP(-(((Inputs!$C$6)-Inputs!$C$43)^2)/(2*Inputs!$C$44^2))*EXP(-((((Inputs!$I$9+(((A2)+1)/2)*(Inputs!$J$9-Inputs!$I$9)))-Inputs!$C$42)^2)/(2*Inputs!$C$45^2))+Inputs!$C$48*(0.7*(0.45*SIN(2*PI()*((((Inputs!$I$9+(((A2)+1)/2)*(Inputs!$J$9-Inputs!$I$9)))/Inputs!$C$49)+Inputs!$C$47*0.137))+0.35*COS(2*PI()*(((Inputs!$C$6)/Inputs!$C$50)+Inputs!$C$47*0.173))+0.2*SIN(2*PI()*((((Inputs!$I$9+(((A2)+1)/2)*(Inputs!$J$9-Inputs!$I$9)))+(Inputs!$C$6))/(0.5*(Inputs!$C$49+Inputs!$C$50))+Inputs!$C$47*0.097)))+0.3*(2*((SIN((((Inputs!$I$9+(((A2)+1)/2)*(Inputs!$J$9-Inputs!$I$9)))*12.9898+(Inputs!$C$6)*78.233+Inputs!$C$47*37.719))*43758.5453)-INT((SIN((((Inputs!$I$9+(((A2)+1)/2)*(Inputs!$J$9-Inputs!$I$9)))*12.9898+(Inputs!$C$6)*78.233+Inputs!$C$47*37.719))*43758.5453)))-1))),NA())</f>
        <v/>
      </c>
      <c r="AW2" s="10" t="n"/>
      <c r="AX2" s="9">
        <f>A2</f>
        <v/>
      </c>
      <c r="AY2" s="9">
        <f>0</f>
        <v/>
      </c>
      <c r="AZ2" s="9">
        <f>IF(OR(Inputs!$F$6=TRUE,Inputs!$F$6="TRUE",Inputs!$F$6=1),(Inputs!$H$6+Inputs!$L$6*(((Inputs!$I$6+(((A2)+1)/2)*(Inputs!$J$6-Inputs!$I$6)))/Inputs!$K$6)^2),NA())</f>
        <v/>
      </c>
      <c r="BA2" s="9">
        <f>IF(OR(Inputs!$F$7=TRUE,Inputs!$F$7="TRUE",Inputs!$F$7=1),(Inputs!$H$7+Inputs!$L$7*(((Inputs!$I$7+(((A2)+1)/2)*(Inputs!$J$7-Inputs!$I$7)))/Inputs!$K$7)^2),NA())</f>
        <v/>
      </c>
      <c r="BB2" s="9">
        <f>IF(OR(Inputs!$F$8=TRUE,Inputs!$F$8="TRUE",Inputs!$F$8=1),(Inputs!$H$8+Inputs!$L$8*(((Inputs!$I$8+(((A2)+1)/2)*(Inputs!$J$8-Inputs!$I$8)))/Inputs!$K$8)^2),NA())</f>
        <v/>
      </c>
      <c r="BC2" s="9">
        <f>IF(OR(Inputs!$F$9=TRUE,Inputs!$F$9="TRUE",Inputs!$F$9=1),(Inputs!$H$9+Inputs!$L$9*(((Inputs!$I$9+(((A2)+1)/2)*(Inputs!$J$9-Inputs!$I$9)))/Inputs!$K$9)^2),NA())</f>
        <v/>
      </c>
      <c r="BD2" s="10" t="n"/>
      <c r="BE2" s="9">
        <f>A2</f>
        <v/>
      </c>
      <c r="BF2" s="9">
        <f>0</f>
        <v/>
      </c>
      <c r="BG2" s="9">
        <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f>
        <v/>
      </c>
      <c r="BH2" s="9">
        <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f>
        <v/>
      </c>
      <c r="BI2" s="9">
        <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f>
        <v/>
      </c>
      <c r="BJ2" s="9">
        <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f>
        <v/>
      </c>
    </row>
    <row r="3">
      <c r="A3" s="9">
        <f>ROUND(-1+1*2/240,3)</f>
        <v/>
      </c>
      <c r="B3" s="9">
        <f>IF(OR(Inputs!$F$6=TRUE,Inputs!$F$6="TRUE",Inputs!$F$6=1),(Inputs!$H$6+Inputs!$L$6*(((Inputs!$I$6+(((A3)+1)/2)*(Inputs!$J$6-Inputs!$I$6)))/Inputs!$K$6)^2),NA())</f>
        <v/>
      </c>
      <c r="C3" s="9">
        <f>IF(OR(Inputs!$F$7=TRUE,Inputs!$F$7="TRUE",Inputs!$F$7=1),(Inputs!$H$7+Inputs!$L$7*(((Inputs!$I$7+(((A3)+1)/2)*(Inputs!$J$7-Inputs!$I$7)))/Inputs!$K$7)^2),NA())</f>
        <v/>
      </c>
      <c r="D3" s="9">
        <f>IF(OR(Inputs!$F$8=TRUE,Inputs!$F$8="TRUE",Inputs!$F$8=1),(Inputs!$H$8+Inputs!$L$8*(((Inputs!$I$8+(((A3)+1)/2)*(Inputs!$J$8-Inputs!$I$8)))/Inputs!$K$8)^2),NA())</f>
        <v/>
      </c>
      <c r="E3" s="9">
        <f>IF(OR(Inputs!$F$9=TRUE,Inputs!$F$9="TRUE",Inputs!$F$9=1),(Inputs!$H$9+Inputs!$L$9*(((Inputs!$I$9+(((A3)+1)/2)*(Inputs!$J$9-Inputs!$I$9)))/Inputs!$K$9)^2),NA())</f>
        <v/>
      </c>
      <c r="F3" s="10" t="n"/>
      <c r="G3" s="9">
        <f>A3</f>
        <v/>
      </c>
      <c r="H3" s="9">
        <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f>
        <v/>
      </c>
      <c r="I3" s="9">
        <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f>
        <v/>
      </c>
      <c r="J3" s="9">
        <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f>
        <v/>
      </c>
      <c r="K3" s="9">
        <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f>
        <v/>
      </c>
      <c r="L3" s="10" t="n"/>
      <c r="M3" s="9">
        <f>A3</f>
        <v/>
      </c>
      <c r="N3" s="9">
        <f>IF(OR(Inputs!$F$6=TRUE,Inputs!$F$6="TRUE",Inputs!$F$6=1),(-2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NA())</f>
        <v/>
      </c>
      <c r="O3" s="9">
        <f>IF(OR(Inputs!$F$7=TRUE,Inputs!$F$7="TRUE",Inputs!$F$7=1),(-2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NA())</f>
        <v/>
      </c>
      <c r="P3" s="9">
        <f>IF(OR(Inputs!$F$8=TRUE,Inputs!$F$8="TRUE",Inputs!$F$8=1),(-2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NA())</f>
        <v/>
      </c>
      <c r="Q3" s="9">
        <f>IF(OR(Inputs!$F$9=TRUE,Inputs!$F$9="TRUE",Inputs!$F$9=1),(-2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NA())</f>
        <v/>
      </c>
      <c r="R3" s="10" t="n"/>
      <c r="S3" s="9">
        <f>A3</f>
        <v/>
      </c>
      <c r="T3" s="9">
        <f>(Inputs!$I$6+(((A3)+1)/2)*(Inputs!$J$6-Inputs!$I$6))</f>
        <v/>
      </c>
      <c r="U3" s="9">
        <f>(Inputs!$I$7+(((A3)+1)/2)*(Inputs!$J$7-Inputs!$I$7))</f>
        <v/>
      </c>
      <c r="V3" s="9">
        <f>(Inputs!$I$8+(((A3)+1)/2)*(Inputs!$J$8-Inputs!$I$8))</f>
        <v/>
      </c>
      <c r="W3" s="9">
        <f>(Inputs!$I$9+(((A3)+1)/2)*(Inputs!$J$9-Inputs!$I$9))</f>
        <v/>
      </c>
      <c r="X3" s="10" t="n"/>
      <c r="Y3" s="9">
        <f>A3</f>
        <v/>
      </c>
      <c r="Z3" s="9">
        <f>(Inputs!$H$6+Inputs!$L$6*(((Inputs!$I$6+(((A3)+1)/2)*(Inputs!$J$6-Inputs!$I$6)))/Inputs!$K$6)^2)</f>
        <v/>
      </c>
      <c r="AA3" s="9">
        <f>(Inputs!$H$7+Inputs!$L$7*(((Inputs!$I$7+(((A3)+1)/2)*(Inputs!$J$7-Inputs!$I$7)))/Inputs!$K$7)^2)</f>
        <v/>
      </c>
      <c r="AB3" s="9">
        <f>(Inputs!$H$8+Inputs!$L$8*(((Inputs!$I$8+(((A3)+1)/2)*(Inputs!$J$8-Inputs!$I$8)))/Inputs!$K$8)^2)</f>
        <v/>
      </c>
      <c r="AC3" s="9">
        <f>(Inputs!$H$9+Inputs!$L$9*(((Inputs!$I$9+(((A3)+1)/2)*(Inputs!$J$9-Inputs!$I$9)))/Inputs!$K$9)^2)</f>
        <v/>
      </c>
      <c r="AD3" s="10" t="n"/>
      <c r="AE3" s="9">
        <f>A3</f>
        <v/>
      </c>
      <c r="AF3" s="9">
        <f>(((SQRT((Inputs!$C$52+((Inputs!$H$6+Inputs!$L$6*(((Inputs!$I$6+(((A3)+1)/2)*(Inputs!$J$6-Inputs!$I$6)))/Inputs!$K$6)^2)))^2+Inputs!$C$52^2-2*(Inputs!$C$52+((Inputs!$H$6+Inputs!$L$6*(((Inputs!$I$6+(((A3)+1)/2)*(Inputs!$J$6-Inputs!$I$6)))/Inputs!$K$6)^2)))*Inputs!$C$52*COS(SQRT(((Inputs!$I$6+(((A3)+1)/2)*(Inputs!$J$6-Inputs!$I$6)))^2+Inputs!$C$6^2)/Inputs!$C$52)))-((Inputs!$H$6+Inputs!$L$6*(((Inputs!$I$6+(((A3)+1)/2)*(Inputs!$J$6-Inputs!$I$6)))/Inputs!$K$6)^2)))*1000/Inputs!$C$12)</f>
        <v/>
      </c>
      <c r="AG3" s="9">
        <f>(((SQRT((Inputs!$C$52+((Inputs!$H$7+Inputs!$L$7*(((Inputs!$I$7+(((A3)+1)/2)*(Inputs!$J$7-Inputs!$I$7)))/Inputs!$K$7)^2)))^2+Inputs!$C$52^2-2*(Inputs!$C$52+((Inputs!$H$7+Inputs!$L$7*(((Inputs!$I$7+(((A3)+1)/2)*(Inputs!$J$7-Inputs!$I$7)))/Inputs!$K$7)^2)))*Inputs!$C$52*COS(SQRT(((Inputs!$I$7+(((A3)+1)/2)*(Inputs!$J$7-Inputs!$I$7)))^2+Inputs!$C$6^2)/Inputs!$C$52)))-((Inputs!$H$7+Inputs!$L$7*(((Inputs!$I$7+(((A3)+1)/2)*(Inputs!$J$7-Inputs!$I$7)))/Inputs!$K$7)^2)))*1000/Inputs!$C$12)</f>
        <v/>
      </c>
      <c r="AH3" s="9">
        <f>(((SQRT((Inputs!$C$52+((Inputs!$H$8+Inputs!$L$8*(((Inputs!$I$8+(((A3)+1)/2)*(Inputs!$J$8-Inputs!$I$8)))/Inputs!$K$8)^2)))^2+Inputs!$C$52^2-2*(Inputs!$C$52+((Inputs!$H$8+Inputs!$L$8*(((Inputs!$I$8+(((A3)+1)/2)*(Inputs!$J$8-Inputs!$I$8)))/Inputs!$K$8)^2)))*Inputs!$C$52*COS(SQRT(((Inputs!$I$8+(((A3)+1)/2)*(Inputs!$J$8-Inputs!$I$8)))^2+Inputs!$C$6^2)/Inputs!$C$52)))-((Inputs!$H$8+Inputs!$L$8*(((Inputs!$I$8+(((A3)+1)/2)*(Inputs!$J$8-Inputs!$I$8)))/Inputs!$K$8)^2)))*1000/Inputs!$C$12)</f>
        <v/>
      </c>
      <c r="AI3" s="9">
        <f>(((SQRT((Inputs!$C$52+((Inputs!$H$9+Inputs!$L$9*(((Inputs!$I$9+(((A3)+1)/2)*(Inputs!$J$9-Inputs!$I$9)))/Inputs!$K$9)^2)))^2+Inputs!$C$52^2-2*(Inputs!$C$52+((Inputs!$H$9+Inputs!$L$9*(((Inputs!$I$9+(((A3)+1)/2)*(Inputs!$J$9-Inputs!$I$9)))/Inputs!$K$9)^2)))*Inputs!$C$52*COS(SQRT(((Inputs!$I$9+(((A3)+1)/2)*(Inputs!$J$9-Inputs!$I$9)))^2+Inputs!$C$6^2)/Inputs!$C$52)))-((Inputs!$H$9+Inputs!$L$9*(((Inputs!$I$9+(((A3)+1)/2)*(Inputs!$J$9-Inputs!$I$9)))/Inputs!$K$9)^2)))*1000/Inputs!$C$12)</f>
        <v/>
      </c>
      <c r="AJ3" s="10" t="n"/>
      <c r="AK3" s="9">
        <f>A3</f>
        <v/>
      </c>
      <c r="AL3" s="9">
        <f>(-2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f>
        <v/>
      </c>
      <c r="AM3" s="9">
        <f>(-2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f>
        <v/>
      </c>
      <c r="AN3" s="9">
        <f>(-2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f>
        <v/>
      </c>
      <c r="AO3" s="9">
        <f>(-2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f>
        <v/>
      </c>
      <c r="AP3" s="10" t="n"/>
      <c r="AQ3" s="9">
        <f>A3</f>
        <v/>
      </c>
      <c r="AR3" s="9">
        <f>0</f>
        <v/>
      </c>
      <c r="AS3" s="9">
        <f>IF(OR(Inputs!$F$6=TRUE,Inputs!$F$6="TRUE",Inputs!$F$6=1),IF(OR(Inputs!$C$27=TRUE,Inputs!$C$27="TRUE",Inputs!$C$27=1),1,0)*(Inputs!$C$51*(115*EXP(-(((Inputs!$C$6)-25)^2)/(4.5^2))+70*EXP(-(((Inputs!$C$6)+38)^2)/(7^2))*(0.55+0.45*SIN(2*PI()*((Inputs!$I$6+(((A3)+1)/2)*(Inputs!$J$6-Inputs!$I$6)))/45))+24*SIN(2*PI()*(Inputs!$C$6)/9+((Inputs!$I$6+(((A3)+1)/2)*(Inputs!$J$6-Inputs!$I$6)))/18)*EXP(-(((Inputs!$C$6)+5)^2)/(22^2))+18*SIN(2*PI()*((Inputs!$I$6+(((A3)+1)/2)*(Inputs!$J$6-Inputs!$I$6)))/70))+Inputs!$C$28*EXP(-((((Inputs!$I$6+(((A3)+1)/2)*(Inputs!$J$6-Inputs!$I$6)))-Inputs!$C$29)^2)/(2*Inputs!$C$31^2))*EXP(-(((Inputs!$C$6)-Inputs!$C$30)^2)/(2*Inputs!$C$32^2))+-Inputs!$C$33*EXP(-((((((Inputs!$I$6+(((A3)+1)/2)*(Inputs!$J$6-Inputs!$I$6)))-Inputs!$C$34)^2)+(((Inputs!$C$6)-Inputs!$C$35)^2))/(2*Inputs!$C$36^2)))+Inputs!$C$37*(0.55*SIN(2*PI()*((Inputs!$I$6+(((A3)+1)/2)*(Inputs!$J$6-Inputs!$I$6)))/Inputs!$C$39)+0.35*COS(2*PI()*(Inputs!$C$6)/Inputs!$C$40)+0.2*SIN(2*PI()*(((Inputs!$I$6+(((A3)+1)/2)*(Inputs!$J$6-Inputs!$I$6)))+(Inputs!$C$6))/(0.5*(Inputs!$C$39+Inputs!$C$40))))+Inputs!$C$38*SIN(2*PI()*((Inputs!$I$6+(((A3)+1)/2)*(Inputs!$J$6-Inputs!$I$6)))/Inputs!$C$39)*SIN(2*PI()*(Inputs!$C$6)/Inputs!$C$40)+-Inputs!$C$41*EXP(-(((Inputs!$C$6)-Inputs!$C$43)^2)/(2*Inputs!$C$44^2))*EXP(-((((Inputs!$I$6+(((A3)+1)/2)*(Inputs!$J$6-Inputs!$I$6)))-Inputs!$C$42)^2)/(2*Inputs!$C$45^2))+Inputs!$C$48*(0.7*(0.45*SIN(2*PI()*((((Inputs!$I$6+(((A3)+1)/2)*(Inputs!$J$6-Inputs!$I$6)))/Inputs!$C$49)+Inputs!$C$47*0.137))+0.35*COS(2*PI()*(((Inputs!$C$6)/Inputs!$C$50)+Inputs!$C$47*0.173))+0.2*SIN(2*PI()*((((Inputs!$I$6+(((A3)+1)/2)*(Inputs!$J$6-Inputs!$I$6)))+(Inputs!$C$6))/(0.5*(Inputs!$C$49+Inputs!$C$50))+Inputs!$C$47*0.097)))+0.3*(2*((SIN((((Inputs!$I$6+(((A3)+1)/2)*(Inputs!$J$6-Inputs!$I$6)))*12.9898+(Inputs!$C$6)*78.233+Inputs!$C$47*37.719))*43758.5453)-INT((SIN((((Inputs!$I$6+(((A3)+1)/2)*(Inputs!$J$6-Inputs!$I$6)))*12.9898+(Inputs!$C$6)*78.233+Inputs!$C$47*37.719))*43758.5453)))-1))),NA())</f>
        <v/>
      </c>
      <c r="AT3" s="9">
        <f>IF(OR(Inputs!$F$7=TRUE,Inputs!$F$7="TRUE",Inputs!$F$7=1),IF(OR(Inputs!$C$27=TRUE,Inputs!$C$27="TRUE",Inputs!$C$27=1),1,0)*(Inputs!$C$51*(115*EXP(-(((Inputs!$C$6)-25)^2)/(4.5^2))+70*EXP(-(((Inputs!$C$6)+38)^2)/(7^2))*(0.55+0.45*SIN(2*PI()*((Inputs!$I$7+(((A3)+1)/2)*(Inputs!$J$7-Inputs!$I$7)))/45))+24*SIN(2*PI()*(Inputs!$C$6)/9+((Inputs!$I$7+(((A3)+1)/2)*(Inputs!$J$7-Inputs!$I$7)))/18)*EXP(-(((Inputs!$C$6)+5)^2)/(22^2))+18*SIN(2*PI()*((Inputs!$I$7+(((A3)+1)/2)*(Inputs!$J$7-Inputs!$I$7)))/70))+Inputs!$C$28*EXP(-((((Inputs!$I$7+(((A3)+1)/2)*(Inputs!$J$7-Inputs!$I$7)))-Inputs!$C$29)^2)/(2*Inputs!$C$31^2))*EXP(-(((Inputs!$C$6)-Inputs!$C$30)^2)/(2*Inputs!$C$32^2))+-Inputs!$C$33*EXP(-((((((Inputs!$I$7+(((A3)+1)/2)*(Inputs!$J$7-Inputs!$I$7)))-Inputs!$C$34)^2)+(((Inputs!$C$6)-Inputs!$C$35)^2))/(2*Inputs!$C$36^2)))+Inputs!$C$37*(0.55*SIN(2*PI()*((Inputs!$I$7+(((A3)+1)/2)*(Inputs!$J$7-Inputs!$I$7)))/Inputs!$C$39)+0.35*COS(2*PI()*(Inputs!$C$6)/Inputs!$C$40)+0.2*SIN(2*PI()*(((Inputs!$I$7+(((A3)+1)/2)*(Inputs!$J$7-Inputs!$I$7)))+(Inputs!$C$6))/(0.5*(Inputs!$C$39+Inputs!$C$40))))+Inputs!$C$38*SIN(2*PI()*((Inputs!$I$7+(((A3)+1)/2)*(Inputs!$J$7-Inputs!$I$7)))/Inputs!$C$39)*SIN(2*PI()*(Inputs!$C$6)/Inputs!$C$40)+-Inputs!$C$41*EXP(-(((Inputs!$C$6)-Inputs!$C$43)^2)/(2*Inputs!$C$44^2))*EXP(-((((Inputs!$I$7+(((A3)+1)/2)*(Inputs!$J$7-Inputs!$I$7)))-Inputs!$C$42)^2)/(2*Inputs!$C$45^2))+Inputs!$C$48*(0.7*(0.45*SIN(2*PI()*((((Inputs!$I$7+(((A3)+1)/2)*(Inputs!$J$7-Inputs!$I$7)))/Inputs!$C$49)+Inputs!$C$47*0.137))+0.35*COS(2*PI()*(((Inputs!$C$6)/Inputs!$C$50)+Inputs!$C$47*0.173))+0.2*SIN(2*PI()*((((Inputs!$I$7+(((A3)+1)/2)*(Inputs!$J$7-Inputs!$I$7)))+(Inputs!$C$6))/(0.5*(Inputs!$C$49+Inputs!$C$50))+Inputs!$C$47*0.097)))+0.3*(2*((SIN((((Inputs!$I$7+(((A3)+1)/2)*(Inputs!$J$7-Inputs!$I$7)))*12.9898+(Inputs!$C$6)*78.233+Inputs!$C$47*37.719))*43758.5453)-INT((SIN((((Inputs!$I$7+(((A3)+1)/2)*(Inputs!$J$7-Inputs!$I$7)))*12.9898+(Inputs!$C$6)*78.233+Inputs!$C$47*37.719))*43758.5453)))-1))),NA())</f>
        <v/>
      </c>
      <c r="AU3" s="9">
        <f>IF(OR(Inputs!$F$8=TRUE,Inputs!$F$8="TRUE",Inputs!$F$8=1),IF(OR(Inputs!$C$27=TRUE,Inputs!$C$27="TRUE",Inputs!$C$27=1),1,0)*(Inputs!$C$51*(115*EXP(-(((Inputs!$C$6)-25)^2)/(4.5^2))+70*EXP(-(((Inputs!$C$6)+38)^2)/(7^2))*(0.55+0.45*SIN(2*PI()*((Inputs!$I$8+(((A3)+1)/2)*(Inputs!$J$8-Inputs!$I$8)))/45))+24*SIN(2*PI()*(Inputs!$C$6)/9+((Inputs!$I$8+(((A3)+1)/2)*(Inputs!$J$8-Inputs!$I$8)))/18)*EXP(-(((Inputs!$C$6)+5)^2)/(22^2))+18*SIN(2*PI()*((Inputs!$I$8+(((A3)+1)/2)*(Inputs!$J$8-Inputs!$I$8)))/70))+Inputs!$C$28*EXP(-((((Inputs!$I$8+(((A3)+1)/2)*(Inputs!$J$8-Inputs!$I$8)))-Inputs!$C$29)^2)/(2*Inputs!$C$31^2))*EXP(-(((Inputs!$C$6)-Inputs!$C$30)^2)/(2*Inputs!$C$32^2))+-Inputs!$C$33*EXP(-((((((Inputs!$I$8+(((A3)+1)/2)*(Inputs!$J$8-Inputs!$I$8)))-Inputs!$C$34)^2)+(((Inputs!$C$6)-Inputs!$C$35)^2))/(2*Inputs!$C$36^2)))+Inputs!$C$37*(0.55*SIN(2*PI()*((Inputs!$I$8+(((A3)+1)/2)*(Inputs!$J$8-Inputs!$I$8)))/Inputs!$C$39)+0.35*COS(2*PI()*(Inputs!$C$6)/Inputs!$C$40)+0.2*SIN(2*PI()*(((Inputs!$I$8+(((A3)+1)/2)*(Inputs!$J$8-Inputs!$I$8)))+(Inputs!$C$6))/(0.5*(Inputs!$C$39+Inputs!$C$40))))+Inputs!$C$38*SIN(2*PI()*((Inputs!$I$8+(((A3)+1)/2)*(Inputs!$J$8-Inputs!$I$8)))/Inputs!$C$39)*SIN(2*PI()*(Inputs!$C$6)/Inputs!$C$40)+-Inputs!$C$41*EXP(-(((Inputs!$C$6)-Inputs!$C$43)^2)/(2*Inputs!$C$44^2))*EXP(-((((Inputs!$I$8+(((A3)+1)/2)*(Inputs!$J$8-Inputs!$I$8)))-Inputs!$C$42)^2)/(2*Inputs!$C$45^2))+Inputs!$C$48*(0.7*(0.45*SIN(2*PI()*((((Inputs!$I$8+(((A3)+1)/2)*(Inputs!$J$8-Inputs!$I$8)))/Inputs!$C$49)+Inputs!$C$47*0.137))+0.35*COS(2*PI()*(((Inputs!$C$6)/Inputs!$C$50)+Inputs!$C$47*0.173))+0.2*SIN(2*PI()*((((Inputs!$I$8+(((A3)+1)/2)*(Inputs!$J$8-Inputs!$I$8)))+(Inputs!$C$6))/(0.5*(Inputs!$C$49+Inputs!$C$50))+Inputs!$C$47*0.097)))+0.3*(2*((SIN((((Inputs!$I$8+(((A3)+1)/2)*(Inputs!$J$8-Inputs!$I$8)))*12.9898+(Inputs!$C$6)*78.233+Inputs!$C$47*37.719))*43758.5453)-INT((SIN((((Inputs!$I$8+(((A3)+1)/2)*(Inputs!$J$8-Inputs!$I$8)))*12.9898+(Inputs!$C$6)*78.233+Inputs!$C$47*37.719))*43758.5453)))-1))),NA())</f>
        <v/>
      </c>
      <c r="AV3" s="9">
        <f>IF(OR(Inputs!$F$9=TRUE,Inputs!$F$9="TRUE",Inputs!$F$9=1),IF(OR(Inputs!$C$27=TRUE,Inputs!$C$27="TRUE",Inputs!$C$27=1),1,0)*(Inputs!$C$51*(115*EXP(-(((Inputs!$C$6)-25)^2)/(4.5^2))+70*EXP(-(((Inputs!$C$6)+38)^2)/(7^2))*(0.55+0.45*SIN(2*PI()*((Inputs!$I$9+(((A3)+1)/2)*(Inputs!$J$9-Inputs!$I$9)))/45))+24*SIN(2*PI()*(Inputs!$C$6)/9+((Inputs!$I$9+(((A3)+1)/2)*(Inputs!$J$9-Inputs!$I$9)))/18)*EXP(-(((Inputs!$C$6)+5)^2)/(22^2))+18*SIN(2*PI()*((Inputs!$I$9+(((A3)+1)/2)*(Inputs!$J$9-Inputs!$I$9)))/70))+Inputs!$C$28*EXP(-((((Inputs!$I$9+(((A3)+1)/2)*(Inputs!$J$9-Inputs!$I$9)))-Inputs!$C$29)^2)/(2*Inputs!$C$31^2))*EXP(-(((Inputs!$C$6)-Inputs!$C$30)^2)/(2*Inputs!$C$32^2))+-Inputs!$C$33*EXP(-((((((Inputs!$I$9+(((A3)+1)/2)*(Inputs!$J$9-Inputs!$I$9)))-Inputs!$C$34)^2)+(((Inputs!$C$6)-Inputs!$C$35)^2))/(2*Inputs!$C$36^2)))+Inputs!$C$37*(0.55*SIN(2*PI()*((Inputs!$I$9+(((A3)+1)/2)*(Inputs!$J$9-Inputs!$I$9)))/Inputs!$C$39)+0.35*COS(2*PI()*(Inputs!$C$6)/Inputs!$C$40)+0.2*SIN(2*PI()*(((Inputs!$I$9+(((A3)+1)/2)*(Inputs!$J$9-Inputs!$I$9)))+(Inputs!$C$6))/(0.5*(Inputs!$C$39+Inputs!$C$40))))+Inputs!$C$38*SIN(2*PI()*((Inputs!$I$9+(((A3)+1)/2)*(Inputs!$J$9-Inputs!$I$9)))/Inputs!$C$39)*SIN(2*PI()*(Inputs!$C$6)/Inputs!$C$40)+-Inputs!$C$41*EXP(-(((Inputs!$C$6)-Inputs!$C$43)^2)/(2*Inputs!$C$44^2))*EXP(-((((Inputs!$I$9+(((A3)+1)/2)*(Inputs!$J$9-Inputs!$I$9)))-Inputs!$C$42)^2)/(2*Inputs!$C$45^2))+Inputs!$C$48*(0.7*(0.45*SIN(2*PI()*((((Inputs!$I$9+(((A3)+1)/2)*(Inputs!$J$9-Inputs!$I$9)))/Inputs!$C$49)+Inputs!$C$47*0.137))+0.35*COS(2*PI()*(((Inputs!$C$6)/Inputs!$C$50)+Inputs!$C$47*0.173))+0.2*SIN(2*PI()*((((Inputs!$I$9+(((A3)+1)/2)*(Inputs!$J$9-Inputs!$I$9)))+(Inputs!$C$6))/(0.5*(Inputs!$C$49+Inputs!$C$50))+Inputs!$C$47*0.097)))+0.3*(2*((SIN((((Inputs!$I$9+(((A3)+1)/2)*(Inputs!$J$9-Inputs!$I$9)))*12.9898+(Inputs!$C$6)*78.233+Inputs!$C$47*37.719))*43758.5453)-INT((SIN((((Inputs!$I$9+(((A3)+1)/2)*(Inputs!$J$9-Inputs!$I$9)))*12.9898+(Inputs!$C$6)*78.233+Inputs!$C$47*37.719))*43758.5453)))-1))),NA())</f>
        <v/>
      </c>
      <c r="AW3" s="10" t="n"/>
      <c r="AX3" s="9">
        <f>A3</f>
        <v/>
      </c>
      <c r="AY3" s="9">
        <f>0</f>
        <v/>
      </c>
      <c r="AZ3" s="9">
        <f>IF(OR(Inputs!$F$6=TRUE,Inputs!$F$6="TRUE",Inputs!$F$6=1),(Inputs!$H$6+Inputs!$L$6*(((Inputs!$I$6+(((A3)+1)/2)*(Inputs!$J$6-Inputs!$I$6)))/Inputs!$K$6)^2),NA())</f>
        <v/>
      </c>
      <c r="BA3" s="9">
        <f>IF(OR(Inputs!$F$7=TRUE,Inputs!$F$7="TRUE",Inputs!$F$7=1),(Inputs!$H$7+Inputs!$L$7*(((Inputs!$I$7+(((A3)+1)/2)*(Inputs!$J$7-Inputs!$I$7)))/Inputs!$K$7)^2),NA())</f>
        <v/>
      </c>
      <c r="BB3" s="9">
        <f>IF(OR(Inputs!$F$8=TRUE,Inputs!$F$8="TRUE",Inputs!$F$8=1),(Inputs!$H$8+Inputs!$L$8*(((Inputs!$I$8+(((A3)+1)/2)*(Inputs!$J$8-Inputs!$I$8)))/Inputs!$K$8)^2),NA())</f>
        <v/>
      </c>
      <c r="BC3" s="9">
        <f>IF(OR(Inputs!$F$9=TRUE,Inputs!$F$9="TRUE",Inputs!$F$9=1),(Inputs!$H$9+Inputs!$L$9*(((Inputs!$I$9+(((A3)+1)/2)*(Inputs!$J$9-Inputs!$I$9)))/Inputs!$K$9)^2),NA())</f>
        <v/>
      </c>
      <c r="BD3" s="10" t="n"/>
      <c r="BE3" s="9">
        <f>A3</f>
        <v/>
      </c>
      <c r="BF3" s="9">
        <f>0</f>
        <v/>
      </c>
      <c r="BG3" s="9">
        <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f>
        <v/>
      </c>
      <c r="BH3" s="9">
        <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f>
        <v/>
      </c>
      <c r="BI3" s="9">
        <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f>
        <v/>
      </c>
      <c r="BJ3" s="9">
        <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f>
        <v/>
      </c>
    </row>
    <row r="4">
      <c r="A4" s="9">
        <f>ROUND(-1+2*2/240,3)</f>
        <v/>
      </c>
      <c r="B4" s="9">
        <f>IF(OR(Inputs!$F$6=TRUE,Inputs!$F$6="TRUE",Inputs!$F$6=1),(Inputs!$H$6+Inputs!$L$6*(((Inputs!$I$6+(((A4)+1)/2)*(Inputs!$J$6-Inputs!$I$6)))/Inputs!$K$6)^2),NA())</f>
        <v/>
      </c>
      <c r="C4" s="9">
        <f>IF(OR(Inputs!$F$7=TRUE,Inputs!$F$7="TRUE",Inputs!$F$7=1),(Inputs!$H$7+Inputs!$L$7*(((Inputs!$I$7+(((A4)+1)/2)*(Inputs!$J$7-Inputs!$I$7)))/Inputs!$K$7)^2),NA())</f>
        <v/>
      </c>
      <c r="D4" s="9">
        <f>IF(OR(Inputs!$F$8=TRUE,Inputs!$F$8="TRUE",Inputs!$F$8=1),(Inputs!$H$8+Inputs!$L$8*(((Inputs!$I$8+(((A4)+1)/2)*(Inputs!$J$8-Inputs!$I$8)))/Inputs!$K$8)^2),NA())</f>
        <v/>
      </c>
      <c r="E4" s="9">
        <f>IF(OR(Inputs!$F$9=TRUE,Inputs!$F$9="TRUE",Inputs!$F$9=1),(Inputs!$H$9+Inputs!$L$9*(((Inputs!$I$9+(((A4)+1)/2)*(Inputs!$J$9-Inputs!$I$9)))/Inputs!$K$9)^2),NA())</f>
        <v/>
      </c>
      <c r="F4" s="10" t="n"/>
      <c r="G4" s="9">
        <f>A4</f>
        <v/>
      </c>
      <c r="H4" s="9">
        <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f>
        <v/>
      </c>
      <c r="I4" s="9">
        <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f>
        <v/>
      </c>
      <c r="J4" s="9">
        <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f>
        <v/>
      </c>
      <c r="K4" s="9">
        <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f>
        <v/>
      </c>
      <c r="L4" s="10" t="n"/>
      <c r="M4" s="9">
        <f>A4</f>
        <v/>
      </c>
      <c r="N4" s="9">
        <f>IF(OR(Inputs!$F$6=TRUE,Inputs!$F$6="TRUE",Inputs!$F$6=1),(-2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NA())</f>
        <v/>
      </c>
      <c r="O4" s="9">
        <f>IF(OR(Inputs!$F$7=TRUE,Inputs!$F$7="TRUE",Inputs!$F$7=1),(-2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NA())</f>
        <v/>
      </c>
      <c r="P4" s="9">
        <f>IF(OR(Inputs!$F$8=TRUE,Inputs!$F$8="TRUE",Inputs!$F$8=1),(-2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NA())</f>
        <v/>
      </c>
      <c r="Q4" s="9">
        <f>IF(OR(Inputs!$F$9=TRUE,Inputs!$F$9="TRUE",Inputs!$F$9=1),(-2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NA())</f>
        <v/>
      </c>
      <c r="R4" s="10" t="n"/>
      <c r="S4" s="9">
        <f>A4</f>
        <v/>
      </c>
      <c r="T4" s="9">
        <f>(Inputs!$I$6+(((A4)+1)/2)*(Inputs!$J$6-Inputs!$I$6))</f>
        <v/>
      </c>
      <c r="U4" s="9">
        <f>(Inputs!$I$7+(((A4)+1)/2)*(Inputs!$J$7-Inputs!$I$7))</f>
        <v/>
      </c>
      <c r="V4" s="9">
        <f>(Inputs!$I$8+(((A4)+1)/2)*(Inputs!$J$8-Inputs!$I$8))</f>
        <v/>
      </c>
      <c r="W4" s="9">
        <f>(Inputs!$I$9+(((A4)+1)/2)*(Inputs!$J$9-Inputs!$I$9))</f>
        <v/>
      </c>
      <c r="X4" s="10" t="n"/>
      <c r="Y4" s="9">
        <f>A4</f>
        <v/>
      </c>
      <c r="Z4" s="9">
        <f>(Inputs!$H$6+Inputs!$L$6*(((Inputs!$I$6+(((A4)+1)/2)*(Inputs!$J$6-Inputs!$I$6)))/Inputs!$K$6)^2)</f>
        <v/>
      </c>
      <c r="AA4" s="9">
        <f>(Inputs!$H$7+Inputs!$L$7*(((Inputs!$I$7+(((A4)+1)/2)*(Inputs!$J$7-Inputs!$I$7)))/Inputs!$K$7)^2)</f>
        <v/>
      </c>
      <c r="AB4" s="9">
        <f>(Inputs!$H$8+Inputs!$L$8*(((Inputs!$I$8+(((A4)+1)/2)*(Inputs!$J$8-Inputs!$I$8)))/Inputs!$K$8)^2)</f>
        <v/>
      </c>
      <c r="AC4" s="9">
        <f>(Inputs!$H$9+Inputs!$L$9*(((Inputs!$I$9+(((A4)+1)/2)*(Inputs!$J$9-Inputs!$I$9)))/Inputs!$K$9)^2)</f>
        <v/>
      </c>
      <c r="AD4" s="10" t="n"/>
      <c r="AE4" s="9">
        <f>A4</f>
        <v/>
      </c>
      <c r="AF4" s="9">
        <f>(((SQRT((Inputs!$C$52+((Inputs!$H$6+Inputs!$L$6*(((Inputs!$I$6+(((A4)+1)/2)*(Inputs!$J$6-Inputs!$I$6)))/Inputs!$K$6)^2)))^2+Inputs!$C$52^2-2*(Inputs!$C$52+((Inputs!$H$6+Inputs!$L$6*(((Inputs!$I$6+(((A4)+1)/2)*(Inputs!$J$6-Inputs!$I$6)))/Inputs!$K$6)^2)))*Inputs!$C$52*COS(SQRT(((Inputs!$I$6+(((A4)+1)/2)*(Inputs!$J$6-Inputs!$I$6)))^2+Inputs!$C$6^2)/Inputs!$C$52)))-((Inputs!$H$6+Inputs!$L$6*(((Inputs!$I$6+(((A4)+1)/2)*(Inputs!$J$6-Inputs!$I$6)))/Inputs!$K$6)^2)))*1000/Inputs!$C$12)</f>
        <v/>
      </c>
      <c r="AG4" s="9">
        <f>(((SQRT((Inputs!$C$52+((Inputs!$H$7+Inputs!$L$7*(((Inputs!$I$7+(((A4)+1)/2)*(Inputs!$J$7-Inputs!$I$7)))/Inputs!$K$7)^2)))^2+Inputs!$C$52^2-2*(Inputs!$C$52+((Inputs!$H$7+Inputs!$L$7*(((Inputs!$I$7+(((A4)+1)/2)*(Inputs!$J$7-Inputs!$I$7)))/Inputs!$K$7)^2)))*Inputs!$C$52*COS(SQRT(((Inputs!$I$7+(((A4)+1)/2)*(Inputs!$J$7-Inputs!$I$7)))^2+Inputs!$C$6^2)/Inputs!$C$52)))-((Inputs!$H$7+Inputs!$L$7*(((Inputs!$I$7+(((A4)+1)/2)*(Inputs!$J$7-Inputs!$I$7)))/Inputs!$K$7)^2)))*1000/Inputs!$C$12)</f>
        <v/>
      </c>
      <c r="AH4" s="9">
        <f>(((SQRT((Inputs!$C$52+((Inputs!$H$8+Inputs!$L$8*(((Inputs!$I$8+(((A4)+1)/2)*(Inputs!$J$8-Inputs!$I$8)))/Inputs!$K$8)^2)))^2+Inputs!$C$52^2-2*(Inputs!$C$52+((Inputs!$H$8+Inputs!$L$8*(((Inputs!$I$8+(((A4)+1)/2)*(Inputs!$J$8-Inputs!$I$8)))/Inputs!$K$8)^2)))*Inputs!$C$52*COS(SQRT(((Inputs!$I$8+(((A4)+1)/2)*(Inputs!$J$8-Inputs!$I$8)))^2+Inputs!$C$6^2)/Inputs!$C$52)))-((Inputs!$H$8+Inputs!$L$8*(((Inputs!$I$8+(((A4)+1)/2)*(Inputs!$J$8-Inputs!$I$8)))/Inputs!$K$8)^2)))*1000/Inputs!$C$12)</f>
        <v/>
      </c>
      <c r="AI4" s="9">
        <f>(((SQRT((Inputs!$C$52+((Inputs!$H$9+Inputs!$L$9*(((Inputs!$I$9+(((A4)+1)/2)*(Inputs!$J$9-Inputs!$I$9)))/Inputs!$K$9)^2)))^2+Inputs!$C$52^2-2*(Inputs!$C$52+((Inputs!$H$9+Inputs!$L$9*(((Inputs!$I$9+(((A4)+1)/2)*(Inputs!$J$9-Inputs!$I$9)))/Inputs!$K$9)^2)))*Inputs!$C$52*COS(SQRT(((Inputs!$I$9+(((A4)+1)/2)*(Inputs!$J$9-Inputs!$I$9)))^2+Inputs!$C$6^2)/Inputs!$C$52)))-((Inputs!$H$9+Inputs!$L$9*(((Inputs!$I$9+(((A4)+1)/2)*(Inputs!$J$9-Inputs!$I$9)))/Inputs!$K$9)^2)))*1000/Inputs!$C$12)</f>
        <v/>
      </c>
      <c r="AJ4" s="10" t="n"/>
      <c r="AK4" s="9">
        <f>A4</f>
        <v/>
      </c>
      <c r="AL4" s="9">
        <f>(-2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f>
        <v/>
      </c>
      <c r="AM4" s="9">
        <f>(-2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f>
        <v/>
      </c>
      <c r="AN4" s="9">
        <f>(-2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f>
        <v/>
      </c>
      <c r="AO4" s="9">
        <f>(-2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f>
        <v/>
      </c>
      <c r="AP4" s="10" t="n"/>
      <c r="AQ4" s="9">
        <f>A4</f>
        <v/>
      </c>
      <c r="AR4" s="9">
        <f>0</f>
        <v/>
      </c>
      <c r="AS4" s="9">
        <f>IF(OR(Inputs!$F$6=TRUE,Inputs!$F$6="TRUE",Inputs!$F$6=1),IF(OR(Inputs!$C$27=TRUE,Inputs!$C$27="TRUE",Inputs!$C$27=1),1,0)*(Inputs!$C$51*(115*EXP(-(((Inputs!$C$6)-25)^2)/(4.5^2))+70*EXP(-(((Inputs!$C$6)+38)^2)/(7^2))*(0.55+0.45*SIN(2*PI()*((Inputs!$I$6+(((A4)+1)/2)*(Inputs!$J$6-Inputs!$I$6)))/45))+24*SIN(2*PI()*(Inputs!$C$6)/9+((Inputs!$I$6+(((A4)+1)/2)*(Inputs!$J$6-Inputs!$I$6)))/18)*EXP(-(((Inputs!$C$6)+5)^2)/(22^2))+18*SIN(2*PI()*((Inputs!$I$6+(((A4)+1)/2)*(Inputs!$J$6-Inputs!$I$6)))/70))+Inputs!$C$28*EXP(-((((Inputs!$I$6+(((A4)+1)/2)*(Inputs!$J$6-Inputs!$I$6)))-Inputs!$C$29)^2)/(2*Inputs!$C$31^2))*EXP(-(((Inputs!$C$6)-Inputs!$C$30)^2)/(2*Inputs!$C$32^2))+-Inputs!$C$33*EXP(-((((((Inputs!$I$6+(((A4)+1)/2)*(Inputs!$J$6-Inputs!$I$6)))-Inputs!$C$34)^2)+(((Inputs!$C$6)-Inputs!$C$35)^2))/(2*Inputs!$C$36^2)))+Inputs!$C$37*(0.55*SIN(2*PI()*((Inputs!$I$6+(((A4)+1)/2)*(Inputs!$J$6-Inputs!$I$6)))/Inputs!$C$39)+0.35*COS(2*PI()*(Inputs!$C$6)/Inputs!$C$40)+0.2*SIN(2*PI()*(((Inputs!$I$6+(((A4)+1)/2)*(Inputs!$J$6-Inputs!$I$6)))+(Inputs!$C$6))/(0.5*(Inputs!$C$39+Inputs!$C$40))))+Inputs!$C$38*SIN(2*PI()*((Inputs!$I$6+(((A4)+1)/2)*(Inputs!$J$6-Inputs!$I$6)))/Inputs!$C$39)*SIN(2*PI()*(Inputs!$C$6)/Inputs!$C$40)+-Inputs!$C$41*EXP(-(((Inputs!$C$6)-Inputs!$C$43)^2)/(2*Inputs!$C$44^2))*EXP(-((((Inputs!$I$6+(((A4)+1)/2)*(Inputs!$J$6-Inputs!$I$6)))-Inputs!$C$42)^2)/(2*Inputs!$C$45^2))+Inputs!$C$48*(0.7*(0.45*SIN(2*PI()*((((Inputs!$I$6+(((A4)+1)/2)*(Inputs!$J$6-Inputs!$I$6)))/Inputs!$C$49)+Inputs!$C$47*0.137))+0.35*COS(2*PI()*(((Inputs!$C$6)/Inputs!$C$50)+Inputs!$C$47*0.173))+0.2*SIN(2*PI()*((((Inputs!$I$6+(((A4)+1)/2)*(Inputs!$J$6-Inputs!$I$6)))+(Inputs!$C$6))/(0.5*(Inputs!$C$49+Inputs!$C$50))+Inputs!$C$47*0.097)))+0.3*(2*((SIN((((Inputs!$I$6+(((A4)+1)/2)*(Inputs!$J$6-Inputs!$I$6)))*12.9898+(Inputs!$C$6)*78.233+Inputs!$C$47*37.719))*43758.5453)-INT((SIN((((Inputs!$I$6+(((A4)+1)/2)*(Inputs!$J$6-Inputs!$I$6)))*12.9898+(Inputs!$C$6)*78.233+Inputs!$C$47*37.719))*43758.5453)))-1))),NA())</f>
        <v/>
      </c>
      <c r="AT4" s="9">
        <f>IF(OR(Inputs!$F$7=TRUE,Inputs!$F$7="TRUE",Inputs!$F$7=1),IF(OR(Inputs!$C$27=TRUE,Inputs!$C$27="TRUE",Inputs!$C$27=1),1,0)*(Inputs!$C$51*(115*EXP(-(((Inputs!$C$6)-25)^2)/(4.5^2))+70*EXP(-(((Inputs!$C$6)+38)^2)/(7^2))*(0.55+0.45*SIN(2*PI()*((Inputs!$I$7+(((A4)+1)/2)*(Inputs!$J$7-Inputs!$I$7)))/45))+24*SIN(2*PI()*(Inputs!$C$6)/9+((Inputs!$I$7+(((A4)+1)/2)*(Inputs!$J$7-Inputs!$I$7)))/18)*EXP(-(((Inputs!$C$6)+5)^2)/(22^2))+18*SIN(2*PI()*((Inputs!$I$7+(((A4)+1)/2)*(Inputs!$J$7-Inputs!$I$7)))/70))+Inputs!$C$28*EXP(-((((Inputs!$I$7+(((A4)+1)/2)*(Inputs!$J$7-Inputs!$I$7)))-Inputs!$C$29)^2)/(2*Inputs!$C$31^2))*EXP(-(((Inputs!$C$6)-Inputs!$C$30)^2)/(2*Inputs!$C$32^2))+-Inputs!$C$33*EXP(-((((((Inputs!$I$7+(((A4)+1)/2)*(Inputs!$J$7-Inputs!$I$7)))-Inputs!$C$34)^2)+(((Inputs!$C$6)-Inputs!$C$35)^2))/(2*Inputs!$C$36^2)))+Inputs!$C$37*(0.55*SIN(2*PI()*((Inputs!$I$7+(((A4)+1)/2)*(Inputs!$J$7-Inputs!$I$7)))/Inputs!$C$39)+0.35*COS(2*PI()*(Inputs!$C$6)/Inputs!$C$40)+0.2*SIN(2*PI()*(((Inputs!$I$7+(((A4)+1)/2)*(Inputs!$J$7-Inputs!$I$7)))+(Inputs!$C$6))/(0.5*(Inputs!$C$39+Inputs!$C$40))))+Inputs!$C$38*SIN(2*PI()*((Inputs!$I$7+(((A4)+1)/2)*(Inputs!$J$7-Inputs!$I$7)))/Inputs!$C$39)*SIN(2*PI()*(Inputs!$C$6)/Inputs!$C$40)+-Inputs!$C$41*EXP(-(((Inputs!$C$6)-Inputs!$C$43)^2)/(2*Inputs!$C$44^2))*EXP(-((((Inputs!$I$7+(((A4)+1)/2)*(Inputs!$J$7-Inputs!$I$7)))-Inputs!$C$42)^2)/(2*Inputs!$C$45^2))+Inputs!$C$48*(0.7*(0.45*SIN(2*PI()*((((Inputs!$I$7+(((A4)+1)/2)*(Inputs!$J$7-Inputs!$I$7)))/Inputs!$C$49)+Inputs!$C$47*0.137))+0.35*COS(2*PI()*(((Inputs!$C$6)/Inputs!$C$50)+Inputs!$C$47*0.173))+0.2*SIN(2*PI()*((((Inputs!$I$7+(((A4)+1)/2)*(Inputs!$J$7-Inputs!$I$7)))+(Inputs!$C$6))/(0.5*(Inputs!$C$49+Inputs!$C$50))+Inputs!$C$47*0.097)))+0.3*(2*((SIN((((Inputs!$I$7+(((A4)+1)/2)*(Inputs!$J$7-Inputs!$I$7)))*12.9898+(Inputs!$C$6)*78.233+Inputs!$C$47*37.719))*43758.5453)-INT((SIN((((Inputs!$I$7+(((A4)+1)/2)*(Inputs!$J$7-Inputs!$I$7)))*12.9898+(Inputs!$C$6)*78.233+Inputs!$C$47*37.719))*43758.5453)))-1))),NA())</f>
        <v/>
      </c>
      <c r="AU4" s="9">
        <f>IF(OR(Inputs!$F$8=TRUE,Inputs!$F$8="TRUE",Inputs!$F$8=1),IF(OR(Inputs!$C$27=TRUE,Inputs!$C$27="TRUE",Inputs!$C$27=1),1,0)*(Inputs!$C$51*(115*EXP(-(((Inputs!$C$6)-25)^2)/(4.5^2))+70*EXP(-(((Inputs!$C$6)+38)^2)/(7^2))*(0.55+0.45*SIN(2*PI()*((Inputs!$I$8+(((A4)+1)/2)*(Inputs!$J$8-Inputs!$I$8)))/45))+24*SIN(2*PI()*(Inputs!$C$6)/9+((Inputs!$I$8+(((A4)+1)/2)*(Inputs!$J$8-Inputs!$I$8)))/18)*EXP(-(((Inputs!$C$6)+5)^2)/(22^2))+18*SIN(2*PI()*((Inputs!$I$8+(((A4)+1)/2)*(Inputs!$J$8-Inputs!$I$8)))/70))+Inputs!$C$28*EXP(-((((Inputs!$I$8+(((A4)+1)/2)*(Inputs!$J$8-Inputs!$I$8)))-Inputs!$C$29)^2)/(2*Inputs!$C$31^2))*EXP(-(((Inputs!$C$6)-Inputs!$C$30)^2)/(2*Inputs!$C$32^2))+-Inputs!$C$33*EXP(-((((((Inputs!$I$8+(((A4)+1)/2)*(Inputs!$J$8-Inputs!$I$8)))-Inputs!$C$34)^2)+(((Inputs!$C$6)-Inputs!$C$35)^2))/(2*Inputs!$C$36^2)))+Inputs!$C$37*(0.55*SIN(2*PI()*((Inputs!$I$8+(((A4)+1)/2)*(Inputs!$J$8-Inputs!$I$8)))/Inputs!$C$39)+0.35*COS(2*PI()*(Inputs!$C$6)/Inputs!$C$40)+0.2*SIN(2*PI()*(((Inputs!$I$8+(((A4)+1)/2)*(Inputs!$J$8-Inputs!$I$8)))+(Inputs!$C$6))/(0.5*(Inputs!$C$39+Inputs!$C$40))))+Inputs!$C$38*SIN(2*PI()*((Inputs!$I$8+(((A4)+1)/2)*(Inputs!$J$8-Inputs!$I$8)))/Inputs!$C$39)*SIN(2*PI()*(Inputs!$C$6)/Inputs!$C$40)+-Inputs!$C$41*EXP(-(((Inputs!$C$6)-Inputs!$C$43)^2)/(2*Inputs!$C$44^2))*EXP(-((((Inputs!$I$8+(((A4)+1)/2)*(Inputs!$J$8-Inputs!$I$8)))-Inputs!$C$42)^2)/(2*Inputs!$C$45^2))+Inputs!$C$48*(0.7*(0.45*SIN(2*PI()*((((Inputs!$I$8+(((A4)+1)/2)*(Inputs!$J$8-Inputs!$I$8)))/Inputs!$C$49)+Inputs!$C$47*0.137))+0.35*COS(2*PI()*(((Inputs!$C$6)/Inputs!$C$50)+Inputs!$C$47*0.173))+0.2*SIN(2*PI()*((((Inputs!$I$8+(((A4)+1)/2)*(Inputs!$J$8-Inputs!$I$8)))+(Inputs!$C$6))/(0.5*(Inputs!$C$49+Inputs!$C$50))+Inputs!$C$47*0.097)))+0.3*(2*((SIN((((Inputs!$I$8+(((A4)+1)/2)*(Inputs!$J$8-Inputs!$I$8)))*12.9898+(Inputs!$C$6)*78.233+Inputs!$C$47*37.719))*43758.5453)-INT((SIN((((Inputs!$I$8+(((A4)+1)/2)*(Inputs!$J$8-Inputs!$I$8)))*12.9898+(Inputs!$C$6)*78.233+Inputs!$C$47*37.719))*43758.5453)))-1))),NA())</f>
        <v/>
      </c>
      <c r="AV4" s="9">
        <f>IF(OR(Inputs!$F$9=TRUE,Inputs!$F$9="TRUE",Inputs!$F$9=1),IF(OR(Inputs!$C$27=TRUE,Inputs!$C$27="TRUE",Inputs!$C$27=1),1,0)*(Inputs!$C$51*(115*EXP(-(((Inputs!$C$6)-25)^2)/(4.5^2))+70*EXP(-(((Inputs!$C$6)+38)^2)/(7^2))*(0.55+0.45*SIN(2*PI()*((Inputs!$I$9+(((A4)+1)/2)*(Inputs!$J$9-Inputs!$I$9)))/45))+24*SIN(2*PI()*(Inputs!$C$6)/9+((Inputs!$I$9+(((A4)+1)/2)*(Inputs!$J$9-Inputs!$I$9)))/18)*EXP(-(((Inputs!$C$6)+5)^2)/(22^2))+18*SIN(2*PI()*((Inputs!$I$9+(((A4)+1)/2)*(Inputs!$J$9-Inputs!$I$9)))/70))+Inputs!$C$28*EXP(-((((Inputs!$I$9+(((A4)+1)/2)*(Inputs!$J$9-Inputs!$I$9)))-Inputs!$C$29)^2)/(2*Inputs!$C$31^2))*EXP(-(((Inputs!$C$6)-Inputs!$C$30)^2)/(2*Inputs!$C$32^2))+-Inputs!$C$33*EXP(-((((((Inputs!$I$9+(((A4)+1)/2)*(Inputs!$J$9-Inputs!$I$9)))-Inputs!$C$34)^2)+(((Inputs!$C$6)-Inputs!$C$35)^2))/(2*Inputs!$C$36^2)))+Inputs!$C$37*(0.55*SIN(2*PI()*((Inputs!$I$9+(((A4)+1)/2)*(Inputs!$J$9-Inputs!$I$9)))/Inputs!$C$39)+0.35*COS(2*PI()*(Inputs!$C$6)/Inputs!$C$40)+0.2*SIN(2*PI()*(((Inputs!$I$9+(((A4)+1)/2)*(Inputs!$J$9-Inputs!$I$9)))+(Inputs!$C$6))/(0.5*(Inputs!$C$39+Inputs!$C$40))))+Inputs!$C$38*SIN(2*PI()*((Inputs!$I$9+(((A4)+1)/2)*(Inputs!$J$9-Inputs!$I$9)))/Inputs!$C$39)*SIN(2*PI()*(Inputs!$C$6)/Inputs!$C$40)+-Inputs!$C$41*EXP(-(((Inputs!$C$6)-Inputs!$C$43)^2)/(2*Inputs!$C$44^2))*EXP(-((((Inputs!$I$9+(((A4)+1)/2)*(Inputs!$J$9-Inputs!$I$9)))-Inputs!$C$42)^2)/(2*Inputs!$C$45^2))+Inputs!$C$48*(0.7*(0.45*SIN(2*PI()*((((Inputs!$I$9+(((A4)+1)/2)*(Inputs!$J$9-Inputs!$I$9)))/Inputs!$C$49)+Inputs!$C$47*0.137))+0.35*COS(2*PI()*(((Inputs!$C$6)/Inputs!$C$50)+Inputs!$C$47*0.173))+0.2*SIN(2*PI()*((((Inputs!$I$9+(((A4)+1)/2)*(Inputs!$J$9-Inputs!$I$9)))+(Inputs!$C$6))/(0.5*(Inputs!$C$49+Inputs!$C$50))+Inputs!$C$47*0.097)))+0.3*(2*((SIN((((Inputs!$I$9+(((A4)+1)/2)*(Inputs!$J$9-Inputs!$I$9)))*12.9898+(Inputs!$C$6)*78.233+Inputs!$C$47*37.719))*43758.5453)-INT((SIN((((Inputs!$I$9+(((A4)+1)/2)*(Inputs!$J$9-Inputs!$I$9)))*12.9898+(Inputs!$C$6)*78.233+Inputs!$C$47*37.719))*43758.5453)))-1))),NA())</f>
        <v/>
      </c>
      <c r="AW4" s="10" t="n"/>
      <c r="AX4" s="9">
        <f>A4</f>
        <v/>
      </c>
      <c r="AY4" s="9">
        <f>0</f>
        <v/>
      </c>
      <c r="AZ4" s="9">
        <f>IF(OR(Inputs!$F$6=TRUE,Inputs!$F$6="TRUE",Inputs!$F$6=1),(Inputs!$H$6+Inputs!$L$6*(((Inputs!$I$6+(((A4)+1)/2)*(Inputs!$J$6-Inputs!$I$6)))/Inputs!$K$6)^2),NA())</f>
        <v/>
      </c>
      <c r="BA4" s="9">
        <f>IF(OR(Inputs!$F$7=TRUE,Inputs!$F$7="TRUE",Inputs!$F$7=1),(Inputs!$H$7+Inputs!$L$7*(((Inputs!$I$7+(((A4)+1)/2)*(Inputs!$J$7-Inputs!$I$7)))/Inputs!$K$7)^2),NA())</f>
        <v/>
      </c>
      <c r="BB4" s="9">
        <f>IF(OR(Inputs!$F$8=TRUE,Inputs!$F$8="TRUE",Inputs!$F$8=1),(Inputs!$H$8+Inputs!$L$8*(((Inputs!$I$8+(((A4)+1)/2)*(Inputs!$J$8-Inputs!$I$8)))/Inputs!$K$8)^2),NA())</f>
        <v/>
      </c>
      <c r="BC4" s="9">
        <f>IF(OR(Inputs!$F$9=TRUE,Inputs!$F$9="TRUE",Inputs!$F$9=1),(Inputs!$H$9+Inputs!$L$9*(((Inputs!$I$9+(((A4)+1)/2)*(Inputs!$J$9-Inputs!$I$9)))/Inputs!$K$9)^2),NA())</f>
        <v/>
      </c>
      <c r="BD4" s="10" t="n"/>
      <c r="BE4" s="9">
        <f>A4</f>
        <v/>
      </c>
      <c r="BF4" s="9">
        <f>0</f>
        <v/>
      </c>
      <c r="BG4" s="9">
        <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f>
        <v/>
      </c>
      <c r="BH4" s="9">
        <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f>
        <v/>
      </c>
      <c r="BI4" s="9">
        <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f>
        <v/>
      </c>
      <c r="BJ4" s="9">
        <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f>
        <v/>
      </c>
    </row>
    <row r="5">
      <c r="A5" s="9">
        <f>ROUND(-1+3*2/240,3)</f>
        <v/>
      </c>
      <c r="B5" s="9">
        <f>IF(OR(Inputs!$F$6=TRUE,Inputs!$F$6="TRUE",Inputs!$F$6=1),(Inputs!$H$6+Inputs!$L$6*(((Inputs!$I$6+(((A5)+1)/2)*(Inputs!$J$6-Inputs!$I$6)))/Inputs!$K$6)^2),NA())</f>
        <v/>
      </c>
      <c r="C5" s="9">
        <f>IF(OR(Inputs!$F$7=TRUE,Inputs!$F$7="TRUE",Inputs!$F$7=1),(Inputs!$H$7+Inputs!$L$7*(((Inputs!$I$7+(((A5)+1)/2)*(Inputs!$J$7-Inputs!$I$7)))/Inputs!$K$7)^2),NA())</f>
        <v/>
      </c>
      <c r="D5" s="9">
        <f>IF(OR(Inputs!$F$8=TRUE,Inputs!$F$8="TRUE",Inputs!$F$8=1),(Inputs!$H$8+Inputs!$L$8*(((Inputs!$I$8+(((A5)+1)/2)*(Inputs!$J$8-Inputs!$I$8)))/Inputs!$K$8)^2),NA())</f>
        <v/>
      </c>
      <c r="E5" s="9">
        <f>IF(OR(Inputs!$F$9=TRUE,Inputs!$F$9="TRUE",Inputs!$F$9=1),(Inputs!$H$9+Inputs!$L$9*(((Inputs!$I$9+(((A5)+1)/2)*(Inputs!$J$9-Inputs!$I$9)))/Inputs!$K$9)^2),NA())</f>
        <v/>
      </c>
      <c r="F5" s="10" t="n"/>
      <c r="G5" s="9">
        <f>A5</f>
        <v/>
      </c>
      <c r="H5" s="9">
        <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f>
        <v/>
      </c>
      <c r="I5" s="9">
        <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f>
        <v/>
      </c>
      <c r="J5" s="9">
        <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f>
        <v/>
      </c>
      <c r="K5" s="9">
        <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f>
        <v/>
      </c>
      <c r="L5" s="10" t="n"/>
      <c r="M5" s="9">
        <f>A5</f>
        <v/>
      </c>
      <c r="N5" s="9">
        <f>IF(OR(Inputs!$F$6=TRUE,Inputs!$F$6="TRUE",Inputs!$F$6=1),(-2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NA())</f>
        <v/>
      </c>
      <c r="O5" s="9">
        <f>IF(OR(Inputs!$F$7=TRUE,Inputs!$F$7="TRUE",Inputs!$F$7=1),(-2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NA())</f>
        <v/>
      </c>
      <c r="P5" s="9">
        <f>IF(OR(Inputs!$F$8=TRUE,Inputs!$F$8="TRUE",Inputs!$F$8=1),(-2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NA())</f>
        <v/>
      </c>
      <c r="Q5" s="9">
        <f>IF(OR(Inputs!$F$9=TRUE,Inputs!$F$9="TRUE",Inputs!$F$9=1),(-2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NA())</f>
        <v/>
      </c>
      <c r="R5" s="10" t="n"/>
      <c r="S5" s="9">
        <f>A5</f>
        <v/>
      </c>
      <c r="T5" s="9">
        <f>(Inputs!$I$6+(((A5)+1)/2)*(Inputs!$J$6-Inputs!$I$6))</f>
        <v/>
      </c>
      <c r="U5" s="9">
        <f>(Inputs!$I$7+(((A5)+1)/2)*(Inputs!$J$7-Inputs!$I$7))</f>
        <v/>
      </c>
      <c r="V5" s="9">
        <f>(Inputs!$I$8+(((A5)+1)/2)*(Inputs!$J$8-Inputs!$I$8))</f>
        <v/>
      </c>
      <c r="W5" s="9">
        <f>(Inputs!$I$9+(((A5)+1)/2)*(Inputs!$J$9-Inputs!$I$9))</f>
        <v/>
      </c>
      <c r="X5" s="10" t="n"/>
      <c r="Y5" s="9">
        <f>A5</f>
        <v/>
      </c>
      <c r="Z5" s="9">
        <f>(Inputs!$H$6+Inputs!$L$6*(((Inputs!$I$6+(((A5)+1)/2)*(Inputs!$J$6-Inputs!$I$6)))/Inputs!$K$6)^2)</f>
        <v/>
      </c>
      <c r="AA5" s="9">
        <f>(Inputs!$H$7+Inputs!$L$7*(((Inputs!$I$7+(((A5)+1)/2)*(Inputs!$J$7-Inputs!$I$7)))/Inputs!$K$7)^2)</f>
        <v/>
      </c>
      <c r="AB5" s="9">
        <f>(Inputs!$H$8+Inputs!$L$8*(((Inputs!$I$8+(((A5)+1)/2)*(Inputs!$J$8-Inputs!$I$8)))/Inputs!$K$8)^2)</f>
        <v/>
      </c>
      <c r="AC5" s="9">
        <f>(Inputs!$H$9+Inputs!$L$9*(((Inputs!$I$9+(((A5)+1)/2)*(Inputs!$J$9-Inputs!$I$9)))/Inputs!$K$9)^2)</f>
        <v/>
      </c>
      <c r="AD5" s="10" t="n"/>
      <c r="AE5" s="9">
        <f>A5</f>
        <v/>
      </c>
      <c r="AF5" s="9">
        <f>(((SQRT((Inputs!$C$52+((Inputs!$H$6+Inputs!$L$6*(((Inputs!$I$6+(((A5)+1)/2)*(Inputs!$J$6-Inputs!$I$6)))/Inputs!$K$6)^2)))^2+Inputs!$C$52^2-2*(Inputs!$C$52+((Inputs!$H$6+Inputs!$L$6*(((Inputs!$I$6+(((A5)+1)/2)*(Inputs!$J$6-Inputs!$I$6)))/Inputs!$K$6)^2)))*Inputs!$C$52*COS(SQRT(((Inputs!$I$6+(((A5)+1)/2)*(Inputs!$J$6-Inputs!$I$6)))^2+Inputs!$C$6^2)/Inputs!$C$52)))-((Inputs!$H$6+Inputs!$L$6*(((Inputs!$I$6+(((A5)+1)/2)*(Inputs!$J$6-Inputs!$I$6)))/Inputs!$K$6)^2)))*1000/Inputs!$C$12)</f>
        <v/>
      </c>
      <c r="AG5" s="9">
        <f>(((SQRT((Inputs!$C$52+((Inputs!$H$7+Inputs!$L$7*(((Inputs!$I$7+(((A5)+1)/2)*(Inputs!$J$7-Inputs!$I$7)))/Inputs!$K$7)^2)))^2+Inputs!$C$52^2-2*(Inputs!$C$52+((Inputs!$H$7+Inputs!$L$7*(((Inputs!$I$7+(((A5)+1)/2)*(Inputs!$J$7-Inputs!$I$7)))/Inputs!$K$7)^2)))*Inputs!$C$52*COS(SQRT(((Inputs!$I$7+(((A5)+1)/2)*(Inputs!$J$7-Inputs!$I$7)))^2+Inputs!$C$6^2)/Inputs!$C$52)))-((Inputs!$H$7+Inputs!$L$7*(((Inputs!$I$7+(((A5)+1)/2)*(Inputs!$J$7-Inputs!$I$7)))/Inputs!$K$7)^2)))*1000/Inputs!$C$12)</f>
        <v/>
      </c>
      <c r="AH5" s="9">
        <f>(((SQRT((Inputs!$C$52+((Inputs!$H$8+Inputs!$L$8*(((Inputs!$I$8+(((A5)+1)/2)*(Inputs!$J$8-Inputs!$I$8)))/Inputs!$K$8)^2)))^2+Inputs!$C$52^2-2*(Inputs!$C$52+((Inputs!$H$8+Inputs!$L$8*(((Inputs!$I$8+(((A5)+1)/2)*(Inputs!$J$8-Inputs!$I$8)))/Inputs!$K$8)^2)))*Inputs!$C$52*COS(SQRT(((Inputs!$I$8+(((A5)+1)/2)*(Inputs!$J$8-Inputs!$I$8)))^2+Inputs!$C$6^2)/Inputs!$C$52)))-((Inputs!$H$8+Inputs!$L$8*(((Inputs!$I$8+(((A5)+1)/2)*(Inputs!$J$8-Inputs!$I$8)))/Inputs!$K$8)^2)))*1000/Inputs!$C$12)</f>
        <v/>
      </c>
      <c r="AI5" s="9">
        <f>(((SQRT((Inputs!$C$52+((Inputs!$H$9+Inputs!$L$9*(((Inputs!$I$9+(((A5)+1)/2)*(Inputs!$J$9-Inputs!$I$9)))/Inputs!$K$9)^2)))^2+Inputs!$C$52^2-2*(Inputs!$C$52+((Inputs!$H$9+Inputs!$L$9*(((Inputs!$I$9+(((A5)+1)/2)*(Inputs!$J$9-Inputs!$I$9)))/Inputs!$K$9)^2)))*Inputs!$C$52*COS(SQRT(((Inputs!$I$9+(((A5)+1)/2)*(Inputs!$J$9-Inputs!$I$9)))^2+Inputs!$C$6^2)/Inputs!$C$52)))-((Inputs!$H$9+Inputs!$L$9*(((Inputs!$I$9+(((A5)+1)/2)*(Inputs!$J$9-Inputs!$I$9)))/Inputs!$K$9)^2)))*1000/Inputs!$C$12)</f>
        <v/>
      </c>
      <c r="AJ5" s="10" t="n"/>
      <c r="AK5" s="9">
        <f>A5</f>
        <v/>
      </c>
      <c r="AL5" s="9">
        <f>(-2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f>
        <v/>
      </c>
      <c r="AM5" s="9">
        <f>(-2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f>
        <v/>
      </c>
      <c r="AN5" s="9">
        <f>(-2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f>
        <v/>
      </c>
      <c r="AO5" s="9">
        <f>(-2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f>
        <v/>
      </c>
      <c r="AP5" s="10" t="n"/>
      <c r="AQ5" s="9">
        <f>A5</f>
        <v/>
      </c>
      <c r="AR5" s="9">
        <f>0</f>
        <v/>
      </c>
      <c r="AS5" s="9">
        <f>IF(OR(Inputs!$F$6=TRUE,Inputs!$F$6="TRUE",Inputs!$F$6=1),IF(OR(Inputs!$C$27=TRUE,Inputs!$C$27="TRUE",Inputs!$C$27=1),1,0)*(Inputs!$C$51*(115*EXP(-(((Inputs!$C$6)-25)^2)/(4.5^2))+70*EXP(-(((Inputs!$C$6)+38)^2)/(7^2))*(0.55+0.45*SIN(2*PI()*((Inputs!$I$6+(((A5)+1)/2)*(Inputs!$J$6-Inputs!$I$6)))/45))+24*SIN(2*PI()*(Inputs!$C$6)/9+((Inputs!$I$6+(((A5)+1)/2)*(Inputs!$J$6-Inputs!$I$6)))/18)*EXP(-(((Inputs!$C$6)+5)^2)/(22^2))+18*SIN(2*PI()*((Inputs!$I$6+(((A5)+1)/2)*(Inputs!$J$6-Inputs!$I$6)))/70))+Inputs!$C$28*EXP(-((((Inputs!$I$6+(((A5)+1)/2)*(Inputs!$J$6-Inputs!$I$6)))-Inputs!$C$29)^2)/(2*Inputs!$C$31^2))*EXP(-(((Inputs!$C$6)-Inputs!$C$30)^2)/(2*Inputs!$C$32^2))+-Inputs!$C$33*EXP(-((((((Inputs!$I$6+(((A5)+1)/2)*(Inputs!$J$6-Inputs!$I$6)))-Inputs!$C$34)^2)+(((Inputs!$C$6)-Inputs!$C$35)^2))/(2*Inputs!$C$36^2)))+Inputs!$C$37*(0.55*SIN(2*PI()*((Inputs!$I$6+(((A5)+1)/2)*(Inputs!$J$6-Inputs!$I$6)))/Inputs!$C$39)+0.35*COS(2*PI()*(Inputs!$C$6)/Inputs!$C$40)+0.2*SIN(2*PI()*(((Inputs!$I$6+(((A5)+1)/2)*(Inputs!$J$6-Inputs!$I$6)))+(Inputs!$C$6))/(0.5*(Inputs!$C$39+Inputs!$C$40))))+Inputs!$C$38*SIN(2*PI()*((Inputs!$I$6+(((A5)+1)/2)*(Inputs!$J$6-Inputs!$I$6)))/Inputs!$C$39)*SIN(2*PI()*(Inputs!$C$6)/Inputs!$C$40)+-Inputs!$C$41*EXP(-(((Inputs!$C$6)-Inputs!$C$43)^2)/(2*Inputs!$C$44^2))*EXP(-((((Inputs!$I$6+(((A5)+1)/2)*(Inputs!$J$6-Inputs!$I$6)))-Inputs!$C$42)^2)/(2*Inputs!$C$45^2))+Inputs!$C$48*(0.7*(0.45*SIN(2*PI()*((((Inputs!$I$6+(((A5)+1)/2)*(Inputs!$J$6-Inputs!$I$6)))/Inputs!$C$49)+Inputs!$C$47*0.137))+0.35*COS(2*PI()*(((Inputs!$C$6)/Inputs!$C$50)+Inputs!$C$47*0.173))+0.2*SIN(2*PI()*((((Inputs!$I$6+(((A5)+1)/2)*(Inputs!$J$6-Inputs!$I$6)))+(Inputs!$C$6))/(0.5*(Inputs!$C$49+Inputs!$C$50))+Inputs!$C$47*0.097)))+0.3*(2*((SIN((((Inputs!$I$6+(((A5)+1)/2)*(Inputs!$J$6-Inputs!$I$6)))*12.9898+(Inputs!$C$6)*78.233+Inputs!$C$47*37.719))*43758.5453)-INT((SIN((((Inputs!$I$6+(((A5)+1)/2)*(Inputs!$J$6-Inputs!$I$6)))*12.9898+(Inputs!$C$6)*78.233+Inputs!$C$47*37.719))*43758.5453)))-1))),NA())</f>
        <v/>
      </c>
      <c r="AT5" s="9">
        <f>IF(OR(Inputs!$F$7=TRUE,Inputs!$F$7="TRUE",Inputs!$F$7=1),IF(OR(Inputs!$C$27=TRUE,Inputs!$C$27="TRUE",Inputs!$C$27=1),1,0)*(Inputs!$C$51*(115*EXP(-(((Inputs!$C$6)-25)^2)/(4.5^2))+70*EXP(-(((Inputs!$C$6)+38)^2)/(7^2))*(0.55+0.45*SIN(2*PI()*((Inputs!$I$7+(((A5)+1)/2)*(Inputs!$J$7-Inputs!$I$7)))/45))+24*SIN(2*PI()*(Inputs!$C$6)/9+((Inputs!$I$7+(((A5)+1)/2)*(Inputs!$J$7-Inputs!$I$7)))/18)*EXP(-(((Inputs!$C$6)+5)^2)/(22^2))+18*SIN(2*PI()*((Inputs!$I$7+(((A5)+1)/2)*(Inputs!$J$7-Inputs!$I$7)))/70))+Inputs!$C$28*EXP(-((((Inputs!$I$7+(((A5)+1)/2)*(Inputs!$J$7-Inputs!$I$7)))-Inputs!$C$29)^2)/(2*Inputs!$C$31^2))*EXP(-(((Inputs!$C$6)-Inputs!$C$30)^2)/(2*Inputs!$C$32^2))+-Inputs!$C$33*EXP(-((((((Inputs!$I$7+(((A5)+1)/2)*(Inputs!$J$7-Inputs!$I$7)))-Inputs!$C$34)^2)+(((Inputs!$C$6)-Inputs!$C$35)^2))/(2*Inputs!$C$36^2)))+Inputs!$C$37*(0.55*SIN(2*PI()*((Inputs!$I$7+(((A5)+1)/2)*(Inputs!$J$7-Inputs!$I$7)))/Inputs!$C$39)+0.35*COS(2*PI()*(Inputs!$C$6)/Inputs!$C$40)+0.2*SIN(2*PI()*(((Inputs!$I$7+(((A5)+1)/2)*(Inputs!$J$7-Inputs!$I$7)))+(Inputs!$C$6))/(0.5*(Inputs!$C$39+Inputs!$C$40))))+Inputs!$C$38*SIN(2*PI()*((Inputs!$I$7+(((A5)+1)/2)*(Inputs!$J$7-Inputs!$I$7)))/Inputs!$C$39)*SIN(2*PI()*(Inputs!$C$6)/Inputs!$C$40)+-Inputs!$C$41*EXP(-(((Inputs!$C$6)-Inputs!$C$43)^2)/(2*Inputs!$C$44^2))*EXP(-((((Inputs!$I$7+(((A5)+1)/2)*(Inputs!$J$7-Inputs!$I$7)))-Inputs!$C$42)^2)/(2*Inputs!$C$45^2))+Inputs!$C$48*(0.7*(0.45*SIN(2*PI()*((((Inputs!$I$7+(((A5)+1)/2)*(Inputs!$J$7-Inputs!$I$7)))/Inputs!$C$49)+Inputs!$C$47*0.137))+0.35*COS(2*PI()*(((Inputs!$C$6)/Inputs!$C$50)+Inputs!$C$47*0.173))+0.2*SIN(2*PI()*((((Inputs!$I$7+(((A5)+1)/2)*(Inputs!$J$7-Inputs!$I$7)))+(Inputs!$C$6))/(0.5*(Inputs!$C$49+Inputs!$C$50))+Inputs!$C$47*0.097)))+0.3*(2*((SIN((((Inputs!$I$7+(((A5)+1)/2)*(Inputs!$J$7-Inputs!$I$7)))*12.9898+(Inputs!$C$6)*78.233+Inputs!$C$47*37.719))*43758.5453)-INT((SIN((((Inputs!$I$7+(((A5)+1)/2)*(Inputs!$J$7-Inputs!$I$7)))*12.9898+(Inputs!$C$6)*78.233+Inputs!$C$47*37.719))*43758.5453)))-1))),NA())</f>
        <v/>
      </c>
      <c r="AU5" s="9">
        <f>IF(OR(Inputs!$F$8=TRUE,Inputs!$F$8="TRUE",Inputs!$F$8=1),IF(OR(Inputs!$C$27=TRUE,Inputs!$C$27="TRUE",Inputs!$C$27=1),1,0)*(Inputs!$C$51*(115*EXP(-(((Inputs!$C$6)-25)^2)/(4.5^2))+70*EXP(-(((Inputs!$C$6)+38)^2)/(7^2))*(0.55+0.45*SIN(2*PI()*((Inputs!$I$8+(((A5)+1)/2)*(Inputs!$J$8-Inputs!$I$8)))/45))+24*SIN(2*PI()*(Inputs!$C$6)/9+((Inputs!$I$8+(((A5)+1)/2)*(Inputs!$J$8-Inputs!$I$8)))/18)*EXP(-(((Inputs!$C$6)+5)^2)/(22^2))+18*SIN(2*PI()*((Inputs!$I$8+(((A5)+1)/2)*(Inputs!$J$8-Inputs!$I$8)))/70))+Inputs!$C$28*EXP(-((((Inputs!$I$8+(((A5)+1)/2)*(Inputs!$J$8-Inputs!$I$8)))-Inputs!$C$29)^2)/(2*Inputs!$C$31^2))*EXP(-(((Inputs!$C$6)-Inputs!$C$30)^2)/(2*Inputs!$C$32^2))+-Inputs!$C$33*EXP(-((((((Inputs!$I$8+(((A5)+1)/2)*(Inputs!$J$8-Inputs!$I$8)))-Inputs!$C$34)^2)+(((Inputs!$C$6)-Inputs!$C$35)^2))/(2*Inputs!$C$36^2)))+Inputs!$C$37*(0.55*SIN(2*PI()*((Inputs!$I$8+(((A5)+1)/2)*(Inputs!$J$8-Inputs!$I$8)))/Inputs!$C$39)+0.35*COS(2*PI()*(Inputs!$C$6)/Inputs!$C$40)+0.2*SIN(2*PI()*(((Inputs!$I$8+(((A5)+1)/2)*(Inputs!$J$8-Inputs!$I$8)))+(Inputs!$C$6))/(0.5*(Inputs!$C$39+Inputs!$C$40))))+Inputs!$C$38*SIN(2*PI()*((Inputs!$I$8+(((A5)+1)/2)*(Inputs!$J$8-Inputs!$I$8)))/Inputs!$C$39)*SIN(2*PI()*(Inputs!$C$6)/Inputs!$C$40)+-Inputs!$C$41*EXP(-(((Inputs!$C$6)-Inputs!$C$43)^2)/(2*Inputs!$C$44^2))*EXP(-((((Inputs!$I$8+(((A5)+1)/2)*(Inputs!$J$8-Inputs!$I$8)))-Inputs!$C$42)^2)/(2*Inputs!$C$45^2))+Inputs!$C$48*(0.7*(0.45*SIN(2*PI()*((((Inputs!$I$8+(((A5)+1)/2)*(Inputs!$J$8-Inputs!$I$8)))/Inputs!$C$49)+Inputs!$C$47*0.137))+0.35*COS(2*PI()*(((Inputs!$C$6)/Inputs!$C$50)+Inputs!$C$47*0.173))+0.2*SIN(2*PI()*((((Inputs!$I$8+(((A5)+1)/2)*(Inputs!$J$8-Inputs!$I$8)))+(Inputs!$C$6))/(0.5*(Inputs!$C$49+Inputs!$C$50))+Inputs!$C$47*0.097)))+0.3*(2*((SIN((((Inputs!$I$8+(((A5)+1)/2)*(Inputs!$J$8-Inputs!$I$8)))*12.9898+(Inputs!$C$6)*78.233+Inputs!$C$47*37.719))*43758.5453)-INT((SIN((((Inputs!$I$8+(((A5)+1)/2)*(Inputs!$J$8-Inputs!$I$8)))*12.9898+(Inputs!$C$6)*78.233+Inputs!$C$47*37.719))*43758.5453)))-1))),NA())</f>
        <v/>
      </c>
      <c r="AV5" s="9">
        <f>IF(OR(Inputs!$F$9=TRUE,Inputs!$F$9="TRUE",Inputs!$F$9=1),IF(OR(Inputs!$C$27=TRUE,Inputs!$C$27="TRUE",Inputs!$C$27=1),1,0)*(Inputs!$C$51*(115*EXP(-(((Inputs!$C$6)-25)^2)/(4.5^2))+70*EXP(-(((Inputs!$C$6)+38)^2)/(7^2))*(0.55+0.45*SIN(2*PI()*((Inputs!$I$9+(((A5)+1)/2)*(Inputs!$J$9-Inputs!$I$9)))/45))+24*SIN(2*PI()*(Inputs!$C$6)/9+((Inputs!$I$9+(((A5)+1)/2)*(Inputs!$J$9-Inputs!$I$9)))/18)*EXP(-(((Inputs!$C$6)+5)^2)/(22^2))+18*SIN(2*PI()*((Inputs!$I$9+(((A5)+1)/2)*(Inputs!$J$9-Inputs!$I$9)))/70))+Inputs!$C$28*EXP(-((((Inputs!$I$9+(((A5)+1)/2)*(Inputs!$J$9-Inputs!$I$9)))-Inputs!$C$29)^2)/(2*Inputs!$C$31^2))*EXP(-(((Inputs!$C$6)-Inputs!$C$30)^2)/(2*Inputs!$C$32^2))+-Inputs!$C$33*EXP(-((((((Inputs!$I$9+(((A5)+1)/2)*(Inputs!$J$9-Inputs!$I$9)))-Inputs!$C$34)^2)+(((Inputs!$C$6)-Inputs!$C$35)^2))/(2*Inputs!$C$36^2)))+Inputs!$C$37*(0.55*SIN(2*PI()*((Inputs!$I$9+(((A5)+1)/2)*(Inputs!$J$9-Inputs!$I$9)))/Inputs!$C$39)+0.35*COS(2*PI()*(Inputs!$C$6)/Inputs!$C$40)+0.2*SIN(2*PI()*(((Inputs!$I$9+(((A5)+1)/2)*(Inputs!$J$9-Inputs!$I$9)))+(Inputs!$C$6))/(0.5*(Inputs!$C$39+Inputs!$C$40))))+Inputs!$C$38*SIN(2*PI()*((Inputs!$I$9+(((A5)+1)/2)*(Inputs!$J$9-Inputs!$I$9)))/Inputs!$C$39)*SIN(2*PI()*(Inputs!$C$6)/Inputs!$C$40)+-Inputs!$C$41*EXP(-(((Inputs!$C$6)-Inputs!$C$43)^2)/(2*Inputs!$C$44^2))*EXP(-((((Inputs!$I$9+(((A5)+1)/2)*(Inputs!$J$9-Inputs!$I$9)))-Inputs!$C$42)^2)/(2*Inputs!$C$45^2))+Inputs!$C$48*(0.7*(0.45*SIN(2*PI()*((((Inputs!$I$9+(((A5)+1)/2)*(Inputs!$J$9-Inputs!$I$9)))/Inputs!$C$49)+Inputs!$C$47*0.137))+0.35*COS(2*PI()*(((Inputs!$C$6)/Inputs!$C$50)+Inputs!$C$47*0.173))+0.2*SIN(2*PI()*((((Inputs!$I$9+(((A5)+1)/2)*(Inputs!$J$9-Inputs!$I$9)))+(Inputs!$C$6))/(0.5*(Inputs!$C$49+Inputs!$C$50))+Inputs!$C$47*0.097)))+0.3*(2*((SIN((((Inputs!$I$9+(((A5)+1)/2)*(Inputs!$J$9-Inputs!$I$9)))*12.9898+(Inputs!$C$6)*78.233+Inputs!$C$47*37.719))*43758.5453)-INT((SIN((((Inputs!$I$9+(((A5)+1)/2)*(Inputs!$J$9-Inputs!$I$9)))*12.9898+(Inputs!$C$6)*78.233+Inputs!$C$47*37.719))*43758.5453)))-1))),NA())</f>
        <v/>
      </c>
      <c r="AW5" s="10" t="n"/>
      <c r="AX5" s="9">
        <f>A5</f>
        <v/>
      </c>
      <c r="AY5" s="9">
        <f>0</f>
        <v/>
      </c>
      <c r="AZ5" s="9">
        <f>IF(OR(Inputs!$F$6=TRUE,Inputs!$F$6="TRUE",Inputs!$F$6=1),(Inputs!$H$6+Inputs!$L$6*(((Inputs!$I$6+(((A5)+1)/2)*(Inputs!$J$6-Inputs!$I$6)))/Inputs!$K$6)^2),NA())</f>
        <v/>
      </c>
      <c r="BA5" s="9">
        <f>IF(OR(Inputs!$F$7=TRUE,Inputs!$F$7="TRUE",Inputs!$F$7=1),(Inputs!$H$7+Inputs!$L$7*(((Inputs!$I$7+(((A5)+1)/2)*(Inputs!$J$7-Inputs!$I$7)))/Inputs!$K$7)^2),NA())</f>
        <v/>
      </c>
      <c r="BB5" s="9">
        <f>IF(OR(Inputs!$F$8=TRUE,Inputs!$F$8="TRUE",Inputs!$F$8=1),(Inputs!$H$8+Inputs!$L$8*(((Inputs!$I$8+(((A5)+1)/2)*(Inputs!$J$8-Inputs!$I$8)))/Inputs!$K$8)^2),NA())</f>
        <v/>
      </c>
      <c r="BC5" s="9">
        <f>IF(OR(Inputs!$F$9=TRUE,Inputs!$F$9="TRUE",Inputs!$F$9=1),(Inputs!$H$9+Inputs!$L$9*(((Inputs!$I$9+(((A5)+1)/2)*(Inputs!$J$9-Inputs!$I$9)))/Inputs!$K$9)^2),NA())</f>
        <v/>
      </c>
      <c r="BD5" s="10" t="n"/>
      <c r="BE5" s="9">
        <f>A5</f>
        <v/>
      </c>
      <c r="BF5" s="9">
        <f>0</f>
        <v/>
      </c>
      <c r="BG5" s="9">
        <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f>
        <v/>
      </c>
      <c r="BH5" s="9">
        <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f>
        <v/>
      </c>
      <c r="BI5" s="9">
        <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f>
        <v/>
      </c>
      <c r="BJ5" s="9">
        <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f>
        <v/>
      </c>
    </row>
    <row r="6">
      <c r="A6" s="9">
        <f>ROUND(-1+4*2/240,3)</f>
        <v/>
      </c>
      <c r="B6" s="9">
        <f>IF(OR(Inputs!$F$6=TRUE,Inputs!$F$6="TRUE",Inputs!$F$6=1),(Inputs!$H$6+Inputs!$L$6*(((Inputs!$I$6+(((A6)+1)/2)*(Inputs!$J$6-Inputs!$I$6)))/Inputs!$K$6)^2),NA())</f>
        <v/>
      </c>
      <c r="C6" s="9">
        <f>IF(OR(Inputs!$F$7=TRUE,Inputs!$F$7="TRUE",Inputs!$F$7=1),(Inputs!$H$7+Inputs!$L$7*(((Inputs!$I$7+(((A6)+1)/2)*(Inputs!$J$7-Inputs!$I$7)))/Inputs!$K$7)^2),NA())</f>
        <v/>
      </c>
      <c r="D6" s="9">
        <f>IF(OR(Inputs!$F$8=TRUE,Inputs!$F$8="TRUE",Inputs!$F$8=1),(Inputs!$H$8+Inputs!$L$8*(((Inputs!$I$8+(((A6)+1)/2)*(Inputs!$J$8-Inputs!$I$8)))/Inputs!$K$8)^2),NA())</f>
        <v/>
      </c>
      <c r="E6" s="9">
        <f>IF(OR(Inputs!$F$9=TRUE,Inputs!$F$9="TRUE",Inputs!$F$9=1),(Inputs!$H$9+Inputs!$L$9*(((Inputs!$I$9+(((A6)+1)/2)*(Inputs!$J$9-Inputs!$I$9)))/Inputs!$K$9)^2),NA())</f>
        <v/>
      </c>
      <c r="F6" s="10" t="n"/>
      <c r="G6" s="9">
        <f>A6</f>
        <v/>
      </c>
      <c r="H6" s="9">
        <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f>
        <v/>
      </c>
      <c r="I6" s="9">
        <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f>
        <v/>
      </c>
      <c r="J6" s="9">
        <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f>
        <v/>
      </c>
      <c r="K6" s="9">
        <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f>
        <v/>
      </c>
      <c r="L6" s="10" t="n"/>
      <c r="M6" s="9">
        <f>A6</f>
        <v/>
      </c>
      <c r="N6" s="9">
        <f>IF(OR(Inputs!$F$6=TRUE,Inputs!$F$6="TRUE",Inputs!$F$6=1),(-2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NA())</f>
        <v/>
      </c>
      <c r="O6" s="9">
        <f>IF(OR(Inputs!$F$7=TRUE,Inputs!$F$7="TRUE",Inputs!$F$7=1),(-2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NA())</f>
        <v/>
      </c>
      <c r="P6" s="9">
        <f>IF(OR(Inputs!$F$8=TRUE,Inputs!$F$8="TRUE",Inputs!$F$8=1),(-2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NA())</f>
        <v/>
      </c>
      <c r="Q6" s="9">
        <f>IF(OR(Inputs!$F$9=TRUE,Inputs!$F$9="TRUE",Inputs!$F$9=1),(-2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NA())</f>
        <v/>
      </c>
      <c r="R6" s="10" t="n"/>
      <c r="S6" s="9">
        <f>A6</f>
        <v/>
      </c>
      <c r="T6" s="9">
        <f>(Inputs!$I$6+(((A6)+1)/2)*(Inputs!$J$6-Inputs!$I$6))</f>
        <v/>
      </c>
      <c r="U6" s="9">
        <f>(Inputs!$I$7+(((A6)+1)/2)*(Inputs!$J$7-Inputs!$I$7))</f>
        <v/>
      </c>
      <c r="V6" s="9">
        <f>(Inputs!$I$8+(((A6)+1)/2)*(Inputs!$J$8-Inputs!$I$8))</f>
        <v/>
      </c>
      <c r="W6" s="9">
        <f>(Inputs!$I$9+(((A6)+1)/2)*(Inputs!$J$9-Inputs!$I$9))</f>
        <v/>
      </c>
      <c r="X6" s="10" t="n"/>
      <c r="Y6" s="9">
        <f>A6</f>
        <v/>
      </c>
      <c r="Z6" s="9">
        <f>(Inputs!$H$6+Inputs!$L$6*(((Inputs!$I$6+(((A6)+1)/2)*(Inputs!$J$6-Inputs!$I$6)))/Inputs!$K$6)^2)</f>
        <v/>
      </c>
      <c r="AA6" s="9">
        <f>(Inputs!$H$7+Inputs!$L$7*(((Inputs!$I$7+(((A6)+1)/2)*(Inputs!$J$7-Inputs!$I$7)))/Inputs!$K$7)^2)</f>
        <v/>
      </c>
      <c r="AB6" s="9">
        <f>(Inputs!$H$8+Inputs!$L$8*(((Inputs!$I$8+(((A6)+1)/2)*(Inputs!$J$8-Inputs!$I$8)))/Inputs!$K$8)^2)</f>
        <v/>
      </c>
      <c r="AC6" s="9">
        <f>(Inputs!$H$9+Inputs!$L$9*(((Inputs!$I$9+(((A6)+1)/2)*(Inputs!$J$9-Inputs!$I$9)))/Inputs!$K$9)^2)</f>
        <v/>
      </c>
      <c r="AD6" s="10" t="n"/>
      <c r="AE6" s="9">
        <f>A6</f>
        <v/>
      </c>
      <c r="AF6" s="9">
        <f>(((SQRT((Inputs!$C$52+((Inputs!$H$6+Inputs!$L$6*(((Inputs!$I$6+(((A6)+1)/2)*(Inputs!$J$6-Inputs!$I$6)))/Inputs!$K$6)^2)))^2+Inputs!$C$52^2-2*(Inputs!$C$52+((Inputs!$H$6+Inputs!$L$6*(((Inputs!$I$6+(((A6)+1)/2)*(Inputs!$J$6-Inputs!$I$6)))/Inputs!$K$6)^2)))*Inputs!$C$52*COS(SQRT(((Inputs!$I$6+(((A6)+1)/2)*(Inputs!$J$6-Inputs!$I$6)))^2+Inputs!$C$6^2)/Inputs!$C$52)))-((Inputs!$H$6+Inputs!$L$6*(((Inputs!$I$6+(((A6)+1)/2)*(Inputs!$J$6-Inputs!$I$6)))/Inputs!$K$6)^2)))*1000/Inputs!$C$12)</f>
        <v/>
      </c>
      <c r="AG6" s="9">
        <f>(((SQRT((Inputs!$C$52+((Inputs!$H$7+Inputs!$L$7*(((Inputs!$I$7+(((A6)+1)/2)*(Inputs!$J$7-Inputs!$I$7)))/Inputs!$K$7)^2)))^2+Inputs!$C$52^2-2*(Inputs!$C$52+((Inputs!$H$7+Inputs!$L$7*(((Inputs!$I$7+(((A6)+1)/2)*(Inputs!$J$7-Inputs!$I$7)))/Inputs!$K$7)^2)))*Inputs!$C$52*COS(SQRT(((Inputs!$I$7+(((A6)+1)/2)*(Inputs!$J$7-Inputs!$I$7)))^2+Inputs!$C$6^2)/Inputs!$C$52)))-((Inputs!$H$7+Inputs!$L$7*(((Inputs!$I$7+(((A6)+1)/2)*(Inputs!$J$7-Inputs!$I$7)))/Inputs!$K$7)^2)))*1000/Inputs!$C$12)</f>
        <v/>
      </c>
      <c r="AH6" s="9">
        <f>(((SQRT((Inputs!$C$52+((Inputs!$H$8+Inputs!$L$8*(((Inputs!$I$8+(((A6)+1)/2)*(Inputs!$J$8-Inputs!$I$8)))/Inputs!$K$8)^2)))^2+Inputs!$C$52^2-2*(Inputs!$C$52+((Inputs!$H$8+Inputs!$L$8*(((Inputs!$I$8+(((A6)+1)/2)*(Inputs!$J$8-Inputs!$I$8)))/Inputs!$K$8)^2)))*Inputs!$C$52*COS(SQRT(((Inputs!$I$8+(((A6)+1)/2)*(Inputs!$J$8-Inputs!$I$8)))^2+Inputs!$C$6^2)/Inputs!$C$52)))-((Inputs!$H$8+Inputs!$L$8*(((Inputs!$I$8+(((A6)+1)/2)*(Inputs!$J$8-Inputs!$I$8)))/Inputs!$K$8)^2)))*1000/Inputs!$C$12)</f>
        <v/>
      </c>
      <c r="AI6" s="9">
        <f>(((SQRT((Inputs!$C$52+((Inputs!$H$9+Inputs!$L$9*(((Inputs!$I$9+(((A6)+1)/2)*(Inputs!$J$9-Inputs!$I$9)))/Inputs!$K$9)^2)))^2+Inputs!$C$52^2-2*(Inputs!$C$52+((Inputs!$H$9+Inputs!$L$9*(((Inputs!$I$9+(((A6)+1)/2)*(Inputs!$J$9-Inputs!$I$9)))/Inputs!$K$9)^2)))*Inputs!$C$52*COS(SQRT(((Inputs!$I$9+(((A6)+1)/2)*(Inputs!$J$9-Inputs!$I$9)))^2+Inputs!$C$6^2)/Inputs!$C$52)))-((Inputs!$H$9+Inputs!$L$9*(((Inputs!$I$9+(((A6)+1)/2)*(Inputs!$J$9-Inputs!$I$9)))/Inputs!$K$9)^2)))*1000/Inputs!$C$12)</f>
        <v/>
      </c>
      <c r="AJ6" s="10" t="n"/>
      <c r="AK6" s="9">
        <f>A6</f>
        <v/>
      </c>
      <c r="AL6" s="9">
        <f>(-2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f>
        <v/>
      </c>
      <c r="AM6" s="9">
        <f>(-2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f>
        <v/>
      </c>
      <c r="AN6" s="9">
        <f>(-2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f>
        <v/>
      </c>
      <c r="AO6" s="9">
        <f>(-2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f>
        <v/>
      </c>
      <c r="AP6" s="10" t="n"/>
      <c r="AQ6" s="9">
        <f>A6</f>
        <v/>
      </c>
      <c r="AR6" s="9">
        <f>0</f>
        <v/>
      </c>
      <c r="AS6" s="9">
        <f>IF(OR(Inputs!$F$6=TRUE,Inputs!$F$6="TRUE",Inputs!$F$6=1),IF(OR(Inputs!$C$27=TRUE,Inputs!$C$27="TRUE",Inputs!$C$27=1),1,0)*(Inputs!$C$51*(115*EXP(-(((Inputs!$C$6)-25)^2)/(4.5^2))+70*EXP(-(((Inputs!$C$6)+38)^2)/(7^2))*(0.55+0.45*SIN(2*PI()*((Inputs!$I$6+(((A6)+1)/2)*(Inputs!$J$6-Inputs!$I$6)))/45))+24*SIN(2*PI()*(Inputs!$C$6)/9+((Inputs!$I$6+(((A6)+1)/2)*(Inputs!$J$6-Inputs!$I$6)))/18)*EXP(-(((Inputs!$C$6)+5)^2)/(22^2))+18*SIN(2*PI()*((Inputs!$I$6+(((A6)+1)/2)*(Inputs!$J$6-Inputs!$I$6)))/70))+Inputs!$C$28*EXP(-((((Inputs!$I$6+(((A6)+1)/2)*(Inputs!$J$6-Inputs!$I$6)))-Inputs!$C$29)^2)/(2*Inputs!$C$31^2))*EXP(-(((Inputs!$C$6)-Inputs!$C$30)^2)/(2*Inputs!$C$32^2))+-Inputs!$C$33*EXP(-((((((Inputs!$I$6+(((A6)+1)/2)*(Inputs!$J$6-Inputs!$I$6)))-Inputs!$C$34)^2)+(((Inputs!$C$6)-Inputs!$C$35)^2))/(2*Inputs!$C$36^2)))+Inputs!$C$37*(0.55*SIN(2*PI()*((Inputs!$I$6+(((A6)+1)/2)*(Inputs!$J$6-Inputs!$I$6)))/Inputs!$C$39)+0.35*COS(2*PI()*(Inputs!$C$6)/Inputs!$C$40)+0.2*SIN(2*PI()*(((Inputs!$I$6+(((A6)+1)/2)*(Inputs!$J$6-Inputs!$I$6)))+(Inputs!$C$6))/(0.5*(Inputs!$C$39+Inputs!$C$40))))+Inputs!$C$38*SIN(2*PI()*((Inputs!$I$6+(((A6)+1)/2)*(Inputs!$J$6-Inputs!$I$6)))/Inputs!$C$39)*SIN(2*PI()*(Inputs!$C$6)/Inputs!$C$40)+-Inputs!$C$41*EXP(-(((Inputs!$C$6)-Inputs!$C$43)^2)/(2*Inputs!$C$44^2))*EXP(-((((Inputs!$I$6+(((A6)+1)/2)*(Inputs!$J$6-Inputs!$I$6)))-Inputs!$C$42)^2)/(2*Inputs!$C$45^2))+Inputs!$C$48*(0.7*(0.45*SIN(2*PI()*((((Inputs!$I$6+(((A6)+1)/2)*(Inputs!$J$6-Inputs!$I$6)))/Inputs!$C$49)+Inputs!$C$47*0.137))+0.35*COS(2*PI()*(((Inputs!$C$6)/Inputs!$C$50)+Inputs!$C$47*0.173))+0.2*SIN(2*PI()*((((Inputs!$I$6+(((A6)+1)/2)*(Inputs!$J$6-Inputs!$I$6)))+(Inputs!$C$6))/(0.5*(Inputs!$C$49+Inputs!$C$50))+Inputs!$C$47*0.097)))+0.3*(2*((SIN((((Inputs!$I$6+(((A6)+1)/2)*(Inputs!$J$6-Inputs!$I$6)))*12.9898+(Inputs!$C$6)*78.233+Inputs!$C$47*37.719))*43758.5453)-INT((SIN((((Inputs!$I$6+(((A6)+1)/2)*(Inputs!$J$6-Inputs!$I$6)))*12.9898+(Inputs!$C$6)*78.233+Inputs!$C$47*37.719))*43758.5453)))-1))),NA())</f>
        <v/>
      </c>
      <c r="AT6" s="9">
        <f>IF(OR(Inputs!$F$7=TRUE,Inputs!$F$7="TRUE",Inputs!$F$7=1),IF(OR(Inputs!$C$27=TRUE,Inputs!$C$27="TRUE",Inputs!$C$27=1),1,0)*(Inputs!$C$51*(115*EXP(-(((Inputs!$C$6)-25)^2)/(4.5^2))+70*EXP(-(((Inputs!$C$6)+38)^2)/(7^2))*(0.55+0.45*SIN(2*PI()*((Inputs!$I$7+(((A6)+1)/2)*(Inputs!$J$7-Inputs!$I$7)))/45))+24*SIN(2*PI()*(Inputs!$C$6)/9+((Inputs!$I$7+(((A6)+1)/2)*(Inputs!$J$7-Inputs!$I$7)))/18)*EXP(-(((Inputs!$C$6)+5)^2)/(22^2))+18*SIN(2*PI()*((Inputs!$I$7+(((A6)+1)/2)*(Inputs!$J$7-Inputs!$I$7)))/70))+Inputs!$C$28*EXP(-((((Inputs!$I$7+(((A6)+1)/2)*(Inputs!$J$7-Inputs!$I$7)))-Inputs!$C$29)^2)/(2*Inputs!$C$31^2))*EXP(-(((Inputs!$C$6)-Inputs!$C$30)^2)/(2*Inputs!$C$32^2))+-Inputs!$C$33*EXP(-((((((Inputs!$I$7+(((A6)+1)/2)*(Inputs!$J$7-Inputs!$I$7)))-Inputs!$C$34)^2)+(((Inputs!$C$6)-Inputs!$C$35)^2))/(2*Inputs!$C$36^2)))+Inputs!$C$37*(0.55*SIN(2*PI()*((Inputs!$I$7+(((A6)+1)/2)*(Inputs!$J$7-Inputs!$I$7)))/Inputs!$C$39)+0.35*COS(2*PI()*(Inputs!$C$6)/Inputs!$C$40)+0.2*SIN(2*PI()*(((Inputs!$I$7+(((A6)+1)/2)*(Inputs!$J$7-Inputs!$I$7)))+(Inputs!$C$6))/(0.5*(Inputs!$C$39+Inputs!$C$40))))+Inputs!$C$38*SIN(2*PI()*((Inputs!$I$7+(((A6)+1)/2)*(Inputs!$J$7-Inputs!$I$7)))/Inputs!$C$39)*SIN(2*PI()*(Inputs!$C$6)/Inputs!$C$40)+-Inputs!$C$41*EXP(-(((Inputs!$C$6)-Inputs!$C$43)^2)/(2*Inputs!$C$44^2))*EXP(-((((Inputs!$I$7+(((A6)+1)/2)*(Inputs!$J$7-Inputs!$I$7)))-Inputs!$C$42)^2)/(2*Inputs!$C$45^2))+Inputs!$C$48*(0.7*(0.45*SIN(2*PI()*((((Inputs!$I$7+(((A6)+1)/2)*(Inputs!$J$7-Inputs!$I$7)))/Inputs!$C$49)+Inputs!$C$47*0.137))+0.35*COS(2*PI()*(((Inputs!$C$6)/Inputs!$C$50)+Inputs!$C$47*0.173))+0.2*SIN(2*PI()*((((Inputs!$I$7+(((A6)+1)/2)*(Inputs!$J$7-Inputs!$I$7)))+(Inputs!$C$6))/(0.5*(Inputs!$C$49+Inputs!$C$50))+Inputs!$C$47*0.097)))+0.3*(2*((SIN((((Inputs!$I$7+(((A6)+1)/2)*(Inputs!$J$7-Inputs!$I$7)))*12.9898+(Inputs!$C$6)*78.233+Inputs!$C$47*37.719))*43758.5453)-INT((SIN((((Inputs!$I$7+(((A6)+1)/2)*(Inputs!$J$7-Inputs!$I$7)))*12.9898+(Inputs!$C$6)*78.233+Inputs!$C$47*37.719))*43758.5453)))-1))),NA())</f>
        <v/>
      </c>
      <c r="AU6" s="9">
        <f>IF(OR(Inputs!$F$8=TRUE,Inputs!$F$8="TRUE",Inputs!$F$8=1),IF(OR(Inputs!$C$27=TRUE,Inputs!$C$27="TRUE",Inputs!$C$27=1),1,0)*(Inputs!$C$51*(115*EXP(-(((Inputs!$C$6)-25)^2)/(4.5^2))+70*EXP(-(((Inputs!$C$6)+38)^2)/(7^2))*(0.55+0.45*SIN(2*PI()*((Inputs!$I$8+(((A6)+1)/2)*(Inputs!$J$8-Inputs!$I$8)))/45))+24*SIN(2*PI()*(Inputs!$C$6)/9+((Inputs!$I$8+(((A6)+1)/2)*(Inputs!$J$8-Inputs!$I$8)))/18)*EXP(-(((Inputs!$C$6)+5)^2)/(22^2))+18*SIN(2*PI()*((Inputs!$I$8+(((A6)+1)/2)*(Inputs!$J$8-Inputs!$I$8)))/70))+Inputs!$C$28*EXP(-((((Inputs!$I$8+(((A6)+1)/2)*(Inputs!$J$8-Inputs!$I$8)))-Inputs!$C$29)^2)/(2*Inputs!$C$31^2))*EXP(-(((Inputs!$C$6)-Inputs!$C$30)^2)/(2*Inputs!$C$32^2))+-Inputs!$C$33*EXP(-((((((Inputs!$I$8+(((A6)+1)/2)*(Inputs!$J$8-Inputs!$I$8)))-Inputs!$C$34)^2)+(((Inputs!$C$6)-Inputs!$C$35)^2))/(2*Inputs!$C$36^2)))+Inputs!$C$37*(0.55*SIN(2*PI()*((Inputs!$I$8+(((A6)+1)/2)*(Inputs!$J$8-Inputs!$I$8)))/Inputs!$C$39)+0.35*COS(2*PI()*(Inputs!$C$6)/Inputs!$C$40)+0.2*SIN(2*PI()*(((Inputs!$I$8+(((A6)+1)/2)*(Inputs!$J$8-Inputs!$I$8)))+(Inputs!$C$6))/(0.5*(Inputs!$C$39+Inputs!$C$40))))+Inputs!$C$38*SIN(2*PI()*((Inputs!$I$8+(((A6)+1)/2)*(Inputs!$J$8-Inputs!$I$8)))/Inputs!$C$39)*SIN(2*PI()*(Inputs!$C$6)/Inputs!$C$40)+-Inputs!$C$41*EXP(-(((Inputs!$C$6)-Inputs!$C$43)^2)/(2*Inputs!$C$44^2))*EXP(-((((Inputs!$I$8+(((A6)+1)/2)*(Inputs!$J$8-Inputs!$I$8)))-Inputs!$C$42)^2)/(2*Inputs!$C$45^2))+Inputs!$C$48*(0.7*(0.45*SIN(2*PI()*((((Inputs!$I$8+(((A6)+1)/2)*(Inputs!$J$8-Inputs!$I$8)))/Inputs!$C$49)+Inputs!$C$47*0.137))+0.35*COS(2*PI()*(((Inputs!$C$6)/Inputs!$C$50)+Inputs!$C$47*0.173))+0.2*SIN(2*PI()*((((Inputs!$I$8+(((A6)+1)/2)*(Inputs!$J$8-Inputs!$I$8)))+(Inputs!$C$6))/(0.5*(Inputs!$C$49+Inputs!$C$50))+Inputs!$C$47*0.097)))+0.3*(2*((SIN((((Inputs!$I$8+(((A6)+1)/2)*(Inputs!$J$8-Inputs!$I$8)))*12.9898+(Inputs!$C$6)*78.233+Inputs!$C$47*37.719))*43758.5453)-INT((SIN((((Inputs!$I$8+(((A6)+1)/2)*(Inputs!$J$8-Inputs!$I$8)))*12.9898+(Inputs!$C$6)*78.233+Inputs!$C$47*37.719))*43758.5453)))-1))),NA())</f>
        <v/>
      </c>
      <c r="AV6" s="9">
        <f>IF(OR(Inputs!$F$9=TRUE,Inputs!$F$9="TRUE",Inputs!$F$9=1),IF(OR(Inputs!$C$27=TRUE,Inputs!$C$27="TRUE",Inputs!$C$27=1),1,0)*(Inputs!$C$51*(115*EXP(-(((Inputs!$C$6)-25)^2)/(4.5^2))+70*EXP(-(((Inputs!$C$6)+38)^2)/(7^2))*(0.55+0.45*SIN(2*PI()*((Inputs!$I$9+(((A6)+1)/2)*(Inputs!$J$9-Inputs!$I$9)))/45))+24*SIN(2*PI()*(Inputs!$C$6)/9+((Inputs!$I$9+(((A6)+1)/2)*(Inputs!$J$9-Inputs!$I$9)))/18)*EXP(-(((Inputs!$C$6)+5)^2)/(22^2))+18*SIN(2*PI()*((Inputs!$I$9+(((A6)+1)/2)*(Inputs!$J$9-Inputs!$I$9)))/70))+Inputs!$C$28*EXP(-((((Inputs!$I$9+(((A6)+1)/2)*(Inputs!$J$9-Inputs!$I$9)))-Inputs!$C$29)^2)/(2*Inputs!$C$31^2))*EXP(-(((Inputs!$C$6)-Inputs!$C$30)^2)/(2*Inputs!$C$32^2))+-Inputs!$C$33*EXP(-((((((Inputs!$I$9+(((A6)+1)/2)*(Inputs!$J$9-Inputs!$I$9)))-Inputs!$C$34)^2)+(((Inputs!$C$6)-Inputs!$C$35)^2))/(2*Inputs!$C$36^2)))+Inputs!$C$37*(0.55*SIN(2*PI()*((Inputs!$I$9+(((A6)+1)/2)*(Inputs!$J$9-Inputs!$I$9)))/Inputs!$C$39)+0.35*COS(2*PI()*(Inputs!$C$6)/Inputs!$C$40)+0.2*SIN(2*PI()*(((Inputs!$I$9+(((A6)+1)/2)*(Inputs!$J$9-Inputs!$I$9)))+(Inputs!$C$6))/(0.5*(Inputs!$C$39+Inputs!$C$40))))+Inputs!$C$38*SIN(2*PI()*((Inputs!$I$9+(((A6)+1)/2)*(Inputs!$J$9-Inputs!$I$9)))/Inputs!$C$39)*SIN(2*PI()*(Inputs!$C$6)/Inputs!$C$40)+-Inputs!$C$41*EXP(-(((Inputs!$C$6)-Inputs!$C$43)^2)/(2*Inputs!$C$44^2))*EXP(-((((Inputs!$I$9+(((A6)+1)/2)*(Inputs!$J$9-Inputs!$I$9)))-Inputs!$C$42)^2)/(2*Inputs!$C$45^2))+Inputs!$C$48*(0.7*(0.45*SIN(2*PI()*((((Inputs!$I$9+(((A6)+1)/2)*(Inputs!$J$9-Inputs!$I$9)))/Inputs!$C$49)+Inputs!$C$47*0.137))+0.35*COS(2*PI()*(((Inputs!$C$6)/Inputs!$C$50)+Inputs!$C$47*0.173))+0.2*SIN(2*PI()*((((Inputs!$I$9+(((A6)+1)/2)*(Inputs!$J$9-Inputs!$I$9)))+(Inputs!$C$6))/(0.5*(Inputs!$C$49+Inputs!$C$50))+Inputs!$C$47*0.097)))+0.3*(2*((SIN((((Inputs!$I$9+(((A6)+1)/2)*(Inputs!$J$9-Inputs!$I$9)))*12.9898+(Inputs!$C$6)*78.233+Inputs!$C$47*37.719))*43758.5453)-INT((SIN((((Inputs!$I$9+(((A6)+1)/2)*(Inputs!$J$9-Inputs!$I$9)))*12.9898+(Inputs!$C$6)*78.233+Inputs!$C$47*37.719))*43758.5453)))-1))),NA())</f>
        <v/>
      </c>
      <c r="AW6" s="10" t="n"/>
      <c r="AX6" s="9">
        <f>A6</f>
        <v/>
      </c>
      <c r="AY6" s="9">
        <f>0</f>
        <v/>
      </c>
      <c r="AZ6" s="9">
        <f>IF(OR(Inputs!$F$6=TRUE,Inputs!$F$6="TRUE",Inputs!$F$6=1),(Inputs!$H$6+Inputs!$L$6*(((Inputs!$I$6+(((A6)+1)/2)*(Inputs!$J$6-Inputs!$I$6)))/Inputs!$K$6)^2),NA())</f>
        <v/>
      </c>
      <c r="BA6" s="9">
        <f>IF(OR(Inputs!$F$7=TRUE,Inputs!$F$7="TRUE",Inputs!$F$7=1),(Inputs!$H$7+Inputs!$L$7*(((Inputs!$I$7+(((A6)+1)/2)*(Inputs!$J$7-Inputs!$I$7)))/Inputs!$K$7)^2),NA())</f>
        <v/>
      </c>
      <c r="BB6" s="9">
        <f>IF(OR(Inputs!$F$8=TRUE,Inputs!$F$8="TRUE",Inputs!$F$8=1),(Inputs!$H$8+Inputs!$L$8*(((Inputs!$I$8+(((A6)+1)/2)*(Inputs!$J$8-Inputs!$I$8)))/Inputs!$K$8)^2),NA())</f>
        <v/>
      </c>
      <c r="BC6" s="9">
        <f>IF(OR(Inputs!$F$9=TRUE,Inputs!$F$9="TRUE",Inputs!$F$9=1),(Inputs!$H$9+Inputs!$L$9*(((Inputs!$I$9+(((A6)+1)/2)*(Inputs!$J$9-Inputs!$I$9)))/Inputs!$K$9)^2),NA())</f>
        <v/>
      </c>
      <c r="BD6" s="10" t="n"/>
      <c r="BE6" s="9">
        <f>A6</f>
        <v/>
      </c>
      <c r="BF6" s="9">
        <f>0</f>
        <v/>
      </c>
      <c r="BG6" s="9">
        <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f>
        <v/>
      </c>
      <c r="BH6" s="9">
        <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f>
        <v/>
      </c>
      <c r="BI6" s="9">
        <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f>
        <v/>
      </c>
      <c r="BJ6" s="9">
        <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f>
        <v/>
      </c>
    </row>
    <row r="7">
      <c r="A7" s="9">
        <f>ROUND(-1+5*2/240,3)</f>
        <v/>
      </c>
      <c r="B7" s="9">
        <f>IF(OR(Inputs!$F$6=TRUE,Inputs!$F$6="TRUE",Inputs!$F$6=1),(Inputs!$H$6+Inputs!$L$6*(((Inputs!$I$6+(((A7)+1)/2)*(Inputs!$J$6-Inputs!$I$6)))/Inputs!$K$6)^2),NA())</f>
        <v/>
      </c>
      <c r="C7" s="9">
        <f>IF(OR(Inputs!$F$7=TRUE,Inputs!$F$7="TRUE",Inputs!$F$7=1),(Inputs!$H$7+Inputs!$L$7*(((Inputs!$I$7+(((A7)+1)/2)*(Inputs!$J$7-Inputs!$I$7)))/Inputs!$K$7)^2),NA())</f>
        <v/>
      </c>
      <c r="D7" s="9">
        <f>IF(OR(Inputs!$F$8=TRUE,Inputs!$F$8="TRUE",Inputs!$F$8=1),(Inputs!$H$8+Inputs!$L$8*(((Inputs!$I$8+(((A7)+1)/2)*(Inputs!$J$8-Inputs!$I$8)))/Inputs!$K$8)^2),NA())</f>
        <v/>
      </c>
      <c r="E7" s="9">
        <f>IF(OR(Inputs!$F$9=TRUE,Inputs!$F$9="TRUE",Inputs!$F$9=1),(Inputs!$H$9+Inputs!$L$9*(((Inputs!$I$9+(((A7)+1)/2)*(Inputs!$J$9-Inputs!$I$9)))/Inputs!$K$9)^2),NA())</f>
        <v/>
      </c>
      <c r="F7" s="10" t="n"/>
      <c r="G7" s="9">
        <f>A7</f>
        <v/>
      </c>
      <c r="H7" s="9">
        <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f>
        <v/>
      </c>
      <c r="I7" s="9">
        <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f>
        <v/>
      </c>
      <c r="J7" s="9">
        <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f>
        <v/>
      </c>
      <c r="K7" s="9">
        <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f>
        <v/>
      </c>
      <c r="L7" s="10" t="n"/>
      <c r="M7" s="9">
        <f>A7</f>
        <v/>
      </c>
      <c r="N7" s="9">
        <f>IF(OR(Inputs!$F$6=TRUE,Inputs!$F$6="TRUE",Inputs!$F$6=1),(-2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NA())</f>
        <v/>
      </c>
      <c r="O7" s="9">
        <f>IF(OR(Inputs!$F$7=TRUE,Inputs!$F$7="TRUE",Inputs!$F$7=1),(-2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NA())</f>
        <v/>
      </c>
      <c r="P7" s="9">
        <f>IF(OR(Inputs!$F$8=TRUE,Inputs!$F$8="TRUE",Inputs!$F$8=1),(-2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NA())</f>
        <v/>
      </c>
      <c r="Q7" s="9">
        <f>IF(OR(Inputs!$F$9=TRUE,Inputs!$F$9="TRUE",Inputs!$F$9=1),(-2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NA())</f>
        <v/>
      </c>
      <c r="R7" s="10" t="n"/>
      <c r="S7" s="9">
        <f>A7</f>
        <v/>
      </c>
      <c r="T7" s="9">
        <f>(Inputs!$I$6+(((A7)+1)/2)*(Inputs!$J$6-Inputs!$I$6))</f>
        <v/>
      </c>
      <c r="U7" s="9">
        <f>(Inputs!$I$7+(((A7)+1)/2)*(Inputs!$J$7-Inputs!$I$7))</f>
        <v/>
      </c>
      <c r="V7" s="9">
        <f>(Inputs!$I$8+(((A7)+1)/2)*(Inputs!$J$8-Inputs!$I$8))</f>
        <v/>
      </c>
      <c r="W7" s="9">
        <f>(Inputs!$I$9+(((A7)+1)/2)*(Inputs!$J$9-Inputs!$I$9))</f>
        <v/>
      </c>
      <c r="X7" s="10" t="n"/>
      <c r="Y7" s="9">
        <f>A7</f>
        <v/>
      </c>
      <c r="Z7" s="9">
        <f>(Inputs!$H$6+Inputs!$L$6*(((Inputs!$I$6+(((A7)+1)/2)*(Inputs!$J$6-Inputs!$I$6)))/Inputs!$K$6)^2)</f>
        <v/>
      </c>
      <c r="AA7" s="9">
        <f>(Inputs!$H$7+Inputs!$L$7*(((Inputs!$I$7+(((A7)+1)/2)*(Inputs!$J$7-Inputs!$I$7)))/Inputs!$K$7)^2)</f>
        <v/>
      </c>
      <c r="AB7" s="9">
        <f>(Inputs!$H$8+Inputs!$L$8*(((Inputs!$I$8+(((A7)+1)/2)*(Inputs!$J$8-Inputs!$I$8)))/Inputs!$K$8)^2)</f>
        <v/>
      </c>
      <c r="AC7" s="9">
        <f>(Inputs!$H$9+Inputs!$L$9*(((Inputs!$I$9+(((A7)+1)/2)*(Inputs!$J$9-Inputs!$I$9)))/Inputs!$K$9)^2)</f>
        <v/>
      </c>
      <c r="AD7" s="10" t="n"/>
      <c r="AE7" s="9">
        <f>A7</f>
        <v/>
      </c>
      <c r="AF7" s="9">
        <f>(((SQRT((Inputs!$C$52+((Inputs!$H$6+Inputs!$L$6*(((Inputs!$I$6+(((A7)+1)/2)*(Inputs!$J$6-Inputs!$I$6)))/Inputs!$K$6)^2)))^2+Inputs!$C$52^2-2*(Inputs!$C$52+((Inputs!$H$6+Inputs!$L$6*(((Inputs!$I$6+(((A7)+1)/2)*(Inputs!$J$6-Inputs!$I$6)))/Inputs!$K$6)^2)))*Inputs!$C$52*COS(SQRT(((Inputs!$I$6+(((A7)+1)/2)*(Inputs!$J$6-Inputs!$I$6)))^2+Inputs!$C$6^2)/Inputs!$C$52)))-((Inputs!$H$6+Inputs!$L$6*(((Inputs!$I$6+(((A7)+1)/2)*(Inputs!$J$6-Inputs!$I$6)))/Inputs!$K$6)^2)))*1000/Inputs!$C$12)</f>
        <v/>
      </c>
      <c r="AG7" s="9">
        <f>(((SQRT((Inputs!$C$52+((Inputs!$H$7+Inputs!$L$7*(((Inputs!$I$7+(((A7)+1)/2)*(Inputs!$J$7-Inputs!$I$7)))/Inputs!$K$7)^2)))^2+Inputs!$C$52^2-2*(Inputs!$C$52+((Inputs!$H$7+Inputs!$L$7*(((Inputs!$I$7+(((A7)+1)/2)*(Inputs!$J$7-Inputs!$I$7)))/Inputs!$K$7)^2)))*Inputs!$C$52*COS(SQRT(((Inputs!$I$7+(((A7)+1)/2)*(Inputs!$J$7-Inputs!$I$7)))^2+Inputs!$C$6^2)/Inputs!$C$52)))-((Inputs!$H$7+Inputs!$L$7*(((Inputs!$I$7+(((A7)+1)/2)*(Inputs!$J$7-Inputs!$I$7)))/Inputs!$K$7)^2)))*1000/Inputs!$C$12)</f>
        <v/>
      </c>
      <c r="AH7" s="9">
        <f>(((SQRT((Inputs!$C$52+((Inputs!$H$8+Inputs!$L$8*(((Inputs!$I$8+(((A7)+1)/2)*(Inputs!$J$8-Inputs!$I$8)))/Inputs!$K$8)^2)))^2+Inputs!$C$52^2-2*(Inputs!$C$52+((Inputs!$H$8+Inputs!$L$8*(((Inputs!$I$8+(((A7)+1)/2)*(Inputs!$J$8-Inputs!$I$8)))/Inputs!$K$8)^2)))*Inputs!$C$52*COS(SQRT(((Inputs!$I$8+(((A7)+1)/2)*(Inputs!$J$8-Inputs!$I$8)))^2+Inputs!$C$6^2)/Inputs!$C$52)))-((Inputs!$H$8+Inputs!$L$8*(((Inputs!$I$8+(((A7)+1)/2)*(Inputs!$J$8-Inputs!$I$8)))/Inputs!$K$8)^2)))*1000/Inputs!$C$12)</f>
        <v/>
      </c>
      <c r="AI7" s="9">
        <f>(((SQRT((Inputs!$C$52+((Inputs!$H$9+Inputs!$L$9*(((Inputs!$I$9+(((A7)+1)/2)*(Inputs!$J$9-Inputs!$I$9)))/Inputs!$K$9)^2)))^2+Inputs!$C$52^2-2*(Inputs!$C$52+((Inputs!$H$9+Inputs!$L$9*(((Inputs!$I$9+(((A7)+1)/2)*(Inputs!$J$9-Inputs!$I$9)))/Inputs!$K$9)^2)))*Inputs!$C$52*COS(SQRT(((Inputs!$I$9+(((A7)+1)/2)*(Inputs!$J$9-Inputs!$I$9)))^2+Inputs!$C$6^2)/Inputs!$C$52)))-((Inputs!$H$9+Inputs!$L$9*(((Inputs!$I$9+(((A7)+1)/2)*(Inputs!$J$9-Inputs!$I$9)))/Inputs!$K$9)^2)))*1000/Inputs!$C$12)</f>
        <v/>
      </c>
      <c r="AJ7" s="10" t="n"/>
      <c r="AK7" s="9">
        <f>A7</f>
        <v/>
      </c>
      <c r="AL7" s="9">
        <f>(-2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f>
        <v/>
      </c>
      <c r="AM7" s="9">
        <f>(-2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f>
        <v/>
      </c>
      <c r="AN7" s="9">
        <f>(-2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f>
        <v/>
      </c>
      <c r="AO7" s="9">
        <f>(-2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f>
        <v/>
      </c>
      <c r="AP7" s="10" t="n"/>
      <c r="AQ7" s="9">
        <f>A7</f>
        <v/>
      </c>
      <c r="AR7" s="9">
        <f>0</f>
        <v/>
      </c>
      <c r="AS7" s="9">
        <f>IF(OR(Inputs!$F$6=TRUE,Inputs!$F$6="TRUE",Inputs!$F$6=1),IF(OR(Inputs!$C$27=TRUE,Inputs!$C$27="TRUE",Inputs!$C$27=1),1,0)*(Inputs!$C$51*(115*EXP(-(((Inputs!$C$6)-25)^2)/(4.5^2))+70*EXP(-(((Inputs!$C$6)+38)^2)/(7^2))*(0.55+0.45*SIN(2*PI()*((Inputs!$I$6+(((A7)+1)/2)*(Inputs!$J$6-Inputs!$I$6)))/45))+24*SIN(2*PI()*(Inputs!$C$6)/9+((Inputs!$I$6+(((A7)+1)/2)*(Inputs!$J$6-Inputs!$I$6)))/18)*EXP(-(((Inputs!$C$6)+5)^2)/(22^2))+18*SIN(2*PI()*((Inputs!$I$6+(((A7)+1)/2)*(Inputs!$J$6-Inputs!$I$6)))/70))+Inputs!$C$28*EXP(-((((Inputs!$I$6+(((A7)+1)/2)*(Inputs!$J$6-Inputs!$I$6)))-Inputs!$C$29)^2)/(2*Inputs!$C$31^2))*EXP(-(((Inputs!$C$6)-Inputs!$C$30)^2)/(2*Inputs!$C$32^2))+-Inputs!$C$33*EXP(-((((((Inputs!$I$6+(((A7)+1)/2)*(Inputs!$J$6-Inputs!$I$6)))-Inputs!$C$34)^2)+(((Inputs!$C$6)-Inputs!$C$35)^2))/(2*Inputs!$C$36^2)))+Inputs!$C$37*(0.55*SIN(2*PI()*((Inputs!$I$6+(((A7)+1)/2)*(Inputs!$J$6-Inputs!$I$6)))/Inputs!$C$39)+0.35*COS(2*PI()*(Inputs!$C$6)/Inputs!$C$40)+0.2*SIN(2*PI()*(((Inputs!$I$6+(((A7)+1)/2)*(Inputs!$J$6-Inputs!$I$6)))+(Inputs!$C$6))/(0.5*(Inputs!$C$39+Inputs!$C$40))))+Inputs!$C$38*SIN(2*PI()*((Inputs!$I$6+(((A7)+1)/2)*(Inputs!$J$6-Inputs!$I$6)))/Inputs!$C$39)*SIN(2*PI()*(Inputs!$C$6)/Inputs!$C$40)+-Inputs!$C$41*EXP(-(((Inputs!$C$6)-Inputs!$C$43)^2)/(2*Inputs!$C$44^2))*EXP(-((((Inputs!$I$6+(((A7)+1)/2)*(Inputs!$J$6-Inputs!$I$6)))-Inputs!$C$42)^2)/(2*Inputs!$C$45^2))+Inputs!$C$48*(0.7*(0.45*SIN(2*PI()*((((Inputs!$I$6+(((A7)+1)/2)*(Inputs!$J$6-Inputs!$I$6)))/Inputs!$C$49)+Inputs!$C$47*0.137))+0.35*COS(2*PI()*(((Inputs!$C$6)/Inputs!$C$50)+Inputs!$C$47*0.173))+0.2*SIN(2*PI()*((((Inputs!$I$6+(((A7)+1)/2)*(Inputs!$J$6-Inputs!$I$6)))+(Inputs!$C$6))/(0.5*(Inputs!$C$49+Inputs!$C$50))+Inputs!$C$47*0.097)))+0.3*(2*((SIN((((Inputs!$I$6+(((A7)+1)/2)*(Inputs!$J$6-Inputs!$I$6)))*12.9898+(Inputs!$C$6)*78.233+Inputs!$C$47*37.719))*43758.5453)-INT((SIN((((Inputs!$I$6+(((A7)+1)/2)*(Inputs!$J$6-Inputs!$I$6)))*12.9898+(Inputs!$C$6)*78.233+Inputs!$C$47*37.719))*43758.5453)))-1))),NA())</f>
        <v/>
      </c>
      <c r="AT7" s="9">
        <f>IF(OR(Inputs!$F$7=TRUE,Inputs!$F$7="TRUE",Inputs!$F$7=1),IF(OR(Inputs!$C$27=TRUE,Inputs!$C$27="TRUE",Inputs!$C$27=1),1,0)*(Inputs!$C$51*(115*EXP(-(((Inputs!$C$6)-25)^2)/(4.5^2))+70*EXP(-(((Inputs!$C$6)+38)^2)/(7^2))*(0.55+0.45*SIN(2*PI()*((Inputs!$I$7+(((A7)+1)/2)*(Inputs!$J$7-Inputs!$I$7)))/45))+24*SIN(2*PI()*(Inputs!$C$6)/9+((Inputs!$I$7+(((A7)+1)/2)*(Inputs!$J$7-Inputs!$I$7)))/18)*EXP(-(((Inputs!$C$6)+5)^2)/(22^2))+18*SIN(2*PI()*((Inputs!$I$7+(((A7)+1)/2)*(Inputs!$J$7-Inputs!$I$7)))/70))+Inputs!$C$28*EXP(-((((Inputs!$I$7+(((A7)+1)/2)*(Inputs!$J$7-Inputs!$I$7)))-Inputs!$C$29)^2)/(2*Inputs!$C$31^2))*EXP(-(((Inputs!$C$6)-Inputs!$C$30)^2)/(2*Inputs!$C$32^2))+-Inputs!$C$33*EXP(-((((((Inputs!$I$7+(((A7)+1)/2)*(Inputs!$J$7-Inputs!$I$7)))-Inputs!$C$34)^2)+(((Inputs!$C$6)-Inputs!$C$35)^2))/(2*Inputs!$C$36^2)))+Inputs!$C$37*(0.55*SIN(2*PI()*((Inputs!$I$7+(((A7)+1)/2)*(Inputs!$J$7-Inputs!$I$7)))/Inputs!$C$39)+0.35*COS(2*PI()*(Inputs!$C$6)/Inputs!$C$40)+0.2*SIN(2*PI()*(((Inputs!$I$7+(((A7)+1)/2)*(Inputs!$J$7-Inputs!$I$7)))+(Inputs!$C$6))/(0.5*(Inputs!$C$39+Inputs!$C$40))))+Inputs!$C$38*SIN(2*PI()*((Inputs!$I$7+(((A7)+1)/2)*(Inputs!$J$7-Inputs!$I$7)))/Inputs!$C$39)*SIN(2*PI()*(Inputs!$C$6)/Inputs!$C$40)+-Inputs!$C$41*EXP(-(((Inputs!$C$6)-Inputs!$C$43)^2)/(2*Inputs!$C$44^2))*EXP(-((((Inputs!$I$7+(((A7)+1)/2)*(Inputs!$J$7-Inputs!$I$7)))-Inputs!$C$42)^2)/(2*Inputs!$C$45^2))+Inputs!$C$48*(0.7*(0.45*SIN(2*PI()*((((Inputs!$I$7+(((A7)+1)/2)*(Inputs!$J$7-Inputs!$I$7)))/Inputs!$C$49)+Inputs!$C$47*0.137))+0.35*COS(2*PI()*(((Inputs!$C$6)/Inputs!$C$50)+Inputs!$C$47*0.173))+0.2*SIN(2*PI()*((((Inputs!$I$7+(((A7)+1)/2)*(Inputs!$J$7-Inputs!$I$7)))+(Inputs!$C$6))/(0.5*(Inputs!$C$49+Inputs!$C$50))+Inputs!$C$47*0.097)))+0.3*(2*((SIN((((Inputs!$I$7+(((A7)+1)/2)*(Inputs!$J$7-Inputs!$I$7)))*12.9898+(Inputs!$C$6)*78.233+Inputs!$C$47*37.719))*43758.5453)-INT((SIN((((Inputs!$I$7+(((A7)+1)/2)*(Inputs!$J$7-Inputs!$I$7)))*12.9898+(Inputs!$C$6)*78.233+Inputs!$C$47*37.719))*43758.5453)))-1))),NA())</f>
        <v/>
      </c>
      <c r="AU7" s="9">
        <f>IF(OR(Inputs!$F$8=TRUE,Inputs!$F$8="TRUE",Inputs!$F$8=1),IF(OR(Inputs!$C$27=TRUE,Inputs!$C$27="TRUE",Inputs!$C$27=1),1,0)*(Inputs!$C$51*(115*EXP(-(((Inputs!$C$6)-25)^2)/(4.5^2))+70*EXP(-(((Inputs!$C$6)+38)^2)/(7^2))*(0.55+0.45*SIN(2*PI()*((Inputs!$I$8+(((A7)+1)/2)*(Inputs!$J$8-Inputs!$I$8)))/45))+24*SIN(2*PI()*(Inputs!$C$6)/9+((Inputs!$I$8+(((A7)+1)/2)*(Inputs!$J$8-Inputs!$I$8)))/18)*EXP(-(((Inputs!$C$6)+5)^2)/(22^2))+18*SIN(2*PI()*((Inputs!$I$8+(((A7)+1)/2)*(Inputs!$J$8-Inputs!$I$8)))/70))+Inputs!$C$28*EXP(-((((Inputs!$I$8+(((A7)+1)/2)*(Inputs!$J$8-Inputs!$I$8)))-Inputs!$C$29)^2)/(2*Inputs!$C$31^2))*EXP(-(((Inputs!$C$6)-Inputs!$C$30)^2)/(2*Inputs!$C$32^2))+-Inputs!$C$33*EXP(-((((((Inputs!$I$8+(((A7)+1)/2)*(Inputs!$J$8-Inputs!$I$8)))-Inputs!$C$34)^2)+(((Inputs!$C$6)-Inputs!$C$35)^2))/(2*Inputs!$C$36^2)))+Inputs!$C$37*(0.55*SIN(2*PI()*((Inputs!$I$8+(((A7)+1)/2)*(Inputs!$J$8-Inputs!$I$8)))/Inputs!$C$39)+0.35*COS(2*PI()*(Inputs!$C$6)/Inputs!$C$40)+0.2*SIN(2*PI()*(((Inputs!$I$8+(((A7)+1)/2)*(Inputs!$J$8-Inputs!$I$8)))+(Inputs!$C$6))/(0.5*(Inputs!$C$39+Inputs!$C$40))))+Inputs!$C$38*SIN(2*PI()*((Inputs!$I$8+(((A7)+1)/2)*(Inputs!$J$8-Inputs!$I$8)))/Inputs!$C$39)*SIN(2*PI()*(Inputs!$C$6)/Inputs!$C$40)+-Inputs!$C$41*EXP(-(((Inputs!$C$6)-Inputs!$C$43)^2)/(2*Inputs!$C$44^2))*EXP(-((((Inputs!$I$8+(((A7)+1)/2)*(Inputs!$J$8-Inputs!$I$8)))-Inputs!$C$42)^2)/(2*Inputs!$C$45^2))+Inputs!$C$48*(0.7*(0.45*SIN(2*PI()*((((Inputs!$I$8+(((A7)+1)/2)*(Inputs!$J$8-Inputs!$I$8)))/Inputs!$C$49)+Inputs!$C$47*0.137))+0.35*COS(2*PI()*(((Inputs!$C$6)/Inputs!$C$50)+Inputs!$C$47*0.173))+0.2*SIN(2*PI()*((((Inputs!$I$8+(((A7)+1)/2)*(Inputs!$J$8-Inputs!$I$8)))+(Inputs!$C$6))/(0.5*(Inputs!$C$49+Inputs!$C$50))+Inputs!$C$47*0.097)))+0.3*(2*((SIN((((Inputs!$I$8+(((A7)+1)/2)*(Inputs!$J$8-Inputs!$I$8)))*12.9898+(Inputs!$C$6)*78.233+Inputs!$C$47*37.719))*43758.5453)-INT((SIN((((Inputs!$I$8+(((A7)+1)/2)*(Inputs!$J$8-Inputs!$I$8)))*12.9898+(Inputs!$C$6)*78.233+Inputs!$C$47*37.719))*43758.5453)))-1))),NA())</f>
        <v/>
      </c>
      <c r="AV7" s="9">
        <f>IF(OR(Inputs!$F$9=TRUE,Inputs!$F$9="TRUE",Inputs!$F$9=1),IF(OR(Inputs!$C$27=TRUE,Inputs!$C$27="TRUE",Inputs!$C$27=1),1,0)*(Inputs!$C$51*(115*EXP(-(((Inputs!$C$6)-25)^2)/(4.5^2))+70*EXP(-(((Inputs!$C$6)+38)^2)/(7^2))*(0.55+0.45*SIN(2*PI()*((Inputs!$I$9+(((A7)+1)/2)*(Inputs!$J$9-Inputs!$I$9)))/45))+24*SIN(2*PI()*(Inputs!$C$6)/9+((Inputs!$I$9+(((A7)+1)/2)*(Inputs!$J$9-Inputs!$I$9)))/18)*EXP(-(((Inputs!$C$6)+5)^2)/(22^2))+18*SIN(2*PI()*((Inputs!$I$9+(((A7)+1)/2)*(Inputs!$J$9-Inputs!$I$9)))/70))+Inputs!$C$28*EXP(-((((Inputs!$I$9+(((A7)+1)/2)*(Inputs!$J$9-Inputs!$I$9)))-Inputs!$C$29)^2)/(2*Inputs!$C$31^2))*EXP(-(((Inputs!$C$6)-Inputs!$C$30)^2)/(2*Inputs!$C$32^2))+-Inputs!$C$33*EXP(-((((((Inputs!$I$9+(((A7)+1)/2)*(Inputs!$J$9-Inputs!$I$9)))-Inputs!$C$34)^2)+(((Inputs!$C$6)-Inputs!$C$35)^2))/(2*Inputs!$C$36^2)))+Inputs!$C$37*(0.55*SIN(2*PI()*((Inputs!$I$9+(((A7)+1)/2)*(Inputs!$J$9-Inputs!$I$9)))/Inputs!$C$39)+0.35*COS(2*PI()*(Inputs!$C$6)/Inputs!$C$40)+0.2*SIN(2*PI()*(((Inputs!$I$9+(((A7)+1)/2)*(Inputs!$J$9-Inputs!$I$9)))+(Inputs!$C$6))/(0.5*(Inputs!$C$39+Inputs!$C$40))))+Inputs!$C$38*SIN(2*PI()*((Inputs!$I$9+(((A7)+1)/2)*(Inputs!$J$9-Inputs!$I$9)))/Inputs!$C$39)*SIN(2*PI()*(Inputs!$C$6)/Inputs!$C$40)+-Inputs!$C$41*EXP(-(((Inputs!$C$6)-Inputs!$C$43)^2)/(2*Inputs!$C$44^2))*EXP(-((((Inputs!$I$9+(((A7)+1)/2)*(Inputs!$J$9-Inputs!$I$9)))-Inputs!$C$42)^2)/(2*Inputs!$C$45^2))+Inputs!$C$48*(0.7*(0.45*SIN(2*PI()*((((Inputs!$I$9+(((A7)+1)/2)*(Inputs!$J$9-Inputs!$I$9)))/Inputs!$C$49)+Inputs!$C$47*0.137))+0.35*COS(2*PI()*(((Inputs!$C$6)/Inputs!$C$50)+Inputs!$C$47*0.173))+0.2*SIN(2*PI()*((((Inputs!$I$9+(((A7)+1)/2)*(Inputs!$J$9-Inputs!$I$9)))+(Inputs!$C$6))/(0.5*(Inputs!$C$49+Inputs!$C$50))+Inputs!$C$47*0.097)))+0.3*(2*((SIN((((Inputs!$I$9+(((A7)+1)/2)*(Inputs!$J$9-Inputs!$I$9)))*12.9898+(Inputs!$C$6)*78.233+Inputs!$C$47*37.719))*43758.5453)-INT((SIN((((Inputs!$I$9+(((A7)+1)/2)*(Inputs!$J$9-Inputs!$I$9)))*12.9898+(Inputs!$C$6)*78.233+Inputs!$C$47*37.719))*43758.5453)))-1))),NA())</f>
        <v/>
      </c>
      <c r="AW7" s="10" t="n"/>
      <c r="AX7" s="9">
        <f>A7</f>
        <v/>
      </c>
      <c r="AY7" s="9">
        <f>0</f>
        <v/>
      </c>
      <c r="AZ7" s="9">
        <f>IF(OR(Inputs!$F$6=TRUE,Inputs!$F$6="TRUE",Inputs!$F$6=1),(Inputs!$H$6+Inputs!$L$6*(((Inputs!$I$6+(((A7)+1)/2)*(Inputs!$J$6-Inputs!$I$6)))/Inputs!$K$6)^2),NA())</f>
        <v/>
      </c>
      <c r="BA7" s="9">
        <f>IF(OR(Inputs!$F$7=TRUE,Inputs!$F$7="TRUE",Inputs!$F$7=1),(Inputs!$H$7+Inputs!$L$7*(((Inputs!$I$7+(((A7)+1)/2)*(Inputs!$J$7-Inputs!$I$7)))/Inputs!$K$7)^2),NA())</f>
        <v/>
      </c>
      <c r="BB7" s="9">
        <f>IF(OR(Inputs!$F$8=TRUE,Inputs!$F$8="TRUE",Inputs!$F$8=1),(Inputs!$H$8+Inputs!$L$8*(((Inputs!$I$8+(((A7)+1)/2)*(Inputs!$J$8-Inputs!$I$8)))/Inputs!$K$8)^2),NA())</f>
        <v/>
      </c>
      <c r="BC7" s="9">
        <f>IF(OR(Inputs!$F$9=TRUE,Inputs!$F$9="TRUE",Inputs!$F$9=1),(Inputs!$H$9+Inputs!$L$9*(((Inputs!$I$9+(((A7)+1)/2)*(Inputs!$J$9-Inputs!$I$9)))/Inputs!$K$9)^2),NA())</f>
        <v/>
      </c>
      <c r="BD7" s="10" t="n"/>
      <c r="BE7" s="9">
        <f>A7</f>
        <v/>
      </c>
      <c r="BF7" s="9">
        <f>0</f>
        <v/>
      </c>
      <c r="BG7" s="9">
        <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f>
        <v/>
      </c>
      <c r="BH7" s="9">
        <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f>
        <v/>
      </c>
      <c r="BI7" s="9">
        <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f>
        <v/>
      </c>
      <c r="BJ7" s="9">
        <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f>
        <v/>
      </c>
    </row>
    <row r="8">
      <c r="A8" s="9">
        <f>ROUND(-1+6*2/240,3)</f>
        <v/>
      </c>
      <c r="B8" s="9">
        <f>IF(OR(Inputs!$F$6=TRUE,Inputs!$F$6="TRUE",Inputs!$F$6=1),(Inputs!$H$6+Inputs!$L$6*(((Inputs!$I$6+(((A8)+1)/2)*(Inputs!$J$6-Inputs!$I$6)))/Inputs!$K$6)^2),NA())</f>
        <v/>
      </c>
      <c r="C8" s="9">
        <f>IF(OR(Inputs!$F$7=TRUE,Inputs!$F$7="TRUE",Inputs!$F$7=1),(Inputs!$H$7+Inputs!$L$7*(((Inputs!$I$7+(((A8)+1)/2)*(Inputs!$J$7-Inputs!$I$7)))/Inputs!$K$7)^2),NA())</f>
        <v/>
      </c>
      <c r="D8" s="9">
        <f>IF(OR(Inputs!$F$8=TRUE,Inputs!$F$8="TRUE",Inputs!$F$8=1),(Inputs!$H$8+Inputs!$L$8*(((Inputs!$I$8+(((A8)+1)/2)*(Inputs!$J$8-Inputs!$I$8)))/Inputs!$K$8)^2),NA())</f>
        <v/>
      </c>
      <c r="E8" s="9">
        <f>IF(OR(Inputs!$F$9=TRUE,Inputs!$F$9="TRUE",Inputs!$F$9=1),(Inputs!$H$9+Inputs!$L$9*(((Inputs!$I$9+(((A8)+1)/2)*(Inputs!$J$9-Inputs!$I$9)))/Inputs!$K$9)^2),NA())</f>
        <v/>
      </c>
      <c r="F8" s="10" t="n"/>
      <c r="G8" s="9">
        <f>A8</f>
        <v/>
      </c>
      <c r="H8" s="9">
        <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f>
        <v/>
      </c>
      <c r="I8" s="9">
        <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f>
        <v/>
      </c>
      <c r="J8" s="9">
        <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f>
        <v/>
      </c>
      <c r="K8" s="9">
        <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f>
        <v/>
      </c>
      <c r="L8" s="10" t="n"/>
      <c r="M8" s="9">
        <f>A8</f>
        <v/>
      </c>
      <c r="N8" s="9">
        <f>IF(OR(Inputs!$F$6=TRUE,Inputs!$F$6="TRUE",Inputs!$F$6=1),(-2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NA())</f>
        <v/>
      </c>
      <c r="O8" s="9">
        <f>IF(OR(Inputs!$F$7=TRUE,Inputs!$F$7="TRUE",Inputs!$F$7=1),(-2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NA())</f>
        <v/>
      </c>
      <c r="P8" s="9">
        <f>IF(OR(Inputs!$F$8=TRUE,Inputs!$F$8="TRUE",Inputs!$F$8=1),(-2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NA())</f>
        <v/>
      </c>
      <c r="Q8" s="9">
        <f>IF(OR(Inputs!$F$9=TRUE,Inputs!$F$9="TRUE",Inputs!$F$9=1),(-2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NA())</f>
        <v/>
      </c>
      <c r="R8" s="10" t="n"/>
      <c r="S8" s="9">
        <f>A8</f>
        <v/>
      </c>
      <c r="T8" s="9">
        <f>(Inputs!$I$6+(((A8)+1)/2)*(Inputs!$J$6-Inputs!$I$6))</f>
        <v/>
      </c>
      <c r="U8" s="9">
        <f>(Inputs!$I$7+(((A8)+1)/2)*(Inputs!$J$7-Inputs!$I$7))</f>
        <v/>
      </c>
      <c r="V8" s="9">
        <f>(Inputs!$I$8+(((A8)+1)/2)*(Inputs!$J$8-Inputs!$I$8))</f>
        <v/>
      </c>
      <c r="W8" s="9">
        <f>(Inputs!$I$9+(((A8)+1)/2)*(Inputs!$J$9-Inputs!$I$9))</f>
        <v/>
      </c>
      <c r="X8" s="10" t="n"/>
      <c r="Y8" s="9">
        <f>A8</f>
        <v/>
      </c>
      <c r="Z8" s="9">
        <f>(Inputs!$H$6+Inputs!$L$6*(((Inputs!$I$6+(((A8)+1)/2)*(Inputs!$J$6-Inputs!$I$6)))/Inputs!$K$6)^2)</f>
        <v/>
      </c>
      <c r="AA8" s="9">
        <f>(Inputs!$H$7+Inputs!$L$7*(((Inputs!$I$7+(((A8)+1)/2)*(Inputs!$J$7-Inputs!$I$7)))/Inputs!$K$7)^2)</f>
        <v/>
      </c>
      <c r="AB8" s="9">
        <f>(Inputs!$H$8+Inputs!$L$8*(((Inputs!$I$8+(((A8)+1)/2)*(Inputs!$J$8-Inputs!$I$8)))/Inputs!$K$8)^2)</f>
        <v/>
      </c>
      <c r="AC8" s="9">
        <f>(Inputs!$H$9+Inputs!$L$9*(((Inputs!$I$9+(((A8)+1)/2)*(Inputs!$J$9-Inputs!$I$9)))/Inputs!$K$9)^2)</f>
        <v/>
      </c>
      <c r="AD8" s="10" t="n"/>
      <c r="AE8" s="9">
        <f>A8</f>
        <v/>
      </c>
      <c r="AF8" s="9">
        <f>(((SQRT((Inputs!$C$52+((Inputs!$H$6+Inputs!$L$6*(((Inputs!$I$6+(((A8)+1)/2)*(Inputs!$J$6-Inputs!$I$6)))/Inputs!$K$6)^2)))^2+Inputs!$C$52^2-2*(Inputs!$C$52+((Inputs!$H$6+Inputs!$L$6*(((Inputs!$I$6+(((A8)+1)/2)*(Inputs!$J$6-Inputs!$I$6)))/Inputs!$K$6)^2)))*Inputs!$C$52*COS(SQRT(((Inputs!$I$6+(((A8)+1)/2)*(Inputs!$J$6-Inputs!$I$6)))^2+Inputs!$C$6^2)/Inputs!$C$52)))-((Inputs!$H$6+Inputs!$L$6*(((Inputs!$I$6+(((A8)+1)/2)*(Inputs!$J$6-Inputs!$I$6)))/Inputs!$K$6)^2)))*1000/Inputs!$C$12)</f>
        <v/>
      </c>
      <c r="AG8" s="9">
        <f>(((SQRT((Inputs!$C$52+((Inputs!$H$7+Inputs!$L$7*(((Inputs!$I$7+(((A8)+1)/2)*(Inputs!$J$7-Inputs!$I$7)))/Inputs!$K$7)^2)))^2+Inputs!$C$52^2-2*(Inputs!$C$52+((Inputs!$H$7+Inputs!$L$7*(((Inputs!$I$7+(((A8)+1)/2)*(Inputs!$J$7-Inputs!$I$7)))/Inputs!$K$7)^2)))*Inputs!$C$52*COS(SQRT(((Inputs!$I$7+(((A8)+1)/2)*(Inputs!$J$7-Inputs!$I$7)))^2+Inputs!$C$6^2)/Inputs!$C$52)))-((Inputs!$H$7+Inputs!$L$7*(((Inputs!$I$7+(((A8)+1)/2)*(Inputs!$J$7-Inputs!$I$7)))/Inputs!$K$7)^2)))*1000/Inputs!$C$12)</f>
        <v/>
      </c>
      <c r="AH8" s="9">
        <f>(((SQRT((Inputs!$C$52+((Inputs!$H$8+Inputs!$L$8*(((Inputs!$I$8+(((A8)+1)/2)*(Inputs!$J$8-Inputs!$I$8)))/Inputs!$K$8)^2)))^2+Inputs!$C$52^2-2*(Inputs!$C$52+((Inputs!$H$8+Inputs!$L$8*(((Inputs!$I$8+(((A8)+1)/2)*(Inputs!$J$8-Inputs!$I$8)))/Inputs!$K$8)^2)))*Inputs!$C$52*COS(SQRT(((Inputs!$I$8+(((A8)+1)/2)*(Inputs!$J$8-Inputs!$I$8)))^2+Inputs!$C$6^2)/Inputs!$C$52)))-((Inputs!$H$8+Inputs!$L$8*(((Inputs!$I$8+(((A8)+1)/2)*(Inputs!$J$8-Inputs!$I$8)))/Inputs!$K$8)^2)))*1000/Inputs!$C$12)</f>
        <v/>
      </c>
      <c r="AI8" s="9">
        <f>(((SQRT((Inputs!$C$52+((Inputs!$H$9+Inputs!$L$9*(((Inputs!$I$9+(((A8)+1)/2)*(Inputs!$J$9-Inputs!$I$9)))/Inputs!$K$9)^2)))^2+Inputs!$C$52^2-2*(Inputs!$C$52+((Inputs!$H$9+Inputs!$L$9*(((Inputs!$I$9+(((A8)+1)/2)*(Inputs!$J$9-Inputs!$I$9)))/Inputs!$K$9)^2)))*Inputs!$C$52*COS(SQRT(((Inputs!$I$9+(((A8)+1)/2)*(Inputs!$J$9-Inputs!$I$9)))^2+Inputs!$C$6^2)/Inputs!$C$52)))-((Inputs!$H$9+Inputs!$L$9*(((Inputs!$I$9+(((A8)+1)/2)*(Inputs!$J$9-Inputs!$I$9)))/Inputs!$K$9)^2)))*1000/Inputs!$C$12)</f>
        <v/>
      </c>
      <c r="AJ8" s="10" t="n"/>
      <c r="AK8" s="9">
        <f>A8</f>
        <v/>
      </c>
      <c r="AL8" s="9">
        <f>(-2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f>
        <v/>
      </c>
      <c r="AM8" s="9">
        <f>(-2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f>
        <v/>
      </c>
      <c r="AN8" s="9">
        <f>(-2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f>
        <v/>
      </c>
      <c r="AO8" s="9">
        <f>(-2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f>
        <v/>
      </c>
      <c r="AP8" s="10" t="n"/>
      <c r="AQ8" s="9">
        <f>A8</f>
        <v/>
      </c>
      <c r="AR8" s="9">
        <f>0</f>
        <v/>
      </c>
      <c r="AS8" s="9">
        <f>IF(OR(Inputs!$F$6=TRUE,Inputs!$F$6="TRUE",Inputs!$F$6=1),IF(OR(Inputs!$C$27=TRUE,Inputs!$C$27="TRUE",Inputs!$C$27=1),1,0)*(Inputs!$C$51*(115*EXP(-(((Inputs!$C$6)-25)^2)/(4.5^2))+70*EXP(-(((Inputs!$C$6)+38)^2)/(7^2))*(0.55+0.45*SIN(2*PI()*((Inputs!$I$6+(((A8)+1)/2)*(Inputs!$J$6-Inputs!$I$6)))/45))+24*SIN(2*PI()*(Inputs!$C$6)/9+((Inputs!$I$6+(((A8)+1)/2)*(Inputs!$J$6-Inputs!$I$6)))/18)*EXP(-(((Inputs!$C$6)+5)^2)/(22^2))+18*SIN(2*PI()*((Inputs!$I$6+(((A8)+1)/2)*(Inputs!$J$6-Inputs!$I$6)))/70))+Inputs!$C$28*EXP(-((((Inputs!$I$6+(((A8)+1)/2)*(Inputs!$J$6-Inputs!$I$6)))-Inputs!$C$29)^2)/(2*Inputs!$C$31^2))*EXP(-(((Inputs!$C$6)-Inputs!$C$30)^2)/(2*Inputs!$C$32^2))+-Inputs!$C$33*EXP(-((((((Inputs!$I$6+(((A8)+1)/2)*(Inputs!$J$6-Inputs!$I$6)))-Inputs!$C$34)^2)+(((Inputs!$C$6)-Inputs!$C$35)^2))/(2*Inputs!$C$36^2)))+Inputs!$C$37*(0.55*SIN(2*PI()*((Inputs!$I$6+(((A8)+1)/2)*(Inputs!$J$6-Inputs!$I$6)))/Inputs!$C$39)+0.35*COS(2*PI()*(Inputs!$C$6)/Inputs!$C$40)+0.2*SIN(2*PI()*(((Inputs!$I$6+(((A8)+1)/2)*(Inputs!$J$6-Inputs!$I$6)))+(Inputs!$C$6))/(0.5*(Inputs!$C$39+Inputs!$C$40))))+Inputs!$C$38*SIN(2*PI()*((Inputs!$I$6+(((A8)+1)/2)*(Inputs!$J$6-Inputs!$I$6)))/Inputs!$C$39)*SIN(2*PI()*(Inputs!$C$6)/Inputs!$C$40)+-Inputs!$C$41*EXP(-(((Inputs!$C$6)-Inputs!$C$43)^2)/(2*Inputs!$C$44^2))*EXP(-((((Inputs!$I$6+(((A8)+1)/2)*(Inputs!$J$6-Inputs!$I$6)))-Inputs!$C$42)^2)/(2*Inputs!$C$45^2))+Inputs!$C$48*(0.7*(0.45*SIN(2*PI()*((((Inputs!$I$6+(((A8)+1)/2)*(Inputs!$J$6-Inputs!$I$6)))/Inputs!$C$49)+Inputs!$C$47*0.137))+0.35*COS(2*PI()*(((Inputs!$C$6)/Inputs!$C$50)+Inputs!$C$47*0.173))+0.2*SIN(2*PI()*((((Inputs!$I$6+(((A8)+1)/2)*(Inputs!$J$6-Inputs!$I$6)))+(Inputs!$C$6))/(0.5*(Inputs!$C$49+Inputs!$C$50))+Inputs!$C$47*0.097)))+0.3*(2*((SIN((((Inputs!$I$6+(((A8)+1)/2)*(Inputs!$J$6-Inputs!$I$6)))*12.9898+(Inputs!$C$6)*78.233+Inputs!$C$47*37.719))*43758.5453)-INT((SIN((((Inputs!$I$6+(((A8)+1)/2)*(Inputs!$J$6-Inputs!$I$6)))*12.9898+(Inputs!$C$6)*78.233+Inputs!$C$47*37.719))*43758.5453)))-1))),NA())</f>
        <v/>
      </c>
      <c r="AT8" s="9">
        <f>IF(OR(Inputs!$F$7=TRUE,Inputs!$F$7="TRUE",Inputs!$F$7=1),IF(OR(Inputs!$C$27=TRUE,Inputs!$C$27="TRUE",Inputs!$C$27=1),1,0)*(Inputs!$C$51*(115*EXP(-(((Inputs!$C$6)-25)^2)/(4.5^2))+70*EXP(-(((Inputs!$C$6)+38)^2)/(7^2))*(0.55+0.45*SIN(2*PI()*((Inputs!$I$7+(((A8)+1)/2)*(Inputs!$J$7-Inputs!$I$7)))/45))+24*SIN(2*PI()*(Inputs!$C$6)/9+((Inputs!$I$7+(((A8)+1)/2)*(Inputs!$J$7-Inputs!$I$7)))/18)*EXP(-(((Inputs!$C$6)+5)^2)/(22^2))+18*SIN(2*PI()*((Inputs!$I$7+(((A8)+1)/2)*(Inputs!$J$7-Inputs!$I$7)))/70))+Inputs!$C$28*EXP(-((((Inputs!$I$7+(((A8)+1)/2)*(Inputs!$J$7-Inputs!$I$7)))-Inputs!$C$29)^2)/(2*Inputs!$C$31^2))*EXP(-(((Inputs!$C$6)-Inputs!$C$30)^2)/(2*Inputs!$C$32^2))+-Inputs!$C$33*EXP(-((((((Inputs!$I$7+(((A8)+1)/2)*(Inputs!$J$7-Inputs!$I$7)))-Inputs!$C$34)^2)+(((Inputs!$C$6)-Inputs!$C$35)^2))/(2*Inputs!$C$36^2)))+Inputs!$C$37*(0.55*SIN(2*PI()*((Inputs!$I$7+(((A8)+1)/2)*(Inputs!$J$7-Inputs!$I$7)))/Inputs!$C$39)+0.35*COS(2*PI()*(Inputs!$C$6)/Inputs!$C$40)+0.2*SIN(2*PI()*(((Inputs!$I$7+(((A8)+1)/2)*(Inputs!$J$7-Inputs!$I$7)))+(Inputs!$C$6))/(0.5*(Inputs!$C$39+Inputs!$C$40))))+Inputs!$C$38*SIN(2*PI()*((Inputs!$I$7+(((A8)+1)/2)*(Inputs!$J$7-Inputs!$I$7)))/Inputs!$C$39)*SIN(2*PI()*(Inputs!$C$6)/Inputs!$C$40)+-Inputs!$C$41*EXP(-(((Inputs!$C$6)-Inputs!$C$43)^2)/(2*Inputs!$C$44^2))*EXP(-((((Inputs!$I$7+(((A8)+1)/2)*(Inputs!$J$7-Inputs!$I$7)))-Inputs!$C$42)^2)/(2*Inputs!$C$45^2))+Inputs!$C$48*(0.7*(0.45*SIN(2*PI()*((((Inputs!$I$7+(((A8)+1)/2)*(Inputs!$J$7-Inputs!$I$7)))/Inputs!$C$49)+Inputs!$C$47*0.137))+0.35*COS(2*PI()*(((Inputs!$C$6)/Inputs!$C$50)+Inputs!$C$47*0.173))+0.2*SIN(2*PI()*((((Inputs!$I$7+(((A8)+1)/2)*(Inputs!$J$7-Inputs!$I$7)))+(Inputs!$C$6))/(0.5*(Inputs!$C$49+Inputs!$C$50))+Inputs!$C$47*0.097)))+0.3*(2*((SIN((((Inputs!$I$7+(((A8)+1)/2)*(Inputs!$J$7-Inputs!$I$7)))*12.9898+(Inputs!$C$6)*78.233+Inputs!$C$47*37.719))*43758.5453)-INT((SIN((((Inputs!$I$7+(((A8)+1)/2)*(Inputs!$J$7-Inputs!$I$7)))*12.9898+(Inputs!$C$6)*78.233+Inputs!$C$47*37.719))*43758.5453)))-1))),NA())</f>
        <v/>
      </c>
      <c r="AU8" s="9">
        <f>IF(OR(Inputs!$F$8=TRUE,Inputs!$F$8="TRUE",Inputs!$F$8=1),IF(OR(Inputs!$C$27=TRUE,Inputs!$C$27="TRUE",Inputs!$C$27=1),1,0)*(Inputs!$C$51*(115*EXP(-(((Inputs!$C$6)-25)^2)/(4.5^2))+70*EXP(-(((Inputs!$C$6)+38)^2)/(7^2))*(0.55+0.45*SIN(2*PI()*((Inputs!$I$8+(((A8)+1)/2)*(Inputs!$J$8-Inputs!$I$8)))/45))+24*SIN(2*PI()*(Inputs!$C$6)/9+((Inputs!$I$8+(((A8)+1)/2)*(Inputs!$J$8-Inputs!$I$8)))/18)*EXP(-(((Inputs!$C$6)+5)^2)/(22^2))+18*SIN(2*PI()*((Inputs!$I$8+(((A8)+1)/2)*(Inputs!$J$8-Inputs!$I$8)))/70))+Inputs!$C$28*EXP(-((((Inputs!$I$8+(((A8)+1)/2)*(Inputs!$J$8-Inputs!$I$8)))-Inputs!$C$29)^2)/(2*Inputs!$C$31^2))*EXP(-(((Inputs!$C$6)-Inputs!$C$30)^2)/(2*Inputs!$C$32^2))+-Inputs!$C$33*EXP(-((((((Inputs!$I$8+(((A8)+1)/2)*(Inputs!$J$8-Inputs!$I$8)))-Inputs!$C$34)^2)+(((Inputs!$C$6)-Inputs!$C$35)^2))/(2*Inputs!$C$36^2)))+Inputs!$C$37*(0.55*SIN(2*PI()*((Inputs!$I$8+(((A8)+1)/2)*(Inputs!$J$8-Inputs!$I$8)))/Inputs!$C$39)+0.35*COS(2*PI()*(Inputs!$C$6)/Inputs!$C$40)+0.2*SIN(2*PI()*(((Inputs!$I$8+(((A8)+1)/2)*(Inputs!$J$8-Inputs!$I$8)))+(Inputs!$C$6))/(0.5*(Inputs!$C$39+Inputs!$C$40))))+Inputs!$C$38*SIN(2*PI()*((Inputs!$I$8+(((A8)+1)/2)*(Inputs!$J$8-Inputs!$I$8)))/Inputs!$C$39)*SIN(2*PI()*(Inputs!$C$6)/Inputs!$C$40)+-Inputs!$C$41*EXP(-(((Inputs!$C$6)-Inputs!$C$43)^2)/(2*Inputs!$C$44^2))*EXP(-((((Inputs!$I$8+(((A8)+1)/2)*(Inputs!$J$8-Inputs!$I$8)))-Inputs!$C$42)^2)/(2*Inputs!$C$45^2))+Inputs!$C$48*(0.7*(0.45*SIN(2*PI()*((((Inputs!$I$8+(((A8)+1)/2)*(Inputs!$J$8-Inputs!$I$8)))/Inputs!$C$49)+Inputs!$C$47*0.137))+0.35*COS(2*PI()*(((Inputs!$C$6)/Inputs!$C$50)+Inputs!$C$47*0.173))+0.2*SIN(2*PI()*((((Inputs!$I$8+(((A8)+1)/2)*(Inputs!$J$8-Inputs!$I$8)))+(Inputs!$C$6))/(0.5*(Inputs!$C$49+Inputs!$C$50))+Inputs!$C$47*0.097)))+0.3*(2*((SIN((((Inputs!$I$8+(((A8)+1)/2)*(Inputs!$J$8-Inputs!$I$8)))*12.9898+(Inputs!$C$6)*78.233+Inputs!$C$47*37.719))*43758.5453)-INT((SIN((((Inputs!$I$8+(((A8)+1)/2)*(Inputs!$J$8-Inputs!$I$8)))*12.9898+(Inputs!$C$6)*78.233+Inputs!$C$47*37.719))*43758.5453)))-1))),NA())</f>
        <v/>
      </c>
      <c r="AV8" s="9">
        <f>IF(OR(Inputs!$F$9=TRUE,Inputs!$F$9="TRUE",Inputs!$F$9=1),IF(OR(Inputs!$C$27=TRUE,Inputs!$C$27="TRUE",Inputs!$C$27=1),1,0)*(Inputs!$C$51*(115*EXP(-(((Inputs!$C$6)-25)^2)/(4.5^2))+70*EXP(-(((Inputs!$C$6)+38)^2)/(7^2))*(0.55+0.45*SIN(2*PI()*((Inputs!$I$9+(((A8)+1)/2)*(Inputs!$J$9-Inputs!$I$9)))/45))+24*SIN(2*PI()*(Inputs!$C$6)/9+((Inputs!$I$9+(((A8)+1)/2)*(Inputs!$J$9-Inputs!$I$9)))/18)*EXP(-(((Inputs!$C$6)+5)^2)/(22^2))+18*SIN(2*PI()*((Inputs!$I$9+(((A8)+1)/2)*(Inputs!$J$9-Inputs!$I$9)))/70))+Inputs!$C$28*EXP(-((((Inputs!$I$9+(((A8)+1)/2)*(Inputs!$J$9-Inputs!$I$9)))-Inputs!$C$29)^2)/(2*Inputs!$C$31^2))*EXP(-(((Inputs!$C$6)-Inputs!$C$30)^2)/(2*Inputs!$C$32^2))+-Inputs!$C$33*EXP(-((((((Inputs!$I$9+(((A8)+1)/2)*(Inputs!$J$9-Inputs!$I$9)))-Inputs!$C$34)^2)+(((Inputs!$C$6)-Inputs!$C$35)^2))/(2*Inputs!$C$36^2)))+Inputs!$C$37*(0.55*SIN(2*PI()*((Inputs!$I$9+(((A8)+1)/2)*(Inputs!$J$9-Inputs!$I$9)))/Inputs!$C$39)+0.35*COS(2*PI()*(Inputs!$C$6)/Inputs!$C$40)+0.2*SIN(2*PI()*(((Inputs!$I$9+(((A8)+1)/2)*(Inputs!$J$9-Inputs!$I$9)))+(Inputs!$C$6))/(0.5*(Inputs!$C$39+Inputs!$C$40))))+Inputs!$C$38*SIN(2*PI()*((Inputs!$I$9+(((A8)+1)/2)*(Inputs!$J$9-Inputs!$I$9)))/Inputs!$C$39)*SIN(2*PI()*(Inputs!$C$6)/Inputs!$C$40)+-Inputs!$C$41*EXP(-(((Inputs!$C$6)-Inputs!$C$43)^2)/(2*Inputs!$C$44^2))*EXP(-((((Inputs!$I$9+(((A8)+1)/2)*(Inputs!$J$9-Inputs!$I$9)))-Inputs!$C$42)^2)/(2*Inputs!$C$45^2))+Inputs!$C$48*(0.7*(0.45*SIN(2*PI()*((((Inputs!$I$9+(((A8)+1)/2)*(Inputs!$J$9-Inputs!$I$9)))/Inputs!$C$49)+Inputs!$C$47*0.137))+0.35*COS(2*PI()*(((Inputs!$C$6)/Inputs!$C$50)+Inputs!$C$47*0.173))+0.2*SIN(2*PI()*((((Inputs!$I$9+(((A8)+1)/2)*(Inputs!$J$9-Inputs!$I$9)))+(Inputs!$C$6))/(0.5*(Inputs!$C$49+Inputs!$C$50))+Inputs!$C$47*0.097)))+0.3*(2*((SIN((((Inputs!$I$9+(((A8)+1)/2)*(Inputs!$J$9-Inputs!$I$9)))*12.9898+(Inputs!$C$6)*78.233+Inputs!$C$47*37.719))*43758.5453)-INT((SIN((((Inputs!$I$9+(((A8)+1)/2)*(Inputs!$J$9-Inputs!$I$9)))*12.9898+(Inputs!$C$6)*78.233+Inputs!$C$47*37.719))*43758.5453)))-1))),NA())</f>
        <v/>
      </c>
      <c r="AW8" s="10" t="n"/>
      <c r="AX8" s="9">
        <f>A8</f>
        <v/>
      </c>
      <c r="AY8" s="9">
        <f>0</f>
        <v/>
      </c>
      <c r="AZ8" s="9">
        <f>IF(OR(Inputs!$F$6=TRUE,Inputs!$F$6="TRUE",Inputs!$F$6=1),(Inputs!$H$6+Inputs!$L$6*(((Inputs!$I$6+(((A8)+1)/2)*(Inputs!$J$6-Inputs!$I$6)))/Inputs!$K$6)^2),NA())</f>
        <v/>
      </c>
      <c r="BA8" s="9">
        <f>IF(OR(Inputs!$F$7=TRUE,Inputs!$F$7="TRUE",Inputs!$F$7=1),(Inputs!$H$7+Inputs!$L$7*(((Inputs!$I$7+(((A8)+1)/2)*(Inputs!$J$7-Inputs!$I$7)))/Inputs!$K$7)^2),NA())</f>
        <v/>
      </c>
      <c r="BB8" s="9">
        <f>IF(OR(Inputs!$F$8=TRUE,Inputs!$F$8="TRUE",Inputs!$F$8=1),(Inputs!$H$8+Inputs!$L$8*(((Inputs!$I$8+(((A8)+1)/2)*(Inputs!$J$8-Inputs!$I$8)))/Inputs!$K$8)^2),NA())</f>
        <v/>
      </c>
      <c r="BC8" s="9">
        <f>IF(OR(Inputs!$F$9=TRUE,Inputs!$F$9="TRUE",Inputs!$F$9=1),(Inputs!$H$9+Inputs!$L$9*(((Inputs!$I$9+(((A8)+1)/2)*(Inputs!$J$9-Inputs!$I$9)))/Inputs!$K$9)^2),NA())</f>
        <v/>
      </c>
      <c r="BD8" s="10" t="n"/>
      <c r="BE8" s="9">
        <f>A8</f>
        <v/>
      </c>
      <c r="BF8" s="9">
        <f>0</f>
        <v/>
      </c>
      <c r="BG8" s="9">
        <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f>
        <v/>
      </c>
      <c r="BH8" s="9">
        <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f>
        <v/>
      </c>
      <c r="BI8" s="9">
        <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f>
        <v/>
      </c>
      <c r="BJ8" s="9">
        <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f>
        <v/>
      </c>
    </row>
    <row r="9">
      <c r="A9" s="9">
        <f>ROUND(-1+7*2/240,3)</f>
        <v/>
      </c>
      <c r="B9" s="9">
        <f>IF(OR(Inputs!$F$6=TRUE,Inputs!$F$6="TRUE",Inputs!$F$6=1),(Inputs!$H$6+Inputs!$L$6*(((Inputs!$I$6+(((A9)+1)/2)*(Inputs!$J$6-Inputs!$I$6)))/Inputs!$K$6)^2),NA())</f>
        <v/>
      </c>
      <c r="C9" s="9">
        <f>IF(OR(Inputs!$F$7=TRUE,Inputs!$F$7="TRUE",Inputs!$F$7=1),(Inputs!$H$7+Inputs!$L$7*(((Inputs!$I$7+(((A9)+1)/2)*(Inputs!$J$7-Inputs!$I$7)))/Inputs!$K$7)^2),NA())</f>
        <v/>
      </c>
      <c r="D9" s="9">
        <f>IF(OR(Inputs!$F$8=TRUE,Inputs!$F$8="TRUE",Inputs!$F$8=1),(Inputs!$H$8+Inputs!$L$8*(((Inputs!$I$8+(((A9)+1)/2)*(Inputs!$J$8-Inputs!$I$8)))/Inputs!$K$8)^2),NA())</f>
        <v/>
      </c>
      <c r="E9" s="9">
        <f>IF(OR(Inputs!$F$9=TRUE,Inputs!$F$9="TRUE",Inputs!$F$9=1),(Inputs!$H$9+Inputs!$L$9*(((Inputs!$I$9+(((A9)+1)/2)*(Inputs!$J$9-Inputs!$I$9)))/Inputs!$K$9)^2),NA())</f>
        <v/>
      </c>
      <c r="F9" s="10" t="n"/>
      <c r="G9" s="9">
        <f>A9</f>
        <v/>
      </c>
      <c r="H9" s="9">
        <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f>
        <v/>
      </c>
      <c r="I9" s="9">
        <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f>
        <v/>
      </c>
      <c r="J9" s="9">
        <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f>
        <v/>
      </c>
      <c r="K9" s="9">
        <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f>
        <v/>
      </c>
      <c r="L9" s="10" t="n"/>
      <c r="M9" s="9">
        <f>A9</f>
        <v/>
      </c>
      <c r="N9" s="9">
        <f>IF(OR(Inputs!$F$6=TRUE,Inputs!$F$6="TRUE",Inputs!$F$6=1),(-2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NA())</f>
        <v/>
      </c>
      <c r="O9" s="9">
        <f>IF(OR(Inputs!$F$7=TRUE,Inputs!$F$7="TRUE",Inputs!$F$7=1),(-2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NA())</f>
        <v/>
      </c>
      <c r="P9" s="9">
        <f>IF(OR(Inputs!$F$8=TRUE,Inputs!$F$8="TRUE",Inputs!$F$8=1),(-2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NA())</f>
        <v/>
      </c>
      <c r="Q9" s="9">
        <f>IF(OR(Inputs!$F$9=TRUE,Inputs!$F$9="TRUE",Inputs!$F$9=1),(-2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NA())</f>
        <v/>
      </c>
      <c r="R9" s="10" t="n"/>
      <c r="S9" s="9">
        <f>A9</f>
        <v/>
      </c>
      <c r="T9" s="9">
        <f>(Inputs!$I$6+(((A9)+1)/2)*(Inputs!$J$6-Inputs!$I$6))</f>
        <v/>
      </c>
      <c r="U9" s="9">
        <f>(Inputs!$I$7+(((A9)+1)/2)*(Inputs!$J$7-Inputs!$I$7))</f>
        <v/>
      </c>
      <c r="V9" s="9">
        <f>(Inputs!$I$8+(((A9)+1)/2)*(Inputs!$J$8-Inputs!$I$8))</f>
        <v/>
      </c>
      <c r="W9" s="9">
        <f>(Inputs!$I$9+(((A9)+1)/2)*(Inputs!$J$9-Inputs!$I$9))</f>
        <v/>
      </c>
      <c r="X9" s="10" t="n"/>
      <c r="Y9" s="9">
        <f>A9</f>
        <v/>
      </c>
      <c r="Z9" s="9">
        <f>(Inputs!$H$6+Inputs!$L$6*(((Inputs!$I$6+(((A9)+1)/2)*(Inputs!$J$6-Inputs!$I$6)))/Inputs!$K$6)^2)</f>
        <v/>
      </c>
      <c r="AA9" s="9">
        <f>(Inputs!$H$7+Inputs!$L$7*(((Inputs!$I$7+(((A9)+1)/2)*(Inputs!$J$7-Inputs!$I$7)))/Inputs!$K$7)^2)</f>
        <v/>
      </c>
      <c r="AB9" s="9">
        <f>(Inputs!$H$8+Inputs!$L$8*(((Inputs!$I$8+(((A9)+1)/2)*(Inputs!$J$8-Inputs!$I$8)))/Inputs!$K$8)^2)</f>
        <v/>
      </c>
      <c r="AC9" s="9">
        <f>(Inputs!$H$9+Inputs!$L$9*(((Inputs!$I$9+(((A9)+1)/2)*(Inputs!$J$9-Inputs!$I$9)))/Inputs!$K$9)^2)</f>
        <v/>
      </c>
      <c r="AD9" s="10" t="n"/>
      <c r="AE9" s="9">
        <f>A9</f>
        <v/>
      </c>
      <c r="AF9" s="9">
        <f>(((SQRT((Inputs!$C$52+((Inputs!$H$6+Inputs!$L$6*(((Inputs!$I$6+(((A9)+1)/2)*(Inputs!$J$6-Inputs!$I$6)))/Inputs!$K$6)^2)))^2+Inputs!$C$52^2-2*(Inputs!$C$52+((Inputs!$H$6+Inputs!$L$6*(((Inputs!$I$6+(((A9)+1)/2)*(Inputs!$J$6-Inputs!$I$6)))/Inputs!$K$6)^2)))*Inputs!$C$52*COS(SQRT(((Inputs!$I$6+(((A9)+1)/2)*(Inputs!$J$6-Inputs!$I$6)))^2+Inputs!$C$6^2)/Inputs!$C$52)))-((Inputs!$H$6+Inputs!$L$6*(((Inputs!$I$6+(((A9)+1)/2)*(Inputs!$J$6-Inputs!$I$6)))/Inputs!$K$6)^2)))*1000/Inputs!$C$12)</f>
        <v/>
      </c>
      <c r="AG9" s="9">
        <f>(((SQRT((Inputs!$C$52+((Inputs!$H$7+Inputs!$L$7*(((Inputs!$I$7+(((A9)+1)/2)*(Inputs!$J$7-Inputs!$I$7)))/Inputs!$K$7)^2)))^2+Inputs!$C$52^2-2*(Inputs!$C$52+((Inputs!$H$7+Inputs!$L$7*(((Inputs!$I$7+(((A9)+1)/2)*(Inputs!$J$7-Inputs!$I$7)))/Inputs!$K$7)^2)))*Inputs!$C$52*COS(SQRT(((Inputs!$I$7+(((A9)+1)/2)*(Inputs!$J$7-Inputs!$I$7)))^2+Inputs!$C$6^2)/Inputs!$C$52)))-((Inputs!$H$7+Inputs!$L$7*(((Inputs!$I$7+(((A9)+1)/2)*(Inputs!$J$7-Inputs!$I$7)))/Inputs!$K$7)^2)))*1000/Inputs!$C$12)</f>
        <v/>
      </c>
      <c r="AH9" s="9">
        <f>(((SQRT((Inputs!$C$52+((Inputs!$H$8+Inputs!$L$8*(((Inputs!$I$8+(((A9)+1)/2)*(Inputs!$J$8-Inputs!$I$8)))/Inputs!$K$8)^2)))^2+Inputs!$C$52^2-2*(Inputs!$C$52+((Inputs!$H$8+Inputs!$L$8*(((Inputs!$I$8+(((A9)+1)/2)*(Inputs!$J$8-Inputs!$I$8)))/Inputs!$K$8)^2)))*Inputs!$C$52*COS(SQRT(((Inputs!$I$8+(((A9)+1)/2)*(Inputs!$J$8-Inputs!$I$8)))^2+Inputs!$C$6^2)/Inputs!$C$52)))-((Inputs!$H$8+Inputs!$L$8*(((Inputs!$I$8+(((A9)+1)/2)*(Inputs!$J$8-Inputs!$I$8)))/Inputs!$K$8)^2)))*1000/Inputs!$C$12)</f>
        <v/>
      </c>
      <c r="AI9" s="9">
        <f>(((SQRT((Inputs!$C$52+((Inputs!$H$9+Inputs!$L$9*(((Inputs!$I$9+(((A9)+1)/2)*(Inputs!$J$9-Inputs!$I$9)))/Inputs!$K$9)^2)))^2+Inputs!$C$52^2-2*(Inputs!$C$52+((Inputs!$H$9+Inputs!$L$9*(((Inputs!$I$9+(((A9)+1)/2)*(Inputs!$J$9-Inputs!$I$9)))/Inputs!$K$9)^2)))*Inputs!$C$52*COS(SQRT(((Inputs!$I$9+(((A9)+1)/2)*(Inputs!$J$9-Inputs!$I$9)))^2+Inputs!$C$6^2)/Inputs!$C$52)))-((Inputs!$H$9+Inputs!$L$9*(((Inputs!$I$9+(((A9)+1)/2)*(Inputs!$J$9-Inputs!$I$9)))/Inputs!$K$9)^2)))*1000/Inputs!$C$12)</f>
        <v/>
      </c>
      <c r="AJ9" s="10" t="n"/>
      <c r="AK9" s="9">
        <f>A9</f>
        <v/>
      </c>
      <c r="AL9" s="9">
        <f>(-2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f>
        <v/>
      </c>
      <c r="AM9" s="9">
        <f>(-2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f>
        <v/>
      </c>
      <c r="AN9" s="9">
        <f>(-2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f>
        <v/>
      </c>
      <c r="AO9" s="9">
        <f>(-2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f>
        <v/>
      </c>
      <c r="AP9" s="10" t="n"/>
      <c r="AQ9" s="9">
        <f>A9</f>
        <v/>
      </c>
      <c r="AR9" s="9">
        <f>0</f>
        <v/>
      </c>
      <c r="AS9" s="9">
        <f>IF(OR(Inputs!$F$6=TRUE,Inputs!$F$6="TRUE",Inputs!$F$6=1),IF(OR(Inputs!$C$27=TRUE,Inputs!$C$27="TRUE",Inputs!$C$27=1),1,0)*(Inputs!$C$51*(115*EXP(-(((Inputs!$C$6)-25)^2)/(4.5^2))+70*EXP(-(((Inputs!$C$6)+38)^2)/(7^2))*(0.55+0.45*SIN(2*PI()*((Inputs!$I$6+(((A9)+1)/2)*(Inputs!$J$6-Inputs!$I$6)))/45))+24*SIN(2*PI()*(Inputs!$C$6)/9+((Inputs!$I$6+(((A9)+1)/2)*(Inputs!$J$6-Inputs!$I$6)))/18)*EXP(-(((Inputs!$C$6)+5)^2)/(22^2))+18*SIN(2*PI()*((Inputs!$I$6+(((A9)+1)/2)*(Inputs!$J$6-Inputs!$I$6)))/70))+Inputs!$C$28*EXP(-((((Inputs!$I$6+(((A9)+1)/2)*(Inputs!$J$6-Inputs!$I$6)))-Inputs!$C$29)^2)/(2*Inputs!$C$31^2))*EXP(-(((Inputs!$C$6)-Inputs!$C$30)^2)/(2*Inputs!$C$32^2))+-Inputs!$C$33*EXP(-((((((Inputs!$I$6+(((A9)+1)/2)*(Inputs!$J$6-Inputs!$I$6)))-Inputs!$C$34)^2)+(((Inputs!$C$6)-Inputs!$C$35)^2))/(2*Inputs!$C$36^2)))+Inputs!$C$37*(0.55*SIN(2*PI()*((Inputs!$I$6+(((A9)+1)/2)*(Inputs!$J$6-Inputs!$I$6)))/Inputs!$C$39)+0.35*COS(2*PI()*(Inputs!$C$6)/Inputs!$C$40)+0.2*SIN(2*PI()*(((Inputs!$I$6+(((A9)+1)/2)*(Inputs!$J$6-Inputs!$I$6)))+(Inputs!$C$6))/(0.5*(Inputs!$C$39+Inputs!$C$40))))+Inputs!$C$38*SIN(2*PI()*((Inputs!$I$6+(((A9)+1)/2)*(Inputs!$J$6-Inputs!$I$6)))/Inputs!$C$39)*SIN(2*PI()*(Inputs!$C$6)/Inputs!$C$40)+-Inputs!$C$41*EXP(-(((Inputs!$C$6)-Inputs!$C$43)^2)/(2*Inputs!$C$44^2))*EXP(-((((Inputs!$I$6+(((A9)+1)/2)*(Inputs!$J$6-Inputs!$I$6)))-Inputs!$C$42)^2)/(2*Inputs!$C$45^2))+Inputs!$C$48*(0.7*(0.45*SIN(2*PI()*((((Inputs!$I$6+(((A9)+1)/2)*(Inputs!$J$6-Inputs!$I$6)))/Inputs!$C$49)+Inputs!$C$47*0.137))+0.35*COS(2*PI()*(((Inputs!$C$6)/Inputs!$C$50)+Inputs!$C$47*0.173))+0.2*SIN(2*PI()*((((Inputs!$I$6+(((A9)+1)/2)*(Inputs!$J$6-Inputs!$I$6)))+(Inputs!$C$6))/(0.5*(Inputs!$C$49+Inputs!$C$50))+Inputs!$C$47*0.097)))+0.3*(2*((SIN((((Inputs!$I$6+(((A9)+1)/2)*(Inputs!$J$6-Inputs!$I$6)))*12.9898+(Inputs!$C$6)*78.233+Inputs!$C$47*37.719))*43758.5453)-INT((SIN((((Inputs!$I$6+(((A9)+1)/2)*(Inputs!$J$6-Inputs!$I$6)))*12.9898+(Inputs!$C$6)*78.233+Inputs!$C$47*37.719))*43758.5453)))-1))),NA())</f>
        <v/>
      </c>
      <c r="AT9" s="9">
        <f>IF(OR(Inputs!$F$7=TRUE,Inputs!$F$7="TRUE",Inputs!$F$7=1),IF(OR(Inputs!$C$27=TRUE,Inputs!$C$27="TRUE",Inputs!$C$27=1),1,0)*(Inputs!$C$51*(115*EXP(-(((Inputs!$C$6)-25)^2)/(4.5^2))+70*EXP(-(((Inputs!$C$6)+38)^2)/(7^2))*(0.55+0.45*SIN(2*PI()*((Inputs!$I$7+(((A9)+1)/2)*(Inputs!$J$7-Inputs!$I$7)))/45))+24*SIN(2*PI()*(Inputs!$C$6)/9+((Inputs!$I$7+(((A9)+1)/2)*(Inputs!$J$7-Inputs!$I$7)))/18)*EXP(-(((Inputs!$C$6)+5)^2)/(22^2))+18*SIN(2*PI()*((Inputs!$I$7+(((A9)+1)/2)*(Inputs!$J$7-Inputs!$I$7)))/70))+Inputs!$C$28*EXP(-((((Inputs!$I$7+(((A9)+1)/2)*(Inputs!$J$7-Inputs!$I$7)))-Inputs!$C$29)^2)/(2*Inputs!$C$31^2))*EXP(-(((Inputs!$C$6)-Inputs!$C$30)^2)/(2*Inputs!$C$32^2))+-Inputs!$C$33*EXP(-((((((Inputs!$I$7+(((A9)+1)/2)*(Inputs!$J$7-Inputs!$I$7)))-Inputs!$C$34)^2)+(((Inputs!$C$6)-Inputs!$C$35)^2))/(2*Inputs!$C$36^2)))+Inputs!$C$37*(0.55*SIN(2*PI()*((Inputs!$I$7+(((A9)+1)/2)*(Inputs!$J$7-Inputs!$I$7)))/Inputs!$C$39)+0.35*COS(2*PI()*(Inputs!$C$6)/Inputs!$C$40)+0.2*SIN(2*PI()*(((Inputs!$I$7+(((A9)+1)/2)*(Inputs!$J$7-Inputs!$I$7)))+(Inputs!$C$6))/(0.5*(Inputs!$C$39+Inputs!$C$40))))+Inputs!$C$38*SIN(2*PI()*((Inputs!$I$7+(((A9)+1)/2)*(Inputs!$J$7-Inputs!$I$7)))/Inputs!$C$39)*SIN(2*PI()*(Inputs!$C$6)/Inputs!$C$40)+-Inputs!$C$41*EXP(-(((Inputs!$C$6)-Inputs!$C$43)^2)/(2*Inputs!$C$44^2))*EXP(-((((Inputs!$I$7+(((A9)+1)/2)*(Inputs!$J$7-Inputs!$I$7)))-Inputs!$C$42)^2)/(2*Inputs!$C$45^2))+Inputs!$C$48*(0.7*(0.45*SIN(2*PI()*((((Inputs!$I$7+(((A9)+1)/2)*(Inputs!$J$7-Inputs!$I$7)))/Inputs!$C$49)+Inputs!$C$47*0.137))+0.35*COS(2*PI()*(((Inputs!$C$6)/Inputs!$C$50)+Inputs!$C$47*0.173))+0.2*SIN(2*PI()*((((Inputs!$I$7+(((A9)+1)/2)*(Inputs!$J$7-Inputs!$I$7)))+(Inputs!$C$6))/(0.5*(Inputs!$C$49+Inputs!$C$50))+Inputs!$C$47*0.097)))+0.3*(2*((SIN((((Inputs!$I$7+(((A9)+1)/2)*(Inputs!$J$7-Inputs!$I$7)))*12.9898+(Inputs!$C$6)*78.233+Inputs!$C$47*37.719))*43758.5453)-INT((SIN((((Inputs!$I$7+(((A9)+1)/2)*(Inputs!$J$7-Inputs!$I$7)))*12.9898+(Inputs!$C$6)*78.233+Inputs!$C$47*37.719))*43758.5453)))-1))),NA())</f>
        <v/>
      </c>
      <c r="AU9" s="9">
        <f>IF(OR(Inputs!$F$8=TRUE,Inputs!$F$8="TRUE",Inputs!$F$8=1),IF(OR(Inputs!$C$27=TRUE,Inputs!$C$27="TRUE",Inputs!$C$27=1),1,0)*(Inputs!$C$51*(115*EXP(-(((Inputs!$C$6)-25)^2)/(4.5^2))+70*EXP(-(((Inputs!$C$6)+38)^2)/(7^2))*(0.55+0.45*SIN(2*PI()*((Inputs!$I$8+(((A9)+1)/2)*(Inputs!$J$8-Inputs!$I$8)))/45))+24*SIN(2*PI()*(Inputs!$C$6)/9+((Inputs!$I$8+(((A9)+1)/2)*(Inputs!$J$8-Inputs!$I$8)))/18)*EXP(-(((Inputs!$C$6)+5)^2)/(22^2))+18*SIN(2*PI()*((Inputs!$I$8+(((A9)+1)/2)*(Inputs!$J$8-Inputs!$I$8)))/70))+Inputs!$C$28*EXP(-((((Inputs!$I$8+(((A9)+1)/2)*(Inputs!$J$8-Inputs!$I$8)))-Inputs!$C$29)^2)/(2*Inputs!$C$31^2))*EXP(-(((Inputs!$C$6)-Inputs!$C$30)^2)/(2*Inputs!$C$32^2))+-Inputs!$C$33*EXP(-((((((Inputs!$I$8+(((A9)+1)/2)*(Inputs!$J$8-Inputs!$I$8)))-Inputs!$C$34)^2)+(((Inputs!$C$6)-Inputs!$C$35)^2))/(2*Inputs!$C$36^2)))+Inputs!$C$37*(0.55*SIN(2*PI()*((Inputs!$I$8+(((A9)+1)/2)*(Inputs!$J$8-Inputs!$I$8)))/Inputs!$C$39)+0.35*COS(2*PI()*(Inputs!$C$6)/Inputs!$C$40)+0.2*SIN(2*PI()*(((Inputs!$I$8+(((A9)+1)/2)*(Inputs!$J$8-Inputs!$I$8)))+(Inputs!$C$6))/(0.5*(Inputs!$C$39+Inputs!$C$40))))+Inputs!$C$38*SIN(2*PI()*((Inputs!$I$8+(((A9)+1)/2)*(Inputs!$J$8-Inputs!$I$8)))/Inputs!$C$39)*SIN(2*PI()*(Inputs!$C$6)/Inputs!$C$40)+-Inputs!$C$41*EXP(-(((Inputs!$C$6)-Inputs!$C$43)^2)/(2*Inputs!$C$44^2))*EXP(-((((Inputs!$I$8+(((A9)+1)/2)*(Inputs!$J$8-Inputs!$I$8)))-Inputs!$C$42)^2)/(2*Inputs!$C$45^2))+Inputs!$C$48*(0.7*(0.45*SIN(2*PI()*((((Inputs!$I$8+(((A9)+1)/2)*(Inputs!$J$8-Inputs!$I$8)))/Inputs!$C$49)+Inputs!$C$47*0.137))+0.35*COS(2*PI()*(((Inputs!$C$6)/Inputs!$C$50)+Inputs!$C$47*0.173))+0.2*SIN(2*PI()*((((Inputs!$I$8+(((A9)+1)/2)*(Inputs!$J$8-Inputs!$I$8)))+(Inputs!$C$6))/(0.5*(Inputs!$C$49+Inputs!$C$50))+Inputs!$C$47*0.097)))+0.3*(2*((SIN((((Inputs!$I$8+(((A9)+1)/2)*(Inputs!$J$8-Inputs!$I$8)))*12.9898+(Inputs!$C$6)*78.233+Inputs!$C$47*37.719))*43758.5453)-INT((SIN((((Inputs!$I$8+(((A9)+1)/2)*(Inputs!$J$8-Inputs!$I$8)))*12.9898+(Inputs!$C$6)*78.233+Inputs!$C$47*37.719))*43758.5453)))-1))),NA())</f>
        <v/>
      </c>
      <c r="AV9" s="9">
        <f>IF(OR(Inputs!$F$9=TRUE,Inputs!$F$9="TRUE",Inputs!$F$9=1),IF(OR(Inputs!$C$27=TRUE,Inputs!$C$27="TRUE",Inputs!$C$27=1),1,0)*(Inputs!$C$51*(115*EXP(-(((Inputs!$C$6)-25)^2)/(4.5^2))+70*EXP(-(((Inputs!$C$6)+38)^2)/(7^2))*(0.55+0.45*SIN(2*PI()*((Inputs!$I$9+(((A9)+1)/2)*(Inputs!$J$9-Inputs!$I$9)))/45))+24*SIN(2*PI()*(Inputs!$C$6)/9+((Inputs!$I$9+(((A9)+1)/2)*(Inputs!$J$9-Inputs!$I$9)))/18)*EXP(-(((Inputs!$C$6)+5)^2)/(22^2))+18*SIN(2*PI()*((Inputs!$I$9+(((A9)+1)/2)*(Inputs!$J$9-Inputs!$I$9)))/70))+Inputs!$C$28*EXP(-((((Inputs!$I$9+(((A9)+1)/2)*(Inputs!$J$9-Inputs!$I$9)))-Inputs!$C$29)^2)/(2*Inputs!$C$31^2))*EXP(-(((Inputs!$C$6)-Inputs!$C$30)^2)/(2*Inputs!$C$32^2))+-Inputs!$C$33*EXP(-((((((Inputs!$I$9+(((A9)+1)/2)*(Inputs!$J$9-Inputs!$I$9)))-Inputs!$C$34)^2)+(((Inputs!$C$6)-Inputs!$C$35)^2))/(2*Inputs!$C$36^2)))+Inputs!$C$37*(0.55*SIN(2*PI()*((Inputs!$I$9+(((A9)+1)/2)*(Inputs!$J$9-Inputs!$I$9)))/Inputs!$C$39)+0.35*COS(2*PI()*(Inputs!$C$6)/Inputs!$C$40)+0.2*SIN(2*PI()*(((Inputs!$I$9+(((A9)+1)/2)*(Inputs!$J$9-Inputs!$I$9)))+(Inputs!$C$6))/(0.5*(Inputs!$C$39+Inputs!$C$40))))+Inputs!$C$38*SIN(2*PI()*((Inputs!$I$9+(((A9)+1)/2)*(Inputs!$J$9-Inputs!$I$9)))/Inputs!$C$39)*SIN(2*PI()*(Inputs!$C$6)/Inputs!$C$40)+-Inputs!$C$41*EXP(-(((Inputs!$C$6)-Inputs!$C$43)^2)/(2*Inputs!$C$44^2))*EXP(-((((Inputs!$I$9+(((A9)+1)/2)*(Inputs!$J$9-Inputs!$I$9)))-Inputs!$C$42)^2)/(2*Inputs!$C$45^2))+Inputs!$C$48*(0.7*(0.45*SIN(2*PI()*((((Inputs!$I$9+(((A9)+1)/2)*(Inputs!$J$9-Inputs!$I$9)))/Inputs!$C$49)+Inputs!$C$47*0.137))+0.35*COS(2*PI()*(((Inputs!$C$6)/Inputs!$C$50)+Inputs!$C$47*0.173))+0.2*SIN(2*PI()*((((Inputs!$I$9+(((A9)+1)/2)*(Inputs!$J$9-Inputs!$I$9)))+(Inputs!$C$6))/(0.5*(Inputs!$C$49+Inputs!$C$50))+Inputs!$C$47*0.097)))+0.3*(2*((SIN((((Inputs!$I$9+(((A9)+1)/2)*(Inputs!$J$9-Inputs!$I$9)))*12.9898+(Inputs!$C$6)*78.233+Inputs!$C$47*37.719))*43758.5453)-INT((SIN((((Inputs!$I$9+(((A9)+1)/2)*(Inputs!$J$9-Inputs!$I$9)))*12.9898+(Inputs!$C$6)*78.233+Inputs!$C$47*37.719))*43758.5453)))-1))),NA())</f>
        <v/>
      </c>
      <c r="AW9" s="10" t="n"/>
      <c r="AX9" s="9">
        <f>A9</f>
        <v/>
      </c>
      <c r="AY9" s="9">
        <f>0</f>
        <v/>
      </c>
      <c r="AZ9" s="9">
        <f>IF(OR(Inputs!$F$6=TRUE,Inputs!$F$6="TRUE",Inputs!$F$6=1),(Inputs!$H$6+Inputs!$L$6*(((Inputs!$I$6+(((A9)+1)/2)*(Inputs!$J$6-Inputs!$I$6)))/Inputs!$K$6)^2),NA())</f>
        <v/>
      </c>
      <c r="BA9" s="9">
        <f>IF(OR(Inputs!$F$7=TRUE,Inputs!$F$7="TRUE",Inputs!$F$7=1),(Inputs!$H$7+Inputs!$L$7*(((Inputs!$I$7+(((A9)+1)/2)*(Inputs!$J$7-Inputs!$I$7)))/Inputs!$K$7)^2),NA())</f>
        <v/>
      </c>
      <c r="BB9" s="9">
        <f>IF(OR(Inputs!$F$8=TRUE,Inputs!$F$8="TRUE",Inputs!$F$8=1),(Inputs!$H$8+Inputs!$L$8*(((Inputs!$I$8+(((A9)+1)/2)*(Inputs!$J$8-Inputs!$I$8)))/Inputs!$K$8)^2),NA())</f>
        <v/>
      </c>
      <c r="BC9" s="9">
        <f>IF(OR(Inputs!$F$9=TRUE,Inputs!$F$9="TRUE",Inputs!$F$9=1),(Inputs!$H$9+Inputs!$L$9*(((Inputs!$I$9+(((A9)+1)/2)*(Inputs!$J$9-Inputs!$I$9)))/Inputs!$K$9)^2),NA())</f>
        <v/>
      </c>
      <c r="BD9" s="10" t="n"/>
      <c r="BE9" s="9">
        <f>A9</f>
        <v/>
      </c>
      <c r="BF9" s="9">
        <f>0</f>
        <v/>
      </c>
      <c r="BG9" s="9">
        <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f>
        <v/>
      </c>
      <c r="BH9" s="9">
        <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f>
        <v/>
      </c>
      <c r="BI9" s="9">
        <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f>
        <v/>
      </c>
      <c r="BJ9" s="9">
        <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f>
        <v/>
      </c>
    </row>
    <row r="10">
      <c r="A10" s="9">
        <f>ROUND(-1+8*2/240,3)</f>
        <v/>
      </c>
      <c r="B10" s="9">
        <f>IF(OR(Inputs!$F$6=TRUE,Inputs!$F$6="TRUE",Inputs!$F$6=1),(Inputs!$H$6+Inputs!$L$6*(((Inputs!$I$6+(((A10)+1)/2)*(Inputs!$J$6-Inputs!$I$6)))/Inputs!$K$6)^2),NA())</f>
        <v/>
      </c>
      <c r="C10" s="9">
        <f>IF(OR(Inputs!$F$7=TRUE,Inputs!$F$7="TRUE",Inputs!$F$7=1),(Inputs!$H$7+Inputs!$L$7*(((Inputs!$I$7+(((A10)+1)/2)*(Inputs!$J$7-Inputs!$I$7)))/Inputs!$K$7)^2),NA())</f>
        <v/>
      </c>
      <c r="D10" s="9">
        <f>IF(OR(Inputs!$F$8=TRUE,Inputs!$F$8="TRUE",Inputs!$F$8=1),(Inputs!$H$8+Inputs!$L$8*(((Inputs!$I$8+(((A10)+1)/2)*(Inputs!$J$8-Inputs!$I$8)))/Inputs!$K$8)^2),NA())</f>
        <v/>
      </c>
      <c r="E10" s="9">
        <f>IF(OR(Inputs!$F$9=TRUE,Inputs!$F$9="TRUE",Inputs!$F$9=1),(Inputs!$H$9+Inputs!$L$9*(((Inputs!$I$9+(((A10)+1)/2)*(Inputs!$J$9-Inputs!$I$9)))/Inputs!$K$9)^2),NA())</f>
        <v/>
      </c>
      <c r="F10" s="10" t="n"/>
      <c r="G10" s="9">
        <f>A10</f>
        <v/>
      </c>
      <c r="H10" s="9">
        <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f>
        <v/>
      </c>
      <c r="I10" s="9">
        <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f>
        <v/>
      </c>
      <c r="J10" s="9">
        <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f>
        <v/>
      </c>
      <c r="K10" s="9">
        <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f>
        <v/>
      </c>
      <c r="L10" s="10" t="n"/>
      <c r="M10" s="9">
        <f>A10</f>
        <v/>
      </c>
      <c r="N10" s="9">
        <f>IF(OR(Inputs!$F$6=TRUE,Inputs!$F$6="TRUE",Inputs!$F$6=1),(-2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NA())</f>
        <v/>
      </c>
      <c r="O10" s="9">
        <f>IF(OR(Inputs!$F$7=TRUE,Inputs!$F$7="TRUE",Inputs!$F$7=1),(-2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NA())</f>
        <v/>
      </c>
      <c r="P10" s="9">
        <f>IF(OR(Inputs!$F$8=TRUE,Inputs!$F$8="TRUE",Inputs!$F$8=1),(-2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NA())</f>
        <v/>
      </c>
      <c r="Q10" s="9">
        <f>IF(OR(Inputs!$F$9=TRUE,Inputs!$F$9="TRUE",Inputs!$F$9=1),(-2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NA())</f>
        <v/>
      </c>
      <c r="R10" s="10" t="n"/>
      <c r="S10" s="9">
        <f>A10</f>
        <v/>
      </c>
      <c r="T10" s="9">
        <f>(Inputs!$I$6+(((A10)+1)/2)*(Inputs!$J$6-Inputs!$I$6))</f>
        <v/>
      </c>
      <c r="U10" s="9">
        <f>(Inputs!$I$7+(((A10)+1)/2)*(Inputs!$J$7-Inputs!$I$7))</f>
        <v/>
      </c>
      <c r="V10" s="9">
        <f>(Inputs!$I$8+(((A10)+1)/2)*(Inputs!$J$8-Inputs!$I$8))</f>
        <v/>
      </c>
      <c r="W10" s="9">
        <f>(Inputs!$I$9+(((A10)+1)/2)*(Inputs!$J$9-Inputs!$I$9))</f>
        <v/>
      </c>
      <c r="X10" s="10" t="n"/>
      <c r="Y10" s="9">
        <f>A10</f>
        <v/>
      </c>
      <c r="Z10" s="9">
        <f>(Inputs!$H$6+Inputs!$L$6*(((Inputs!$I$6+(((A10)+1)/2)*(Inputs!$J$6-Inputs!$I$6)))/Inputs!$K$6)^2)</f>
        <v/>
      </c>
      <c r="AA10" s="9">
        <f>(Inputs!$H$7+Inputs!$L$7*(((Inputs!$I$7+(((A10)+1)/2)*(Inputs!$J$7-Inputs!$I$7)))/Inputs!$K$7)^2)</f>
        <v/>
      </c>
      <c r="AB10" s="9">
        <f>(Inputs!$H$8+Inputs!$L$8*(((Inputs!$I$8+(((A10)+1)/2)*(Inputs!$J$8-Inputs!$I$8)))/Inputs!$K$8)^2)</f>
        <v/>
      </c>
      <c r="AC10" s="9">
        <f>(Inputs!$H$9+Inputs!$L$9*(((Inputs!$I$9+(((A10)+1)/2)*(Inputs!$J$9-Inputs!$I$9)))/Inputs!$K$9)^2)</f>
        <v/>
      </c>
      <c r="AD10" s="10" t="n"/>
      <c r="AE10" s="9">
        <f>A10</f>
        <v/>
      </c>
      <c r="AF10" s="9">
        <f>(((SQRT((Inputs!$C$52+((Inputs!$H$6+Inputs!$L$6*(((Inputs!$I$6+(((A10)+1)/2)*(Inputs!$J$6-Inputs!$I$6)))/Inputs!$K$6)^2)))^2+Inputs!$C$52^2-2*(Inputs!$C$52+((Inputs!$H$6+Inputs!$L$6*(((Inputs!$I$6+(((A10)+1)/2)*(Inputs!$J$6-Inputs!$I$6)))/Inputs!$K$6)^2)))*Inputs!$C$52*COS(SQRT(((Inputs!$I$6+(((A10)+1)/2)*(Inputs!$J$6-Inputs!$I$6)))^2+Inputs!$C$6^2)/Inputs!$C$52)))-((Inputs!$H$6+Inputs!$L$6*(((Inputs!$I$6+(((A10)+1)/2)*(Inputs!$J$6-Inputs!$I$6)))/Inputs!$K$6)^2)))*1000/Inputs!$C$12)</f>
        <v/>
      </c>
      <c r="AG10" s="9">
        <f>(((SQRT((Inputs!$C$52+((Inputs!$H$7+Inputs!$L$7*(((Inputs!$I$7+(((A10)+1)/2)*(Inputs!$J$7-Inputs!$I$7)))/Inputs!$K$7)^2)))^2+Inputs!$C$52^2-2*(Inputs!$C$52+((Inputs!$H$7+Inputs!$L$7*(((Inputs!$I$7+(((A10)+1)/2)*(Inputs!$J$7-Inputs!$I$7)))/Inputs!$K$7)^2)))*Inputs!$C$52*COS(SQRT(((Inputs!$I$7+(((A10)+1)/2)*(Inputs!$J$7-Inputs!$I$7)))^2+Inputs!$C$6^2)/Inputs!$C$52)))-((Inputs!$H$7+Inputs!$L$7*(((Inputs!$I$7+(((A10)+1)/2)*(Inputs!$J$7-Inputs!$I$7)))/Inputs!$K$7)^2)))*1000/Inputs!$C$12)</f>
        <v/>
      </c>
      <c r="AH10" s="9">
        <f>(((SQRT((Inputs!$C$52+((Inputs!$H$8+Inputs!$L$8*(((Inputs!$I$8+(((A10)+1)/2)*(Inputs!$J$8-Inputs!$I$8)))/Inputs!$K$8)^2)))^2+Inputs!$C$52^2-2*(Inputs!$C$52+((Inputs!$H$8+Inputs!$L$8*(((Inputs!$I$8+(((A10)+1)/2)*(Inputs!$J$8-Inputs!$I$8)))/Inputs!$K$8)^2)))*Inputs!$C$52*COS(SQRT(((Inputs!$I$8+(((A10)+1)/2)*(Inputs!$J$8-Inputs!$I$8)))^2+Inputs!$C$6^2)/Inputs!$C$52)))-((Inputs!$H$8+Inputs!$L$8*(((Inputs!$I$8+(((A10)+1)/2)*(Inputs!$J$8-Inputs!$I$8)))/Inputs!$K$8)^2)))*1000/Inputs!$C$12)</f>
        <v/>
      </c>
      <c r="AI10" s="9">
        <f>(((SQRT((Inputs!$C$52+((Inputs!$H$9+Inputs!$L$9*(((Inputs!$I$9+(((A10)+1)/2)*(Inputs!$J$9-Inputs!$I$9)))/Inputs!$K$9)^2)))^2+Inputs!$C$52^2-2*(Inputs!$C$52+((Inputs!$H$9+Inputs!$L$9*(((Inputs!$I$9+(((A10)+1)/2)*(Inputs!$J$9-Inputs!$I$9)))/Inputs!$K$9)^2)))*Inputs!$C$52*COS(SQRT(((Inputs!$I$9+(((A10)+1)/2)*(Inputs!$J$9-Inputs!$I$9)))^2+Inputs!$C$6^2)/Inputs!$C$52)))-((Inputs!$H$9+Inputs!$L$9*(((Inputs!$I$9+(((A10)+1)/2)*(Inputs!$J$9-Inputs!$I$9)))/Inputs!$K$9)^2)))*1000/Inputs!$C$12)</f>
        <v/>
      </c>
      <c r="AJ10" s="10" t="n"/>
      <c r="AK10" s="9">
        <f>A10</f>
        <v/>
      </c>
      <c r="AL10" s="9">
        <f>(-2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f>
        <v/>
      </c>
      <c r="AM10" s="9">
        <f>(-2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f>
        <v/>
      </c>
      <c r="AN10" s="9">
        <f>(-2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f>
        <v/>
      </c>
      <c r="AO10" s="9">
        <f>(-2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f>
        <v/>
      </c>
      <c r="AP10" s="10" t="n"/>
      <c r="AQ10" s="9">
        <f>A10</f>
        <v/>
      </c>
      <c r="AR10" s="9">
        <f>0</f>
        <v/>
      </c>
      <c r="AS10" s="9">
        <f>IF(OR(Inputs!$F$6=TRUE,Inputs!$F$6="TRUE",Inputs!$F$6=1),IF(OR(Inputs!$C$27=TRUE,Inputs!$C$27="TRUE",Inputs!$C$27=1),1,0)*(Inputs!$C$51*(115*EXP(-(((Inputs!$C$6)-25)^2)/(4.5^2))+70*EXP(-(((Inputs!$C$6)+38)^2)/(7^2))*(0.55+0.45*SIN(2*PI()*((Inputs!$I$6+(((A10)+1)/2)*(Inputs!$J$6-Inputs!$I$6)))/45))+24*SIN(2*PI()*(Inputs!$C$6)/9+((Inputs!$I$6+(((A10)+1)/2)*(Inputs!$J$6-Inputs!$I$6)))/18)*EXP(-(((Inputs!$C$6)+5)^2)/(22^2))+18*SIN(2*PI()*((Inputs!$I$6+(((A10)+1)/2)*(Inputs!$J$6-Inputs!$I$6)))/70))+Inputs!$C$28*EXP(-((((Inputs!$I$6+(((A10)+1)/2)*(Inputs!$J$6-Inputs!$I$6)))-Inputs!$C$29)^2)/(2*Inputs!$C$31^2))*EXP(-(((Inputs!$C$6)-Inputs!$C$30)^2)/(2*Inputs!$C$32^2))+-Inputs!$C$33*EXP(-((((((Inputs!$I$6+(((A10)+1)/2)*(Inputs!$J$6-Inputs!$I$6)))-Inputs!$C$34)^2)+(((Inputs!$C$6)-Inputs!$C$35)^2))/(2*Inputs!$C$36^2)))+Inputs!$C$37*(0.55*SIN(2*PI()*((Inputs!$I$6+(((A10)+1)/2)*(Inputs!$J$6-Inputs!$I$6)))/Inputs!$C$39)+0.35*COS(2*PI()*(Inputs!$C$6)/Inputs!$C$40)+0.2*SIN(2*PI()*(((Inputs!$I$6+(((A10)+1)/2)*(Inputs!$J$6-Inputs!$I$6)))+(Inputs!$C$6))/(0.5*(Inputs!$C$39+Inputs!$C$40))))+Inputs!$C$38*SIN(2*PI()*((Inputs!$I$6+(((A10)+1)/2)*(Inputs!$J$6-Inputs!$I$6)))/Inputs!$C$39)*SIN(2*PI()*(Inputs!$C$6)/Inputs!$C$40)+-Inputs!$C$41*EXP(-(((Inputs!$C$6)-Inputs!$C$43)^2)/(2*Inputs!$C$44^2))*EXP(-((((Inputs!$I$6+(((A10)+1)/2)*(Inputs!$J$6-Inputs!$I$6)))-Inputs!$C$42)^2)/(2*Inputs!$C$45^2))+Inputs!$C$48*(0.7*(0.45*SIN(2*PI()*((((Inputs!$I$6+(((A10)+1)/2)*(Inputs!$J$6-Inputs!$I$6)))/Inputs!$C$49)+Inputs!$C$47*0.137))+0.35*COS(2*PI()*(((Inputs!$C$6)/Inputs!$C$50)+Inputs!$C$47*0.173))+0.2*SIN(2*PI()*((((Inputs!$I$6+(((A10)+1)/2)*(Inputs!$J$6-Inputs!$I$6)))+(Inputs!$C$6))/(0.5*(Inputs!$C$49+Inputs!$C$50))+Inputs!$C$47*0.097)))+0.3*(2*((SIN((((Inputs!$I$6+(((A10)+1)/2)*(Inputs!$J$6-Inputs!$I$6)))*12.9898+(Inputs!$C$6)*78.233+Inputs!$C$47*37.719))*43758.5453)-INT((SIN((((Inputs!$I$6+(((A10)+1)/2)*(Inputs!$J$6-Inputs!$I$6)))*12.9898+(Inputs!$C$6)*78.233+Inputs!$C$47*37.719))*43758.5453)))-1))),NA())</f>
        <v/>
      </c>
      <c r="AT10" s="9">
        <f>IF(OR(Inputs!$F$7=TRUE,Inputs!$F$7="TRUE",Inputs!$F$7=1),IF(OR(Inputs!$C$27=TRUE,Inputs!$C$27="TRUE",Inputs!$C$27=1),1,0)*(Inputs!$C$51*(115*EXP(-(((Inputs!$C$6)-25)^2)/(4.5^2))+70*EXP(-(((Inputs!$C$6)+38)^2)/(7^2))*(0.55+0.45*SIN(2*PI()*((Inputs!$I$7+(((A10)+1)/2)*(Inputs!$J$7-Inputs!$I$7)))/45))+24*SIN(2*PI()*(Inputs!$C$6)/9+((Inputs!$I$7+(((A10)+1)/2)*(Inputs!$J$7-Inputs!$I$7)))/18)*EXP(-(((Inputs!$C$6)+5)^2)/(22^2))+18*SIN(2*PI()*((Inputs!$I$7+(((A10)+1)/2)*(Inputs!$J$7-Inputs!$I$7)))/70))+Inputs!$C$28*EXP(-((((Inputs!$I$7+(((A10)+1)/2)*(Inputs!$J$7-Inputs!$I$7)))-Inputs!$C$29)^2)/(2*Inputs!$C$31^2))*EXP(-(((Inputs!$C$6)-Inputs!$C$30)^2)/(2*Inputs!$C$32^2))+-Inputs!$C$33*EXP(-((((((Inputs!$I$7+(((A10)+1)/2)*(Inputs!$J$7-Inputs!$I$7)))-Inputs!$C$34)^2)+(((Inputs!$C$6)-Inputs!$C$35)^2))/(2*Inputs!$C$36^2)))+Inputs!$C$37*(0.55*SIN(2*PI()*((Inputs!$I$7+(((A10)+1)/2)*(Inputs!$J$7-Inputs!$I$7)))/Inputs!$C$39)+0.35*COS(2*PI()*(Inputs!$C$6)/Inputs!$C$40)+0.2*SIN(2*PI()*(((Inputs!$I$7+(((A10)+1)/2)*(Inputs!$J$7-Inputs!$I$7)))+(Inputs!$C$6))/(0.5*(Inputs!$C$39+Inputs!$C$40))))+Inputs!$C$38*SIN(2*PI()*((Inputs!$I$7+(((A10)+1)/2)*(Inputs!$J$7-Inputs!$I$7)))/Inputs!$C$39)*SIN(2*PI()*(Inputs!$C$6)/Inputs!$C$40)+-Inputs!$C$41*EXP(-(((Inputs!$C$6)-Inputs!$C$43)^2)/(2*Inputs!$C$44^2))*EXP(-((((Inputs!$I$7+(((A10)+1)/2)*(Inputs!$J$7-Inputs!$I$7)))-Inputs!$C$42)^2)/(2*Inputs!$C$45^2))+Inputs!$C$48*(0.7*(0.45*SIN(2*PI()*((((Inputs!$I$7+(((A10)+1)/2)*(Inputs!$J$7-Inputs!$I$7)))/Inputs!$C$49)+Inputs!$C$47*0.137))+0.35*COS(2*PI()*(((Inputs!$C$6)/Inputs!$C$50)+Inputs!$C$47*0.173))+0.2*SIN(2*PI()*((((Inputs!$I$7+(((A10)+1)/2)*(Inputs!$J$7-Inputs!$I$7)))+(Inputs!$C$6))/(0.5*(Inputs!$C$49+Inputs!$C$50))+Inputs!$C$47*0.097)))+0.3*(2*((SIN((((Inputs!$I$7+(((A10)+1)/2)*(Inputs!$J$7-Inputs!$I$7)))*12.9898+(Inputs!$C$6)*78.233+Inputs!$C$47*37.719))*43758.5453)-INT((SIN((((Inputs!$I$7+(((A10)+1)/2)*(Inputs!$J$7-Inputs!$I$7)))*12.9898+(Inputs!$C$6)*78.233+Inputs!$C$47*37.719))*43758.5453)))-1))),NA())</f>
        <v/>
      </c>
      <c r="AU10" s="9">
        <f>IF(OR(Inputs!$F$8=TRUE,Inputs!$F$8="TRUE",Inputs!$F$8=1),IF(OR(Inputs!$C$27=TRUE,Inputs!$C$27="TRUE",Inputs!$C$27=1),1,0)*(Inputs!$C$51*(115*EXP(-(((Inputs!$C$6)-25)^2)/(4.5^2))+70*EXP(-(((Inputs!$C$6)+38)^2)/(7^2))*(0.55+0.45*SIN(2*PI()*((Inputs!$I$8+(((A10)+1)/2)*(Inputs!$J$8-Inputs!$I$8)))/45))+24*SIN(2*PI()*(Inputs!$C$6)/9+((Inputs!$I$8+(((A10)+1)/2)*(Inputs!$J$8-Inputs!$I$8)))/18)*EXP(-(((Inputs!$C$6)+5)^2)/(22^2))+18*SIN(2*PI()*((Inputs!$I$8+(((A10)+1)/2)*(Inputs!$J$8-Inputs!$I$8)))/70))+Inputs!$C$28*EXP(-((((Inputs!$I$8+(((A10)+1)/2)*(Inputs!$J$8-Inputs!$I$8)))-Inputs!$C$29)^2)/(2*Inputs!$C$31^2))*EXP(-(((Inputs!$C$6)-Inputs!$C$30)^2)/(2*Inputs!$C$32^2))+-Inputs!$C$33*EXP(-((((((Inputs!$I$8+(((A10)+1)/2)*(Inputs!$J$8-Inputs!$I$8)))-Inputs!$C$34)^2)+(((Inputs!$C$6)-Inputs!$C$35)^2))/(2*Inputs!$C$36^2)))+Inputs!$C$37*(0.55*SIN(2*PI()*((Inputs!$I$8+(((A10)+1)/2)*(Inputs!$J$8-Inputs!$I$8)))/Inputs!$C$39)+0.35*COS(2*PI()*(Inputs!$C$6)/Inputs!$C$40)+0.2*SIN(2*PI()*(((Inputs!$I$8+(((A10)+1)/2)*(Inputs!$J$8-Inputs!$I$8)))+(Inputs!$C$6))/(0.5*(Inputs!$C$39+Inputs!$C$40))))+Inputs!$C$38*SIN(2*PI()*((Inputs!$I$8+(((A10)+1)/2)*(Inputs!$J$8-Inputs!$I$8)))/Inputs!$C$39)*SIN(2*PI()*(Inputs!$C$6)/Inputs!$C$40)+-Inputs!$C$41*EXP(-(((Inputs!$C$6)-Inputs!$C$43)^2)/(2*Inputs!$C$44^2))*EXP(-((((Inputs!$I$8+(((A10)+1)/2)*(Inputs!$J$8-Inputs!$I$8)))-Inputs!$C$42)^2)/(2*Inputs!$C$45^2))+Inputs!$C$48*(0.7*(0.45*SIN(2*PI()*((((Inputs!$I$8+(((A10)+1)/2)*(Inputs!$J$8-Inputs!$I$8)))/Inputs!$C$49)+Inputs!$C$47*0.137))+0.35*COS(2*PI()*(((Inputs!$C$6)/Inputs!$C$50)+Inputs!$C$47*0.173))+0.2*SIN(2*PI()*((((Inputs!$I$8+(((A10)+1)/2)*(Inputs!$J$8-Inputs!$I$8)))+(Inputs!$C$6))/(0.5*(Inputs!$C$49+Inputs!$C$50))+Inputs!$C$47*0.097)))+0.3*(2*((SIN((((Inputs!$I$8+(((A10)+1)/2)*(Inputs!$J$8-Inputs!$I$8)))*12.9898+(Inputs!$C$6)*78.233+Inputs!$C$47*37.719))*43758.5453)-INT((SIN((((Inputs!$I$8+(((A10)+1)/2)*(Inputs!$J$8-Inputs!$I$8)))*12.9898+(Inputs!$C$6)*78.233+Inputs!$C$47*37.719))*43758.5453)))-1))),NA())</f>
        <v/>
      </c>
      <c r="AV10" s="9">
        <f>IF(OR(Inputs!$F$9=TRUE,Inputs!$F$9="TRUE",Inputs!$F$9=1),IF(OR(Inputs!$C$27=TRUE,Inputs!$C$27="TRUE",Inputs!$C$27=1),1,0)*(Inputs!$C$51*(115*EXP(-(((Inputs!$C$6)-25)^2)/(4.5^2))+70*EXP(-(((Inputs!$C$6)+38)^2)/(7^2))*(0.55+0.45*SIN(2*PI()*((Inputs!$I$9+(((A10)+1)/2)*(Inputs!$J$9-Inputs!$I$9)))/45))+24*SIN(2*PI()*(Inputs!$C$6)/9+((Inputs!$I$9+(((A10)+1)/2)*(Inputs!$J$9-Inputs!$I$9)))/18)*EXP(-(((Inputs!$C$6)+5)^2)/(22^2))+18*SIN(2*PI()*((Inputs!$I$9+(((A10)+1)/2)*(Inputs!$J$9-Inputs!$I$9)))/70))+Inputs!$C$28*EXP(-((((Inputs!$I$9+(((A10)+1)/2)*(Inputs!$J$9-Inputs!$I$9)))-Inputs!$C$29)^2)/(2*Inputs!$C$31^2))*EXP(-(((Inputs!$C$6)-Inputs!$C$30)^2)/(2*Inputs!$C$32^2))+-Inputs!$C$33*EXP(-((((((Inputs!$I$9+(((A10)+1)/2)*(Inputs!$J$9-Inputs!$I$9)))-Inputs!$C$34)^2)+(((Inputs!$C$6)-Inputs!$C$35)^2))/(2*Inputs!$C$36^2)))+Inputs!$C$37*(0.55*SIN(2*PI()*((Inputs!$I$9+(((A10)+1)/2)*(Inputs!$J$9-Inputs!$I$9)))/Inputs!$C$39)+0.35*COS(2*PI()*(Inputs!$C$6)/Inputs!$C$40)+0.2*SIN(2*PI()*(((Inputs!$I$9+(((A10)+1)/2)*(Inputs!$J$9-Inputs!$I$9)))+(Inputs!$C$6))/(0.5*(Inputs!$C$39+Inputs!$C$40))))+Inputs!$C$38*SIN(2*PI()*((Inputs!$I$9+(((A10)+1)/2)*(Inputs!$J$9-Inputs!$I$9)))/Inputs!$C$39)*SIN(2*PI()*(Inputs!$C$6)/Inputs!$C$40)+-Inputs!$C$41*EXP(-(((Inputs!$C$6)-Inputs!$C$43)^2)/(2*Inputs!$C$44^2))*EXP(-((((Inputs!$I$9+(((A10)+1)/2)*(Inputs!$J$9-Inputs!$I$9)))-Inputs!$C$42)^2)/(2*Inputs!$C$45^2))+Inputs!$C$48*(0.7*(0.45*SIN(2*PI()*((((Inputs!$I$9+(((A10)+1)/2)*(Inputs!$J$9-Inputs!$I$9)))/Inputs!$C$49)+Inputs!$C$47*0.137))+0.35*COS(2*PI()*(((Inputs!$C$6)/Inputs!$C$50)+Inputs!$C$47*0.173))+0.2*SIN(2*PI()*((((Inputs!$I$9+(((A10)+1)/2)*(Inputs!$J$9-Inputs!$I$9)))+(Inputs!$C$6))/(0.5*(Inputs!$C$49+Inputs!$C$50))+Inputs!$C$47*0.097)))+0.3*(2*((SIN((((Inputs!$I$9+(((A10)+1)/2)*(Inputs!$J$9-Inputs!$I$9)))*12.9898+(Inputs!$C$6)*78.233+Inputs!$C$47*37.719))*43758.5453)-INT((SIN((((Inputs!$I$9+(((A10)+1)/2)*(Inputs!$J$9-Inputs!$I$9)))*12.9898+(Inputs!$C$6)*78.233+Inputs!$C$47*37.719))*43758.5453)))-1))),NA())</f>
        <v/>
      </c>
      <c r="AW10" s="10" t="n"/>
      <c r="AX10" s="9">
        <f>A10</f>
        <v/>
      </c>
      <c r="AY10" s="9">
        <f>0</f>
        <v/>
      </c>
      <c r="AZ10" s="9">
        <f>IF(OR(Inputs!$F$6=TRUE,Inputs!$F$6="TRUE",Inputs!$F$6=1),(Inputs!$H$6+Inputs!$L$6*(((Inputs!$I$6+(((A10)+1)/2)*(Inputs!$J$6-Inputs!$I$6)))/Inputs!$K$6)^2),NA())</f>
        <v/>
      </c>
      <c r="BA10" s="9">
        <f>IF(OR(Inputs!$F$7=TRUE,Inputs!$F$7="TRUE",Inputs!$F$7=1),(Inputs!$H$7+Inputs!$L$7*(((Inputs!$I$7+(((A10)+1)/2)*(Inputs!$J$7-Inputs!$I$7)))/Inputs!$K$7)^2),NA())</f>
        <v/>
      </c>
      <c r="BB10" s="9">
        <f>IF(OR(Inputs!$F$8=TRUE,Inputs!$F$8="TRUE",Inputs!$F$8=1),(Inputs!$H$8+Inputs!$L$8*(((Inputs!$I$8+(((A10)+1)/2)*(Inputs!$J$8-Inputs!$I$8)))/Inputs!$K$8)^2),NA())</f>
        <v/>
      </c>
      <c r="BC10" s="9">
        <f>IF(OR(Inputs!$F$9=TRUE,Inputs!$F$9="TRUE",Inputs!$F$9=1),(Inputs!$H$9+Inputs!$L$9*(((Inputs!$I$9+(((A10)+1)/2)*(Inputs!$J$9-Inputs!$I$9)))/Inputs!$K$9)^2),NA())</f>
        <v/>
      </c>
      <c r="BD10" s="10" t="n"/>
      <c r="BE10" s="9">
        <f>A10</f>
        <v/>
      </c>
      <c r="BF10" s="9">
        <f>0</f>
        <v/>
      </c>
      <c r="BG10" s="9">
        <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f>
        <v/>
      </c>
      <c r="BH10" s="9">
        <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f>
        <v/>
      </c>
      <c r="BI10" s="9">
        <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f>
        <v/>
      </c>
      <c r="BJ10" s="9">
        <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f>
        <v/>
      </c>
    </row>
    <row r="11">
      <c r="A11" s="9">
        <f>ROUND(-1+9*2/240,3)</f>
        <v/>
      </c>
      <c r="B11" s="9">
        <f>IF(OR(Inputs!$F$6=TRUE,Inputs!$F$6="TRUE",Inputs!$F$6=1),(Inputs!$H$6+Inputs!$L$6*(((Inputs!$I$6+(((A11)+1)/2)*(Inputs!$J$6-Inputs!$I$6)))/Inputs!$K$6)^2),NA())</f>
        <v/>
      </c>
      <c r="C11" s="9">
        <f>IF(OR(Inputs!$F$7=TRUE,Inputs!$F$7="TRUE",Inputs!$F$7=1),(Inputs!$H$7+Inputs!$L$7*(((Inputs!$I$7+(((A11)+1)/2)*(Inputs!$J$7-Inputs!$I$7)))/Inputs!$K$7)^2),NA())</f>
        <v/>
      </c>
      <c r="D11" s="9">
        <f>IF(OR(Inputs!$F$8=TRUE,Inputs!$F$8="TRUE",Inputs!$F$8=1),(Inputs!$H$8+Inputs!$L$8*(((Inputs!$I$8+(((A11)+1)/2)*(Inputs!$J$8-Inputs!$I$8)))/Inputs!$K$8)^2),NA())</f>
        <v/>
      </c>
      <c r="E11" s="9">
        <f>IF(OR(Inputs!$F$9=TRUE,Inputs!$F$9="TRUE",Inputs!$F$9=1),(Inputs!$H$9+Inputs!$L$9*(((Inputs!$I$9+(((A11)+1)/2)*(Inputs!$J$9-Inputs!$I$9)))/Inputs!$K$9)^2),NA())</f>
        <v/>
      </c>
      <c r="F11" s="10" t="n"/>
      <c r="G11" s="9">
        <f>A11</f>
        <v/>
      </c>
      <c r="H11" s="9">
        <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f>
        <v/>
      </c>
      <c r="I11" s="9">
        <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f>
        <v/>
      </c>
      <c r="J11" s="9">
        <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f>
        <v/>
      </c>
      <c r="K11" s="9">
        <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f>
        <v/>
      </c>
      <c r="L11" s="10" t="n"/>
      <c r="M11" s="9">
        <f>A11</f>
        <v/>
      </c>
      <c r="N11" s="9">
        <f>IF(OR(Inputs!$F$6=TRUE,Inputs!$F$6="TRUE",Inputs!$F$6=1),(-2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NA())</f>
        <v/>
      </c>
      <c r="O11" s="9">
        <f>IF(OR(Inputs!$F$7=TRUE,Inputs!$F$7="TRUE",Inputs!$F$7=1),(-2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NA())</f>
        <v/>
      </c>
      <c r="P11" s="9">
        <f>IF(OR(Inputs!$F$8=TRUE,Inputs!$F$8="TRUE",Inputs!$F$8=1),(-2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NA())</f>
        <v/>
      </c>
      <c r="Q11" s="9">
        <f>IF(OR(Inputs!$F$9=TRUE,Inputs!$F$9="TRUE",Inputs!$F$9=1),(-2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NA())</f>
        <v/>
      </c>
      <c r="R11" s="10" t="n"/>
      <c r="S11" s="9">
        <f>A11</f>
        <v/>
      </c>
      <c r="T11" s="9">
        <f>(Inputs!$I$6+(((A11)+1)/2)*(Inputs!$J$6-Inputs!$I$6))</f>
        <v/>
      </c>
      <c r="U11" s="9">
        <f>(Inputs!$I$7+(((A11)+1)/2)*(Inputs!$J$7-Inputs!$I$7))</f>
        <v/>
      </c>
      <c r="V11" s="9">
        <f>(Inputs!$I$8+(((A11)+1)/2)*(Inputs!$J$8-Inputs!$I$8))</f>
        <v/>
      </c>
      <c r="W11" s="9">
        <f>(Inputs!$I$9+(((A11)+1)/2)*(Inputs!$J$9-Inputs!$I$9))</f>
        <v/>
      </c>
      <c r="X11" s="10" t="n"/>
      <c r="Y11" s="9">
        <f>A11</f>
        <v/>
      </c>
      <c r="Z11" s="9">
        <f>(Inputs!$H$6+Inputs!$L$6*(((Inputs!$I$6+(((A11)+1)/2)*(Inputs!$J$6-Inputs!$I$6)))/Inputs!$K$6)^2)</f>
        <v/>
      </c>
      <c r="AA11" s="9">
        <f>(Inputs!$H$7+Inputs!$L$7*(((Inputs!$I$7+(((A11)+1)/2)*(Inputs!$J$7-Inputs!$I$7)))/Inputs!$K$7)^2)</f>
        <v/>
      </c>
      <c r="AB11" s="9">
        <f>(Inputs!$H$8+Inputs!$L$8*(((Inputs!$I$8+(((A11)+1)/2)*(Inputs!$J$8-Inputs!$I$8)))/Inputs!$K$8)^2)</f>
        <v/>
      </c>
      <c r="AC11" s="9">
        <f>(Inputs!$H$9+Inputs!$L$9*(((Inputs!$I$9+(((A11)+1)/2)*(Inputs!$J$9-Inputs!$I$9)))/Inputs!$K$9)^2)</f>
        <v/>
      </c>
      <c r="AD11" s="10" t="n"/>
      <c r="AE11" s="9">
        <f>A11</f>
        <v/>
      </c>
      <c r="AF11" s="9">
        <f>(((SQRT((Inputs!$C$52+((Inputs!$H$6+Inputs!$L$6*(((Inputs!$I$6+(((A11)+1)/2)*(Inputs!$J$6-Inputs!$I$6)))/Inputs!$K$6)^2)))^2+Inputs!$C$52^2-2*(Inputs!$C$52+((Inputs!$H$6+Inputs!$L$6*(((Inputs!$I$6+(((A11)+1)/2)*(Inputs!$J$6-Inputs!$I$6)))/Inputs!$K$6)^2)))*Inputs!$C$52*COS(SQRT(((Inputs!$I$6+(((A11)+1)/2)*(Inputs!$J$6-Inputs!$I$6)))^2+Inputs!$C$6^2)/Inputs!$C$52)))-((Inputs!$H$6+Inputs!$L$6*(((Inputs!$I$6+(((A11)+1)/2)*(Inputs!$J$6-Inputs!$I$6)))/Inputs!$K$6)^2)))*1000/Inputs!$C$12)</f>
        <v/>
      </c>
      <c r="AG11" s="9">
        <f>(((SQRT((Inputs!$C$52+((Inputs!$H$7+Inputs!$L$7*(((Inputs!$I$7+(((A11)+1)/2)*(Inputs!$J$7-Inputs!$I$7)))/Inputs!$K$7)^2)))^2+Inputs!$C$52^2-2*(Inputs!$C$52+((Inputs!$H$7+Inputs!$L$7*(((Inputs!$I$7+(((A11)+1)/2)*(Inputs!$J$7-Inputs!$I$7)))/Inputs!$K$7)^2)))*Inputs!$C$52*COS(SQRT(((Inputs!$I$7+(((A11)+1)/2)*(Inputs!$J$7-Inputs!$I$7)))^2+Inputs!$C$6^2)/Inputs!$C$52)))-((Inputs!$H$7+Inputs!$L$7*(((Inputs!$I$7+(((A11)+1)/2)*(Inputs!$J$7-Inputs!$I$7)))/Inputs!$K$7)^2)))*1000/Inputs!$C$12)</f>
        <v/>
      </c>
      <c r="AH11" s="9">
        <f>(((SQRT((Inputs!$C$52+((Inputs!$H$8+Inputs!$L$8*(((Inputs!$I$8+(((A11)+1)/2)*(Inputs!$J$8-Inputs!$I$8)))/Inputs!$K$8)^2)))^2+Inputs!$C$52^2-2*(Inputs!$C$52+((Inputs!$H$8+Inputs!$L$8*(((Inputs!$I$8+(((A11)+1)/2)*(Inputs!$J$8-Inputs!$I$8)))/Inputs!$K$8)^2)))*Inputs!$C$52*COS(SQRT(((Inputs!$I$8+(((A11)+1)/2)*(Inputs!$J$8-Inputs!$I$8)))^2+Inputs!$C$6^2)/Inputs!$C$52)))-((Inputs!$H$8+Inputs!$L$8*(((Inputs!$I$8+(((A11)+1)/2)*(Inputs!$J$8-Inputs!$I$8)))/Inputs!$K$8)^2)))*1000/Inputs!$C$12)</f>
        <v/>
      </c>
      <c r="AI11" s="9">
        <f>(((SQRT((Inputs!$C$52+((Inputs!$H$9+Inputs!$L$9*(((Inputs!$I$9+(((A11)+1)/2)*(Inputs!$J$9-Inputs!$I$9)))/Inputs!$K$9)^2)))^2+Inputs!$C$52^2-2*(Inputs!$C$52+((Inputs!$H$9+Inputs!$L$9*(((Inputs!$I$9+(((A11)+1)/2)*(Inputs!$J$9-Inputs!$I$9)))/Inputs!$K$9)^2)))*Inputs!$C$52*COS(SQRT(((Inputs!$I$9+(((A11)+1)/2)*(Inputs!$J$9-Inputs!$I$9)))^2+Inputs!$C$6^2)/Inputs!$C$52)))-((Inputs!$H$9+Inputs!$L$9*(((Inputs!$I$9+(((A11)+1)/2)*(Inputs!$J$9-Inputs!$I$9)))/Inputs!$K$9)^2)))*1000/Inputs!$C$12)</f>
        <v/>
      </c>
      <c r="AJ11" s="10" t="n"/>
      <c r="AK11" s="9">
        <f>A11</f>
        <v/>
      </c>
      <c r="AL11" s="9">
        <f>(-2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f>
        <v/>
      </c>
      <c r="AM11" s="9">
        <f>(-2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f>
        <v/>
      </c>
      <c r="AN11" s="9">
        <f>(-2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f>
        <v/>
      </c>
      <c r="AO11" s="9">
        <f>(-2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f>
        <v/>
      </c>
      <c r="AP11" s="10" t="n"/>
      <c r="AQ11" s="9">
        <f>A11</f>
        <v/>
      </c>
      <c r="AR11" s="9">
        <f>0</f>
        <v/>
      </c>
      <c r="AS11" s="9">
        <f>IF(OR(Inputs!$F$6=TRUE,Inputs!$F$6="TRUE",Inputs!$F$6=1),IF(OR(Inputs!$C$27=TRUE,Inputs!$C$27="TRUE",Inputs!$C$27=1),1,0)*(Inputs!$C$51*(115*EXP(-(((Inputs!$C$6)-25)^2)/(4.5^2))+70*EXP(-(((Inputs!$C$6)+38)^2)/(7^2))*(0.55+0.45*SIN(2*PI()*((Inputs!$I$6+(((A11)+1)/2)*(Inputs!$J$6-Inputs!$I$6)))/45))+24*SIN(2*PI()*(Inputs!$C$6)/9+((Inputs!$I$6+(((A11)+1)/2)*(Inputs!$J$6-Inputs!$I$6)))/18)*EXP(-(((Inputs!$C$6)+5)^2)/(22^2))+18*SIN(2*PI()*((Inputs!$I$6+(((A11)+1)/2)*(Inputs!$J$6-Inputs!$I$6)))/70))+Inputs!$C$28*EXP(-((((Inputs!$I$6+(((A11)+1)/2)*(Inputs!$J$6-Inputs!$I$6)))-Inputs!$C$29)^2)/(2*Inputs!$C$31^2))*EXP(-(((Inputs!$C$6)-Inputs!$C$30)^2)/(2*Inputs!$C$32^2))+-Inputs!$C$33*EXP(-((((((Inputs!$I$6+(((A11)+1)/2)*(Inputs!$J$6-Inputs!$I$6)))-Inputs!$C$34)^2)+(((Inputs!$C$6)-Inputs!$C$35)^2))/(2*Inputs!$C$36^2)))+Inputs!$C$37*(0.55*SIN(2*PI()*((Inputs!$I$6+(((A11)+1)/2)*(Inputs!$J$6-Inputs!$I$6)))/Inputs!$C$39)+0.35*COS(2*PI()*(Inputs!$C$6)/Inputs!$C$40)+0.2*SIN(2*PI()*(((Inputs!$I$6+(((A11)+1)/2)*(Inputs!$J$6-Inputs!$I$6)))+(Inputs!$C$6))/(0.5*(Inputs!$C$39+Inputs!$C$40))))+Inputs!$C$38*SIN(2*PI()*((Inputs!$I$6+(((A11)+1)/2)*(Inputs!$J$6-Inputs!$I$6)))/Inputs!$C$39)*SIN(2*PI()*(Inputs!$C$6)/Inputs!$C$40)+-Inputs!$C$41*EXP(-(((Inputs!$C$6)-Inputs!$C$43)^2)/(2*Inputs!$C$44^2))*EXP(-((((Inputs!$I$6+(((A11)+1)/2)*(Inputs!$J$6-Inputs!$I$6)))-Inputs!$C$42)^2)/(2*Inputs!$C$45^2))+Inputs!$C$48*(0.7*(0.45*SIN(2*PI()*((((Inputs!$I$6+(((A11)+1)/2)*(Inputs!$J$6-Inputs!$I$6)))/Inputs!$C$49)+Inputs!$C$47*0.137))+0.35*COS(2*PI()*(((Inputs!$C$6)/Inputs!$C$50)+Inputs!$C$47*0.173))+0.2*SIN(2*PI()*((((Inputs!$I$6+(((A11)+1)/2)*(Inputs!$J$6-Inputs!$I$6)))+(Inputs!$C$6))/(0.5*(Inputs!$C$49+Inputs!$C$50))+Inputs!$C$47*0.097)))+0.3*(2*((SIN((((Inputs!$I$6+(((A11)+1)/2)*(Inputs!$J$6-Inputs!$I$6)))*12.9898+(Inputs!$C$6)*78.233+Inputs!$C$47*37.719))*43758.5453)-INT((SIN((((Inputs!$I$6+(((A11)+1)/2)*(Inputs!$J$6-Inputs!$I$6)))*12.9898+(Inputs!$C$6)*78.233+Inputs!$C$47*37.719))*43758.5453)))-1))),NA())</f>
        <v/>
      </c>
      <c r="AT11" s="9">
        <f>IF(OR(Inputs!$F$7=TRUE,Inputs!$F$7="TRUE",Inputs!$F$7=1),IF(OR(Inputs!$C$27=TRUE,Inputs!$C$27="TRUE",Inputs!$C$27=1),1,0)*(Inputs!$C$51*(115*EXP(-(((Inputs!$C$6)-25)^2)/(4.5^2))+70*EXP(-(((Inputs!$C$6)+38)^2)/(7^2))*(0.55+0.45*SIN(2*PI()*((Inputs!$I$7+(((A11)+1)/2)*(Inputs!$J$7-Inputs!$I$7)))/45))+24*SIN(2*PI()*(Inputs!$C$6)/9+((Inputs!$I$7+(((A11)+1)/2)*(Inputs!$J$7-Inputs!$I$7)))/18)*EXP(-(((Inputs!$C$6)+5)^2)/(22^2))+18*SIN(2*PI()*((Inputs!$I$7+(((A11)+1)/2)*(Inputs!$J$7-Inputs!$I$7)))/70))+Inputs!$C$28*EXP(-((((Inputs!$I$7+(((A11)+1)/2)*(Inputs!$J$7-Inputs!$I$7)))-Inputs!$C$29)^2)/(2*Inputs!$C$31^2))*EXP(-(((Inputs!$C$6)-Inputs!$C$30)^2)/(2*Inputs!$C$32^2))+-Inputs!$C$33*EXP(-((((((Inputs!$I$7+(((A11)+1)/2)*(Inputs!$J$7-Inputs!$I$7)))-Inputs!$C$34)^2)+(((Inputs!$C$6)-Inputs!$C$35)^2))/(2*Inputs!$C$36^2)))+Inputs!$C$37*(0.55*SIN(2*PI()*((Inputs!$I$7+(((A11)+1)/2)*(Inputs!$J$7-Inputs!$I$7)))/Inputs!$C$39)+0.35*COS(2*PI()*(Inputs!$C$6)/Inputs!$C$40)+0.2*SIN(2*PI()*(((Inputs!$I$7+(((A11)+1)/2)*(Inputs!$J$7-Inputs!$I$7)))+(Inputs!$C$6))/(0.5*(Inputs!$C$39+Inputs!$C$40))))+Inputs!$C$38*SIN(2*PI()*((Inputs!$I$7+(((A11)+1)/2)*(Inputs!$J$7-Inputs!$I$7)))/Inputs!$C$39)*SIN(2*PI()*(Inputs!$C$6)/Inputs!$C$40)+-Inputs!$C$41*EXP(-(((Inputs!$C$6)-Inputs!$C$43)^2)/(2*Inputs!$C$44^2))*EXP(-((((Inputs!$I$7+(((A11)+1)/2)*(Inputs!$J$7-Inputs!$I$7)))-Inputs!$C$42)^2)/(2*Inputs!$C$45^2))+Inputs!$C$48*(0.7*(0.45*SIN(2*PI()*((((Inputs!$I$7+(((A11)+1)/2)*(Inputs!$J$7-Inputs!$I$7)))/Inputs!$C$49)+Inputs!$C$47*0.137))+0.35*COS(2*PI()*(((Inputs!$C$6)/Inputs!$C$50)+Inputs!$C$47*0.173))+0.2*SIN(2*PI()*((((Inputs!$I$7+(((A11)+1)/2)*(Inputs!$J$7-Inputs!$I$7)))+(Inputs!$C$6))/(0.5*(Inputs!$C$49+Inputs!$C$50))+Inputs!$C$47*0.097)))+0.3*(2*((SIN((((Inputs!$I$7+(((A11)+1)/2)*(Inputs!$J$7-Inputs!$I$7)))*12.9898+(Inputs!$C$6)*78.233+Inputs!$C$47*37.719))*43758.5453)-INT((SIN((((Inputs!$I$7+(((A11)+1)/2)*(Inputs!$J$7-Inputs!$I$7)))*12.9898+(Inputs!$C$6)*78.233+Inputs!$C$47*37.719))*43758.5453)))-1))),NA())</f>
        <v/>
      </c>
      <c r="AU11" s="9">
        <f>IF(OR(Inputs!$F$8=TRUE,Inputs!$F$8="TRUE",Inputs!$F$8=1),IF(OR(Inputs!$C$27=TRUE,Inputs!$C$27="TRUE",Inputs!$C$27=1),1,0)*(Inputs!$C$51*(115*EXP(-(((Inputs!$C$6)-25)^2)/(4.5^2))+70*EXP(-(((Inputs!$C$6)+38)^2)/(7^2))*(0.55+0.45*SIN(2*PI()*((Inputs!$I$8+(((A11)+1)/2)*(Inputs!$J$8-Inputs!$I$8)))/45))+24*SIN(2*PI()*(Inputs!$C$6)/9+((Inputs!$I$8+(((A11)+1)/2)*(Inputs!$J$8-Inputs!$I$8)))/18)*EXP(-(((Inputs!$C$6)+5)^2)/(22^2))+18*SIN(2*PI()*((Inputs!$I$8+(((A11)+1)/2)*(Inputs!$J$8-Inputs!$I$8)))/70))+Inputs!$C$28*EXP(-((((Inputs!$I$8+(((A11)+1)/2)*(Inputs!$J$8-Inputs!$I$8)))-Inputs!$C$29)^2)/(2*Inputs!$C$31^2))*EXP(-(((Inputs!$C$6)-Inputs!$C$30)^2)/(2*Inputs!$C$32^2))+-Inputs!$C$33*EXP(-((((((Inputs!$I$8+(((A11)+1)/2)*(Inputs!$J$8-Inputs!$I$8)))-Inputs!$C$34)^2)+(((Inputs!$C$6)-Inputs!$C$35)^2))/(2*Inputs!$C$36^2)))+Inputs!$C$37*(0.55*SIN(2*PI()*((Inputs!$I$8+(((A11)+1)/2)*(Inputs!$J$8-Inputs!$I$8)))/Inputs!$C$39)+0.35*COS(2*PI()*(Inputs!$C$6)/Inputs!$C$40)+0.2*SIN(2*PI()*(((Inputs!$I$8+(((A11)+1)/2)*(Inputs!$J$8-Inputs!$I$8)))+(Inputs!$C$6))/(0.5*(Inputs!$C$39+Inputs!$C$40))))+Inputs!$C$38*SIN(2*PI()*((Inputs!$I$8+(((A11)+1)/2)*(Inputs!$J$8-Inputs!$I$8)))/Inputs!$C$39)*SIN(2*PI()*(Inputs!$C$6)/Inputs!$C$40)+-Inputs!$C$41*EXP(-(((Inputs!$C$6)-Inputs!$C$43)^2)/(2*Inputs!$C$44^2))*EXP(-((((Inputs!$I$8+(((A11)+1)/2)*(Inputs!$J$8-Inputs!$I$8)))-Inputs!$C$42)^2)/(2*Inputs!$C$45^2))+Inputs!$C$48*(0.7*(0.45*SIN(2*PI()*((((Inputs!$I$8+(((A11)+1)/2)*(Inputs!$J$8-Inputs!$I$8)))/Inputs!$C$49)+Inputs!$C$47*0.137))+0.35*COS(2*PI()*(((Inputs!$C$6)/Inputs!$C$50)+Inputs!$C$47*0.173))+0.2*SIN(2*PI()*((((Inputs!$I$8+(((A11)+1)/2)*(Inputs!$J$8-Inputs!$I$8)))+(Inputs!$C$6))/(0.5*(Inputs!$C$49+Inputs!$C$50))+Inputs!$C$47*0.097)))+0.3*(2*((SIN((((Inputs!$I$8+(((A11)+1)/2)*(Inputs!$J$8-Inputs!$I$8)))*12.9898+(Inputs!$C$6)*78.233+Inputs!$C$47*37.719))*43758.5453)-INT((SIN((((Inputs!$I$8+(((A11)+1)/2)*(Inputs!$J$8-Inputs!$I$8)))*12.9898+(Inputs!$C$6)*78.233+Inputs!$C$47*37.719))*43758.5453)))-1))),NA())</f>
        <v/>
      </c>
      <c r="AV11" s="9">
        <f>IF(OR(Inputs!$F$9=TRUE,Inputs!$F$9="TRUE",Inputs!$F$9=1),IF(OR(Inputs!$C$27=TRUE,Inputs!$C$27="TRUE",Inputs!$C$27=1),1,0)*(Inputs!$C$51*(115*EXP(-(((Inputs!$C$6)-25)^2)/(4.5^2))+70*EXP(-(((Inputs!$C$6)+38)^2)/(7^2))*(0.55+0.45*SIN(2*PI()*((Inputs!$I$9+(((A11)+1)/2)*(Inputs!$J$9-Inputs!$I$9)))/45))+24*SIN(2*PI()*(Inputs!$C$6)/9+((Inputs!$I$9+(((A11)+1)/2)*(Inputs!$J$9-Inputs!$I$9)))/18)*EXP(-(((Inputs!$C$6)+5)^2)/(22^2))+18*SIN(2*PI()*((Inputs!$I$9+(((A11)+1)/2)*(Inputs!$J$9-Inputs!$I$9)))/70))+Inputs!$C$28*EXP(-((((Inputs!$I$9+(((A11)+1)/2)*(Inputs!$J$9-Inputs!$I$9)))-Inputs!$C$29)^2)/(2*Inputs!$C$31^2))*EXP(-(((Inputs!$C$6)-Inputs!$C$30)^2)/(2*Inputs!$C$32^2))+-Inputs!$C$33*EXP(-((((((Inputs!$I$9+(((A11)+1)/2)*(Inputs!$J$9-Inputs!$I$9)))-Inputs!$C$34)^2)+(((Inputs!$C$6)-Inputs!$C$35)^2))/(2*Inputs!$C$36^2)))+Inputs!$C$37*(0.55*SIN(2*PI()*((Inputs!$I$9+(((A11)+1)/2)*(Inputs!$J$9-Inputs!$I$9)))/Inputs!$C$39)+0.35*COS(2*PI()*(Inputs!$C$6)/Inputs!$C$40)+0.2*SIN(2*PI()*(((Inputs!$I$9+(((A11)+1)/2)*(Inputs!$J$9-Inputs!$I$9)))+(Inputs!$C$6))/(0.5*(Inputs!$C$39+Inputs!$C$40))))+Inputs!$C$38*SIN(2*PI()*((Inputs!$I$9+(((A11)+1)/2)*(Inputs!$J$9-Inputs!$I$9)))/Inputs!$C$39)*SIN(2*PI()*(Inputs!$C$6)/Inputs!$C$40)+-Inputs!$C$41*EXP(-(((Inputs!$C$6)-Inputs!$C$43)^2)/(2*Inputs!$C$44^2))*EXP(-((((Inputs!$I$9+(((A11)+1)/2)*(Inputs!$J$9-Inputs!$I$9)))-Inputs!$C$42)^2)/(2*Inputs!$C$45^2))+Inputs!$C$48*(0.7*(0.45*SIN(2*PI()*((((Inputs!$I$9+(((A11)+1)/2)*(Inputs!$J$9-Inputs!$I$9)))/Inputs!$C$49)+Inputs!$C$47*0.137))+0.35*COS(2*PI()*(((Inputs!$C$6)/Inputs!$C$50)+Inputs!$C$47*0.173))+0.2*SIN(2*PI()*((((Inputs!$I$9+(((A11)+1)/2)*(Inputs!$J$9-Inputs!$I$9)))+(Inputs!$C$6))/(0.5*(Inputs!$C$49+Inputs!$C$50))+Inputs!$C$47*0.097)))+0.3*(2*((SIN((((Inputs!$I$9+(((A11)+1)/2)*(Inputs!$J$9-Inputs!$I$9)))*12.9898+(Inputs!$C$6)*78.233+Inputs!$C$47*37.719))*43758.5453)-INT((SIN((((Inputs!$I$9+(((A11)+1)/2)*(Inputs!$J$9-Inputs!$I$9)))*12.9898+(Inputs!$C$6)*78.233+Inputs!$C$47*37.719))*43758.5453)))-1))),NA())</f>
        <v/>
      </c>
      <c r="AW11" s="10" t="n"/>
      <c r="AX11" s="9">
        <f>A11</f>
        <v/>
      </c>
      <c r="AY11" s="9">
        <f>0</f>
        <v/>
      </c>
      <c r="AZ11" s="9">
        <f>IF(OR(Inputs!$F$6=TRUE,Inputs!$F$6="TRUE",Inputs!$F$6=1),(Inputs!$H$6+Inputs!$L$6*(((Inputs!$I$6+(((A11)+1)/2)*(Inputs!$J$6-Inputs!$I$6)))/Inputs!$K$6)^2),NA())</f>
        <v/>
      </c>
      <c r="BA11" s="9">
        <f>IF(OR(Inputs!$F$7=TRUE,Inputs!$F$7="TRUE",Inputs!$F$7=1),(Inputs!$H$7+Inputs!$L$7*(((Inputs!$I$7+(((A11)+1)/2)*(Inputs!$J$7-Inputs!$I$7)))/Inputs!$K$7)^2),NA())</f>
        <v/>
      </c>
      <c r="BB11" s="9">
        <f>IF(OR(Inputs!$F$8=TRUE,Inputs!$F$8="TRUE",Inputs!$F$8=1),(Inputs!$H$8+Inputs!$L$8*(((Inputs!$I$8+(((A11)+1)/2)*(Inputs!$J$8-Inputs!$I$8)))/Inputs!$K$8)^2),NA())</f>
        <v/>
      </c>
      <c r="BC11" s="9">
        <f>IF(OR(Inputs!$F$9=TRUE,Inputs!$F$9="TRUE",Inputs!$F$9=1),(Inputs!$H$9+Inputs!$L$9*(((Inputs!$I$9+(((A11)+1)/2)*(Inputs!$J$9-Inputs!$I$9)))/Inputs!$K$9)^2),NA())</f>
        <v/>
      </c>
      <c r="BD11" s="10" t="n"/>
      <c r="BE11" s="9">
        <f>A11</f>
        <v/>
      </c>
      <c r="BF11" s="9">
        <f>0</f>
        <v/>
      </c>
      <c r="BG11" s="9">
        <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f>
        <v/>
      </c>
      <c r="BH11" s="9">
        <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f>
        <v/>
      </c>
      <c r="BI11" s="9">
        <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f>
        <v/>
      </c>
      <c r="BJ11" s="9">
        <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f>
        <v/>
      </c>
    </row>
    <row r="12">
      <c r="A12" s="9">
        <f>ROUND(-1+10*2/240,3)</f>
        <v/>
      </c>
      <c r="B12" s="9">
        <f>IF(OR(Inputs!$F$6=TRUE,Inputs!$F$6="TRUE",Inputs!$F$6=1),(Inputs!$H$6+Inputs!$L$6*(((Inputs!$I$6+(((A12)+1)/2)*(Inputs!$J$6-Inputs!$I$6)))/Inputs!$K$6)^2),NA())</f>
        <v/>
      </c>
      <c r="C12" s="9">
        <f>IF(OR(Inputs!$F$7=TRUE,Inputs!$F$7="TRUE",Inputs!$F$7=1),(Inputs!$H$7+Inputs!$L$7*(((Inputs!$I$7+(((A12)+1)/2)*(Inputs!$J$7-Inputs!$I$7)))/Inputs!$K$7)^2),NA())</f>
        <v/>
      </c>
      <c r="D12" s="9">
        <f>IF(OR(Inputs!$F$8=TRUE,Inputs!$F$8="TRUE",Inputs!$F$8=1),(Inputs!$H$8+Inputs!$L$8*(((Inputs!$I$8+(((A12)+1)/2)*(Inputs!$J$8-Inputs!$I$8)))/Inputs!$K$8)^2),NA())</f>
        <v/>
      </c>
      <c r="E12" s="9">
        <f>IF(OR(Inputs!$F$9=TRUE,Inputs!$F$9="TRUE",Inputs!$F$9=1),(Inputs!$H$9+Inputs!$L$9*(((Inputs!$I$9+(((A12)+1)/2)*(Inputs!$J$9-Inputs!$I$9)))/Inputs!$K$9)^2),NA())</f>
        <v/>
      </c>
      <c r="F12" s="10" t="n"/>
      <c r="G12" s="9">
        <f>A12</f>
        <v/>
      </c>
      <c r="H12" s="9">
        <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f>
        <v/>
      </c>
      <c r="I12" s="9">
        <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f>
        <v/>
      </c>
      <c r="J12" s="9">
        <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f>
        <v/>
      </c>
      <c r="K12" s="9">
        <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f>
        <v/>
      </c>
      <c r="L12" s="10" t="n"/>
      <c r="M12" s="9">
        <f>A12</f>
        <v/>
      </c>
      <c r="N12" s="9">
        <f>IF(OR(Inputs!$F$6=TRUE,Inputs!$F$6="TRUE",Inputs!$F$6=1),(-2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NA())</f>
        <v/>
      </c>
      <c r="O12" s="9">
        <f>IF(OR(Inputs!$F$7=TRUE,Inputs!$F$7="TRUE",Inputs!$F$7=1),(-2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NA())</f>
        <v/>
      </c>
      <c r="P12" s="9">
        <f>IF(OR(Inputs!$F$8=TRUE,Inputs!$F$8="TRUE",Inputs!$F$8=1),(-2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NA())</f>
        <v/>
      </c>
      <c r="Q12" s="9">
        <f>IF(OR(Inputs!$F$9=TRUE,Inputs!$F$9="TRUE",Inputs!$F$9=1),(-2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NA())</f>
        <v/>
      </c>
      <c r="R12" s="10" t="n"/>
      <c r="S12" s="9">
        <f>A12</f>
        <v/>
      </c>
      <c r="T12" s="9">
        <f>(Inputs!$I$6+(((A12)+1)/2)*(Inputs!$J$6-Inputs!$I$6))</f>
        <v/>
      </c>
      <c r="U12" s="9">
        <f>(Inputs!$I$7+(((A12)+1)/2)*(Inputs!$J$7-Inputs!$I$7))</f>
        <v/>
      </c>
      <c r="V12" s="9">
        <f>(Inputs!$I$8+(((A12)+1)/2)*(Inputs!$J$8-Inputs!$I$8))</f>
        <v/>
      </c>
      <c r="W12" s="9">
        <f>(Inputs!$I$9+(((A12)+1)/2)*(Inputs!$J$9-Inputs!$I$9))</f>
        <v/>
      </c>
      <c r="X12" s="10" t="n"/>
      <c r="Y12" s="9">
        <f>A12</f>
        <v/>
      </c>
      <c r="Z12" s="9">
        <f>(Inputs!$H$6+Inputs!$L$6*(((Inputs!$I$6+(((A12)+1)/2)*(Inputs!$J$6-Inputs!$I$6)))/Inputs!$K$6)^2)</f>
        <v/>
      </c>
      <c r="AA12" s="9">
        <f>(Inputs!$H$7+Inputs!$L$7*(((Inputs!$I$7+(((A12)+1)/2)*(Inputs!$J$7-Inputs!$I$7)))/Inputs!$K$7)^2)</f>
        <v/>
      </c>
      <c r="AB12" s="9">
        <f>(Inputs!$H$8+Inputs!$L$8*(((Inputs!$I$8+(((A12)+1)/2)*(Inputs!$J$8-Inputs!$I$8)))/Inputs!$K$8)^2)</f>
        <v/>
      </c>
      <c r="AC12" s="9">
        <f>(Inputs!$H$9+Inputs!$L$9*(((Inputs!$I$9+(((A12)+1)/2)*(Inputs!$J$9-Inputs!$I$9)))/Inputs!$K$9)^2)</f>
        <v/>
      </c>
      <c r="AD12" s="10" t="n"/>
      <c r="AE12" s="9">
        <f>A12</f>
        <v/>
      </c>
      <c r="AF12" s="9">
        <f>(((SQRT((Inputs!$C$52+((Inputs!$H$6+Inputs!$L$6*(((Inputs!$I$6+(((A12)+1)/2)*(Inputs!$J$6-Inputs!$I$6)))/Inputs!$K$6)^2)))^2+Inputs!$C$52^2-2*(Inputs!$C$52+((Inputs!$H$6+Inputs!$L$6*(((Inputs!$I$6+(((A12)+1)/2)*(Inputs!$J$6-Inputs!$I$6)))/Inputs!$K$6)^2)))*Inputs!$C$52*COS(SQRT(((Inputs!$I$6+(((A12)+1)/2)*(Inputs!$J$6-Inputs!$I$6)))^2+Inputs!$C$6^2)/Inputs!$C$52)))-((Inputs!$H$6+Inputs!$L$6*(((Inputs!$I$6+(((A12)+1)/2)*(Inputs!$J$6-Inputs!$I$6)))/Inputs!$K$6)^2)))*1000/Inputs!$C$12)</f>
        <v/>
      </c>
      <c r="AG12" s="9">
        <f>(((SQRT((Inputs!$C$52+((Inputs!$H$7+Inputs!$L$7*(((Inputs!$I$7+(((A12)+1)/2)*(Inputs!$J$7-Inputs!$I$7)))/Inputs!$K$7)^2)))^2+Inputs!$C$52^2-2*(Inputs!$C$52+((Inputs!$H$7+Inputs!$L$7*(((Inputs!$I$7+(((A12)+1)/2)*(Inputs!$J$7-Inputs!$I$7)))/Inputs!$K$7)^2)))*Inputs!$C$52*COS(SQRT(((Inputs!$I$7+(((A12)+1)/2)*(Inputs!$J$7-Inputs!$I$7)))^2+Inputs!$C$6^2)/Inputs!$C$52)))-((Inputs!$H$7+Inputs!$L$7*(((Inputs!$I$7+(((A12)+1)/2)*(Inputs!$J$7-Inputs!$I$7)))/Inputs!$K$7)^2)))*1000/Inputs!$C$12)</f>
        <v/>
      </c>
      <c r="AH12" s="9">
        <f>(((SQRT((Inputs!$C$52+((Inputs!$H$8+Inputs!$L$8*(((Inputs!$I$8+(((A12)+1)/2)*(Inputs!$J$8-Inputs!$I$8)))/Inputs!$K$8)^2)))^2+Inputs!$C$52^2-2*(Inputs!$C$52+((Inputs!$H$8+Inputs!$L$8*(((Inputs!$I$8+(((A12)+1)/2)*(Inputs!$J$8-Inputs!$I$8)))/Inputs!$K$8)^2)))*Inputs!$C$52*COS(SQRT(((Inputs!$I$8+(((A12)+1)/2)*(Inputs!$J$8-Inputs!$I$8)))^2+Inputs!$C$6^2)/Inputs!$C$52)))-((Inputs!$H$8+Inputs!$L$8*(((Inputs!$I$8+(((A12)+1)/2)*(Inputs!$J$8-Inputs!$I$8)))/Inputs!$K$8)^2)))*1000/Inputs!$C$12)</f>
        <v/>
      </c>
      <c r="AI12" s="9">
        <f>(((SQRT((Inputs!$C$52+((Inputs!$H$9+Inputs!$L$9*(((Inputs!$I$9+(((A12)+1)/2)*(Inputs!$J$9-Inputs!$I$9)))/Inputs!$K$9)^2)))^2+Inputs!$C$52^2-2*(Inputs!$C$52+((Inputs!$H$9+Inputs!$L$9*(((Inputs!$I$9+(((A12)+1)/2)*(Inputs!$J$9-Inputs!$I$9)))/Inputs!$K$9)^2)))*Inputs!$C$52*COS(SQRT(((Inputs!$I$9+(((A12)+1)/2)*(Inputs!$J$9-Inputs!$I$9)))^2+Inputs!$C$6^2)/Inputs!$C$52)))-((Inputs!$H$9+Inputs!$L$9*(((Inputs!$I$9+(((A12)+1)/2)*(Inputs!$J$9-Inputs!$I$9)))/Inputs!$K$9)^2)))*1000/Inputs!$C$12)</f>
        <v/>
      </c>
      <c r="AJ12" s="10" t="n"/>
      <c r="AK12" s="9">
        <f>A12</f>
        <v/>
      </c>
      <c r="AL12" s="9">
        <f>(-2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f>
        <v/>
      </c>
      <c r="AM12" s="9">
        <f>(-2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f>
        <v/>
      </c>
      <c r="AN12" s="9">
        <f>(-2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f>
        <v/>
      </c>
      <c r="AO12" s="9">
        <f>(-2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f>
        <v/>
      </c>
      <c r="AP12" s="10" t="n"/>
      <c r="AQ12" s="9">
        <f>A12</f>
        <v/>
      </c>
      <c r="AR12" s="9">
        <f>0</f>
        <v/>
      </c>
      <c r="AS12" s="9">
        <f>IF(OR(Inputs!$F$6=TRUE,Inputs!$F$6="TRUE",Inputs!$F$6=1),IF(OR(Inputs!$C$27=TRUE,Inputs!$C$27="TRUE",Inputs!$C$27=1),1,0)*(Inputs!$C$51*(115*EXP(-(((Inputs!$C$6)-25)^2)/(4.5^2))+70*EXP(-(((Inputs!$C$6)+38)^2)/(7^2))*(0.55+0.45*SIN(2*PI()*((Inputs!$I$6+(((A12)+1)/2)*(Inputs!$J$6-Inputs!$I$6)))/45))+24*SIN(2*PI()*(Inputs!$C$6)/9+((Inputs!$I$6+(((A12)+1)/2)*(Inputs!$J$6-Inputs!$I$6)))/18)*EXP(-(((Inputs!$C$6)+5)^2)/(22^2))+18*SIN(2*PI()*((Inputs!$I$6+(((A12)+1)/2)*(Inputs!$J$6-Inputs!$I$6)))/70))+Inputs!$C$28*EXP(-((((Inputs!$I$6+(((A12)+1)/2)*(Inputs!$J$6-Inputs!$I$6)))-Inputs!$C$29)^2)/(2*Inputs!$C$31^2))*EXP(-(((Inputs!$C$6)-Inputs!$C$30)^2)/(2*Inputs!$C$32^2))+-Inputs!$C$33*EXP(-((((((Inputs!$I$6+(((A12)+1)/2)*(Inputs!$J$6-Inputs!$I$6)))-Inputs!$C$34)^2)+(((Inputs!$C$6)-Inputs!$C$35)^2))/(2*Inputs!$C$36^2)))+Inputs!$C$37*(0.55*SIN(2*PI()*((Inputs!$I$6+(((A12)+1)/2)*(Inputs!$J$6-Inputs!$I$6)))/Inputs!$C$39)+0.35*COS(2*PI()*(Inputs!$C$6)/Inputs!$C$40)+0.2*SIN(2*PI()*(((Inputs!$I$6+(((A12)+1)/2)*(Inputs!$J$6-Inputs!$I$6)))+(Inputs!$C$6))/(0.5*(Inputs!$C$39+Inputs!$C$40))))+Inputs!$C$38*SIN(2*PI()*((Inputs!$I$6+(((A12)+1)/2)*(Inputs!$J$6-Inputs!$I$6)))/Inputs!$C$39)*SIN(2*PI()*(Inputs!$C$6)/Inputs!$C$40)+-Inputs!$C$41*EXP(-(((Inputs!$C$6)-Inputs!$C$43)^2)/(2*Inputs!$C$44^2))*EXP(-((((Inputs!$I$6+(((A12)+1)/2)*(Inputs!$J$6-Inputs!$I$6)))-Inputs!$C$42)^2)/(2*Inputs!$C$45^2))+Inputs!$C$48*(0.7*(0.45*SIN(2*PI()*((((Inputs!$I$6+(((A12)+1)/2)*(Inputs!$J$6-Inputs!$I$6)))/Inputs!$C$49)+Inputs!$C$47*0.137))+0.35*COS(2*PI()*(((Inputs!$C$6)/Inputs!$C$50)+Inputs!$C$47*0.173))+0.2*SIN(2*PI()*((((Inputs!$I$6+(((A12)+1)/2)*(Inputs!$J$6-Inputs!$I$6)))+(Inputs!$C$6))/(0.5*(Inputs!$C$49+Inputs!$C$50))+Inputs!$C$47*0.097)))+0.3*(2*((SIN((((Inputs!$I$6+(((A12)+1)/2)*(Inputs!$J$6-Inputs!$I$6)))*12.9898+(Inputs!$C$6)*78.233+Inputs!$C$47*37.719))*43758.5453)-INT((SIN((((Inputs!$I$6+(((A12)+1)/2)*(Inputs!$J$6-Inputs!$I$6)))*12.9898+(Inputs!$C$6)*78.233+Inputs!$C$47*37.719))*43758.5453)))-1))),NA())</f>
        <v/>
      </c>
      <c r="AT12" s="9">
        <f>IF(OR(Inputs!$F$7=TRUE,Inputs!$F$7="TRUE",Inputs!$F$7=1),IF(OR(Inputs!$C$27=TRUE,Inputs!$C$27="TRUE",Inputs!$C$27=1),1,0)*(Inputs!$C$51*(115*EXP(-(((Inputs!$C$6)-25)^2)/(4.5^2))+70*EXP(-(((Inputs!$C$6)+38)^2)/(7^2))*(0.55+0.45*SIN(2*PI()*((Inputs!$I$7+(((A12)+1)/2)*(Inputs!$J$7-Inputs!$I$7)))/45))+24*SIN(2*PI()*(Inputs!$C$6)/9+((Inputs!$I$7+(((A12)+1)/2)*(Inputs!$J$7-Inputs!$I$7)))/18)*EXP(-(((Inputs!$C$6)+5)^2)/(22^2))+18*SIN(2*PI()*((Inputs!$I$7+(((A12)+1)/2)*(Inputs!$J$7-Inputs!$I$7)))/70))+Inputs!$C$28*EXP(-((((Inputs!$I$7+(((A12)+1)/2)*(Inputs!$J$7-Inputs!$I$7)))-Inputs!$C$29)^2)/(2*Inputs!$C$31^2))*EXP(-(((Inputs!$C$6)-Inputs!$C$30)^2)/(2*Inputs!$C$32^2))+-Inputs!$C$33*EXP(-((((((Inputs!$I$7+(((A12)+1)/2)*(Inputs!$J$7-Inputs!$I$7)))-Inputs!$C$34)^2)+(((Inputs!$C$6)-Inputs!$C$35)^2))/(2*Inputs!$C$36^2)))+Inputs!$C$37*(0.55*SIN(2*PI()*((Inputs!$I$7+(((A12)+1)/2)*(Inputs!$J$7-Inputs!$I$7)))/Inputs!$C$39)+0.35*COS(2*PI()*(Inputs!$C$6)/Inputs!$C$40)+0.2*SIN(2*PI()*(((Inputs!$I$7+(((A12)+1)/2)*(Inputs!$J$7-Inputs!$I$7)))+(Inputs!$C$6))/(0.5*(Inputs!$C$39+Inputs!$C$40))))+Inputs!$C$38*SIN(2*PI()*((Inputs!$I$7+(((A12)+1)/2)*(Inputs!$J$7-Inputs!$I$7)))/Inputs!$C$39)*SIN(2*PI()*(Inputs!$C$6)/Inputs!$C$40)+-Inputs!$C$41*EXP(-(((Inputs!$C$6)-Inputs!$C$43)^2)/(2*Inputs!$C$44^2))*EXP(-((((Inputs!$I$7+(((A12)+1)/2)*(Inputs!$J$7-Inputs!$I$7)))-Inputs!$C$42)^2)/(2*Inputs!$C$45^2))+Inputs!$C$48*(0.7*(0.45*SIN(2*PI()*((((Inputs!$I$7+(((A12)+1)/2)*(Inputs!$J$7-Inputs!$I$7)))/Inputs!$C$49)+Inputs!$C$47*0.137))+0.35*COS(2*PI()*(((Inputs!$C$6)/Inputs!$C$50)+Inputs!$C$47*0.173))+0.2*SIN(2*PI()*((((Inputs!$I$7+(((A12)+1)/2)*(Inputs!$J$7-Inputs!$I$7)))+(Inputs!$C$6))/(0.5*(Inputs!$C$49+Inputs!$C$50))+Inputs!$C$47*0.097)))+0.3*(2*((SIN((((Inputs!$I$7+(((A12)+1)/2)*(Inputs!$J$7-Inputs!$I$7)))*12.9898+(Inputs!$C$6)*78.233+Inputs!$C$47*37.719))*43758.5453)-INT((SIN((((Inputs!$I$7+(((A12)+1)/2)*(Inputs!$J$7-Inputs!$I$7)))*12.9898+(Inputs!$C$6)*78.233+Inputs!$C$47*37.719))*43758.5453)))-1))),NA())</f>
        <v/>
      </c>
      <c r="AU12" s="9">
        <f>IF(OR(Inputs!$F$8=TRUE,Inputs!$F$8="TRUE",Inputs!$F$8=1),IF(OR(Inputs!$C$27=TRUE,Inputs!$C$27="TRUE",Inputs!$C$27=1),1,0)*(Inputs!$C$51*(115*EXP(-(((Inputs!$C$6)-25)^2)/(4.5^2))+70*EXP(-(((Inputs!$C$6)+38)^2)/(7^2))*(0.55+0.45*SIN(2*PI()*((Inputs!$I$8+(((A12)+1)/2)*(Inputs!$J$8-Inputs!$I$8)))/45))+24*SIN(2*PI()*(Inputs!$C$6)/9+((Inputs!$I$8+(((A12)+1)/2)*(Inputs!$J$8-Inputs!$I$8)))/18)*EXP(-(((Inputs!$C$6)+5)^2)/(22^2))+18*SIN(2*PI()*((Inputs!$I$8+(((A12)+1)/2)*(Inputs!$J$8-Inputs!$I$8)))/70))+Inputs!$C$28*EXP(-((((Inputs!$I$8+(((A12)+1)/2)*(Inputs!$J$8-Inputs!$I$8)))-Inputs!$C$29)^2)/(2*Inputs!$C$31^2))*EXP(-(((Inputs!$C$6)-Inputs!$C$30)^2)/(2*Inputs!$C$32^2))+-Inputs!$C$33*EXP(-((((((Inputs!$I$8+(((A12)+1)/2)*(Inputs!$J$8-Inputs!$I$8)))-Inputs!$C$34)^2)+(((Inputs!$C$6)-Inputs!$C$35)^2))/(2*Inputs!$C$36^2)))+Inputs!$C$37*(0.55*SIN(2*PI()*((Inputs!$I$8+(((A12)+1)/2)*(Inputs!$J$8-Inputs!$I$8)))/Inputs!$C$39)+0.35*COS(2*PI()*(Inputs!$C$6)/Inputs!$C$40)+0.2*SIN(2*PI()*(((Inputs!$I$8+(((A12)+1)/2)*(Inputs!$J$8-Inputs!$I$8)))+(Inputs!$C$6))/(0.5*(Inputs!$C$39+Inputs!$C$40))))+Inputs!$C$38*SIN(2*PI()*((Inputs!$I$8+(((A12)+1)/2)*(Inputs!$J$8-Inputs!$I$8)))/Inputs!$C$39)*SIN(2*PI()*(Inputs!$C$6)/Inputs!$C$40)+-Inputs!$C$41*EXP(-(((Inputs!$C$6)-Inputs!$C$43)^2)/(2*Inputs!$C$44^2))*EXP(-((((Inputs!$I$8+(((A12)+1)/2)*(Inputs!$J$8-Inputs!$I$8)))-Inputs!$C$42)^2)/(2*Inputs!$C$45^2))+Inputs!$C$48*(0.7*(0.45*SIN(2*PI()*((((Inputs!$I$8+(((A12)+1)/2)*(Inputs!$J$8-Inputs!$I$8)))/Inputs!$C$49)+Inputs!$C$47*0.137))+0.35*COS(2*PI()*(((Inputs!$C$6)/Inputs!$C$50)+Inputs!$C$47*0.173))+0.2*SIN(2*PI()*((((Inputs!$I$8+(((A12)+1)/2)*(Inputs!$J$8-Inputs!$I$8)))+(Inputs!$C$6))/(0.5*(Inputs!$C$49+Inputs!$C$50))+Inputs!$C$47*0.097)))+0.3*(2*((SIN((((Inputs!$I$8+(((A12)+1)/2)*(Inputs!$J$8-Inputs!$I$8)))*12.9898+(Inputs!$C$6)*78.233+Inputs!$C$47*37.719))*43758.5453)-INT((SIN((((Inputs!$I$8+(((A12)+1)/2)*(Inputs!$J$8-Inputs!$I$8)))*12.9898+(Inputs!$C$6)*78.233+Inputs!$C$47*37.719))*43758.5453)))-1))),NA())</f>
        <v/>
      </c>
      <c r="AV12" s="9">
        <f>IF(OR(Inputs!$F$9=TRUE,Inputs!$F$9="TRUE",Inputs!$F$9=1),IF(OR(Inputs!$C$27=TRUE,Inputs!$C$27="TRUE",Inputs!$C$27=1),1,0)*(Inputs!$C$51*(115*EXP(-(((Inputs!$C$6)-25)^2)/(4.5^2))+70*EXP(-(((Inputs!$C$6)+38)^2)/(7^2))*(0.55+0.45*SIN(2*PI()*((Inputs!$I$9+(((A12)+1)/2)*(Inputs!$J$9-Inputs!$I$9)))/45))+24*SIN(2*PI()*(Inputs!$C$6)/9+((Inputs!$I$9+(((A12)+1)/2)*(Inputs!$J$9-Inputs!$I$9)))/18)*EXP(-(((Inputs!$C$6)+5)^2)/(22^2))+18*SIN(2*PI()*((Inputs!$I$9+(((A12)+1)/2)*(Inputs!$J$9-Inputs!$I$9)))/70))+Inputs!$C$28*EXP(-((((Inputs!$I$9+(((A12)+1)/2)*(Inputs!$J$9-Inputs!$I$9)))-Inputs!$C$29)^2)/(2*Inputs!$C$31^2))*EXP(-(((Inputs!$C$6)-Inputs!$C$30)^2)/(2*Inputs!$C$32^2))+-Inputs!$C$33*EXP(-((((((Inputs!$I$9+(((A12)+1)/2)*(Inputs!$J$9-Inputs!$I$9)))-Inputs!$C$34)^2)+(((Inputs!$C$6)-Inputs!$C$35)^2))/(2*Inputs!$C$36^2)))+Inputs!$C$37*(0.55*SIN(2*PI()*((Inputs!$I$9+(((A12)+1)/2)*(Inputs!$J$9-Inputs!$I$9)))/Inputs!$C$39)+0.35*COS(2*PI()*(Inputs!$C$6)/Inputs!$C$40)+0.2*SIN(2*PI()*(((Inputs!$I$9+(((A12)+1)/2)*(Inputs!$J$9-Inputs!$I$9)))+(Inputs!$C$6))/(0.5*(Inputs!$C$39+Inputs!$C$40))))+Inputs!$C$38*SIN(2*PI()*((Inputs!$I$9+(((A12)+1)/2)*(Inputs!$J$9-Inputs!$I$9)))/Inputs!$C$39)*SIN(2*PI()*(Inputs!$C$6)/Inputs!$C$40)+-Inputs!$C$41*EXP(-(((Inputs!$C$6)-Inputs!$C$43)^2)/(2*Inputs!$C$44^2))*EXP(-((((Inputs!$I$9+(((A12)+1)/2)*(Inputs!$J$9-Inputs!$I$9)))-Inputs!$C$42)^2)/(2*Inputs!$C$45^2))+Inputs!$C$48*(0.7*(0.45*SIN(2*PI()*((((Inputs!$I$9+(((A12)+1)/2)*(Inputs!$J$9-Inputs!$I$9)))/Inputs!$C$49)+Inputs!$C$47*0.137))+0.35*COS(2*PI()*(((Inputs!$C$6)/Inputs!$C$50)+Inputs!$C$47*0.173))+0.2*SIN(2*PI()*((((Inputs!$I$9+(((A12)+1)/2)*(Inputs!$J$9-Inputs!$I$9)))+(Inputs!$C$6))/(0.5*(Inputs!$C$49+Inputs!$C$50))+Inputs!$C$47*0.097)))+0.3*(2*((SIN((((Inputs!$I$9+(((A12)+1)/2)*(Inputs!$J$9-Inputs!$I$9)))*12.9898+(Inputs!$C$6)*78.233+Inputs!$C$47*37.719))*43758.5453)-INT((SIN((((Inputs!$I$9+(((A12)+1)/2)*(Inputs!$J$9-Inputs!$I$9)))*12.9898+(Inputs!$C$6)*78.233+Inputs!$C$47*37.719))*43758.5453)))-1))),NA())</f>
        <v/>
      </c>
      <c r="AW12" s="10" t="n"/>
      <c r="AX12" s="9">
        <f>A12</f>
        <v/>
      </c>
      <c r="AY12" s="9">
        <f>0</f>
        <v/>
      </c>
      <c r="AZ12" s="9">
        <f>IF(OR(Inputs!$F$6=TRUE,Inputs!$F$6="TRUE",Inputs!$F$6=1),(Inputs!$H$6+Inputs!$L$6*(((Inputs!$I$6+(((A12)+1)/2)*(Inputs!$J$6-Inputs!$I$6)))/Inputs!$K$6)^2),NA())</f>
        <v/>
      </c>
      <c r="BA12" s="9">
        <f>IF(OR(Inputs!$F$7=TRUE,Inputs!$F$7="TRUE",Inputs!$F$7=1),(Inputs!$H$7+Inputs!$L$7*(((Inputs!$I$7+(((A12)+1)/2)*(Inputs!$J$7-Inputs!$I$7)))/Inputs!$K$7)^2),NA())</f>
        <v/>
      </c>
      <c r="BB12" s="9">
        <f>IF(OR(Inputs!$F$8=TRUE,Inputs!$F$8="TRUE",Inputs!$F$8=1),(Inputs!$H$8+Inputs!$L$8*(((Inputs!$I$8+(((A12)+1)/2)*(Inputs!$J$8-Inputs!$I$8)))/Inputs!$K$8)^2),NA())</f>
        <v/>
      </c>
      <c r="BC12" s="9">
        <f>IF(OR(Inputs!$F$9=TRUE,Inputs!$F$9="TRUE",Inputs!$F$9=1),(Inputs!$H$9+Inputs!$L$9*(((Inputs!$I$9+(((A12)+1)/2)*(Inputs!$J$9-Inputs!$I$9)))/Inputs!$K$9)^2),NA())</f>
        <v/>
      </c>
      <c r="BD12" s="10" t="n"/>
      <c r="BE12" s="9">
        <f>A12</f>
        <v/>
      </c>
      <c r="BF12" s="9">
        <f>0</f>
        <v/>
      </c>
      <c r="BG12" s="9">
        <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f>
        <v/>
      </c>
      <c r="BH12" s="9">
        <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f>
        <v/>
      </c>
      <c r="BI12" s="9">
        <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f>
        <v/>
      </c>
      <c r="BJ12" s="9">
        <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f>
        <v/>
      </c>
    </row>
    <row r="13">
      <c r="A13" s="9">
        <f>ROUND(-1+11*2/240,3)</f>
        <v/>
      </c>
      <c r="B13" s="9">
        <f>IF(OR(Inputs!$F$6=TRUE,Inputs!$F$6="TRUE",Inputs!$F$6=1),(Inputs!$H$6+Inputs!$L$6*(((Inputs!$I$6+(((A13)+1)/2)*(Inputs!$J$6-Inputs!$I$6)))/Inputs!$K$6)^2),NA())</f>
        <v/>
      </c>
      <c r="C13" s="9">
        <f>IF(OR(Inputs!$F$7=TRUE,Inputs!$F$7="TRUE",Inputs!$F$7=1),(Inputs!$H$7+Inputs!$L$7*(((Inputs!$I$7+(((A13)+1)/2)*(Inputs!$J$7-Inputs!$I$7)))/Inputs!$K$7)^2),NA())</f>
        <v/>
      </c>
      <c r="D13" s="9">
        <f>IF(OR(Inputs!$F$8=TRUE,Inputs!$F$8="TRUE",Inputs!$F$8=1),(Inputs!$H$8+Inputs!$L$8*(((Inputs!$I$8+(((A13)+1)/2)*(Inputs!$J$8-Inputs!$I$8)))/Inputs!$K$8)^2),NA())</f>
        <v/>
      </c>
      <c r="E13" s="9">
        <f>IF(OR(Inputs!$F$9=TRUE,Inputs!$F$9="TRUE",Inputs!$F$9=1),(Inputs!$H$9+Inputs!$L$9*(((Inputs!$I$9+(((A13)+1)/2)*(Inputs!$J$9-Inputs!$I$9)))/Inputs!$K$9)^2),NA())</f>
        <v/>
      </c>
      <c r="F13" s="10" t="n"/>
      <c r="G13" s="9">
        <f>A13</f>
        <v/>
      </c>
      <c r="H13" s="9">
        <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f>
        <v/>
      </c>
      <c r="I13" s="9">
        <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f>
        <v/>
      </c>
      <c r="J13" s="9">
        <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f>
        <v/>
      </c>
      <c r="K13" s="9">
        <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f>
        <v/>
      </c>
      <c r="L13" s="10" t="n"/>
      <c r="M13" s="9">
        <f>A13</f>
        <v/>
      </c>
      <c r="N13" s="9">
        <f>IF(OR(Inputs!$F$6=TRUE,Inputs!$F$6="TRUE",Inputs!$F$6=1),(-2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NA())</f>
        <v/>
      </c>
      <c r="O13" s="9">
        <f>IF(OR(Inputs!$F$7=TRUE,Inputs!$F$7="TRUE",Inputs!$F$7=1),(-2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NA())</f>
        <v/>
      </c>
      <c r="P13" s="9">
        <f>IF(OR(Inputs!$F$8=TRUE,Inputs!$F$8="TRUE",Inputs!$F$8=1),(-2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NA())</f>
        <v/>
      </c>
      <c r="Q13" s="9">
        <f>IF(OR(Inputs!$F$9=TRUE,Inputs!$F$9="TRUE",Inputs!$F$9=1),(-2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NA())</f>
        <v/>
      </c>
      <c r="R13" s="10" t="n"/>
      <c r="S13" s="9">
        <f>A13</f>
        <v/>
      </c>
      <c r="T13" s="9">
        <f>(Inputs!$I$6+(((A13)+1)/2)*(Inputs!$J$6-Inputs!$I$6))</f>
        <v/>
      </c>
      <c r="U13" s="9">
        <f>(Inputs!$I$7+(((A13)+1)/2)*(Inputs!$J$7-Inputs!$I$7))</f>
        <v/>
      </c>
      <c r="V13" s="9">
        <f>(Inputs!$I$8+(((A13)+1)/2)*(Inputs!$J$8-Inputs!$I$8))</f>
        <v/>
      </c>
      <c r="W13" s="9">
        <f>(Inputs!$I$9+(((A13)+1)/2)*(Inputs!$J$9-Inputs!$I$9))</f>
        <v/>
      </c>
      <c r="X13" s="10" t="n"/>
      <c r="Y13" s="9">
        <f>A13</f>
        <v/>
      </c>
      <c r="Z13" s="9">
        <f>(Inputs!$H$6+Inputs!$L$6*(((Inputs!$I$6+(((A13)+1)/2)*(Inputs!$J$6-Inputs!$I$6)))/Inputs!$K$6)^2)</f>
        <v/>
      </c>
      <c r="AA13" s="9">
        <f>(Inputs!$H$7+Inputs!$L$7*(((Inputs!$I$7+(((A13)+1)/2)*(Inputs!$J$7-Inputs!$I$7)))/Inputs!$K$7)^2)</f>
        <v/>
      </c>
      <c r="AB13" s="9">
        <f>(Inputs!$H$8+Inputs!$L$8*(((Inputs!$I$8+(((A13)+1)/2)*(Inputs!$J$8-Inputs!$I$8)))/Inputs!$K$8)^2)</f>
        <v/>
      </c>
      <c r="AC13" s="9">
        <f>(Inputs!$H$9+Inputs!$L$9*(((Inputs!$I$9+(((A13)+1)/2)*(Inputs!$J$9-Inputs!$I$9)))/Inputs!$K$9)^2)</f>
        <v/>
      </c>
      <c r="AD13" s="10" t="n"/>
      <c r="AE13" s="9">
        <f>A13</f>
        <v/>
      </c>
      <c r="AF13" s="9">
        <f>(((SQRT((Inputs!$C$52+((Inputs!$H$6+Inputs!$L$6*(((Inputs!$I$6+(((A13)+1)/2)*(Inputs!$J$6-Inputs!$I$6)))/Inputs!$K$6)^2)))^2+Inputs!$C$52^2-2*(Inputs!$C$52+((Inputs!$H$6+Inputs!$L$6*(((Inputs!$I$6+(((A13)+1)/2)*(Inputs!$J$6-Inputs!$I$6)))/Inputs!$K$6)^2)))*Inputs!$C$52*COS(SQRT(((Inputs!$I$6+(((A13)+1)/2)*(Inputs!$J$6-Inputs!$I$6)))^2+Inputs!$C$6^2)/Inputs!$C$52)))-((Inputs!$H$6+Inputs!$L$6*(((Inputs!$I$6+(((A13)+1)/2)*(Inputs!$J$6-Inputs!$I$6)))/Inputs!$K$6)^2)))*1000/Inputs!$C$12)</f>
        <v/>
      </c>
      <c r="AG13" s="9">
        <f>(((SQRT((Inputs!$C$52+((Inputs!$H$7+Inputs!$L$7*(((Inputs!$I$7+(((A13)+1)/2)*(Inputs!$J$7-Inputs!$I$7)))/Inputs!$K$7)^2)))^2+Inputs!$C$52^2-2*(Inputs!$C$52+((Inputs!$H$7+Inputs!$L$7*(((Inputs!$I$7+(((A13)+1)/2)*(Inputs!$J$7-Inputs!$I$7)))/Inputs!$K$7)^2)))*Inputs!$C$52*COS(SQRT(((Inputs!$I$7+(((A13)+1)/2)*(Inputs!$J$7-Inputs!$I$7)))^2+Inputs!$C$6^2)/Inputs!$C$52)))-((Inputs!$H$7+Inputs!$L$7*(((Inputs!$I$7+(((A13)+1)/2)*(Inputs!$J$7-Inputs!$I$7)))/Inputs!$K$7)^2)))*1000/Inputs!$C$12)</f>
        <v/>
      </c>
      <c r="AH13" s="9">
        <f>(((SQRT((Inputs!$C$52+((Inputs!$H$8+Inputs!$L$8*(((Inputs!$I$8+(((A13)+1)/2)*(Inputs!$J$8-Inputs!$I$8)))/Inputs!$K$8)^2)))^2+Inputs!$C$52^2-2*(Inputs!$C$52+((Inputs!$H$8+Inputs!$L$8*(((Inputs!$I$8+(((A13)+1)/2)*(Inputs!$J$8-Inputs!$I$8)))/Inputs!$K$8)^2)))*Inputs!$C$52*COS(SQRT(((Inputs!$I$8+(((A13)+1)/2)*(Inputs!$J$8-Inputs!$I$8)))^2+Inputs!$C$6^2)/Inputs!$C$52)))-((Inputs!$H$8+Inputs!$L$8*(((Inputs!$I$8+(((A13)+1)/2)*(Inputs!$J$8-Inputs!$I$8)))/Inputs!$K$8)^2)))*1000/Inputs!$C$12)</f>
        <v/>
      </c>
      <c r="AI13" s="9">
        <f>(((SQRT((Inputs!$C$52+((Inputs!$H$9+Inputs!$L$9*(((Inputs!$I$9+(((A13)+1)/2)*(Inputs!$J$9-Inputs!$I$9)))/Inputs!$K$9)^2)))^2+Inputs!$C$52^2-2*(Inputs!$C$52+((Inputs!$H$9+Inputs!$L$9*(((Inputs!$I$9+(((A13)+1)/2)*(Inputs!$J$9-Inputs!$I$9)))/Inputs!$K$9)^2)))*Inputs!$C$52*COS(SQRT(((Inputs!$I$9+(((A13)+1)/2)*(Inputs!$J$9-Inputs!$I$9)))^2+Inputs!$C$6^2)/Inputs!$C$52)))-((Inputs!$H$9+Inputs!$L$9*(((Inputs!$I$9+(((A13)+1)/2)*(Inputs!$J$9-Inputs!$I$9)))/Inputs!$K$9)^2)))*1000/Inputs!$C$12)</f>
        <v/>
      </c>
      <c r="AJ13" s="10" t="n"/>
      <c r="AK13" s="9">
        <f>A13</f>
        <v/>
      </c>
      <c r="AL13" s="9">
        <f>(-2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f>
        <v/>
      </c>
      <c r="AM13" s="9">
        <f>(-2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f>
        <v/>
      </c>
      <c r="AN13" s="9">
        <f>(-2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f>
        <v/>
      </c>
      <c r="AO13" s="9">
        <f>(-2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f>
        <v/>
      </c>
      <c r="AP13" s="10" t="n"/>
      <c r="AQ13" s="9">
        <f>A13</f>
        <v/>
      </c>
      <c r="AR13" s="9">
        <f>0</f>
        <v/>
      </c>
      <c r="AS13" s="9">
        <f>IF(OR(Inputs!$F$6=TRUE,Inputs!$F$6="TRUE",Inputs!$F$6=1),IF(OR(Inputs!$C$27=TRUE,Inputs!$C$27="TRUE",Inputs!$C$27=1),1,0)*(Inputs!$C$51*(115*EXP(-(((Inputs!$C$6)-25)^2)/(4.5^2))+70*EXP(-(((Inputs!$C$6)+38)^2)/(7^2))*(0.55+0.45*SIN(2*PI()*((Inputs!$I$6+(((A13)+1)/2)*(Inputs!$J$6-Inputs!$I$6)))/45))+24*SIN(2*PI()*(Inputs!$C$6)/9+((Inputs!$I$6+(((A13)+1)/2)*(Inputs!$J$6-Inputs!$I$6)))/18)*EXP(-(((Inputs!$C$6)+5)^2)/(22^2))+18*SIN(2*PI()*((Inputs!$I$6+(((A13)+1)/2)*(Inputs!$J$6-Inputs!$I$6)))/70))+Inputs!$C$28*EXP(-((((Inputs!$I$6+(((A13)+1)/2)*(Inputs!$J$6-Inputs!$I$6)))-Inputs!$C$29)^2)/(2*Inputs!$C$31^2))*EXP(-(((Inputs!$C$6)-Inputs!$C$30)^2)/(2*Inputs!$C$32^2))+-Inputs!$C$33*EXP(-((((((Inputs!$I$6+(((A13)+1)/2)*(Inputs!$J$6-Inputs!$I$6)))-Inputs!$C$34)^2)+(((Inputs!$C$6)-Inputs!$C$35)^2))/(2*Inputs!$C$36^2)))+Inputs!$C$37*(0.55*SIN(2*PI()*((Inputs!$I$6+(((A13)+1)/2)*(Inputs!$J$6-Inputs!$I$6)))/Inputs!$C$39)+0.35*COS(2*PI()*(Inputs!$C$6)/Inputs!$C$40)+0.2*SIN(2*PI()*(((Inputs!$I$6+(((A13)+1)/2)*(Inputs!$J$6-Inputs!$I$6)))+(Inputs!$C$6))/(0.5*(Inputs!$C$39+Inputs!$C$40))))+Inputs!$C$38*SIN(2*PI()*((Inputs!$I$6+(((A13)+1)/2)*(Inputs!$J$6-Inputs!$I$6)))/Inputs!$C$39)*SIN(2*PI()*(Inputs!$C$6)/Inputs!$C$40)+-Inputs!$C$41*EXP(-(((Inputs!$C$6)-Inputs!$C$43)^2)/(2*Inputs!$C$44^2))*EXP(-((((Inputs!$I$6+(((A13)+1)/2)*(Inputs!$J$6-Inputs!$I$6)))-Inputs!$C$42)^2)/(2*Inputs!$C$45^2))+Inputs!$C$48*(0.7*(0.45*SIN(2*PI()*((((Inputs!$I$6+(((A13)+1)/2)*(Inputs!$J$6-Inputs!$I$6)))/Inputs!$C$49)+Inputs!$C$47*0.137))+0.35*COS(2*PI()*(((Inputs!$C$6)/Inputs!$C$50)+Inputs!$C$47*0.173))+0.2*SIN(2*PI()*((((Inputs!$I$6+(((A13)+1)/2)*(Inputs!$J$6-Inputs!$I$6)))+(Inputs!$C$6))/(0.5*(Inputs!$C$49+Inputs!$C$50))+Inputs!$C$47*0.097)))+0.3*(2*((SIN((((Inputs!$I$6+(((A13)+1)/2)*(Inputs!$J$6-Inputs!$I$6)))*12.9898+(Inputs!$C$6)*78.233+Inputs!$C$47*37.719))*43758.5453)-INT((SIN((((Inputs!$I$6+(((A13)+1)/2)*(Inputs!$J$6-Inputs!$I$6)))*12.9898+(Inputs!$C$6)*78.233+Inputs!$C$47*37.719))*43758.5453)))-1))),NA())</f>
        <v/>
      </c>
      <c r="AT13" s="9">
        <f>IF(OR(Inputs!$F$7=TRUE,Inputs!$F$7="TRUE",Inputs!$F$7=1),IF(OR(Inputs!$C$27=TRUE,Inputs!$C$27="TRUE",Inputs!$C$27=1),1,0)*(Inputs!$C$51*(115*EXP(-(((Inputs!$C$6)-25)^2)/(4.5^2))+70*EXP(-(((Inputs!$C$6)+38)^2)/(7^2))*(0.55+0.45*SIN(2*PI()*((Inputs!$I$7+(((A13)+1)/2)*(Inputs!$J$7-Inputs!$I$7)))/45))+24*SIN(2*PI()*(Inputs!$C$6)/9+((Inputs!$I$7+(((A13)+1)/2)*(Inputs!$J$7-Inputs!$I$7)))/18)*EXP(-(((Inputs!$C$6)+5)^2)/(22^2))+18*SIN(2*PI()*((Inputs!$I$7+(((A13)+1)/2)*(Inputs!$J$7-Inputs!$I$7)))/70))+Inputs!$C$28*EXP(-((((Inputs!$I$7+(((A13)+1)/2)*(Inputs!$J$7-Inputs!$I$7)))-Inputs!$C$29)^2)/(2*Inputs!$C$31^2))*EXP(-(((Inputs!$C$6)-Inputs!$C$30)^2)/(2*Inputs!$C$32^2))+-Inputs!$C$33*EXP(-((((((Inputs!$I$7+(((A13)+1)/2)*(Inputs!$J$7-Inputs!$I$7)))-Inputs!$C$34)^2)+(((Inputs!$C$6)-Inputs!$C$35)^2))/(2*Inputs!$C$36^2)))+Inputs!$C$37*(0.55*SIN(2*PI()*((Inputs!$I$7+(((A13)+1)/2)*(Inputs!$J$7-Inputs!$I$7)))/Inputs!$C$39)+0.35*COS(2*PI()*(Inputs!$C$6)/Inputs!$C$40)+0.2*SIN(2*PI()*(((Inputs!$I$7+(((A13)+1)/2)*(Inputs!$J$7-Inputs!$I$7)))+(Inputs!$C$6))/(0.5*(Inputs!$C$39+Inputs!$C$40))))+Inputs!$C$38*SIN(2*PI()*((Inputs!$I$7+(((A13)+1)/2)*(Inputs!$J$7-Inputs!$I$7)))/Inputs!$C$39)*SIN(2*PI()*(Inputs!$C$6)/Inputs!$C$40)+-Inputs!$C$41*EXP(-(((Inputs!$C$6)-Inputs!$C$43)^2)/(2*Inputs!$C$44^2))*EXP(-((((Inputs!$I$7+(((A13)+1)/2)*(Inputs!$J$7-Inputs!$I$7)))-Inputs!$C$42)^2)/(2*Inputs!$C$45^2))+Inputs!$C$48*(0.7*(0.45*SIN(2*PI()*((((Inputs!$I$7+(((A13)+1)/2)*(Inputs!$J$7-Inputs!$I$7)))/Inputs!$C$49)+Inputs!$C$47*0.137))+0.35*COS(2*PI()*(((Inputs!$C$6)/Inputs!$C$50)+Inputs!$C$47*0.173))+0.2*SIN(2*PI()*((((Inputs!$I$7+(((A13)+1)/2)*(Inputs!$J$7-Inputs!$I$7)))+(Inputs!$C$6))/(0.5*(Inputs!$C$49+Inputs!$C$50))+Inputs!$C$47*0.097)))+0.3*(2*((SIN((((Inputs!$I$7+(((A13)+1)/2)*(Inputs!$J$7-Inputs!$I$7)))*12.9898+(Inputs!$C$6)*78.233+Inputs!$C$47*37.719))*43758.5453)-INT((SIN((((Inputs!$I$7+(((A13)+1)/2)*(Inputs!$J$7-Inputs!$I$7)))*12.9898+(Inputs!$C$6)*78.233+Inputs!$C$47*37.719))*43758.5453)))-1))),NA())</f>
        <v/>
      </c>
      <c r="AU13" s="9">
        <f>IF(OR(Inputs!$F$8=TRUE,Inputs!$F$8="TRUE",Inputs!$F$8=1),IF(OR(Inputs!$C$27=TRUE,Inputs!$C$27="TRUE",Inputs!$C$27=1),1,0)*(Inputs!$C$51*(115*EXP(-(((Inputs!$C$6)-25)^2)/(4.5^2))+70*EXP(-(((Inputs!$C$6)+38)^2)/(7^2))*(0.55+0.45*SIN(2*PI()*((Inputs!$I$8+(((A13)+1)/2)*(Inputs!$J$8-Inputs!$I$8)))/45))+24*SIN(2*PI()*(Inputs!$C$6)/9+((Inputs!$I$8+(((A13)+1)/2)*(Inputs!$J$8-Inputs!$I$8)))/18)*EXP(-(((Inputs!$C$6)+5)^2)/(22^2))+18*SIN(2*PI()*((Inputs!$I$8+(((A13)+1)/2)*(Inputs!$J$8-Inputs!$I$8)))/70))+Inputs!$C$28*EXP(-((((Inputs!$I$8+(((A13)+1)/2)*(Inputs!$J$8-Inputs!$I$8)))-Inputs!$C$29)^2)/(2*Inputs!$C$31^2))*EXP(-(((Inputs!$C$6)-Inputs!$C$30)^2)/(2*Inputs!$C$32^2))+-Inputs!$C$33*EXP(-((((((Inputs!$I$8+(((A13)+1)/2)*(Inputs!$J$8-Inputs!$I$8)))-Inputs!$C$34)^2)+(((Inputs!$C$6)-Inputs!$C$35)^2))/(2*Inputs!$C$36^2)))+Inputs!$C$37*(0.55*SIN(2*PI()*((Inputs!$I$8+(((A13)+1)/2)*(Inputs!$J$8-Inputs!$I$8)))/Inputs!$C$39)+0.35*COS(2*PI()*(Inputs!$C$6)/Inputs!$C$40)+0.2*SIN(2*PI()*(((Inputs!$I$8+(((A13)+1)/2)*(Inputs!$J$8-Inputs!$I$8)))+(Inputs!$C$6))/(0.5*(Inputs!$C$39+Inputs!$C$40))))+Inputs!$C$38*SIN(2*PI()*((Inputs!$I$8+(((A13)+1)/2)*(Inputs!$J$8-Inputs!$I$8)))/Inputs!$C$39)*SIN(2*PI()*(Inputs!$C$6)/Inputs!$C$40)+-Inputs!$C$41*EXP(-(((Inputs!$C$6)-Inputs!$C$43)^2)/(2*Inputs!$C$44^2))*EXP(-((((Inputs!$I$8+(((A13)+1)/2)*(Inputs!$J$8-Inputs!$I$8)))-Inputs!$C$42)^2)/(2*Inputs!$C$45^2))+Inputs!$C$48*(0.7*(0.45*SIN(2*PI()*((((Inputs!$I$8+(((A13)+1)/2)*(Inputs!$J$8-Inputs!$I$8)))/Inputs!$C$49)+Inputs!$C$47*0.137))+0.35*COS(2*PI()*(((Inputs!$C$6)/Inputs!$C$50)+Inputs!$C$47*0.173))+0.2*SIN(2*PI()*((((Inputs!$I$8+(((A13)+1)/2)*(Inputs!$J$8-Inputs!$I$8)))+(Inputs!$C$6))/(0.5*(Inputs!$C$49+Inputs!$C$50))+Inputs!$C$47*0.097)))+0.3*(2*((SIN((((Inputs!$I$8+(((A13)+1)/2)*(Inputs!$J$8-Inputs!$I$8)))*12.9898+(Inputs!$C$6)*78.233+Inputs!$C$47*37.719))*43758.5453)-INT((SIN((((Inputs!$I$8+(((A13)+1)/2)*(Inputs!$J$8-Inputs!$I$8)))*12.9898+(Inputs!$C$6)*78.233+Inputs!$C$47*37.719))*43758.5453)))-1))),NA())</f>
        <v/>
      </c>
      <c r="AV13" s="9">
        <f>IF(OR(Inputs!$F$9=TRUE,Inputs!$F$9="TRUE",Inputs!$F$9=1),IF(OR(Inputs!$C$27=TRUE,Inputs!$C$27="TRUE",Inputs!$C$27=1),1,0)*(Inputs!$C$51*(115*EXP(-(((Inputs!$C$6)-25)^2)/(4.5^2))+70*EXP(-(((Inputs!$C$6)+38)^2)/(7^2))*(0.55+0.45*SIN(2*PI()*((Inputs!$I$9+(((A13)+1)/2)*(Inputs!$J$9-Inputs!$I$9)))/45))+24*SIN(2*PI()*(Inputs!$C$6)/9+((Inputs!$I$9+(((A13)+1)/2)*(Inputs!$J$9-Inputs!$I$9)))/18)*EXP(-(((Inputs!$C$6)+5)^2)/(22^2))+18*SIN(2*PI()*((Inputs!$I$9+(((A13)+1)/2)*(Inputs!$J$9-Inputs!$I$9)))/70))+Inputs!$C$28*EXP(-((((Inputs!$I$9+(((A13)+1)/2)*(Inputs!$J$9-Inputs!$I$9)))-Inputs!$C$29)^2)/(2*Inputs!$C$31^2))*EXP(-(((Inputs!$C$6)-Inputs!$C$30)^2)/(2*Inputs!$C$32^2))+-Inputs!$C$33*EXP(-((((((Inputs!$I$9+(((A13)+1)/2)*(Inputs!$J$9-Inputs!$I$9)))-Inputs!$C$34)^2)+(((Inputs!$C$6)-Inputs!$C$35)^2))/(2*Inputs!$C$36^2)))+Inputs!$C$37*(0.55*SIN(2*PI()*((Inputs!$I$9+(((A13)+1)/2)*(Inputs!$J$9-Inputs!$I$9)))/Inputs!$C$39)+0.35*COS(2*PI()*(Inputs!$C$6)/Inputs!$C$40)+0.2*SIN(2*PI()*(((Inputs!$I$9+(((A13)+1)/2)*(Inputs!$J$9-Inputs!$I$9)))+(Inputs!$C$6))/(0.5*(Inputs!$C$39+Inputs!$C$40))))+Inputs!$C$38*SIN(2*PI()*((Inputs!$I$9+(((A13)+1)/2)*(Inputs!$J$9-Inputs!$I$9)))/Inputs!$C$39)*SIN(2*PI()*(Inputs!$C$6)/Inputs!$C$40)+-Inputs!$C$41*EXP(-(((Inputs!$C$6)-Inputs!$C$43)^2)/(2*Inputs!$C$44^2))*EXP(-((((Inputs!$I$9+(((A13)+1)/2)*(Inputs!$J$9-Inputs!$I$9)))-Inputs!$C$42)^2)/(2*Inputs!$C$45^2))+Inputs!$C$48*(0.7*(0.45*SIN(2*PI()*((((Inputs!$I$9+(((A13)+1)/2)*(Inputs!$J$9-Inputs!$I$9)))/Inputs!$C$49)+Inputs!$C$47*0.137))+0.35*COS(2*PI()*(((Inputs!$C$6)/Inputs!$C$50)+Inputs!$C$47*0.173))+0.2*SIN(2*PI()*((((Inputs!$I$9+(((A13)+1)/2)*(Inputs!$J$9-Inputs!$I$9)))+(Inputs!$C$6))/(0.5*(Inputs!$C$49+Inputs!$C$50))+Inputs!$C$47*0.097)))+0.3*(2*((SIN((((Inputs!$I$9+(((A13)+1)/2)*(Inputs!$J$9-Inputs!$I$9)))*12.9898+(Inputs!$C$6)*78.233+Inputs!$C$47*37.719))*43758.5453)-INT((SIN((((Inputs!$I$9+(((A13)+1)/2)*(Inputs!$J$9-Inputs!$I$9)))*12.9898+(Inputs!$C$6)*78.233+Inputs!$C$47*37.719))*43758.5453)))-1))),NA())</f>
        <v/>
      </c>
      <c r="AW13" s="10" t="n"/>
      <c r="AX13" s="9">
        <f>A13</f>
        <v/>
      </c>
      <c r="AY13" s="9">
        <f>0</f>
        <v/>
      </c>
      <c r="AZ13" s="9">
        <f>IF(OR(Inputs!$F$6=TRUE,Inputs!$F$6="TRUE",Inputs!$F$6=1),(Inputs!$H$6+Inputs!$L$6*(((Inputs!$I$6+(((A13)+1)/2)*(Inputs!$J$6-Inputs!$I$6)))/Inputs!$K$6)^2),NA())</f>
        <v/>
      </c>
      <c r="BA13" s="9">
        <f>IF(OR(Inputs!$F$7=TRUE,Inputs!$F$7="TRUE",Inputs!$F$7=1),(Inputs!$H$7+Inputs!$L$7*(((Inputs!$I$7+(((A13)+1)/2)*(Inputs!$J$7-Inputs!$I$7)))/Inputs!$K$7)^2),NA())</f>
        <v/>
      </c>
      <c r="BB13" s="9">
        <f>IF(OR(Inputs!$F$8=TRUE,Inputs!$F$8="TRUE",Inputs!$F$8=1),(Inputs!$H$8+Inputs!$L$8*(((Inputs!$I$8+(((A13)+1)/2)*(Inputs!$J$8-Inputs!$I$8)))/Inputs!$K$8)^2),NA())</f>
        <v/>
      </c>
      <c r="BC13" s="9">
        <f>IF(OR(Inputs!$F$9=TRUE,Inputs!$F$9="TRUE",Inputs!$F$9=1),(Inputs!$H$9+Inputs!$L$9*(((Inputs!$I$9+(((A13)+1)/2)*(Inputs!$J$9-Inputs!$I$9)))/Inputs!$K$9)^2),NA())</f>
        <v/>
      </c>
      <c r="BD13" s="10" t="n"/>
      <c r="BE13" s="9">
        <f>A13</f>
        <v/>
      </c>
      <c r="BF13" s="9">
        <f>0</f>
        <v/>
      </c>
      <c r="BG13" s="9">
        <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f>
        <v/>
      </c>
      <c r="BH13" s="9">
        <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f>
        <v/>
      </c>
      <c r="BI13" s="9">
        <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f>
        <v/>
      </c>
      <c r="BJ13" s="9">
        <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f>
        <v/>
      </c>
    </row>
    <row r="14">
      <c r="A14" s="9">
        <f>ROUND(-1+12*2/240,3)</f>
        <v/>
      </c>
      <c r="B14" s="9">
        <f>IF(OR(Inputs!$F$6=TRUE,Inputs!$F$6="TRUE",Inputs!$F$6=1),(Inputs!$H$6+Inputs!$L$6*(((Inputs!$I$6+(((A14)+1)/2)*(Inputs!$J$6-Inputs!$I$6)))/Inputs!$K$6)^2),NA())</f>
        <v/>
      </c>
      <c r="C14" s="9">
        <f>IF(OR(Inputs!$F$7=TRUE,Inputs!$F$7="TRUE",Inputs!$F$7=1),(Inputs!$H$7+Inputs!$L$7*(((Inputs!$I$7+(((A14)+1)/2)*(Inputs!$J$7-Inputs!$I$7)))/Inputs!$K$7)^2),NA())</f>
        <v/>
      </c>
      <c r="D14" s="9">
        <f>IF(OR(Inputs!$F$8=TRUE,Inputs!$F$8="TRUE",Inputs!$F$8=1),(Inputs!$H$8+Inputs!$L$8*(((Inputs!$I$8+(((A14)+1)/2)*(Inputs!$J$8-Inputs!$I$8)))/Inputs!$K$8)^2),NA())</f>
        <v/>
      </c>
      <c r="E14" s="9">
        <f>IF(OR(Inputs!$F$9=TRUE,Inputs!$F$9="TRUE",Inputs!$F$9=1),(Inputs!$H$9+Inputs!$L$9*(((Inputs!$I$9+(((A14)+1)/2)*(Inputs!$J$9-Inputs!$I$9)))/Inputs!$K$9)^2),NA())</f>
        <v/>
      </c>
      <c r="F14" s="10" t="n"/>
      <c r="G14" s="9">
        <f>A14</f>
        <v/>
      </c>
      <c r="H14" s="9">
        <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f>
        <v/>
      </c>
      <c r="I14" s="9">
        <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f>
        <v/>
      </c>
      <c r="J14" s="9">
        <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f>
        <v/>
      </c>
      <c r="K14" s="9">
        <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f>
        <v/>
      </c>
      <c r="L14" s="10" t="n"/>
      <c r="M14" s="9">
        <f>A14</f>
        <v/>
      </c>
      <c r="N14" s="9">
        <f>IF(OR(Inputs!$F$6=TRUE,Inputs!$F$6="TRUE",Inputs!$F$6=1),(-2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NA())</f>
        <v/>
      </c>
      <c r="O14" s="9">
        <f>IF(OR(Inputs!$F$7=TRUE,Inputs!$F$7="TRUE",Inputs!$F$7=1),(-2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NA())</f>
        <v/>
      </c>
      <c r="P14" s="9">
        <f>IF(OR(Inputs!$F$8=TRUE,Inputs!$F$8="TRUE",Inputs!$F$8=1),(-2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NA())</f>
        <v/>
      </c>
      <c r="Q14" s="9">
        <f>IF(OR(Inputs!$F$9=TRUE,Inputs!$F$9="TRUE",Inputs!$F$9=1),(-2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NA())</f>
        <v/>
      </c>
      <c r="R14" s="10" t="n"/>
      <c r="S14" s="9">
        <f>A14</f>
        <v/>
      </c>
      <c r="T14" s="9">
        <f>(Inputs!$I$6+(((A14)+1)/2)*(Inputs!$J$6-Inputs!$I$6))</f>
        <v/>
      </c>
      <c r="U14" s="9">
        <f>(Inputs!$I$7+(((A14)+1)/2)*(Inputs!$J$7-Inputs!$I$7))</f>
        <v/>
      </c>
      <c r="V14" s="9">
        <f>(Inputs!$I$8+(((A14)+1)/2)*(Inputs!$J$8-Inputs!$I$8))</f>
        <v/>
      </c>
      <c r="W14" s="9">
        <f>(Inputs!$I$9+(((A14)+1)/2)*(Inputs!$J$9-Inputs!$I$9))</f>
        <v/>
      </c>
      <c r="X14" s="10" t="n"/>
      <c r="Y14" s="9">
        <f>A14</f>
        <v/>
      </c>
      <c r="Z14" s="9">
        <f>(Inputs!$H$6+Inputs!$L$6*(((Inputs!$I$6+(((A14)+1)/2)*(Inputs!$J$6-Inputs!$I$6)))/Inputs!$K$6)^2)</f>
        <v/>
      </c>
      <c r="AA14" s="9">
        <f>(Inputs!$H$7+Inputs!$L$7*(((Inputs!$I$7+(((A14)+1)/2)*(Inputs!$J$7-Inputs!$I$7)))/Inputs!$K$7)^2)</f>
        <v/>
      </c>
      <c r="AB14" s="9">
        <f>(Inputs!$H$8+Inputs!$L$8*(((Inputs!$I$8+(((A14)+1)/2)*(Inputs!$J$8-Inputs!$I$8)))/Inputs!$K$8)^2)</f>
        <v/>
      </c>
      <c r="AC14" s="9">
        <f>(Inputs!$H$9+Inputs!$L$9*(((Inputs!$I$9+(((A14)+1)/2)*(Inputs!$J$9-Inputs!$I$9)))/Inputs!$K$9)^2)</f>
        <v/>
      </c>
      <c r="AD14" s="10" t="n"/>
      <c r="AE14" s="9">
        <f>A14</f>
        <v/>
      </c>
      <c r="AF14" s="9">
        <f>(((SQRT((Inputs!$C$52+((Inputs!$H$6+Inputs!$L$6*(((Inputs!$I$6+(((A14)+1)/2)*(Inputs!$J$6-Inputs!$I$6)))/Inputs!$K$6)^2)))^2+Inputs!$C$52^2-2*(Inputs!$C$52+((Inputs!$H$6+Inputs!$L$6*(((Inputs!$I$6+(((A14)+1)/2)*(Inputs!$J$6-Inputs!$I$6)))/Inputs!$K$6)^2)))*Inputs!$C$52*COS(SQRT(((Inputs!$I$6+(((A14)+1)/2)*(Inputs!$J$6-Inputs!$I$6)))^2+Inputs!$C$6^2)/Inputs!$C$52)))-((Inputs!$H$6+Inputs!$L$6*(((Inputs!$I$6+(((A14)+1)/2)*(Inputs!$J$6-Inputs!$I$6)))/Inputs!$K$6)^2)))*1000/Inputs!$C$12)</f>
        <v/>
      </c>
      <c r="AG14" s="9">
        <f>(((SQRT((Inputs!$C$52+((Inputs!$H$7+Inputs!$L$7*(((Inputs!$I$7+(((A14)+1)/2)*(Inputs!$J$7-Inputs!$I$7)))/Inputs!$K$7)^2)))^2+Inputs!$C$52^2-2*(Inputs!$C$52+((Inputs!$H$7+Inputs!$L$7*(((Inputs!$I$7+(((A14)+1)/2)*(Inputs!$J$7-Inputs!$I$7)))/Inputs!$K$7)^2)))*Inputs!$C$52*COS(SQRT(((Inputs!$I$7+(((A14)+1)/2)*(Inputs!$J$7-Inputs!$I$7)))^2+Inputs!$C$6^2)/Inputs!$C$52)))-((Inputs!$H$7+Inputs!$L$7*(((Inputs!$I$7+(((A14)+1)/2)*(Inputs!$J$7-Inputs!$I$7)))/Inputs!$K$7)^2)))*1000/Inputs!$C$12)</f>
        <v/>
      </c>
      <c r="AH14" s="9">
        <f>(((SQRT((Inputs!$C$52+((Inputs!$H$8+Inputs!$L$8*(((Inputs!$I$8+(((A14)+1)/2)*(Inputs!$J$8-Inputs!$I$8)))/Inputs!$K$8)^2)))^2+Inputs!$C$52^2-2*(Inputs!$C$52+((Inputs!$H$8+Inputs!$L$8*(((Inputs!$I$8+(((A14)+1)/2)*(Inputs!$J$8-Inputs!$I$8)))/Inputs!$K$8)^2)))*Inputs!$C$52*COS(SQRT(((Inputs!$I$8+(((A14)+1)/2)*(Inputs!$J$8-Inputs!$I$8)))^2+Inputs!$C$6^2)/Inputs!$C$52)))-((Inputs!$H$8+Inputs!$L$8*(((Inputs!$I$8+(((A14)+1)/2)*(Inputs!$J$8-Inputs!$I$8)))/Inputs!$K$8)^2)))*1000/Inputs!$C$12)</f>
        <v/>
      </c>
      <c r="AI14" s="9">
        <f>(((SQRT((Inputs!$C$52+((Inputs!$H$9+Inputs!$L$9*(((Inputs!$I$9+(((A14)+1)/2)*(Inputs!$J$9-Inputs!$I$9)))/Inputs!$K$9)^2)))^2+Inputs!$C$52^2-2*(Inputs!$C$52+((Inputs!$H$9+Inputs!$L$9*(((Inputs!$I$9+(((A14)+1)/2)*(Inputs!$J$9-Inputs!$I$9)))/Inputs!$K$9)^2)))*Inputs!$C$52*COS(SQRT(((Inputs!$I$9+(((A14)+1)/2)*(Inputs!$J$9-Inputs!$I$9)))^2+Inputs!$C$6^2)/Inputs!$C$52)))-((Inputs!$H$9+Inputs!$L$9*(((Inputs!$I$9+(((A14)+1)/2)*(Inputs!$J$9-Inputs!$I$9)))/Inputs!$K$9)^2)))*1000/Inputs!$C$12)</f>
        <v/>
      </c>
      <c r="AJ14" s="10" t="n"/>
      <c r="AK14" s="9">
        <f>A14</f>
        <v/>
      </c>
      <c r="AL14" s="9">
        <f>(-2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f>
        <v/>
      </c>
      <c r="AM14" s="9">
        <f>(-2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f>
        <v/>
      </c>
      <c r="AN14" s="9">
        <f>(-2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f>
        <v/>
      </c>
      <c r="AO14" s="9">
        <f>(-2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f>
        <v/>
      </c>
      <c r="AP14" s="10" t="n"/>
      <c r="AQ14" s="9">
        <f>A14</f>
        <v/>
      </c>
      <c r="AR14" s="9">
        <f>0</f>
        <v/>
      </c>
      <c r="AS14" s="9">
        <f>IF(OR(Inputs!$F$6=TRUE,Inputs!$F$6="TRUE",Inputs!$F$6=1),IF(OR(Inputs!$C$27=TRUE,Inputs!$C$27="TRUE",Inputs!$C$27=1),1,0)*(Inputs!$C$51*(115*EXP(-(((Inputs!$C$6)-25)^2)/(4.5^2))+70*EXP(-(((Inputs!$C$6)+38)^2)/(7^2))*(0.55+0.45*SIN(2*PI()*((Inputs!$I$6+(((A14)+1)/2)*(Inputs!$J$6-Inputs!$I$6)))/45))+24*SIN(2*PI()*(Inputs!$C$6)/9+((Inputs!$I$6+(((A14)+1)/2)*(Inputs!$J$6-Inputs!$I$6)))/18)*EXP(-(((Inputs!$C$6)+5)^2)/(22^2))+18*SIN(2*PI()*((Inputs!$I$6+(((A14)+1)/2)*(Inputs!$J$6-Inputs!$I$6)))/70))+Inputs!$C$28*EXP(-((((Inputs!$I$6+(((A14)+1)/2)*(Inputs!$J$6-Inputs!$I$6)))-Inputs!$C$29)^2)/(2*Inputs!$C$31^2))*EXP(-(((Inputs!$C$6)-Inputs!$C$30)^2)/(2*Inputs!$C$32^2))+-Inputs!$C$33*EXP(-((((((Inputs!$I$6+(((A14)+1)/2)*(Inputs!$J$6-Inputs!$I$6)))-Inputs!$C$34)^2)+(((Inputs!$C$6)-Inputs!$C$35)^2))/(2*Inputs!$C$36^2)))+Inputs!$C$37*(0.55*SIN(2*PI()*((Inputs!$I$6+(((A14)+1)/2)*(Inputs!$J$6-Inputs!$I$6)))/Inputs!$C$39)+0.35*COS(2*PI()*(Inputs!$C$6)/Inputs!$C$40)+0.2*SIN(2*PI()*(((Inputs!$I$6+(((A14)+1)/2)*(Inputs!$J$6-Inputs!$I$6)))+(Inputs!$C$6))/(0.5*(Inputs!$C$39+Inputs!$C$40))))+Inputs!$C$38*SIN(2*PI()*((Inputs!$I$6+(((A14)+1)/2)*(Inputs!$J$6-Inputs!$I$6)))/Inputs!$C$39)*SIN(2*PI()*(Inputs!$C$6)/Inputs!$C$40)+-Inputs!$C$41*EXP(-(((Inputs!$C$6)-Inputs!$C$43)^2)/(2*Inputs!$C$44^2))*EXP(-((((Inputs!$I$6+(((A14)+1)/2)*(Inputs!$J$6-Inputs!$I$6)))-Inputs!$C$42)^2)/(2*Inputs!$C$45^2))+Inputs!$C$48*(0.7*(0.45*SIN(2*PI()*((((Inputs!$I$6+(((A14)+1)/2)*(Inputs!$J$6-Inputs!$I$6)))/Inputs!$C$49)+Inputs!$C$47*0.137))+0.35*COS(2*PI()*(((Inputs!$C$6)/Inputs!$C$50)+Inputs!$C$47*0.173))+0.2*SIN(2*PI()*((((Inputs!$I$6+(((A14)+1)/2)*(Inputs!$J$6-Inputs!$I$6)))+(Inputs!$C$6))/(0.5*(Inputs!$C$49+Inputs!$C$50))+Inputs!$C$47*0.097)))+0.3*(2*((SIN((((Inputs!$I$6+(((A14)+1)/2)*(Inputs!$J$6-Inputs!$I$6)))*12.9898+(Inputs!$C$6)*78.233+Inputs!$C$47*37.719))*43758.5453)-INT((SIN((((Inputs!$I$6+(((A14)+1)/2)*(Inputs!$J$6-Inputs!$I$6)))*12.9898+(Inputs!$C$6)*78.233+Inputs!$C$47*37.719))*43758.5453)))-1))),NA())</f>
        <v/>
      </c>
      <c r="AT14" s="9">
        <f>IF(OR(Inputs!$F$7=TRUE,Inputs!$F$7="TRUE",Inputs!$F$7=1),IF(OR(Inputs!$C$27=TRUE,Inputs!$C$27="TRUE",Inputs!$C$27=1),1,0)*(Inputs!$C$51*(115*EXP(-(((Inputs!$C$6)-25)^2)/(4.5^2))+70*EXP(-(((Inputs!$C$6)+38)^2)/(7^2))*(0.55+0.45*SIN(2*PI()*((Inputs!$I$7+(((A14)+1)/2)*(Inputs!$J$7-Inputs!$I$7)))/45))+24*SIN(2*PI()*(Inputs!$C$6)/9+((Inputs!$I$7+(((A14)+1)/2)*(Inputs!$J$7-Inputs!$I$7)))/18)*EXP(-(((Inputs!$C$6)+5)^2)/(22^2))+18*SIN(2*PI()*((Inputs!$I$7+(((A14)+1)/2)*(Inputs!$J$7-Inputs!$I$7)))/70))+Inputs!$C$28*EXP(-((((Inputs!$I$7+(((A14)+1)/2)*(Inputs!$J$7-Inputs!$I$7)))-Inputs!$C$29)^2)/(2*Inputs!$C$31^2))*EXP(-(((Inputs!$C$6)-Inputs!$C$30)^2)/(2*Inputs!$C$32^2))+-Inputs!$C$33*EXP(-((((((Inputs!$I$7+(((A14)+1)/2)*(Inputs!$J$7-Inputs!$I$7)))-Inputs!$C$34)^2)+(((Inputs!$C$6)-Inputs!$C$35)^2))/(2*Inputs!$C$36^2)))+Inputs!$C$37*(0.55*SIN(2*PI()*((Inputs!$I$7+(((A14)+1)/2)*(Inputs!$J$7-Inputs!$I$7)))/Inputs!$C$39)+0.35*COS(2*PI()*(Inputs!$C$6)/Inputs!$C$40)+0.2*SIN(2*PI()*(((Inputs!$I$7+(((A14)+1)/2)*(Inputs!$J$7-Inputs!$I$7)))+(Inputs!$C$6))/(0.5*(Inputs!$C$39+Inputs!$C$40))))+Inputs!$C$38*SIN(2*PI()*((Inputs!$I$7+(((A14)+1)/2)*(Inputs!$J$7-Inputs!$I$7)))/Inputs!$C$39)*SIN(2*PI()*(Inputs!$C$6)/Inputs!$C$40)+-Inputs!$C$41*EXP(-(((Inputs!$C$6)-Inputs!$C$43)^2)/(2*Inputs!$C$44^2))*EXP(-((((Inputs!$I$7+(((A14)+1)/2)*(Inputs!$J$7-Inputs!$I$7)))-Inputs!$C$42)^2)/(2*Inputs!$C$45^2))+Inputs!$C$48*(0.7*(0.45*SIN(2*PI()*((((Inputs!$I$7+(((A14)+1)/2)*(Inputs!$J$7-Inputs!$I$7)))/Inputs!$C$49)+Inputs!$C$47*0.137))+0.35*COS(2*PI()*(((Inputs!$C$6)/Inputs!$C$50)+Inputs!$C$47*0.173))+0.2*SIN(2*PI()*((((Inputs!$I$7+(((A14)+1)/2)*(Inputs!$J$7-Inputs!$I$7)))+(Inputs!$C$6))/(0.5*(Inputs!$C$49+Inputs!$C$50))+Inputs!$C$47*0.097)))+0.3*(2*((SIN((((Inputs!$I$7+(((A14)+1)/2)*(Inputs!$J$7-Inputs!$I$7)))*12.9898+(Inputs!$C$6)*78.233+Inputs!$C$47*37.719))*43758.5453)-INT((SIN((((Inputs!$I$7+(((A14)+1)/2)*(Inputs!$J$7-Inputs!$I$7)))*12.9898+(Inputs!$C$6)*78.233+Inputs!$C$47*37.719))*43758.5453)))-1))),NA())</f>
        <v/>
      </c>
      <c r="AU14" s="9">
        <f>IF(OR(Inputs!$F$8=TRUE,Inputs!$F$8="TRUE",Inputs!$F$8=1),IF(OR(Inputs!$C$27=TRUE,Inputs!$C$27="TRUE",Inputs!$C$27=1),1,0)*(Inputs!$C$51*(115*EXP(-(((Inputs!$C$6)-25)^2)/(4.5^2))+70*EXP(-(((Inputs!$C$6)+38)^2)/(7^2))*(0.55+0.45*SIN(2*PI()*((Inputs!$I$8+(((A14)+1)/2)*(Inputs!$J$8-Inputs!$I$8)))/45))+24*SIN(2*PI()*(Inputs!$C$6)/9+((Inputs!$I$8+(((A14)+1)/2)*(Inputs!$J$8-Inputs!$I$8)))/18)*EXP(-(((Inputs!$C$6)+5)^2)/(22^2))+18*SIN(2*PI()*((Inputs!$I$8+(((A14)+1)/2)*(Inputs!$J$8-Inputs!$I$8)))/70))+Inputs!$C$28*EXP(-((((Inputs!$I$8+(((A14)+1)/2)*(Inputs!$J$8-Inputs!$I$8)))-Inputs!$C$29)^2)/(2*Inputs!$C$31^2))*EXP(-(((Inputs!$C$6)-Inputs!$C$30)^2)/(2*Inputs!$C$32^2))+-Inputs!$C$33*EXP(-((((((Inputs!$I$8+(((A14)+1)/2)*(Inputs!$J$8-Inputs!$I$8)))-Inputs!$C$34)^2)+(((Inputs!$C$6)-Inputs!$C$35)^2))/(2*Inputs!$C$36^2)))+Inputs!$C$37*(0.55*SIN(2*PI()*((Inputs!$I$8+(((A14)+1)/2)*(Inputs!$J$8-Inputs!$I$8)))/Inputs!$C$39)+0.35*COS(2*PI()*(Inputs!$C$6)/Inputs!$C$40)+0.2*SIN(2*PI()*(((Inputs!$I$8+(((A14)+1)/2)*(Inputs!$J$8-Inputs!$I$8)))+(Inputs!$C$6))/(0.5*(Inputs!$C$39+Inputs!$C$40))))+Inputs!$C$38*SIN(2*PI()*((Inputs!$I$8+(((A14)+1)/2)*(Inputs!$J$8-Inputs!$I$8)))/Inputs!$C$39)*SIN(2*PI()*(Inputs!$C$6)/Inputs!$C$40)+-Inputs!$C$41*EXP(-(((Inputs!$C$6)-Inputs!$C$43)^2)/(2*Inputs!$C$44^2))*EXP(-((((Inputs!$I$8+(((A14)+1)/2)*(Inputs!$J$8-Inputs!$I$8)))-Inputs!$C$42)^2)/(2*Inputs!$C$45^2))+Inputs!$C$48*(0.7*(0.45*SIN(2*PI()*((((Inputs!$I$8+(((A14)+1)/2)*(Inputs!$J$8-Inputs!$I$8)))/Inputs!$C$49)+Inputs!$C$47*0.137))+0.35*COS(2*PI()*(((Inputs!$C$6)/Inputs!$C$50)+Inputs!$C$47*0.173))+0.2*SIN(2*PI()*((((Inputs!$I$8+(((A14)+1)/2)*(Inputs!$J$8-Inputs!$I$8)))+(Inputs!$C$6))/(0.5*(Inputs!$C$49+Inputs!$C$50))+Inputs!$C$47*0.097)))+0.3*(2*((SIN((((Inputs!$I$8+(((A14)+1)/2)*(Inputs!$J$8-Inputs!$I$8)))*12.9898+(Inputs!$C$6)*78.233+Inputs!$C$47*37.719))*43758.5453)-INT((SIN((((Inputs!$I$8+(((A14)+1)/2)*(Inputs!$J$8-Inputs!$I$8)))*12.9898+(Inputs!$C$6)*78.233+Inputs!$C$47*37.719))*43758.5453)))-1))),NA())</f>
        <v/>
      </c>
      <c r="AV14" s="9">
        <f>IF(OR(Inputs!$F$9=TRUE,Inputs!$F$9="TRUE",Inputs!$F$9=1),IF(OR(Inputs!$C$27=TRUE,Inputs!$C$27="TRUE",Inputs!$C$27=1),1,0)*(Inputs!$C$51*(115*EXP(-(((Inputs!$C$6)-25)^2)/(4.5^2))+70*EXP(-(((Inputs!$C$6)+38)^2)/(7^2))*(0.55+0.45*SIN(2*PI()*((Inputs!$I$9+(((A14)+1)/2)*(Inputs!$J$9-Inputs!$I$9)))/45))+24*SIN(2*PI()*(Inputs!$C$6)/9+((Inputs!$I$9+(((A14)+1)/2)*(Inputs!$J$9-Inputs!$I$9)))/18)*EXP(-(((Inputs!$C$6)+5)^2)/(22^2))+18*SIN(2*PI()*((Inputs!$I$9+(((A14)+1)/2)*(Inputs!$J$9-Inputs!$I$9)))/70))+Inputs!$C$28*EXP(-((((Inputs!$I$9+(((A14)+1)/2)*(Inputs!$J$9-Inputs!$I$9)))-Inputs!$C$29)^2)/(2*Inputs!$C$31^2))*EXP(-(((Inputs!$C$6)-Inputs!$C$30)^2)/(2*Inputs!$C$32^2))+-Inputs!$C$33*EXP(-((((((Inputs!$I$9+(((A14)+1)/2)*(Inputs!$J$9-Inputs!$I$9)))-Inputs!$C$34)^2)+(((Inputs!$C$6)-Inputs!$C$35)^2))/(2*Inputs!$C$36^2)))+Inputs!$C$37*(0.55*SIN(2*PI()*((Inputs!$I$9+(((A14)+1)/2)*(Inputs!$J$9-Inputs!$I$9)))/Inputs!$C$39)+0.35*COS(2*PI()*(Inputs!$C$6)/Inputs!$C$40)+0.2*SIN(2*PI()*(((Inputs!$I$9+(((A14)+1)/2)*(Inputs!$J$9-Inputs!$I$9)))+(Inputs!$C$6))/(0.5*(Inputs!$C$39+Inputs!$C$40))))+Inputs!$C$38*SIN(2*PI()*((Inputs!$I$9+(((A14)+1)/2)*(Inputs!$J$9-Inputs!$I$9)))/Inputs!$C$39)*SIN(2*PI()*(Inputs!$C$6)/Inputs!$C$40)+-Inputs!$C$41*EXP(-(((Inputs!$C$6)-Inputs!$C$43)^2)/(2*Inputs!$C$44^2))*EXP(-((((Inputs!$I$9+(((A14)+1)/2)*(Inputs!$J$9-Inputs!$I$9)))-Inputs!$C$42)^2)/(2*Inputs!$C$45^2))+Inputs!$C$48*(0.7*(0.45*SIN(2*PI()*((((Inputs!$I$9+(((A14)+1)/2)*(Inputs!$J$9-Inputs!$I$9)))/Inputs!$C$49)+Inputs!$C$47*0.137))+0.35*COS(2*PI()*(((Inputs!$C$6)/Inputs!$C$50)+Inputs!$C$47*0.173))+0.2*SIN(2*PI()*((((Inputs!$I$9+(((A14)+1)/2)*(Inputs!$J$9-Inputs!$I$9)))+(Inputs!$C$6))/(0.5*(Inputs!$C$49+Inputs!$C$50))+Inputs!$C$47*0.097)))+0.3*(2*((SIN((((Inputs!$I$9+(((A14)+1)/2)*(Inputs!$J$9-Inputs!$I$9)))*12.9898+(Inputs!$C$6)*78.233+Inputs!$C$47*37.719))*43758.5453)-INT((SIN((((Inputs!$I$9+(((A14)+1)/2)*(Inputs!$J$9-Inputs!$I$9)))*12.9898+(Inputs!$C$6)*78.233+Inputs!$C$47*37.719))*43758.5453)))-1))),NA())</f>
        <v/>
      </c>
      <c r="AW14" s="10" t="n"/>
      <c r="AX14" s="9">
        <f>A14</f>
        <v/>
      </c>
      <c r="AY14" s="9">
        <f>0</f>
        <v/>
      </c>
      <c r="AZ14" s="9">
        <f>IF(OR(Inputs!$F$6=TRUE,Inputs!$F$6="TRUE",Inputs!$F$6=1),(Inputs!$H$6+Inputs!$L$6*(((Inputs!$I$6+(((A14)+1)/2)*(Inputs!$J$6-Inputs!$I$6)))/Inputs!$K$6)^2),NA())</f>
        <v/>
      </c>
      <c r="BA14" s="9">
        <f>IF(OR(Inputs!$F$7=TRUE,Inputs!$F$7="TRUE",Inputs!$F$7=1),(Inputs!$H$7+Inputs!$L$7*(((Inputs!$I$7+(((A14)+1)/2)*(Inputs!$J$7-Inputs!$I$7)))/Inputs!$K$7)^2),NA())</f>
        <v/>
      </c>
      <c r="BB14" s="9">
        <f>IF(OR(Inputs!$F$8=TRUE,Inputs!$F$8="TRUE",Inputs!$F$8=1),(Inputs!$H$8+Inputs!$L$8*(((Inputs!$I$8+(((A14)+1)/2)*(Inputs!$J$8-Inputs!$I$8)))/Inputs!$K$8)^2),NA())</f>
        <v/>
      </c>
      <c r="BC14" s="9">
        <f>IF(OR(Inputs!$F$9=TRUE,Inputs!$F$9="TRUE",Inputs!$F$9=1),(Inputs!$H$9+Inputs!$L$9*(((Inputs!$I$9+(((A14)+1)/2)*(Inputs!$J$9-Inputs!$I$9)))/Inputs!$K$9)^2),NA())</f>
        <v/>
      </c>
      <c r="BD14" s="10" t="n"/>
      <c r="BE14" s="9">
        <f>A14</f>
        <v/>
      </c>
      <c r="BF14" s="9">
        <f>0</f>
        <v/>
      </c>
      <c r="BG14" s="9">
        <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f>
        <v/>
      </c>
      <c r="BH14" s="9">
        <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f>
        <v/>
      </c>
      <c r="BI14" s="9">
        <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f>
        <v/>
      </c>
      <c r="BJ14" s="9">
        <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f>
        <v/>
      </c>
    </row>
    <row r="15">
      <c r="A15" s="9">
        <f>ROUND(-1+13*2/240,3)</f>
        <v/>
      </c>
      <c r="B15" s="9">
        <f>IF(OR(Inputs!$F$6=TRUE,Inputs!$F$6="TRUE",Inputs!$F$6=1),(Inputs!$H$6+Inputs!$L$6*(((Inputs!$I$6+(((A15)+1)/2)*(Inputs!$J$6-Inputs!$I$6)))/Inputs!$K$6)^2),NA())</f>
        <v/>
      </c>
      <c r="C15" s="9">
        <f>IF(OR(Inputs!$F$7=TRUE,Inputs!$F$7="TRUE",Inputs!$F$7=1),(Inputs!$H$7+Inputs!$L$7*(((Inputs!$I$7+(((A15)+1)/2)*(Inputs!$J$7-Inputs!$I$7)))/Inputs!$K$7)^2),NA())</f>
        <v/>
      </c>
      <c r="D15" s="9">
        <f>IF(OR(Inputs!$F$8=TRUE,Inputs!$F$8="TRUE",Inputs!$F$8=1),(Inputs!$H$8+Inputs!$L$8*(((Inputs!$I$8+(((A15)+1)/2)*(Inputs!$J$8-Inputs!$I$8)))/Inputs!$K$8)^2),NA())</f>
        <v/>
      </c>
      <c r="E15" s="9">
        <f>IF(OR(Inputs!$F$9=TRUE,Inputs!$F$9="TRUE",Inputs!$F$9=1),(Inputs!$H$9+Inputs!$L$9*(((Inputs!$I$9+(((A15)+1)/2)*(Inputs!$J$9-Inputs!$I$9)))/Inputs!$K$9)^2),NA())</f>
        <v/>
      </c>
      <c r="F15" s="10" t="n"/>
      <c r="G15" s="9">
        <f>A15</f>
        <v/>
      </c>
      <c r="H15" s="9">
        <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f>
        <v/>
      </c>
      <c r="I15" s="9">
        <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f>
        <v/>
      </c>
      <c r="J15" s="9">
        <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f>
        <v/>
      </c>
      <c r="K15" s="9">
        <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f>
        <v/>
      </c>
      <c r="L15" s="10" t="n"/>
      <c r="M15" s="9">
        <f>A15</f>
        <v/>
      </c>
      <c r="N15" s="9">
        <f>IF(OR(Inputs!$F$6=TRUE,Inputs!$F$6="TRUE",Inputs!$F$6=1),(-2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NA())</f>
        <v/>
      </c>
      <c r="O15" s="9">
        <f>IF(OR(Inputs!$F$7=TRUE,Inputs!$F$7="TRUE",Inputs!$F$7=1),(-2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NA())</f>
        <v/>
      </c>
      <c r="P15" s="9">
        <f>IF(OR(Inputs!$F$8=TRUE,Inputs!$F$8="TRUE",Inputs!$F$8=1),(-2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NA())</f>
        <v/>
      </c>
      <c r="Q15" s="9">
        <f>IF(OR(Inputs!$F$9=TRUE,Inputs!$F$9="TRUE",Inputs!$F$9=1),(-2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NA())</f>
        <v/>
      </c>
      <c r="R15" s="10" t="n"/>
      <c r="S15" s="9">
        <f>A15</f>
        <v/>
      </c>
      <c r="T15" s="9">
        <f>(Inputs!$I$6+(((A15)+1)/2)*(Inputs!$J$6-Inputs!$I$6))</f>
        <v/>
      </c>
      <c r="U15" s="9">
        <f>(Inputs!$I$7+(((A15)+1)/2)*(Inputs!$J$7-Inputs!$I$7))</f>
        <v/>
      </c>
      <c r="V15" s="9">
        <f>(Inputs!$I$8+(((A15)+1)/2)*(Inputs!$J$8-Inputs!$I$8))</f>
        <v/>
      </c>
      <c r="W15" s="9">
        <f>(Inputs!$I$9+(((A15)+1)/2)*(Inputs!$J$9-Inputs!$I$9))</f>
        <v/>
      </c>
      <c r="X15" s="10" t="n"/>
      <c r="Y15" s="9">
        <f>A15</f>
        <v/>
      </c>
      <c r="Z15" s="9">
        <f>(Inputs!$H$6+Inputs!$L$6*(((Inputs!$I$6+(((A15)+1)/2)*(Inputs!$J$6-Inputs!$I$6)))/Inputs!$K$6)^2)</f>
        <v/>
      </c>
      <c r="AA15" s="9">
        <f>(Inputs!$H$7+Inputs!$L$7*(((Inputs!$I$7+(((A15)+1)/2)*(Inputs!$J$7-Inputs!$I$7)))/Inputs!$K$7)^2)</f>
        <v/>
      </c>
      <c r="AB15" s="9">
        <f>(Inputs!$H$8+Inputs!$L$8*(((Inputs!$I$8+(((A15)+1)/2)*(Inputs!$J$8-Inputs!$I$8)))/Inputs!$K$8)^2)</f>
        <v/>
      </c>
      <c r="AC15" s="9">
        <f>(Inputs!$H$9+Inputs!$L$9*(((Inputs!$I$9+(((A15)+1)/2)*(Inputs!$J$9-Inputs!$I$9)))/Inputs!$K$9)^2)</f>
        <v/>
      </c>
      <c r="AD15" s="10" t="n"/>
      <c r="AE15" s="9">
        <f>A15</f>
        <v/>
      </c>
      <c r="AF15" s="9">
        <f>(((SQRT((Inputs!$C$52+((Inputs!$H$6+Inputs!$L$6*(((Inputs!$I$6+(((A15)+1)/2)*(Inputs!$J$6-Inputs!$I$6)))/Inputs!$K$6)^2)))^2+Inputs!$C$52^2-2*(Inputs!$C$52+((Inputs!$H$6+Inputs!$L$6*(((Inputs!$I$6+(((A15)+1)/2)*(Inputs!$J$6-Inputs!$I$6)))/Inputs!$K$6)^2)))*Inputs!$C$52*COS(SQRT(((Inputs!$I$6+(((A15)+1)/2)*(Inputs!$J$6-Inputs!$I$6)))^2+Inputs!$C$6^2)/Inputs!$C$52)))-((Inputs!$H$6+Inputs!$L$6*(((Inputs!$I$6+(((A15)+1)/2)*(Inputs!$J$6-Inputs!$I$6)))/Inputs!$K$6)^2)))*1000/Inputs!$C$12)</f>
        <v/>
      </c>
      <c r="AG15" s="9">
        <f>(((SQRT((Inputs!$C$52+((Inputs!$H$7+Inputs!$L$7*(((Inputs!$I$7+(((A15)+1)/2)*(Inputs!$J$7-Inputs!$I$7)))/Inputs!$K$7)^2)))^2+Inputs!$C$52^2-2*(Inputs!$C$52+((Inputs!$H$7+Inputs!$L$7*(((Inputs!$I$7+(((A15)+1)/2)*(Inputs!$J$7-Inputs!$I$7)))/Inputs!$K$7)^2)))*Inputs!$C$52*COS(SQRT(((Inputs!$I$7+(((A15)+1)/2)*(Inputs!$J$7-Inputs!$I$7)))^2+Inputs!$C$6^2)/Inputs!$C$52)))-((Inputs!$H$7+Inputs!$L$7*(((Inputs!$I$7+(((A15)+1)/2)*(Inputs!$J$7-Inputs!$I$7)))/Inputs!$K$7)^2)))*1000/Inputs!$C$12)</f>
        <v/>
      </c>
      <c r="AH15" s="9">
        <f>(((SQRT((Inputs!$C$52+((Inputs!$H$8+Inputs!$L$8*(((Inputs!$I$8+(((A15)+1)/2)*(Inputs!$J$8-Inputs!$I$8)))/Inputs!$K$8)^2)))^2+Inputs!$C$52^2-2*(Inputs!$C$52+((Inputs!$H$8+Inputs!$L$8*(((Inputs!$I$8+(((A15)+1)/2)*(Inputs!$J$8-Inputs!$I$8)))/Inputs!$K$8)^2)))*Inputs!$C$52*COS(SQRT(((Inputs!$I$8+(((A15)+1)/2)*(Inputs!$J$8-Inputs!$I$8)))^2+Inputs!$C$6^2)/Inputs!$C$52)))-((Inputs!$H$8+Inputs!$L$8*(((Inputs!$I$8+(((A15)+1)/2)*(Inputs!$J$8-Inputs!$I$8)))/Inputs!$K$8)^2)))*1000/Inputs!$C$12)</f>
        <v/>
      </c>
      <c r="AI15" s="9">
        <f>(((SQRT((Inputs!$C$52+((Inputs!$H$9+Inputs!$L$9*(((Inputs!$I$9+(((A15)+1)/2)*(Inputs!$J$9-Inputs!$I$9)))/Inputs!$K$9)^2)))^2+Inputs!$C$52^2-2*(Inputs!$C$52+((Inputs!$H$9+Inputs!$L$9*(((Inputs!$I$9+(((A15)+1)/2)*(Inputs!$J$9-Inputs!$I$9)))/Inputs!$K$9)^2)))*Inputs!$C$52*COS(SQRT(((Inputs!$I$9+(((A15)+1)/2)*(Inputs!$J$9-Inputs!$I$9)))^2+Inputs!$C$6^2)/Inputs!$C$52)))-((Inputs!$H$9+Inputs!$L$9*(((Inputs!$I$9+(((A15)+1)/2)*(Inputs!$J$9-Inputs!$I$9)))/Inputs!$K$9)^2)))*1000/Inputs!$C$12)</f>
        <v/>
      </c>
      <c r="AJ15" s="10" t="n"/>
      <c r="AK15" s="9">
        <f>A15</f>
        <v/>
      </c>
      <c r="AL15" s="9">
        <f>(-2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f>
        <v/>
      </c>
      <c r="AM15" s="9">
        <f>(-2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f>
        <v/>
      </c>
      <c r="AN15" s="9">
        <f>(-2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f>
        <v/>
      </c>
      <c r="AO15" s="9">
        <f>(-2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f>
        <v/>
      </c>
      <c r="AP15" s="10" t="n"/>
      <c r="AQ15" s="9">
        <f>A15</f>
        <v/>
      </c>
      <c r="AR15" s="9">
        <f>0</f>
        <v/>
      </c>
      <c r="AS15" s="9">
        <f>IF(OR(Inputs!$F$6=TRUE,Inputs!$F$6="TRUE",Inputs!$F$6=1),IF(OR(Inputs!$C$27=TRUE,Inputs!$C$27="TRUE",Inputs!$C$27=1),1,0)*(Inputs!$C$51*(115*EXP(-(((Inputs!$C$6)-25)^2)/(4.5^2))+70*EXP(-(((Inputs!$C$6)+38)^2)/(7^2))*(0.55+0.45*SIN(2*PI()*((Inputs!$I$6+(((A15)+1)/2)*(Inputs!$J$6-Inputs!$I$6)))/45))+24*SIN(2*PI()*(Inputs!$C$6)/9+((Inputs!$I$6+(((A15)+1)/2)*(Inputs!$J$6-Inputs!$I$6)))/18)*EXP(-(((Inputs!$C$6)+5)^2)/(22^2))+18*SIN(2*PI()*((Inputs!$I$6+(((A15)+1)/2)*(Inputs!$J$6-Inputs!$I$6)))/70))+Inputs!$C$28*EXP(-((((Inputs!$I$6+(((A15)+1)/2)*(Inputs!$J$6-Inputs!$I$6)))-Inputs!$C$29)^2)/(2*Inputs!$C$31^2))*EXP(-(((Inputs!$C$6)-Inputs!$C$30)^2)/(2*Inputs!$C$32^2))+-Inputs!$C$33*EXP(-((((((Inputs!$I$6+(((A15)+1)/2)*(Inputs!$J$6-Inputs!$I$6)))-Inputs!$C$34)^2)+(((Inputs!$C$6)-Inputs!$C$35)^2))/(2*Inputs!$C$36^2)))+Inputs!$C$37*(0.55*SIN(2*PI()*((Inputs!$I$6+(((A15)+1)/2)*(Inputs!$J$6-Inputs!$I$6)))/Inputs!$C$39)+0.35*COS(2*PI()*(Inputs!$C$6)/Inputs!$C$40)+0.2*SIN(2*PI()*(((Inputs!$I$6+(((A15)+1)/2)*(Inputs!$J$6-Inputs!$I$6)))+(Inputs!$C$6))/(0.5*(Inputs!$C$39+Inputs!$C$40))))+Inputs!$C$38*SIN(2*PI()*((Inputs!$I$6+(((A15)+1)/2)*(Inputs!$J$6-Inputs!$I$6)))/Inputs!$C$39)*SIN(2*PI()*(Inputs!$C$6)/Inputs!$C$40)+-Inputs!$C$41*EXP(-(((Inputs!$C$6)-Inputs!$C$43)^2)/(2*Inputs!$C$44^2))*EXP(-((((Inputs!$I$6+(((A15)+1)/2)*(Inputs!$J$6-Inputs!$I$6)))-Inputs!$C$42)^2)/(2*Inputs!$C$45^2))+Inputs!$C$48*(0.7*(0.45*SIN(2*PI()*((((Inputs!$I$6+(((A15)+1)/2)*(Inputs!$J$6-Inputs!$I$6)))/Inputs!$C$49)+Inputs!$C$47*0.137))+0.35*COS(2*PI()*(((Inputs!$C$6)/Inputs!$C$50)+Inputs!$C$47*0.173))+0.2*SIN(2*PI()*((((Inputs!$I$6+(((A15)+1)/2)*(Inputs!$J$6-Inputs!$I$6)))+(Inputs!$C$6))/(0.5*(Inputs!$C$49+Inputs!$C$50))+Inputs!$C$47*0.097)))+0.3*(2*((SIN((((Inputs!$I$6+(((A15)+1)/2)*(Inputs!$J$6-Inputs!$I$6)))*12.9898+(Inputs!$C$6)*78.233+Inputs!$C$47*37.719))*43758.5453)-INT((SIN((((Inputs!$I$6+(((A15)+1)/2)*(Inputs!$J$6-Inputs!$I$6)))*12.9898+(Inputs!$C$6)*78.233+Inputs!$C$47*37.719))*43758.5453)))-1))),NA())</f>
        <v/>
      </c>
      <c r="AT15" s="9">
        <f>IF(OR(Inputs!$F$7=TRUE,Inputs!$F$7="TRUE",Inputs!$F$7=1),IF(OR(Inputs!$C$27=TRUE,Inputs!$C$27="TRUE",Inputs!$C$27=1),1,0)*(Inputs!$C$51*(115*EXP(-(((Inputs!$C$6)-25)^2)/(4.5^2))+70*EXP(-(((Inputs!$C$6)+38)^2)/(7^2))*(0.55+0.45*SIN(2*PI()*((Inputs!$I$7+(((A15)+1)/2)*(Inputs!$J$7-Inputs!$I$7)))/45))+24*SIN(2*PI()*(Inputs!$C$6)/9+((Inputs!$I$7+(((A15)+1)/2)*(Inputs!$J$7-Inputs!$I$7)))/18)*EXP(-(((Inputs!$C$6)+5)^2)/(22^2))+18*SIN(2*PI()*((Inputs!$I$7+(((A15)+1)/2)*(Inputs!$J$7-Inputs!$I$7)))/70))+Inputs!$C$28*EXP(-((((Inputs!$I$7+(((A15)+1)/2)*(Inputs!$J$7-Inputs!$I$7)))-Inputs!$C$29)^2)/(2*Inputs!$C$31^2))*EXP(-(((Inputs!$C$6)-Inputs!$C$30)^2)/(2*Inputs!$C$32^2))+-Inputs!$C$33*EXP(-((((((Inputs!$I$7+(((A15)+1)/2)*(Inputs!$J$7-Inputs!$I$7)))-Inputs!$C$34)^2)+(((Inputs!$C$6)-Inputs!$C$35)^2))/(2*Inputs!$C$36^2)))+Inputs!$C$37*(0.55*SIN(2*PI()*((Inputs!$I$7+(((A15)+1)/2)*(Inputs!$J$7-Inputs!$I$7)))/Inputs!$C$39)+0.35*COS(2*PI()*(Inputs!$C$6)/Inputs!$C$40)+0.2*SIN(2*PI()*(((Inputs!$I$7+(((A15)+1)/2)*(Inputs!$J$7-Inputs!$I$7)))+(Inputs!$C$6))/(0.5*(Inputs!$C$39+Inputs!$C$40))))+Inputs!$C$38*SIN(2*PI()*((Inputs!$I$7+(((A15)+1)/2)*(Inputs!$J$7-Inputs!$I$7)))/Inputs!$C$39)*SIN(2*PI()*(Inputs!$C$6)/Inputs!$C$40)+-Inputs!$C$41*EXP(-(((Inputs!$C$6)-Inputs!$C$43)^2)/(2*Inputs!$C$44^2))*EXP(-((((Inputs!$I$7+(((A15)+1)/2)*(Inputs!$J$7-Inputs!$I$7)))-Inputs!$C$42)^2)/(2*Inputs!$C$45^2))+Inputs!$C$48*(0.7*(0.45*SIN(2*PI()*((((Inputs!$I$7+(((A15)+1)/2)*(Inputs!$J$7-Inputs!$I$7)))/Inputs!$C$49)+Inputs!$C$47*0.137))+0.35*COS(2*PI()*(((Inputs!$C$6)/Inputs!$C$50)+Inputs!$C$47*0.173))+0.2*SIN(2*PI()*((((Inputs!$I$7+(((A15)+1)/2)*(Inputs!$J$7-Inputs!$I$7)))+(Inputs!$C$6))/(0.5*(Inputs!$C$49+Inputs!$C$50))+Inputs!$C$47*0.097)))+0.3*(2*((SIN((((Inputs!$I$7+(((A15)+1)/2)*(Inputs!$J$7-Inputs!$I$7)))*12.9898+(Inputs!$C$6)*78.233+Inputs!$C$47*37.719))*43758.5453)-INT((SIN((((Inputs!$I$7+(((A15)+1)/2)*(Inputs!$J$7-Inputs!$I$7)))*12.9898+(Inputs!$C$6)*78.233+Inputs!$C$47*37.719))*43758.5453)))-1))),NA())</f>
        <v/>
      </c>
      <c r="AU15" s="9">
        <f>IF(OR(Inputs!$F$8=TRUE,Inputs!$F$8="TRUE",Inputs!$F$8=1),IF(OR(Inputs!$C$27=TRUE,Inputs!$C$27="TRUE",Inputs!$C$27=1),1,0)*(Inputs!$C$51*(115*EXP(-(((Inputs!$C$6)-25)^2)/(4.5^2))+70*EXP(-(((Inputs!$C$6)+38)^2)/(7^2))*(0.55+0.45*SIN(2*PI()*((Inputs!$I$8+(((A15)+1)/2)*(Inputs!$J$8-Inputs!$I$8)))/45))+24*SIN(2*PI()*(Inputs!$C$6)/9+((Inputs!$I$8+(((A15)+1)/2)*(Inputs!$J$8-Inputs!$I$8)))/18)*EXP(-(((Inputs!$C$6)+5)^2)/(22^2))+18*SIN(2*PI()*((Inputs!$I$8+(((A15)+1)/2)*(Inputs!$J$8-Inputs!$I$8)))/70))+Inputs!$C$28*EXP(-((((Inputs!$I$8+(((A15)+1)/2)*(Inputs!$J$8-Inputs!$I$8)))-Inputs!$C$29)^2)/(2*Inputs!$C$31^2))*EXP(-(((Inputs!$C$6)-Inputs!$C$30)^2)/(2*Inputs!$C$32^2))+-Inputs!$C$33*EXP(-((((((Inputs!$I$8+(((A15)+1)/2)*(Inputs!$J$8-Inputs!$I$8)))-Inputs!$C$34)^2)+(((Inputs!$C$6)-Inputs!$C$35)^2))/(2*Inputs!$C$36^2)))+Inputs!$C$37*(0.55*SIN(2*PI()*((Inputs!$I$8+(((A15)+1)/2)*(Inputs!$J$8-Inputs!$I$8)))/Inputs!$C$39)+0.35*COS(2*PI()*(Inputs!$C$6)/Inputs!$C$40)+0.2*SIN(2*PI()*(((Inputs!$I$8+(((A15)+1)/2)*(Inputs!$J$8-Inputs!$I$8)))+(Inputs!$C$6))/(0.5*(Inputs!$C$39+Inputs!$C$40))))+Inputs!$C$38*SIN(2*PI()*((Inputs!$I$8+(((A15)+1)/2)*(Inputs!$J$8-Inputs!$I$8)))/Inputs!$C$39)*SIN(2*PI()*(Inputs!$C$6)/Inputs!$C$40)+-Inputs!$C$41*EXP(-(((Inputs!$C$6)-Inputs!$C$43)^2)/(2*Inputs!$C$44^2))*EXP(-((((Inputs!$I$8+(((A15)+1)/2)*(Inputs!$J$8-Inputs!$I$8)))-Inputs!$C$42)^2)/(2*Inputs!$C$45^2))+Inputs!$C$48*(0.7*(0.45*SIN(2*PI()*((((Inputs!$I$8+(((A15)+1)/2)*(Inputs!$J$8-Inputs!$I$8)))/Inputs!$C$49)+Inputs!$C$47*0.137))+0.35*COS(2*PI()*(((Inputs!$C$6)/Inputs!$C$50)+Inputs!$C$47*0.173))+0.2*SIN(2*PI()*((((Inputs!$I$8+(((A15)+1)/2)*(Inputs!$J$8-Inputs!$I$8)))+(Inputs!$C$6))/(0.5*(Inputs!$C$49+Inputs!$C$50))+Inputs!$C$47*0.097)))+0.3*(2*((SIN((((Inputs!$I$8+(((A15)+1)/2)*(Inputs!$J$8-Inputs!$I$8)))*12.9898+(Inputs!$C$6)*78.233+Inputs!$C$47*37.719))*43758.5453)-INT((SIN((((Inputs!$I$8+(((A15)+1)/2)*(Inputs!$J$8-Inputs!$I$8)))*12.9898+(Inputs!$C$6)*78.233+Inputs!$C$47*37.719))*43758.5453)))-1))),NA())</f>
        <v/>
      </c>
      <c r="AV15" s="9">
        <f>IF(OR(Inputs!$F$9=TRUE,Inputs!$F$9="TRUE",Inputs!$F$9=1),IF(OR(Inputs!$C$27=TRUE,Inputs!$C$27="TRUE",Inputs!$C$27=1),1,0)*(Inputs!$C$51*(115*EXP(-(((Inputs!$C$6)-25)^2)/(4.5^2))+70*EXP(-(((Inputs!$C$6)+38)^2)/(7^2))*(0.55+0.45*SIN(2*PI()*((Inputs!$I$9+(((A15)+1)/2)*(Inputs!$J$9-Inputs!$I$9)))/45))+24*SIN(2*PI()*(Inputs!$C$6)/9+((Inputs!$I$9+(((A15)+1)/2)*(Inputs!$J$9-Inputs!$I$9)))/18)*EXP(-(((Inputs!$C$6)+5)^2)/(22^2))+18*SIN(2*PI()*((Inputs!$I$9+(((A15)+1)/2)*(Inputs!$J$9-Inputs!$I$9)))/70))+Inputs!$C$28*EXP(-((((Inputs!$I$9+(((A15)+1)/2)*(Inputs!$J$9-Inputs!$I$9)))-Inputs!$C$29)^2)/(2*Inputs!$C$31^2))*EXP(-(((Inputs!$C$6)-Inputs!$C$30)^2)/(2*Inputs!$C$32^2))+-Inputs!$C$33*EXP(-((((((Inputs!$I$9+(((A15)+1)/2)*(Inputs!$J$9-Inputs!$I$9)))-Inputs!$C$34)^2)+(((Inputs!$C$6)-Inputs!$C$35)^2))/(2*Inputs!$C$36^2)))+Inputs!$C$37*(0.55*SIN(2*PI()*((Inputs!$I$9+(((A15)+1)/2)*(Inputs!$J$9-Inputs!$I$9)))/Inputs!$C$39)+0.35*COS(2*PI()*(Inputs!$C$6)/Inputs!$C$40)+0.2*SIN(2*PI()*(((Inputs!$I$9+(((A15)+1)/2)*(Inputs!$J$9-Inputs!$I$9)))+(Inputs!$C$6))/(0.5*(Inputs!$C$39+Inputs!$C$40))))+Inputs!$C$38*SIN(2*PI()*((Inputs!$I$9+(((A15)+1)/2)*(Inputs!$J$9-Inputs!$I$9)))/Inputs!$C$39)*SIN(2*PI()*(Inputs!$C$6)/Inputs!$C$40)+-Inputs!$C$41*EXP(-(((Inputs!$C$6)-Inputs!$C$43)^2)/(2*Inputs!$C$44^2))*EXP(-((((Inputs!$I$9+(((A15)+1)/2)*(Inputs!$J$9-Inputs!$I$9)))-Inputs!$C$42)^2)/(2*Inputs!$C$45^2))+Inputs!$C$48*(0.7*(0.45*SIN(2*PI()*((((Inputs!$I$9+(((A15)+1)/2)*(Inputs!$J$9-Inputs!$I$9)))/Inputs!$C$49)+Inputs!$C$47*0.137))+0.35*COS(2*PI()*(((Inputs!$C$6)/Inputs!$C$50)+Inputs!$C$47*0.173))+0.2*SIN(2*PI()*((((Inputs!$I$9+(((A15)+1)/2)*(Inputs!$J$9-Inputs!$I$9)))+(Inputs!$C$6))/(0.5*(Inputs!$C$49+Inputs!$C$50))+Inputs!$C$47*0.097)))+0.3*(2*((SIN((((Inputs!$I$9+(((A15)+1)/2)*(Inputs!$J$9-Inputs!$I$9)))*12.9898+(Inputs!$C$6)*78.233+Inputs!$C$47*37.719))*43758.5453)-INT((SIN((((Inputs!$I$9+(((A15)+1)/2)*(Inputs!$J$9-Inputs!$I$9)))*12.9898+(Inputs!$C$6)*78.233+Inputs!$C$47*37.719))*43758.5453)))-1))),NA())</f>
        <v/>
      </c>
      <c r="AW15" s="10" t="n"/>
      <c r="AX15" s="9">
        <f>A15</f>
        <v/>
      </c>
      <c r="AY15" s="9">
        <f>0</f>
        <v/>
      </c>
      <c r="AZ15" s="9">
        <f>IF(OR(Inputs!$F$6=TRUE,Inputs!$F$6="TRUE",Inputs!$F$6=1),(Inputs!$H$6+Inputs!$L$6*(((Inputs!$I$6+(((A15)+1)/2)*(Inputs!$J$6-Inputs!$I$6)))/Inputs!$K$6)^2),NA())</f>
        <v/>
      </c>
      <c r="BA15" s="9">
        <f>IF(OR(Inputs!$F$7=TRUE,Inputs!$F$7="TRUE",Inputs!$F$7=1),(Inputs!$H$7+Inputs!$L$7*(((Inputs!$I$7+(((A15)+1)/2)*(Inputs!$J$7-Inputs!$I$7)))/Inputs!$K$7)^2),NA())</f>
        <v/>
      </c>
      <c r="BB15" s="9">
        <f>IF(OR(Inputs!$F$8=TRUE,Inputs!$F$8="TRUE",Inputs!$F$8=1),(Inputs!$H$8+Inputs!$L$8*(((Inputs!$I$8+(((A15)+1)/2)*(Inputs!$J$8-Inputs!$I$8)))/Inputs!$K$8)^2),NA())</f>
        <v/>
      </c>
      <c r="BC15" s="9">
        <f>IF(OR(Inputs!$F$9=TRUE,Inputs!$F$9="TRUE",Inputs!$F$9=1),(Inputs!$H$9+Inputs!$L$9*(((Inputs!$I$9+(((A15)+1)/2)*(Inputs!$J$9-Inputs!$I$9)))/Inputs!$K$9)^2),NA())</f>
        <v/>
      </c>
      <c r="BD15" s="10" t="n"/>
      <c r="BE15" s="9">
        <f>A15</f>
        <v/>
      </c>
      <c r="BF15" s="9">
        <f>0</f>
        <v/>
      </c>
      <c r="BG15" s="9">
        <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f>
        <v/>
      </c>
      <c r="BH15" s="9">
        <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f>
        <v/>
      </c>
      <c r="BI15" s="9">
        <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f>
        <v/>
      </c>
      <c r="BJ15" s="9">
        <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f>
        <v/>
      </c>
    </row>
    <row r="16">
      <c r="A16" s="9">
        <f>ROUND(-1+14*2/240,3)</f>
        <v/>
      </c>
      <c r="B16" s="9">
        <f>IF(OR(Inputs!$F$6=TRUE,Inputs!$F$6="TRUE",Inputs!$F$6=1),(Inputs!$H$6+Inputs!$L$6*(((Inputs!$I$6+(((A16)+1)/2)*(Inputs!$J$6-Inputs!$I$6)))/Inputs!$K$6)^2),NA())</f>
        <v/>
      </c>
      <c r="C16" s="9">
        <f>IF(OR(Inputs!$F$7=TRUE,Inputs!$F$7="TRUE",Inputs!$F$7=1),(Inputs!$H$7+Inputs!$L$7*(((Inputs!$I$7+(((A16)+1)/2)*(Inputs!$J$7-Inputs!$I$7)))/Inputs!$K$7)^2),NA())</f>
        <v/>
      </c>
      <c r="D16" s="9">
        <f>IF(OR(Inputs!$F$8=TRUE,Inputs!$F$8="TRUE",Inputs!$F$8=1),(Inputs!$H$8+Inputs!$L$8*(((Inputs!$I$8+(((A16)+1)/2)*(Inputs!$J$8-Inputs!$I$8)))/Inputs!$K$8)^2),NA())</f>
        <v/>
      </c>
      <c r="E16" s="9">
        <f>IF(OR(Inputs!$F$9=TRUE,Inputs!$F$9="TRUE",Inputs!$F$9=1),(Inputs!$H$9+Inputs!$L$9*(((Inputs!$I$9+(((A16)+1)/2)*(Inputs!$J$9-Inputs!$I$9)))/Inputs!$K$9)^2),NA())</f>
        <v/>
      </c>
      <c r="F16" s="10" t="n"/>
      <c r="G16" s="9">
        <f>A16</f>
        <v/>
      </c>
      <c r="H16" s="9">
        <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f>
        <v/>
      </c>
      <c r="I16" s="9">
        <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f>
        <v/>
      </c>
      <c r="J16" s="9">
        <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f>
        <v/>
      </c>
      <c r="K16" s="9">
        <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f>
        <v/>
      </c>
      <c r="L16" s="10" t="n"/>
      <c r="M16" s="9">
        <f>A16</f>
        <v/>
      </c>
      <c r="N16" s="9">
        <f>IF(OR(Inputs!$F$6=TRUE,Inputs!$F$6="TRUE",Inputs!$F$6=1),(-2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NA())</f>
        <v/>
      </c>
      <c r="O16" s="9">
        <f>IF(OR(Inputs!$F$7=TRUE,Inputs!$F$7="TRUE",Inputs!$F$7=1),(-2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NA())</f>
        <v/>
      </c>
      <c r="P16" s="9">
        <f>IF(OR(Inputs!$F$8=TRUE,Inputs!$F$8="TRUE",Inputs!$F$8=1),(-2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NA())</f>
        <v/>
      </c>
      <c r="Q16" s="9">
        <f>IF(OR(Inputs!$F$9=TRUE,Inputs!$F$9="TRUE",Inputs!$F$9=1),(-2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NA())</f>
        <v/>
      </c>
      <c r="R16" s="10" t="n"/>
      <c r="S16" s="9">
        <f>A16</f>
        <v/>
      </c>
      <c r="T16" s="9">
        <f>(Inputs!$I$6+(((A16)+1)/2)*(Inputs!$J$6-Inputs!$I$6))</f>
        <v/>
      </c>
      <c r="U16" s="9">
        <f>(Inputs!$I$7+(((A16)+1)/2)*(Inputs!$J$7-Inputs!$I$7))</f>
        <v/>
      </c>
      <c r="V16" s="9">
        <f>(Inputs!$I$8+(((A16)+1)/2)*(Inputs!$J$8-Inputs!$I$8))</f>
        <v/>
      </c>
      <c r="W16" s="9">
        <f>(Inputs!$I$9+(((A16)+1)/2)*(Inputs!$J$9-Inputs!$I$9))</f>
        <v/>
      </c>
      <c r="X16" s="10" t="n"/>
      <c r="Y16" s="9">
        <f>A16</f>
        <v/>
      </c>
      <c r="Z16" s="9">
        <f>(Inputs!$H$6+Inputs!$L$6*(((Inputs!$I$6+(((A16)+1)/2)*(Inputs!$J$6-Inputs!$I$6)))/Inputs!$K$6)^2)</f>
        <v/>
      </c>
      <c r="AA16" s="9">
        <f>(Inputs!$H$7+Inputs!$L$7*(((Inputs!$I$7+(((A16)+1)/2)*(Inputs!$J$7-Inputs!$I$7)))/Inputs!$K$7)^2)</f>
        <v/>
      </c>
      <c r="AB16" s="9">
        <f>(Inputs!$H$8+Inputs!$L$8*(((Inputs!$I$8+(((A16)+1)/2)*(Inputs!$J$8-Inputs!$I$8)))/Inputs!$K$8)^2)</f>
        <v/>
      </c>
      <c r="AC16" s="9">
        <f>(Inputs!$H$9+Inputs!$L$9*(((Inputs!$I$9+(((A16)+1)/2)*(Inputs!$J$9-Inputs!$I$9)))/Inputs!$K$9)^2)</f>
        <v/>
      </c>
      <c r="AD16" s="10" t="n"/>
      <c r="AE16" s="9">
        <f>A16</f>
        <v/>
      </c>
      <c r="AF16" s="9">
        <f>(((SQRT((Inputs!$C$52+((Inputs!$H$6+Inputs!$L$6*(((Inputs!$I$6+(((A16)+1)/2)*(Inputs!$J$6-Inputs!$I$6)))/Inputs!$K$6)^2)))^2+Inputs!$C$52^2-2*(Inputs!$C$52+((Inputs!$H$6+Inputs!$L$6*(((Inputs!$I$6+(((A16)+1)/2)*(Inputs!$J$6-Inputs!$I$6)))/Inputs!$K$6)^2)))*Inputs!$C$52*COS(SQRT(((Inputs!$I$6+(((A16)+1)/2)*(Inputs!$J$6-Inputs!$I$6)))^2+Inputs!$C$6^2)/Inputs!$C$52)))-((Inputs!$H$6+Inputs!$L$6*(((Inputs!$I$6+(((A16)+1)/2)*(Inputs!$J$6-Inputs!$I$6)))/Inputs!$K$6)^2)))*1000/Inputs!$C$12)</f>
        <v/>
      </c>
      <c r="AG16" s="9">
        <f>(((SQRT((Inputs!$C$52+((Inputs!$H$7+Inputs!$L$7*(((Inputs!$I$7+(((A16)+1)/2)*(Inputs!$J$7-Inputs!$I$7)))/Inputs!$K$7)^2)))^2+Inputs!$C$52^2-2*(Inputs!$C$52+((Inputs!$H$7+Inputs!$L$7*(((Inputs!$I$7+(((A16)+1)/2)*(Inputs!$J$7-Inputs!$I$7)))/Inputs!$K$7)^2)))*Inputs!$C$52*COS(SQRT(((Inputs!$I$7+(((A16)+1)/2)*(Inputs!$J$7-Inputs!$I$7)))^2+Inputs!$C$6^2)/Inputs!$C$52)))-((Inputs!$H$7+Inputs!$L$7*(((Inputs!$I$7+(((A16)+1)/2)*(Inputs!$J$7-Inputs!$I$7)))/Inputs!$K$7)^2)))*1000/Inputs!$C$12)</f>
        <v/>
      </c>
      <c r="AH16" s="9">
        <f>(((SQRT((Inputs!$C$52+((Inputs!$H$8+Inputs!$L$8*(((Inputs!$I$8+(((A16)+1)/2)*(Inputs!$J$8-Inputs!$I$8)))/Inputs!$K$8)^2)))^2+Inputs!$C$52^2-2*(Inputs!$C$52+((Inputs!$H$8+Inputs!$L$8*(((Inputs!$I$8+(((A16)+1)/2)*(Inputs!$J$8-Inputs!$I$8)))/Inputs!$K$8)^2)))*Inputs!$C$52*COS(SQRT(((Inputs!$I$8+(((A16)+1)/2)*(Inputs!$J$8-Inputs!$I$8)))^2+Inputs!$C$6^2)/Inputs!$C$52)))-((Inputs!$H$8+Inputs!$L$8*(((Inputs!$I$8+(((A16)+1)/2)*(Inputs!$J$8-Inputs!$I$8)))/Inputs!$K$8)^2)))*1000/Inputs!$C$12)</f>
        <v/>
      </c>
      <c r="AI16" s="9">
        <f>(((SQRT((Inputs!$C$52+((Inputs!$H$9+Inputs!$L$9*(((Inputs!$I$9+(((A16)+1)/2)*(Inputs!$J$9-Inputs!$I$9)))/Inputs!$K$9)^2)))^2+Inputs!$C$52^2-2*(Inputs!$C$52+((Inputs!$H$9+Inputs!$L$9*(((Inputs!$I$9+(((A16)+1)/2)*(Inputs!$J$9-Inputs!$I$9)))/Inputs!$K$9)^2)))*Inputs!$C$52*COS(SQRT(((Inputs!$I$9+(((A16)+1)/2)*(Inputs!$J$9-Inputs!$I$9)))^2+Inputs!$C$6^2)/Inputs!$C$52)))-((Inputs!$H$9+Inputs!$L$9*(((Inputs!$I$9+(((A16)+1)/2)*(Inputs!$J$9-Inputs!$I$9)))/Inputs!$K$9)^2)))*1000/Inputs!$C$12)</f>
        <v/>
      </c>
      <c r="AJ16" s="10" t="n"/>
      <c r="AK16" s="9">
        <f>A16</f>
        <v/>
      </c>
      <c r="AL16" s="9">
        <f>(-2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f>
        <v/>
      </c>
      <c r="AM16" s="9">
        <f>(-2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f>
        <v/>
      </c>
      <c r="AN16" s="9">
        <f>(-2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f>
        <v/>
      </c>
      <c r="AO16" s="9">
        <f>(-2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f>
        <v/>
      </c>
      <c r="AP16" s="10" t="n"/>
      <c r="AQ16" s="9">
        <f>A16</f>
        <v/>
      </c>
      <c r="AR16" s="9">
        <f>0</f>
        <v/>
      </c>
      <c r="AS16" s="9">
        <f>IF(OR(Inputs!$F$6=TRUE,Inputs!$F$6="TRUE",Inputs!$F$6=1),IF(OR(Inputs!$C$27=TRUE,Inputs!$C$27="TRUE",Inputs!$C$27=1),1,0)*(Inputs!$C$51*(115*EXP(-(((Inputs!$C$6)-25)^2)/(4.5^2))+70*EXP(-(((Inputs!$C$6)+38)^2)/(7^2))*(0.55+0.45*SIN(2*PI()*((Inputs!$I$6+(((A16)+1)/2)*(Inputs!$J$6-Inputs!$I$6)))/45))+24*SIN(2*PI()*(Inputs!$C$6)/9+((Inputs!$I$6+(((A16)+1)/2)*(Inputs!$J$6-Inputs!$I$6)))/18)*EXP(-(((Inputs!$C$6)+5)^2)/(22^2))+18*SIN(2*PI()*((Inputs!$I$6+(((A16)+1)/2)*(Inputs!$J$6-Inputs!$I$6)))/70))+Inputs!$C$28*EXP(-((((Inputs!$I$6+(((A16)+1)/2)*(Inputs!$J$6-Inputs!$I$6)))-Inputs!$C$29)^2)/(2*Inputs!$C$31^2))*EXP(-(((Inputs!$C$6)-Inputs!$C$30)^2)/(2*Inputs!$C$32^2))+-Inputs!$C$33*EXP(-((((((Inputs!$I$6+(((A16)+1)/2)*(Inputs!$J$6-Inputs!$I$6)))-Inputs!$C$34)^2)+(((Inputs!$C$6)-Inputs!$C$35)^2))/(2*Inputs!$C$36^2)))+Inputs!$C$37*(0.55*SIN(2*PI()*((Inputs!$I$6+(((A16)+1)/2)*(Inputs!$J$6-Inputs!$I$6)))/Inputs!$C$39)+0.35*COS(2*PI()*(Inputs!$C$6)/Inputs!$C$40)+0.2*SIN(2*PI()*(((Inputs!$I$6+(((A16)+1)/2)*(Inputs!$J$6-Inputs!$I$6)))+(Inputs!$C$6))/(0.5*(Inputs!$C$39+Inputs!$C$40))))+Inputs!$C$38*SIN(2*PI()*((Inputs!$I$6+(((A16)+1)/2)*(Inputs!$J$6-Inputs!$I$6)))/Inputs!$C$39)*SIN(2*PI()*(Inputs!$C$6)/Inputs!$C$40)+-Inputs!$C$41*EXP(-(((Inputs!$C$6)-Inputs!$C$43)^2)/(2*Inputs!$C$44^2))*EXP(-((((Inputs!$I$6+(((A16)+1)/2)*(Inputs!$J$6-Inputs!$I$6)))-Inputs!$C$42)^2)/(2*Inputs!$C$45^2))+Inputs!$C$48*(0.7*(0.45*SIN(2*PI()*((((Inputs!$I$6+(((A16)+1)/2)*(Inputs!$J$6-Inputs!$I$6)))/Inputs!$C$49)+Inputs!$C$47*0.137))+0.35*COS(2*PI()*(((Inputs!$C$6)/Inputs!$C$50)+Inputs!$C$47*0.173))+0.2*SIN(2*PI()*((((Inputs!$I$6+(((A16)+1)/2)*(Inputs!$J$6-Inputs!$I$6)))+(Inputs!$C$6))/(0.5*(Inputs!$C$49+Inputs!$C$50))+Inputs!$C$47*0.097)))+0.3*(2*((SIN((((Inputs!$I$6+(((A16)+1)/2)*(Inputs!$J$6-Inputs!$I$6)))*12.9898+(Inputs!$C$6)*78.233+Inputs!$C$47*37.719))*43758.5453)-INT((SIN((((Inputs!$I$6+(((A16)+1)/2)*(Inputs!$J$6-Inputs!$I$6)))*12.9898+(Inputs!$C$6)*78.233+Inputs!$C$47*37.719))*43758.5453)))-1))),NA())</f>
        <v/>
      </c>
      <c r="AT16" s="9">
        <f>IF(OR(Inputs!$F$7=TRUE,Inputs!$F$7="TRUE",Inputs!$F$7=1),IF(OR(Inputs!$C$27=TRUE,Inputs!$C$27="TRUE",Inputs!$C$27=1),1,0)*(Inputs!$C$51*(115*EXP(-(((Inputs!$C$6)-25)^2)/(4.5^2))+70*EXP(-(((Inputs!$C$6)+38)^2)/(7^2))*(0.55+0.45*SIN(2*PI()*((Inputs!$I$7+(((A16)+1)/2)*(Inputs!$J$7-Inputs!$I$7)))/45))+24*SIN(2*PI()*(Inputs!$C$6)/9+((Inputs!$I$7+(((A16)+1)/2)*(Inputs!$J$7-Inputs!$I$7)))/18)*EXP(-(((Inputs!$C$6)+5)^2)/(22^2))+18*SIN(2*PI()*((Inputs!$I$7+(((A16)+1)/2)*(Inputs!$J$7-Inputs!$I$7)))/70))+Inputs!$C$28*EXP(-((((Inputs!$I$7+(((A16)+1)/2)*(Inputs!$J$7-Inputs!$I$7)))-Inputs!$C$29)^2)/(2*Inputs!$C$31^2))*EXP(-(((Inputs!$C$6)-Inputs!$C$30)^2)/(2*Inputs!$C$32^2))+-Inputs!$C$33*EXP(-((((((Inputs!$I$7+(((A16)+1)/2)*(Inputs!$J$7-Inputs!$I$7)))-Inputs!$C$34)^2)+(((Inputs!$C$6)-Inputs!$C$35)^2))/(2*Inputs!$C$36^2)))+Inputs!$C$37*(0.55*SIN(2*PI()*((Inputs!$I$7+(((A16)+1)/2)*(Inputs!$J$7-Inputs!$I$7)))/Inputs!$C$39)+0.35*COS(2*PI()*(Inputs!$C$6)/Inputs!$C$40)+0.2*SIN(2*PI()*(((Inputs!$I$7+(((A16)+1)/2)*(Inputs!$J$7-Inputs!$I$7)))+(Inputs!$C$6))/(0.5*(Inputs!$C$39+Inputs!$C$40))))+Inputs!$C$38*SIN(2*PI()*((Inputs!$I$7+(((A16)+1)/2)*(Inputs!$J$7-Inputs!$I$7)))/Inputs!$C$39)*SIN(2*PI()*(Inputs!$C$6)/Inputs!$C$40)+-Inputs!$C$41*EXP(-(((Inputs!$C$6)-Inputs!$C$43)^2)/(2*Inputs!$C$44^2))*EXP(-((((Inputs!$I$7+(((A16)+1)/2)*(Inputs!$J$7-Inputs!$I$7)))-Inputs!$C$42)^2)/(2*Inputs!$C$45^2))+Inputs!$C$48*(0.7*(0.45*SIN(2*PI()*((((Inputs!$I$7+(((A16)+1)/2)*(Inputs!$J$7-Inputs!$I$7)))/Inputs!$C$49)+Inputs!$C$47*0.137))+0.35*COS(2*PI()*(((Inputs!$C$6)/Inputs!$C$50)+Inputs!$C$47*0.173))+0.2*SIN(2*PI()*((((Inputs!$I$7+(((A16)+1)/2)*(Inputs!$J$7-Inputs!$I$7)))+(Inputs!$C$6))/(0.5*(Inputs!$C$49+Inputs!$C$50))+Inputs!$C$47*0.097)))+0.3*(2*((SIN((((Inputs!$I$7+(((A16)+1)/2)*(Inputs!$J$7-Inputs!$I$7)))*12.9898+(Inputs!$C$6)*78.233+Inputs!$C$47*37.719))*43758.5453)-INT((SIN((((Inputs!$I$7+(((A16)+1)/2)*(Inputs!$J$7-Inputs!$I$7)))*12.9898+(Inputs!$C$6)*78.233+Inputs!$C$47*37.719))*43758.5453)))-1))),NA())</f>
        <v/>
      </c>
      <c r="AU16" s="9">
        <f>IF(OR(Inputs!$F$8=TRUE,Inputs!$F$8="TRUE",Inputs!$F$8=1),IF(OR(Inputs!$C$27=TRUE,Inputs!$C$27="TRUE",Inputs!$C$27=1),1,0)*(Inputs!$C$51*(115*EXP(-(((Inputs!$C$6)-25)^2)/(4.5^2))+70*EXP(-(((Inputs!$C$6)+38)^2)/(7^2))*(0.55+0.45*SIN(2*PI()*((Inputs!$I$8+(((A16)+1)/2)*(Inputs!$J$8-Inputs!$I$8)))/45))+24*SIN(2*PI()*(Inputs!$C$6)/9+((Inputs!$I$8+(((A16)+1)/2)*(Inputs!$J$8-Inputs!$I$8)))/18)*EXP(-(((Inputs!$C$6)+5)^2)/(22^2))+18*SIN(2*PI()*((Inputs!$I$8+(((A16)+1)/2)*(Inputs!$J$8-Inputs!$I$8)))/70))+Inputs!$C$28*EXP(-((((Inputs!$I$8+(((A16)+1)/2)*(Inputs!$J$8-Inputs!$I$8)))-Inputs!$C$29)^2)/(2*Inputs!$C$31^2))*EXP(-(((Inputs!$C$6)-Inputs!$C$30)^2)/(2*Inputs!$C$32^2))+-Inputs!$C$33*EXP(-((((((Inputs!$I$8+(((A16)+1)/2)*(Inputs!$J$8-Inputs!$I$8)))-Inputs!$C$34)^2)+(((Inputs!$C$6)-Inputs!$C$35)^2))/(2*Inputs!$C$36^2)))+Inputs!$C$37*(0.55*SIN(2*PI()*((Inputs!$I$8+(((A16)+1)/2)*(Inputs!$J$8-Inputs!$I$8)))/Inputs!$C$39)+0.35*COS(2*PI()*(Inputs!$C$6)/Inputs!$C$40)+0.2*SIN(2*PI()*(((Inputs!$I$8+(((A16)+1)/2)*(Inputs!$J$8-Inputs!$I$8)))+(Inputs!$C$6))/(0.5*(Inputs!$C$39+Inputs!$C$40))))+Inputs!$C$38*SIN(2*PI()*((Inputs!$I$8+(((A16)+1)/2)*(Inputs!$J$8-Inputs!$I$8)))/Inputs!$C$39)*SIN(2*PI()*(Inputs!$C$6)/Inputs!$C$40)+-Inputs!$C$41*EXP(-(((Inputs!$C$6)-Inputs!$C$43)^2)/(2*Inputs!$C$44^2))*EXP(-((((Inputs!$I$8+(((A16)+1)/2)*(Inputs!$J$8-Inputs!$I$8)))-Inputs!$C$42)^2)/(2*Inputs!$C$45^2))+Inputs!$C$48*(0.7*(0.45*SIN(2*PI()*((((Inputs!$I$8+(((A16)+1)/2)*(Inputs!$J$8-Inputs!$I$8)))/Inputs!$C$49)+Inputs!$C$47*0.137))+0.35*COS(2*PI()*(((Inputs!$C$6)/Inputs!$C$50)+Inputs!$C$47*0.173))+0.2*SIN(2*PI()*((((Inputs!$I$8+(((A16)+1)/2)*(Inputs!$J$8-Inputs!$I$8)))+(Inputs!$C$6))/(0.5*(Inputs!$C$49+Inputs!$C$50))+Inputs!$C$47*0.097)))+0.3*(2*((SIN((((Inputs!$I$8+(((A16)+1)/2)*(Inputs!$J$8-Inputs!$I$8)))*12.9898+(Inputs!$C$6)*78.233+Inputs!$C$47*37.719))*43758.5453)-INT((SIN((((Inputs!$I$8+(((A16)+1)/2)*(Inputs!$J$8-Inputs!$I$8)))*12.9898+(Inputs!$C$6)*78.233+Inputs!$C$47*37.719))*43758.5453)))-1))),NA())</f>
        <v/>
      </c>
      <c r="AV16" s="9">
        <f>IF(OR(Inputs!$F$9=TRUE,Inputs!$F$9="TRUE",Inputs!$F$9=1),IF(OR(Inputs!$C$27=TRUE,Inputs!$C$27="TRUE",Inputs!$C$27=1),1,0)*(Inputs!$C$51*(115*EXP(-(((Inputs!$C$6)-25)^2)/(4.5^2))+70*EXP(-(((Inputs!$C$6)+38)^2)/(7^2))*(0.55+0.45*SIN(2*PI()*((Inputs!$I$9+(((A16)+1)/2)*(Inputs!$J$9-Inputs!$I$9)))/45))+24*SIN(2*PI()*(Inputs!$C$6)/9+((Inputs!$I$9+(((A16)+1)/2)*(Inputs!$J$9-Inputs!$I$9)))/18)*EXP(-(((Inputs!$C$6)+5)^2)/(22^2))+18*SIN(2*PI()*((Inputs!$I$9+(((A16)+1)/2)*(Inputs!$J$9-Inputs!$I$9)))/70))+Inputs!$C$28*EXP(-((((Inputs!$I$9+(((A16)+1)/2)*(Inputs!$J$9-Inputs!$I$9)))-Inputs!$C$29)^2)/(2*Inputs!$C$31^2))*EXP(-(((Inputs!$C$6)-Inputs!$C$30)^2)/(2*Inputs!$C$32^2))+-Inputs!$C$33*EXP(-((((((Inputs!$I$9+(((A16)+1)/2)*(Inputs!$J$9-Inputs!$I$9)))-Inputs!$C$34)^2)+(((Inputs!$C$6)-Inputs!$C$35)^2))/(2*Inputs!$C$36^2)))+Inputs!$C$37*(0.55*SIN(2*PI()*((Inputs!$I$9+(((A16)+1)/2)*(Inputs!$J$9-Inputs!$I$9)))/Inputs!$C$39)+0.35*COS(2*PI()*(Inputs!$C$6)/Inputs!$C$40)+0.2*SIN(2*PI()*(((Inputs!$I$9+(((A16)+1)/2)*(Inputs!$J$9-Inputs!$I$9)))+(Inputs!$C$6))/(0.5*(Inputs!$C$39+Inputs!$C$40))))+Inputs!$C$38*SIN(2*PI()*((Inputs!$I$9+(((A16)+1)/2)*(Inputs!$J$9-Inputs!$I$9)))/Inputs!$C$39)*SIN(2*PI()*(Inputs!$C$6)/Inputs!$C$40)+-Inputs!$C$41*EXP(-(((Inputs!$C$6)-Inputs!$C$43)^2)/(2*Inputs!$C$44^2))*EXP(-((((Inputs!$I$9+(((A16)+1)/2)*(Inputs!$J$9-Inputs!$I$9)))-Inputs!$C$42)^2)/(2*Inputs!$C$45^2))+Inputs!$C$48*(0.7*(0.45*SIN(2*PI()*((((Inputs!$I$9+(((A16)+1)/2)*(Inputs!$J$9-Inputs!$I$9)))/Inputs!$C$49)+Inputs!$C$47*0.137))+0.35*COS(2*PI()*(((Inputs!$C$6)/Inputs!$C$50)+Inputs!$C$47*0.173))+0.2*SIN(2*PI()*((((Inputs!$I$9+(((A16)+1)/2)*(Inputs!$J$9-Inputs!$I$9)))+(Inputs!$C$6))/(0.5*(Inputs!$C$49+Inputs!$C$50))+Inputs!$C$47*0.097)))+0.3*(2*((SIN((((Inputs!$I$9+(((A16)+1)/2)*(Inputs!$J$9-Inputs!$I$9)))*12.9898+(Inputs!$C$6)*78.233+Inputs!$C$47*37.719))*43758.5453)-INT((SIN((((Inputs!$I$9+(((A16)+1)/2)*(Inputs!$J$9-Inputs!$I$9)))*12.9898+(Inputs!$C$6)*78.233+Inputs!$C$47*37.719))*43758.5453)))-1))),NA())</f>
        <v/>
      </c>
      <c r="AW16" s="10" t="n"/>
      <c r="AX16" s="9">
        <f>A16</f>
        <v/>
      </c>
      <c r="AY16" s="9">
        <f>0</f>
        <v/>
      </c>
      <c r="AZ16" s="9">
        <f>IF(OR(Inputs!$F$6=TRUE,Inputs!$F$6="TRUE",Inputs!$F$6=1),(Inputs!$H$6+Inputs!$L$6*(((Inputs!$I$6+(((A16)+1)/2)*(Inputs!$J$6-Inputs!$I$6)))/Inputs!$K$6)^2),NA())</f>
        <v/>
      </c>
      <c r="BA16" s="9">
        <f>IF(OR(Inputs!$F$7=TRUE,Inputs!$F$7="TRUE",Inputs!$F$7=1),(Inputs!$H$7+Inputs!$L$7*(((Inputs!$I$7+(((A16)+1)/2)*(Inputs!$J$7-Inputs!$I$7)))/Inputs!$K$7)^2),NA())</f>
        <v/>
      </c>
      <c r="BB16" s="9">
        <f>IF(OR(Inputs!$F$8=TRUE,Inputs!$F$8="TRUE",Inputs!$F$8=1),(Inputs!$H$8+Inputs!$L$8*(((Inputs!$I$8+(((A16)+1)/2)*(Inputs!$J$8-Inputs!$I$8)))/Inputs!$K$8)^2),NA())</f>
        <v/>
      </c>
      <c r="BC16" s="9">
        <f>IF(OR(Inputs!$F$9=TRUE,Inputs!$F$9="TRUE",Inputs!$F$9=1),(Inputs!$H$9+Inputs!$L$9*(((Inputs!$I$9+(((A16)+1)/2)*(Inputs!$J$9-Inputs!$I$9)))/Inputs!$K$9)^2),NA())</f>
        <v/>
      </c>
      <c r="BD16" s="10" t="n"/>
      <c r="BE16" s="9">
        <f>A16</f>
        <v/>
      </c>
      <c r="BF16" s="9">
        <f>0</f>
        <v/>
      </c>
      <c r="BG16" s="9">
        <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f>
        <v/>
      </c>
      <c r="BH16" s="9">
        <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f>
        <v/>
      </c>
      <c r="BI16" s="9">
        <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f>
        <v/>
      </c>
      <c r="BJ16" s="9">
        <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f>
        <v/>
      </c>
    </row>
    <row r="17">
      <c r="A17" s="9">
        <f>ROUND(-1+15*2/240,3)</f>
        <v/>
      </c>
      <c r="B17" s="9">
        <f>IF(OR(Inputs!$F$6=TRUE,Inputs!$F$6="TRUE",Inputs!$F$6=1),(Inputs!$H$6+Inputs!$L$6*(((Inputs!$I$6+(((A17)+1)/2)*(Inputs!$J$6-Inputs!$I$6)))/Inputs!$K$6)^2),NA())</f>
        <v/>
      </c>
      <c r="C17" s="9">
        <f>IF(OR(Inputs!$F$7=TRUE,Inputs!$F$7="TRUE",Inputs!$F$7=1),(Inputs!$H$7+Inputs!$L$7*(((Inputs!$I$7+(((A17)+1)/2)*(Inputs!$J$7-Inputs!$I$7)))/Inputs!$K$7)^2),NA())</f>
        <v/>
      </c>
      <c r="D17" s="9">
        <f>IF(OR(Inputs!$F$8=TRUE,Inputs!$F$8="TRUE",Inputs!$F$8=1),(Inputs!$H$8+Inputs!$L$8*(((Inputs!$I$8+(((A17)+1)/2)*(Inputs!$J$8-Inputs!$I$8)))/Inputs!$K$8)^2),NA())</f>
        <v/>
      </c>
      <c r="E17" s="9">
        <f>IF(OR(Inputs!$F$9=TRUE,Inputs!$F$9="TRUE",Inputs!$F$9=1),(Inputs!$H$9+Inputs!$L$9*(((Inputs!$I$9+(((A17)+1)/2)*(Inputs!$J$9-Inputs!$I$9)))/Inputs!$K$9)^2),NA())</f>
        <v/>
      </c>
      <c r="F17" s="10" t="n"/>
      <c r="G17" s="9">
        <f>A17</f>
        <v/>
      </c>
      <c r="H17" s="9">
        <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f>
        <v/>
      </c>
      <c r="I17" s="9">
        <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f>
        <v/>
      </c>
      <c r="J17" s="9">
        <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f>
        <v/>
      </c>
      <c r="K17" s="9">
        <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f>
        <v/>
      </c>
      <c r="L17" s="10" t="n"/>
      <c r="M17" s="9">
        <f>A17</f>
        <v/>
      </c>
      <c r="N17" s="9">
        <f>IF(OR(Inputs!$F$6=TRUE,Inputs!$F$6="TRUE",Inputs!$F$6=1),(-2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NA())</f>
        <v/>
      </c>
      <c r="O17" s="9">
        <f>IF(OR(Inputs!$F$7=TRUE,Inputs!$F$7="TRUE",Inputs!$F$7=1),(-2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NA())</f>
        <v/>
      </c>
      <c r="P17" s="9">
        <f>IF(OR(Inputs!$F$8=TRUE,Inputs!$F$8="TRUE",Inputs!$F$8=1),(-2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NA())</f>
        <v/>
      </c>
      <c r="Q17" s="9">
        <f>IF(OR(Inputs!$F$9=TRUE,Inputs!$F$9="TRUE",Inputs!$F$9=1),(-2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NA())</f>
        <v/>
      </c>
      <c r="R17" s="10" t="n"/>
      <c r="S17" s="9">
        <f>A17</f>
        <v/>
      </c>
      <c r="T17" s="9">
        <f>(Inputs!$I$6+(((A17)+1)/2)*(Inputs!$J$6-Inputs!$I$6))</f>
        <v/>
      </c>
      <c r="U17" s="9">
        <f>(Inputs!$I$7+(((A17)+1)/2)*(Inputs!$J$7-Inputs!$I$7))</f>
        <v/>
      </c>
      <c r="V17" s="9">
        <f>(Inputs!$I$8+(((A17)+1)/2)*(Inputs!$J$8-Inputs!$I$8))</f>
        <v/>
      </c>
      <c r="W17" s="9">
        <f>(Inputs!$I$9+(((A17)+1)/2)*(Inputs!$J$9-Inputs!$I$9))</f>
        <v/>
      </c>
      <c r="X17" s="10" t="n"/>
      <c r="Y17" s="9">
        <f>A17</f>
        <v/>
      </c>
      <c r="Z17" s="9">
        <f>(Inputs!$H$6+Inputs!$L$6*(((Inputs!$I$6+(((A17)+1)/2)*(Inputs!$J$6-Inputs!$I$6)))/Inputs!$K$6)^2)</f>
        <v/>
      </c>
      <c r="AA17" s="9">
        <f>(Inputs!$H$7+Inputs!$L$7*(((Inputs!$I$7+(((A17)+1)/2)*(Inputs!$J$7-Inputs!$I$7)))/Inputs!$K$7)^2)</f>
        <v/>
      </c>
      <c r="AB17" s="9">
        <f>(Inputs!$H$8+Inputs!$L$8*(((Inputs!$I$8+(((A17)+1)/2)*(Inputs!$J$8-Inputs!$I$8)))/Inputs!$K$8)^2)</f>
        <v/>
      </c>
      <c r="AC17" s="9">
        <f>(Inputs!$H$9+Inputs!$L$9*(((Inputs!$I$9+(((A17)+1)/2)*(Inputs!$J$9-Inputs!$I$9)))/Inputs!$K$9)^2)</f>
        <v/>
      </c>
      <c r="AD17" s="10" t="n"/>
      <c r="AE17" s="9">
        <f>A17</f>
        <v/>
      </c>
      <c r="AF17" s="9">
        <f>(((SQRT((Inputs!$C$52+((Inputs!$H$6+Inputs!$L$6*(((Inputs!$I$6+(((A17)+1)/2)*(Inputs!$J$6-Inputs!$I$6)))/Inputs!$K$6)^2)))^2+Inputs!$C$52^2-2*(Inputs!$C$52+((Inputs!$H$6+Inputs!$L$6*(((Inputs!$I$6+(((A17)+1)/2)*(Inputs!$J$6-Inputs!$I$6)))/Inputs!$K$6)^2)))*Inputs!$C$52*COS(SQRT(((Inputs!$I$6+(((A17)+1)/2)*(Inputs!$J$6-Inputs!$I$6)))^2+Inputs!$C$6^2)/Inputs!$C$52)))-((Inputs!$H$6+Inputs!$L$6*(((Inputs!$I$6+(((A17)+1)/2)*(Inputs!$J$6-Inputs!$I$6)))/Inputs!$K$6)^2)))*1000/Inputs!$C$12)</f>
        <v/>
      </c>
      <c r="AG17" s="9">
        <f>(((SQRT((Inputs!$C$52+((Inputs!$H$7+Inputs!$L$7*(((Inputs!$I$7+(((A17)+1)/2)*(Inputs!$J$7-Inputs!$I$7)))/Inputs!$K$7)^2)))^2+Inputs!$C$52^2-2*(Inputs!$C$52+((Inputs!$H$7+Inputs!$L$7*(((Inputs!$I$7+(((A17)+1)/2)*(Inputs!$J$7-Inputs!$I$7)))/Inputs!$K$7)^2)))*Inputs!$C$52*COS(SQRT(((Inputs!$I$7+(((A17)+1)/2)*(Inputs!$J$7-Inputs!$I$7)))^2+Inputs!$C$6^2)/Inputs!$C$52)))-((Inputs!$H$7+Inputs!$L$7*(((Inputs!$I$7+(((A17)+1)/2)*(Inputs!$J$7-Inputs!$I$7)))/Inputs!$K$7)^2)))*1000/Inputs!$C$12)</f>
        <v/>
      </c>
      <c r="AH17" s="9">
        <f>(((SQRT((Inputs!$C$52+((Inputs!$H$8+Inputs!$L$8*(((Inputs!$I$8+(((A17)+1)/2)*(Inputs!$J$8-Inputs!$I$8)))/Inputs!$K$8)^2)))^2+Inputs!$C$52^2-2*(Inputs!$C$52+((Inputs!$H$8+Inputs!$L$8*(((Inputs!$I$8+(((A17)+1)/2)*(Inputs!$J$8-Inputs!$I$8)))/Inputs!$K$8)^2)))*Inputs!$C$52*COS(SQRT(((Inputs!$I$8+(((A17)+1)/2)*(Inputs!$J$8-Inputs!$I$8)))^2+Inputs!$C$6^2)/Inputs!$C$52)))-((Inputs!$H$8+Inputs!$L$8*(((Inputs!$I$8+(((A17)+1)/2)*(Inputs!$J$8-Inputs!$I$8)))/Inputs!$K$8)^2)))*1000/Inputs!$C$12)</f>
        <v/>
      </c>
      <c r="AI17" s="9">
        <f>(((SQRT((Inputs!$C$52+((Inputs!$H$9+Inputs!$L$9*(((Inputs!$I$9+(((A17)+1)/2)*(Inputs!$J$9-Inputs!$I$9)))/Inputs!$K$9)^2)))^2+Inputs!$C$52^2-2*(Inputs!$C$52+((Inputs!$H$9+Inputs!$L$9*(((Inputs!$I$9+(((A17)+1)/2)*(Inputs!$J$9-Inputs!$I$9)))/Inputs!$K$9)^2)))*Inputs!$C$52*COS(SQRT(((Inputs!$I$9+(((A17)+1)/2)*(Inputs!$J$9-Inputs!$I$9)))^2+Inputs!$C$6^2)/Inputs!$C$52)))-((Inputs!$H$9+Inputs!$L$9*(((Inputs!$I$9+(((A17)+1)/2)*(Inputs!$J$9-Inputs!$I$9)))/Inputs!$K$9)^2)))*1000/Inputs!$C$12)</f>
        <v/>
      </c>
      <c r="AJ17" s="10" t="n"/>
      <c r="AK17" s="9">
        <f>A17</f>
        <v/>
      </c>
      <c r="AL17" s="9">
        <f>(-2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f>
        <v/>
      </c>
      <c r="AM17" s="9">
        <f>(-2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f>
        <v/>
      </c>
      <c r="AN17" s="9">
        <f>(-2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f>
        <v/>
      </c>
      <c r="AO17" s="9">
        <f>(-2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f>
        <v/>
      </c>
      <c r="AP17" s="10" t="n"/>
      <c r="AQ17" s="9">
        <f>A17</f>
        <v/>
      </c>
      <c r="AR17" s="9">
        <f>0</f>
        <v/>
      </c>
      <c r="AS17" s="9">
        <f>IF(OR(Inputs!$F$6=TRUE,Inputs!$F$6="TRUE",Inputs!$F$6=1),IF(OR(Inputs!$C$27=TRUE,Inputs!$C$27="TRUE",Inputs!$C$27=1),1,0)*(Inputs!$C$51*(115*EXP(-(((Inputs!$C$6)-25)^2)/(4.5^2))+70*EXP(-(((Inputs!$C$6)+38)^2)/(7^2))*(0.55+0.45*SIN(2*PI()*((Inputs!$I$6+(((A17)+1)/2)*(Inputs!$J$6-Inputs!$I$6)))/45))+24*SIN(2*PI()*(Inputs!$C$6)/9+((Inputs!$I$6+(((A17)+1)/2)*(Inputs!$J$6-Inputs!$I$6)))/18)*EXP(-(((Inputs!$C$6)+5)^2)/(22^2))+18*SIN(2*PI()*((Inputs!$I$6+(((A17)+1)/2)*(Inputs!$J$6-Inputs!$I$6)))/70))+Inputs!$C$28*EXP(-((((Inputs!$I$6+(((A17)+1)/2)*(Inputs!$J$6-Inputs!$I$6)))-Inputs!$C$29)^2)/(2*Inputs!$C$31^2))*EXP(-(((Inputs!$C$6)-Inputs!$C$30)^2)/(2*Inputs!$C$32^2))+-Inputs!$C$33*EXP(-((((((Inputs!$I$6+(((A17)+1)/2)*(Inputs!$J$6-Inputs!$I$6)))-Inputs!$C$34)^2)+(((Inputs!$C$6)-Inputs!$C$35)^2))/(2*Inputs!$C$36^2)))+Inputs!$C$37*(0.55*SIN(2*PI()*((Inputs!$I$6+(((A17)+1)/2)*(Inputs!$J$6-Inputs!$I$6)))/Inputs!$C$39)+0.35*COS(2*PI()*(Inputs!$C$6)/Inputs!$C$40)+0.2*SIN(2*PI()*(((Inputs!$I$6+(((A17)+1)/2)*(Inputs!$J$6-Inputs!$I$6)))+(Inputs!$C$6))/(0.5*(Inputs!$C$39+Inputs!$C$40))))+Inputs!$C$38*SIN(2*PI()*((Inputs!$I$6+(((A17)+1)/2)*(Inputs!$J$6-Inputs!$I$6)))/Inputs!$C$39)*SIN(2*PI()*(Inputs!$C$6)/Inputs!$C$40)+-Inputs!$C$41*EXP(-(((Inputs!$C$6)-Inputs!$C$43)^2)/(2*Inputs!$C$44^2))*EXP(-((((Inputs!$I$6+(((A17)+1)/2)*(Inputs!$J$6-Inputs!$I$6)))-Inputs!$C$42)^2)/(2*Inputs!$C$45^2))+Inputs!$C$48*(0.7*(0.45*SIN(2*PI()*((((Inputs!$I$6+(((A17)+1)/2)*(Inputs!$J$6-Inputs!$I$6)))/Inputs!$C$49)+Inputs!$C$47*0.137))+0.35*COS(2*PI()*(((Inputs!$C$6)/Inputs!$C$50)+Inputs!$C$47*0.173))+0.2*SIN(2*PI()*((((Inputs!$I$6+(((A17)+1)/2)*(Inputs!$J$6-Inputs!$I$6)))+(Inputs!$C$6))/(0.5*(Inputs!$C$49+Inputs!$C$50))+Inputs!$C$47*0.097)))+0.3*(2*((SIN((((Inputs!$I$6+(((A17)+1)/2)*(Inputs!$J$6-Inputs!$I$6)))*12.9898+(Inputs!$C$6)*78.233+Inputs!$C$47*37.719))*43758.5453)-INT((SIN((((Inputs!$I$6+(((A17)+1)/2)*(Inputs!$J$6-Inputs!$I$6)))*12.9898+(Inputs!$C$6)*78.233+Inputs!$C$47*37.719))*43758.5453)))-1))),NA())</f>
        <v/>
      </c>
      <c r="AT17" s="9">
        <f>IF(OR(Inputs!$F$7=TRUE,Inputs!$F$7="TRUE",Inputs!$F$7=1),IF(OR(Inputs!$C$27=TRUE,Inputs!$C$27="TRUE",Inputs!$C$27=1),1,0)*(Inputs!$C$51*(115*EXP(-(((Inputs!$C$6)-25)^2)/(4.5^2))+70*EXP(-(((Inputs!$C$6)+38)^2)/(7^2))*(0.55+0.45*SIN(2*PI()*((Inputs!$I$7+(((A17)+1)/2)*(Inputs!$J$7-Inputs!$I$7)))/45))+24*SIN(2*PI()*(Inputs!$C$6)/9+((Inputs!$I$7+(((A17)+1)/2)*(Inputs!$J$7-Inputs!$I$7)))/18)*EXP(-(((Inputs!$C$6)+5)^2)/(22^2))+18*SIN(2*PI()*((Inputs!$I$7+(((A17)+1)/2)*(Inputs!$J$7-Inputs!$I$7)))/70))+Inputs!$C$28*EXP(-((((Inputs!$I$7+(((A17)+1)/2)*(Inputs!$J$7-Inputs!$I$7)))-Inputs!$C$29)^2)/(2*Inputs!$C$31^2))*EXP(-(((Inputs!$C$6)-Inputs!$C$30)^2)/(2*Inputs!$C$32^2))+-Inputs!$C$33*EXP(-((((((Inputs!$I$7+(((A17)+1)/2)*(Inputs!$J$7-Inputs!$I$7)))-Inputs!$C$34)^2)+(((Inputs!$C$6)-Inputs!$C$35)^2))/(2*Inputs!$C$36^2)))+Inputs!$C$37*(0.55*SIN(2*PI()*((Inputs!$I$7+(((A17)+1)/2)*(Inputs!$J$7-Inputs!$I$7)))/Inputs!$C$39)+0.35*COS(2*PI()*(Inputs!$C$6)/Inputs!$C$40)+0.2*SIN(2*PI()*(((Inputs!$I$7+(((A17)+1)/2)*(Inputs!$J$7-Inputs!$I$7)))+(Inputs!$C$6))/(0.5*(Inputs!$C$39+Inputs!$C$40))))+Inputs!$C$38*SIN(2*PI()*((Inputs!$I$7+(((A17)+1)/2)*(Inputs!$J$7-Inputs!$I$7)))/Inputs!$C$39)*SIN(2*PI()*(Inputs!$C$6)/Inputs!$C$40)+-Inputs!$C$41*EXP(-(((Inputs!$C$6)-Inputs!$C$43)^2)/(2*Inputs!$C$44^2))*EXP(-((((Inputs!$I$7+(((A17)+1)/2)*(Inputs!$J$7-Inputs!$I$7)))-Inputs!$C$42)^2)/(2*Inputs!$C$45^2))+Inputs!$C$48*(0.7*(0.45*SIN(2*PI()*((((Inputs!$I$7+(((A17)+1)/2)*(Inputs!$J$7-Inputs!$I$7)))/Inputs!$C$49)+Inputs!$C$47*0.137))+0.35*COS(2*PI()*(((Inputs!$C$6)/Inputs!$C$50)+Inputs!$C$47*0.173))+0.2*SIN(2*PI()*((((Inputs!$I$7+(((A17)+1)/2)*(Inputs!$J$7-Inputs!$I$7)))+(Inputs!$C$6))/(0.5*(Inputs!$C$49+Inputs!$C$50))+Inputs!$C$47*0.097)))+0.3*(2*((SIN((((Inputs!$I$7+(((A17)+1)/2)*(Inputs!$J$7-Inputs!$I$7)))*12.9898+(Inputs!$C$6)*78.233+Inputs!$C$47*37.719))*43758.5453)-INT((SIN((((Inputs!$I$7+(((A17)+1)/2)*(Inputs!$J$7-Inputs!$I$7)))*12.9898+(Inputs!$C$6)*78.233+Inputs!$C$47*37.719))*43758.5453)))-1))),NA())</f>
        <v/>
      </c>
      <c r="AU17" s="9">
        <f>IF(OR(Inputs!$F$8=TRUE,Inputs!$F$8="TRUE",Inputs!$F$8=1),IF(OR(Inputs!$C$27=TRUE,Inputs!$C$27="TRUE",Inputs!$C$27=1),1,0)*(Inputs!$C$51*(115*EXP(-(((Inputs!$C$6)-25)^2)/(4.5^2))+70*EXP(-(((Inputs!$C$6)+38)^2)/(7^2))*(0.55+0.45*SIN(2*PI()*((Inputs!$I$8+(((A17)+1)/2)*(Inputs!$J$8-Inputs!$I$8)))/45))+24*SIN(2*PI()*(Inputs!$C$6)/9+((Inputs!$I$8+(((A17)+1)/2)*(Inputs!$J$8-Inputs!$I$8)))/18)*EXP(-(((Inputs!$C$6)+5)^2)/(22^2))+18*SIN(2*PI()*((Inputs!$I$8+(((A17)+1)/2)*(Inputs!$J$8-Inputs!$I$8)))/70))+Inputs!$C$28*EXP(-((((Inputs!$I$8+(((A17)+1)/2)*(Inputs!$J$8-Inputs!$I$8)))-Inputs!$C$29)^2)/(2*Inputs!$C$31^2))*EXP(-(((Inputs!$C$6)-Inputs!$C$30)^2)/(2*Inputs!$C$32^2))+-Inputs!$C$33*EXP(-((((((Inputs!$I$8+(((A17)+1)/2)*(Inputs!$J$8-Inputs!$I$8)))-Inputs!$C$34)^2)+(((Inputs!$C$6)-Inputs!$C$35)^2))/(2*Inputs!$C$36^2)))+Inputs!$C$37*(0.55*SIN(2*PI()*((Inputs!$I$8+(((A17)+1)/2)*(Inputs!$J$8-Inputs!$I$8)))/Inputs!$C$39)+0.35*COS(2*PI()*(Inputs!$C$6)/Inputs!$C$40)+0.2*SIN(2*PI()*(((Inputs!$I$8+(((A17)+1)/2)*(Inputs!$J$8-Inputs!$I$8)))+(Inputs!$C$6))/(0.5*(Inputs!$C$39+Inputs!$C$40))))+Inputs!$C$38*SIN(2*PI()*((Inputs!$I$8+(((A17)+1)/2)*(Inputs!$J$8-Inputs!$I$8)))/Inputs!$C$39)*SIN(2*PI()*(Inputs!$C$6)/Inputs!$C$40)+-Inputs!$C$41*EXP(-(((Inputs!$C$6)-Inputs!$C$43)^2)/(2*Inputs!$C$44^2))*EXP(-((((Inputs!$I$8+(((A17)+1)/2)*(Inputs!$J$8-Inputs!$I$8)))-Inputs!$C$42)^2)/(2*Inputs!$C$45^2))+Inputs!$C$48*(0.7*(0.45*SIN(2*PI()*((((Inputs!$I$8+(((A17)+1)/2)*(Inputs!$J$8-Inputs!$I$8)))/Inputs!$C$49)+Inputs!$C$47*0.137))+0.35*COS(2*PI()*(((Inputs!$C$6)/Inputs!$C$50)+Inputs!$C$47*0.173))+0.2*SIN(2*PI()*((((Inputs!$I$8+(((A17)+1)/2)*(Inputs!$J$8-Inputs!$I$8)))+(Inputs!$C$6))/(0.5*(Inputs!$C$49+Inputs!$C$50))+Inputs!$C$47*0.097)))+0.3*(2*((SIN((((Inputs!$I$8+(((A17)+1)/2)*(Inputs!$J$8-Inputs!$I$8)))*12.9898+(Inputs!$C$6)*78.233+Inputs!$C$47*37.719))*43758.5453)-INT((SIN((((Inputs!$I$8+(((A17)+1)/2)*(Inputs!$J$8-Inputs!$I$8)))*12.9898+(Inputs!$C$6)*78.233+Inputs!$C$47*37.719))*43758.5453)))-1))),NA())</f>
        <v/>
      </c>
      <c r="AV17" s="9">
        <f>IF(OR(Inputs!$F$9=TRUE,Inputs!$F$9="TRUE",Inputs!$F$9=1),IF(OR(Inputs!$C$27=TRUE,Inputs!$C$27="TRUE",Inputs!$C$27=1),1,0)*(Inputs!$C$51*(115*EXP(-(((Inputs!$C$6)-25)^2)/(4.5^2))+70*EXP(-(((Inputs!$C$6)+38)^2)/(7^2))*(0.55+0.45*SIN(2*PI()*((Inputs!$I$9+(((A17)+1)/2)*(Inputs!$J$9-Inputs!$I$9)))/45))+24*SIN(2*PI()*(Inputs!$C$6)/9+((Inputs!$I$9+(((A17)+1)/2)*(Inputs!$J$9-Inputs!$I$9)))/18)*EXP(-(((Inputs!$C$6)+5)^2)/(22^2))+18*SIN(2*PI()*((Inputs!$I$9+(((A17)+1)/2)*(Inputs!$J$9-Inputs!$I$9)))/70))+Inputs!$C$28*EXP(-((((Inputs!$I$9+(((A17)+1)/2)*(Inputs!$J$9-Inputs!$I$9)))-Inputs!$C$29)^2)/(2*Inputs!$C$31^2))*EXP(-(((Inputs!$C$6)-Inputs!$C$30)^2)/(2*Inputs!$C$32^2))+-Inputs!$C$33*EXP(-((((((Inputs!$I$9+(((A17)+1)/2)*(Inputs!$J$9-Inputs!$I$9)))-Inputs!$C$34)^2)+(((Inputs!$C$6)-Inputs!$C$35)^2))/(2*Inputs!$C$36^2)))+Inputs!$C$37*(0.55*SIN(2*PI()*((Inputs!$I$9+(((A17)+1)/2)*(Inputs!$J$9-Inputs!$I$9)))/Inputs!$C$39)+0.35*COS(2*PI()*(Inputs!$C$6)/Inputs!$C$40)+0.2*SIN(2*PI()*(((Inputs!$I$9+(((A17)+1)/2)*(Inputs!$J$9-Inputs!$I$9)))+(Inputs!$C$6))/(0.5*(Inputs!$C$39+Inputs!$C$40))))+Inputs!$C$38*SIN(2*PI()*((Inputs!$I$9+(((A17)+1)/2)*(Inputs!$J$9-Inputs!$I$9)))/Inputs!$C$39)*SIN(2*PI()*(Inputs!$C$6)/Inputs!$C$40)+-Inputs!$C$41*EXP(-(((Inputs!$C$6)-Inputs!$C$43)^2)/(2*Inputs!$C$44^2))*EXP(-((((Inputs!$I$9+(((A17)+1)/2)*(Inputs!$J$9-Inputs!$I$9)))-Inputs!$C$42)^2)/(2*Inputs!$C$45^2))+Inputs!$C$48*(0.7*(0.45*SIN(2*PI()*((((Inputs!$I$9+(((A17)+1)/2)*(Inputs!$J$9-Inputs!$I$9)))/Inputs!$C$49)+Inputs!$C$47*0.137))+0.35*COS(2*PI()*(((Inputs!$C$6)/Inputs!$C$50)+Inputs!$C$47*0.173))+0.2*SIN(2*PI()*((((Inputs!$I$9+(((A17)+1)/2)*(Inputs!$J$9-Inputs!$I$9)))+(Inputs!$C$6))/(0.5*(Inputs!$C$49+Inputs!$C$50))+Inputs!$C$47*0.097)))+0.3*(2*((SIN((((Inputs!$I$9+(((A17)+1)/2)*(Inputs!$J$9-Inputs!$I$9)))*12.9898+(Inputs!$C$6)*78.233+Inputs!$C$47*37.719))*43758.5453)-INT((SIN((((Inputs!$I$9+(((A17)+1)/2)*(Inputs!$J$9-Inputs!$I$9)))*12.9898+(Inputs!$C$6)*78.233+Inputs!$C$47*37.719))*43758.5453)))-1))),NA())</f>
        <v/>
      </c>
      <c r="AW17" s="10" t="n"/>
      <c r="AX17" s="9">
        <f>A17</f>
        <v/>
      </c>
      <c r="AY17" s="9">
        <f>0</f>
        <v/>
      </c>
      <c r="AZ17" s="9">
        <f>IF(OR(Inputs!$F$6=TRUE,Inputs!$F$6="TRUE",Inputs!$F$6=1),(Inputs!$H$6+Inputs!$L$6*(((Inputs!$I$6+(((A17)+1)/2)*(Inputs!$J$6-Inputs!$I$6)))/Inputs!$K$6)^2),NA())</f>
        <v/>
      </c>
      <c r="BA17" s="9">
        <f>IF(OR(Inputs!$F$7=TRUE,Inputs!$F$7="TRUE",Inputs!$F$7=1),(Inputs!$H$7+Inputs!$L$7*(((Inputs!$I$7+(((A17)+1)/2)*(Inputs!$J$7-Inputs!$I$7)))/Inputs!$K$7)^2),NA())</f>
        <v/>
      </c>
      <c r="BB17" s="9">
        <f>IF(OR(Inputs!$F$8=TRUE,Inputs!$F$8="TRUE",Inputs!$F$8=1),(Inputs!$H$8+Inputs!$L$8*(((Inputs!$I$8+(((A17)+1)/2)*(Inputs!$J$8-Inputs!$I$8)))/Inputs!$K$8)^2),NA())</f>
        <v/>
      </c>
      <c r="BC17" s="9">
        <f>IF(OR(Inputs!$F$9=TRUE,Inputs!$F$9="TRUE",Inputs!$F$9=1),(Inputs!$H$9+Inputs!$L$9*(((Inputs!$I$9+(((A17)+1)/2)*(Inputs!$J$9-Inputs!$I$9)))/Inputs!$K$9)^2),NA())</f>
        <v/>
      </c>
      <c r="BD17" s="10" t="n"/>
      <c r="BE17" s="9">
        <f>A17</f>
        <v/>
      </c>
      <c r="BF17" s="9">
        <f>0</f>
        <v/>
      </c>
      <c r="BG17" s="9">
        <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f>
        <v/>
      </c>
      <c r="BH17" s="9">
        <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f>
        <v/>
      </c>
      <c r="BI17" s="9">
        <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f>
        <v/>
      </c>
      <c r="BJ17" s="9">
        <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f>
        <v/>
      </c>
    </row>
    <row r="18">
      <c r="A18" s="9">
        <f>ROUND(-1+16*2/240,3)</f>
        <v/>
      </c>
      <c r="B18" s="9">
        <f>IF(OR(Inputs!$F$6=TRUE,Inputs!$F$6="TRUE",Inputs!$F$6=1),(Inputs!$H$6+Inputs!$L$6*(((Inputs!$I$6+(((A18)+1)/2)*(Inputs!$J$6-Inputs!$I$6)))/Inputs!$K$6)^2),NA())</f>
        <v/>
      </c>
      <c r="C18" s="9">
        <f>IF(OR(Inputs!$F$7=TRUE,Inputs!$F$7="TRUE",Inputs!$F$7=1),(Inputs!$H$7+Inputs!$L$7*(((Inputs!$I$7+(((A18)+1)/2)*(Inputs!$J$7-Inputs!$I$7)))/Inputs!$K$7)^2),NA())</f>
        <v/>
      </c>
      <c r="D18" s="9">
        <f>IF(OR(Inputs!$F$8=TRUE,Inputs!$F$8="TRUE",Inputs!$F$8=1),(Inputs!$H$8+Inputs!$L$8*(((Inputs!$I$8+(((A18)+1)/2)*(Inputs!$J$8-Inputs!$I$8)))/Inputs!$K$8)^2),NA())</f>
        <v/>
      </c>
      <c r="E18" s="9">
        <f>IF(OR(Inputs!$F$9=TRUE,Inputs!$F$9="TRUE",Inputs!$F$9=1),(Inputs!$H$9+Inputs!$L$9*(((Inputs!$I$9+(((A18)+1)/2)*(Inputs!$J$9-Inputs!$I$9)))/Inputs!$K$9)^2),NA())</f>
        <v/>
      </c>
      <c r="F18" s="10" t="n"/>
      <c r="G18" s="9">
        <f>A18</f>
        <v/>
      </c>
      <c r="H18" s="9">
        <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f>
        <v/>
      </c>
      <c r="I18" s="9">
        <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f>
        <v/>
      </c>
      <c r="J18" s="9">
        <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f>
        <v/>
      </c>
      <c r="K18" s="9">
        <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f>
        <v/>
      </c>
      <c r="L18" s="10" t="n"/>
      <c r="M18" s="9">
        <f>A18</f>
        <v/>
      </c>
      <c r="N18" s="9">
        <f>IF(OR(Inputs!$F$6=TRUE,Inputs!$F$6="TRUE",Inputs!$F$6=1),(-2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NA())</f>
        <v/>
      </c>
      <c r="O18" s="9">
        <f>IF(OR(Inputs!$F$7=TRUE,Inputs!$F$7="TRUE",Inputs!$F$7=1),(-2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NA())</f>
        <v/>
      </c>
      <c r="P18" s="9">
        <f>IF(OR(Inputs!$F$8=TRUE,Inputs!$F$8="TRUE",Inputs!$F$8=1),(-2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NA())</f>
        <v/>
      </c>
      <c r="Q18" s="9">
        <f>IF(OR(Inputs!$F$9=TRUE,Inputs!$F$9="TRUE",Inputs!$F$9=1),(-2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NA())</f>
        <v/>
      </c>
      <c r="R18" s="10" t="n"/>
      <c r="S18" s="9">
        <f>A18</f>
        <v/>
      </c>
      <c r="T18" s="9">
        <f>(Inputs!$I$6+(((A18)+1)/2)*(Inputs!$J$6-Inputs!$I$6))</f>
        <v/>
      </c>
      <c r="U18" s="9">
        <f>(Inputs!$I$7+(((A18)+1)/2)*(Inputs!$J$7-Inputs!$I$7))</f>
        <v/>
      </c>
      <c r="V18" s="9">
        <f>(Inputs!$I$8+(((A18)+1)/2)*(Inputs!$J$8-Inputs!$I$8))</f>
        <v/>
      </c>
      <c r="W18" s="9">
        <f>(Inputs!$I$9+(((A18)+1)/2)*(Inputs!$J$9-Inputs!$I$9))</f>
        <v/>
      </c>
      <c r="X18" s="10" t="n"/>
      <c r="Y18" s="9">
        <f>A18</f>
        <v/>
      </c>
      <c r="Z18" s="9">
        <f>(Inputs!$H$6+Inputs!$L$6*(((Inputs!$I$6+(((A18)+1)/2)*(Inputs!$J$6-Inputs!$I$6)))/Inputs!$K$6)^2)</f>
        <v/>
      </c>
      <c r="AA18" s="9">
        <f>(Inputs!$H$7+Inputs!$L$7*(((Inputs!$I$7+(((A18)+1)/2)*(Inputs!$J$7-Inputs!$I$7)))/Inputs!$K$7)^2)</f>
        <v/>
      </c>
      <c r="AB18" s="9">
        <f>(Inputs!$H$8+Inputs!$L$8*(((Inputs!$I$8+(((A18)+1)/2)*(Inputs!$J$8-Inputs!$I$8)))/Inputs!$K$8)^2)</f>
        <v/>
      </c>
      <c r="AC18" s="9">
        <f>(Inputs!$H$9+Inputs!$L$9*(((Inputs!$I$9+(((A18)+1)/2)*(Inputs!$J$9-Inputs!$I$9)))/Inputs!$K$9)^2)</f>
        <v/>
      </c>
      <c r="AD18" s="10" t="n"/>
      <c r="AE18" s="9">
        <f>A18</f>
        <v/>
      </c>
      <c r="AF18" s="9">
        <f>(((SQRT((Inputs!$C$52+((Inputs!$H$6+Inputs!$L$6*(((Inputs!$I$6+(((A18)+1)/2)*(Inputs!$J$6-Inputs!$I$6)))/Inputs!$K$6)^2)))^2+Inputs!$C$52^2-2*(Inputs!$C$52+((Inputs!$H$6+Inputs!$L$6*(((Inputs!$I$6+(((A18)+1)/2)*(Inputs!$J$6-Inputs!$I$6)))/Inputs!$K$6)^2)))*Inputs!$C$52*COS(SQRT(((Inputs!$I$6+(((A18)+1)/2)*(Inputs!$J$6-Inputs!$I$6)))^2+Inputs!$C$6^2)/Inputs!$C$52)))-((Inputs!$H$6+Inputs!$L$6*(((Inputs!$I$6+(((A18)+1)/2)*(Inputs!$J$6-Inputs!$I$6)))/Inputs!$K$6)^2)))*1000/Inputs!$C$12)</f>
        <v/>
      </c>
      <c r="AG18" s="9">
        <f>(((SQRT((Inputs!$C$52+((Inputs!$H$7+Inputs!$L$7*(((Inputs!$I$7+(((A18)+1)/2)*(Inputs!$J$7-Inputs!$I$7)))/Inputs!$K$7)^2)))^2+Inputs!$C$52^2-2*(Inputs!$C$52+((Inputs!$H$7+Inputs!$L$7*(((Inputs!$I$7+(((A18)+1)/2)*(Inputs!$J$7-Inputs!$I$7)))/Inputs!$K$7)^2)))*Inputs!$C$52*COS(SQRT(((Inputs!$I$7+(((A18)+1)/2)*(Inputs!$J$7-Inputs!$I$7)))^2+Inputs!$C$6^2)/Inputs!$C$52)))-((Inputs!$H$7+Inputs!$L$7*(((Inputs!$I$7+(((A18)+1)/2)*(Inputs!$J$7-Inputs!$I$7)))/Inputs!$K$7)^2)))*1000/Inputs!$C$12)</f>
        <v/>
      </c>
      <c r="AH18" s="9">
        <f>(((SQRT((Inputs!$C$52+((Inputs!$H$8+Inputs!$L$8*(((Inputs!$I$8+(((A18)+1)/2)*(Inputs!$J$8-Inputs!$I$8)))/Inputs!$K$8)^2)))^2+Inputs!$C$52^2-2*(Inputs!$C$52+((Inputs!$H$8+Inputs!$L$8*(((Inputs!$I$8+(((A18)+1)/2)*(Inputs!$J$8-Inputs!$I$8)))/Inputs!$K$8)^2)))*Inputs!$C$52*COS(SQRT(((Inputs!$I$8+(((A18)+1)/2)*(Inputs!$J$8-Inputs!$I$8)))^2+Inputs!$C$6^2)/Inputs!$C$52)))-((Inputs!$H$8+Inputs!$L$8*(((Inputs!$I$8+(((A18)+1)/2)*(Inputs!$J$8-Inputs!$I$8)))/Inputs!$K$8)^2)))*1000/Inputs!$C$12)</f>
        <v/>
      </c>
      <c r="AI18" s="9">
        <f>(((SQRT((Inputs!$C$52+((Inputs!$H$9+Inputs!$L$9*(((Inputs!$I$9+(((A18)+1)/2)*(Inputs!$J$9-Inputs!$I$9)))/Inputs!$K$9)^2)))^2+Inputs!$C$52^2-2*(Inputs!$C$52+((Inputs!$H$9+Inputs!$L$9*(((Inputs!$I$9+(((A18)+1)/2)*(Inputs!$J$9-Inputs!$I$9)))/Inputs!$K$9)^2)))*Inputs!$C$52*COS(SQRT(((Inputs!$I$9+(((A18)+1)/2)*(Inputs!$J$9-Inputs!$I$9)))^2+Inputs!$C$6^2)/Inputs!$C$52)))-((Inputs!$H$9+Inputs!$L$9*(((Inputs!$I$9+(((A18)+1)/2)*(Inputs!$J$9-Inputs!$I$9)))/Inputs!$K$9)^2)))*1000/Inputs!$C$12)</f>
        <v/>
      </c>
      <c r="AJ18" s="10" t="n"/>
      <c r="AK18" s="9">
        <f>A18</f>
        <v/>
      </c>
      <c r="AL18" s="9">
        <f>(-2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f>
        <v/>
      </c>
      <c r="AM18" s="9">
        <f>(-2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f>
        <v/>
      </c>
      <c r="AN18" s="9">
        <f>(-2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f>
        <v/>
      </c>
      <c r="AO18" s="9">
        <f>(-2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f>
        <v/>
      </c>
      <c r="AP18" s="10" t="n"/>
      <c r="AQ18" s="9">
        <f>A18</f>
        <v/>
      </c>
      <c r="AR18" s="9">
        <f>0</f>
        <v/>
      </c>
      <c r="AS18" s="9">
        <f>IF(OR(Inputs!$F$6=TRUE,Inputs!$F$6="TRUE",Inputs!$F$6=1),IF(OR(Inputs!$C$27=TRUE,Inputs!$C$27="TRUE",Inputs!$C$27=1),1,0)*(Inputs!$C$51*(115*EXP(-(((Inputs!$C$6)-25)^2)/(4.5^2))+70*EXP(-(((Inputs!$C$6)+38)^2)/(7^2))*(0.55+0.45*SIN(2*PI()*((Inputs!$I$6+(((A18)+1)/2)*(Inputs!$J$6-Inputs!$I$6)))/45))+24*SIN(2*PI()*(Inputs!$C$6)/9+((Inputs!$I$6+(((A18)+1)/2)*(Inputs!$J$6-Inputs!$I$6)))/18)*EXP(-(((Inputs!$C$6)+5)^2)/(22^2))+18*SIN(2*PI()*((Inputs!$I$6+(((A18)+1)/2)*(Inputs!$J$6-Inputs!$I$6)))/70))+Inputs!$C$28*EXP(-((((Inputs!$I$6+(((A18)+1)/2)*(Inputs!$J$6-Inputs!$I$6)))-Inputs!$C$29)^2)/(2*Inputs!$C$31^2))*EXP(-(((Inputs!$C$6)-Inputs!$C$30)^2)/(2*Inputs!$C$32^2))+-Inputs!$C$33*EXP(-((((((Inputs!$I$6+(((A18)+1)/2)*(Inputs!$J$6-Inputs!$I$6)))-Inputs!$C$34)^2)+(((Inputs!$C$6)-Inputs!$C$35)^2))/(2*Inputs!$C$36^2)))+Inputs!$C$37*(0.55*SIN(2*PI()*((Inputs!$I$6+(((A18)+1)/2)*(Inputs!$J$6-Inputs!$I$6)))/Inputs!$C$39)+0.35*COS(2*PI()*(Inputs!$C$6)/Inputs!$C$40)+0.2*SIN(2*PI()*(((Inputs!$I$6+(((A18)+1)/2)*(Inputs!$J$6-Inputs!$I$6)))+(Inputs!$C$6))/(0.5*(Inputs!$C$39+Inputs!$C$40))))+Inputs!$C$38*SIN(2*PI()*((Inputs!$I$6+(((A18)+1)/2)*(Inputs!$J$6-Inputs!$I$6)))/Inputs!$C$39)*SIN(2*PI()*(Inputs!$C$6)/Inputs!$C$40)+-Inputs!$C$41*EXP(-(((Inputs!$C$6)-Inputs!$C$43)^2)/(2*Inputs!$C$44^2))*EXP(-((((Inputs!$I$6+(((A18)+1)/2)*(Inputs!$J$6-Inputs!$I$6)))-Inputs!$C$42)^2)/(2*Inputs!$C$45^2))+Inputs!$C$48*(0.7*(0.45*SIN(2*PI()*((((Inputs!$I$6+(((A18)+1)/2)*(Inputs!$J$6-Inputs!$I$6)))/Inputs!$C$49)+Inputs!$C$47*0.137))+0.35*COS(2*PI()*(((Inputs!$C$6)/Inputs!$C$50)+Inputs!$C$47*0.173))+0.2*SIN(2*PI()*((((Inputs!$I$6+(((A18)+1)/2)*(Inputs!$J$6-Inputs!$I$6)))+(Inputs!$C$6))/(0.5*(Inputs!$C$49+Inputs!$C$50))+Inputs!$C$47*0.097)))+0.3*(2*((SIN((((Inputs!$I$6+(((A18)+1)/2)*(Inputs!$J$6-Inputs!$I$6)))*12.9898+(Inputs!$C$6)*78.233+Inputs!$C$47*37.719))*43758.5453)-INT((SIN((((Inputs!$I$6+(((A18)+1)/2)*(Inputs!$J$6-Inputs!$I$6)))*12.9898+(Inputs!$C$6)*78.233+Inputs!$C$47*37.719))*43758.5453)))-1))),NA())</f>
        <v/>
      </c>
      <c r="AT18" s="9">
        <f>IF(OR(Inputs!$F$7=TRUE,Inputs!$F$7="TRUE",Inputs!$F$7=1),IF(OR(Inputs!$C$27=TRUE,Inputs!$C$27="TRUE",Inputs!$C$27=1),1,0)*(Inputs!$C$51*(115*EXP(-(((Inputs!$C$6)-25)^2)/(4.5^2))+70*EXP(-(((Inputs!$C$6)+38)^2)/(7^2))*(0.55+0.45*SIN(2*PI()*((Inputs!$I$7+(((A18)+1)/2)*(Inputs!$J$7-Inputs!$I$7)))/45))+24*SIN(2*PI()*(Inputs!$C$6)/9+((Inputs!$I$7+(((A18)+1)/2)*(Inputs!$J$7-Inputs!$I$7)))/18)*EXP(-(((Inputs!$C$6)+5)^2)/(22^2))+18*SIN(2*PI()*((Inputs!$I$7+(((A18)+1)/2)*(Inputs!$J$7-Inputs!$I$7)))/70))+Inputs!$C$28*EXP(-((((Inputs!$I$7+(((A18)+1)/2)*(Inputs!$J$7-Inputs!$I$7)))-Inputs!$C$29)^2)/(2*Inputs!$C$31^2))*EXP(-(((Inputs!$C$6)-Inputs!$C$30)^2)/(2*Inputs!$C$32^2))+-Inputs!$C$33*EXP(-((((((Inputs!$I$7+(((A18)+1)/2)*(Inputs!$J$7-Inputs!$I$7)))-Inputs!$C$34)^2)+(((Inputs!$C$6)-Inputs!$C$35)^2))/(2*Inputs!$C$36^2)))+Inputs!$C$37*(0.55*SIN(2*PI()*((Inputs!$I$7+(((A18)+1)/2)*(Inputs!$J$7-Inputs!$I$7)))/Inputs!$C$39)+0.35*COS(2*PI()*(Inputs!$C$6)/Inputs!$C$40)+0.2*SIN(2*PI()*(((Inputs!$I$7+(((A18)+1)/2)*(Inputs!$J$7-Inputs!$I$7)))+(Inputs!$C$6))/(0.5*(Inputs!$C$39+Inputs!$C$40))))+Inputs!$C$38*SIN(2*PI()*((Inputs!$I$7+(((A18)+1)/2)*(Inputs!$J$7-Inputs!$I$7)))/Inputs!$C$39)*SIN(2*PI()*(Inputs!$C$6)/Inputs!$C$40)+-Inputs!$C$41*EXP(-(((Inputs!$C$6)-Inputs!$C$43)^2)/(2*Inputs!$C$44^2))*EXP(-((((Inputs!$I$7+(((A18)+1)/2)*(Inputs!$J$7-Inputs!$I$7)))-Inputs!$C$42)^2)/(2*Inputs!$C$45^2))+Inputs!$C$48*(0.7*(0.45*SIN(2*PI()*((((Inputs!$I$7+(((A18)+1)/2)*(Inputs!$J$7-Inputs!$I$7)))/Inputs!$C$49)+Inputs!$C$47*0.137))+0.35*COS(2*PI()*(((Inputs!$C$6)/Inputs!$C$50)+Inputs!$C$47*0.173))+0.2*SIN(2*PI()*((((Inputs!$I$7+(((A18)+1)/2)*(Inputs!$J$7-Inputs!$I$7)))+(Inputs!$C$6))/(0.5*(Inputs!$C$49+Inputs!$C$50))+Inputs!$C$47*0.097)))+0.3*(2*((SIN((((Inputs!$I$7+(((A18)+1)/2)*(Inputs!$J$7-Inputs!$I$7)))*12.9898+(Inputs!$C$6)*78.233+Inputs!$C$47*37.719))*43758.5453)-INT((SIN((((Inputs!$I$7+(((A18)+1)/2)*(Inputs!$J$7-Inputs!$I$7)))*12.9898+(Inputs!$C$6)*78.233+Inputs!$C$47*37.719))*43758.5453)))-1))),NA())</f>
        <v/>
      </c>
      <c r="AU18" s="9">
        <f>IF(OR(Inputs!$F$8=TRUE,Inputs!$F$8="TRUE",Inputs!$F$8=1),IF(OR(Inputs!$C$27=TRUE,Inputs!$C$27="TRUE",Inputs!$C$27=1),1,0)*(Inputs!$C$51*(115*EXP(-(((Inputs!$C$6)-25)^2)/(4.5^2))+70*EXP(-(((Inputs!$C$6)+38)^2)/(7^2))*(0.55+0.45*SIN(2*PI()*((Inputs!$I$8+(((A18)+1)/2)*(Inputs!$J$8-Inputs!$I$8)))/45))+24*SIN(2*PI()*(Inputs!$C$6)/9+((Inputs!$I$8+(((A18)+1)/2)*(Inputs!$J$8-Inputs!$I$8)))/18)*EXP(-(((Inputs!$C$6)+5)^2)/(22^2))+18*SIN(2*PI()*((Inputs!$I$8+(((A18)+1)/2)*(Inputs!$J$8-Inputs!$I$8)))/70))+Inputs!$C$28*EXP(-((((Inputs!$I$8+(((A18)+1)/2)*(Inputs!$J$8-Inputs!$I$8)))-Inputs!$C$29)^2)/(2*Inputs!$C$31^2))*EXP(-(((Inputs!$C$6)-Inputs!$C$30)^2)/(2*Inputs!$C$32^2))+-Inputs!$C$33*EXP(-((((((Inputs!$I$8+(((A18)+1)/2)*(Inputs!$J$8-Inputs!$I$8)))-Inputs!$C$34)^2)+(((Inputs!$C$6)-Inputs!$C$35)^2))/(2*Inputs!$C$36^2)))+Inputs!$C$37*(0.55*SIN(2*PI()*((Inputs!$I$8+(((A18)+1)/2)*(Inputs!$J$8-Inputs!$I$8)))/Inputs!$C$39)+0.35*COS(2*PI()*(Inputs!$C$6)/Inputs!$C$40)+0.2*SIN(2*PI()*(((Inputs!$I$8+(((A18)+1)/2)*(Inputs!$J$8-Inputs!$I$8)))+(Inputs!$C$6))/(0.5*(Inputs!$C$39+Inputs!$C$40))))+Inputs!$C$38*SIN(2*PI()*((Inputs!$I$8+(((A18)+1)/2)*(Inputs!$J$8-Inputs!$I$8)))/Inputs!$C$39)*SIN(2*PI()*(Inputs!$C$6)/Inputs!$C$40)+-Inputs!$C$41*EXP(-(((Inputs!$C$6)-Inputs!$C$43)^2)/(2*Inputs!$C$44^2))*EXP(-((((Inputs!$I$8+(((A18)+1)/2)*(Inputs!$J$8-Inputs!$I$8)))-Inputs!$C$42)^2)/(2*Inputs!$C$45^2))+Inputs!$C$48*(0.7*(0.45*SIN(2*PI()*((((Inputs!$I$8+(((A18)+1)/2)*(Inputs!$J$8-Inputs!$I$8)))/Inputs!$C$49)+Inputs!$C$47*0.137))+0.35*COS(2*PI()*(((Inputs!$C$6)/Inputs!$C$50)+Inputs!$C$47*0.173))+0.2*SIN(2*PI()*((((Inputs!$I$8+(((A18)+1)/2)*(Inputs!$J$8-Inputs!$I$8)))+(Inputs!$C$6))/(0.5*(Inputs!$C$49+Inputs!$C$50))+Inputs!$C$47*0.097)))+0.3*(2*((SIN((((Inputs!$I$8+(((A18)+1)/2)*(Inputs!$J$8-Inputs!$I$8)))*12.9898+(Inputs!$C$6)*78.233+Inputs!$C$47*37.719))*43758.5453)-INT((SIN((((Inputs!$I$8+(((A18)+1)/2)*(Inputs!$J$8-Inputs!$I$8)))*12.9898+(Inputs!$C$6)*78.233+Inputs!$C$47*37.719))*43758.5453)))-1))),NA())</f>
        <v/>
      </c>
      <c r="AV18" s="9">
        <f>IF(OR(Inputs!$F$9=TRUE,Inputs!$F$9="TRUE",Inputs!$F$9=1),IF(OR(Inputs!$C$27=TRUE,Inputs!$C$27="TRUE",Inputs!$C$27=1),1,0)*(Inputs!$C$51*(115*EXP(-(((Inputs!$C$6)-25)^2)/(4.5^2))+70*EXP(-(((Inputs!$C$6)+38)^2)/(7^2))*(0.55+0.45*SIN(2*PI()*((Inputs!$I$9+(((A18)+1)/2)*(Inputs!$J$9-Inputs!$I$9)))/45))+24*SIN(2*PI()*(Inputs!$C$6)/9+((Inputs!$I$9+(((A18)+1)/2)*(Inputs!$J$9-Inputs!$I$9)))/18)*EXP(-(((Inputs!$C$6)+5)^2)/(22^2))+18*SIN(2*PI()*((Inputs!$I$9+(((A18)+1)/2)*(Inputs!$J$9-Inputs!$I$9)))/70))+Inputs!$C$28*EXP(-((((Inputs!$I$9+(((A18)+1)/2)*(Inputs!$J$9-Inputs!$I$9)))-Inputs!$C$29)^2)/(2*Inputs!$C$31^2))*EXP(-(((Inputs!$C$6)-Inputs!$C$30)^2)/(2*Inputs!$C$32^2))+-Inputs!$C$33*EXP(-((((((Inputs!$I$9+(((A18)+1)/2)*(Inputs!$J$9-Inputs!$I$9)))-Inputs!$C$34)^2)+(((Inputs!$C$6)-Inputs!$C$35)^2))/(2*Inputs!$C$36^2)))+Inputs!$C$37*(0.55*SIN(2*PI()*((Inputs!$I$9+(((A18)+1)/2)*(Inputs!$J$9-Inputs!$I$9)))/Inputs!$C$39)+0.35*COS(2*PI()*(Inputs!$C$6)/Inputs!$C$40)+0.2*SIN(2*PI()*(((Inputs!$I$9+(((A18)+1)/2)*(Inputs!$J$9-Inputs!$I$9)))+(Inputs!$C$6))/(0.5*(Inputs!$C$39+Inputs!$C$40))))+Inputs!$C$38*SIN(2*PI()*((Inputs!$I$9+(((A18)+1)/2)*(Inputs!$J$9-Inputs!$I$9)))/Inputs!$C$39)*SIN(2*PI()*(Inputs!$C$6)/Inputs!$C$40)+-Inputs!$C$41*EXP(-(((Inputs!$C$6)-Inputs!$C$43)^2)/(2*Inputs!$C$44^2))*EXP(-((((Inputs!$I$9+(((A18)+1)/2)*(Inputs!$J$9-Inputs!$I$9)))-Inputs!$C$42)^2)/(2*Inputs!$C$45^2))+Inputs!$C$48*(0.7*(0.45*SIN(2*PI()*((((Inputs!$I$9+(((A18)+1)/2)*(Inputs!$J$9-Inputs!$I$9)))/Inputs!$C$49)+Inputs!$C$47*0.137))+0.35*COS(2*PI()*(((Inputs!$C$6)/Inputs!$C$50)+Inputs!$C$47*0.173))+0.2*SIN(2*PI()*((((Inputs!$I$9+(((A18)+1)/2)*(Inputs!$J$9-Inputs!$I$9)))+(Inputs!$C$6))/(0.5*(Inputs!$C$49+Inputs!$C$50))+Inputs!$C$47*0.097)))+0.3*(2*((SIN((((Inputs!$I$9+(((A18)+1)/2)*(Inputs!$J$9-Inputs!$I$9)))*12.9898+(Inputs!$C$6)*78.233+Inputs!$C$47*37.719))*43758.5453)-INT((SIN((((Inputs!$I$9+(((A18)+1)/2)*(Inputs!$J$9-Inputs!$I$9)))*12.9898+(Inputs!$C$6)*78.233+Inputs!$C$47*37.719))*43758.5453)))-1))),NA())</f>
        <v/>
      </c>
      <c r="AW18" s="10" t="n"/>
      <c r="AX18" s="9">
        <f>A18</f>
        <v/>
      </c>
      <c r="AY18" s="9">
        <f>0</f>
        <v/>
      </c>
      <c r="AZ18" s="9">
        <f>IF(OR(Inputs!$F$6=TRUE,Inputs!$F$6="TRUE",Inputs!$F$6=1),(Inputs!$H$6+Inputs!$L$6*(((Inputs!$I$6+(((A18)+1)/2)*(Inputs!$J$6-Inputs!$I$6)))/Inputs!$K$6)^2),NA())</f>
        <v/>
      </c>
      <c r="BA18" s="9">
        <f>IF(OR(Inputs!$F$7=TRUE,Inputs!$F$7="TRUE",Inputs!$F$7=1),(Inputs!$H$7+Inputs!$L$7*(((Inputs!$I$7+(((A18)+1)/2)*(Inputs!$J$7-Inputs!$I$7)))/Inputs!$K$7)^2),NA())</f>
        <v/>
      </c>
      <c r="BB18" s="9">
        <f>IF(OR(Inputs!$F$8=TRUE,Inputs!$F$8="TRUE",Inputs!$F$8=1),(Inputs!$H$8+Inputs!$L$8*(((Inputs!$I$8+(((A18)+1)/2)*(Inputs!$J$8-Inputs!$I$8)))/Inputs!$K$8)^2),NA())</f>
        <v/>
      </c>
      <c r="BC18" s="9">
        <f>IF(OR(Inputs!$F$9=TRUE,Inputs!$F$9="TRUE",Inputs!$F$9=1),(Inputs!$H$9+Inputs!$L$9*(((Inputs!$I$9+(((A18)+1)/2)*(Inputs!$J$9-Inputs!$I$9)))/Inputs!$K$9)^2),NA())</f>
        <v/>
      </c>
      <c r="BD18" s="10" t="n"/>
      <c r="BE18" s="9">
        <f>A18</f>
        <v/>
      </c>
      <c r="BF18" s="9">
        <f>0</f>
        <v/>
      </c>
      <c r="BG18" s="9">
        <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f>
        <v/>
      </c>
      <c r="BH18" s="9">
        <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f>
        <v/>
      </c>
      <c r="BI18" s="9">
        <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f>
        <v/>
      </c>
      <c r="BJ18" s="9">
        <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f>
        <v/>
      </c>
    </row>
    <row r="19">
      <c r="A19" s="9">
        <f>ROUND(-1+17*2/240,3)</f>
        <v/>
      </c>
      <c r="B19" s="9">
        <f>IF(OR(Inputs!$F$6=TRUE,Inputs!$F$6="TRUE",Inputs!$F$6=1),(Inputs!$H$6+Inputs!$L$6*(((Inputs!$I$6+(((A19)+1)/2)*(Inputs!$J$6-Inputs!$I$6)))/Inputs!$K$6)^2),NA())</f>
        <v/>
      </c>
      <c r="C19" s="9">
        <f>IF(OR(Inputs!$F$7=TRUE,Inputs!$F$7="TRUE",Inputs!$F$7=1),(Inputs!$H$7+Inputs!$L$7*(((Inputs!$I$7+(((A19)+1)/2)*(Inputs!$J$7-Inputs!$I$7)))/Inputs!$K$7)^2),NA())</f>
        <v/>
      </c>
      <c r="D19" s="9">
        <f>IF(OR(Inputs!$F$8=TRUE,Inputs!$F$8="TRUE",Inputs!$F$8=1),(Inputs!$H$8+Inputs!$L$8*(((Inputs!$I$8+(((A19)+1)/2)*(Inputs!$J$8-Inputs!$I$8)))/Inputs!$K$8)^2),NA())</f>
        <v/>
      </c>
      <c r="E19" s="9">
        <f>IF(OR(Inputs!$F$9=TRUE,Inputs!$F$9="TRUE",Inputs!$F$9=1),(Inputs!$H$9+Inputs!$L$9*(((Inputs!$I$9+(((A19)+1)/2)*(Inputs!$J$9-Inputs!$I$9)))/Inputs!$K$9)^2),NA())</f>
        <v/>
      </c>
      <c r="F19" s="10" t="n"/>
      <c r="G19" s="9">
        <f>A19</f>
        <v/>
      </c>
      <c r="H19" s="9">
        <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f>
        <v/>
      </c>
      <c r="I19" s="9">
        <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f>
        <v/>
      </c>
      <c r="J19" s="9">
        <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f>
        <v/>
      </c>
      <c r="K19" s="9">
        <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f>
        <v/>
      </c>
      <c r="L19" s="10" t="n"/>
      <c r="M19" s="9">
        <f>A19</f>
        <v/>
      </c>
      <c r="N19" s="9">
        <f>IF(OR(Inputs!$F$6=TRUE,Inputs!$F$6="TRUE",Inputs!$F$6=1),(-2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NA())</f>
        <v/>
      </c>
      <c r="O19" s="9">
        <f>IF(OR(Inputs!$F$7=TRUE,Inputs!$F$7="TRUE",Inputs!$F$7=1),(-2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NA())</f>
        <v/>
      </c>
      <c r="P19" s="9">
        <f>IF(OR(Inputs!$F$8=TRUE,Inputs!$F$8="TRUE",Inputs!$F$8=1),(-2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NA())</f>
        <v/>
      </c>
      <c r="Q19" s="9">
        <f>IF(OR(Inputs!$F$9=TRUE,Inputs!$F$9="TRUE",Inputs!$F$9=1),(-2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NA())</f>
        <v/>
      </c>
      <c r="R19" s="10" t="n"/>
      <c r="S19" s="9">
        <f>A19</f>
        <v/>
      </c>
      <c r="T19" s="9">
        <f>(Inputs!$I$6+(((A19)+1)/2)*(Inputs!$J$6-Inputs!$I$6))</f>
        <v/>
      </c>
      <c r="U19" s="9">
        <f>(Inputs!$I$7+(((A19)+1)/2)*(Inputs!$J$7-Inputs!$I$7))</f>
        <v/>
      </c>
      <c r="V19" s="9">
        <f>(Inputs!$I$8+(((A19)+1)/2)*(Inputs!$J$8-Inputs!$I$8))</f>
        <v/>
      </c>
      <c r="W19" s="9">
        <f>(Inputs!$I$9+(((A19)+1)/2)*(Inputs!$J$9-Inputs!$I$9))</f>
        <v/>
      </c>
      <c r="X19" s="10" t="n"/>
      <c r="Y19" s="9">
        <f>A19</f>
        <v/>
      </c>
      <c r="Z19" s="9">
        <f>(Inputs!$H$6+Inputs!$L$6*(((Inputs!$I$6+(((A19)+1)/2)*(Inputs!$J$6-Inputs!$I$6)))/Inputs!$K$6)^2)</f>
        <v/>
      </c>
      <c r="AA19" s="9">
        <f>(Inputs!$H$7+Inputs!$L$7*(((Inputs!$I$7+(((A19)+1)/2)*(Inputs!$J$7-Inputs!$I$7)))/Inputs!$K$7)^2)</f>
        <v/>
      </c>
      <c r="AB19" s="9">
        <f>(Inputs!$H$8+Inputs!$L$8*(((Inputs!$I$8+(((A19)+1)/2)*(Inputs!$J$8-Inputs!$I$8)))/Inputs!$K$8)^2)</f>
        <v/>
      </c>
      <c r="AC19" s="9">
        <f>(Inputs!$H$9+Inputs!$L$9*(((Inputs!$I$9+(((A19)+1)/2)*(Inputs!$J$9-Inputs!$I$9)))/Inputs!$K$9)^2)</f>
        <v/>
      </c>
      <c r="AD19" s="10" t="n"/>
      <c r="AE19" s="9">
        <f>A19</f>
        <v/>
      </c>
      <c r="AF19" s="9">
        <f>(((SQRT((Inputs!$C$52+((Inputs!$H$6+Inputs!$L$6*(((Inputs!$I$6+(((A19)+1)/2)*(Inputs!$J$6-Inputs!$I$6)))/Inputs!$K$6)^2)))^2+Inputs!$C$52^2-2*(Inputs!$C$52+((Inputs!$H$6+Inputs!$L$6*(((Inputs!$I$6+(((A19)+1)/2)*(Inputs!$J$6-Inputs!$I$6)))/Inputs!$K$6)^2)))*Inputs!$C$52*COS(SQRT(((Inputs!$I$6+(((A19)+1)/2)*(Inputs!$J$6-Inputs!$I$6)))^2+Inputs!$C$6^2)/Inputs!$C$52)))-((Inputs!$H$6+Inputs!$L$6*(((Inputs!$I$6+(((A19)+1)/2)*(Inputs!$J$6-Inputs!$I$6)))/Inputs!$K$6)^2)))*1000/Inputs!$C$12)</f>
        <v/>
      </c>
      <c r="AG19" s="9">
        <f>(((SQRT((Inputs!$C$52+((Inputs!$H$7+Inputs!$L$7*(((Inputs!$I$7+(((A19)+1)/2)*(Inputs!$J$7-Inputs!$I$7)))/Inputs!$K$7)^2)))^2+Inputs!$C$52^2-2*(Inputs!$C$52+((Inputs!$H$7+Inputs!$L$7*(((Inputs!$I$7+(((A19)+1)/2)*(Inputs!$J$7-Inputs!$I$7)))/Inputs!$K$7)^2)))*Inputs!$C$52*COS(SQRT(((Inputs!$I$7+(((A19)+1)/2)*(Inputs!$J$7-Inputs!$I$7)))^2+Inputs!$C$6^2)/Inputs!$C$52)))-((Inputs!$H$7+Inputs!$L$7*(((Inputs!$I$7+(((A19)+1)/2)*(Inputs!$J$7-Inputs!$I$7)))/Inputs!$K$7)^2)))*1000/Inputs!$C$12)</f>
        <v/>
      </c>
      <c r="AH19" s="9">
        <f>(((SQRT((Inputs!$C$52+((Inputs!$H$8+Inputs!$L$8*(((Inputs!$I$8+(((A19)+1)/2)*(Inputs!$J$8-Inputs!$I$8)))/Inputs!$K$8)^2)))^2+Inputs!$C$52^2-2*(Inputs!$C$52+((Inputs!$H$8+Inputs!$L$8*(((Inputs!$I$8+(((A19)+1)/2)*(Inputs!$J$8-Inputs!$I$8)))/Inputs!$K$8)^2)))*Inputs!$C$52*COS(SQRT(((Inputs!$I$8+(((A19)+1)/2)*(Inputs!$J$8-Inputs!$I$8)))^2+Inputs!$C$6^2)/Inputs!$C$52)))-((Inputs!$H$8+Inputs!$L$8*(((Inputs!$I$8+(((A19)+1)/2)*(Inputs!$J$8-Inputs!$I$8)))/Inputs!$K$8)^2)))*1000/Inputs!$C$12)</f>
        <v/>
      </c>
      <c r="AI19" s="9">
        <f>(((SQRT((Inputs!$C$52+((Inputs!$H$9+Inputs!$L$9*(((Inputs!$I$9+(((A19)+1)/2)*(Inputs!$J$9-Inputs!$I$9)))/Inputs!$K$9)^2)))^2+Inputs!$C$52^2-2*(Inputs!$C$52+((Inputs!$H$9+Inputs!$L$9*(((Inputs!$I$9+(((A19)+1)/2)*(Inputs!$J$9-Inputs!$I$9)))/Inputs!$K$9)^2)))*Inputs!$C$52*COS(SQRT(((Inputs!$I$9+(((A19)+1)/2)*(Inputs!$J$9-Inputs!$I$9)))^2+Inputs!$C$6^2)/Inputs!$C$52)))-((Inputs!$H$9+Inputs!$L$9*(((Inputs!$I$9+(((A19)+1)/2)*(Inputs!$J$9-Inputs!$I$9)))/Inputs!$K$9)^2)))*1000/Inputs!$C$12)</f>
        <v/>
      </c>
      <c r="AJ19" s="10" t="n"/>
      <c r="AK19" s="9">
        <f>A19</f>
        <v/>
      </c>
      <c r="AL19" s="9">
        <f>(-2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f>
        <v/>
      </c>
      <c r="AM19" s="9">
        <f>(-2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f>
        <v/>
      </c>
      <c r="AN19" s="9">
        <f>(-2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f>
        <v/>
      </c>
      <c r="AO19" s="9">
        <f>(-2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f>
        <v/>
      </c>
      <c r="AP19" s="10" t="n"/>
      <c r="AQ19" s="9">
        <f>A19</f>
        <v/>
      </c>
      <c r="AR19" s="9">
        <f>0</f>
        <v/>
      </c>
      <c r="AS19" s="9">
        <f>IF(OR(Inputs!$F$6=TRUE,Inputs!$F$6="TRUE",Inputs!$F$6=1),IF(OR(Inputs!$C$27=TRUE,Inputs!$C$27="TRUE",Inputs!$C$27=1),1,0)*(Inputs!$C$51*(115*EXP(-(((Inputs!$C$6)-25)^2)/(4.5^2))+70*EXP(-(((Inputs!$C$6)+38)^2)/(7^2))*(0.55+0.45*SIN(2*PI()*((Inputs!$I$6+(((A19)+1)/2)*(Inputs!$J$6-Inputs!$I$6)))/45))+24*SIN(2*PI()*(Inputs!$C$6)/9+((Inputs!$I$6+(((A19)+1)/2)*(Inputs!$J$6-Inputs!$I$6)))/18)*EXP(-(((Inputs!$C$6)+5)^2)/(22^2))+18*SIN(2*PI()*((Inputs!$I$6+(((A19)+1)/2)*(Inputs!$J$6-Inputs!$I$6)))/70))+Inputs!$C$28*EXP(-((((Inputs!$I$6+(((A19)+1)/2)*(Inputs!$J$6-Inputs!$I$6)))-Inputs!$C$29)^2)/(2*Inputs!$C$31^2))*EXP(-(((Inputs!$C$6)-Inputs!$C$30)^2)/(2*Inputs!$C$32^2))+-Inputs!$C$33*EXP(-((((((Inputs!$I$6+(((A19)+1)/2)*(Inputs!$J$6-Inputs!$I$6)))-Inputs!$C$34)^2)+(((Inputs!$C$6)-Inputs!$C$35)^2))/(2*Inputs!$C$36^2)))+Inputs!$C$37*(0.55*SIN(2*PI()*((Inputs!$I$6+(((A19)+1)/2)*(Inputs!$J$6-Inputs!$I$6)))/Inputs!$C$39)+0.35*COS(2*PI()*(Inputs!$C$6)/Inputs!$C$40)+0.2*SIN(2*PI()*(((Inputs!$I$6+(((A19)+1)/2)*(Inputs!$J$6-Inputs!$I$6)))+(Inputs!$C$6))/(0.5*(Inputs!$C$39+Inputs!$C$40))))+Inputs!$C$38*SIN(2*PI()*((Inputs!$I$6+(((A19)+1)/2)*(Inputs!$J$6-Inputs!$I$6)))/Inputs!$C$39)*SIN(2*PI()*(Inputs!$C$6)/Inputs!$C$40)+-Inputs!$C$41*EXP(-(((Inputs!$C$6)-Inputs!$C$43)^2)/(2*Inputs!$C$44^2))*EXP(-((((Inputs!$I$6+(((A19)+1)/2)*(Inputs!$J$6-Inputs!$I$6)))-Inputs!$C$42)^2)/(2*Inputs!$C$45^2))+Inputs!$C$48*(0.7*(0.45*SIN(2*PI()*((((Inputs!$I$6+(((A19)+1)/2)*(Inputs!$J$6-Inputs!$I$6)))/Inputs!$C$49)+Inputs!$C$47*0.137))+0.35*COS(2*PI()*(((Inputs!$C$6)/Inputs!$C$50)+Inputs!$C$47*0.173))+0.2*SIN(2*PI()*((((Inputs!$I$6+(((A19)+1)/2)*(Inputs!$J$6-Inputs!$I$6)))+(Inputs!$C$6))/(0.5*(Inputs!$C$49+Inputs!$C$50))+Inputs!$C$47*0.097)))+0.3*(2*((SIN((((Inputs!$I$6+(((A19)+1)/2)*(Inputs!$J$6-Inputs!$I$6)))*12.9898+(Inputs!$C$6)*78.233+Inputs!$C$47*37.719))*43758.5453)-INT((SIN((((Inputs!$I$6+(((A19)+1)/2)*(Inputs!$J$6-Inputs!$I$6)))*12.9898+(Inputs!$C$6)*78.233+Inputs!$C$47*37.719))*43758.5453)))-1))),NA())</f>
        <v/>
      </c>
      <c r="AT19" s="9">
        <f>IF(OR(Inputs!$F$7=TRUE,Inputs!$F$7="TRUE",Inputs!$F$7=1),IF(OR(Inputs!$C$27=TRUE,Inputs!$C$27="TRUE",Inputs!$C$27=1),1,0)*(Inputs!$C$51*(115*EXP(-(((Inputs!$C$6)-25)^2)/(4.5^2))+70*EXP(-(((Inputs!$C$6)+38)^2)/(7^2))*(0.55+0.45*SIN(2*PI()*((Inputs!$I$7+(((A19)+1)/2)*(Inputs!$J$7-Inputs!$I$7)))/45))+24*SIN(2*PI()*(Inputs!$C$6)/9+((Inputs!$I$7+(((A19)+1)/2)*(Inputs!$J$7-Inputs!$I$7)))/18)*EXP(-(((Inputs!$C$6)+5)^2)/(22^2))+18*SIN(2*PI()*((Inputs!$I$7+(((A19)+1)/2)*(Inputs!$J$7-Inputs!$I$7)))/70))+Inputs!$C$28*EXP(-((((Inputs!$I$7+(((A19)+1)/2)*(Inputs!$J$7-Inputs!$I$7)))-Inputs!$C$29)^2)/(2*Inputs!$C$31^2))*EXP(-(((Inputs!$C$6)-Inputs!$C$30)^2)/(2*Inputs!$C$32^2))+-Inputs!$C$33*EXP(-((((((Inputs!$I$7+(((A19)+1)/2)*(Inputs!$J$7-Inputs!$I$7)))-Inputs!$C$34)^2)+(((Inputs!$C$6)-Inputs!$C$35)^2))/(2*Inputs!$C$36^2)))+Inputs!$C$37*(0.55*SIN(2*PI()*((Inputs!$I$7+(((A19)+1)/2)*(Inputs!$J$7-Inputs!$I$7)))/Inputs!$C$39)+0.35*COS(2*PI()*(Inputs!$C$6)/Inputs!$C$40)+0.2*SIN(2*PI()*(((Inputs!$I$7+(((A19)+1)/2)*(Inputs!$J$7-Inputs!$I$7)))+(Inputs!$C$6))/(0.5*(Inputs!$C$39+Inputs!$C$40))))+Inputs!$C$38*SIN(2*PI()*((Inputs!$I$7+(((A19)+1)/2)*(Inputs!$J$7-Inputs!$I$7)))/Inputs!$C$39)*SIN(2*PI()*(Inputs!$C$6)/Inputs!$C$40)+-Inputs!$C$41*EXP(-(((Inputs!$C$6)-Inputs!$C$43)^2)/(2*Inputs!$C$44^2))*EXP(-((((Inputs!$I$7+(((A19)+1)/2)*(Inputs!$J$7-Inputs!$I$7)))-Inputs!$C$42)^2)/(2*Inputs!$C$45^2))+Inputs!$C$48*(0.7*(0.45*SIN(2*PI()*((((Inputs!$I$7+(((A19)+1)/2)*(Inputs!$J$7-Inputs!$I$7)))/Inputs!$C$49)+Inputs!$C$47*0.137))+0.35*COS(2*PI()*(((Inputs!$C$6)/Inputs!$C$50)+Inputs!$C$47*0.173))+0.2*SIN(2*PI()*((((Inputs!$I$7+(((A19)+1)/2)*(Inputs!$J$7-Inputs!$I$7)))+(Inputs!$C$6))/(0.5*(Inputs!$C$49+Inputs!$C$50))+Inputs!$C$47*0.097)))+0.3*(2*((SIN((((Inputs!$I$7+(((A19)+1)/2)*(Inputs!$J$7-Inputs!$I$7)))*12.9898+(Inputs!$C$6)*78.233+Inputs!$C$47*37.719))*43758.5453)-INT((SIN((((Inputs!$I$7+(((A19)+1)/2)*(Inputs!$J$7-Inputs!$I$7)))*12.9898+(Inputs!$C$6)*78.233+Inputs!$C$47*37.719))*43758.5453)))-1))),NA())</f>
        <v/>
      </c>
      <c r="AU19" s="9">
        <f>IF(OR(Inputs!$F$8=TRUE,Inputs!$F$8="TRUE",Inputs!$F$8=1),IF(OR(Inputs!$C$27=TRUE,Inputs!$C$27="TRUE",Inputs!$C$27=1),1,0)*(Inputs!$C$51*(115*EXP(-(((Inputs!$C$6)-25)^2)/(4.5^2))+70*EXP(-(((Inputs!$C$6)+38)^2)/(7^2))*(0.55+0.45*SIN(2*PI()*((Inputs!$I$8+(((A19)+1)/2)*(Inputs!$J$8-Inputs!$I$8)))/45))+24*SIN(2*PI()*(Inputs!$C$6)/9+((Inputs!$I$8+(((A19)+1)/2)*(Inputs!$J$8-Inputs!$I$8)))/18)*EXP(-(((Inputs!$C$6)+5)^2)/(22^2))+18*SIN(2*PI()*((Inputs!$I$8+(((A19)+1)/2)*(Inputs!$J$8-Inputs!$I$8)))/70))+Inputs!$C$28*EXP(-((((Inputs!$I$8+(((A19)+1)/2)*(Inputs!$J$8-Inputs!$I$8)))-Inputs!$C$29)^2)/(2*Inputs!$C$31^2))*EXP(-(((Inputs!$C$6)-Inputs!$C$30)^2)/(2*Inputs!$C$32^2))+-Inputs!$C$33*EXP(-((((((Inputs!$I$8+(((A19)+1)/2)*(Inputs!$J$8-Inputs!$I$8)))-Inputs!$C$34)^2)+(((Inputs!$C$6)-Inputs!$C$35)^2))/(2*Inputs!$C$36^2)))+Inputs!$C$37*(0.55*SIN(2*PI()*((Inputs!$I$8+(((A19)+1)/2)*(Inputs!$J$8-Inputs!$I$8)))/Inputs!$C$39)+0.35*COS(2*PI()*(Inputs!$C$6)/Inputs!$C$40)+0.2*SIN(2*PI()*(((Inputs!$I$8+(((A19)+1)/2)*(Inputs!$J$8-Inputs!$I$8)))+(Inputs!$C$6))/(0.5*(Inputs!$C$39+Inputs!$C$40))))+Inputs!$C$38*SIN(2*PI()*((Inputs!$I$8+(((A19)+1)/2)*(Inputs!$J$8-Inputs!$I$8)))/Inputs!$C$39)*SIN(2*PI()*(Inputs!$C$6)/Inputs!$C$40)+-Inputs!$C$41*EXP(-(((Inputs!$C$6)-Inputs!$C$43)^2)/(2*Inputs!$C$44^2))*EXP(-((((Inputs!$I$8+(((A19)+1)/2)*(Inputs!$J$8-Inputs!$I$8)))-Inputs!$C$42)^2)/(2*Inputs!$C$45^2))+Inputs!$C$48*(0.7*(0.45*SIN(2*PI()*((((Inputs!$I$8+(((A19)+1)/2)*(Inputs!$J$8-Inputs!$I$8)))/Inputs!$C$49)+Inputs!$C$47*0.137))+0.35*COS(2*PI()*(((Inputs!$C$6)/Inputs!$C$50)+Inputs!$C$47*0.173))+0.2*SIN(2*PI()*((((Inputs!$I$8+(((A19)+1)/2)*(Inputs!$J$8-Inputs!$I$8)))+(Inputs!$C$6))/(0.5*(Inputs!$C$49+Inputs!$C$50))+Inputs!$C$47*0.097)))+0.3*(2*((SIN((((Inputs!$I$8+(((A19)+1)/2)*(Inputs!$J$8-Inputs!$I$8)))*12.9898+(Inputs!$C$6)*78.233+Inputs!$C$47*37.719))*43758.5453)-INT((SIN((((Inputs!$I$8+(((A19)+1)/2)*(Inputs!$J$8-Inputs!$I$8)))*12.9898+(Inputs!$C$6)*78.233+Inputs!$C$47*37.719))*43758.5453)))-1))),NA())</f>
        <v/>
      </c>
      <c r="AV19" s="9">
        <f>IF(OR(Inputs!$F$9=TRUE,Inputs!$F$9="TRUE",Inputs!$F$9=1),IF(OR(Inputs!$C$27=TRUE,Inputs!$C$27="TRUE",Inputs!$C$27=1),1,0)*(Inputs!$C$51*(115*EXP(-(((Inputs!$C$6)-25)^2)/(4.5^2))+70*EXP(-(((Inputs!$C$6)+38)^2)/(7^2))*(0.55+0.45*SIN(2*PI()*((Inputs!$I$9+(((A19)+1)/2)*(Inputs!$J$9-Inputs!$I$9)))/45))+24*SIN(2*PI()*(Inputs!$C$6)/9+((Inputs!$I$9+(((A19)+1)/2)*(Inputs!$J$9-Inputs!$I$9)))/18)*EXP(-(((Inputs!$C$6)+5)^2)/(22^2))+18*SIN(2*PI()*((Inputs!$I$9+(((A19)+1)/2)*(Inputs!$J$9-Inputs!$I$9)))/70))+Inputs!$C$28*EXP(-((((Inputs!$I$9+(((A19)+1)/2)*(Inputs!$J$9-Inputs!$I$9)))-Inputs!$C$29)^2)/(2*Inputs!$C$31^2))*EXP(-(((Inputs!$C$6)-Inputs!$C$30)^2)/(2*Inputs!$C$32^2))+-Inputs!$C$33*EXP(-((((((Inputs!$I$9+(((A19)+1)/2)*(Inputs!$J$9-Inputs!$I$9)))-Inputs!$C$34)^2)+(((Inputs!$C$6)-Inputs!$C$35)^2))/(2*Inputs!$C$36^2)))+Inputs!$C$37*(0.55*SIN(2*PI()*((Inputs!$I$9+(((A19)+1)/2)*(Inputs!$J$9-Inputs!$I$9)))/Inputs!$C$39)+0.35*COS(2*PI()*(Inputs!$C$6)/Inputs!$C$40)+0.2*SIN(2*PI()*(((Inputs!$I$9+(((A19)+1)/2)*(Inputs!$J$9-Inputs!$I$9)))+(Inputs!$C$6))/(0.5*(Inputs!$C$39+Inputs!$C$40))))+Inputs!$C$38*SIN(2*PI()*((Inputs!$I$9+(((A19)+1)/2)*(Inputs!$J$9-Inputs!$I$9)))/Inputs!$C$39)*SIN(2*PI()*(Inputs!$C$6)/Inputs!$C$40)+-Inputs!$C$41*EXP(-(((Inputs!$C$6)-Inputs!$C$43)^2)/(2*Inputs!$C$44^2))*EXP(-((((Inputs!$I$9+(((A19)+1)/2)*(Inputs!$J$9-Inputs!$I$9)))-Inputs!$C$42)^2)/(2*Inputs!$C$45^2))+Inputs!$C$48*(0.7*(0.45*SIN(2*PI()*((((Inputs!$I$9+(((A19)+1)/2)*(Inputs!$J$9-Inputs!$I$9)))/Inputs!$C$49)+Inputs!$C$47*0.137))+0.35*COS(2*PI()*(((Inputs!$C$6)/Inputs!$C$50)+Inputs!$C$47*0.173))+0.2*SIN(2*PI()*((((Inputs!$I$9+(((A19)+1)/2)*(Inputs!$J$9-Inputs!$I$9)))+(Inputs!$C$6))/(0.5*(Inputs!$C$49+Inputs!$C$50))+Inputs!$C$47*0.097)))+0.3*(2*((SIN((((Inputs!$I$9+(((A19)+1)/2)*(Inputs!$J$9-Inputs!$I$9)))*12.9898+(Inputs!$C$6)*78.233+Inputs!$C$47*37.719))*43758.5453)-INT((SIN((((Inputs!$I$9+(((A19)+1)/2)*(Inputs!$J$9-Inputs!$I$9)))*12.9898+(Inputs!$C$6)*78.233+Inputs!$C$47*37.719))*43758.5453)))-1))),NA())</f>
        <v/>
      </c>
      <c r="AW19" s="10" t="n"/>
      <c r="AX19" s="9">
        <f>A19</f>
        <v/>
      </c>
      <c r="AY19" s="9">
        <f>0</f>
        <v/>
      </c>
      <c r="AZ19" s="9">
        <f>IF(OR(Inputs!$F$6=TRUE,Inputs!$F$6="TRUE",Inputs!$F$6=1),(Inputs!$H$6+Inputs!$L$6*(((Inputs!$I$6+(((A19)+1)/2)*(Inputs!$J$6-Inputs!$I$6)))/Inputs!$K$6)^2),NA())</f>
        <v/>
      </c>
      <c r="BA19" s="9">
        <f>IF(OR(Inputs!$F$7=TRUE,Inputs!$F$7="TRUE",Inputs!$F$7=1),(Inputs!$H$7+Inputs!$L$7*(((Inputs!$I$7+(((A19)+1)/2)*(Inputs!$J$7-Inputs!$I$7)))/Inputs!$K$7)^2),NA())</f>
        <v/>
      </c>
      <c r="BB19" s="9">
        <f>IF(OR(Inputs!$F$8=TRUE,Inputs!$F$8="TRUE",Inputs!$F$8=1),(Inputs!$H$8+Inputs!$L$8*(((Inputs!$I$8+(((A19)+1)/2)*(Inputs!$J$8-Inputs!$I$8)))/Inputs!$K$8)^2),NA())</f>
        <v/>
      </c>
      <c r="BC19" s="9">
        <f>IF(OR(Inputs!$F$9=TRUE,Inputs!$F$9="TRUE",Inputs!$F$9=1),(Inputs!$H$9+Inputs!$L$9*(((Inputs!$I$9+(((A19)+1)/2)*(Inputs!$J$9-Inputs!$I$9)))/Inputs!$K$9)^2),NA())</f>
        <v/>
      </c>
      <c r="BD19" s="10" t="n"/>
      <c r="BE19" s="9">
        <f>A19</f>
        <v/>
      </c>
      <c r="BF19" s="9">
        <f>0</f>
        <v/>
      </c>
      <c r="BG19" s="9">
        <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f>
        <v/>
      </c>
      <c r="BH19" s="9">
        <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f>
        <v/>
      </c>
      <c r="BI19" s="9">
        <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f>
        <v/>
      </c>
      <c r="BJ19" s="9">
        <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f>
        <v/>
      </c>
    </row>
    <row r="20">
      <c r="A20" s="9">
        <f>ROUND(-1+18*2/240,3)</f>
        <v/>
      </c>
      <c r="B20" s="9">
        <f>IF(OR(Inputs!$F$6=TRUE,Inputs!$F$6="TRUE",Inputs!$F$6=1),(Inputs!$H$6+Inputs!$L$6*(((Inputs!$I$6+(((A20)+1)/2)*(Inputs!$J$6-Inputs!$I$6)))/Inputs!$K$6)^2),NA())</f>
        <v/>
      </c>
      <c r="C20" s="9">
        <f>IF(OR(Inputs!$F$7=TRUE,Inputs!$F$7="TRUE",Inputs!$F$7=1),(Inputs!$H$7+Inputs!$L$7*(((Inputs!$I$7+(((A20)+1)/2)*(Inputs!$J$7-Inputs!$I$7)))/Inputs!$K$7)^2),NA())</f>
        <v/>
      </c>
      <c r="D20" s="9">
        <f>IF(OR(Inputs!$F$8=TRUE,Inputs!$F$8="TRUE",Inputs!$F$8=1),(Inputs!$H$8+Inputs!$L$8*(((Inputs!$I$8+(((A20)+1)/2)*(Inputs!$J$8-Inputs!$I$8)))/Inputs!$K$8)^2),NA())</f>
        <v/>
      </c>
      <c r="E20" s="9">
        <f>IF(OR(Inputs!$F$9=TRUE,Inputs!$F$9="TRUE",Inputs!$F$9=1),(Inputs!$H$9+Inputs!$L$9*(((Inputs!$I$9+(((A20)+1)/2)*(Inputs!$J$9-Inputs!$I$9)))/Inputs!$K$9)^2),NA())</f>
        <v/>
      </c>
      <c r="F20" s="10" t="n"/>
      <c r="G20" s="9">
        <f>A20</f>
        <v/>
      </c>
      <c r="H20" s="9">
        <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f>
        <v/>
      </c>
      <c r="I20" s="9">
        <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f>
        <v/>
      </c>
      <c r="J20" s="9">
        <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f>
        <v/>
      </c>
      <c r="K20" s="9">
        <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f>
        <v/>
      </c>
      <c r="L20" s="10" t="n"/>
      <c r="M20" s="9">
        <f>A20</f>
        <v/>
      </c>
      <c r="N20" s="9">
        <f>IF(OR(Inputs!$F$6=TRUE,Inputs!$F$6="TRUE",Inputs!$F$6=1),(-2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NA())</f>
        <v/>
      </c>
      <c r="O20" s="9">
        <f>IF(OR(Inputs!$F$7=TRUE,Inputs!$F$7="TRUE",Inputs!$F$7=1),(-2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NA())</f>
        <v/>
      </c>
      <c r="P20" s="9">
        <f>IF(OR(Inputs!$F$8=TRUE,Inputs!$F$8="TRUE",Inputs!$F$8=1),(-2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NA())</f>
        <v/>
      </c>
      <c r="Q20" s="9">
        <f>IF(OR(Inputs!$F$9=TRUE,Inputs!$F$9="TRUE",Inputs!$F$9=1),(-2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NA())</f>
        <v/>
      </c>
      <c r="R20" s="10" t="n"/>
      <c r="S20" s="9">
        <f>A20</f>
        <v/>
      </c>
      <c r="T20" s="9">
        <f>(Inputs!$I$6+(((A20)+1)/2)*(Inputs!$J$6-Inputs!$I$6))</f>
        <v/>
      </c>
      <c r="U20" s="9">
        <f>(Inputs!$I$7+(((A20)+1)/2)*(Inputs!$J$7-Inputs!$I$7))</f>
        <v/>
      </c>
      <c r="V20" s="9">
        <f>(Inputs!$I$8+(((A20)+1)/2)*(Inputs!$J$8-Inputs!$I$8))</f>
        <v/>
      </c>
      <c r="W20" s="9">
        <f>(Inputs!$I$9+(((A20)+1)/2)*(Inputs!$J$9-Inputs!$I$9))</f>
        <v/>
      </c>
      <c r="X20" s="10" t="n"/>
      <c r="Y20" s="9">
        <f>A20</f>
        <v/>
      </c>
      <c r="Z20" s="9">
        <f>(Inputs!$H$6+Inputs!$L$6*(((Inputs!$I$6+(((A20)+1)/2)*(Inputs!$J$6-Inputs!$I$6)))/Inputs!$K$6)^2)</f>
        <v/>
      </c>
      <c r="AA20" s="9">
        <f>(Inputs!$H$7+Inputs!$L$7*(((Inputs!$I$7+(((A20)+1)/2)*(Inputs!$J$7-Inputs!$I$7)))/Inputs!$K$7)^2)</f>
        <v/>
      </c>
      <c r="AB20" s="9">
        <f>(Inputs!$H$8+Inputs!$L$8*(((Inputs!$I$8+(((A20)+1)/2)*(Inputs!$J$8-Inputs!$I$8)))/Inputs!$K$8)^2)</f>
        <v/>
      </c>
      <c r="AC20" s="9">
        <f>(Inputs!$H$9+Inputs!$L$9*(((Inputs!$I$9+(((A20)+1)/2)*(Inputs!$J$9-Inputs!$I$9)))/Inputs!$K$9)^2)</f>
        <v/>
      </c>
      <c r="AD20" s="10" t="n"/>
      <c r="AE20" s="9">
        <f>A20</f>
        <v/>
      </c>
      <c r="AF20" s="9">
        <f>(((SQRT((Inputs!$C$52+((Inputs!$H$6+Inputs!$L$6*(((Inputs!$I$6+(((A20)+1)/2)*(Inputs!$J$6-Inputs!$I$6)))/Inputs!$K$6)^2)))^2+Inputs!$C$52^2-2*(Inputs!$C$52+((Inputs!$H$6+Inputs!$L$6*(((Inputs!$I$6+(((A20)+1)/2)*(Inputs!$J$6-Inputs!$I$6)))/Inputs!$K$6)^2)))*Inputs!$C$52*COS(SQRT(((Inputs!$I$6+(((A20)+1)/2)*(Inputs!$J$6-Inputs!$I$6)))^2+Inputs!$C$6^2)/Inputs!$C$52)))-((Inputs!$H$6+Inputs!$L$6*(((Inputs!$I$6+(((A20)+1)/2)*(Inputs!$J$6-Inputs!$I$6)))/Inputs!$K$6)^2)))*1000/Inputs!$C$12)</f>
        <v/>
      </c>
      <c r="AG20" s="9">
        <f>(((SQRT((Inputs!$C$52+((Inputs!$H$7+Inputs!$L$7*(((Inputs!$I$7+(((A20)+1)/2)*(Inputs!$J$7-Inputs!$I$7)))/Inputs!$K$7)^2)))^2+Inputs!$C$52^2-2*(Inputs!$C$52+((Inputs!$H$7+Inputs!$L$7*(((Inputs!$I$7+(((A20)+1)/2)*(Inputs!$J$7-Inputs!$I$7)))/Inputs!$K$7)^2)))*Inputs!$C$52*COS(SQRT(((Inputs!$I$7+(((A20)+1)/2)*(Inputs!$J$7-Inputs!$I$7)))^2+Inputs!$C$6^2)/Inputs!$C$52)))-((Inputs!$H$7+Inputs!$L$7*(((Inputs!$I$7+(((A20)+1)/2)*(Inputs!$J$7-Inputs!$I$7)))/Inputs!$K$7)^2)))*1000/Inputs!$C$12)</f>
        <v/>
      </c>
      <c r="AH20" s="9">
        <f>(((SQRT((Inputs!$C$52+((Inputs!$H$8+Inputs!$L$8*(((Inputs!$I$8+(((A20)+1)/2)*(Inputs!$J$8-Inputs!$I$8)))/Inputs!$K$8)^2)))^2+Inputs!$C$52^2-2*(Inputs!$C$52+((Inputs!$H$8+Inputs!$L$8*(((Inputs!$I$8+(((A20)+1)/2)*(Inputs!$J$8-Inputs!$I$8)))/Inputs!$K$8)^2)))*Inputs!$C$52*COS(SQRT(((Inputs!$I$8+(((A20)+1)/2)*(Inputs!$J$8-Inputs!$I$8)))^2+Inputs!$C$6^2)/Inputs!$C$52)))-((Inputs!$H$8+Inputs!$L$8*(((Inputs!$I$8+(((A20)+1)/2)*(Inputs!$J$8-Inputs!$I$8)))/Inputs!$K$8)^2)))*1000/Inputs!$C$12)</f>
        <v/>
      </c>
      <c r="AI20" s="9">
        <f>(((SQRT((Inputs!$C$52+((Inputs!$H$9+Inputs!$L$9*(((Inputs!$I$9+(((A20)+1)/2)*(Inputs!$J$9-Inputs!$I$9)))/Inputs!$K$9)^2)))^2+Inputs!$C$52^2-2*(Inputs!$C$52+((Inputs!$H$9+Inputs!$L$9*(((Inputs!$I$9+(((A20)+1)/2)*(Inputs!$J$9-Inputs!$I$9)))/Inputs!$K$9)^2)))*Inputs!$C$52*COS(SQRT(((Inputs!$I$9+(((A20)+1)/2)*(Inputs!$J$9-Inputs!$I$9)))^2+Inputs!$C$6^2)/Inputs!$C$52)))-((Inputs!$H$9+Inputs!$L$9*(((Inputs!$I$9+(((A20)+1)/2)*(Inputs!$J$9-Inputs!$I$9)))/Inputs!$K$9)^2)))*1000/Inputs!$C$12)</f>
        <v/>
      </c>
      <c r="AJ20" s="10" t="n"/>
      <c r="AK20" s="9">
        <f>A20</f>
        <v/>
      </c>
      <c r="AL20" s="9">
        <f>(-2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f>
        <v/>
      </c>
      <c r="AM20" s="9">
        <f>(-2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f>
        <v/>
      </c>
      <c r="AN20" s="9">
        <f>(-2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f>
        <v/>
      </c>
      <c r="AO20" s="9">
        <f>(-2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f>
        <v/>
      </c>
      <c r="AP20" s="10" t="n"/>
      <c r="AQ20" s="9">
        <f>A20</f>
        <v/>
      </c>
      <c r="AR20" s="9">
        <f>0</f>
        <v/>
      </c>
      <c r="AS20" s="9">
        <f>IF(OR(Inputs!$F$6=TRUE,Inputs!$F$6="TRUE",Inputs!$F$6=1),IF(OR(Inputs!$C$27=TRUE,Inputs!$C$27="TRUE",Inputs!$C$27=1),1,0)*(Inputs!$C$51*(115*EXP(-(((Inputs!$C$6)-25)^2)/(4.5^2))+70*EXP(-(((Inputs!$C$6)+38)^2)/(7^2))*(0.55+0.45*SIN(2*PI()*((Inputs!$I$6+(((A20)+1)/2)*(Inputs!$J$6-Inputs!$I$6)))/45))+24*SIN(2*PI()*(Inputs!$C$6)/9+((Inputs!$I$6+(((A20)+1)/2)*(Inputs!$J$6-Inputs!$I$6)))/18)*EXP(-(((Inputs!$C$6)+5)^2)/(22^2))+18*SIN(2*PI()*((Inputs!$I$6+(((A20)+1)/2)*(Inputs!$J$6-Inputs!$I$6)))/70))+Inputs!$C$28*EXP(-((((Inputs!$I$6+(((A20)+1)/2)*(Inputs!$J$6-Inputs!$I$6)))-Inputs!$C$29)^2)/(2*Inputs!$C$31^2))*EXP(-(((Inputs!$C$6)-Inputs!$C$30)^2)/(2*Inputs!$C$32^2))+-Inputs!$C$33*EXP(-((((((Inputs!$I$6+(((A20)+1)/2)*(Inputs!$J$6-Inputs!$I$6)))-Inputs!$C$34)^2)+(((Inputs!$C$6)-Inputs!$C$35)^2))/(2*Inputs!$C$36^2)))+Inputs!$C$37*(0.55*SIN(2*PI()*((Inputs!$I$6+(((A20)+1)/2)*(Inputs!$J$6-Inputs!$I$6)))/Inputs!$C$39)+0.35*COS(2*PI()*(Inputs!$C$6)/Inputs!$C$40)+0.2*SIN(2*PI()*(((Inputs!$I$6+(((A20)+1)/2)*(Inputs!$J$6-Inputs!$I$6)))+(Inputs!$C$6))/(0.5*(Inputs!$C$39+Inputs!$C$40))))+Inputs!$C$38*SIN(2*PI()*((Inputs!$I$6+(((A20)+1)/2)*(Inputs!$J$6-Inputs!$I$6)))/Inputs!$C$39)*SIN(2*PI()*(Inputs!$C$6)/Inputs!$C$40)+-Inputs!$C$41*EXP(-(((Inputs!$C$6)-Inputs!$C$43)^2)/(2*Inputs!$C$44^2))*EXP(-((((Inputs!$I$6+(((A20)+1)/2)*(Inputs!$J$6-Inputs!$I$6)))-Inputs!$C$42)^2)/(2*Inputs!$C$45^2))+Inputs!$C$48*(0.7*(0.45*SIN(2*PI()*((((Inputs!$I$6+(((A20)+1)/2)*(Inputs!$J$6-Inputs!$I$6)))/Inputs!$C$49)+Inputs!$C$47*0.137))+0.35*COS(2*PI()*(((Inputs!$C$6)/Inputs!$C$50)+Inputs!$C$47*0.173))+0.2*SIN(2*PI()*((((Inputs!$I$6+(((A20)+1)/2)*(Inputs!$J$6-Inputs!$I$6)))+(Inputs!$C$6))/(0.5*(Inputs!$C$49+Inputs!$C$50))+Inputs!$C$47*0.097)))+0.3*(2*((SIN((((Inputs!$I$6+(((A20)+1)/2)*(Inputs!$J$6-Inputs!$I$6)))*12.9898+(Inputs!$C$6)*78.233+Inputs!$C$47*37.719))*43758.5453)-INT((SIN((((Inputs!$I$6+(((A20)+1)/2)*(Inputs!$J$6-Inputs!$I$6)))*12.9898+(Inputs!$C$6)*78.233+Inputs!$C$47*37.719))*43758.5453)))-1))),NA())</f>
        <v/>
      </c>
      <c r="AT20" s="9">
        <f>IF(OR(Inputs!$F$7=TRUE,Inputs!$F$7="TRUE",Inputs!$F$7=1),IF(OR(Inputs!$C$27=TRUE,Inputs!$C$27="TRUE",Inputs!$C$27=1),1,0)*(Inputs!$C$51*(115*EXP(-(((Inputs!$C$6)-25)^2)/(4.5^2))+70*EXP(-(((Inputs!$C$6)+38)^2)/(7^2))*(0.55+0.45*SIN(2*PI()*((Inputs!$I$7+(((A20)+1)/2)*(Inputs!$J$7-Inputs!$I$7)))/45))+24*SIN(2*PI()*(Inputs!$C$6)/9+((Inputs!$I$7+(((A20)+1)/2)*(Inputs!$J$7-Inputs!$I$7)))/18)*EXP(-(((Inputs!$C$6)+5)^2)/(22^2))+18*SIN(2*PI()*((Inputs!$I$7+(((A20)+1)/2)*(Inputs!$J$7-Inputs!$I$7)))/70))+Inputs!$C$28*EXP(-((((Inputs!$I$7+(((A20)+1)/2)*(Inputs!$J$7-Inputs!$I$7)))-Inputs!$C$29)^2)/(2*Inputs!$C$31^2))*EXP(-(((Inputs!$C$6)-Inputs!$C$30)^2)/(2*Inputs!$C$32^2))+-Inputs!$C$33*EXP(-((((((Inputs!$I$7+(((A20)+1)/2)*(Inputs!$J$7-Inputs!$I$7)))-Inputs!$C$34)^2)+(((Inputs!$C$6)-Inputs!$C$35)^2))/(2*Inputs!$C$36^2)))+Inputs!$C$37*(0.55*SIN(2*PI()*((Inputs!$I$7+(((A20)+1)/2)*(Inputs!$J$7-Inputs!$I$7)))/Inputs!$C$39)+0.35*COS(2*PI()*(Inputs!$C$6)/Inputs!$C$40)+0.2*SIN(2*PI()*(((Inputs!$I$7+(((A20)+1)/2)*(Inputs!$J$7-Inputs!$I$7)))+(Inputs!$C$6))/(0.5*(Inputs!$C$39+Inputs!$C$40))))+Inputs!$C$38*SIN(2*PI()*((Inputs!$I$7+(((A20)+1)/2)*(Inputs!$J$7-Inputs!$I$7)))/Inputs!$C$39)*SIN(2*PI()*(Inputs!$C$6)/Inputs!$C$40)+-Inputs!$C$41*EXP(-(((Inputs!$C$6)-Inputs!$C$43)^2)/(2*Inputs!$C$44^2))*EXP(-((((Inputs!$I$7+(((A20)+1)/2)*(Inputs!$J$7-Inputs!$I$7)))-Inputs!$C$42)^2)/(2*Inputs!$C$45^2))+Inputs!$C$48*(0.7*(0.45*SIN(2*PI()*((((Inputs!$I$7+(((A20)+1)/2)*(Inputs!$J$7-Inputs!$I$7)))/Inputs!$C$49)+Inputs!$C$47*0.137))+0.35*COS(2*PI()*(((Inputs!$C$6)/Inputs!$C$50)+Inputs!$C$47*0.173))+0.2*SIN(2*PI()*((((Inputs!$I$7+(((A20)+1)/2)*(Inputs!$J$7-Inputs!$I$7)))+(Inputs!$C$6))/(0.5*(Inputs!$C$49+Inputs!$C$50))+Inputs!$C$47*0.097)))+0.3*(2*((SIN((((Inputs!$I$7+(((A20)+1)/2)*(Inputs!$J$7-Inputs!$I$7)))*12.9898+(Inputs!$C$6)*78.233+Inputs!$C$47*37.719))*43758.5453)-INT((SIN((((Inputs!$I$7+(((A20)+1)/2)*(Inputs!$J$7-Inputs!$I$7)))*12.9898+(Inputs!$C$6)*78.233+Inputs!$C$47*37.719))*43758.5453)))-1))),NA())</f>
        <v/>
      </c>
      <c r="AU20" s="9">
        <f>IF(OR(Inputs!$F$8=TRUE,Inputs!$F$8="TRUE",Inputs!$F$8=1),IF(OR(Inputs!$C$27=TRUE,Inputs!$C$27="TRUE",Inputs!$C$27=1),1,0)*(Inputs!$C$51*(115*EXP(-(((Inputs!$C$6)-25)^2)/(4.5^2))+70*EXP(-(((Inputs!$C$6)+38)^2)/(7^2))*(0.55+0.45*SIN(2*PI()*((Inputs!$I$8+(((A20)+1)/2)*(Inputs!$J$8-Inputs!$I$8)))/45))+24*SIN(2*PI()*(Inputs!$C$6)/9+((Inputs!$I$8+(((A20)+1)/2)*(Inputs!$J$8-Inputs!$I$8)))/18)*EXP(-(((Inputs!$C$6)+5)^2)/(22^2))+18*SIN(2*PI()*((Inputs!$I$8+(((A20)+1)/2)*(Inputs!$J$8-Inputs!$I$8)))/70))+Inputs!$C$28*EXP(-((((Inputs!$I$8+(((A20)+1)/2)*(Inputs!$J$8-Inputs!$I$8)))-Inputs!$C$29)^2)/(2*Inputs!$C$31^2))*EXP(-(((Inputs!$C$6)-Inputs!$C$30)^2)/(2*Inputs!$C$32^2))+-Inputs!$C$33*EXP(-((((((Inputs!$I$8+(((A20)+1)/2)*(Inputs!$J$8-Inputs!$I$8)))-Inputs!$C$34)^2)+(((Inputs!$C$6)-Inputs!$C$35)^2))/(2*Inputs!$C$36^2)))+Inputs!$C$37*(0.55*SIN(2*PI()*((Inputs!$I$8+(((A20)+1)/2)*(Inputs!$J$8-Inputs!$I$8)))/Inputs!$C$39)+0.35*COS(2*PI()*(Inputs!$C$6)/Inputs!$C$40)+0.2*SIN(2*PI()*(((Inputs!$I$8+(((A20)+1)/2)*(Inputs!$J$8-Inputs!$I$8)))+(Inputs!$C$6))/(0.5*(Inputs!$C$39+Inputs!$C$40))))+Inputs!$C$38*SIN(2*PI()*((Inputs!$I$8+(((A20)+1)/2)*(Inputs!$J$8-Inputs!$I$8)))/Inputs!$C$39)*SIN(2*PI()*(Inputs!$C$6)/Inputs!$C$40)+-Inputs!$C$41*EXP(-(((Inputs!$C$6)-Inputs!$C$43)^2)/(2*Inputs!$C$44^2))*EXP(-((((Inputs!$I$8+(((A20)+1)/2)*(Inputs!$J$8-Inputs!$I$8)))-Inputs!$C$42)^2)/(2*Inputs!$C$45^2))+Inputs!$C$48*(0.7*(0.45*SIN(2*PI()*((((Inputs!$I$8+(((A20)+1)/2)*(Inputs!$J$8-Inputs!$I$8)))/Inputs!$C$49)+Inputs!$C$47*0.137))+0.35*COS(2*PI()*(((Inputs!$C$6)/Inputs!$C$50)+Inputs!$C$47*0.173))+0.2*SIN(2*PI()*((((Inputs!$I$8+(((A20)+1)/2)*(Inputs!$J$8-Inputs!$I$8)))+(Inputs!$C$6))/(0.5*(Inputs!$C$49+Inputs!$C$50))+Inputs!$C$47*0.097)))+0.3*(2*((SIN((((Inputs!$I$8+(((A20)+1)/2)*(Inputs!$J$8-Inputs!$I$8)))*12.9898+(Inputs!$C$6)*78.233+Inputs!$C$47*37.719))*43758.5453)-INT((SIN((((Inputs!$I$8+(((A20)+1)/2)*(Inputs!$J$8-Inputs!$I$8)))*12.9898+(Inputs!$C$6)*78.233+Inputs!$C$47*37.719))*43758.5453)))-1))),NA())</f>
        <v/>
      </c>
      <c r="AV20" s="9">
        <f>IF(OR(Inputs!$F$9=TRUE,Inputs!$F$9="TRUE",Inputs!$F$9=1),IF(OR(Inputs!$C$27=TRUE,Inputs!$C$27="TRUE",Inputs!$C$27=1),1,0)*(Inputs!$C$51*(115*EXP(-(((Inputs!$C$6)-25)^2)/(4.5^2))+70*EXP(-(((Inputs!$C$6)+38)^2)/(7^2))*(0.55+0.45*SIN(2*PI()*((Inputs!$I$9+(((A20)+1)/2)*(Inputs!$J$9-Inputs!$I$9)))/45))+24*SIN(2*PI()*(Inputs!$C$6)/9+((Inputs!$I$9+(((A20)+1)/2)*(Inputs!$J$9-Inputs!$I$9)))/18)*EXP(-(((Inputs!$C$6)+5)^2)/(22^2))+18*SIN(2*PI()*((Inputs!$I$9+(((A20)+1)/2)*(Inputs!$J$9-Inputs!$I$9)))/70))+Inputs!$C$28*EXP(-((((Inputs!$I$9+(((A20)+1)/2)*(Inputs!$J$9-Inputs!$I$9)))-Inputs!$C$29)^2)/(2*Inputs!$C$31^2))*EXP(-(((Inputs!$C$6)-Inputs!$C$30)^2)/(2*Inputs!$C$32^2))+-Inputs!$C$33*EXP(-((((((Inputs!$I$9+(((A20)+1)/2)*(Inputs!$J$9-Inputs!$I$9)))-Inputs!$C$34)^2)+(((Inputs!$C$6)-Inputs!$C$35)^2))/(2*Inputs!$C$36^2)))+Inputs!$C$37*(0.55*SIN(2*PI()*((Inputs!$I$9+(((A20)+1)/2)*(Inputs!$J$9-Inputs!$I$9)))/Inputs!$C$39)+0.35*COS(2*PI()*(Inputs!$C$6)/Inputs!$C$40)+0.2*SIN(2*PI()*(((Inputs!$I$9+(((A20)+1)/2)*(Inputs!$J$9-Inputs!$I$9)))+(Inputs!$C$6))/(0.5*(Inputs!$C$39+Inputs!$C$40))))+Inputs!$C$38*SIN(2*PI()*((Inputs!$I$9+(((A20)+1)/2)*(Inputs!$J$9-Inputs!$I$9)))/Inputs!$C$39)*SIN(2*PI()*(Inputs!$C$6)/Inputs!$C$40)+-Inputs!$C$41*EXP(-(((Inputs!$C$6)-Inputs!$C$43)^2)/(2*Inputs!$C$44^2))*EXP(-((((Inputs!$I$9+(((A20)+1)/2)*(Inputs!$J$9-Inputs!$I$9)))-Inputs!$C$42)^2)/(2*Inputs!$C$45^2))+Inputs!$C$48*(0.7*(0.45*SIN(2*PI()*((((Inputs!$I$9+(((A20)+1)/2)*(Inputs!$J$9-Inputs!$I$9)))/Inputs!$C$49)+Inputs!$C$47*0.137))+0.35*COS(2*PI()*(((Inputs!$C$6)/Inputs!$C$50)+Inputs!$C$47*0.173))+0.2*SIN(2*PI()*((((Inputs!$I$9+(((A20)+1)/2)*(Inputs!$J$9-Inputs!$I$9)))+(Inputs!$C$6))/(0.5*(Inputs!$C$49+Inputs!$C$50))+Inputs!$C$47*0.097)))+0.3*(2*((SIN((((Inputs!$I$9+(((A20)+1)/2)*(Inputs!$J$9-Inputs!$I$9)))*12.9898+(Inputs!$C$6)*78.233+Inputs!$C$47*37.719))*43758.5453)-INT((SIN((((Inputs!$I$9+(((A20)+1)/2)*(Inputs!$J$9-Inputs!$I$9)))*12.9898+(Inputs!$C$6)*78.233+Inputs!$C$47*37.719))*43758.5453)))-1))),NA())</f>
        <v/>
      </c>
      <c r="AW20" s="10" t="n"/>
      <c r="AX20" s="9">
        <f>A20</f>
        <v/>
      </c>
      <c r="AY20" s="9">
        <f>0</f>
        <v/>
      </c>
      <c r="AZ20" s="9">
        <f>IF(OR(Inputs!$F$6=TRUE,Inputs!$F$6="TRUE",Inputs!$F$6=1),(Inputs!$H$6+Inputs!$L$6*(((Inputs!$I$6+(((A20)+1)/2)*(Inputs!$J$6-Inputs!$I$6)))/Inputs!$K$6)^2),NA())</f>
        <v/>
      </c>
      <c r="BA20" s="9">
        <f>IF(OR(Inputs!$F$7=TRUE,Inputs!$F$7="TRUE",Inputs!$F$7=1),(Inputs!$H$7+Inputs!$L$7*(((Inputs!$I$7+(((A20)+1)/2)*(Inputs!$J$7-Inputs!$I$7)))/Inputs!$K$7)^2),NA())</f>
        <v/>
      </c>
      <c r="BB20" s="9">
        <f>IF(OR(Inputs!$F$8=TRUE,Inputs!$F$8="TRUE",Inputs!$F$8=1),(Inputs!$H$8+Inputs!$L$8*(((Inputs!$I$8+(((A20)+1)/2)*(Inputs!$J$8-Inputs!$I$8)))/Inputs!$K$8)^2),NA())</f>
        <v/>
      </c>
      <c r="BC20" s="9">
        <f>IF(OR(Inputs!$F$9=TRUE,Inputs!$F$9="TRUE",Inputs!$F$9=1),(Inputs!$H$9+Inputs!$L$9*(((Inputs!$I$9+(((A20)+1)/2)*(Inputs!$J$9-Inputs!$I$9)))/Inputs!$K$9)^2),NA())</f>
        <v/>
      </c>
      <c r="BD20" s="10" t="n"/>
      <c r="BE20" s="9">
        <f>A20</f>
        <v/>
      </c>
      <c r="BF20" s="9">
        <f>0</f>
        <v/>
      </c>
      <c r="BG20" s="9">
        <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f>
        <v/>
      </c>
      <c r="BH20" s="9">
        <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f>
        <v/>
      </c>
      <c r="BI20" s="9">
        <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f>
        <v/>
      </c>
      <c r="BJ20" s="9">
        <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f>
        <v/>
      </c>
    </row>
    <row r="21">
      <c r="A21" s="9">
        <f>ROUND(-1+19*2/240,3)</f>
        <v/>
      </c>
      <c r="B21" s="9">
        <f>IF(OR(Inputs!$F$6=TRUE,Inputs!$F$6="TRUE",Inputs!$F$6=1),(Inputs!$H$6+Inputs!$L$6*(((Inputs!$I$6+(((A21)+1)/2)*(Inputs!$J$6-Inputs!$I$6)))/Inputs!$K$6)^2),NA())</f>
        <v/>
      </c>
      <c r="C21" s="9">
        <f>IF(OR(Inputs!$F$7=TRUE,Inputs!$F$7="TRUE",Inputs!$F$7=1),(Inputs!$H$7+Inputs!$L$7*(((Inputs!$I$7+(((A21)+1)/2)*(Inputs!$J$7-Inputs!$I$7)))/Inputs!$K$7)^2),NA())</f>
        <v/>
      </c>
      <c r="D21" s="9">
        <f>IF(OR(Inputs!$F$8=TRUE,Inputs!$F$8="TRUE",Inputs!$F$8=1),(Inputs!$H$8+Inputs!$L$8*(((Inputs!$I$8+(((A21)+1)/2)*(Inputs!$J$8-Inputs!$I$8)))/Inputs!$K$8)^2),NA())</f>
        <v/>
      </c>
      <c r="E21" s="9">
        <f>IF(OR(Inputs!$F$9=TRUE,Inputs!$F$9="TRUE",Inputs!$F$9=1),(Inputs!$H$9+Inputs!$L$9*(((Inputs!$I$9+(((A21)+1)/2)*(Inputs!$J$9-Inputs!$I$9)))/Inputs!$K$9)^2),NA())</f>
        <v/>
      </c>
      <c r="F21" s="10" t="n"/>
      <c r="G21" s="9">
        <f>A21</f>
        <v/>
      </c>
      <c r="H21" s="9">
        <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f>
        <v/>
      </c>
      <c r="I21" s="9">
        <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f>
        <v/>
      </c>
      <c r="J21" s="9">
        <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f>
        <v/>
      </c>
      <c r="K21" s="9">
        <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f>
        <v/>
      </c>
      <c r="L21" s="10" t="n"/>
      <c r="M21" s="9">
        <f>A21</f>
        <v/>
      </c>
      <c r="N21" s="9">
        <f>IF(OR(Inputs!$F$6=TRUE,Inputs!$F$6="TRUE",Inputs!$F$6=1),(-2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NA())</f>
        <v/>
      </c>
      <c r="O21" s="9">
        <f>IF(OR(Inputs!$F$7=TRUE,Inputs!$F$7="TRUE",Inputs!$F$7=1),(-2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NA())</f>
        <v/>
      </c>
      <c r="P21" s="9">
        <f>IF(OR(Inputs!$F$8=TRUE,Inputs!$F$8="TRUE",Inputs!$F$8=1),(-2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NA())</f>
        <v/>
      </c>
      <c r="Q21" s="9">
        <f>IF(OR(Inputs!$F$9=TRUE,Inputs!$F$9="TRUE",Inputs!$F$9=1),(-2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NA())</f>
        <v/>
      </c>
      <c r="R21" s="10" t="n"/>
      <c r="S21" s="9">
        <f>A21</f>
        <v/>
      </c>
      <c r="T21" s="9">
        <f>(Inputs!$I$6+(((A21)+1)/2)*(Inputs!$J$6-Inputs!$I$6))</f>
        <v/>
      </c>
      <c r="U21" s="9">
        <f>(Inputs!$I$7+(((A21)+1)/2)*(Inputs!$J$7-Inputs!$I$7))</f>
        <v/>
      </c>
      <c r="V21" s="9">
        <f>(Inputs!$I$8+(((A21)+1)/2)*(Inputs!$J$8-Inputs!$I$8))</f>
        <v/>
      </c>
      <c r="W21" s="9">
        <f>(Inputs!$I$9+(((A21)+1)/2)*(Inputs!$J$9-Inputs!$I$9))</f>
        <v/>
      </c>
      <c r="X21" s="10" t="n"/>
      <c r="Y21" s="9">
        <f>A21</f>
        <v/>
      </c>
      <c r="Z21" s="9">
        <f>(Inputs!$H$6+Inputs!$L$6*(((Inputs!$I$6+(((A21)+1)/2)*(Inputs!$J$6-Inputs!$I$6)))/Inputs!$K$6)^2)</f>
        <v/>
      </c>
      <c r="AA21" s="9">
        <f>(Inputs!$H$7+Inputs!$L$7*(((Inputs!$I$7+(((A21)+1)/2)*(Inputs!$J$7-Inputs!$I$7)))/Inputs!$K$7)^2)</f>
        <v/>
      </c>
      <c r="AB21" s="9">
        <f>(Inputs!$H$8+Inputs!$L$8*(((Inputs!$I$8+(((A21)+1)/2)*(Inputs!$J$8-Inputs!$I$8)))/Inputs!$K$8)^2)</f>
        <v/>
      </c>
      <c r="AC21" s="9">
        <f>(Inputs!$H$9+Inputs!$L$9*(((Inputs!$I$9+(((A21)+1)/2)*(Inputs!$J$9-Inputs!$I$9)))/Inputs!$K$9)^2)</f>
        <v/>
      </c>
      <c r="AD21" s="10" t="n"/>
      <c r="AE21" s="9">
        <f>A21</f>
        <v/>
      </c>
      <c r="AF21" s="9">
        <f>(((SQRT((Inputs!$C$52+((Inputs!$H$6+Inputs!$L$6*(((Inputs!$I$6+(((A21)+1)/2)*(Inputs!$J$6-Inputs!$I$6)))/Inputs!$K$6)^2)))^2+Inputs!$C$52^2-2*(Inputs!$C$52+((Inputs!$H$6+Inputs!$L$6*(((Inputs!$I$6+(((A21)+1)/2)*(Inputs!$J$6-Inputs!$I$6)))/Inputs!$K$6)^2)))*Inputs!$C$52*COS(SQRT(((Inputs!$I$6+(((A21)+1)/2)*(Inputs!$J$6-Inputs!$I$6)))^2+Inputs!$C$6^2)/Inputs!$C$52)))-((Inputs!$H$6+Inputs!$L$6*(((Inputs!$I$6+(((A21)+1)/2)*(Inputs!$J$6-Inputs!$I$6)))/Inputs!$K$6)^2)))*1000/Inputs!$C$12)</f>
        <v/>
      </c>
      <c r="AG21" s="9">
        <f>(((SQRT((Inputs!$C$52+((Inputs!$H$7+Inputs!$L$7*(((Inputs!$I$7+(((A21)+1)/2)*(Inputs!$J$7-Inputs!$I$7)))/Inputs!$K$7)^2)))^2+Inputs!$C$52^2-2*(Inputs!$C$52+((Inputs!$H$7+Inputs!$L$7*(((Inputs!$I$7+(((A21)+1)/2)*(Inputs!$J$7-Inputs!$I$7)))/Inputs!$K$7)^2)))*Inputs!$C$52*COS(SQRT(((Inputs!$I$7+(((A21)+1)/2)*(Inputs!$J$7-Inputs!$I$7)))^2+Inputs!$C$6^2)/Inputs!$C$52)))-((Inputs!$H$7+Inputs!$L$7*(((Inputs!$I$7+(((A21)+1)/2)*(Inputs!$J$7-Inputs!$I$7)))/Inputs!$K$7)^2)))*1000/Inputs!$C$12)</f>
        <v/>
      </c>
      <c r="AH21" s="9">
        <f>(((SQRT((Inputs!$C$52+((Inputs!$H$8+Inputs!$L$8*(((Inputs!$I$8+(((A21)+1)/2)*(Inputs!$J$8-Inputs!$I$8)))/Inputs!$K$8)^2)))^2+Inputs!$C$52^2-2*(Inputs!$C$52+((Inputs!$H$8+Inputs!$L$8*(((Inputs!$I$8+(((A21)+1)/2)*(Inputs!$J$8-Inputs!$I$8)))/Inputs!$K$8)^2)))*Inputs!$C$52*COS(SQRT(((Inputs!$I$8+(((A21)+1)/2)*(Inputs!$J$8-Inputs!$I$8)))^2+Inputs!$C$6^2)/Inputs!$C$52)))-((Inputs!$H$8+Inputs!$L$8*(((Inputs!$I$8+(((A21)+1)/2)*(Inputs!$J$8-Inputs!$I$8)))/Inputs!$K$8)^2)))*1000/Inputs!$C$12)</f>
        <v/>
      </c>
      <c r="AI21" s="9">
        <f>(((SQRT((Inputs!$C$52+((Inputs!$H$9+Inputs!$L$9*(((Inputs!$I$9+(((A21)+1)/2)*(Inputs!$J$9-Inputs!$I$9)))/Inputs!$K$9)^2)))^2+Inputs!$C$52^2-2*(Inputs!$C$52+((Inputs!$H$9+Inputs!$L$9*(((Inputs!$I$9+(((A21)+1)/2)*(Inputs!$J$9-Inputs!$I$9)))/Inputs!$K$9)^2)))*Inputs!$C$52*COS(SQRT(((Inputs!$I$9+(((A21)+1)/2)*(Inputs!$J$9-Inputs!$I$9)))^2+Inputs!$C$6^2)/Inputs!$C$52)))-((Inputs!$H$9+Inputs!$L$9*(((Inputs!$I$9+(((A21)+1)/2)*(Inputs!$J$9-Inputs!$I$9)))/Inputs!$K$9)^2)))*1000/Inputs!$C$12)</f>
        <v/>
      </c>
      <c r="AJ21" s="10" t="n"/>
      <c r="AK21" s="9">
        <f>A21</f>
        <v/>
      </c>
      <c r="AL21" s="9">
        <f>(-2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f>
        <v/>
      </c>
      <c r="AM21" s="9">
        <f>(-2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f>
        <v/>
      </c>
      <c r="AN21" s="9">
        <f>(-2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f>
        <v/>
      </c>
      <c r="AO21" s="9">
        <f>(-2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f>
        <v/>
      </c>
      <c r="AP21" s="10" t="n"/>
      <c r="AQ21" s="9">
        <f>A21</f>
        <v/>
      </c>
      <c r="AR21" s="9">
        <f>0</f>
        <v/>
      </c>
      <c r="AS21" s="9">
        <f>IF(OR(Inputs!$F$6=TRUE,Inputs!$F$6="TRUE",Inputs!$F$6=1),IF(OR(Inputs!$C$27=TRUE,Inputs!$C$27="TRUE",Inputs!$C$27=1),1,0)*(Inputs!$C$51*(115*EXP(-(((Inputs!$C$6)-25)^2)/(4.5^2))+70*EXP(-(((Inputs!$C$6)+38)^2)/(7^2))*(0.55+0.45*SIN(2*PI()*((Inputs!$I$6+(((A21)+1)/2)*(Inputs!$J$6-Inputs!$I$6)))/45))+24*SIN(2*PI()*(Inputs!$C$6)/9+((Inputs!$I$6+(((A21)+1)/2)*(Inputs!$J$6-Inputs!$I$6)))/18)*EXP(-(((Inputs!$C$6)+5)^2)/(22^2))+18*SIN(2*PI()*((Inputs!$I$6+(((A21)+1)/2)*(Inputs!$J$6-Inputs!$I$6)))/70))+Inputs!$C$28*EXP(-((((Inputs!$I$6+(((A21)+1)/2)*(Inputs!$J$6-Inputs!$I$6)))-Inputs!$C$29)^2)/(2*Inputs!$C$31^2))*EXP(-(((Inputs!$C$6)-Inputs!$C$30)^2)/(2*Inputs!$C$32^2))+-Inputs!$C$33*EXP(-((((((Inputs!$I$6+(((A21)+1)/2)*(Inputs!$J$6-Inputs!$I$6)))-Inputs!$C$34)^2)+(((Inputs!$C$6)-Inputs!$C$35)^2))/(2*Inputs!$C$36^2)))+Inputs!$C$37*(0.55*SIN(2*PI()*((Inputs!$I$6+(((A21)+1)/2)*(Inputs!$J$6-Inputs!$I$6)))/Inputs!$C$39)+0.35*COS(2*PI()*(Inputs!$C$6)/Inputs!$C$40)+0.2*SIN(2*PI()*(((Inputs!$I$6+(((A21)+1)/2)*(Inputs!$J$6-Inputs!$I$6)))+(Inputs!$C$6))/(0.5*(Inputs!$C$39+Inputs!$C$40))))+Inputs!$C$38*SIN(2*PI()*((Inputs!$I$6+(((A21)+1)/2)*(Inputs!$J$6-Inputs!$I$6)))/Inputs!$C$39)*SIN(2*PI()*(Inputs!$C$6)/Inputs!$C$40)+-Inputs!$C$41*EXP(-(((Inputs!$C$6)-Inputs!$C$43)^2)/(2*Inputs!$C$44^2))*EXP(-((((Inputs!$I$6+(((A21)+1)/2)*(Inputs!$J$6-Inputs!$I$6)))-Inputs!$C$42)^2)/(2*Inputs!$C$45^2))+Inputs!$C$48*(0.7*(0.45*SIN(2*PI()*((((Inputs!$I$6+(((A21)+1)/2)*(Inputs!$J$6-Inputs!$I$6)))/Inputs!$C$49)+Inputs!$C$47*0.137))+0.35*COS(2*PI()*(((Inputs!$C$6)/Inputs!$C$50)+Inputs!$C$47*0.173))+0.2*SIN(2*PI()*((((Inputs!$I$6+(((A21)+1)/2)*(Inputs!$J$6-Inputs!$I$6)))+(Inputs!$C$6))/(0.5*(Inputs!$C$49+Inputs!$C$50))+Inputs!$C$47*0.097)))+0.3*(2*((SIN((((Inputs!$I$6+(((A21)+1)/2)*(Inputs!$J$6-Inputs!$I$6)))*12.9898+(Inputs!$C$6)*78.233+Inputs!$C$47*37.719))*43758.5453)-INT((SIN((((Inputs!$I$6+(((A21)+1)/2)*(Inputs!$J$6-Inputs!$I$6)))*12.9898+(Inputs!$C$6)*78.233+Inputs!$C$47*37.719))*43758.5453)))-1))),NA())</f>
        <v/>
      </c>
      <c r="AT21" s="9">
        <f>IF(OR(Inputs!$F$7=TRUE,Inputs!$F$7="TRUE",Inputs!$F$7=1),IF(OR(Inputs!$C$27=TRUE,Inputs!$C$27="TRUE",Inputs!$C$27=1),1,0)*(Inputs!$C$51*(115*EXP(-(((Inputs!$C$6)-25)^2)/(4.5^2))+70*EXP(-(((Inputs!$C$6)+38)^2)/(7^2))*(0.55+0.45*SIN(2*PI()*((Inputs!$I$7+(((A21)+1)/2)*(Inputs!$J$7-Inputs!$I$7)))/45))+24*SIN(2*PI()*(Inputs!$C$6)/9+((Inputs!$I$7+(((A21)+1)/2)*(Inputs!$J$7-Inputs!$I$7)))/18)*EXP(-(((Inputs!$C$6)+5)^2)/(22^2))+18*SIN(2*PI()*((Inputs!$I$7+(((A21)+1)/2)*(Inputs!$J$7-Inputs!$I$7)))/70))+Inputs!$C$28*EXP(-((((Inputs!$I$7+(((A21)+1)/2)*(Inputs!$J$7-Inputs!$I$7)))-Inputs!$C$29)^2)/(2*Inputs!$C$31^2))*EXP(-(((Inputs!$C$6)-Inputs!$C$30)^2)/(2*Inputs!$C$32^2))+-Inputs!$C$33*EXP(-((((((Inputs!$I$7+(((A21)+1)/2)*(Inputs!$J$7-Inputs!$I$7)))-Inputs!$C$34)^2)+(((Inputs!$C$6)-Inputs!$C$35)^2))/(2*Inputs!$C$36^2)))+Inputs!$C$37*(0.55*SIN(2*PI()*((Inputs!$I$7+(((A21)+1)/2)*(Inputs!$J$7-Inputs!$I$7)))/Inputs!$C$39)+0.35*COS(2*PI()*(Inputs!$C$6)/Inputs!$C$40)+0.2*SIN(2*PI()*(((Inputs!$I$7+(((A21)+1)/2)*(Inputs!$J$7-Inputs!$I$7)))+(Inputs!$C$6))/(0.5*(Inputs!$C$39+Inputs!$C$40))))+Inputs!$C$38*SIN(2*PI()*((Inputs!$I$7+(((A21)+1)/2)*(Inputs!$J$7-Inputs!$I$7)))/Inputs!$C$39)*SIN(2*PI()*(Inputs!$C$6)/Inputs!$C$40)+-Inputs!$C$41*EXP(-(((Inputs!$C$6)-Inputs!$C$43)^2)/(2*Inputs!$C$44^2))*EXP(-((((Inputs!$I$7+(((A21)+1)/2)*(Inputs!$J$7-Inputs!$I$7)))-Inputs!$C$42)^2)/(2*Inputs!$C$45^2))+Inputs!$C$48*(0.7*(0.45*SIN(2*PI()*((((Inputs!$I$7+(((A21)+1)/2)*(Inputs!$J$7-Inputs!$I$7)))/Inputs!$C$49)+Inputs!$C$47*0.137))+0.35*COS(2*PI()*(((Inputs!$C$6)/Inputs!$C$50)+Inputs!$C$47*0.173))+0.2*SIN(2*PI()*((((Inputs!$I$7+(((A21)+1)/2)*(Inputs!$J$7-Inputs!$I$7)))+(Inputs!$C$6))/(0.5*(Inputs!$C$49+Inputs!$C$50))+Inputs!$C$47*0.097)))+0.3*(2*((SIN((((Inputs!$I$7+(((A21)+1)/2)*(Inputs!$J$7-Inputs!$I$7)))*12.9898+(Inputs!$C$6)*78.233+Inputs!$C$47*37.719))*43758.5453)-INT((SIN((((Inputs!$I$7+(((A21)+1)/2)*(Inputs!$J$7-Inputs!$I$7)))*12.9898+(Inputs!$C$6)*78.233+Inputs!$C$47*37.719))*43758.5453)))-1))),NA())</f>
        <v/>
      </c>
      <c r="AU21" s="9">
        <f>IF(OR(Inputs!$F$8=TRUE,Inputs!$F$8="TRUE",Inputs!$F$8=1),IF(OR(Inputs!$C$27=TRUE,Inputs!$C$27="TRUE",Inputs!$C$27=1),1,0)*(Inputs!$C$51*(115*EXP(-(((Inputs!$C$6)-25)^2)/(4.5^2))+70*EXP(-(((Inputs!$C$6)+38)^2)/(7^2))*(0.55+0.45*SIN(2*PI()*((Inputs!$I$8+(((A21)+1)/2)*(Inputs!$J$8-Inputs!$I$8)))/45))+24*SIN(2*PI()*(Inputs!$C$6)/9+((Inputs!$I$8+(((A21)+1)/2)*(Inputs!$J$8-Inputs!$I$8)))/18)*EXP(-(((Inputs!$C$6)+5)^2)/(22^2))+18*SIN(2*PI()*((Inputs!$I$8+(((A21)+1)/2)*(Inputs!$J$8-Inputs!$I$8)))/70))+Inputs!$C$28*EXP(-((((Inputs!$I$8+(((A21)+1)/2)*(Inputs!$J$8-Inputs!$I$8)))-Inputs!$C$29)^2)/(2*Inputs!$C$31^2))*EXP(-(((Inputs!$C$6)-Inputs!$C$30)^2)/(2*Inputs!$C$32^2))+-Inputs!$C$33*EXP(-((((((Inputs!$I$8+(((A21)+1)/2)*(Inputs!$J$8-Inputs!$I$8)))-Inputs!$C$34)^2)+(((Inputs!$C$6)-Inputs!$C$35)^2))/(2*Inputs!$C$36^2)))+Inputs!$C$37*(0.55*SIN(2*PI()*((Inputs!$I$8+(((A21)+1)/2)*(Inputs!$J$8-Inputs!$I$8)))/Inputs!$C$39)+0.35*COS(2*PI()*(Inputs!$C$6)/Inputs!$C$40)+0.2*SIN(2*PI()*(((Inputs!$I$8+(((A21)+1)/2)*(Inputs!$J$8-Inputs!$I$8)))+(Inputs!$C$6))/(0.5*(Inputs!$C$39+Inputs!$C$40))))+Inputs!$C$38*SIN(2*PI()*((Inputs!$I$8+(((A21)+1)/2)*(Inputs!$J$8-Inputs!$I$8)))/Inputs!$C$39)*SIN(2*PI()*(Inputs!$C$6)/Inputs!$C$40)+-Inputs!$C$41*EXP(-(((Inputs!$C$6)-Inputs!$C$43)^2)/(2*Inputs!$C$44^2))*EXP(-((((Inputs!$I$8+(((A21)+1)/2)*(Inputs!$J$8-Inputs!$I$8)))-Inputs!$C$42)^2)/(2*Inputs!$C$45^2))+Inputs!$C$48*(0.7*(0.45*SIN(2*PI()*((((Inputs!$I$8+(((A21)+1)/2)*(Inputs!$J$8-Inputs!$I$8)))/Inputs!$C$49)+Inputs!$C$47*0.137))+0.35*COS(2*PI()*(((Inputs!$C$6)/Inputs!$C$50)+Inputs!$C$47*0.173))+0.2*SIN(2*PI()*((((Inputs!$I$8+(((A21)+1)/2)*(Inputs!$J$8-Inputs!$I$8)))+(Inputs!$C$6))/(0.5*(Inputs!$C$49+Inputs!$C$50))+Inputs!$C$47*0.097)))+0.3*(2*((SIN((((Inputs!$I$8+(((A21)+1)/2)*(Inputs!$J$8-Inputs!$I$8)))*12.9898+(Inputs!$C$6)*78.233+Inputs!$C$47*37.719))*43758.5453)-INT((SIN((((Inputs!$I$8+(((A21)+1)/2)*(Inputs!$J$8-Inputs!$I$8)))*12.9898+(Inputs!$C$6)*78.233+Inputs!$C$47*37.719))*43758.5453)))-1))),NA())</f>
        <v/>
      </c>
      <c r="AV21" s="9">
        <f>IF(OR(Inputs!$F$9=TRUE,Inputs!$F$9="TRUE",Inputs!$F$9=1),IF(OR(Inputs!$C$27=TRUE,Inputs!$C$27="TRUE",Inputs!$C$27=1),1,0)*(Inputs!$C$51*(115*EXP(-(((Inputs!$C$6)-25)^2)/(4.5^2))+70*EXP(-(((Inputs!$C$6)+38)^2)/(7^2))*(0.55+0.45*SIN(2*PI()*((Inputs!$I$9+(((A21)+1)/2)*(Inputs!$J$9-Inputs!$I$9)))/45))+24*SIN(2*PI()*(Inputs!$C$6)/9+((Inputs!$I$9+(((A21)+1)/2)*(Inputs!$J$9-Inputs!$I$9)))/18)*EXP(-(((Inputs!$C$6)+5)^2)/(22^2))+18*SIN(2*PI()*((Inputs!$I$9+(((A21)+1)/2)*(Inputs!$J$9-Inputs!$I$9)))/70))+Inputs!$C$28*EXP(-((((Inputs!$I$9+(((A21)+1)/2)*(Inputs!$J$9-Inputs!$I$9)))-Inputs!$C$29)^2)/(2*Inputs!$C$31^2))*EXP(-(((Inputs!$C$6)-Inputs!$C$30)^2)/(2*Inputs!$C$32^2))+-Inputs!$C$33*EXP(-((((((Inputs!$I$9+(((A21)+1)/2)*(Inputs!$J$9-Inputs!$I$9)))-Inputs!$C$34)^2)+(((Inputs!$C$6)-Inputs!$C$35)^2))/(2*Inputs!$C$36^2)))+Inputs!$C$37*(0.55*SIN(2*PI()*((Inputs!$I$9+(((A21)+1)/2)*(Inputs!$J$9-Inputs!$I$9)))/Inputs!$C$39)+0.35*COS(2*PI()*(Inputs!$C$6)/Inputs!$C$40)+0.2*SIN(2*PI()*(((Inputs!$I$9+(((A21)+1)/2)*(Inputs!$J$9-Inputs!$I$9)))+(Inputs!$C$6))/(0.5*(Inputs!$C$39+Inputs!$C$40))))+Inputs!$C$38*SIN(2*PI()*((Inputs!$I$9+(((A21)+1)/2)*(Inputs!$J$9-Inputs!$I$9)))/Inputs!$C$39)*SIN(2*PI()*(Inputs!$C$6)/Inputs!$C$40)+-Inputs!$C$41*EXP(-(((Inputs!$C$6)-Inputs!$C$43)^2)/(2*Inputs!$C$44^2))*EXP(-((((Inputs!$I$9+(((A21)+1)/2)*(Inputs!$J$9-Inputs!$I$9)))-Inputs!$C$42)^2)/(2*Inputs!$C$45^2))+Inputs!$C$48*(0.7*(0.45*SIN(2*PI()*((((Inputs!$I$9+(((A21)+1)/2)*(Inputs!$J$9-Inputs!$I$9)))/Inputs!$C$49)+Inputs!$C$47*0.137))+0.35*COS(2*PI()*(((Inputs!$C$6)/Inputs!$C$50)+Inputs!$C$47*0.173))+0.2*SIN(2*PI()*((((Inputs!$I$9+(((A21)+1)/2)*(Inputs!$J$9-Inputs!$I$9)))+(Inputs!$C$6))/(0.5*(Inputs!$C$49+Inputs!$C$50))+Inputs!$C$47*0.097)))+0.3*(2*((SIN((((Inputs!$I$9+(((A21)+1)/2)*(Inputs!$J$9-Inputs!$I$9)))*12.9898+(Inputs!$C$6)*78.233+Inputs!$C$47*37.719))*43758.5453)-INT((SIN((((Inputs!$I$9+(((A21)+1)/2)*(Inputs!$J$9-Inputs!$I$9)))*12.9898+(Inputs!$C$6)*78.233+Inputs!$C$47*37.719))*43758.5453)))-1))),NA())</f>
        <v/>
      </c>
      <c r="AW21" s="10" t="n"/>
      <c r="AX21" s="9">
        <f>A21</f>
        <v/>
      </c>
      <c r="AY21" s="9">
        <f>0</f>
        <v/>
      </c>
      <c r="AZ21" s="9">
        <f>IF(OR(Inputs!$F$6=TRUE,Inputs!$F$6="TRUE",Inputs!$F$6=1),(Inputs!$H$6+Inputs!$L$6*(((Inputs!$I$6+(((A21)+1)/2)*(Inputs!$J$6-Inputs!$I$6)))/Inputs!$K$6)^2),NA())</f>
        <v/>
      </c>
      <c r="BA21" s="9">
        <f>IF(OR(Inputs!$F$7=TRUE,Inputs!$F$7="TRUE",Inputs!$F$7=1),(Inputs!$H$7+Inputs!$L$7*(((Inputs!$I$7+(((A21)+1)/2)*(Inputs!$J$7-Inputs!$I$7)))/Inputs!$K$7)^2),NA())</f>
        <v/>
      </c>
      <c r="BB21" s="9">
        <f>IF(OR(Inputs!$F$8=TRUE,Inputs!$F$8="TRUE",Inputs!$F$8=1),(Inputs!$H$8+Inputs!$L$8*(((Inputs!$I$8+(((A21)+1)/2)*(Inputs!$J$8-Inputs!$I$8)))/Inputs!$K$8)^2),NA())</f>
        <v/>
      </c>
      <c r="BC21" s="9">
        <f>IF(OR(Inputs!$F$9=TRUE,Inputs!$F$9="TRUE",Inputs!$F$9=1),(Inputs!$H$9+Inputs!$L$9*(((Inputs!$I$9+(((A21)+1)/2)*(Inputs!$J$9-Inputs!$I$9)))/Inputs!$K$9)^2),NA())</f>
        <v/>
      </c>
      <c r="BD21" s="10" t="n"/>
      <c r="BE21" s="9">
        <f>A21</f>
        <v/>
      </c>
      <c r="BF21" s="9">
        <f>0</f>
        <v/>
      </c>
      <c r="BG21" s="9">
        <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f>
        <v/>
      </c>
      <c r="BH21" s="9">
        <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f>
        <v/>
      </c>
      <c r="BI21" s="9">
        <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f>
        <v/>
      </c>
      <c r="BJ21" s="9">
        <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f>
        <v/>
      </c>
    </row>
    <row r="22">
      <c r="A22" s="9">
        <f>ROUND(-1+20*2/240,3)</f>
        <v/>
      </c>
      <c r="B22" s="9">
        <f>IF(OR(Inputs!$F$6=TRUE,Inputs!$F$6="TRUE",Inputs!$F$6=1),(Inputs!$H$6+Inputs!$L$6*(((Inputs!$I$6+(((A22)+1)/2)*(Inputs!$J$6-Inputs!$I$6)))/Inputs!$K$6)^2),NA())</f>
        <v/>
      </c>
      <c r="C22" s="9">
        <f>IF(OR(Inputs!$F$7=TRUE,Inputs!$F$7="TRUE",Inputs!$F$7=1),(Inputs!$H$7+Inputs!$L$7*(((Inputs!$I$7+(((A22)+1)/2)*(Inputs!$J$7-Inputs!$I$7)))/Inputs!$K$7)^2),NA())</f>
        <v/>
      </c>
      <c r="D22" s="9">
        <f>IF(OR(Inputs!$F$8=TRUE,Inputs!$F$8="TRUE",Inputs!$F$8=1),(Inputs!$H$8+Inputs!$L$8*(((Inputs!$I$8+(((A22)+1)/2)*(Inputs!$J$8-Inputs!$I$8)))/Inputs!$K$8)^2),NA())</f>
        <v/>
      </c>
      <c r="E22" s="9">
        <f>IF(OR(Inputs!$F$9=TRUE,Inputs!$F$9="TRUE",Inputs!$F$9=1),(Inputs!$H$9+Inputs!$L$9*(((Inputs!$I$9+(((A22)+1)/2)*(Inputs!$J$9-Inputs!$I$9)))/Inputs!$K$9)^2),NA())</f>
        <v/>
      </c>
      <c r="F22" s="10" t="n"/>
      <c r="G22" s="9">
        <f>A22</f>
        <v/>
      </c>
      <c r="H22" s="9">
        <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f>
        <v/>
      </c>
      <c r="I22" s="9">
        <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f>
        <v/>
      </c>
      <c r="J22" s="9">
        <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f>
        <v/>
      </c>
      <c r="K22" s="9">
        <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f>
        <v/>
      </c>
      <c r="L22" s="10" t="n"/>
      <c r="M22" s="9">
        <f>A22</f>
        <v/>
      </c>
      <c r="N22" s="9">
        <f>IF(OR(Inputs!$F$6=TRUE,Inputs!$F$6="TRUE",Inputs!$F$6=1),(-2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NA())</f>
        <v/>
      </c>
      <c r="O22" s="9">
        <f>IF(OR(Inputs!$F$7=TRUE,Inputs!$F$7="TRUE",Inputs!$F$7=1),(-2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NA())</f>
        <v/>
      </c>
      <c r="P22" s="9">
        <f>IF(OR(Inputs!$F$8=TRUE,Inputs!$F$8="TRUE",Inputs!$F$8=1),(-2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NA())</f>
        <v/>
      </c>
      <c r="Q22" s="9">
        <f>IF(OR(Inputs!$F$9=TRUE,Inputs!$F$9="TRUE",Inputs!$F$9=1),(-2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NA())</f>
        <v/>
      </c>
      <c r="R22" s="10" t="n"/>
      <c r="S22" s="9">
        <f>A22</f>
        <v/>
      </c>
      <c r="T22" s="9">
        <f>(Inputs!$I$6+(((A22)+1)/2)*(Inputs!$J$6-Inputs!$I$6))</f>
        <v/>
      </c>
      <c r="U22" s="9">
        <f>(Inputs!$I$7+(((A22)+1)/2)*(Inputs!$J$7-Inputs!$I$7))</f>
        <v/>
      </c>
      <c r="V22" s="9">
        <f>(Inputs!$I$8+(((A22)+1)/2)*(Inputs!$J$8-Inputs!$I$8))</f>
        <v/>
      </c>
      <c r="W22" s="9">
        <f>(Inputs!$I$9+(((A22)+1)/2)*(Inputs!$J$9-Inputs!$I$9))</f>
        <v/>
      </c>
      <c r="X22" s="10" t="n"/>
      <c r="Y22" s="9">
        <f>A22</f>
        <v/>
      </c>
      <c r="Z22" s="9">
        <f>(Inputs!$H$6+Inputs!$L$6*(((Inputs!$I$6+(((A22)+1)/2)*(Inputs!$J$6-Inputs!$I$6)))/Inputs!$K$6)^2)</f>
        <v/>
      </c>
      <c r="AA22" s="9">
        <f>(Inputs!$H$7+Inputs!$L$7*(((Inputs!$I$7+(((A22)+1)/2)*(Inputs!$J$7-Inputs!$I$7)))/Inputs!$K$7)^2)</f>
        <v/>
      </c>
      <c r="AB22" s="9">
        <f>(Inputs!$H$8+Inputs!$L$8*(((Inputs!$I$8+(((A22)+1)/2)*(Inputs!$J$8-Inputs!$I$8)))/Inputs!$K$8)^2)</f>
        <v/>
      </c>
      <c r="AC22" s="9">
        <f>(Inputs!$H$9+Inputs!$L$9*(((Inputs!$I$9+(((A22)+1)/2)*(Inputs!$J$9-Inputs!$I$9)))/Inputs!$K$9)^2)</f>
        <v/>
      </c>
      <c r="AD22" s="10" t="n"/>
      <c r="AE22" s="9">
        <f>A22</f>
        <v/>
      </c>
      <c r="AF22" s="9">
        <f>(((SQRT((Inputs!$C$52+((Inputs!$H$6+Inputs!$L$6*(((Inputs!$I$6+(((A22)+1)/2)*(Inputs!$J$6-Inputs!$I$6)))/Inputs!$K$6)^2)))^2+Inputs!$C$52^2-2*(Inputs!$C$52+((Inputs!$H$6+Inputs!$L$6*(((Inputs!$I$6+(((A22)+1)/2)*(Inputs!$J$6-Inputs!$I$6)))/Inputs!$K$6)^2)))*Inputs!$C$52*COS(SQRT(((Inputs!$I$6+(((A22)+1)/2)*(Inputs!$J$6-Inputs!$I$6)))^2+Inputs!$C$6^2)/Inputs!$C$52)))-((Inputs!$H$6+Inputs!$L$6*(((Inputs!$I$6+(((A22)+1)/2)*(Inputs!$J$6-Inputs!$I$6)))/Inputs!$K$6)^2)))*1000/Inputs!$C$12)</f>
        <v/>
      </c>
      <c r="AG22" s="9">
        <f>(((SQRT((Inputs!$C$52+((Inputs!$H$7+Inputs!$L$7*(((Inputs!$I$7+(((A22)+1)/2)*(Inputs!$J$7-Inputs!$I$7)))/Inputs!$K$7)^2)))^2+Inputs!$C$52^2-2*(Inputs!$C$52+((Inputs!$H$7+Inputs!$L$7*(((Inputs!$I$7+(((A22)+1)/2)*(Inputs!$J$7-Inputs!$I$7)))/Inputs!$K$7)^2)))*Inputs!$C$52*COS(SQRT(((Inputs!$I$7+(((A22)+1)/2)*(Inputs!$J$7-Inputs!$I$7)))^2+Inputs!$C$6^2)/Inputs!$C$52)))-((Inputs!$H$7+Inputs!$L$7*(((Inputs!$I$7+(((A22)+1)/2)*(Inputs!$J$7-Inputs!$I$7)))/Inputs!$K$7)^2)))*1000/Inputs!$C$12)</f>
        <v/>
      </c>
      <c r="AH22" s="9">
        <f>(((SQRT((Inputs!$C$52+((Inputs!$H$8+Inputs!$L$8*(((Inputs!$I$8+(((A22)+1)/2)*(Inputs!$J$8-Inputs!$I$8)))/Inputs!$K$8)^2)))^2+Inputs!$C$52^2-2*(Inputs!$C$52+((Inputs!$H$8+Inputs!$L$8*(((Inputs!$I$8+(((A22)+1)/2)*(Inputs!$J$8-Inputs!$I$8)))/Inputs!$K$8)^2)))*Inputs!$C$52*COS(SQRT(((Inputs!$I$8+(((A22)+1)/2)*(Inputs!$J$8-Inputs!$I$8)))^2+Inputs!$C$6^2)/Inputs!$C$52)))-((Inputs!$H$8+Inputs!$L$8*(((Inputs!$I$8+(((A22)+1)/2)*(Inputs!$J$8-Inputs!$I$8)))/Inputs!$K$8)^2)))*1000/Inputs!$C$12)</f>
        <v/>
      </c>
      <c r="AI22" s="9">
        <f>(((SQRT((Inputs!$C$52+((Inputs!$H$9+Inputs!$L$9*(((Inputs!$I$9+(((A22)+1)/2)*(Inputs!$J$9-Inputs!$I$9)))/Inputs!$K$9)^2)))^2+Inputs!$C$52^2-2*(Inputs!$C$52+((Inputs!$H$9+Inputs!$L$9*(((Inputs!$I$9+(((A22)+1)/2)*(Inputs!$J$9-Inputs!$I$9)))/Inputs!$K$9)^2)))*Inputs!$C$52*COS(SQRT(((Inputs!$I$9+(((A22)+1)/2)*(Inputs!$J$9-Inputs!$I$9)))^2+Inputs!$C$6^2)/Inputs!$C$52)))-((Inputs!$H$9+Inputs!$L$9*(((Inputs!$I$9+(((A22)+1)/2)*(Inputs!$J$9-Inputs!$I$9)))/Inputs!$K$9)^2)))*1000/Inputs!$C$12)</f>
        <v/>
      </c>
      <c r="AJ22" s="10" t="n"/>
      <c r="AK22" s="9">
        <f>A22</f>
        <v/>
      </c>
      <c r="AL22" s="9">
        <f>(-2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f>
        <v/>
      </c>
      <c r="AM22" s="9">
        <f>(-2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f>
        <v/>
      </c>
      <c r="AN22" s="9">
        <f>(-2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f>
        <v/>
      </c>
      <c r="AO22" s="9">
        <f>(-2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f>
        <v/>
      </c>
      <c r="AP22" s="10" t="n"/>
      <c r="AQ22" s="9">
        <f>A22</f>
        <v/>
      </c>
      <c r="AR22" s="9">
        <f>0</f>
        <v/>
      </c>
      <c r="AS22" s="9">
        <f>IF(OR(Inputs!$F$6=TRUE,Inputs!$F$6="TRUE",Inputs!$F$6=1),IF(OR(Inputs!$C$27=TRUE,Inputs!$C$27="TRUE",Inputs!$C$27=1),1,0)*(Inputs!$C$51*(115*EXP(-(((Inputs!$C$6)-25)^2)/(4.5^2))+70*EXP(-(((Inputs!$C$6)+38)^2)/(7^2))*(0.55+0.45*SIN(2*PI()*((Inputs!$I$6+(((A22)+1)/2)*(Inputs!$J$6-Inputs!$I$6)))/45))+24*SIN(2*PI()*(Inputs!$C$6)/9+((Inputs!$I$6+(((A22)+1)/2)*(Inputs!$J$6-Inputs!$I$6)))/18)*EXP(-(((Inputs!$C$6)+5)^2)/(22^2))+18*SIN(2*PI()*((Inputs!$I$6+(((A22)+1)/2)*(Inputs!$J$6-Inputs!$I$6)))/70))+Inputs!$C$28*EXP(-((((Inputs!$I$6+(((A22)+1)/2)*(Inputs!$J$6-Inputs!$I$6)))-Inputs!$C$29)^2)/(2*Inputs!$C$31^2))*EXP(-(((Inputs!$C$6)-Inputs!$C$30)^2)/(2*Inputs!$C$32^2))+-Inputs!$C$33*EXP(-((((((Inputs!$I$6+(((A22)+1)/2)*(Inputs!$J$6-Inputs!$I$6)))-Inputs!$C$34)^2)+(((Inputs!$C$6)-Inputs!$C$35)^2))/(2*Inputs!$C$36^2)))+Inputs!$C$37*(0.55*SIN(2*PI()*((Inputs!$I$6+(((A22)+1)/2)*(Inputs!$J$6-Inputs!$I$6)))/Inputs!$C$39)+0.35*COS(2*PI()*(Inputs!$C$6)/Inputs!$C$40)+0.2*SIN(2*PI()*(((Inputs!$I$6+(((A22)+1)/2)*(Inputs!$J$6-Inputs!$I$6)))+(Inputs!$C$6))/(0.5*(Inputs!$C$39+Inputs!$C$40))))+Inputs!$C$38*SIN(2*PI()*((Inputs!$I$6+(((A22)+1)/2)*(Inputs!$J$6-Inputs!$I$6)))/Inputs!$C$39)*SIN(2*PI()*(Inputs!$C$6)/Inputs!$C$40)+-Inputs!$C$41*EXP(-(((Inputs!$C$6)-Inputs!$C$43)^2)/(2*Inputs!$C$44^2))*EXP(-((((Inputs!$I$6+(((A22)+1)/2)*(Inputs!$J$6-Inputs!$I$6)))-Inputs!$C$42)^2)/(2*Inputs!$C$45^2))+Inputs!$C$48*(0.7*(0.45*SIN(2*PI()*((((Inputs!$I$6+(((A22)+1)/2)*(Inputs!$J$6-Inputs!$I$6)))/Inputs!$C$49)+Inputs!$C$47*0.137))+0.35*COS(2*PI()*(((Inputs!$C$6)/Inputs!$C$50)+Inputs!$C$47*0.173))+0.2*SIN(2*PI()*((((Inputs!$I$6+(((A22)+1)/2)*(Inputs!$J$6-Inputs!$I$6)))+(Inputs!$C$6))/(0.5*(Inputs!$C$49+Inputs!$C$50))+Inputs!$C$47*0.097)))+0.3*(2*((SIN((((Inputs!$I$6+(((A22)+1)/2)*(Inputs!$J$6-Inputs!$I$6)))*12.9898+(Inputs!$C$6)*78.233+Inputs!$C$47*37.719))*43758.5453)-INT((SIN((((Inputs!$I$6+(((A22)+1)/2)*(Inputs!$J$6-Inputs!$I$6)))*12.9898+(Inputs!$C$6)*78.233+Inputs!$C$47*37.719))*43758.5453)))-1))),NA())</f>
        <v/>
      </c>
      <c r="AT22" s="9">
        <f>IF(OR(Inputs!$F$7=TRUE,Inputs!$F$7="TRUE",Inputs!$F$7=1),IF(OR(Inputs!$C$27=TRUE,Inputs!$C$27="TRUE",Inputs!$C$27=1),1,0)*(Inputs!$C$51*(115*EXP(-(((Inputs!$C$6)-25)^2)/(4.5^2))+70*EXP(-(((Inputs!$C$6)+38)^2)/(7^2))*(0.55+0.45*SIN(2*PI()*((Inputs!$I$7+(((A22)+1)/2)*(Inputs!$J$7-Inputs!$I$7)))/45))+24*SIN(2*PI()*(Inputs!$C$6)/9+((Inputs!$I$7+(((A22)+1)/2)*(Inputs!$J$7-Inputs!$I$7)))/18)*EXP(-(((Inputs!$C$6)+5)^2)/(22^2))+18*SIN(2*PI()*((Inputs!$I$7+(((A22)+1)/2)*(Inputs!$J$7-Inputs!$I$7)))/70))+Inputs!$C$28*EXP(-((((Inputs!$I$7+(((A22)+1)/2)*(Inputs!$J$7-Inputs!$I$7)))-Inputs!$C$29)^2)/(2*Inputs!$C$31^2))*EXP(-(((Inputs!$C$6)-Inputs!$C$30)^2)/(2*Inputs!$C$32^2))+-Inputs!$C$33*EXP(-((((((Inputs!$I$7+(((A22)+1)/2)*(Inputs!$J$7-Inputs!$I$7)))-Inputs!$C$34)^2)+(((Inputs!$C$6)-Inputs!$C$35)^2))/(2*Inputs!$C$36^2)))+Inputs!$C$37*(0.55*SIN(2*PI()*((Inputs!$I$7+(((A22)+1)/2)*(Inputs!$J$7-Inputs!$I$7)))/Inputs!$C$39)+0.35*COS(2*PI()*(Inputs!$C$6)/Inputs!$C$40)+0.2*SIN(2*PI()*(((Inputs!$I$7+(((A22)+1)/2)*(Inputs!$J$7-Inputs!$I$7)))+(Inputs!$C$6))/(0.5*(Inputs!$C$39+Inputs!$C$40))))+Inputs!$C$38*SIN(2*PI()*((Inputs!$I$7+(((A22)+1)/2)*(Inputs!$J$7-Inputs!$I$7)))/Inputs!$C$39)*SIN(2*PI()*(Inputs!$C$6)/Inputs!$C$40)+-Inputs!$C$41*EXP(-(((Inputs!$C$6)-Inputs!$C$43)^2)/(2*Inputs!$C$44^2))*EXP(-((((Inputs!$I$7+(((A22)+1)/2)*(Inputs!$J$7-Inputs!$I$7)))-Inputs!$C$42)^2)/(2*Inputs!$C$45^2))+Inputs!$C$48*(0.7*(0.45*SIN(2*PI()*((((Inputs!$I$7+(((A22)+1)/2)*(Inputs!$J$7-Inputs!$I$7)))/Inputs!$C$49)+Inputs!$C$47*0.137))+0.35*COS(2*PI()*(((Inputs!$C$6)/Inputs!$C$50)+Inputs!$C$47*0.173))+0.2*SIN(2*PI()*((((Inputs!$I$7+(((A22)+1)/2)*(Inputs!$J$7-Inputs!$I$7)))+(Inputs!$C$6))/(0.5*(Inputs!$C$49+Inputs!$C$50))+Inputs!$C$47*0.097)))+0.3*(2*((SIN((((Inputs!$I$7+(((A22)+1)/2)*(Inputs!$J$7-Inputs!$I$7)))*12.9898+(Inputs!$C$6)*78.233+Inputs!$C$47*37.719))*43758.5453)-INT((SIN((((Inputs!$I$7+(((A22)+1)/2)*(Inputs!$J$7-Inputs!$I$7)))*12.9898+(Inputs!$C$6)*78.233+Inputs!$C$47*37.719))*43758.5453)))-1))),NA())</f>
        <v/>
      </c>
      <c r="AU22" s="9">
        <f>IF(OR(Inputs!$F$8=TRUE,Inputs!$F$8="TRUE",Inputs!$F$8=1),IF(OR(Inputs!$C$27=TRUE,Inputs!$C$27="TRUE",Inputs!$C$27=1),1,0)*(Inputs!$C$51*(115*EXP(-(((Inputs!$C$6)-25)^2)/(4.5^2))+70*EXP(-(((Inputs!$C$6)+38)^2)/(7^2))*(0.55+0.45*SIN(2*PI()*((Inputs!$I$8+(((A22)+1)/2)*(Inputs!$J$8-Inputs!$I$8)))/45))+24*SIN(2*PI()*(Inputs!$C$6)/9+((Inputs!$I$8+(((A22)+1)/2)*(Inputs!$J$8-Inputs!$I$8)))/18)*EXP(-(((Inputs!$C$6)+5)^2)/(22^2))+18*SIN(2*PI()*((Inputs!$I$8+(((A22)+1)/2)*(Inputs!$J$8-Inputs!$I$8)))/70))+Inputs!$C$28*EXP(-((((Inputs!$I$8+(((A22)+1)/2)*(Inputs!$J$8-Inputs!$I$8)))-Inputs!$C$29)^2)/(2*Inputs!$C$31^2))*EXP(-(((Inputs!$C$6)-Inputs!$C$30)^2)/(2*Inputs!$C$32^2))+-Inputs!$C$33*EXP(-((((((Inputs!$I$8+(((A22)+1)/2)*(Inputs!$J$8-Inputs!$I$8)))-Inputs!$C$34)^2)+(((Inputs!$C$6)-Inputs!$C$35)^2))/(2*Inputs!$C$36^2)))+Inputs!$C$37*(0.55*SIN(2*PI()*((Inputs!$I$8+(((A22)+1)/2)*(Inputs!$J$8-Inputs!$I$8)))/Inputs!$C$39)+0.35*COS(2*PI()*(Inputs!$C$6)/Inputs!$C$40)+0.2*SIN(2*PI()*(((Inputs!$I$8+(((A22)+1)/2)*(Inputs!$J$8-Inputs!$I$8)))+(Inputs!$C$6))/(0.5*(Inputs!$C$39+Inputs!$C$40))))+Inputs!$C$38*SIN(2*PI()*((Inputs!$I$8+(((A22)+1)/2)*(Inputs!$J$8-Inputs!$I$8)))/Inputs!$C$39)*SIN(2*PI()*(Inputs!$C$6)/Inputs!$C$40)+-Inputs!$C$41*EXP(-(((Inputs!$C$6)-Inputs!$C$43)^2)/(2*Inputs!$C$44^2))*EXP(-((((Inputs!$I$8+(((A22)+1)/2)*(Inputs!$J$8-Inputs!$I$8)))-Inputs!$C$42)^2)/(2*Inputs!$C$45^2))+Inputs!$C$48*(0.7*(0.45*SIN(2*PI()*((((Inputs!$I$8+(((A22)+1)/2)*(Inputs!$J$8-Inputs!$I$8)))/Inputs!$C$49)+Inputs!$C$47*0.137))+0.35*COS(2*PI()*(((Inputs!$C$6)/Inputs!$C$50)+Inputs!$C$47*0.173))+0.2*SIN(2*PI()*((((Inputs!$I$8+(((A22)+1)/2)*(Inputs!$J$8-Inputs!$I$8)))+(Inputs!$C$6))/(0.5*(Inputs!$C$49+Inputs!$C$50))+Inputs!$C$47*0.097)))+0.3*(2*((SIN((((Inputs!$I$8+(((A22)+1)/2)*(Inputs!$J$8-Inputs!$I$8)))*12.9898+(Inputs!$C$6)*78.233+Inputs!$C$47*37.719))*43758.5453)-INT((SIN((((Inputs!$I$8+(((A22)+1)/2)*(Inputs!$J$8-Inputs!$I$8)))*12.9898+(Inputs!$C$6)*78.233+Inputs!$C$47*37.719))*43758.5453)))-1))),NA())</f>
        <v/>
      </c>
      <c r="AV22" s="9">
        <f>IF(OR(Inputs!$F$9=TRUE,Inputs!$F$9="TRUE",Inputs!$F$9=1),IF(OR(Inputs!$C$27=TRUE,Inputs!$C$27="TRUE",Inputs!$C$27=1),1,0)*(Inputs!$C$51*(115*EXP(-(((Inputs!$C$6)-25)^2)/(4.5^2))+70*EXP(-(((Inputs!$C$6)+38)^2)/(7^2))*(0.55+0.45*SIN(2*PI()*((Inputs!$I$9+(((A22)+1)/2)*(Inputs!$J$9-Inputs!$I$9)))/45))+24*SIN(2*PI()*(Inputs!$C$6)/9+((Inputs!$I$9+(((A22)+1)/2)*(Inputs!$J$9-Inputs!$I$9)))/18)*EXP(-(((Inputs!$C$6)+5)^2)/(22^2))+18*SIN(2*PI()*((Inputs!$I$9+(((A22)+1)/2)*(Inputs!$J$9-Inputs!$I$9)))/70))+Inputs!$C$28*EXP(-((((Inputs!$I$9+(((A22)+1)/2)*(Inputs!$J$9-Inputs!$I$9)))-Inputs!$C$29)^2)/(2*Inputs!$C$31^2))*EXP(-(((Inputs!$C$6)-Inputs!$C$30)^2)/(2*Inputs!$C$32^2))+-Inputs!$C$33*EXP(-((((((Inputs!$I$9+(((A22)+1)/2)*(Inputs!$J$9-Inputs!$I$9)))-Inputs!$C$34)^2)+(((Inputs!$C$6)-Inputs!$C$35)^2))/(2*Inputs!$C$36^2)))+Inputs!$C$37*(0.55*SIN(2*PI()*((Inputs!$I$9+(((A22)+1)/2)*(Inputs!$J$9-Inputs!$I$9)))/Inputs!$C$39)+0.35*COS(2*PI()*(Inputs!$C$6)/Inputs!$C$40)+0.2*SIN(2*PI()*(((Inputs!$I$9+(((A22)+1)/2)*(Inputs!$J$9-Inputs!$I$9)))+(Inputs!$C$6))/(0.5*(Inputs!$C$39+Inputs!$C$40))))+Inputs!$C$38*SIN(2*PI()*((Inputs!$I$9+(((A22)+1)/2)*(Inputs!$J$9-Inputs!$I$9)))/Inputs!$C$39)*SIN(2*PI()*(Inputs!$C$6)/Inputs!$C$40)+-Inputs!$C$41*EXP(-(((Inputs!$C$6)-Inputs!$C$43)^2)/(2*Inputs!$C$44^2))*EXP(-((((Inputs!$I$9+(((A22)+1)/2)*(Inputs!$J$9-Inputs!$I$9)))-Inputs!$C$42)^2)/(2*Inputs!$C$45^2))+Inputs!$C$48*(0.7*(0.45*SIN(2*PI()*((((Inputs!$I$9+(((A22)+1)/2)*(Inputs!$J$9-Inputs!$I$9)))/Inputs!$C$49)+Inputs!$C$47*0.137))+0.35*COS(2*PI()*(((Inputs!$C$6)/Inputs!$C$50)+Inputs!$C$47*0.173))+0.2*SIN(2*PI()*((((Inputs!$I$9+(((A22)+1)/2)*(Inputs!$J$9-Inputs!$I$9)))+(Inputs!$C$6))/(0.5*(Inputs!$C$49+Inputs!$C$50))+Inputs!$C$47*0.097)))+0.3*(2*((SIN((((Inputs!$I$9+(((A22)+1)/2)*(Inputs!$J$9-Inputs!$I$9)))*12.9898+(Inputs!$C$6)*78.233+Inputs!$C$47*37.719))*43758.5453)-INT((SIN((((Inputs!$I$9+(((A22)+1)/2)*(Inputs!$J$9-Inputs!$I$9)))*12.9898+(Inputs!$C$6)*78.233+Inputs!$C$47*37.719))*43758.5453)))-1))),NA())</f>
        <v/>
      </c>
      <c r="AW22" s="10" t="n"/>
      <c r="AX22" s="9">
        <f>A22</f>
        <v/>
      </c>
      <c r="AY22" s="9">
        <f>0</f>
        <v/>
      </c>
      <c r="AZ22" s="9">
        <f>IF(OR(Inputs!$F$6=TRUE,Inputs!$F$6="TRUE",Inputs!$F$6=1),(Inputs!$H$6+Inputs!$L$6*(((Inputs!$I$6+(((A22)+1)/2)*(Inputs!$J$6-Inputs!$I$6)))/Inputs!$K$6)^2),NA())</f>
        <v/>
      </c>
      <c r="BA22" s="9">
        <f>IF(OR(Inputs!$F$7=TRUE,Inputs!$F$7="TRUE",Inputs!$F$7=1),(Inputs!$H$7+Inputs!$L$7*(((Inputs!$I$7+(((A22)+1)/2)*(Inputs!$J$7-Inputs!$I$7)))/Inputs!$K$7)^2),NA())</f>
        <v/>
      </c>
      <c r="BB22" s="9">
        <f>IF(OR(Inputs!$F$8=TRUE,Inputs!$F$8="TRUE",Inputs!$F$8=1),(Inputs!$H$8+Inputs!$L$8*(((Inputs!$I$8+(((A22)+1)/2)*(Inputs!$J$8-Inputs!$I$8)))/Inputs!$K$8)^2),NA())</f>
        <v/>
      </c>
      <c r="BC22" s="9">
        <f>IF(OR(Inputs!$F$9=TRUE,Inputs!$F$9="TRUE",Inputs!$F$9=1),(Inputs!$H$9+Inputs!$L$9*(((Inputs!$I$9+(((A22)+1)/2)*(Inputs!$J$9-Inputs!$I$9)))/Inputs!$K$9)^2),NA())</f>
        <v/>
      </c>
      <c r="BD22" s="10" t="n"/>
      <c r="BE22" s="9">
        <f>A22</f>
        <v/>
      </c>
      <c r="BF22" s="9">
        <f>0</f>
        <v/>
      </c>
      <c r="BG22" s="9">
        <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f>
        <v/>
      </c>
      <c r="BH22" s="9">
        <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f>
        <v/>
      </c>
      <c r="BI22" s="9">
        <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f>
        <v/>
      </c>
      <c r="BJ22" s="9">
        <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f>
        <v/>
      </c>
    </row>
    <row r="23">
      <c r="A23" s="9">
        <f>ROUND(-1+21*2/240,3)</f>
        <v/>
      </c>
      <c r="B23" s="9">
        <f>IF(OR(Inputs!$F$6=TRUE,Inputs!$F$6="TRUE",Inputs!$F$6=1),(Inputs!$H$6+Inputs!$L$6*(((Inputs!$I$6+(((A23)+1)/2)*(Inputs!$J$6-Inputs!$I$6)))/Inputs!$K$6)^2),NA())</f>
        <v/>
      </c>
      <c r="C23" s="9">
        <f>IF(OR(Inputs!$F$7=TRUE,Inputs!$F$7="TRUE",Inputs!$F$7=1),(Inputs!$H$7+Inputs!$L$7*(((Inputs!$I$7+(((A23)+1)/2)*(Inputs!$J$7-Inputs!$I$7)))/Inputs!$K$7)^2),NA())</f>
        <v/>
      </c>
      <c r="D23" s="9">
        <f>IF(OR(Inputs!$F$8=TRUE,Inputs!$F$8="TRUE",Inputs!$F$8=1),(Inputs!$H$8+Inputs!$L$8*(((Inputs!$I$8+(((A23)+1)/2)*(Inputs!$J$8-Inputs!$I$8)))/Inputs!$K$8)^2),NA())</f>
        <v/>
      </c>
      <c r="E23" s="9">
        <f>IF(OR(Inputs!$F$9=TRUE,Inputs!$F$9="TRUE",Inputs!$F$9=1),(Inputs!$H$9+Inputs!$L$9*(((Inputs!$I$9+(((A23)+1)/2)*(Inputs!$J$9-Inputs!$I$9)))/Inputs!$K$9)^2),NA())</f>
        <v/>
      </c>
      <c r="F23" s="10" t="n"/>
      <c r="G23" s="9">
        <f>A23</f>
        <v/>
      </c>
      <c r="H23" s="9">
        <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f>
        <v/>
      </c>
      <c r="I23" s="9">
        <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f>
        <v/>
      </c>
      <c r="J23" s="9">
        <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f>
        <v/>
      </c>
      <c r="K23" s="9">
        <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f>
        <v/>
      </c>
      <c r="L23" s="10" t="n"/>
      <c r="M23" s="9">
        <f>A23</f>
        <v/>
      </c>
      <c r="N23" s="9">
        <f>IF(OR(Inputs!$F$6=TRUE,Inputs!$F$6="TRUE",Inputs!$F$6=1),(-2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NA())</f>
        <v/>
      </c>
      <c r="O23" s="9">
        <f>IF(OR(Inputs!$F$7=TRUE,Inputs!$F$7="TRUE",Inputs!$F$7=1),(-2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NA())</f>
        <v/>
      </c>
      <c r="P23" s="9">
        <f>IF(OR(Inputs!$F$8=TRUE,Inputs!$F$8="TRUE",Inputs!$F$8=1),(-2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NA())</f>
        <v/>
      </c>
      <c r="Q23" s="9">
        <f>IF(OR(Inputs!$F$9=TRUE,Inputs!$F$9="TRUE",Inputs!$F$9=1),(-2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NA())</f>
        <v/>
      </c>
      <c r="R23" s="10" t="n"/>
      <c r="S23" s="9">
        <f>A23</f>
        <v/>
      </c>
      <c r="T23" s="9">
        <f>(Inputs!$I$6+(((A23)+1)/2)*(Inputs!$J$6-Inputs!$I$6))</f>
        <v/>
      </c>
      <c r="U23" s="9">
        <f>(Inputs!$I$7+(((A23)+1)/2)*(Inputs!$J$7-Inputs!$I$7))</f>
        <v/>
      </c>
      <c r="V23" s="9">
        <f>(Inputs!$I$8+(((A23)+1)/2)*(Inputs!$J$8-Inputs!$I$8))</f>
        <v/>
      </c>
      <c r="W23" s="9">
        <f>(Inputs!$I$9+(((A23)+1)/2)*(Inputs!$J$9-Inputs!$I$9))</f>
        <v/>
      </c>
      <c r="X23" s="10" t="n"/>
      <c r="Y23" s="9">
        <f>A23</f>
        <v/>
      </c>
      <c r="Z23" s="9">
        <f>(Inputs!$H$6+Inputs!$L$6*(((Inputs!$I$6+(((A23)+1)/2)*(Inputs!$J$6-Inputs!$I$6)))/Inputs!$K$6)^2)</f>
        <v/>
      </c>
      <c r="AA23" s="9">
        <f>(Inputs!$H$7+Inputs!$L$7*(((Inputs!$I$7+(((A23)+1)/2)*(Inputs!$J$7-Inputs!$I$7)))/Inputs!$K$7)^2)</f>
        <v/>
      </c>
      <c r="AB23" s="9">
        <f>(Inputs!$H$8+Inputs!$L$8*(((Inputs!$I$8+(((A23)+1)/2)*(Inputs!$J$8-Inputs!$I$8)))/Inputs!$K$8)^2)</f>
        <v/>
      </c>
      <c r="AC23" s="9">
        <f>(Inputs!$H$9+Inputs!$L$9*(((Inputs!$I$9+(((A23)+1)/2)*(Inputs!$J$9-Inputs!$I$9)))/Inputs!$K$9)^2)</f>
        <v/>
      </c>
      <c r="AD23" s="10" t="n"/>
      <c r="AE23" s="9">
        <f>A23</f>
        <v/>
      </c>
      <c r="AF23" s="9">
        <f>(((SQRT((Inputs!$C$52+((Inputs!$H$6+Inputs!$L$6*(((Inputs!$I$6+(((A23)+1)/2)*(Inputs!$J$6-Inputs!$I$6)))/Inputs!$K$6)^2)))^2+Inputs!$C$52^2-2*(Inputs!$C$52+((Inputs!$H$6+Inputs!$L$6*(((Inputs!$I$6+(((A23)+1)/2)*(Inputs!$J$6-Inputs!$I$6)))/Inputs!$K$6)^2)))*Inputs!$C$52*COS(SQRT(((Inputs!$I$6+(((A23)+1)/2)*(Inputs!$J$6-Inputs!$I$6)))^2+Inputs!$C$6^2)/Inputs!$C$52)))-((Inputs!$H$6+Inputs!$L$6*(((Inputs!$I$6+(((A23)+1)/2)*(Inputs!$J$6-Inputs!$I$6)))/Inputs!$K$6)^2)))*1000/Inputs!$C$12)</f>
        <v/>
      </c>
      <c r="AG23" s="9">
        <f>(((SQRT((Inputs!$C$52+((Inputs!$H$7+Inputs!$L$7*(((Inputs!$I$7+(((A23)+1)/2)*(Inputs!$J$7-Inputs!$I$7)))/Inputs!$K$7)^2)))^2+Inputs!$C$52^2-2*(Inputs!$C$52+((Inputs!$H$7+Inputs!$L$7*(((Inputs!$I$7+(((A23)+1)/2)*(Inputs!$J$7-Inputs!$I$7)))/Inputs!$K$7)^2)))*Inputs!$C$52*COS(SQRT(((Inputs!$I$7+(((A23)+1)/2)*(Inputs!$J$7-Inputs!$I$7)))^2+Inputs!$C$6^2)/Inputs!$C$52)))-((Inputs!$H$7+Inputs!$L$7*(((Inputs!$I$7+(((A23)+1)/2)*(Inputs!$J$7-Inputs!$I$7)))/Inputs!$K$7)^2)))*1000/Inputs!$C$12)</f>
        <v/>
      </c>
      <c r="AH23" s="9">
        <f>(((SQRT((Inputs!$C$52+((Inputs!$H$8+Inputs!$L$8*(((Inputs!$I$8+(((A23)+1)/2)*(Inputs!$J$8-Inputs!$I$8)))/Inputs!$K$8)^2)))^2+Inputs!$C$52^2-2*(Inputs!$C$52+((Inputs!$H$8+Inputs!$L$8*(((Inputs!$I$8+(((A23)+1)/2)*(Inputs!$J$8-Inputs!$I$8)))/Inputs!$K$8)^2)))*Inputs!$C$52*COS(SQRT(((Inputs!$I$8+(((A23)+1)/2)*(Inputs!$J$8-Inputs!$I$8)))^2+Inputs!$C$6^2)/Inputs!$C$52)))-((Inputs!$H$8+Inputs!$L$8*(((Inputs!$I$8+(((A23)+1)/2)*(Inputs!$J$8-Inputs!$I$8)))/Inputs!$K$8)^2)))*1000/Inputs!$C$12)</f>
        <v/>
      </c>
      <c r="AI23" s="9">
        <f>(((SQRT((Inputs!$C$52+((Inputs!$H$9+Inputs!$L$9*(((Inputs!$I$9+(((A23)+1)/2)*(Inputs!$J$9-Inputs!$I$9)))/Inputs!$K$9)^2)))^2+Inputs!$C$52^2-2*(Inputs!$C$52+((Inputs!$H$9+Inputs!$L$9*(((Inputs!$I$9+(((A23)+1)/2)*(Inputs!$J$9-Inputs!$I$9)))/Inputs!$K$9)^2)))*Inputs!$C$52*COS(SQRT(((Inputs!$I$9+(((A23)+1)/2)*(Inputs!$J$9-Inputs!$I$9)))^2+Inputs!$C$6^2)/Inputs!$C$52)))-((Inputs!$H$9+Inputs!$L$9*(((Inputs!$I$9+(((A23)+1)/2)*(Inputs!$J$9-Inputs!$I$9)))/Inputs!$K$9)^2)))*1000/Inputs!$C$12)</f>
        <v/>
      </c>
      <c r="AJ23" s="10" t="n"/>
      <c r="AK23" s="9">
        <f>A23</f>
        <v/>
      </c>
      <c r="AL23" s="9">
        <f>(-2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f>
        <v/>
      </c>
      <c r="AM23" s="9">
        <f>(-2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f>
        <v/>
      </c>
      <c r="AN23" s="9">
        <f>(-2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f>
        <v/>
      </c>
      <c r="AO23" s="9">
        <f>(-2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f>
        <v/>
      </c>
      <c r="AP23" s="10" t="n"/>
      <c r="AQ23" s="9">
        <f>A23</f>
        <v/>
      </c>
      <c r="AR23" s="9">
        <f>0</f>
        <v/>
      </c>
      <c r="AS23" s="9">
        <f>IF(OR(Inputs!$F$6=TRUE,Inputs!$F$6="TRUE",Inputs!$F$6=1),IF(OR(Inputs!$C$27=TRUE,Inputs!$C$27="TRUE",Inputs!$C$27=1),1,0)*(Inputs!$C$51*(115*EXP(-(((Inputs!$C$6)-25)^2)/(4.5^2))+70*EXP(-(((Inputs!$C$6)+38)^2)/(7^2))*(0.55+0.45*SIN(2*PI()*((Inputs!$I$6+(((A23)+1)/2)*(Inputs!$J$6-Inputs!$I$6)))/45))+24*SIN(2*PI()*(Inputs!$C$6)/9+((Inputs!$I$6+(((A23)+1)/2)*(Inputs!$J$6-Inputs!$I$6)))/18)*EXP(-(((Inputs!$C$6)+5)^2)/(22^2))+18*SIN(2*PI()*((Inputs!$I$6+(((A23)+1)/2)*(Inputs!$J$6-Inputs!$I$6)))/70))+Inputs!$C$28*EXP(-((((Inputs!$I$6+(((A23)+1)/2)*(Inputs!$J$6-Inputs!$I$6)))-Inputs!$C$29)^2)/(2*Inputs!$C$31^2))*EXP(-(((Inputs!$C$6)-Inputs!$C$30)^2)/(2*Inputs!$C$32^2))+-Inputs!$C$33*EXP(-((((((Inputs!$I$6+(((A23)+1)/2)*(Inputs!$J$6-Inputs!$I$6)))-Inputs!$C$34)^2)+(((Inputs!$C$6)-Inputs!$C$35)^2))/(2*Inputs!$C$36^2)))+Inputs!$C$37*(0.55*SIN(2*PI()*((Inputs!$I$6+(((A23)+1)/2)*(Inputs!$J$6-Inputs!$I$6)))/Inputs!$C$39)+0.35*COS(2*PI()*(Inputs!$C$6)/Inputs!$C$40)+0.2*SIN(2*PI()*(((Inputs!$I$6+(((A23)+1)/2)*(Inputs!$J$6-Inputs!$I$6)))+(Inputs!$C$6))/(0.5*(Inputs!$C$39+Inputs!$C$40))))+Inputs!$C$38*SIN(2*PI()*((Inputs!$I$6+(((A23)+1)/2)*(Inputs!$J$6-Inputs!$I$6)))/Inputs!$C$39)*SIN(2*PI()*(Inputs!$C$6)/Inputs!$C$40)+-Inputs!$C$41*EXP(-(((Inputs!$C$6)-Inputs!$C$43)^2)/(2*Inputs!$C$44^2))*EXP(-((((Inputs!$I$6+(((A23)+1)/2)*(Inputs!$J$6-Inputs!$I$6)))-Inputs!$C$42)^2)/(2*Inputs!$C$45^2))+Inputs!$C$48*(0.7*(0.45*SIN(2*PI()*((((Inputs!$I$6+(((A23)+1)/2)*(Inputs!$J$6-Inputs!$I$6)))/Inputs!$C$49)+Inputs!$C$47*0.137))+0.35*COS(2*PI()*(((Inputs!$C$6)/Inputs!$C$50)+Inputs!$C$47*0.173))+0.2*SIN(2*PI()*((((Inputs!$I$6+(((A23)+1)/2)*(Inputs!$J$6-Inputs!$I$6)))+(Inputs!$C$6))/(0.5*(Inputs!$C$49+Inputs!$C$50))+Inputs!$C$47*0.097)))+0.3*(2*((SIN((((Inputs!$I$6+(((A23)+1)/2)*(Inputs!$J$6-Inputs!$I$6)))*12.9898+(Inputs!$C$6)*78.233+Inputs!$C$47*37.719))*43758.5453)-INT((SIN((((Inputs!$I$6+(((A23)+1)/2)*(Inputs!$J$6-Inputs!$I$6)))*12.9898+(Inputs!$C$6)*78.233+Inputs!$C$47*37.719))*43758.5453)))-1))),NA())</f>
        <v/>
      </c>
      <c r="AT23" s="9">
        <f>IF(OR(Inputs!$F$7=TRUE,Inputs!$F$7="TRUE",Inputs!$F$7=1),IF(OR(Inputs!$C$27=TRUE,Inputs!$C$27="TRUE",Inputs!$C$27=1),1,0)*(Inputs!$C$51*(115*EXP(-(((Inputs!$C$6)-25)^2)/(4.5^2))+70*EXP(-(((Inputs!$C$6)+38)^2)/(7^2))*(0.55+0.45*SIN(2*PI()*((Inputs!$I$7+(((A23)+1)/2)*(Inputs!$J$7-Inputs!$I$7)))/45))+24*SIN(2*PI()*(Inputs!$C$6)/9+((Inputs!$I$7+(((A23)+1)/2)*(Inputs!$J$7-Inputs!$I$7)))/18)*EXP(-(((Inputs!$C$6)+5)^2)/(22^2))+18*SIN(2*PI()*((Inputs!$I$7+(((A23)+1)/2)*(Inputs!$J$7-Inputs!$I$7)))/70))+Inputs!$C$28*EXP(-((((Inputs!$I$7+(((A23)+1)/2)*(Inputs!$J$7-Inputs!$I$7)))-Inputs!$C$29)^2)/(2*Inputs!$C$31^2))*EXP(-(((Inputs!$C$6)-Inputs!$C$30)^2)/(2*Inputs!$C$32^2))+-Inputs!$C$33*EXP(-((((((Inputs!$I$7+(((A23)+1)/2)*(Inputs!$J$7-Inputs!$I$7)))-Inputs!$C$34)^2)+(((Inputs!$C$6)-Inputs!$C$35)^2))/(2*Inputs!$C$36^2)))+Inputs!$C$37*(0.55*SIN(2*PI()*((Inputs!$I$7+(((A23)+1)/2)*(Inputs!$J$7-Inputs!$I$7)))/Inputs!$C$39)+0.35*COS(2*PI()*(Inputs!$C$6)/Inputs!$C$40)+0.2*SIN(2*PI()*(((Inputs!$I$7+(((A23)+1)/2)*(Inputs!$J$7-Inputs!$I$7)))+(Inputs!$C$6))/(0.5*(Inputs!$C$39+Inputs!$C$40))))+Inputs!$C$38*SIN(2*PI()*((Inputs!$I$7+(((A23)+1)/2)*(Inputs!$J$7-Inputs!$I$7)))/Inputs!$C$39)*SIN(2*PI()*(Inputs!$C$6)/Inputs!$C$40)+-Inputs!$C$41*EXP(-(((Inputs!$C$6)-Inputs!$C$43)^2)/(2*Inputs!$C$44^2))*EXP(-((((Inputs!$I$7+(((A23)+1)/2)*(Inputs!$J$7-Inputs!$I$7)))-Inputs!$C$42)^2)/(2*Inputs!$C$45^2))+Inputs!$C$48*(0.7*(0.45*SIN(2*PI()*((((Inputs!$I$7+(((A23)+1)/2)*(Inputs!$J$7-Inputs!$I$7)))/Inputs!$C$49)+Inputs!$C$47*0.137))+0.35*COS(2*PI()*(((Inputs!$C$6)/Inputs!$C$50)+Inputs!$C$47*0.173))+0.2*SIN(2*PI()*((((Inputs!$I$7+(((A23)+1)/2)*(Inputs!$J$7-Inputs!$I$7)))+(Inputs!$C$6))/(0.5*(Inputs!$C$49+Inputs!$C$50))+Inputs!$C$47*0.097)))+0.3*(2*((SIN((((Inputs!$I$7+(((A23)+1)/2)*(Inputs!$J$7-Inputs!$I$7)))*12.9898+(Inputs!$C$6)*78.233+Inputs!$C$47*37.719))*43758.5453)-INT((SIN((((Inputs!$I$7+(((A23)+1)/2)*(Inputs!$J$7-Inputs!$I$7)))*12.9898+(Inputs!$C$6)*78.233+Inputs!$C$47*37.719))*43758.5453)))-1))),NA())</f>
        <v/>
      </c>
      <c r="AU23" s="9">
        <f>IF(OR(Inputs!$F$8=TRUE,Inputs!$F$8="TRUE",Inputs!$F$8=1),IF(OR(Inputs!$C$27=TRUE,Inputs!$C$27="TRUE",Inputs!$C$27=1),1,0)*(Inputs!$C$51*(115*EXP(-(((Inputs!$C$6)-25)^2)/(4.5^2))+70*EXP(-(((Inputs!$C$6)+38)^2)/(7^2))*(0.55+0.45*SIN(2*PI()*((Inputs!$I$8+(((A23)+1)/2)*(Inputs!$J$8-Inputs!$I$8)))/45))+24*SIN(2*PI()*(Inputs!$C$6)/9+((Inputs!$I$8+(((A23)+1)/2)*(Inputs!$J$8-Inputs!$I$8)))/18)*EXP(-(((Inputs!$C$6)+5)^2)/(22^2))+18*SIN(2*PI()*((Inputs!$I$8+(((A23)+1)/2)*(Inputs!$J$8-Inputs!$I$8)))/70))+Inputs!$C$28*EXP(-((((Inputs!$I$8+(((A23)+1)/2)*(Inputs!$J$8-Inputs!$I$8)))-Inputs!$C$29)^2)/(2*Inputs!$C$31^2))*EXP(-(((Inputs!$C$6)-Inputs!$C$30)^2)/(2*Inputs!$C$32^2))+-Inputs!$C$33*EXP(-((((((Inputs!$I$8+(((A23)+1)/2)*(Inputs!$J$8-Inputs!$I$8)))-Inputs!$C$34)^2)+(((Inputs!$C$6)-Inputs!$C$35)^2))/(2*Inputs!$C$36^2)))+Inputs!$C$37*(0.55*SIN(2*PI()*((Inputs!$I$8+(((A23)+1)/2)*(Inputs!$J$8-Inputs!$I$8)))/Inputs!$C$39)+0.35*COS(2*PI()*(Inputs!$C$6)/Inputs!$C$40)+0.2*SIN(2*PI()*(((Inputs!$I$8+(((A23)+1)/2)*(Inputs!$J$8-Inputs!$I$8)))+(Inputs!$C$6))/(0.5*(Inputs!$C$39+Inputs!$C$40))))+Inputs!$C$38*SIN(2*PI()*((Inputs!$I$8+(((A23)+1)/2)*(Inputs!$J$8-Inputs!$I$8)))/Inputs!$C$39)*SIN(2*PI()*(Inputs!$C$6)/Inputs!$C$40)+-Inputs!$C$41*EXP(-(((Inputs!$C$6)-Inputs!$C$43)^2)/(2*Inputs!$C$44^2))*EXP(-((((Inputs!$I$8+(((A23)+1)/2)*(Inputs!$J$8-Inputs!$I$8)))-Inputs!$C$42)^2)/(2*Inputs!$C$45^2))+Inputs!$C$48*(0.7*(0.45*SIN(2*PI()*((((Inputs!$I$8+(((A23)+1)/2)*(Inputs!$J$8-Inputs!$I$8)))/Inputs!$C$49)+Inputs!$C$47*0.137))+0.35*COS(2*PI()*(((Inputs!$C$6)/Inputs!$C$50)+Inputs!$C$47*0.173))+0.2*SIN(2*PI()*((((Inputs!$I$8+(((A23)+1)/2)*(Inputs!$J$8-Inputs!$I$8)))+(Inputs!$C$6))/(0.5*(Inputs!$C$49+Inputs!$C$50))+Inputs!$C$47*0.097)))+0.3*(2*((SIN((((Inputs!$I$8+(((A23)+1)/2)*(Inputs!$J$8-Inputs!$I$8)))*12.9898+(Inputs!$C$6)*78.233+Inputs!$C$47*37.719))*43758.5453)-INT((SIN((((Inputs!$I$8+(((A23)+1)/2)*(Inputs!$J$8-Inputs!$I$8)))*12.9898+(Inputs!$C$6)*78.233+Inputs!$C$47*37.719))*43758.5453)))-1))),NA())</f>
        <v/>
      </c>
      <c r="AV23" s="9">
        <f>IF(OR(Inputs!$F$9=TRUE,Inputs!$F$9="TRUE",Inputs!$F$9=1),IF(OR(Inputs!$C$27=TRUE,Inputs!$C$27="TRUE",Inputs!$C$27=1),1,0)*(Inputs!$C$51*(115*EXP(-(((Inputs!$C$6)-25)^2)/(4.5^2))+70*EXP(-(((Inputs!$C$6)+38)^2)/(7^2))*(0.55+0.45*SIN(2*PI()*((Inputs!$I$9+(((A23)+1)/2)*(Inputs!$J$9-Inputs!$I$9)))/45))+24*SIN(2*PI()*(Inputs!$C$6)/9+((Inputs!$I$9+(((A23)+1)/2)*(Inputs!$J$9-Inputs!$I$9)))/18)*EXP(-(((Inputs!$C$6)+5)^2)/(22^2))+18*SIN(2*PI()*((Inputs!$I$9+(((A23)+1)/2)*(Inputs!$J$9-Inputs!$I$9)))/70))+Inputs!$C$28*EXP(-((((Inputs!$I$9+(((A23)+1)/2)*(Inputs!$J$9-Inputs!$I$9)))-Inputs!$C$29)^2)/(2*Inputs!$C$31^2))*EXP(-(((Inputs!$C$6)-Inputs!$C$30)^2)/(2*Inputs!$C$32^2))+-Inputs!$C$33*EXP(-((((((Inputs!$I$9+(((A23)+1)/2)*(Inputs!$J$9-Inputs!$I$9)))-Inputs!$C$34)^2)+(((Inputs!$C$6)-Inputs!$C$35)^2))/(2*Inputs!$C$36^2)))+Inputs!$C$37*(0.55*SIN(2*PI()*((Inputs!$I$9+(((A23)+1)/2)*(Inputs!$J$9-Inputs!$I$9)))/Inputs!$C$39)+0.35*COS(2*PI()*(Inputs!$C$6)/Inputs!$C$40)+0.2*SIN(2*PI()*(((Inputs!$I$9+(((A23)+1)/2)*(Inputs!$J$9-Inputs!$I$9)))+(Inputs!$C$6))/(0.5*(Inputs!$C$39+Inputs!$C$40))))+Inputs!$C$38*SIN(2*PI()*((Inputs!$I$9+(((A23)+1)/2)*(Inputs!$J$9-Inputs!$I$9)))/Inputs!$C$39)*SIN(2*PI()*(Inputs!$C$6)/Inputs!$C$40)+-Inputs!$C$41*EXP(-(((Inputs!$C$6)-Inputs!$C$43)^2)/(2*Inputs!$C$44^2))*EXP(-((((Inputs!$I$9+(((A23)+1)/2)*(Inputs!$J$9-Inputs!$I$9)))-Inputs!$C$42)^2)/(2*Inputs!$C$45^2))+Inputs!$C$48*(0.7*(0.45*SIN(2*PI()*((((Inputs!$I$9+(((A23)+1)/2)*(Inputs!$J$9-Inputs!$I$9)))/Inputs!$C$49)+Inputs!$C$47*0.137))+0.35*COS(2*PI()*(((Inputs!$C$6)/Inputs!$C$50)+Inputs!$C$47*0.173))+0.2*SIN(2*PI()*((((Inputs!$I$9+(((A23)+1)/2)*(Inputs!$J$9-Inputs!$I$9)))+(Inputs!$C$6))/(0.5*(Inputs!$C$49+Inputs!$C$50))+Inputs!$C$47*0.097)))+0.3*(2*((SIN((((Inputs!$I$9+(((A23)+1)/2)*(Inputs!$J$9-Inputs!$I$9)))*12.9898+(Inputs!$C$6)*78.233+Inputs!$C$47*37.719))*43758.5453)-INT((SIN((((Inputs!$I$9+(((A23)+1)/2)*(Inputs!$J$9-Inputs!$I$9)))*12.9898+(Inputs!$C$6)*78.233+Inputs!$C$47*37.719))*43758.5453)))-1))),NA())</f>
        <v/>
      </c>
      <c r="AW23" s="10" t="n"/>
      <c r="AX23" s="9">
        <f>A23</f>
        <v/>
      </c>
      <c r="AY23" s="9">
        <f>0</f>
        <v/>
      </c>
      <c r="AZ23" s="9">
        <f>IF(OR(Inputs!$F$6=TRUE,Inputs!$F$6="TRUE",Inputs!$F$6=1),(Inputs!$H$6+Inputs!$L$6*(((Inputs!$I$6+(((A23)+1)/2)*(Inputs!$J$6-Inputs!$I$6)))/Inputs!$K$6)^2),NA())</f>
        <v/>
      </c>
      <c r="BA23" s="9">
        <f>IF(OR(Inputs!$F$7=TRUE,Inputs!$F$7="TRUE",Inputs!$F$7=1),(Inputs!$H$7+Inputs!$L$7*(((Inputs!$I$7+(((A23)+1)/2)*(Inputs!$J$7-Inputs!$I$7)))/Inputs!$K$7)^2),NA())</f>
        <v/>
      </c>
      <c r="BB23" s="9">
        <f>IF(OR(Inputs!$F$8=TRUE,Inputs!$F$8="TRUE",Inputs!$F$8=1),(Inputs!$H$8+Inputs!$L$8*(((Inputs!$I$8+(((A23)+1)/2)*(Inputs!$J$8-Inputs!$I$8)))/Inputs!$K$8)^2),NA())</f>
        <v/>
      </c>
      <c r="BC23" s="9">
        <f>IF(OR(Inputs!$F$9=TRUE,Inputs!$F$9="TRUE",Inputs!$F$9=1),(Inputs!$H$9+Inputs!$L$9*(((Inputs!$I$9+(((A23)+1)/2)*(Inputs!$J$9-Inputs!$I$9)))/Inputs!$K$9)^2),NA())</f>
        <v/>
      </c>
      <c r="BD23" s="10" t="n"/>
      <c r="BE23" s="9">
        <f>A23</f>
        <v/>
      </c>
      <c r="BF23" s="9">
        <f>0</f>
        <v/>
      </c>
      <c r="BG23" s="9">
        <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f>
        <v/>
      </c>
      <c r="BH23" s="9">
        <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f>
        <v/>
      </c>
      <c r="BI23" s="9">
        <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f>
        <v/>
      </c>
      <c r="BJ23" s="9">
        <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f>
        <v/>
      </c>
    </row>
    <row r="24">
      <c r="A24" s="9">
        <f>ROUND(-1+22*2/240,3)</f>
        <v/>
      </c>
      <c r="B24" s="9">
        <f>IF(OR(Inputs!$F$6=TRUE,Inputs!$F$6="TRUE",Inputs!$F$6=1),(Inputs!$H$6+Inputs!$L$6*(((Inputs!$I$6+(((A24)+1)/2)*(Inputs!$J$6-Inputs!$I$6)))/Inputs!$K$6)^2),NA())</f>
        <v/>
      </c>
      <c r="C24" s="9">
        <f>IF(OR(Inputs!$F$7=TRUE,Inputs!$F$7="TRUE",Inputs!$F$7=1),(Inputs!$H$7+Inputs!$L$7*(((Inputs!$I$7+(((A24)+1)/2)*(Inputs!$J$7-Inputs!$I$7)))/Inputs!$K$7)^2),NA())</f>
        <v/>
      </c>
      <c r="D24" s="9">
        <f>IF(OR(Inputs!$F$8=TRUE,Inputs!$F$8="TRUE",Inputs!$F$8=1),(Inputs!$H$8+Inputs!$L$8*(((Inputs!$I$8+(((A24)+1)/2)*(Inputs!$J$8-Inputs!$I$8)))/Inputs!$K$8)^2),NA())</f>
        <v/>
      </c>
      <c r="E24" s="9">
        <f>IF(OR(Inputs!$F$9=TRUE,Inputs!$F$9="TRUE",Inputs!$F$9=1),(Inputs!$H$9+Inputs!$L$9*(((Inputs!$I$9+(((A24)+1)/2)*(Inputs!$J$9-Inputs!$I$9)))/Inputs!$K$9)^2),NA())</f>
        <v/>
      </c>
      <c r="F24" s="10" t="n"/>
      <c r="G24" s="9">
        <f>A24</f>
        <v/>
      </c>
      <c r="H24" s="9">
        <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f>
        <v/>
      </c>
      <c r="I24" s="9">
        <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f>
        <v/>
      </c>
      <c r="J24" s="9">
        <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f>
        <v/>
      </c>
      <c r="K24" s="9">
        <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f>
        <v/>
      </c>
      <c r="L24" s="10" t="n"/>
      <c r="M24" s="9">
        <f>A24</f>
        <v/>
      </c>
      <c r="N24" s="9">
        <f>IF(OR(Inputs!$F$6=TRUE,Inputs!$F$6="TRUE",Inputs!$F$6=1),(-2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NA())</f>
        <v/>
      </c>
      <c r="O24" s="9">
        <f>IF(OR(Inputs!$F$7=TRUE,Inputs!$F$7="TRUE",Inputs!$F$7=1),(-2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NA())</f>
        <v/>
      </c>
      <c r="P24" s="9">
        <f>IF(OR(Inputs!$F$8=TRUE,Inputs!$F$8="TRUE",Inputs!$F$8=1),(-2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NA())</f>
        <v/>
      </c>
      <c r="Q24" s="9">
        <f>IF(OR(Inputs!$F$9=TRUE,Inputs!$F$9="TRUE",Inputs!$F$9=1),(-2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NA())</f>
        <v/>
      </c>
      <c r="R24" s="10" t="n"/>
      <c r="S24" s="9">
        <f>A24</f>
        <v/>
      </c>
      <c r="T24" s="9">
        <f>(Inputs!$I$6+(((A24)+1)/2)*(Inputs!$J$6-Inputs!$I$6))</f>
        <v/>
      </c>
      <c r="U24" s="9">
        <f>(Inputs!$I$7+(((A24)+1)/2)*(Inputs!$J$7-Inputs!$I$7))</f>
        <v/>
      </c>
      <c r="V24" s="9">
        <f>(Inputs!$I$8+(((A24)+1)/2)*(Inputs!$J$8-Inputs!$I$8))</f>
        <v/>
      </c>
      <c r="W24" s="9">
        <f>(Inputs!$I$9+(((A24)+1)/2)*(Inputs!$J$9-Inputs!$I$9))</f>
        <v/>
      </c>
      <c r="X24" s="10" t="n"/>
      <c r="Y24" s="9">
        <f>A24</f>
        <v/>
      </c>
      <c r="Z24" s="9">
        <f>(Inputs!$H$6+Inputs!$L$6*(((Inputs!$I$6+(((A24)+1)/2)*(Inputs!$J$6-Inputs!$I$6)))/Inputs!$K$6)^2)</f>
        <v/>
      </c>
      <c r="AA24" s="9">
        <f>(Inputs!$H$7+Inputs!$L$7*(((Inputs!$I$7+(((A24)+1)/2)*(Inputs!$J$7-Inputs!$I$7)))/Inputs!$K$7)^2)</f>
        <v/>
      </c>
      <c r="AB24" s="9">
        <f>(Inputs!$H$8+Inputs!$L$8*(((Inputs!$I$8+(((A24)+1)/2)*(Inputs!$J$8-Inputs!$I$8)))/Inputs!$K$8)^2)</f>
        <v/>
      </c>
      <c r="AC24" s="9">
        <f>(Inputs!$H$9+Inputs!$L$9*(((Inputs!$I$9+(((A24)+1)/2)*(Inputs!$J$9-Inputs!$I$9)))/Inputs!$K$9)^2)</f>
        <v/>
      </c>
      <c r="AD24" s="10" t="n"/>
      <c r="AE24" s="9">
        <f>A24</f>
        <v/>
      </c>
      <c r="AF24" s="9">
        <f>(((SQRT((Inputs!$C$52+((Inputs!$H$6+Inputs!$L$6*(((Inputs!$I$6+(((A24)+1)/2)*(Inputs!$J$6-Inputs!$I$6)))/Inputs!$K$6)^2)))^2+Inputs!$C$52^2-2*(Inputs!$C$52+((Inputs!$H$6+Inputs!$L$6*(((Inputs!$I$6+(((A24)+1)/2)*(Inputs!$J$6-Inputs!$I$6)))/Inputs!$K$6)^2)))*Inputs!$C$52*COS(SQRT(((Inputs!$I$6+(((A24)+1)/2)*(Inputs!$J$6-Inputs!$I$6)))^2+Inputs!$C$6^2)/Inputs!$C$52)))-((Inputs!$H$6+Inputs!$L$6*(((Inputs!$I$6+(((A24)+1)/2)*(Inputs!$J$6-Inputs!$I$6)))/Inputs!$K$6)^2)))*1000/Inputs!$C$12)</f>
        <v/>
      </c>
      <c r="AG24" s="9">
        <f>(((SQRT((Inputs!$C$52+((Inputs!$H$7+Inputs!$L$7*(((Inputs!$I$7+(((A24)+1)/2)*(Inputs!$J$7-Inputs!$I$7)))/Inputs!$K$7)^2)))^2+Inputs!$C$52^2-2*(Inputs!$C$52+((Inputs!$H$7+Inputs!$L$7*(((Inputs!$I$7+(((A24)+1)/2)*(Inputs!$J$7-Inputs!$I$7)))/Inputs!$K$7)^2)))*Inputs!$C$52*COS(SQRT(((Inputs!$I$7+(((A24)+1)/2)*(Inputs!$J$7-Inputs!$I$7)))^2+Inputs!$C$6^2)/Inputs!$C$52)))-((Inputs!$H$7+Inputs!$L$7*(((Inputs!$I$7+(((A24)+1)/2)*(Inputs!$J$7-Inputs!$I$7)))/Inputs!$K$7)^2)))*1000/Inputs!$C$12)</f>
        <v/>
      </c>
      <c r="AH24" s="9">
        <f>(((SQRT((Inputs!$C$52+((Inputs!$H$8+Inputs!$L$8*(((Inputs!$I$8+(((A24)+1)/2)*(Inputs!$J$8-Inputs!$I$8)))/Inputs!$K$8)^2)))^2+Inputs!$C$52^2-2*(Inputs!$C$52+((Inputs!$H$8+Inputs!$L$8*(((Inputs!$I$8+(((A24)+1)/2)*(Inputs!$J$8-Inputs!$I$8)))/Inputs!$K$8)^2)))*Inputs!$C$52*COS(SQRT(((Inputs!$I$8+(((A24)+1)/2)*(Inputs!$J$8-Inputs!$I$8)))^2+Inputs!$C$6^2)/Inputs!$C$52)))-((Inputs!$H$8+Inputs!$L$8*(((Inputs!$I$8+(((A24)+1)/2)*(Inputs!$J$8-Inputs!$I$8)))/Inputs!$K$8)^2)))*1000/Inputs!$C$12)</f>
        <v/>
      </c>
      <c r="AI24" s="9">
        <f>(((SQRT((Inputs!$C$52+((Inputs!$H$9+Inputs!$L$9*(((Inputs!$I$9+(((A24)+1)/2)*(Inputs!$J$9-Inputs!$I$9)))/Inputs!$K$9)^2)))^2+Inputs!$C$52^2-2*(Inputs!$C$52+((Inputs!$H$9+Inputs!$L$9*(((Inputs!$I$9+(((A24)+1)/2)*(Inputs!$J$9-Inputs!$I$9)))/Inputs!$K$9)^2)))*Inputs!$C$52*COS(SQRT(((Inputs!$I$9+(((A24)+1)/2)*(Inputs!$J$9-Inputs!$I$9)))^2+Inputs!$C$6^2)/Inputs!$C$52)))-((Inputs!$H$9+Inputs!$L$9*(((Inputs!$I$9+(((A24)+1)/2)*(Inputs!$J$9-Inputs!$I$9)))/Inputs!$K$9)^2)))*1000/Inputs!$C$12)</f>
        <v/>
      </c>
      <c r="AJ24" s="10" t="n"/>
      <c r="AK24" s="9">
        <f>A24</f>
        <v/>
      </c>
      <c r="AL24" s="9">
        <f>(-2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f>
        <v/>
      </c>
      <c r="AM24" s="9">
        <f>(-2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f>
        <v/>
      </c>
      <c r="AN24" s="9">
        <f>(-2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f>
        <v/>
      </c>
      <c r="AO24" s="9">
        <f>(-2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f>
        <v/>
      </c>
      <c r="AP24" s="10" t="n"/>
      <c r="AQ24" s="9">
        <f>A24</f>
        <v/>
      </c>
      <c r="AR24" s="9">
        <f>0</f>
        <v/>
      </c>
      <c r="AS24" s="9">
        <f>IF(OR(Inputs!$F$6=TRUE,Inputs!$F$6="TRUE",Inputs!$F$6=1),IF(OR(Inputs!$C$27=TRUE,Inputs!$C$27="TRUE",Inputs!$C$27=1),1,0)*(Inputs!$C$51*(115*EXP(-(((Inputs!$C$6)-25)^2)/(4.5^2))+70*EXP(-(((Inputs!$C$6)+38)^2)/(7^2))*(0.55+0.45*SIN(2*PI()*((Inputs!$I$6+(((A24)+1)/2)*(Inputs!$J$6-Inputs!$I$6)))/45))+24*SIN(2*PI()*(Inputs!$C$6)/9+((Inputs!$I$6+(((A24)+1)/2)*(Inputs!$J$6-Inputs!$I$6)))/18)*EXP(-(((Inputs!$C$6)+5)^2)/(22^2))+18*SIN(2*PI()*((Inputs!$I$6+(((A24)+1)/2)*(Inputs!$J$6-Inputs!$I$6)))/70))+Inputs!$C$28*EXP(-((((Inputs!$I$6+(((A24)+1)/2)*(Inputs!$J$6-Inputs!$I$6)))-Inputs!$C$29)^2)/(2*Inputs!$C$31^2))*EXP(-(((Inputs!$C$6)-Inputs!$C$30)^2)/(2*Inputs!$C$32^2))+-Inputs!$C$33*EXP(-((((((Inputs!$I$6+(((A24)+1)/2)*(Inputs!$J$6-Inputs!$I$6)))-Inputs!$C$34)^2)+(((Inputs!$C$6)-Inputs!$C$35)^2))/(2*Inputs!$C$36^2)))+Inputs!$C$37*(0.55*SIN(2*PI()*((Inputs!$I$6+(((A24)+1)/2)*(Inputs!$J$6-Inputs!$I$6)))/Inputs!$C$39)+0.35*COS(2*PI()*(Inputs!$C$6)/Inputs!$C$40)+0.2*SIN(2*PI()*(((Inputs!$I$6+(((A24)+1)/2)*(Inputs!$J$6-Inputs!$I$6)))+(Inputs!$C$6))/(0.5*(Inputs!$C$39+Inputs!$C$40))))+Inputs!$C$38*SIN(2*PI()*((Inputs!$I$6+(((A24)+1)/2)*(Inputs!$J$6-Inputs!$I$6)))/Inputs!$C$39)*SIN(2*PI()*(Inputs!$C$6)/Inputs!$C$40)+-Inputs!$C$41*EXP(-(((Inputs!$C$6)-Inputs!$C$43)^2)/(2*Inputs!$C$44^2))*EXP(-((((Inputs!$I$6+(((A24)+1)/2)*(Inputs!$J$6-Inputs!$I$6)))-Inputs!$C$42)^2)/(2*Inputs!$C$45^2))+Inputs!$C$48*(0.7*(0.45*SIN(2*PI()*((((Inputs!$I$6+(((A24)+1)/2)*(Inputs!$J$6-Inputs!$I$6)))/Inputs!$C$49)+Inputs!$C$47*0.137))+0.35*COS(2*PI()*(((Inputs!$C$6)/Inputs!$C$50)+Inputs!$C$47*0.173))+0.2*SIN(2*PI()*((((Inputs!$I$6+(((A24)+1)/2)*(Inputs!$J$6-Inputs!$I$6)))+(Inputs!$C$6))/(0.5*(Inputs!$C$49+Inputs!$C$50))+Inputs!$C$47*0.097)))+0.3*(2*((SIN((((Inputs!$I$6+(((A24)+1)/2)*(Inputs!$J$6-Inputs!$I$6)))*12.9898+(Inputs!$C$6)*78.233+Inputs!$C$47*37.719))*43758.5453)-INT((SIN((((Inputs!$I$6+(((A24)+1)/2)*(Inputs!$J$6-Inputs!$I$6)))*12.9898+(Inputs!$C$6)*78.233+Inputs!$C$47*37.719))*43758.5453)))-1))),NA())</f>
        <v/>
      </c>
      <c r="AT24" s="9">
        <f>IF(OR(Inputs!$F$7=TRUE,Inputs!$F$7="TRUE",Inputs!$F$7=1),IF(OR(Inputs!$C$27=TRUE,Inputs!$C$27="TRUE",Inputs!$C$27=1),1,0)*(Inputs!$C$51*(115*EXP(-(((Inputs!$C$6)-25)^2)/(4.5^2))+70*EXP(-(((Inputs!$C$6)+38)^2)/(7^2))*(0.55+0.45*SIN(2*PI()*((Inputs!$I$7+(((A24)+1)/2)*(Inputs!$J$7-Inputs!$I$7)))/45))+24*SIN(2*PI()*(Inputs!$C$6)/9+((Inputs!$I$7+(((A24)+1)/2)*(Inputs!$J$7-Inputs!$I$7)))/18)*EXP(-(((Inputs!$C$6)+5)^2)/(22^2))+18*SIN(2*PI()*((Inputs!$I$7+(((A24)+1)/2)*(Inputs!$J$7-Inputs!$I$7)))/70))+Inputs!$C$28*EXP(-((((Inputs!$I$7+(((A24)+1)/2)*(Inputs!$J$7-Inputs!$I$7)))-Inputs!$C$29)^2)/(2*Inputs!$C$31^2))*EXP(-(((Inputs!$C$6)-Inputs!$C$30)^2)/(2*Inputs!$C$32^2))+-Inputs!$C$33*EXP(-((((((Inputs!$I$7+(((A24)+1)/2)*(Inputs!$J$7-Inputs!$I$7)))-Inputs!$C$34)^2)+(((Inputs!$C$6)-Inputs!$C$35)^2))/(2*Inputs!$C$36^2)))+Inputs!$C$37*(0.55*SIN(2*PI()*((Inputs!$I$7+(((A24)+1)/2)*(Inputs!$J$7-Inputs!$I$7)))/Inputs!$C$39)+0.35*COS(2*PI()*(Inputs!$C$6)/Inputs!$C$40)+0.2*SIN(2*PI()*(((Inputs!$I$7+(((A24)+1)/2)*(Inputs!$J$7-Inputs!$I$7)))+(Inputs!$C$6))/(0.5*(Inputs!$C$39+Inputs!$C$40))))+Inputs!$C$38*SIN(2*PI()*((Inputs!$I$7+(((A24)+1)/2)*(Inputs!$J$7-Inputs!$I$7)))/Inputs!$C$39)*SIN(2*PI()*(Inputs!$C$6)/Inputs!$C$40)+-Inputs!$C$41*EXP(-(((Inputs!$C$6)-Inputs!$C$43)^2)/(2*Inputs!$C$44^2))*EXP(-((((Inputs!$I$7+(((A24)+1)/2)*(Inputs!$J$7-Inputs!$I$7)))-Inputs!$C$42)^2)/(2*Inputs!$C$45^2))+Inputs!$C$48*(0.7*(0.45*SIN(2*PI()*((((Inputs!$I$7+(((A24)+1)/2)*(Inputs!$J$7-Inputs!$I$7)))/Inputs!$C$49)+Inputs!$C$47*0.137))+0.35*COS(2*PI()*(((Inputs!$C$6)/Inputs!$C$50)+Inputs!$C$47*0.173))+0.2*SIN(2*PI()*((((Inputs!$I$7+(((A24)+1)/2)*(Inputs!$J$7-Inputs!$I$7)))+(Inputs!$C$6))/(0.5*(Inputs!$C$49+Inputs!$C$50))+Inputs!$C$47*0.097)))+0.3*(2*((SIN((((Inputs!$I$7+(((A24)+1)/2)*(Inputs!$J$7-Inputs!$I$7)))*12.9898+(Inputs!$C$6)*78.233+Inputs!$C$47*37.719))*43758.5453)-INT((SIN((((Inputs!$I$7+(((A24)+1)/2)*(Inputs!$J$7-Inputs!$I$7)))*12.9898+(Inputs!$C$6)*78.233+Inputs!$C$47*37.719))*43758.5453)))-1))),NA())</f>
        <v/>
      </c>
      <c r="AU24" s="9">
        <f>IF(OR(Inputs!$F$8=TRUE,Inputs!$F$8="TRUE",Inputs!$F$8=1),IF(OR(Inputs!$C$27=TRUE,Inputs!$C$27="TRUE",Inputs!$C$27=1),1,0)*(Inputs!$C$51*(115*EXP(-(((Inputs!$C$6)-25)^2)/(4.5^2))+70*EXP(-(((Inputs!$C$6)+38)^2)/(7^2))*(0.55+0.45*SIN(2*PI()*((Inputs!$I$8+(((A24)+1)/2)*(Inputs!$J$8-Inputs!$I$8)))/45))+24*SIN(2*PI()*(Inputs!$C$6)/9+((Inputs!$I$8+(((A24)+1)/2)*(Inputs!$J$8-Inputs!$I$8)))/18)*EXP(-(((Inputs!$C$6)+5)^2)/(22^2))+18*SIN(2*PI()*((Inputs!$I$8+(((A24)+1)/2)*(Inputs!$J$8-Inputs!$I$8)))/70))+Inputs!$C$28*EXP(-((((Inputs!$I$8+(((A24)+1)/2)*(Inputs!$J$8-Inputs!$I$8)))-Inputs!$C$29)^2)/(2*Inputs!$C$31^2))*EXP(-(((Inputs!$C$6)-Inputs!$C$30)^2)/(2*Inputs!$C$32^2))+-Inputs!$C$33*EXP(-((((((Inputs!$I$8+(((A24)+1)/2)*(Inputs!$J$8-Inputs!$I$8)))-Inputs!$C$34)^2)+(((Inputs!$C$6)-Inputs!$C$35)^2))/(2*Inputs!$C$36^2)))+Inputs!$C$37*(0.55*SIN(2*PI()*((Inputs!$I$8+(((A24)+1)/2)*(Inputs!$J$8-Inputs!$I$8)))/Inputs!$C$39)+0.35*COS(2*PI()*(Inputs!$C$6)/Inputs!$C$40)+0.2*SIN(2*PI()*(((Inputs!$I$8+(((A24)+1)/2)*(Inputs!$J$8-Inputs!$I$8)))+(Inputs!$C$6))/(0.5*(Inputs!$C$39+Inputs!$C$40))))+Inputs!$C$38*SIN(2*PI()*((Inputs!$I$8+(((A24)+1)/2)*(Inputs!$J$8-Inputs!$I$8)))/Inputs!$C$39)*SIN(2*PI()*(Inputs!$C$6)/Inputs!$C$40)+-Inputs!$C$41*EXP(-(((Inputs!$C$6)-Inputs!$C$43)^2)/(2*Inputs!$C$44^2))*EXP(-((((Inputs!$I$8+(((A24)+1)/2)*(Inputs!$J$8-Inputs!$I$8)))-Inputs!$C$42)^2)/(2*Inputs!$C$45^2))+Inputs!$C$48*(0.7*(0.45*SIN(2*PI()*((((Inputs!$I$8+(((A24)+1)/2)*(Inputs!$J$8-Inputs!$I$8)))/Inputs!$C$49)+Inputs!$C$47*0.137))+0.35*COS(2*PI()*(((Inputs!$C$6)/Inputs!$C$50)+Inputs!$C$47*0.173))+0.2*SIN(2*PI()*((((Inputs!$I$8+(((A24)+1)/2)*(Inputs!$J$8-Inputs!$I$8)))+(Inputs!$C$6))/(0.5*(Inputs!$C$49+Inputs!$C$50))+Inputs!$C$47*0.097)))+0.3*(2*((SIN((((Inputs!$I$8+(((A24)+1)/2)*(Inputs!$J$8-Inputs!$I$8)))*12.9898+(Inputs!$C$6)*78.233+Inputs!$C$47*37.719))*43758.5453)-INT((SIN((((Inputs!$I$8+(((A24)+1)/2)*(Inputs!$J$8-Inputs!$I$8)))*12.9898+(Inputs!$C$6)*78.233+Inputs!$C$47*37.719))*43758.5453)))-1))),NA())</f>
        <v/>
      </c>
      <c r="AV24" s="9">
        <f>IF(OR(Inputs!$F$9=TRUE,Inputs!$F$9="TRUE",Inputs!$F$9=1),IF(OR(Inputs!$C$27=TRUE,Inputs!$C$27="TRUE",Inputs!$C$27=1),1,0)*(Inputs!$C$51*(115*EXP(-(((Inputs!$C$6)-25)^2)/(4.5^2))+70*EXP(-(((Inputs!$C$6)+38)^2)/(7^2))*(0.55+0.45*SIN(2*PI()*((Inputs!$I$9+(((A24)+1)/2)*(Inputs!$J$9-Inputs!$I$9)))/45))+24*SIN(2*PI()*(Inputs!$C$6)/9+((Inputs!$I$9+(((A24)+1)/2)*(Inputs!$J$9-Inputs!$I$9)))/18)*EXP(-(((Inputs!$C$6)+5)^2)/(22^2))+18*SIN(2*PI()*((Inputs!$I$9+(((A24)+1)/2)*(Inputs!$J$9-Inputs!$I$9)))/70))+Inputs!$C$28*EXP(-((((Inputs!$I$9+(((A24)+1)/2)*(Inputs!$J$9-Inputs!$I$9)))-Inputs!$C$29)^2)/(2*Inputs!$C$31^2))*EXP(-(((Inputs!$C$6)-Inputs!$C$30)^2)/(2*Inputs!$C$32^2))+-Inputs!$C$33*EXP(-((((((Inputs!$I$9+(((A24)+1)/2)*(Inputs!$J$9-Inputs!$I$9)))-Inputs!$C$34)^2)+(((Inputs!$C$6)-Inputs!$C$35)^2))/(2*Inputs!$C$36^2)))+Inputs!$C$37*(0.55*SIN(2*PI()*((Inputs!$I$9+(((A24)+1)/2)*(Inputs!$J$9-Inputs!$I$9)))/Inputs!$C$39)+0.35*COS(2*PI()*(Inputs!$C$6)/Inputs!$C$40)+0.2*SIN(2*PI()*(((Inputs!$I$9+(((A24)+1)/2)*(Inputs!$J$9-Inputs!$I$9)))+(Inputs!$C$6))/(0.5*(Inputs!$C$39+Inputs!$C$40))))+Inputs!$C$38*SIN(2*PI()*((Inputs!$I$9+(((A24)+1)/2)*(Inputs!$J$9-Inputs!$I$9)))/Inputs!$C$39)*SIN(2*PI()*(Inputs!$C$6)/Inputs!$C$40)+-Inputs!$C$41*EXP(-(((Inputs!$C$6)-Inputs!$C$43)^2)/(2*Inputs!$C$44^2))*EXP(-((((Inputs!$I$9+(((A24)+1)/2)*(Inputs!$J$9-Inputs!$I$9)))-Inputs!$C$42)^2)/(2*Inputs!$C$45^2))+Inputs!$C$48*(0.7*(0.45*SIN(2*PI()*((((Inputs!$I$9+(((A24)+1)/2)*(Inputs!$J$9-Inputs!$I$9)))/Inputs!$C$49)+Inputs!$C$47*0.137))+0.35*COS(2*PI()*(((Inputs!$C$6)/Inputs!$C$50)+Inputs!$C$47*0.173))+0.2*SIN(2*PI()*((((Inputs!$I$9+(((A24)+1)/2)*(Inputs!$J$9-Inputs!$I$9)))+(Inputs!$C$6))/(0.5*(Inputs!$C$49+Inputs!$C$50))+Inputs!$C$47*0.097)))+0.3*(2*((SIN((((Inputs!$I$9+(((A24)+1)/2)*(Inputs!$J$9-Inputs!$I$9)))*12.9898+(Inputs!$C$6)*78.233+Inputs!$C$47*37.719))*43758.5453)-INT((SIN((((Inputs!$I$9+(((A24)+1)/2)*(Inputs!$J$9-Inputs!$I$9)))*12.9898+(Inputs!$C$6)*78.233+Inputs!$C$47*37.719))*43758.5453)))-1))),NA())</f>
        <v/>
      </c>
      <c r="AW24" s="10" t="n"/>
      <c r="AX24" s="9">
        <f>A24</f>
        <v/>
      </c>
      <c r="AY24" s="9">
        <f>0</f>
        <v/>
      </c>
      <c r="AZ24" s="9">
        <f>IF(OR(Inputs!$F$6=TRUE,Inputs!$F$6="TRUE",Inputs!$F$6=1),(Inputs!$H$6+Inputs!$L$6*(((Inputs!$I$6+(((A24)+1)/2)*(Inputs!$J$6-Inputs!$I$6)))/Inputs!$K$6)^2),NA())</f>
        <v/>
      </c>
      <c r="BA24" s="9">
        <f>IF(OR(Inputs!$F$7=TRUE,Inputs!$F$7="TRUE",Inputs!$F$7=1),(Inputs!$H$7+Inputs!$L$7*(((Inputs!$I$7+(((A24)+1)/2)*(Inputs!$J$7-Inputs!$I$7)))/Inputs!$K$7)^2),NA())</f>
        <v/>
      </c>
      <c r="BB24" s="9">
        <f>IF(OR(Inputs!$F$8=TRUE,Inputs!$F$8="TRUE",Inputs!$F$8=1),(Inputs!$H$8+Inputs!$L$8*(((Inputs!$I$8+(((A24)+1)/2)*(Inputs!$J$8-Inputs!$I$8)))/Inputs!$K$8)^2),NA())</f>
        <v/>
      </c>
      <c r="BC24" s="9">
        <f>IF(OR(Inputs!$F$9=TRUE,Inputs!$F$9="TRUE",Inputs!$F$9=1),(Inputs!$H$9+Inputs!$L$9*(((Inputs!$I$9+(((A24)+1)/2)*(Inputs!$J$9-Inputs!$I$9)))/Inputs!$K$9)^2),NA())</f>
        <v/>
      </c>
      <c r="BD24" s="10" t="n"/>
      <c r="BE24" s="9">
        <f>A24</f>
        <v/>
      </c>
      <c r="BF24" s="9">
        <f>0</f>
        <v/>
      </c>
      <c r="BG24" s="9">
        <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f>
        <v/>
      </c>
      <c r="BH24" s="9">
        <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f>
        <v/>
      </c>
      <c r="BI24" s="9">
        <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f>
        <v/>
      </c>
      <c r="BJ24" s="9">
        <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f>
        <v/>
      </c>
    </row>
    <row r="25">
      <c r="A25" s="9">
        <f>ROUND(-1+23*2/240,3)</f>
        <v/>
      </c>
      <c r="B25" s="9">
        <f>IF(OR(Inputs!$F$6=TRUE,Inputs!$F$6="TRUE",Inputs!$F$6=1),(Inputs!$H$6+Inputs!$L$6*(((Inputs!$I$6+(((A25)+1)/2)*(Inputs!$J$6-Inputs!$I$6)))/Inputs!$K$6)^2),NA())</f>
        <v/>
      </c>
      <c r="C25" s="9">
        <f>IF(OR(Inputs!$F$7=TRUE,Inputs!$F$7="TRUE",Inputs!$F$7=1),(Inputs!$H$7+Inputs!$L$7*(((Inputs!$I$7+(((A25)+1)/2)*(Inputs!$J$7-Inputs!$I$7)))/Inputs!$K$7)^2),NA())</f>
        <v/>
      </c>
      <c r="D25" s="9">
        <f>IF(OR(Inputs!$F$8=TRUE,Inputs!$F$8="TRUE",Inputs!$F$8=1),(Inputs!$H$8+Inputs!$L$8*(((Inputs!$I$8+(((A25)+1)/2)*(Inputs!$J$8-Inputs!$I$8)))/Inputs!$K$8)^2),NA())</f>
        <v/>
      </c>
      <c r="E25" s="9">
        <f>IF(OR(Inputs!$F$9=TRUE,Inputs!$F$9="TRUE",Inputs!$F$9=1),(Inputs!$H$9+Inputs!$L$9*(((Inputs!$I$9+(((A25)+1)/2)*(Inputs!$J$9-Inputs!$I$9)))/Inputs!$K$9)^2),NA())</f>
        <v/>
      </c>
      <c r="F25" s="10" t="n"/>
      <c r="G25" s="9">
        <f>A25</f>
        <v/>
      </c>
      <c r="H25" s="9">
        <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f>
        <v/>
      </c>
      <c r="I25" s="9">
        <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f>
        <v/>
      </c>
      <c r="J25" s="9">
        <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f>
        <v/>
      </c>
      <c r="K25" s="9">
        <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f>
        <v/>
      </c>
      <c r="L25" s="10" t="n"/>
      <c r="M25" s="9">
        <f>A25</f>
        <v/>
      </c>
      <c r="N25" s="9">
        <f>IF(OR(Inputs!$F$6=TRUE,Inputs!$F$6="TRUE",Inputs!$F$6=1),(-2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NA())</f>
        <v/>
      </c>
      <c r="O25" s="9">
        <f>IF(OR(Inputs!$F$7=TRUE,Inputs!$F$7="TRUE",Inputs!$F$7=1),(-2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NA())</f>
        <v/>
      </c>
      <c r="P25" s="9">
        <f>IF(OR(Inputs!$F$8=TRUE,Inputs!$F$8="TRUE",Inputs!$F$8=1),(-2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NA())</f>
        <v/>
      </c>
      <c r="Q25" s="9">
        <f>IF(OR(Inputs!$F$9=TRUE,Inputs!$F$9="TRUE",Inputs!$F$9=1),(-2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NA())</f>
        <v/>
      </c>
      <c r="R25" s="10" t="n"/>
      <c r="S25" s="9">
        <f>A25</f>
        <v/>
      </c>
      <c r="T25" s="9">
        <f>(Inputs!$I$6+(((A25)+1)/2)*(Inputs!$J$6-Inputs!$I$6))</f>
        <v/>
      </c>
      <c r="U25" s="9">
        <f>(Inputs!$I$7+(((A25)+1)/2)*(Inputs!$J$7-Inputs!$I$7))</f>
        <v/>
      </c>
      <c r="V25" s="9">
        <f>(Inputs!$I$8+(((A25)+1)/2)*(Inputs!$J$8-Inputs!$I$8))</f>
        <v/>
      </c>
      <c r="W25" s="9">
        <f>(Inputs!$I$9+(((A25)+1)/2)*(Inputs!$J$9-Inputs!$I$9))</f>
        <v/>
      </c>
      <c r="X25" s="10" t="n"/>
      <c r="Y25" s="9">
        <f>A25</f>
        <v/>
      </c>
      <c r="Z25" s="9">
        <f>(Inputs!$H$6+Inputs!$L$6*(((Inputs!$I$6+(((A25)+1)/2)*(Inputs!$J$6-Inputs!$I$6)))/Inputs!$K$6)^2)</f>
        <v/>
      </c>
      <c r="AA25" s="9">
        <f>(Inputs!$H$7+Inputs!$L$7*(((Inputs!$I$7+(((A25)+1)/2)*(Inputs!$J$7-Inputs!$I$7)))/Inputs!$K$7)^2)</f>
        <v/>
      </c>
      <c r="AB25" s="9">
        <f>(Inputs!$H$8+Inputs!$L$8*(((Inputs!$I$8+(((A25)+1)/2)*(Inputs!$J$8-Inputs!$I$8)))/Inputs!$K$8)^2)</f>
        <v/>
      </c>
      <c r="AC25" s="9">
        <f>(Inputs!$H$9+Inputs!$L$9*(((Inputs!$I$9+(((A25)+1)/2)*(Inputs!$J$9-Inputs!$I$9)))/Inputs!$K$9)^2)</f>
        <v/>
      </c>
      <c r="AD25" s="10" t="n"/>
      <c r="AE25" s="9">
        <f>A25</f>
        <v/>
      </c>
      <c r="AF25" s="9">
        <f>(((SQRT((Inputs!$C$52+((Inputs!$H$6+Inputs!$L$6*(((Inputs!$I$6+(((A25)+1)/2)*(Inputs!$J$6-Inputs!$I$6)))/Inputs!$K$6)^2)))^2+Inputs!$C$52^2-2*(Inputs!$C$52+((Inputs!$H$6+Inputs!$L$6*(((Inputs!$I$6+(((A25)+1)/2)*(Inputs!$J$6-Inputs!$I$6)))/Inputs!$K$6)^2)))*Inputs!$C$52*COS(SQRT(((Inputs!$I$6+(((A25)+1)/2)*(Inputs!$J$6-Inputs!$I$6)))^2+Inputs!$C$6^2)/Inputs!$C$52)))-((Inputs!$H$6+Inputs!$L$6*(((Inputs!$I$6+(((A25)+1)/2)*(Inputs!$J$6-Inputs!$I$6)))/Inputs!$K$6)^2)))*1000/Inputs!$C$12)</f>
        <v/>
      </c>
      <c r="AG25" s="9">
        <f>(((SQRT((Inputs!$C$52+((Inputs!$H$7+Inputs!$L$7*(((Inputs!$I$7+(((A25)+1)/2)*(Inputs!$J$7-Inputs!$I$7)))/Inputs!$K$7)^2)))^2+Inputs!$C$52^2-2*(Inputs!$C$52+((Inputs!$H$7+Inputs!$L$7*(((Inputs!$I$7+(((A25)+1)/2)*(Inputs!$J$7-Inputs!$I$7)))/Inputs!$K$7)^2)))*Inputs!$C$52*COS(SQRT(((Inputs!$I$7+(((A25)+1)/2)*(Inputs!$J$7-Inputs!$I$7)))^2+Inputs!$C$6^2)/Inputs!$C$52)))-((Inputs!$H$7+Inputs!$L$7*(((Inputs!$I$7+(((A25)+1)/2)*(Inputs!$J$7-Inputs!$I$7)))/Inputs!$K$7)^2)))*1000/Inputs!$C$12)</f>
        <v/>
      </c>
      <c r="AH25" s="9">
        <f>(((SQRT((Inputs!$C$52+((Inputs!$H$8+Inputs!$L$8*(((Inputs!$I$8+(((A25)+1)/2)*(Inputs!$J$8-Inputs!$I$8)))/Inputs!$K$8)^2)))^2+Inputs!$C$52^2-2*(Inputs!$C$52+((Inputs!$H$8+Inputs!$L$8*(((Inputs!$I$8+(((A25)+1)/2)*(Inputs!$J$8-Inputs!$I$8)))/Inputs!$K$8)^2)))*Inputs!$C$52*COS(SQRT(((Inputs!$I$8+(((A25)+1)/2)*(Inputs!$J$8-Inputs!$I$8)))^2+Inputs!$C$6^2)/Inputs!$C$52)))-((Inputs!$H$8+Inputs!$L$8*(((Inputs!$I$8+(((A25)+1)/2)*(Inputs!$J$8-Inputs!$I$8)))/Inputs!$K$8)^2)))*1000/Inputs!$C$12)</f>
        <v/>
      </c>
      <c r="AI25" s="9">
        <f>(((SQRT((Inputs!$C$52+((Inputs!$H$9+Inputs!$L$9*(((Inputs!$I$9+(((A25)+1)/2)*(Inputs!$J$9-Inputs!$I$9)))/Inputs!$K$9)^2)))^2+Inputs!$C$52^2-2*(Inputs!$C$52+((Inputs!$H$9+Inputs!$L$9*(((Inputs!$I$9+(((A25)+1)/2)*(Inputs!$J$9-Inputs!$I$9)))/Inputs!$K$9)^2)))*Inputs!$C$52*COS(SQRT(((Inputs!$I$9+(((A25)+1)/2)*(Inputs!$J$9-Inputs!$I$9)))^2+Inputs!$C$6^2)/Inputs!$C$52)))-((Inputs!$H$9+Inputs!$L$9*(((Inputs!$I$9+(((A25)+1)/2)*(Inputs!$J$9-Inputs!$I$9)))/Inputs!$K$9)^2)))*1000/Inputs!$C$12)</f>
        <v/>
      </c>
      <c r="AJ25" s="10" t="n"/>
      <c r="AK25" s="9">
        <f>A25</f>
        <v/>
      </c>
      <c r="AL25" s="9">
        <f>(-2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f>
        <v/>
      </c>
      <c r="AM25" s="9">
        <f>(-2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f>
        <v/>
      </c>
      <c r="AN25" s="9">
        <f>(-2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f>
        <v/>
      </c>
      <c r="AO25" s="9">
        <f>(-2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f>
        <v/>
      </c>
      <c r="AP25" s="10" t="n"/>
      <c r="AQ25" s="9">
        <f>A25</f>
        <v/>
      </c>
      <c r="AR25" s="9">
        <f>0</f>
        <v/>
      </c>
      <c r="AS25" s="9">
        <f>IF(OR(Inputs!$F$6=TRUE,Inputs!$F$6="TRUE",Inputs!$F$6=1),IF(OR(Inputs!$C$27=TRUE,Inputs!$C$27="TRUE",Inputs!$C$27=1),1,0)*(Inputs!$C$51*(115*EXP(-(((Inputs!$C$6)-25)^2)/(4.5^2))+70*EXP(-(((Inputs!$C$6)+38)^2)/(7^2))*(0.55+0.45*SIN(2*PI()*((Inputs!$I$6+(((A25)+1)/2)*(Inputs!$J$6-Inputs!$I$6)))/45))+24*SIN(2*PI()*(Inputs!$C$6)/9+((Inputs!$I$6+(((A25)+1)/2)*(Inputs!$J$6-Inputs!$I$6)))/18)*EXP(-(((Inputs!$C$6)+5)^2)/(22^2))+18*SIN(2*PI()*((Inputs!$I$6+(((A25)+1)/2)*(Inputs!$J$6-Inputs!$I$6)))/70))+Inputs!$C$28*EXP(-((((Inputs!$I$6+(((A25)+1)/2)*(Inputs!$J$6-Inputs!$I$6)))-Inputs!$C$29)^2)/(2*Inputs!$C$31^2))*EXP(-(((Inputs!$C$6)-Inputs!$C$30)^2)/(2*Inputs!$C$32^2))+-Inputs!$C$33*EXP(-((((((Inputs!$I$6+(((A25)+1)/2)*(Inputs!$J$6-Inputs!$I$6)))-Inputs!$C$34)^2)+(((Inputs!$C$6)-Inputs!$C$35)^2))/(2*Inputs!$C$36^2)))+Inputs!$C$37*(0.55*SIN(2*PI()*((Inputs!$I$6+(((A25)+1)/2)*(Inputs!$J$6-Inputs!$I$6)))/Inputs!$C$39)+0.35*COS(2*PI()*(Inputs!$C$6)/Inputs!$C$40)+0.2*SIN(2*PI()*(((Inputs!$I$6+(((A25)+1)/2)*(Inputs!$J$6-Inputs!$I$6)))+(Inputs!$C$6))/(0.5*(Inputs!$C$39+Inputs!$C$40))))+Inputs!$C$38*SIN(2*PI()*((Inputs!$I$6+(((A25)+1)/2)*(Inputs!$J$6-Inputs!$I$6)))/Inputs!$C$39)*SIN(2*PI()*(Inputs!$C$6)/Inputs!$C$40)+-Inputs!$C$41*EXP(-(((Inputs!$C$6)-Inputs!$C$43)^2)/(2*Inputs!$C$44^2))*EXP(-((((Inputs!$I$6+(((A25)+1)/2)*(Inputs!$J$6-Inputs!$I$6)))-Inputs!$C$42)^2)/(2*Inputs!$C$45^2))+Inputs!$C$48*(0.7*(0.45*SIN(2*PI()*((((Inputs!$I$6+(((A25)+1)/2)*(Inputs!$J$6-Inputs!$I$6)))/Inputs!$C$49)+Inputs!$C$47*0.137))+0.35*COS(2*PI()*(((Inputs!$C$6)/Inputs!$C$50)+Inputs!$C$47*0.173))+0.2*SIN(2*PI()*((((Inputs!$I$6+(((A25)+1)/2)*(Inputs!$J$6-Inputs!$I$6)))+(Inputs!$C$6))/(0.5*(Inputs!$C$49+Inputs!$C$50))+Inputs!$C$47*0.097)))+0.3*(2*((SIN((((Inputs!$I$6+(((A25)+1)/2)*(Inputs!$J$6-Inputs!$I$6)))*12.9898+(Inputs!$C$6)*78.233+Inputs!$C$47*37.719))*43758.5453)-INT((SIN((((Inputs!$I$6+(((A25)+1)/2)*(Inputs!$J$6-Inputs!$I$6)))*12.9898+(Inputs!$C$6)*78.233+Inputs!$C$47*37.719))*43758.5453)))-1))),NA())</f>
        <v/>
      </c>
      <c r="AT25" s="9">
        <f>IF(OR(Inputs!$F$7=TRUE,Inputs!$F$7="TRUE",Inputs!$F$7=1),IF(OR(Inputs!$C$27=TRUE,Inputs!$C$27="TRUE",Inputs!$C$27=1),1,0)*(Inputs!$C$51*(115*EXP(-(((Inputs!$C$6)-25)^2)/(4.5^2))+70*EXP(-(((Inputs!$C$6)+38)^2)/(7^2))*(0.55+0.45*SIN(2*PI()*((Inputs!$I$7+(((A25)+1)/2)*(Inputs!$J$7-Inputs!$I$7)))/45))+24*SIN(2*PI()*(Inputs!$C$6)/9+((Inputs!$I$7+(((A25)+1)/2)*(Inputs!$J$7-Inputs!$I$7)))/18)*EXP(-(((Inputs!$C$6)+5)^2)/(22^2))+18*SIN(2*PI()*((Inputs!$I$7+(((A25)+1)/2)*(Inputs!$J$7-Inputs!$I$7)))/70))+Inputs!$C$28*EXP(-((((Inputs!$I$7+(((A25)+1)/2)*(Inputs!$J$7-Inputs!$I$7)))-Inputs!$C$29)^2)/(2*Inputs!$C$31^2))*EXP(-(((Inputs!$C$6)-Inputs!$C$30)^2)/(2*Inputs!$C$32^2))+-Inputs!$C$33*EXP(-((((((Inputs!$I$7+(((A25)+1)/2)*(Inputs!$J$7-Inputs!$I$7)))-Inputs!$C$34)^2)+(((Inputs!$C$6)-Inputs!$C$35)^2))/(2*Inputs!$C$36^2)))+Inputs!$C$37*(0.55*SIN(2*PI()*((Inputs!$I$7+(((A25)+1)/2)*(Inputs!$J$7-Inputs!$I$7)))/Inputs!$C$39)+0.35*COS(2*PI()*(Inputs!$C$6)/Inputs!$C$40)+0.2*SIN(2*PI()*(((Inputs!$I$7+(((A25)+1)/2)*(Inputs!$J$7-Inputs!$I$7)))+(Inputs!$C$6))/(0.5*(Inputs!$C$39+Inputs!$C$40))))+Inputs!$C$38*SIN(2*PI()*((Inputs!$I$7+(((A25)+1)/2)*(Inputs!$J$7-Inputs!$I$7)))/Inputs!$C$39)*SIN(2*PI()*(Inputs!$C$6)/Inputs!$C$40)+-Inputs!$C$41*EXP(-(((Inputs!$C$6)-Inputs!$C$43)^2)/(2*Inputs!$C$44^2))*EXP(-((((Inputs!$I$7+(((A25)+1)/2)*(Inputs!$J$7-Inputs!$I$7)))-Inputs!$C$42)^2)/(2*Inputs!$C$45^2))+Inputs!$C$48*(0.7*(0.45*SIN(2*PI()*((((Inputs!$I$7+(((A25)+1)/2)*(Inputs!$J$7-Inputs!$I$7)))/Inputs!$C$49)+Inputs!$C$47*0.137))+0.35*COS(2*PI()*(((Inputs!$C$6)/Inputs!$C$50)+Inputs!$C$47*0.173))+0.2*SIN(2*PI()*((((Inputs!$I$7+(((A25)+1)/2)*(Inputs!$J$7-Inputs!$I$7)))+(Inputs!$C$6))/(0.5*(Inputs!$C$49+Inputs!$C$50))+Inputs!$C$47*0.097)))+0.3*(2*((SIN((((Inputs!$I$7+(((A25)+1)/2)*(Inputs!$J$7-Inputs!$I$7)))*12.9898+(Inputs!$C$6)*78.233+Inputs!$C$47*37.719))*43758.5453)-INT((SIN((((Inputs!$I$7+(((A25)+1)/2)*(Inputs!$J$7-Inputs!$I$7)))*12.9898+(Inputs!$C$6)*78.233+Inputs!$C$47*37.719))*43758.5453)))-1))),NA())</f>
        <v/>
      </c>
      <c r="AU25" s="9">
        <f>IF(OR(Inputs!$F$8=TRUE,Inputs!$F$8="TRUE",Inputs!$F$8=1),IF(OR(Inputs!$C$27=TRUE,Inputs!$C$27="TRUE",Inputs!$C$27=1),1,0)*(Inputs!$C$51*(115*EXP(-(((Inputs!$C$6)-25)^2)/(4.5^2))+70*EXP(-(((Inputs!$C$6)+38)^2)/(7^2))*(0.55+0.45*SIN(2*PI()*((Inputs!$I$8+(((A25)+1)/2)*(Inputs!$J$8-Inputs!$I$8)))/45))+24*SIN(2*PI()*(Inputs!$C$6)/9+((Inputs!$I$8+(((A25)+1)/2)*(Inputs!$J$8-Inputs!$I$8)))/18)*EXP(-(((Inputs!$C$6)+5)^2)/(22^2))+18*SIN(2*PI()*((Inputs!$I$8+(((A25)+1)/2)*(Inputs!$J$8-Inputs!$I$8)))/70))+Inputs!$C$28*EXP(-((((Inputs!$I$8+(((A25)+1)/2)*(Inputs!$J$8-Inputs!$I$8)))-Inputs!$C$29)^2)/(2*Inputs!$C$31^2))*EXP(-(((Inputs!$C$6)-Inputs!$C$30)^2)/(2*Inputs!$C$32^2))+-Inputs!$C$33*EXP(-((((((Inputs!$I$8+(((A25)+1)/2)*(Inputs!$J$8-Inputs!$I$8)))-Inputs!$C$34)^2)+(((Inputs!$C$6)-Inputs!$C$35)^2))/(2*Inputs!$C$36^2)))+Inputs!$C$37*(0.55*SIN(2*PI()*((Inputs!$I$8+(((A25)+1)/2)*(Inputs!$J$8-Inputs!$I$8)))/Inputs!$C$39)+0.35*COS(2*PI()*(Inputs!$C$6)/Inputs!$C$40)+0.2*SIN(2*PI()*(((Inputs!$I$8+(((A25)+1)/2)*(Inputs!$J$8-Inputs!$I$8)))+(Inputs!$C$6))/(0.5*(Inputs!$C$39+Inputs!$C$40))))+Inputs!$C$38*SIN(2*PI()*((Inputs!$I$8+(((A25)+1)/2)*(Inputs!$J$8-Inputs!$I$8)))/Inputs!$C$39)*SIN(2*PI()*(Inputs!$C$6)/Inputs!$C$40)+-Inputs!$C$41*EXP(-(((Inputs!$C$6)-Inputs!$C$43)^2)/(2*Inputs!$C$44^2))*EXP(-((((Inputs!$I$8+(((A25)+1)/2)*(Inputs!$J$8-Inputs!$I$8)))-Inputs!$C$42)^2)/(2*Inputs!$C$45^2))+Inputs!$C$48*(0.7*(0.45*SIN(2*PI()*((((Inputs!$I$8+(((A25)+1)/2)*(Inputs!$J$8-Inputs!$I$8)))/Inputs!$C$49)+Inputs!$C$47*0.137))+0.35*COS(2*PI()*(((Inputs!$C$6)/Inputs!$C$50)+Inputs!$C$47*0.173))+0.2*SIN(2*PI()*((((Inputs!$I$8+(((A25)+1)/2)*(Inputs!$J$8-Inputs!$I$8)))+(Inputs!$C$6))/(0.5*(Inputs!$C$49+Inputs!$C$50))+Inputs!$C$47*0.097)))+0.3*(2*((SIN((((Inputs!$I$8+(((A25)+1)/2)*(Inputs!$J$8-Inputs!$I$8)))*12.9898+(Inputs!$C$6)*78.233+Inputs!$C$47*37.719))*43758.5453)-INT((SIN((((Inputs!$I$8+(((A25)+1)/2)*(Inputs!$J$8-Inputs!$I$8)))*12.9898+(Inputs!$C$6)*78.233+Inputs!$C$47*37.719))*43758.5453)))-1))),NA())</f>
        <v/>
      </c>
      <c r="AV25" s="9">
        <f>IF(OR(Inputs!$F$9=TRUE,Inputs!$F$9="TRUE",Inputs!$F$9=1),IF(OR(Inputs!$C$27=TRUE,Inputs!$C$27="TRUE",Inputs!$C$27=1),1,0)*(Inputs!$C$51*(115*EXP(-(((Inputs!$C$6)-25)^2)/(4.5^2))+70*EXP(-(((Inputs!$C$6)+38)^2)/(7^2))*(0.55+0.45*SIN(2*PI()*((Inputs!$I$9+(((A25)+1)/2)*(Inputs!$J$9-Inputs!$I$9)))/45))+24*SIN(2*PI()*(Inputs!$C$6)/9+((Inputs!$I$9+(((A25)+1)/2)*(Inputs!$J$9-Inputs!$I$9)))/18)*EXP(-(((Inputs!$C$6)+5)^2)/(22^2))+18*SIN(2*PI()*((Inputs!$I$9+(((A25)+1)/2)*(Inputs!$J$9-Inputs!$I$9)))/70))+Inputs!$C$28*EXP(-((((Inputs!$I$9+(((A25)+1)/2)*(Inputs!$J$9-Inputs!$I$9)))-Inputs!$C$29)^2)/(2*Inputs!$C$31^2))*EXP(-(((Inputs!$C$6)-Inputs!$C$30)^2)/(2*Inputs!$C$32^2))+-Inputs!$C$33*EXP(-((((((Inputs!$I$9+(((A25)+1)/2)*(Inputs!$J$9-Inputs!$I$9)))-Inputs!$C$34)^2)+(((Inputs!$C$6)-Inputs!$C$35)^2))/(2*Inputs!$C$36^2)))+Inputs!$C$37*(0.55*SIN(2*PI()*((Inputs!$I$9+(((A25)+1)/2)*(Inputs!$J$9-Inputs!$I$9)))/Inputs!$C$39)+0.35*COS(2*PI()*(Inputs!$C$6)/Inputs!$C$40)+0.2*SIN(2*PI()*(((Inputs!$I$9+(((A25)+1)/2)*(Inputs!$J$9-Inputs!$I$9)))+(Inputs!$C$6))/(0.5*(Inputs!$C$39+Inputs!$C$40))))+Inputs!$C$38*SIN(2*PI()*((Inputs!$I$9+(((A25)+1)/2)*(Inputs!$J$9-Inputs!$I$9)))/Inputs!$C$39)*SIN(2*PI()*(Inputs!$C$6)/Inputs!$C$40)+-Inputs!$C$41*EXP(-(((Inputs!$C$6)-Inputs!$C$43)^2)/(2*Inputs!$C$44^2))*EXP(-((((Inputs!$I$9+(((A25)+1)/2)*(Inputs!$J$9-Inputs!$I$9)))-Inputs!$C$42)^2)/(2*Inputs!$C$45^2))+Inputs!$C$48*(0.7*(0.45*SIN(2*PI()*((((Inputs!$I$9+(((A25)+1)/2)*(Inputs!$J$9-Inputs!$I$9)))/Inputs!$C$49)+Inputs!$C$47*0.137))+0.35*COS(2*PI()*(((Inputs!$C$6)/Inputs!$C$50)+Inputs!$C$47*0.173))+0.2*SIN(2*PI()*((((Inputs!$I$9+(((A25)+1)/2)*(Inputs!$J$9-Inputs!$I$9)))+(Inputs!$C$6))/(0.5*(Inputs!$C$49+Inputs!$C$50))+Inputs!$C$47*0.097)))+0.3*(2*((SIN((((Inputs!$I$9+(((A25)+1)/2)*(Inputs!$J$9-Inputs!$I$9)))*12.9898+(Inputs!$C$6)*78.233+Inputs!$C$47*37.719))*43758.5453)-INT((SIN((((Inputs!$I$9+(((A25)+1)/2)*(Inputs!$J$9-Inputs!$I$9)))*12.9898+(Inputs!$C$6)*78.233+Inputs!$C$47*37.719))*43758.5453)))-1))),NA())</f>
        <v/>
      </c>
      <c r="AW25" s="10" t="n"/>
      <c r="AX25" s="9">
        <f>A25</f>
        <v/>
      </c>
      <c r="AY25" s="9">
        <f>0</f>
        <v/>
      </c>
      <c r="AZ25" s="9">
        <f>IF(OR(Inputs!$F$6=TRUE,Inputs!$F$6="TRUE",Inputs!$F$6=1),(Inputs!$H$6+Inputs!$L$6*(((Inputs!$I$6+(((A25)+1)/2)*(Inputs!$J$6-Inputs!$I$6)))/Inputs!$K$6)^2),NA())</f>
        <v/>
      </c>
      <c r="BA25" s="9">
        <f>IF(OR(Inputs!$F$7=TRUE,Inputs!$F$7="TRUE",Inputs!$F$7=1),(Inputs!$H$7+Inputs!$L$7*(((Inputs!$I$7+(((A25)+1)/2)*(Inputs!$J$7-Inputs!$I$7)))/Inputs!$K$7)^2),NA())</f>
        <v/>
      </c>
      <c r="BB25" s="9">
        <f>IF(OR(Inputs!$F$8=TRUE,Inputs!$F$8="TRUE",Inputs!$F$8=1),(Inputs!$H$8+Inputs!$L$8*(((Inputs!$I$8+(((A25)+1)/2)*(Inputs!$J$8-Inputs!$I$8)))/Inputs!$K$8)^2),NA())</f>
        <v/>
      </c>
      <c r="BC25" s="9">
        <f>IF(OR(Inputs!$F$9=TRUE,Inputs!$F$9="TRUE",Inputs!$F$9=1),(Inputs!$H$9+Inputs!$L$9*(((Inputs!$I$9+(((A25)+1)/2)*(Inputs!$J$9-Inputs!$I$9)))/Inputs!$K$9)^2),NA())</f>
        <v/>
      </c>
      <c r="BD25" s="10" t="n"/>
      <c r="BE25" s="9">
        <f>A25</f>
        <v/>
      </c>
      <c r="BF25" s="9">
        <f>0</f>
        <v/>
      </c>
      <c r="BG25" s="9">
        <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f>
        <v/>
      </c>
      <c r="BH25" s="9">
        <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f>
        <v/>
      </c>
      <c r="BI25" s="9">
        <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f>
        <v/>
      </c>
      <c r="BJ25" s="9">
        <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f>
        <v/>
      </c>
    </row>
    <row r="26">
      <c r="A26" s="9">
        <f>ROUND(-1+24*2/240,3)</f>
        <v/>
      </c>
      <c r="B26" s="9">
        <f>IF(OR(Inputs!$F$6=TRUE,Inputs!$F$6="TRUE",Inputs!$F$6=1),(Inputs!$H$6+Inputs!$L$6*(((Inputs!$I$6+(((A26)+1)/2)*(Inputs!$J$6-Inputs!$I$6)))/Inputs!$K$6)^2),NA())</f>
        <v/>
      </c>
      <c r="C26" s="9">
        <f>IF(OR(Inputs!$F$7=TRUE,Inputs!$F$7="TRUE",Inputs!$F$7=1),(Inputs!$H$7+Inputs!$L$7*(((Inputs!$I$7+(((A26)+1)/2)*(Inputs!$J$7-Inputs!$I$7)))/Inputs!$K$7)^2),NA())</f>
        <v/>
      </c>
      <c r="D26" s="9">
        <f>IF(OR(Inputs!$F$8=TRUE,Inputs!$F$8="TRUE",Inputs!$F$8=1),(Inputs!$H$8+Inputs!$L$8*(((Inputs!$I$8+(((A26)+1)/2)*(Inputs!$J$8-Inputs!$I$8)))/Inputs!$K$8)^2),NA())</f>
        <v/>
      </c>
      <c r="E26" s="9">
        <f>IF(OR(Inputs!$F$9=TRUE,Inputs!$F$9="TRUE",Inputs!$F$9=1),(Inputs!$H$9+Inputs!$L$9*(((Inputs!$I$9+(((A26)+1)/2)*(Inputs!$J$9-Inputs!$I$9)))/Inputs!$K$9)^2),NA())</f>
        <v/>
      </c>
      <c r="F26" s="10" t="n"/>
      <c r="G26" s="9">
        <f>A26</f>
        <v/>
      </c>
      <c r="H26" s="9">
        <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f>
        <v/>
      </c>
      <c r="I26" s="9">
        <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f>
        <v/>
      </c>
      <c r="J26" s="9">
        <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f>
        <v/>
      </c>
      <c r="K26" s="9">
        <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f>
        <v/>
      </c>
      <c r="L26" s="10" t="n"/>
      <c r="M26" s="9">
        <f>A26</f>
        <v/>
      </c>
      <c r="N26" s="9">
        <f>IF(OR(Inputs!$F$6=TRUE,Inputs!$F$6="TRUE",Inputs!$F$6=1),(-2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NA())</f>
        <v/>
      </c>
      <c r="O26" s="9">
        <f>IF(OR(Inputs!$F$7=TRUE,Inputs!$F$7="TRUE",Inputs!$F$7=1),(-2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NA())</f>
        <v/>
      </c>
      <c r="P26" s="9">
        <f>IF(OR(Inputs!$F$8=TRUE,Inputs!$F$8="TRUE",Inputs!$F$8=1),(-2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NA())</f>
        <v/>
      </c>
      <c r="Q26" s="9">
        <f>IF(OR(Inputs!$F$9=TRUE,Inputs!$F$9="TRUE",Inputs!$F$9=1),(-2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NA())</f>
        <v/>
      </c>
      <c r="R26" s="10" t="n"/>
      <c r="S26" s="9">
        <f>A26</f>
        <v/>
      </c>
      <c r="T26" s="9">
        <f>(Inputs!$I$6+(((A26)+1)/2)*(Inputs!$J$6-Inputs!$I$6))</f>
        <v/>
      </c>
      <c r="U26" s="9">
        <f>(Inputs!$I$7+(((A26)+1)/2)*(Inputs!$J$7-Inputs!$I$7))</f>
        <v/>
      </c>
      <c r="V26" s="9">
        <f>(Inputs!$I$8+(((A26)+1)/2)*(Inputs!$J$8-Inputs!$I$8))</f>
        <v/>
      </c>
      <c r="W26" s="9">
        <f>(Inputs!$I$9+(((A26)+1)/2)*(Inputs!$J$9-Inputs!$I$9))</f>
        <v/>
      </c>
      <c r="X26" s="10" t="n"/>
      <c r="Y26" s="9">
        <f>A26</f>
        <v/>
      </c>
      <c r="Z26" s="9">
        <f>(Inputs!$H$6+Inputs!$L$6*(((Inputs!$I$6+(((A26)+1)/2)*(Inputs!$J$6-Inputs!$I$6)))/Inputs!$K$6)^2)</f>
        <v/>
      </c>
      <c r="AA26" s="9">
        <f>(Inputs!$H$7+Inputs!$L$7*(((Inputs!$I$7+(((A26)+1)/2)*(Inputs!$J$7-Inputs!$I$7)))/Inputs!$K$7)^2)</f>
        <v/>
      </c>
      <c r="AB26" s="9">
        <f>(Inputs!$H$8+Inputs!$L$8*(((Inputs!$I$8+(((A26)+1)/2)*(Inputs!$J$8-Inputs!$I$8)))/Inputs!$K$8)^2)</f>
        <v/>
      </c>
      <c r="AC26" s="9">
        <f>(Inputs!$H$9+Inputs!$L$9*(((Inputs!$I$9+(((A26)+1)/2)*(Inputs!$J$9-Inputs!$I$9)))/Inputs!$K$9)^2)</f>
        <v/>
      </c>
      <c r="AD26" s="10" t="n"/>
      <c r="AE26" s="9">
        <f>A26</f>
        <v/>
      </c>
      <c r="AF26" s="9">
        <f>(((SQRT((Inputs!$C$52+((Inputs!$H$6+Inputs!$L$6*(((Inputs!$I$6+(((A26)+1)/2)*(Inputs!$J$6-Inputs!$I$6)))/Inputs!$K$6)^2)))^2+Inputs!$C$52^2-2*(Inputs!$C$52+((Inputs!$H$6+Inputs!$L$6*(((Inputs!$I$6+(((A26)+1)/2)*(Inputs!$J$6-Inputs!$I$6)))/Inputs!$K$6)^2)))*Inputs!$C$52*COS(SQRT(((Inputs!$I$6+(((A26)+1)/2)*(Inputs!$J$6-Inputs!$I$6)))^2+Inputs!$C$6^2)/Inputs!$C$52)))-((Inputs!$H$6+Inputs!$L$6*(((Inputs!$I$6+(((A26)+1)/2)*(Inputs!$J$6-Inputs!$I$6)))/Inputs!$K$6)^2)))*1000/Inputs!$C$12)</f>
        <v/>
      </c>
      <c r="AG26" s="9">
        <f>(((SQRT((Inputs!$C$52+((Inputs!$H$7+Inputs!$L$7*(((Inputs!$I$7+(((A26)+1)/2)*(Inputs!$J$7-Inputs!$I$7)))/Inputs!$K$7)^2)))^2+Inputs!$C$52^2-2*(Inputs!$C$52+((Inputs!$H$7+Inputs!$L$7*(((Inputs!$I$7+(((A26)+1)/2)*(Inputs!$J$7-Inputs!$I$7)))/Inputs!$K$7)^2)))*Inputs!$C$52*COS(SQRT(((Inputs!$I$7+(((A26)+1)/2)*(Inputs!$J$7-Inputs!$I$7)))^2+Inputs!$C$6^2)/Inputs!$C$52)))-((Inputs!$H$7+Inputs!$L$7*(((Inputs!$I$7+(((A26)+1)/2)*(Inputs!$J$7-Inputs!$I$7)))/Inputs!$K$7)^2)))*1000/Inputs!$C$12)</f>
        <v/>
      </c>
      <c r="AH26" s="9">
        <f>(((SQRT((Inputs!$C$52+((Inputs!$H$8+Inputs!$L$8*(((Inputs!$I$8+(((A26)+1)/2)*(Inputs!$J$8-Inputs!$I$8)))/Inputs!$K$8)^2)))^2+Inputs!$C$52^2-2*(Inputs!$C$52+((Inputs!$H$8+Inputs!$L$8*(((Inputs!$I$8+(((A26)+1)/2)*(Inputs!$J$8-Inputs!$I$8)))/Inputs!$K$8)^2)))*Inputs!$C$52*COS(SQRT(((Inputs!$I$8+(((A26)+1)/2)*(Inputs!$J$8-Inputs!$I$8)))^2+Inputs!$C$6^2)/Inputs!$C$52)))-((Inputs!$H$8+Inputs!$L$8*(((Inputs!$I$8+(((A26)+1)/2)*(Inputs!$J$8-Inputs!$I$8)))/Inputs!$K$8)^2)))*1000/Inputs!$C$12)</f>
        <v/>
      </c>
      <c r="AI26" s="9">
        <f>(((SQRT((Inputs!$C$52+((Inputs!$H$9+Inputs!$L$9*(((Inputs!$I$9+(((A26)+1)/2)*(Inputs!$J$9-Inputs!$I$9)))/Inputs!$K$9)^2)))^2+Inputs!$C$52^2-2*(Inputs!$C$52+((Inputs!$H$9+Inputs!$L$9*(((Inputs!$I$9+(((A26)+1)/2)*(Inputs!$J$9-Inputs!$I$9)))/Inputs!$K$9)^2)))*Inputs!$C$52*COS(SQRT(((Inputs!$I$9+(((A26)+1)/2)*(Inputs!$J$9-Inputs!$I$9)))^2+Inputs!$C$6^2)/Inputs!$C$52)))-((Inputs!$H$9+Inputs!$L$9*(((Inputs!$I$9+(((A26)+1)/2)*(Inputs!$J$9-Inputs!$I$9)))/Inputs!$K$9)^2)))*1000/Inputs!$C$12)</f>
        <v/>
      </c>
      <c r="AJ26" s="10" t="n"/>
      <c r="AK26" s="9">
        <f>A26</f>
        <v/>
      </c>
      <c r="AL26" s="9">
        <f>(-2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f>
        <v/>
      </c>
      <c r="AM26" s="9">
        <f>(-2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f>
        <v/>
      </c>
      <c r="AN26" s="9">
        <f>(-2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f>
        <v/>
      </c>
      <c r="AO26" s="9">
        <f>(-2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f>
        <v/>
      </c>
      <c r="AP26" s="10" t="n"/>
      <c r="AQ26" s="9">
        <f>A26</f>
        <v/>
      </c>
      <c r="AR26" s="9">
        <f>0</f>
        <v/>
      </c>
      <c r="AS26" s="9">
        <f>IF(OR(Inputs!$F$6=TRUE,Inputs!$F$6="TRUE",Inputs!$F$6=1),IF(OR(Inputs!$C$27=TRUE,Inputs!$C$27="TRUE",Inputs!$C$27=1),1,0)*(Inputs!$C$51*(115*EXP(-(((Inputs!$C$6)-25)^2)/(4.5^2))+70*EXP(-(((Inputs!$C$6)+38)^2)/(7^2))*(0.55+0.45*SIN(2*PI()*((Inputs!$I$6+(((A26)+1)/2)*(Inputs!$J$6-Inputs!$I$6)))/45))+24*SIN(2*PI()*(Inputs!$C$6)/9+((Inputs!$I$6+(((A26)+1)/2)*(Inputs!$J$6-Inputs!$I$6)))/18)*EXP(-(((Inputs!$C$6)+5)^2)/(22^2))+18*SIN(2*PI()*((Inputs!$I$6+(((A26)+1)/2)*(Inputs!$J$6-Inputs!$I$6)))/70))+Inputs!$C$28*EXP(-((((Inputs!$I$6+(((A26)+1)/2)*(Inputs!$J$6-Inputs!$I$6)))-Inputs!$C$29)^2)/(2*Inputs!$C$31^2))*EXP(-(((Inputs!$C$6)-Inputs!$C$30)^2)/(2*Inputs!$C$32^2))+-Inputs!$C$33*EXP(-((((((Inputs!$I$6+(((A26)+1)/2)*(Inputs!$J$6-Inputs!$I$6)))-Inputs!$C$34)^2)+(((Inputs!$C$6)-Inputs!$C$35)^2))/(2*Inputs!$C$36^2)))+Inputs!$C$37*(0.55*SIN(2*PI()*((Inputs!$I$6+(((A26)+1)/2)*(Inputs!$J$6-Inputs!$I$6)))/Inputs!$C$39)+0.35*COS(2*PI()*(Inputs!$C$6)/Inputs!$C$40)+0.2*SIN(2*PI()*(((Inputs!$I$6+(((A26)+1)/2)*(Inputs!$J$6-Inputs!$I$6)))+(Inputs!$C$6))/(0.5*(Inputs!$C$39+Inputs!$C$40))))+Inputs!$C$38*SIN(2*PI()*((Inputs!$I$6+(((A26)+1)/2)*(Inputs!$J$6-Inputs!$I$6)))/Inputs!$C$39)*SIN(2*PI()*(Inputs!$C$6)/Inputs!$C$40)+-Inputs!$C$41*EXP(-(((Inputs!$C$6)-Inputs!$C$43)^2)/(2*Inputs!$C$44^2))*EXP(-((((Inputs!$I$6+(((A26)+1)/2)*(Inputs!$J$6-Inputs!$I$6)))-Inputs!$C$42)^2)/(2*Inputs!$C$45^2))+Inputs!$C$48*(0.7*(0.45*SIN(2*PI()*((((Inputs!$I$6+(((A26)+1)/2)*(Inputs!$J$6-Inputs!$I$6)))/Inputs!$C$49)+Inputs!$C$47*0.137))+0.35*COS(2*PI()*(((Inputs!$C$6)/Inputs!$C$50)+Inputs!$C$47*0.173))+0.2*SIN(2*PI()*((((Inputs!$I$6+(((A26)+1)/2)*(Inputs!$J$6-Inputs!$I$6)))+(Inputs!$C$6))/(0.5*(Inputs!$C$49+Inputs!$C$50))+Inputs!$C$47*0.097)))+0.3*(2*((SIN((((Inputs!$I$6+(((A26)+1)/2)*(Inputs!$J$6-Inputs!$I$6)))*12.9898+(Inputs!$C$6)*78.233+Inputs!$C$47*37.719))*43758.5453)-INT((SIN((((Inputs!$I$6+(((A26)+1)/2)*(Inputs!$J$6-Inputs!$I$6)))*12.9898+(Inputs!$C$6)*78.233+Inputs!$C$47*37.719))*43758.5453)))-1))),NA())</f>
        <v/>
      </c>
      <c r="AT26" s="9">
        <f>IF(OR(Inputs!$F$7=TRUE,Inputs!$F$7="TRUE",Inputs!$F$7=1),IF(OR(Inputs!$C$27=TRUE,Inputs!$C$27="TRUE",Inputs!$C$27=1),1,0)*(Inputs!$C$51*(115*EXP(-(((Inputs!$C$6)-25)^2)/(4.5^2))+70*EXP(-(((Inputs!$C$6)+38)^2)/(7^2))*(0.55+0.45*SIN(2*PI()*((Inputs!$I$7+(((A26)+1)/2)*(Inputs!$J$7-Inputs!$I$7)))/45))+24*SIN(2*PI()*(Inputs!$C$6)/9+((Inputs!$I$7+(((A26)+1)/2)*(Inputs!$J$7-Inputs!$I$7)))/18)*EXP(-(((Inputs!$C$6)+5)^2)/(22^2))+18*SIN(2*PI()*((Inputs!$I$7+(((A26)+1)/2)*(Inputs!$J$7-Inputs!$I$7)))/70))+Inputs!$C$28*EXP(-((((Inputs!$I$7+(((A26)+1)/2)*(Inputs!$J$7-Inputs!$I$7)))-Inputs!$C$29)^2)/(2*Inputs!$C$31^2))*EXP(-(((Inputs!$C$6)-Inputs!$C$30)^2)/(2*Inputs!$C$32^2))+-Inputs!$C$33*EXP(-((((((Inputs!$I$7+(((A26)+1)/2)*(Inputs!$J$7-Inputs!$I$7)))-Inputs!$C$34)^2)+(((Inputs!$C$6)-Inputs!$C$35)^2))/(2*Inputs!$C$36^2)))+Inputs!$C$37*(0.55*SIN(2*PI()*((Inputs!$I$7+(((A26)+1)/2)*(Inputs!$J$7-Inputs!$I$7)))/Inputs!$C$39)+0.35*COS(2*PI()*(Inputs!$C$6)/Inputs!$C$40)+0.2*SIN(2*PI()*(((Inputs!$I$7+(((A26)+1)/2)*(Inputs!$J$7-Inputs!$I$7)))+(Inputs!$C$6))/(0.5*(Inputs!$C$39+Inputs!$C$40))))+Inputs!$C$38*SIN(2*PI()*((Inputs!$I$7+(((A26)+1)/2)*(Inputs!$J$7-Inputs!$I$7)))/Inputs!$C$39)*SIN(2*PI()*(Inputs!$C$6)/Inputs!$C$40)+-Inputs!$C$41*EXP(-(((Inputs!$C$6)-Inputs!$C$43)^2)/(2*Inputs!$C$44^2))*EXP(-((((Inputs!$I$7+(((A26)+1)/2)*(Inputs!$J$7-Inputs!$I$7)))-Inputs!$C$42)^2)/(2*Inputs!$C$45^2))+Inputs!$C$48*(0.7*(0.45*SIN(2*PI()*((((Inputs!$I$7+(((A26)+1)/2)*(Inputs!$J$7-Inputs!$I$7)))/Inputs!$C$49)+Inputs!$C$47*0.137))+0.35*COS(2*PI()*(((Inputs!$C$6)/Inputs!$C$50)+Inputs!$C$47*0.173))+0.2*SIN(2*PI()*((((Inputs!$I$7+(((A26)+1)/2)*(Inputs!$J$7-Inputs!$I$7)))+(Inputs!$C$6))/(0.5*(Inputs!$C$49+Inputs!$C$50))+Inputs!$C$47*0.097)))+0.3*(2*((SIN((((Inputs!$I$7+(((A26)+1)/2)*(Inputs!$J$7-Inputs!$I$7)))*12.9898+(Inputs!$C$6)*78.233+Inputs!$C$47*37.719))*43758.5453)-INT((SIN((((Inputs!$I$7+(((A26)+1)/2)*(Inputs!$J$7-Inputs!$I$7)))*12.9898+(Inputs!$C$6)*78.233+Inputs!$C$47*37.719))*43758.5453)))-1))),NA())</f>
        <v/>
      </c>
      <c r="AU26" s="9">
        <f>IF(OR(Inputs!$F$8=TRUE,Inputs!$F$8="TRUE",Inputs!$F$8=1),IF(OR(Inputs!$C$27=TRUE,Inputs!$C$27="TRUE",Inputs!$C$27=1),1,0)*(Inputs!$C$51*(115*EXP(-(((Inputs!$C$6)-25)^2)/(4.5^2))+70*EXP(-(((Inputs!$C$6)+38)^2)/(7^2))*(0.55+0.45*SIN(2*PI()*((Inputs!$I$8+(((A26)+1)/2)*(Inputs!$J$8-Inputs!$I$8)))/45))+24*SIN(2*PI()*(Inputs!$C$6)/9+((Inputs!$I$8+(((A26)+1)/2)*(Inputs!$J$8-Inputs!$I$8)))/18)*EXP(-(((Inputs!$C$6)+5)^2)/(22^2))+18*SIN(2*PI()*((Inputs!$I$8+(((A26)+1)/2)*(Inputs!$J$8-Inputs!$I$8)))/70))+Inputs!$C$28*EXP(-((((Inputs!$I$8+(((A26)+1)/2)*(Inputs!$J$8-Inputs!$I$8)))-Inputs!$C$29)^2)/(2*Inputs!$C$31^2))*EXP(-(((Inputs!$C$6)-Inputs!$C$30)^2)/(2*Inputs!$C$32^2))+-Inputs!$C$33*EXP(-((((((Inputs!$I$8+(((A26)+1)/2)*(Inputs!$J$8-Inputs!$I$8)))-Inputs!$C$34)^2)+(((Inputs!$C$6)-Inputs!$C$35)^2))/(2*Inputs!$C$36^2)))+Inputs!$C$37*(0.55*SIN(2*PI()*((Inputs!$I$8+(((A26)+1)/2)*(Inputs!$J$8-Inputs!$I$8)))/Inputs!$C$39)+0.35*COS(2*PI()*(Inputs!$C$6)/Inputs!$C$40)+0.2*SIN(2*PI()*(((Inputs!$I$8+(((A26)+1)/2)*(Inputs!$J$8-Inputs!$I$8)))+(Inputs!$C$6))/(0.5*(Inputs!$C$39+Inputs!$C$40))))+Inputs!$C$38*SIN(2*PI()*((Inputs!$I$8+(((A26)+1)/2)*(Inputs!$J$8-Inputs!$I$8)))/Inputs!$C$39)*SIN(2*PI()*(Inputs!$C$6)/Inputs!$C$40)+-Inputs!$C$41*EXP(-(((Inputs!$C$6)-Inputs!$C$43)^2)/(2*Inputs!$C$44^2))*EXP(-((((Inputs!$I$8+(((A26)+1)/2)*(Inputs!$J$8-Inputs!$I$8)))-Inputs!$C$42)^2)/(2*Inputs!$C$45^2))+Inputs!$C$48*(0.7*(0.45*SIN(2*PI()*((((Inputs!$I$8+(((A26)+1)/2)*(Inputs!$J$8-Inputs!$I$8)))/Inputs!$C$49)+Inputs!$C$47*0.137))+0.35*COS(2*PI()*(((Inputs!$C$6)/Inputs!$C$50)+Inputs!$C$47*0.173))+0.2*SIN(2*PI()*((((Inputs!$I$8+(((A26)+1)/2)*(Inputs!$J$8-Inputs!$I$8)))+(Inputs!$C$6))/(0.5*(Inputs!$C$49+Inputs!$C$50))+Inputs!$C$47*0.097)))+0.3*(2*((SIN((((Inputs!$I$8+(((A26)+1)/2)*(Inputs!$J$8-Inputs!$I$8)))*12.9898+(Inputs!$C$6)*78.233+Inputs!$C$47*37.719))*43758.5453)-INT((SIN((((Inputs!$I$8+(((A26)+1)/2)*(Inputs!$J$8-Inputs!$I$8)))*12.9898+(Inputs!$C$6)*78.233+Inputs!$C$47*37.719))*43758.5453)))-1))),NA())</f>
        <v/>
      </c>
      <c r="AV26" s="9">
        <f>IF(OR(Inputs!$F$9=TRUE,Inputs!$F$9="TRUE",Inputs!$F$9=1),IF(OR(Inputs!$C$27=TRUE,Inputs!$C$27="TRUE",Inputs!$C$27=1),1,0)*(Inputs!$C$51*(115*EXP(-(((Inputs!$C$6)-25)^2)/(4.5^2))+70*EXP(-(((Inputs!$C$6)+38)^2)/(7^2))*(0.55+0.45*SIN(2*PI()*((Inputs!$I$9+(((A26)+1)/2)*(Inputs!$J$9-Inputs!$I$9)))/45))+24*SIN(2*PI()*(Inputs!$C$6)/9+((Inputs!$I$9+(((A26)+1)/2)*(Inputs!$J$9-Inputs!$I$9)))/18)*EXP(-(((Inputs!$C$6)+5)^2)/(22^2))+18*SIN(2*PI()*((Inputs!$I$9+(((A26)+1)/2)*(Inputs!$J$9-Inputs!$I$9)))/70))+Inputs!$C$28*EXP(-((((Inputs!$I$9+(((A26)+1)/2)*(Inputs!$J$9-Inputs!$I$9)))-Inputs!$C$29)^2)/(2*Inputs!$C$31^2))*EXP(-(((Inputs!$C$6)-Inputs!$C$30)^2)/(2*Inputs!$C$32^2))+-Inputs!$C$33*EXP(-((((((Inputs!$I$9+(((A26)+1)/2)*(Inputs!$J$9-Inputs!$I$9)))-Inputs!$C$34)^2)+(((Inputs!$C$6)-Inputs!$C$35)^2))/(2*Inputs!$C$36^2)))+Inputs!$C$37*(0.55*SIN(2*PI()*((Inputs!$I$9+(((A26)+1)/2)*(Inputs!$J$9-Inputs!$I$9)))/Inputs!$C$39)+0.35*COS(2*PI()*(Inputs!$C$6)/Inputs!$C$40)+0.2*SIN(2*PI()*(((Inputs!$I$9+(((A26)+1)/2)*(Inputs!$J$9-Inputs!$I$9)))+(Inputs!$C$6))/(0.5*(Inputs!$C$39+Inputs!$C$40))))+Inputs!$C$38*SIN(2*PI()*((Inputs!$I$9+(((A26)+1)/2)*(Inputs!$J$9-Inputs!$I$9)))/Inputs!$C$39)*SIN(2*PI()*(Inputs!$C$6)/Inputs!$C$40)+-Inputs!$C$41*EXP(-(((Inputs!$C$6)-Inputs!$C$43)^2)/(2*Inputs!$C$44^2))*EXP(-((((Inputs!$I$9+(((A26)+1)/2)*(Inputs!$J$9-Inputs!$I$9)))-Inputs!$C$42)^2)/(2*Inputs!$C$45^2))+Inputs!$C$48*(0.7*(0.45*SIN(2*PI()*((((Inputs!$I$9+(((A26)+1)/2)*(Inputs!$J$9-Inputs!$I$9)))/Inputs!$C$49)+Inputs!$C$47*0.137))+0.35*COS(2*PI()*(((Inputs!$C$6)/Inputs!$C$50)+Inputs!$C$47*0.173))+0.2*SIN(2*PI()*((((Inputs!$I$9+(((A26)+1)/2)*(Inputs!$J$9-Inputs!$I$9)))+(Inputs!$C$6))/(0.5*(Inputs!$C$49+Inputs!$C$50))+Inputs!$C$47*0.097)))+0.3*(2*((SIN((((Inputs!$I$9+(((A26)+1)/2)*(Inputs!$J$9-Inputs!$I$9)))*12.9898+(Inputs!$C$6)*78.233+Inputs!$C$47*37.719))*43758.5453)-INT((SIN((((Inputs!$I$9+(((A26)+1)/2)*(Inputs!$J$9-Inputs!$I$9)))*12.9898+(Inputs!$C$6)*78.233+Inputs!$C$47*37.719))*43758.5453)))-1))),NA())</f>
        <v/>
      </c>
      <c r="AW26" s="10" t="n"/>
      <c r="AX26" s="9">
        <f>A26</f>
        <v/>
      </c>
      <c r="AY26" s="9">
        <f>0</f>
        <v/>
      </c>
      <c r="AZ26" s="9">
        <f>IF(OR(Inputs!$F$6=TRUE,Inputs!$F$6="TRUE",Inputs!$F$6=1),(Inputs!$H$6+Inputs!$L$6*(((Inputs!$I$6+(((A26)+1)/2)*(Inputs!$J$6-Inputs!$I$6)))/Inputs!$K$6)^2),NA())</f>
        <v/>
      </c>
      <c r="BA26" s="9">
        <f>IF(OR(Inputs!$F$7=TRUE,Inputs!$F$7="TRUE",Inputs!$F$7=1),(Inputs!$H$7+Inputs!$L$7*(((Inputs!$I$7+(((A26)+1)/2)*(Inputs!$J$7-Inputs!$I$7)))/Inputs!$K$7)^2),NA())</f>
        <v/>
      </c>
      <c r="BB26" s="9">
        <f>IF(OR(Inputs!$F$8=TRUE,Inputs!$F$8="TRUE",Inputs!$F$8=1),(Inputs!$H$8+Inputs!$L$8*(((Inputs!$I$8+(((A26)+1)/2)*(Inputs!$J$8-Inputs!$I$8)))/Inputs!$K$8)^2),NA())</f>
        <v/>
      </c>
      <c r="BC26" s="9">
        <f>IF(OR(Inputs!$F$9=TRUE,Inputs!$F$9="TRUE",Inputs!$F$9=1),(Inputs!$H$9+Inputs!$L$9*(((Inputs!$I$9+(((A26)+1)/2)*(Inputs!$J$9-Inputs!$I$9)))/Inputs!$K$9)^2),NA())</f>
        <v/>
      </c>
      <c r="BD26" s="10" t="n"/>
      <c r="BE26" s="9">
        <f>A26</f>
        <v/>
      </c>
      <c r="BF26" s="9">
        <f>0</f>
        <v/>
      </c>
      <c r="BG26" s="9">
        <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f>
        <v/>
      </c>
      <c r="BH26" s="9">
        <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f>
        <v/>
      </c>
      <c r="BI26" s="9">
        <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f>
        <v/>
      </c>
      <c r="BJ26" s="9">
        <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f>
        <v/>
      </c>
    </row>
    <row r="27">
      <c r="A27" s="9">
        <f>ROUND(-1+25*2/240,3)</f>
        <v/>
      </c>
      <c r="B27" s="9">
        <f>IF(OR(Inputs!$F$6=TRUE,Inputs!$F$6="TRUE",Inputs!$F$6=1),(Inputs!$H$6+Inputs!$L$6*(((Inputs!$I$6+(((A27)+1)/2)*(Inputs!$J$6-Inputs!$I$6)))/Inputs!$K$6)^2),NA())</f>
        <v/>
      </c>
      <c r="C27" s="9">
        <f>IF(OR(Inputs!$F$7=TRUE,Inputs!$F$7="TRUE",Inputs!$F$7=1),(Inputs!$H$7+Inputs!$L$7*(((Inputs!$I$7+(((A27)+1)/2)*(Inputs!$J$7-Inputs!$I$7)))/Inputs!$K$7)^2),NA())</f>
        <v/>
      </c>
      <c r="D27" s="9">
        <f>IF(OR(Inputs!$F$8=TRUE,Inputs!$F$8="TRUE",Inputs!$F$8=1),(Inputs!$H$8+Inputs!$L$8*(((Inputs!$I$8+(((A27)+1)/2)*(Inputs!$J$8-Inputs!$I$8)))/Inputs!$K$8)^2),NA())</f>
        <v/>
      </c>
      <c r="E27" s="9">
        <f>IF(OR(Inputs!$F$9=TRUE,Inputs!$F$9="TRUE",Inputs!$F$9=1),(Inputs!$H$9+Inputs!$L$9*(((Inputs!$I$9+(((A27)+1)/2)*(Inputs!$J$9-Inputs!$I$9)))/Inputs!$K$9)^2),NA())</f>
        <v/>
      </c>
      <c r="F27" s="10" t="n"/>
      <c r="G27" s="9">
        <f>A27</f>
        <v/>
      </c>
      <c r="H27" s="9">
        <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f>
        <v/>
      </c>
      <c r="I27" s="9">
        <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f>
        <v/>
      </c>
      <c r="J27" s="9">
        <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f>
        <v/>
      </c>
      <c r="K27" s="9">
        <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f>
        <v/>
      </c>
      <c r="L27" s="10" t="n"/>
      <c r="M27" s="9">
        <f>A27</f>
        <v/>
      </c>
      <c r="N27" s="9">
        <f>IF(OR(Inputs!$F$6=TRUE,Inputs!$F$6="TRUE",Inputs!$F$6=1),(-2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NA())</f>
        <v/>
      </c>
      <c r="O27" s="9">
        <f>IF(OR(Inputs!$F$7=TRUE,Inputs!$F$7="TRUE",Inputs!$F$7=1),(-2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NA())</f>
        <v/>
      </c>
      <c r="P27" s="9">
        <f>IF(OR(Inputs!$F$8=TRUE,Inputs!$F$8="TRUE",Inputs!$F$8=1),(-2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NA())</f>
        <v/>
      </c>
      <c r="Q27" s="9">
        <f>IF(OR(Inputs!$F$9=TRUE,Inputs!$F$9="TRUE",Inputs!$F$9=1),(-2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NA())</f>
        <v/>
      </c>
      <c r="R27" s="10" t="n"/>
      <c r="S27" s="9">
        <f>A27</f>
        <v/>
      </c>
      <c r="T27" s="9">
        <f>(Inputs!$I$6+(((A27)+1)/2)*(Inputs!$J$6-Inputs!$I$6))</f>
        <v/>
      </c>
      <c r="U27" s="9">
        <f>(Inputs!$I$7+(((A27)+1)/2)*(Inputs!$J$7-Inputs!$I$7))</f>
        <v/>
      </c>
      <c r="V27" s="9">
        <f>(Inputs!$I$8+(((A27)+1)/2)*(Inputs!$J$8-Inputs!$I$8))</f>
        <v/>
      </c>
      <c r="W27" s="9">
        <f>(Inputs!$I$9+(((A27)+1)/2)*(Inputs!$J$9-Inputs!$I$9))</f>
        <v/>
      </c>
      <c r="X27" s="10" t="n"/>
      <c r="Y27" s="9">
        <f>A27</f>
        <v/>
      </c>
      <c r="Z27" s="9">
        <f>(Inputs!$H$6+Inputs!$L$6*(((Inputs!$I$6+(((A27)+1)/2)*(Inputs!$J$6-Inputs!$I$6)))/Inputs!$K$6)^2)</f>
        <v/>
      </c>
      <c r="AA27" s="9">
        <f>(Inputs!$H$7+Inputs!$L$7*(((Inputs!$I$7+(((A27)+1)/2)*(Inputs!$J$7-Inputs!$I$7)))/Inputs!$K$7)^2)</f>
        <v/>
      </c>
      <c r="AB27" s="9">
        <f>(Inputs!$H$8+Inputs!$L$8*(((Inputs!$I$8+(((A27)+1)/2)*(Inputs!$J$8-Inputs!$I$8)))/Inputs!$K$8)^2)</f>
        <v/>
      </c>
      <c r="AC27" s="9">
        <f>(Inputs!$H$9+Inputs!$L$9*(((Inputs!$I$9+(((A27)+1)/2)*(Inputs!$J$9-Inputs!$I$9)))/Inputs!$K$9)^2)</f>
        <v/>
      </c>
      <c r="AD27" s="10" t="n"/>
      <c r="AE27" s="9">
        <f>A27</f>
        <v/>
      </c>
      <c r="AF27" s="9">
        <f>(((SQRT((Inputs!$C$52+((Inputs!$H$6+Inputs!$L$6*(((Inputs!$I$6+(((A27)+1)/2)*(Inputs!$J$6-Inputs!$I$6)))/Inputs!$K$6)^2)))^2+Inputs!$C$52^2-2*(Inputs!$C$52+((Inputs!$H$6+Inputs!$L$6*(((Inputs!$I$6+(((A27)+1)/2)*(Inputs!$J$6-Inputs!$I$6)))/Inputs!$K$6)^2)))*Inputs!$C$52*COS(SQRT(((Inputs!$I$6+(((A27)+1)/2)*(Inputs!$J$6-Inputs!$I$6)))^2+Inputs!$C$6^2)/Inputs!$C$52)))-((Inputs!$H$6+Inputs!$L$6*(((Inputs!$I$6+(((A27)+1)/2)*(Inputs!$J$6-Inputs!$I$6)))/Inputs!$K$6)^2)))*1000/Inputs!$C$12)</f>
        <v/>
      </c>
      <c r="AG27" s="9">
        <f>(((SQRT((Inputs!$C$52+((Inputs!$H$7+Inputs!$L$7*(((Inputs!$I$7+(((A27)+1)/2)*(Inputs!$J$7-Inputs!$I$7)))/Inputs!$K$7)^2)))^2+Inputs!$C$52^2-2*(Inputs!$C$52+((Inputs!$H$7+Inputs!$L$7*(((Inputs!$I$7+(((A27)+1)/2)*(Inputs!$J$7-Inputs!$I$7)))/Inputs!$K$7)^2)))*Inputs!$C$52*COS(SQRT(((Inputs!$I$7+(((A27)+1)/2)*(Inputs!$J$7-Inputs!$I$7)))^2+Inputs!$C$6^2)/Inputs!$C$52)))-((Inputs!$H$7+Inputs!$L$7*(((Inputs!$I$7+(((A27)+1)/2)*(Inputs!$J$7-Inputs!$I$7)))/Inputs!$K$7)^2)))*1000/Inputs!$C$12)</f>
        <v/>
      </c>
      <c r="AH27" s="9">
        <f>(((SQRT((Inputs!$C$52+((Inputs!$H$8+Inputs!$L$8*(((Inputs!$I$8+(((A27)+1)/2)*(Inputs!$J$8-Inputs!$I$8)))/Inputs!$K$8)^2)))^2+Inputs!$C$52^2-2*(Inputs!$C$52+((Inputs!$H$8+Inputs!$L$8*(((Inputs!$I$8+(((A27)+1)/2)*(Inputs!$J$8-Inputs!$I$8)))/Inputs!$K$8)^2)))*Inputs!$C$52*COS(SQRT(((Inputs!$I$8+(((A27)+1)/2)*(Inputs!$J$8-Inputs!$I$8)))^2+Inputs!$C$6^2)/Inputs!$C$52)))-((Inputs!$H$8+Inputs!$L$8*(((Inputs!$I$8+(((A27)+1)/2)*(Inputs!$J$8-Inputs!$I$8)))/Inputs!$K$8)^2)))*1000/Inputs!$C$12)</f>
        <v/>
      </c>
      <c r="AI27" s="9">
        <f>(((SQRT((Inputs!$C$52+((Inputs!$H$9+Inputs!$L$9*(((Inputs!$I$9+(((A27)+1)/2)*(Inputs!$J$9-Inputs!$I$9)))/Inputs!$K$9)^2)))^2+Inputs!$C$52^2-2*(Inputs!$C$52+((Inputs!$H$9+Inputs!$L$9*(((Inputs!$I$9+(((A27)+1)/2)*(Inputs!$J$9-Inputs!$I$9)))/Inputs!$K$9)^2)))*Inputs!$C$52*COS(SQRT(((Inputs!$I$9+(((A27)+1)/2)*(Inputs!$J$9-Inputs!$I$9)))^2+Inputs!$C$6^2)/Inputs!$C$52)))-((Inputs!$H$9+Inputs!$L$9*(((Inputs!$I$9+(((A27)+1)/2)*(Inputs!$J$9-Inputs!$I$9)))/Inputs!$K$9)^2)))*1000/Inputs!$C$12)</f>
        <v/>
      </c>
      <c r="AJ27" s="10" t="n"/>
      <c r="AK27" s="9">
        <f>A27</f>
        <v/>
      </c>
      <c r="AL27" s="9">
        <f>(-2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f>
        <v/>
      </c>
      <c r="AM27" s="9">
        <f>(-2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f>
        <v/>
      </c>
      <c r="AN27" s="9">
        <f>(-2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f>
        <v/>
      </c>
      <c r="AO27" s="9">
        <f>(-2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f>
        <v/>
      </c>
      <c r="AP27" s="10" t="n"/>
      <c r="AQ27" s="9">
        <f>A27</f>
        <v/>
      </c>
      <c r="AR27" s="9">
        <f>0</f>
        <v/>
      </c>
      <c r="AS27" s="9">
        <f>IF(OR(Inputs!$F$6=TRUE,Inputs!$F$6="TRUE",Inputs!$F$6=1),IF(OR(Inputs!$C$27=TRUE,Inputs!$C$27="TRUE",Inputs!$C$27=1),1,0)*(Inputs!$C$51*(115*EXP(-(((Inputs!$C$6)-25)^2)/(4.5^2))+70*EXP(-(((Inputs!$C$6)+38)^2)/(7^2))*(0.55+0.45*SIN(2*PI()*((Inputs!$I$6+(((A27)+1)/2)*(Inputs!$J$6-Inputs!$I$6)))/45))+24*SIN(2*PI()*(Inputs!$C$6)/9+((Inputs!$I$6+(((A27)+1)/2)*(Inputs!$J$6-Inputs!$I$6)))/18)*EXP(-(((Inputs!$C$6)+5)^2)/(22^2))+18*SIN(2*PI()*((Inputs!$I$6+(((A27)+1)/2)*(Inputs!$J$6-Inputs!$I$6)))/70))+Inputs!$C$28*EXP(-((((Inputs!$I$6+(((A27)+1)/2)*(Inputs!$J$6-Inputs!$I$6)))-Inputs!$C$29)^2)/(2*Inputs!$C$31^2))*EXP(-(((Inputs!$C$6)-Inputs!$C$30)^2)/(2*Inputs!$C$32^2))+-Inputs!$C$33*EXP(-((((((Inputs!$I$6+(((A27)+1)/2)*(Inputs!$J$6-Inputs!$I$6)))-Inputs!$C$34)^2)+(((Inputs!$C$6)-Inputs!$C$35)^2))/(2*Inputs!$C$36^2)))+Inputs!$C$37*(0.55*SIN(2*PI()*((Inputs!$I$6+(((A27)+1)/2)*(Inputs!$J$6-Inputs!$I$6)))/Inputs!$C$39)+0.35*COS(2*PI()*(Inputs!$C$6)/Inputs!$C$40)+0.2*SIN(2*PI()*(((Inputs!$I$6+(((A27)+1)/2)*(Inputs!$J$6-Inputs!$I$6)))+(Inputs!$C$6))/(0.5*(Inputs!$C$39+Inputs!$C$40))))+Inputs!$C$38*SIN(2*PI()*((Inputs!$I$6+(((A27)+1)/2)*(Inputs!$J$6-Inputs!$I$6)))/Inputs!$C$39)*SIN(2*PI()*(Inputs!$C$6)/Inputs!$C$40)+-Inputs!$C$41*EXP(-(((Inputs!$C$6)-Inputs!$C$43)^2)/(2*Inputs!$C$44^2))*EXP(-((((Inputs!$I$6+(((A27)+1)/2)*(Inputs!$J$6-Inputs!$I$6)))-Inputs!$C$42)^2)/(2*Inputs!$C$45^2))+Inputs!$C$48*(0.7*(0.45*SIN(2*PI()*((((Inputs!$I$6+(((A27)+1)/2)*(Inputs!$J$6-Inputs!$I$6)))/Inputs!$C$49)+Inputs!$C$47*0.137))+0.35*COS(2*PI()*(((Inputs!$C$6)/Inputs!$C$50)+Inputs!$C$47*0.173))+0.2*SIN(2*PI()*((((Inputs!$I$6+(((A27)+1)/2)*(Inputs!$J$6-Inputs!$I$6)))+(Inputs!$C$6))/(0.5*(Inputs!$C$49+Inputs!$C$50))+Inputs!$C$47*0.097)))+0.3*(2*((SIN((((Inputs!$I$6+(((A27)+1)/2)*(Inputs!$J$6-Inputs!$I$6)))*12.9898+(Inputs!$C$6)*78.233+Inputs!$C$47*37.719))*43758.5453)-INT((SIN((((Inputs!$I$6+(((A27)+1)/2)*(Inputs!$J$6-Inputs!$I$6)))*12.9898+(Inputs!$C$6)*78.233+Inputs!$C$47*37.719))*43758.5453)))-1))),NA())</f>
        <v/>
      </c>
      <c r="AT27" s="9">
        <f>IF(OR(Inputs!$F$7=TRUE,Inputs!$F$7="TRUE",Inputs!$F$7=1),IF(OR(Inputs!$C$27=TRUE,Inputs!$C$27="TRUE",Inputs!$C$27=1),1,0)*(Inputs!$C$51*(115*EXP(-(((Inputs!$C$6)-25)^2)/(4.5^2))+70*EXP(-(((Inputs!$C$6)+38)^2)/(7^2))*(0.55+0.45*SIN(2*PI()*((Inputs!$I$7+(((A27)+1)/2)*(Inputs!$J$7-Inputs!$I$7)))/45))+24*SIN(2*PI()*(Inputs!$C$6)/9+((Inputs!$I$7+(((A27)+1)/2)*(Inputs!$J$7-Inputs!$I$7)))/18)*EXP(-(((Inputs!$C$6)+5)^2)/(22^2))+18*SIN(2*PI()*((Inputs!$I$7+(((A27)+1)/2)*(Inputs!$J$7-Inputs!$I$7)))/70))+Inputs!$C$28*EXP(-((((Inputs!$I$7+(((A27)+1)/2)*(Inputs!$J$7-Inputs!$I$7)))-Inputs!$C$29)^2)/(2*Inputs!$C$31^2))*EXP(-(((Inputs!$C$6)-Inputs!$C$30)^2)/(2*Inputs!$C$32^2))+-Inputs!$C$33*EXP(-((((((Inputs!$I$7+(((A27)+1)/2)*(Inputs!$J$7-Inputs!$I$7)))-Inputs!$C$34)^2)+(((Inputs!$C$6)-Inputs!$C$35)^2))/(2*Inputs!$C$36^2)))+Inputs!$C$37*(0.55*SIN(2*PI()*((Inputs!$I$7+(((A27)+1)/2)*(Inputs!$J$7-Inputs!$I$7)))/Inputs!$C$39)+0.35*COS(2*PI()*(Inputs!$C$6)/Inputs!$C$40)+0.2*SIN(2*PI()*(((Inputs!$I$7+(((A27)+1)/2)*(Inputs!$J$7-Inputs!$I$7)))+(Inputs!$C$6))/(0.5*(Inputs!$C$39+Inputs!$C$40))))+Inputs!$C$38*SIN(2*PI()*((Inputs!$I$7+(((A27)+1)/2)*(Inputs!$J$7-Inputs!$I$7)))/Inputs!$C$39)*SIN(2*PI()*(Inputs!$C$6)/Inputs!$C$40)+-Inputs!$C$41*EXP(-(((Inputs!$C$6)-Inputs!$C$43)^2)/(2*Inputs!$C$44^2))*EXP(-((((Inputs!$I$7+(((A27)+1)/2)*(Inputs!$J$7-Inputs!$I$7)))-Inputs!$C$42)^2)/(2*Inputs!$C$45^2))+Inputs!$C$48*(0.7*(0.45*SIN(2*PI()*((((Inputs!$I$7+(((A27)+1)/2)*(Inputs!$J$7-Inputs!$I$7)))/Inputs!$C$49)+Inputs!$C$47*0.137))+0.35*COS(2*PI()*(((Inputs!$C$6)/Inputs!$C$50)+Inputs!$C$47*0.173))+0.2*SIN(2*PI()*((((Inputs!$I$7+(((A27)+1)/2)*(Inputs!$J$7-Inputs!$I$7)))+(Inputs!$C$6))/(0.5*(Inputs!$C$49+Inputs!$C$50))+Inputs!$C$47*0.097)))+0.3*(2*((SIN((((Inputs!$I$7+(((A27)+1)/2)*(Inputs!$J$7-Inputs!$I$7)))*12.9898+(Inputs!$C$6)*78.233+Inputs!$C$47*37.719))*43758.5453)-INT((SIN((((Inputs!$I$7+(((A27)+1)/2)*(Inputs!$J$7-Inputs!$I$7)))*12.9898+(Inputs!$C$6)*78.233+Inputs!$C$47*37.719))*43758.5453)))-1))),NA())</f>
        <v/>
      </c>
      <c r="AU27" s="9">
        <f>IF(OR(Inputs!$F$8=TRUE,Inputs!$F$8="TRUE",Inputs!$F$8=1),IF(OR(Inputs!$C$27=TRUE,Inputs!$C$27="TRUE",Inputs!$C$27=1),1,0)*(Inputs!$C$51*(115*EXP(-(((Inputs!$C$6)-25)^2)/(4.5^2))+70*EXP(-(((Inputs!$C$6)+38)^2)/(7^2))*(0.55+0.45*SIN(2*PI()*((Inputs!$I$8+(((A27)+1)/2)*(Inputs!$J$8-Inputs!$I$8)))/45))+24*SIN(2*PI()*(Inputs!$C$6)/9+((Inputs!$I$8+(((A27)+1)/2)*(Inputs!$J$8-Inputs!$I$8)))/18)*EXP(-(((Inputs!$C$6)+5)^2)/(22^2))+18*SIN(2*PI()*((Inputs!$I$8+(((A27)+1)/2)*(Inputs!$J$8-Inputs!$I$8)))/70))+Inputs!$C$28*EXP(-((((Inputs!$I$8+(((A27)+1)/2)*(Inputs!$J$8-Inputs!$I$8)))-Inputs!$C$29)^2)/(2*Inputs!$C$31^2))*EXP(-(((Inputs!$C$6)-Inputs!$C$30)^2)/(2*Inputs!$C$32^2))+-Inputs!$C$33*EXP(-((((((Inputs!$I$8+(((A27)+1)/2)*(Inputs!$J$8-Inputs!$I$8)))-Inputs!$C$34)^2)+(((Inputs!$C$6)-Inputs!$C$35)^2))/(2*Inputs!$C$36^2)))+Inputs!$C$37*(0.55*SIN(2*PI()*((Inputs!$I$8+(((A27)+1)/2)*(Inputs!$J$8-Inputs!$I$8)))/Inputs!$C$39)+0.35*COS(2*PI()*(Inputs!$C$6)/Inputs!$C$40)+0.2*SIN(2*PI()*(((Inputs!$I$8+(((A27)+1)/2)*(Inputs!$J$8-Inputs!$I$8)))+(Inputs!$C$6))/(0.5*(Inputs!$C$39+Inputs!$C$40))))+Inputs!$C$38*SIN(2*PI()*((Inputs!$I$8+(((A27)+1)/2)*(Inputs!$J$8-Inputs!$I$8)))/Inputs!$C$39)*SIN(2*PI()*(Inputs!$C$6)/Inputs!$C$40)+-Inputs!$C$41*EXP(-(((Inputs!$C$6)-Inputs!$C$43)^2)/(2*Inputs!$C$44^2))*EXP(-((((Inputs!$I$8+(((A27)+1)/2)*(Inputs!$J$8-Inputs!$I$8)))-Inputs!$C$42)^2)/(2*Inputs!$C$45^2))+Inputs!$C$48*(0.7*(0.45*SIN(2*PI()*((((Inputs!$I$8+(((A27)+1)/2)*(Inputs!$J$8-Inputs!$I$8)))/Inputs!$C$49)+Inputs!$C$47*0.137))+0.35*COS(2*PI()*(((Inputs!$C$6)/Inputs!$C$50)+Inputs!$C$47*0.173))+0.2*SIN(2*PI()*((((Inputs!$I$8+(((A27)+1)/2)*(Inputs!$J$8-Inputs!$I$8)))+(Inputs!$C$6))/(0.5*(Inputs!$C$49+Inputs!$C$50))+Inputs!$C$47*0.097)))+0.3*(2*((SIN((((Inputs!$I$8+(((A27)+1)/2)*(Inputs!$J$8-Inputs!$I$8)))*12.9898+(Inputs!$C$6)*78.233+Inputs!$C$47*37.719))*43758.5453)-INT((SIN((((Inputs!$I$8+(((A27)+1)/2)*(Inputs!$J$8-Inputs!$I$8)))*12.9898+(Inputs!$C$6)*78.233+Inputs!$C$47*37.719))*43758.5453)))-1))),NA())</f>
        <v/>
      </c>
      <c r="AV27" s="9">
        <f>IF(OR(Inputs!$F$9=TRUE,Inputs!$F$9="TRUE",Inputs!$F$9=1),IF(OR(Inputs!$C$27=TRUE,Inputs!$C$27="TRUE",Inputs!$C$27=1),1,0)*(Inputs!$C$51*(115*EXP(-(((Inputs!$C$6)-25)^2)/(4.5^2))+70*EXP(-(((Inputs!$C$6)+38)^2)/(7^2))*(0.55+0.45*SIN(2*PI()*((Inputs!$I$9+(((A27)+1)/2)*(Inputs!$J$9-Inputs!$I$9)))/45))+24*SIN(2*PI()*(Inputs!$C$6)/9+((Inputs!$I$9+(((A27)+1)/2)*(Inputs!$J$9-Inputs!$I$9)))/18)*EXP(-(((Inputs!$C$6)+5)^2)/(22^2))+18*SIN(2*PI()*((Inputs!$I$9+(((A27)+1)/2)*(Inputs!$J$9-Inputs!$I$9)))/70))+Inputs!$C$28*EXP(-((((Inputs!$I$9+(((A27)+1)/2)*(Inputs!$J$9-Inputs!$I$9)))-Inputs!$C$29)^2)/(2*Inputs!$C$31^2))*EXP(-(((Inputs!$C$6)-Inputs!$C$30)^2)/(2*Inputs!$C$32^2))+-Inputs!$C$33*EXP(-((((((Inputs!$I$9+(((A27)+1)/2)*(Inputs!$J$9-Inputs!$I$9)))-Inputs!$C$34)^2)+(((Inputs!$C$6)-Inputs!$C$35)^2))/(2*Inputs!$C$36^2)))+Inputs!$C$37*(0.55*SIN(2*PI()*((Inputs!$I$9+(((A27)+1)/2)*(Inputs!$J$9-Inputs!$I$9)))/Inputs!$C$39)+0.35*COS(2*PI()*(Inputs!$C$6)/Inputs!$C$40)+0.2*SIN(2*PI()*(((Inputs!$I$9+(((A27)+1)/2)*(Inputs!$J$9-Inputs!$I$9)))+(Inputs!$C$6))/(0.5*(Inputs!$C$39+Inputs!$C$40))))+Inputs!$C$38*SIN(2*PI()*((Inputs!$I$9+(((A27)+1)/2)*(Inputs!$J$9-Inputs!$I$9)))/Inputs!$C$39)*SIN(2*PI()*(Inputs!$C$6)/Inputs!$C$40)+-Inputs!$C$41*EXP(-(((Inputs!$C$6)-Inputs!$C$43)^2)/(2*Inputs!$C$44^2))*EXP(-((((Inputs!$I$9+(((A27)+1)/2)*(Inputs!$J$9-Inputs!$I$9)))-Inputs!$C$42)^2)/(2*Inputs!$C$45^2))+Inputs!$C$48*(0.7*(0.45*SIN(2*PI()*((((Inputs!$I$9+(((A27)+1)/2)*(Inputs!$J$9-Inputs!$I$9)))/Inputs!$C$49)+Inputs!$C$47*0.137))+0.35*COS(2*PI()*(((Inputs!$C$6)/Inputs!$C$50)+Inputs!$C$47*0.173))+0.2*SIN(2*PI()*((((Inputs!$I$9+(((A27)+1)/2)*(Inputs!$J$9-Inputs!$I$9)))+(Inputs!$C$6))/(0.5*(Inputs!$C$49+Inputs!$C$50))+Inputs!$C$47*0.097)))+0.3*(2*((SIN((((Inputs!$I$9+(((A27)+1)/2)*(Inputs!$J$9-Inputs!$I$9)))*12.9898+(Inputs!$C$6)*78.233+Inputs!$C$47*37.719))*43758.5453)-INT((SIN((((Inputs!$I$9+(((A27)+1)/2)*(Inputs!$J$9-Inputs!$I$9)))*12.9898+(Inputs!$C$6)*78.233+Inputs!$C$47*37.719))*43758.5453)))-1))),NA())</f>
        <v/>
      </c>
      <c r="AW27" s="10" t="n"/>
      <c r="AX27" s="9">
        <f>A27</f>
        <v/>
      </c>
      <c r="AY27" s="9">
        <f>0</f>
        <v/>
      </c>
      <c r="AZ27" s="9">
        <f>IF(OR(Inputs!$F$6=TRUE,Inputs!$F$6="TRUE",Inputs!$F$6=1),(Inputs!$H$6+Inputs!$L$6*(((Inputs!$I$6+(((A27)+1)/2)*(Inputs!$J$6-Inputs!$I$6)))/Inputs!$K$6)^2),NA())</f>
        <v/>
      </c>
      <c r="BA27" s="9">
        <f>IF(OR(Inputs!$F$7=TRUE,Inputs!$F$7="TRUE",Inputs!$F$7=1),(Inputs!$H$7+Inputs!$L$7*(((Inputs!$I$7+(((A27)+1)/2)*(Inputs!$J$7-Inputs!$I$7)))/Inputs!$K$7)^2),NA())</f>
        <v/>
      </c>
      <c r="BB27" s="9">
        <f>IF(OR(Inputs!$F$8=TRUE,Inputs!$F$8="TRUE",Inputs!$F$8=1),(Inputs!$H$8+Inputs!$L$8*(((Inputs!$I$8+(((A27)+1)/2)*(Inputs!$J$8-Inputs!$I$8)))/Inputs!$K$8)^2),NA())</f>
        <v/>
      </c>
      <c r="BC27" s="9">
        <f>IF(OR(Inputs!$F$9=TRUE,Inputs!$F$9="TRUE",Inputs!$F$9=1),(Inputs!$H$9+Inputs!$L$9*(((Inputs!$I$9+(((A27)+1)/2)*(Inputs!$J$9-Inputs!$I$9)))/Inputs!$K$9)^2),NA())</f>
        <v/>
      </c>
      <c r="BD27" s="10" t="n"/>
      <c r="BE27" s="9">
        <f>A27</f>
        <v/>
      </c>
      <c r="BF27" s="9">
        <f>0</f>
        <v/>
      </c>
      <c r="BG27" s="9">
        <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f>
        <v/>
      </c>
      <c r="BH27" s="9">
        <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f>
        <v/>
      </c>
      <c r="BI27" s="9">
        <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f>
        <v/>
      </c>
      <c r="BJ27" s="9">
        <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f>
        <v/>
      </c>
    </row>
    <row r="28">
      <c r="A28" s="9">
        <f>ROUND(-1+26*2/240,3)</f>
        <v/>
      </c>
      <c r="B28" s="9">
        <f>IF(OR(Inputs!$F$6=TRUE,Inputs!$F$6="TRUE",Inputs!$F$6=1),(Inputs!$H$6+Inputs!$L$6*(((Inputs!$I$6+(((A28)+1)/2)*(Inputs!$J$6-Inputs!$I$6)))/Inputs!$K$6)^2),NA())</f>
        <v/>
      </c>
      <c r="C28" s="9">
        <f>IF(OR(Inputs!$F$7=TRUE,Inputs!$F$7="TRUE",Inputs!$F$7=1),(Inputs!$H$7+Inputs!$L$7*(((Inputs!$I$7+(((A28)+1)/2)*(Inputs!$J$7-Inputs!$I$7)))/Inputs!$K$7)^2),NA())</f>
        <v/>
      </c>
      <c r="D28" s="9">
        <f>IF(OR(Inputs!$F$8=TRUE,Inputs!$F$8="TRUE",Inputs!$F$8=1),(Inputs!$H$8+Inputs!$L$8*(((Inputs!$I$8+(((A28)+1)/2)*(Inputs!$J$8-Inputs!$I$8)))/Inputs!$K$8)^2),NA())</f>
        <v/>
      </c>
      <c r="E28" s="9">
        <f>IF(OR(Inputs!$F$9=TRUE,Inputs!$F$9="TRUE",Inputs!$F$9=1),(Inputs!$H$9+Inputs!$L$9*(((Inputs!$I$9+(((A28)+1)/2)*(Inputs!$J$9-Inputs!$I$9)))/Inputs!$K$9)^2),NA())</f>
        <v/>
      </c>
      <c r="F28" s="10" t="n"/>
      <c r="G28" s="9">
        <f>A28</f>
        <v/>
      </c>
      <c r="H28" s="9">
        <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f>
        <v/>
      </c>
      <c r="I28" s="9">
        <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f>
        <v/>
      </c>
      <c r="J28" s="9">
        <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f>
        <v/>
      </c>
      <c r="K28" s="9">
        <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f>
        <v/>
      </c>
      <c r="L28" s="10" t="n"/>
      <c r="M28" s="9">
        <f>A28</f>
        <v/>
      </c>
      <c r="N28" s="9">
        <f>IF(OR(Inputs!$F$6=TRUE,Inputs!$F$6="TRUE",Inputs!$F$6=1),(-2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NA())</f>
        <v/>
      </c>
      <c r="O28" s="9">
        <f>IF(OR(Inputs!$F$7=TRUE,Inputs!$F$7="TRUE",Inputs!$F$7=1),(-2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NA())</f>
        <v/>
      </c>
      <c r="P28" s="9">
        <f>IF(OR(Inputs!$F$8=TRUE,Inputs!$F$8="TRUE",Inputs!$F$8=1),(-2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NA())</f>
        <v/>
      </c>
      <c r="Q28" s="9">
        <f>IF(OR(Inputs!$F$9=TRUE,Inputs!$F$9="TRUE",Inputs!$F$9=1),(-2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NA())</f>
        <v/>
      </c>
      <c r="R28" s="10" t="n"/>
      <c r="S28" s="9">
        <f>A28</f>
        <v/>
      </c>
      <c r="T28" s="9">
        <f>(Inputs!$I$6+(((A28)+1)/2)*(Inputs!$J$6-Inputs!$I$6))</f>
        <v/>
      </c>
      <c r="U28" s="9">
        <f>(Inputs!$I$7+(((A28)+1)/2)*(Inputs!$J$7-Inputs!$I$7))</f>
        <v/>
      </c>
      <c r="V28" s="9">
        <f>(Inputs!$I$8+(((A28)+1)/2)*(Inputs!$J$8-Inputs!$I$8))</f>
        <v/>
      </c>
      <c r="W28" s="9">
        <f>(Inputs!$I$9+(((A28)+1)/2)*(Inputs!$J$9-Inputs!$I$9))</f>
        <v/>
      </c>
      <c r="X28" s="10" t="n"/>
      <c r="Y28" s="9">
        <f>A28</f>
        <v/>
      </c>
      <c r="Z28" s="9">
        <f>(Inputs!$H$6+Inputs!$L$6*(((Inputs!$I$6+(((A28)+1)/2)*(Inputs!$J$6-Inputs!$I$6)))/Inputs!$K$6)^2)</f>
        <v/>
      </c>
      <c r="AA28" s="9">
        <f>(Inputs!$H$7+Inputs!$L$7*(((Inputs!$I$7+(((A28)+1)/2)*(Inputs!$J$7-Inputs!$I$7)))/Inputs!$K$7)^2)</f>
        <v/>
      </c>
      <c r="AB28" s="9">
        <f>(Inputs!$H$8+Inputs!$L$8*(((Inputs!$I$8+(((A28)+1)/2)*(Inputs!$J$8-Inputs!$I$8)))/Inputs!$K$8)^2)</f>
        <v/>
      </c>
      <c r="AC28" s="9">
        <f>(Inputs!$H$9+Inputs!$L$9*(((Inputs!$I$9+(((A28)+1)/2)*(Inputs!$J$9-Inputs!$I$9)))/Inputs!$K$9)^2)</f>
        <v/>
      </c>
      <c r="AD28" s="10" t="n"/>
      <c r="AE28" s="9">
        <f>A28</f>
        <v/>
      </c>
      <c r="AF28" s="9">
        <f>(((SQRT((Inputs!$C$52+((Inputs!$H$6+Inputs!$L$6*(((Inputs!$I$6+(((A28)+1)/2)*(Inputs!$J$6-Inputs!$I$6)))/Inputs!$K$6)^2)))^2+Inputs!$C$52^2-2*(Inputs!$C$52+((Inputs!$H$6+Inputs!$L$6*(((Inputs!$I$6+(((A28)+1)/2)*(Inputs!$J$6-Inputs!$I$6)))/Inputs!$K$6)^2)))*Inputs!$C$52*COS(SQRT(((Inputs!$I$6+(((A28)+1)/2)*(Inputs!$J$6-Inputs!$I$6)))^2+Inputs!$C$6^2)/Inputs!$C$52)))-((Inputs!$H$6+Inputs!$L$6*(((Inputs!$I$6+(((A28)+1)/2)*(Inputs!$J$6-Inputs!$I$6)))/Inputs!$K$6)^2)))*1000/Inputs!$C$12)</f>
        <v/>
      </c>
      <c r="AG28" s="9">
        <f>(((SQRT((Inputs!$C$52+((Inputs!$H$7+Inputs!$L$7*(((Inputs!$I$7+(((A28)+1)/2)*(Inputs!$J$7-Inputs!$I$7)))/Inputs!$K$7)^2)))^2+Inputs!$C$52^2-2*(Inputs!$C$52+((Inputs!$H$7+Inputs!$L$7*(((Inputs!$I$7+(((A28)+1)/2)*(Inputs!$J$7-Inputs!$I$7)))/Inputs!$K$7)^2)))*Inputs!$C$52*COS(SQRT(((Inputs!$I$7+(((A28)+1)/2)*(Inputs!$J$7-Inputs!$I$7)))^2+Inputs!$C$6^2)/Inputs!$C$52)))-((Inputs!$H$7+Inputs!$L$7*(((Inputs!$I$7+(((A28)+1)/2)*(Inputs!$J$7-Inputs!$I$7)))/Inputs!$K$7)^2)))*1000/Inputs!$C$12)</f>
        <v/>
      </c>
      <c r="AH28" s="9">
        <f>(((SQRT((Inputs!$C$52+((Inputs!$H$8+Inputs!$L$8*(((Inputs!$I$8+(((A28)+1)/2)*(Inputs!$J$8-Inputs!$I$8)))/Inputs!$K$8)^2)))^2+Inputs!$C$52^2-2*(Inputs!$C$52+((Inputs!$H$8+Inputs!$L$8*(((Inputs!$I$8+(((A28)+1)/2)*(Inputs!$J$8-Inputs!$I$8)))/Inputs!$K$8)^2)))*Inputs!$C$52*COS(SQRT(((Inputs!$I$8+(((A28)+1)/2)*(Inputs!$J$8-Inputs!$I$8)))^2+Inputs!$C$6^2)/Inputs!$C$52)))-((Inputs!$H$8+Inputs!$L$8*(((Inputs!$I$8+(((A28)+1)/2)*(Inputs!$J$8-Inputs!$I$8)))/Inputs!$K$8)^2)))*1000/Inputs!$C$12)</f>
        <v/>
      </c>
      <c r="AI28" s="9">
        <f>(((SQRT((Inputs!$C$52+((Inputs!$H$9+Inputs!$L$9*(((Inputs!$I$9+(((A28)+1)/2)*(Inputs!$J$9-Inputs!$I$9)))/Inputs!$K$9)^2)))^2+Inputs!$C$52^2-2*(Inputs!$C$52+((Inputs!$H$9+Inputs!$L$9*(((Inputs!$I$9+(((A28)+1)/2)*(Inputs!$J$9-Inputs!$I$9)))/Inputs!$K$9)^2)))*Inputs!$C$52*COS(SQRT(((Inputs!$I$9+(((A28)+1)/2)*(Inputs!$J$9-Inputs!$I$9)))^2+Inputs!$C$6^2)/Inputs!$C$52)))-((Inputs!$H$9+Inputs!$L$9*(((Inputs!$I$9+(((A28)+1)/2)*(Inputs!$J$9-Inputs!$I$9)))/Inputs!$K$9)^2)))*1000/Inputs!$C$12)</f>
        <v/>
      </c>
      <c r="AJ28" s="10" t="n"/>
      <c r="AK28" s="9">
        <f>A28</f>
        <v/>
      </c>
      <c r="AL28" s="9">
        <f>(-2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f>
        <v/>
      </c>
      <c r="AM28" s="9">
        <f>(-2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f>
        <v/>
      </c>
      <c r="AN28" s="9">
        <f>(-2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f>
        <v/>
      </c>
      <c r="AO28" s="9">
        <f>(-2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f>
        <v/>
      </c>
      <c r="AP28" s="10" t="n"/>
      <c r="AQ28" s="9">
        <f>A28</f>
        <v/>
      </c>
      <c r="AR28" s="9">
        <f>0</f>
        <v/>
      </c>
      <c r="AS28" s="9">
        <f>IF(OR(Inputs!$F$6=TRUE,Inputs!$F$6="TRUE",Inputs!$F$6=1),IF(OR(Inputs!$C$27=TRUE,Inputs!$C$27="TRUE",Inputs!$C$27=1),1,0)*(Inputs!$C$51*(115*EXP(-(((Inputs!$C$6)-25)^2)/(4.5^2))+70*EXP(-(((Inputs!$C$6)+38)^2)/(7^2))*(0.55+0.45*SIN(2*PI()*((Inputs!$I$6+(((A28)+1)/2)*(Inputs!$J$6-Inputs!$I$6)))/45))+24*SIN(2*PI()*(Inputs!$C$6)/9+((Inputs!$I$6+(((A28)+1)/2)*(Inputs!$J$6-Inputs!$I$6)))/18)*EXP(-(((Inputs!$C$6)+5)^2)/(22^2))+18*SIN(2*PI()*((Inputs!$I$6+(((A28)+1)/2)*(Inputs!$J$6-Inputs!$I$6)))/70))+Inputs!$C$28*EXP(-((((Inputs!$I$6+(((A28)+1)/2)*(Inputs!$J$6-Inputs!$I$6)))-Inputs!$C$29)^2)/(2*Inputs!$C$31^2))*EXP(-(((Inputs!$C$6)-Inputs!$C$30)^2)/(2*Inputs!$C$32^2))+-Inputs!$C$33*EXP(-((((((Inputs!$I$6+(((A28)+1)/2)*(Inputs!$J$6-Inputs!$I$6)))-Inputs!$C$34)^2)+(((Inputs!$C$6)-Inputs!$C$35)^2))/(2*Inputs!$C$36^2)))+Inputs!$C$37*(0.55*SIN(2*PI()*((Inputs!$I$6+(((A28)+1)/2)*(Inputs!$J$6-Inputs!$I$6)))/Inputs!$C$39)+0.35*COS(2*PI()*(Inputs!$C$6)/Inputs!$C$40)+0.2*SIN(2*PI()*(((Inputs!$I$6+(((A28)+1)/2)*(Inputs!$J$6-Inputs!$I$6)))+(Inputs!$C$6))/(0.5*(Inputs!$C$39+Inputs!$C$40))))+Inputs!$C$38*SIN(2*PI()*((Inputs!$I$6+(((A28)+1)/2)*(Inputs!$J$6-Inputs!$I$6)))/Inputs!$C$39)*SIN(2*PI()*(Inputs!$C$6)/Inputs!$C$40)+-Inputs!$C$41*EXP(-(((Inputs!$C$6)-Inputs!$C$43)^2)/(2*Inputs!$C$44^2))*EXP(-((((Inputs!$I$6+(((A28)+1)/2)*(Inputs!$J$6-Inputs!$I$6)))-Inputs!$C$42)^2)/(2*Inputs!$C$45^2))+Inputs!$C$48*(0.7*(0.45*SIN(2*PI()*((((Inputs!$I$6+(((A28)+1)/2)*(Inputs!$J$6-Inputs!$I$6)))/Inputs!$C$49)+Inputs!$C$47*0.137))+0.35*COS(2*PI()*(((Inputs!$C$6)/Inputs!$C$50)+Inputs!$C$47*0.173))+0.2*SIN(2*PI()*((((Inputs!$I$6+(((A28)+1)/2)*(Inputs!$J$6-Inputs!$I$6)))+(Inputs!$C$6))/(0.5*(Inputs!$C$49+Inputs!$C$50))+Inputs!$C$47*0.097)))+0.3*(2*((SIN((((Inputs!$I$6+(((A28)+1)/2)*(Inputs!$J$6-Inputs!$I$6)))*12.9898+(Inputs!$C$6)*78.233+Inputs!$C$47*37.719))*43758.5453)-INT((SIN((((Inputs!$I$6+(((A28)+1)/2)*(Inputs!$J$6-Inputs!$I$6)))*12.9898+(Inputs!$C$6)*78.233+Inputs!$C$47*37.719))*43758.5453)))-1))),NA())</f>
        <v/>
      </c>
      <c r="AT28" s="9">
        <f>IF(OR(Inputs!$F$7=TRUE,Inputs!$F$7="TRUE",Inputs!$F$7=1),IF(OR(Inputs!$C$27=TRUE,Inputs!$C$27="TRUE",Inputs!$C$27=1),1,0)*(Inputs!$C$51*(115*EXP(-(((Inputs!$C$6)-25)^2)/(4.5^2))+70*EXP(-(((Inputs!$C$6)+38)^2)/(7^2))*(0.55+0.45*SIN(2*PI()*((Inputs!$I$7+(((A28)+1)/2)*(Inputs!$J$7-Inputs!$I$7)))/45))+24*SIN(2*PI()*(Inputs!$C$6)/9+((Inputs!$I$7+(((A28)+1)/2)*(Inputs!$J$7-Inputs!$I$7)))/18)*EXP(-(((Inputs!$C$6)+5)^2)/(22^2))+18*SIN(2*PI()*((Inputs!$I$7+(((A28)+1)/2)*(Inputs!$J$7-Inputs!$I$7)))/70))+Inputs!$C$28*EXP(-((((Inputs!$I$7+(((A28)+1)/2)*(Inputs!$J$7-Inputs!$I$7)))-Inputs!$C$29)^2)/(2*Inputs!$C$31^2))*EXP(-(((Inputs!$C$6)-Inputs!$C$30)^2)/(2*Inputs!$C$32^2))+-Inputs!$C$33*EXP(-((((((Inputs!$I$7+(((A28)+1)/2)*(Inputs!$J$7-Inputs!$I$7)))-Inputs!$C$34)^2)+(((Inputs!$C$6)-Inputs!$C$35)^2))/(2*Inputs!$C$36^2)))+Inputs!$C$37*(0.55*SIN(2*PI()*((Inputs!$I$7+(((A28)+1)/2)*(Inputs!$J$7-Inputs!$I$7)))/Inputs!$C$39)+0.35*COS(2*PI()*(Inputs!$C$6)/Inputs!$C$40)+0.2*SIN(2*PI()*(((Inputs!$I$7+(((A28)+1)/2)*(Inputs!$J$7-Inputs!$I$7)))+(Inputs!$C$6))/(0.5*(Inputs!$C$39+Inputs!$C$40))))+Inputs!$C$38*SIN(2*PI()*((Inputs!$I$7+(((A28)+1)/2)*(Inputs!$J$7-Inputs!$I$7)))/Inputs!$C$39)*SIN(2*PI()*(Inputs!$C$6)/Inputs!$C$40)+-Inputs!$C$41*EXP(-(((Inputs!$C$6)-Inputs!$C$43)^2)/(2*Inputs!$C$44^2))*EXP(-((((Inputs!$I$7+(((A28)+1)/2)*(Inputs!$J$7-Inputs!$I$7)))-Inputs!$C$42)^2)/(2*Inputs!$C$45^2))+Inputs!$C$48*(0.7*(0.45*SIN(2*PI()*((((Inputs!$I$7+(((A28)+1)/2)*(Inputs!$J$7-Inputs!$I$7)))/Inputs!$C$49)+Inputs!$C$47*0.137))+0.35*COS(2*PI()*(((Inputs!$C$6)/Inputs!$C$50)+Inputs!$C$47*0.173))+0.2*SIN(2*PI()*((((Inputs!$I$7+(((A28)+1)/2)*(Inputs!$J$7-Inputs!$I$7)))+(Inputs!$C$6))/(0.5*(Inputs!$C$49+Inputs!$C$50))+Inputs!$C$47*0.097)))+0.3*(2*((SIN((((Inputs!$I$7+(((A28)+1)/2)*(Inputs!$J$7-Inputs!$I$7)))*12.9898+(Inputs!$C$6)*78.233+Inputs!$C$47*37.719))*43758.5453)-INT((SIN((((Inputs!$I$7+(((A28)+1)/2)*(Inputs!$J$7-Inputs!$I$7)))*12.9898+(Inputs!$C$6)*78.233+Inputs!$C$47*37.719))*43758.5453)))-1))),NA())</f>
        <v/>
      </c>
      <c r="AU28" s="9">
        <f>IF(OR(Inputs!$F$8=TRUE,Inputs!$F$8="TRUE",Inputs!$F$8=1),IF(OR(Inputs!$C$27=TRUE,Inputs!$C$27="TRUE",Inputs!$C$27=1),1,0)*(Inputs!$C$51*(115*EXP(-(((Inputs!$C$6)-25)^2)/(4.5^2))+70*EXP(-(((Inputs!$C$6)+38)^2)/(7^2))*(0.55+0.45*SIN(2*PI()*((Inputs!$I$8+(((A28)+1)/2)*(Inputs!$J$8-Inputs!$I$8)))/45))+24*SIN(2*PI()*(Inputs!$C$6)/9+((Inputs!$I$8+(((A28)+1)/2)*(Inputs!$J$8-Inputs!$I$8)))/18)*EXP(-(((Inputs!$C$6)+5)^2)/(22^2))+18*SIN(2*PI()*((Inputs!$I$8+(((A28)+1)/2)*(Inputs!$J$8-Inputs!$I$8)))/70))+Inputs!$C$28*EXP(-((((Inputs!$I$8+(((A28)+1)/2)*(Inputs!$J$8-Inputs!$I$8)))-Inputs!$C$29)^2)/(2*Inputs!$C$31^2))*EXP(-(((Inputs!$C$6)-Inputs!$C$30)^2)/(2*Inputs!$C$32^2))+-Inputs!$C$33*EXP(-((((((Inputs!$I$8+(((A28)+1)/2)*(Inputs!$J$8-Inputs!$I$8)))-Inputs!$C$34)^2)+(((Inputs!$C$6)-Inputs!$C$35)^2))/(2*Inputs!$C$36^2)))+Inputs!$C$37*(0.55*SIN(2*PI()*((Inputs!$I$8+(((A28)+1)/2)*(Inputs!$J$8-Inputs!$I$8)))/Inputs!$C$39)+0.35*COS(2*PI()*(Inputs!$C$6)/Inputs!$C$40)+0.2*SIN(2*PI()*(((Inputs!$I$8+(((A28)+1)/2)*(Inputs!$J$8-Inputs!$I$8)))+(Inputs!$C$6))/(0.5*(Inputs!$C$39+Inputs!$C$40))))+Inputs!$C$38*SIN(2*PI()*((Inputs!$I$8+(((A28)+1)/2)*(Inputs!$J$8-Inputs!$I$8)))/Inputs!$C$39)*SIN(2*PI()*(Inputs!$C$6)/Inputs!$C$40)+-Inputs!$C$41*EXP(-(((Inputs!$C$6)-Inputs!$C$43)^2)/(2*Inputs!$C$44^2))*EXP(-((((Inputs!$I$8+(((A28)+1)/2)*(Inputs!$J$8-Inputs!$I$8)))-Inputs!$C$42)^2)/(2*Inputs!$C$45^2))+Inputs!$C$48*(0.7*(0.45*SIN(2*PI()*((((Inputs!$I$8+(((A28)+1)/2)*(Inputs!$J$8-Inputs!$I$8)))/Inputs!$C$49)+Inputs!$C$47*0.137))+0.35*COS(2*PI()*(((Inputs!$C$6)/Inputs!$C$50)+Inputs!$C$47*0.173))+0.2*SIN(2*PI()*((((Inputs!$I$8+(((A28)+1)/2)*(Inputs!$J$8-Inputs!$I$8)))+(Inputs!$C$6))/(0.5*(Inputs!$C$49+Inputs!$C$50))+Inputs!$C$47*0.097)))+0.3*(2*((SIN((((Inputs!$I$8+(((A28)+1)/2)*(Inputs!$J$8-Inputs!$I$8)))*12.9898+(Inputs!$C$6)*78.233+Inputs!$C$47*37.719))*43758.5453)-INT((SIN((((Inputs!$I$8+(((A28)+1)/2)*(Inputs!$J$8-Inputs!$I$8)))*12.9898+(Inputs!$C$6)*78.233+Inputs!$C$47*37.719))*43758.5453)))-1))),NA())</f>
        <v/>
      </c>
      <c r="AV28" s="9">
        <f>IF(OR(Inputs!$F$9=TRUE,Inputs!$F$9="TRUE",Inputs!$F$9=1),IF(OR(Inputs!$C$27=TRUE,Inputs!$C$27="TRUE",Inputs!$C$27=1),1,0)*(Inputs!$C$51*(115*EXP(-(((Inputs!$C$6)-25)^2)/(4.5^2))+70*EXP(-(((Inputs!$C$6)+38)^2)/(7^2))*(0.55+0.45*SIN(2*PI()*((Inputs!$I$9+(((A28)+1)/2)*(Inputs!$J$9-Inputs!$I$9)))/45))+24*SIN(2*PI()*(Inputs!$C$6)/9+((Inputs!$I$9+(((A28)+1)/2)*(Inputs!$J$9-Inputs!$I$9)))/18)*EXP(-(((Inputs!$C$6)+5)^2)/(22^2))+18*SIN(2*PI()*((Inputs!$I$9+(((A28)+1)/2)*(Inputs!$J$9-Inputs!$I$9)))/70))+Inputs!$C$28*EXP(-((((Inputs!$I$9+(((A28)+1)/2)*(Inputs!$J$9-Inputs!$I$9)))-Inputs!$C$29)^2)/(2*Inputs!$C$31^2))*EXP(-(((Inputs!$C$6)-Inputs!$C$30)^2)/(2*Inputs!$C$32^2))+-Inputs!$C$33*EXP(-((((((Inputs!$I$9+(((A28)+1)/2)*(Inputs!$J$9-Inputs!$I$9)))-Inputs!$C$34)^2)+(((Inputs!$C$6)-Inputs!$C$35)^2))/(2*Inputs!$C$36^2)))+Inputs!$C$37*(0.55*SIN(2*PI()*((Inputs!$I$9+(((A28)+1)/2)*(Inputs!$J$9-Inputs!$I$9)))/Inputs!$C$39)+0.35*COS(2*PI()*(Inputs!$C$6)/Inputs!$C$40)+0.2*SIN(2*PI()*(((Inputs!$I$9+(((A28)+1)/2)*(Inputs!$J$9-Inputs!$I$9)))+(Inputs!$C$6))/(0.5*(Inputs!$C$39+Inputs!$C$40))))+Inputs!$C$38*SIN(2*PI()*((Inputs!$I$9+(((A28)+1)/2)*(Inputs!$J$9-Inputs!$I$9)))/Inputs!$C$39)*SIN(2*PI()*(Inputs!$C$6)/Inputs!$C$40)+-Inputs!$C$41*EXP(-(((Inputs!$C$6)-Inputs!$C$43)^2)/(2*Inputs!$C$44^2))*EXP(-((((Inputs!$I$9+(((A28)+1)/2)*(Inputs!$J$9-Inputs!$I$9)))-Inputs!$C$42)^2)/(2*Inputs!$C$45^2))+Inputs!$C$48*(0.7*(0.45*SIN(2*PI()*((((Inputs!$I$9+(((A28)+1)/2)*(Inputs!$J$9-Inputs!$I$9)))/Inputs!$C$49)+Inputs!$C$47*0.137))+0.35*COS(2*PI()*(((Inputs!$C$6)/Inputs!$C$50)+Inputs!$C$47*0.173))+0.2*SIN(2*PI()*((((Inputs!$I$9+(((A28)+1)/2)*(Inputs!$J$9-Inputs!$I$9)))+(Inputs!$C$6))/(0.5*(Inputs!$C$49+Inputs!$C$50))+Inputs!$C$47*0.097)))+0.3*(2*((SIN((((Inputs!$I$9+(((A28)+1)/2)*(Inputs!$J$9-Inputs!$I$9)))*12.9898+(Inputs!$C$6)*78.233+Inputs!$C$47*37.719))*43758.5453)-INT((SIN((((Inputs!$I$9+(((A28)+1)/2)*(Inputs!$J$9-Inputs!$I$9)))*12.9898+(Inputs!$C$6)*78.233+Inputs!$C$47*37.719))*43758.5453)))-1))),NA())</f>
        <v/>
      </c>
      <c r="AW28" s="10" t="n"/>
      <c r="AX28" s="9">
        <f>A28</f>
        <v/>
      </c>
      <c r="AY28" s="9">
        <f>0</f>
        <v/>
      </c>
      <c r="AZ28" s="9">
        <f>IF(OR(Inputs!$F$6=TRUE,Inputs!$F$6="TRUE",Inputs!$F$6=1),(Inputs!$H$6+Inputs!$L$6*(((Inputs!$I$6+(((A28)+1)/2)*(Inputs!$J$6-Inputs!$I$6)))/Inputs!$K$6)^2),NA())</f>
        <v/>
      </c>
      <c r="BA28" s="9">
        <f>IF(OR(Inputs!$F$7=TRUE,Inputs!$F$7="TRUE",Inputs!$F$7=1),(Inputs!$H$7+Inputs!$L$7*(((Inputs!$I$7+(((A28)+1)/2)*(Inputs!$J$7-Inputs!$I$7)))/Inputs!$K$7)^2),NA())</f>
        <v/>
      </c>
      <c r="BB28" s="9">
        <f>IF(OR(Inputs!$F$8=TRUE,Inputs!$F$8="TRUE",Inputs!$F$8=1),(Inputs!$H$8+Inputs!$L$8*(((Inputs!$I$8+(((A28)+1)/2)*(Inputs!$J$8-Inputs!$I$8)))/Inputs!$K$8)^2),NA())</f>
        <v/>
      </c>
      <c r="BC28" s="9">
        <f>IF(OR(Inputs!$F$9=TRUE,Inputs!$F$9="TRUE",Inputs!$F$9=1),(Inputs!$H$9+Inputs!$L$9*(((Inputs!$I$9+(((A28)+1)/2)*(Inputs!$J$9-Inputs!$I$9)))/Inputs!$K$9)^2),NA())</f>
        <v/>
      </c>
      <c r="BD28" s="10" t="n"/>
      <c r="BE28" s="9">
        <f>A28</f>
        <v/>
      </c>
      <c r="BF28" s="9">
        <f>0</f>
        <v/>
      </c>
      <c r="BG28" s="9">
        <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f>
        <v/>
      </c>
      <c r="BH28" s="9">
        <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f>
        <v/>
      </c>
      <c r="BI28" s="9">
        <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f>
        <v/>
      </c>
      <c r="BJ28" s="9">
        <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f>
        <v/>
      </c>
    </row>
    <row r="29">
      <c r="A29" s="9">
        <f>ROUND(-1+27*2/240,3)</f>
        <v/>
      </c>
      <c r="B29" s="9">
        <f>IF(OR(Inputs!$F$6=TRUE,Inputs!$F$6="TRUE",Inputs!$F$6=1),(Inputs!$H$6+Inputs!$L$6*(((Inputs!$I$6+(((A29)+1)/2)*(Inputs!$J$6-Inputs!$I$6)))/Inputs!$K$6)^2),NA())</f>
        <v/>
      </c>
      <c r="C29" s="9">
        <f>IF(OR(Inputs!$F$7=TRUE,Inputs!$F$7="TRUE",Inputs!$F$7=1),(Inputs!$H$7+Inputs!$L$7*(((Inputs!$I$7+(((A29)+1)/2)*(Inputs!$J$7-Inputs!$I$7)))/Inputs!$K$7)^2),NA())</f>
        <v/>
      </c>
      <c r="D29" s="9">
        <f>IF(OR(Inputs!$F$8=TRUE,Inputs!$F$8="TRUE",Inputs!$F$8=1),(Inputs!$H$8+Inputs!$L$8*(((Inputs!$I$8+(((A29)+1)/2)*(Inputs!$J$8-Inputs!$I$8)))/Inputs!$K$8)^2),NA())</f>
        <v/>
      </c>
      <c r="E29" s="9">
        <f>IF(OR(Inputs!$F$9=TRUE,Inputs!$F$9="TRUE",Inputs!$F$9=1),(Inputs!$H$9+Inputs!$L$9*(((Inputs!$I$9+(((A29)+1)/2)*(Inputs!$J$9-Inputs!$I$9)))/Inputs!$K$9)^2),NA())</f>
        <v/>
      </c>
      <c r="F29" s="10" t="n"/>
      <c r="G29" s="9">
        <f>A29</f>
        <v/>
      </c>
      <c r="H29" s="9">
        <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f>
        <v/>
      </c>
      <c r="I29" s="9">
        <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f>
        <v/>
      </c>
      <c r="J29" s="9">
        <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f>
        <v/>
      </c>
      <c r="K29" s="9">
        <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f>
        <v/>
      </c>
      <c r="L29" s="10" t="n"/>
      <c r="M29" s="9">
        <f>A29</f>
        <v/>
      </c>
      <c r="N29" s="9">
        <f>IF(OR(Inputs!$F$6=TRUE,Inputs!$F$6="TRUE",Inputs!$F$6=1),(-2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NA())</f>
        <v/>
      </c>
      <c r="O29" s="9">
        <f>IF(OR(Inputs!$F$7=TRUE,Inputs!$F$7="TRUE",Inputs!$F$7=1),(-2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NA())</f>
        <v/>
      </c>
      <c r="P29" s="9">
        <f>IF(OR(Inputs!$F$8=TRUE,Inputs!$F$8="TRUE",Inputs!$F$8=1),(-2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NA())</f>
        <v/>
      </c>
      <c r="Q29" s="9">
        <f>IF(OR(Inputs!$F$9=TRUE,Inputs!$F$9="TRUE",Inputs!$F$9=1),(-2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NA())</f>
        <v/>
      </c>
      <c r="R29" s="10" t="n"/>
      <c r="S29" s="9">
        <f>A29</f>
        <v/>
      </c>
      <c r="T29" s="9">
        <f>(Inputs!$I$6+(((A29)+1)/2)*(Inputs!$J$6-Inputs!$I$6))</f>
        <v/>
      </c>
      <c r="U29" s="9">
        <f>(Inputs!$I$7+(((A29)+1)/2)*(Inputs!$J$7-Inputs!$I$7))</f>
        <v/>
      </c>
      <c r="V29" s="9">
        <f>(Inputs!$I$8+(((A29)+1)/2)*(Inputs!$J$8-Inputs!$I$8))</f>
        <v/>
      </c>
      <c r="W29" s="9">
        <f>(Inputs!$I$9+(((A29)+1)/2)*(Inputs!$J$9-Inputs!$I$9))</f>
        <v/>
      </c>
      <c r="X29" s="10" t="n"/>
      <c r="Y29" s="9">
        <f>A29</f>
        <v/>
      </c>
      <c r="Z29" s="9">
        <f>(Inputs!$H$6+Inputs!$L$6*(((Inputs!$I$6+(((A29)+1)/2)*(Inputs!$J$6-Inputs!$I$6)))/Inputs!$K$6)^2)</f>
        <v/>
      </c>
      <c r="AA29" s="9">
        <f>(Inputs!$H$7+Inputs!$L$7*(((Inputs!$I$7+(((A29)+1)/2)*(Inputs!$J$7-Inputs!$I$7)))/Inputs!$K$7)^2)</f>
        <v/>
      </c>
      <c r="AB29" s="9">
        <f>(Inputs!$H$8+Inputs!$L$8*(((Inputs!$I$8+(((A29)+1)/2)*(Inputs!$J$8-Inputs!$I$8)))/Inputs!$K$8)^2)</f>
        <v/>
      </c>
      <c r="AC29" s="9">
        <f>(Inputs!$H$9+Inputs!$L$9*(((Inputs!$I$9+(((A29)+1)/2)*(Inputs!$J$9-Inputs!$I$9)))/Inputs!$K$9)^2)</f>
        <v/>
      </c>
      <c r="AD29" s="10" t="n"/>
      <c r="AE29" s="9">
        <f>A29</f>
        <v/>
      </c>
      <c r="AF29" s="9">
        <f>(((SQRT((Inputs!$C$52+((Inputs!$H$6+Inputs!$L$6*(((Inputs!$I$6+(((A29)+1)/2)*(Inputs!$J$6-Inputs!$I$6)))/Inputs!$K$6)^2)))^2+Inputs!$C$52^2-2*(Inputs!$C$52+((Inputs!$H$6+Inputs!$L$6*(((Inputs!$I$6+(((A29)+1)/2)*(Inputs!$J$6-Inputs!$I$6)))/Inputs!$K$6)^2)))*Inputs!$C$52*COS(SQRT(((Inputs!$I$6+(((A29)+1)/2)*(Inputs!$J$6-Inputs!$I$6)))^2+Inputs!$C$6^2)/Inputs!$C$52)))-((Inputs!$H$6+Inputs!$L$6*(((Inputs!$I$6+(((A29)+1)/2)*(Inputs!$J$6-Inputs!$I$6)))/Inputs!$K$6)^2)))*1000/Inputs!$C$12)</f>
        <v/>
      </c>
      <c r="AG29" s="9">
        <f>(((SQRT((Inputs!$C$52+((Inputs!$H$7+Inputs!$L$7*(((Inputs!$I$7+(((A29)+1)/2)*(Inputs!$J$7-Inputs!$I$7)))/Inputs!$K$7)^2)))^2+Inputs!$C$52^2-2*(Inputs!$C$52+((Inputs!$H$7+Inputs!$L$7*(((Inputs!$I$7+(((A29)+1)/2)*(Inputs!$J$7-Inputs!$I$7)))/Inputs!$K$7)^2)))*Inputs!$C$52*COS(SQRT(((Inputs!$I$7+(((A29)+1)/2)*(Inputs!$J$7-Inputs!$I$7)))^2+Inputs!$C$6^2)/Inputs!$C$52)))-((Inputs!$H$7+Inputs!$L$7*(((Inputs!$I$7+(((A29)+1)/2)*(Inputs!$J$7-Inputs!$I$7)))/Inputs!$K$7)^2)))*1000/Inputs!$C$12)</f>
        <v/>
      </c>
      <c r="AH29" s="9">
        <f>(((SQRT((Inputs!$C$52+((Inputs!$H$8+Inputs!$L$8*(((Inputs!$I$8+(((A29)+1)/2)*(Inputs!$J$8-Inputs!$I$8)))/Inputs!$K$8)^2)))^2+Inputs!$C$52^2-2*(Inputs!$C$52+((Inputs!$H$8+Inputs!$L$8*(((Inputs!$I$8+(((A29)+1)/2)*(Inputs!$J$8-Inputs!$I$8)))/Inputs!$K$8)^2)))*Inputs!$C$52*COS(SQRT(((Inputs!$I$8+(((A29)+1)/2)*(Inputs!$J$8-Inputs!$I$8)))^2+Inputs!$C$6^2)/Inputs!$C$52)))-((Inputs!$H$8+Inputs!$L$8*(((Inputs!$I$8+(((A29)+1)/2)*(Inputs!$J$8-Inputs!$I$8)))/Inputs!$K$8)^2)))*1000/Inputs!$C$12)</f>
        <v/>
      </c>
      <c r="AI29" s="9">
        <f>(((SQRT((Inputs!$C$52+((Inputs!$H$9+Inputs!$L$9*(((Inputs!$I$9+(((A29)+1)/2)*(Inputs!$J$9-Inputs!$I$9)))/Inputs!$K$9)^2)))^2+Inputs!$C$52^2-2*(Inputs!$C$52+((Inputs!$H$9+Inputs!$L$9*(((Inputs!$I$9+(((A29)+1)/2)*(Inputs!$J$9-Inputs!$I$9)))/Inputs!$K$9)^2)))*Inputs!$C$52*COS(SQRT(((Inputs!$I$9+(((A29)+1)/2)*(Inputs!$J$9-Inputs!$I$9)))^2+Inputs!$C$6^2)/Inputs!$C$52)))-((Inputs!$H$9+Inputs!$L$9*(((Inputs!$I$9+(((A29)+1)/2)*(Inputs!$J$9-Inputs!$I$9)))/Inputs!$K$9)^2)))*1000/Inputs!$C$12)</f>
        <v/>
      </c>
      <c r="AJ29" s="10" t="n"/>
      <c r="AK29" s="9">
        <f>A29</f>
        <v/>
      </c>
      <c r="AL29" s="9">
        <f>(-2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f>
        <v/>
      </c>
      <c r="AM29" s="9">
        <f>(-2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f>
        <v/>
      </c>
      <c r="AN29" s="9">
        <f>(-2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f>
        <v/>
      </c>
      <c r="AO29" s="9">
        <f>(-2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f>
        <v/>
      </c>
      <c r="AP29" s="10" t="n"/>
      <c r="AQ29" s="9">
        <f>A29</f>
        <v/>
      </c>
      <c r="AR29" s="9">
        <f>0</f>
        <v/>
      </c>
      <c r="AS29" s="9">
        <f>IF(OR(Inputs!$F$6=TRUE,Inputs!$F$6="TRUE",Inputs!$F$6=1),IF(OR(Inputs!$C$27=TRUE,Inputs!$C$27="TRUE",Inputs!$C$27=1),1,0)*(Inputs!$C$51*(115*EXP(-(((Inputs!$C$6)-25)^2)/(4.5^2))+70*EXP(-(((Inputs!$C$6)+38)^2)/(7^2))*(0.55+0.45*SIN(2*PI()*((Inputs!$I$6+(((A29)+1)/2)*(Inputs!$J$6-Inputs!$I$6)))/45))+24*SIN(2*PI()*(Inputs!$C$6)/9+((Inputs!$I$6+(((A29)+1)/2)*(Inputs!$J$6-Inputs!$I$6)))/18)*EXP(-(((Inputs!$C$6)+5)^2)/(22^2))+18*SIN(2*PI()*((Inputs!$I$6+(((A29)+1)/2)*(Inputs!$J$6-Inputs!$I$6)))/70))+Inputs!$C$28*EXP(-((((Inputs!$I$6+(((A29)+1)/2)*(Inputs!$J$6-Inputs!$I$6)))-Inputs!$C$29)^2)/(2*Inputs!$C$31^2))*EXP(-(((Inputs!$C$6)-Inputs!$C$30)^2)/(2*Inputs!$C$32^2))+-Inputs!$C$33*EXP(-((((((Inputs!$I$6+(((A29)+1)/2)*(Inputs!$J$6-Inputs!$I$6)))-Inputs!$C$34)^2)+(((Inputs!$C$6)-Inputs!$C$35)^2))/(2*Inputs!$C$36^2)))+Inputs!$C$37*(0.55*SIN(2*PI()*((Inputs!$I$6+(((A29)+1)/2)*(Inputs!$J$6-Inputs!$I$6)))/Inputs!$C$39)+0.35*COS(2*PI()*(Inputs!$C$6)/Inputs!$C$40)+0.2*SIN(2*PI()*(((Inputs!$I$6+(((A29)+1)/2)*(Inputs!$J$6-Inputs!$I$6)))+(Inputs!$C$6))/(0.5*(Inputs!$C$39+Inputs!$C$40))))+Inputs!$C$38*SIN(2*PI()*((Inputs!$I$6+(((A29)+1)/2)*(Inputs!$J$6-Inputs!$I$6)))/Inputs!$C$39)*SIN(2*PI()*(Inputs!$C$6)/Inputs!$C$40)+-Inputs!$C$41*EXP(-(((Inputs!$C$6)-Inputs!$C$43)^2)/(2*Inputs!$C$44^2))*EXP(-((((Inputs!$I$6+(((A29)+1)/2)*(Inputs!$J$6-Inputs!$I$6)))-Inputs!$C$42)^2)/(2*Inputs!$C$45^2))+Inputs!$C$48*(0.7*(0.45*SIN(2*PI()*((((Inputs!$I$6+(((A29)+1)/2)*(Inputs!$J$6-Inputs!$I$6)))/Inputs!$C$49)+Inputs!$C$47*0.137))+0.35*COS(2*PI()*(((Inputs!$C$6)/Inputs!$C$50)+Inputs!$C$47*0.173))+0.2*SIN(2*PI()*((((Inputs!$I$6+(((A29)+1)/2)*(Inputs!$J$6-Inputs!$I$6)))+(Inputs!$C$6))/(0.5*(Inputs!$C$49+Inputs!$C$50))+Inputs!$C$47*0.097)))+0.3*(2*((SIN((((Inputs!$I$6+(((A29)+1)/2)*(Inputs!$J$6-Inputs!$I$6)))*12.9898+(Inputs!$C$6)*78.233+Inputs!$C$47*37.719))*43758.5453)-INT((SIN((((Inputs!$I$6+(((A29)+1)/2)*(Inputs!$J$6-Inputs!$I$6)))*12.9898+(Inputs!$C$6)*78.233+Inputs!$C$47*37.719))*43758.5453)))-1))),NA())</f>
        <v/>
      </c>
      <c r="AT29" s="9">
        <f>IF(OR(Inputs!$F$7=TRUE,Inputs!$F$7="TRUE",Inputs!$F$7=1),IF(OR(Inputs!$C$27=TRUE,Inputs!$C$27="TRUE",Inputs!$C$27=1),1,0)*(Inputs!$C$51*(115*EXP(-(((Inputs!$C$6)-25)^2)/(4.5^2))+70*EXP(-(((Inputs!$C$6)+38)^2)/(7^2))*(0.55+0.45*SIN(2*PI()*((Inputs!$I$7+(((A29)+1)/2)*(Inputs!$J$7-Inputs!$I$7)))/45))+24*SIN(2*PI()*(Inputs!$C$6)/9+((Inputs!$I$7+(((A29)+1)/2)*(Inputs!$J$7-Inputs!$I$7)))/18)*EXP(-(((Inputs!$C$6)+5)^2)/(22^2))+18*SIN(2*PI()*((Inputs!$I$7+(((A29)+1)/2)*(Inputs!$J$7-Inputs!$I$7)))/70))+Inputs!$C$28*EXP(-((((Inputs!$I$7+(((A29)+1)/2)*(Inputs!$J$7-Inputs!$I$7)))-Inputs!$C$29)^2)/(2*Inputs!$C$31^2))*EXP(-(((Inputs!$C$6)-Inputs!$C$30)^2)/(2*Inputs!$C$32^2))+-Inputs!$C$33*EXP(-((((((Inputs!$I$7+(((A29)+1)/2)*(Inputs!$J$7-Inputs!$I$7)))-Inputs!$C$34)^2)+(((Inputs!$C$6)-Inputs!$C$35)^2))/(2*Inputs!$C$36^2)))+Inputs!$C$37*(0.55*SIN(2*PI()*((Inputs!$I$7+(((A29)+1)/2)*(Inputs!$J$7-Inputs!$I$7)))/Inputs!$C$39)+0.35*COS(2*PI()*(Inputs!$C$6)/Inputs!$C$40)+0.2*SIN(2*PI()*(((Inputs!$I$7+(((A29)+1)/2)*(Inputs!$J$7-Inputs!$I$7)))+(Inputs!$C$6))/(0.5*(Inputs!$C$39+Inputs!$C$40))))+Inputs!$C$38*SIN(2*PI()*((Inputs!$I$7+(((A29)+1)/2)*(Inputs!$J$7-Inputs!$I$7)))/Inputs!$C$39)*SIN(2*PI()*(Inputs!$C$6)/Inputs!$C$40)+-Inputs!$C$41*EXP(-(((Inputs!$C$6)-Inputs!$C$43)^2)/(2*Inputs!$C$44^2))*EXP(-((((Inputs!$I$7+(((A29)+1)/2)*(Inputs!$J$7-Inputs!$I$7)))-Inputs!$C$42)^2)/(2*Inputs!$C$45^2))+Inputs!$C$48*(0.7*(0.45*SIN(2*PI()*((((Inputs!$I$7+(((A29)+1)/2)*(Inputs!$J$7-Inputs!$I$7)))/Inputs!$C$49)+Inputs!$C$47*0.137))+0.35*COS(2*PI()*(((Inputs!$C$6)/Inputs!$C$50)+Inputs!$C$47*0.173))+0.2*SIN(2*PI()*((((Inputs!$I$7+(((A29)+1)/2)*(Inputs!$J$7-Inputs!$I$7)))+(Inputs!$C$6))/(0.5*(Inputs!$C$49+Inputs!$C$50))+Inputs!$C$47*0.097)))+0.3*(2*((SIN((((Inputs!$I$7+(((A29)+1)/2)*(Inputs!$J$7-Inputs!$I$7)))*12.9898+(Inputs!$C$6)*78.233+Inputs!$C$47*37.719))*43758.5453)-INT((SIN((((Inputs!$I$7+(((A29)+1)/2)*(Inputs!$J$7-Inputs!$I$7)))*12.9898+(Inputs!$C$6)*78.233+Inputs!$C$47*37.719))*43758.5453)))-1))),NA())</f>
        <v/>
      </c>
      <c r="AU29" s="9">
        <f>IF(OR(Inputs!$F$8=TRUE,Inputs!$F$8="TRUE",Inputs!$F$8=1),IF(OR(Inputs!$C$27=TRUE,Inputs!$C$27="TRUE",Inputs!$C$27=1),1,0)*(Inputs!$C$51*(115*EXP(-(((Inputs!$C$6)-25)^2)/(4.5^2))+70*EXP(-(((Inputs!$C$6)+38)^2)/(7^2))*(0.55+0.45*SIN(2*PI()*((Inputs!$I$8+(((A29)+1)/2)*(Inputs!$J$8-Inputs!$I$8)))/45))+24*SIN(2*PI()*(Inputs!$C$6)/9+((Inputs!$I$8+(((A29)+1)/2)*(Inputs!$J$8-Inputs!$I$8)))/18)*EXP(-(((Inputs!$C$6)+5)^2)/(22^2))+18*SIN(2*PI()*((Inputs!$I$8+(((A29)+1)/2)*(Inputs!$J$8-Inputs!$I$8)))/70))+Inputs!$C$28*EXP(-((((Inputs!$I$8+(((A29)+1)/2)*(Inputs!$J$8-Inputs!$I$8)))-Inputs!$C$29)^2)/(2*Inputs!$C$31^2))*EXP(-(((Inputs!$C$6)-Inputs!$C$30)^2)/(2*Inputs!$C$32^2))+-Inputs!$C$33*EXP(-((((((Inputs!$I$8+(((A29)+1)/2)*(Inputs!$J$8-Inputs!$I$8)))-Inputs!$C$34)^2)+(((Inputs!$C$6)-Inputs!$C$35)^2))/(2*Inputs!$C$36^2)))+Inputs!$C$37*(0.55*SIN(2*PI()*((Inputs!$I$8+(((A29)+1)/2)*(Inputs!$J$8-Inputs!$I$8)))/Inputs!$C$39)+0.35*COS(2*PI()*(Inputs!$C$6)/Inputs!$C$40)+0.2*SIN(2*PI()*(((Inputs!$I$8+(((A29)+1)/2)*(Inputs!$J$8-Inputs!$I$8)))+(Inputs!$C$6))/(0.5*(Inputs!$C$39+Inputs!$C$40))))+Inputs!$C$38*SIN(2*PI()*((Inputs!$I$8+(((A29)+1)/2)*(Inputs!$J$8-Inputs!$I$8)))/Inputs!$C$39)*SIN(2*PI()*(Inputs!$C$6)/Inputs!$C$40)+-Inputs!$C$41*EXP(-(((Inputs!$C$6)-Inputs!$C$43)^2)/(2*Inputs!$C$44^2))*EXP(-((((Inputs!$I$8+(((A29)+1)/2)*(Inputs!$J$8-Inputs!$I$8)))-Inputs!$C$42)^2)/(2*Inputs!$C$45^2))+Inputs!$C$48*(0.7*(0.45*SIN(2*PI()*((((Inputs!$I$8+(((A29)+1)/2)*(Inputs!$J$8-Inputs!$I$8)))/Inputs!$C$49)+Inputs!$C$47*0.137))+0.35*COS(2*PI()*(((Inputs!$C$6)/Inputs!$C$50)+Inputs!$C$47*0.173))+0.2*SIN(2*PI()*((((Inputs!$I$8+(((A29)+1)/2)*(Inputs!$J$8-Inputs!$I$8)))+(Inputs!$C$6))/(0.5*(Inputs!$C$49+Inputs!$C$50))+Inputs!$C$47*0.097)))+0.3*(2*((SIN((((Inputs!$I$8+(((A29)+1)/2)*(Inputs!$J$8-Inputs!$I$8)))*12.9898+(Inputs!$C$6)*78.233+Inputs!$C$47*37.719))*43758.5453)-INT((SIN((((Inputs!$I$8+(((A29)+1)/2)*(Inputs!$J$8-Inputs!$I$8)))*12.9898+(Inputs!$C$6)*78.233+Inputs!$C$47*37.719))*43758.5453)))-1))),NA())</f>
        <v/>
      </c>
      <c r="AV29" s="9">
        <f>IF(OR(Inputs!$F$9=TRUE,Inputs!$F$9="TRUE",Inputs!$F$9=1),IF(OR(Inputs!$C$27=TRUE,Inputs!$C$27="TRUE",Inputs!$C$27=1),1,0)*(Inputs!$C$51*(115*EXP(-(((Inputs!$C$6)-25)^2)/(4.5^2))+70*EXP(-(((Inputs!$C$6)+38)^2)/(7^2))*(0.55+0.45*SIN(2*PI()*((Inputs!$I$9+(((A29)+1)/2)*(Inputs!$J$9-Inputs!$I$9)))/45))+24*SIN(2*PI()*(Inputs!$C$6)/9+((Inputs!$I$9+(((A29)+1)/2)*(Inputs!$J$9-Inputs!$I$9)))/18)*EXP(-(((Inputs!$C$6)+5)^2)/(22^2))+18*SIN(2*PI()*((Inputs!$I$9+(((A29)+1)/2)*(Inputs!$J$9-Inputs!$I$9)))/70))+Inputs!$C$28*EXP(-((((Inputs!$I$9+(((A29)+1)/2)*(Inputs!$J$9-Inputs!$I$9)))-Inputs!$C$29)^2)/(2*Inputs!$C$31^2))*EXP(-(((Inputs!$C$6)-Inputs!$C$30)^2)/(2*Inputs!$C$32^2))+-Inputs!$C$33*EXP(-((((((Inputs!$I$9+(((A29)+1)/2)*(Inputs!$J$9-Inputs!$I$9)))-Inputs!$C$34)^2)+(((Inputs!$C$6)-Inputs!$C$35)^2))/(2*Inputs!$C$36^2)))+Inputs!$C$37*(0.55*SIN(2*PI()*((Inputs!$I$9+(((A29)+1)/2)*(Inputs!$J$9-Inputs!$I$9)))/Inputs!$C$39)+0.35*COS(2*PI()*(Inputs!$C$6)/Inputs!$C$40)+0.2*SIN(2*PI()*(((Inputs!$I$9+(((A29)+1)/2)*(Inputs!$J$9-Inputs!$I$9)))+(Inputs!$C$6))/(0.5*(Inputs!$C$39+Inputs!$C$40))))+Inputs!$C$38*SIN(2*PI()*((Inputs!$I$9+(((A29)+1)/2)*(Inputs!$J$9-Inputs!$I$9)))/Inputs!$C$39)*SIN(2*PI()*(Inputs!$C$6)/Inputs!$C$40)+-Inputs!$C$41*EXP(-(((Inputs!$C$6)-Inputs!$C$43)^2)/(2*Inputs!$C$44^2))*EXP(-((((Inputs!$I$9+(((A29)+1)/2)*(Inputs!$J$9-Inputs!$I$9)))-Inputs!$C$42)^2)/(2*Inputs!$C$45^2))+Inputs!$C$48*(0.7*(0.45*SIN(2*PI()*((((Inputs!$I$9+(((A29)+1)/2)*(Inputs!$J$9-Inputs!$I$9)))/Inputs!$C$49)+Inputs!$C$47*0.137))+0.35*COS(2*PI()*(((Inputs!$C$6)/Inputs!$C$50)+Inputs!$C$47*0.173))+0.2*SIN(2*PI()*((((Inputs!$I$9+(((A29)+1)/2)*(Inputs!$J$9-Inputs!$I$9)))+(Inputs!$C$6))/(0.5*(Inputs!$C$49+Inputs!$C$50))+Inputs!$C$47*0.097)))+0.3*(2*((SIN((((Inputs!$I$9+(((A29)+1)/2)*(Inputs!$J$9-Inputs!$I$9)))*12.9898+(Inputs!$C$6)*78.233+Inputs!$C$47*37.719))*43758.5453)-INT((SIN((((Inputs!$I$9+(((A29)+1)/2)*(Inputs!$J$9-Inputs!$I$9)))*12.9898+(Inputs!$C$6)*78.233+Inputs!$C$47*37.719))*43758.5453)))-1))),NA())</f>
        <v/>
      </c>
      <c r="AW29" s="10" t="n"/>
      <c r="AX29" s="9">
        <f>A29</f>
        <v/>
      </c>
      <c r="AY29" s="9">
        <f>0</f>
        <v/>
      </c>
      <c r="AZ29" s="9">
        <f>IF(OR(Inputs!$F$6=TRUE,Inputs!$F$6="TRUE",Inputs!$F$6=1),(Inputs!$H$6+Inputs!$L$6*(((Inputs!$I$6+(((A29)+1)/2)*(Inputs!$J$6-Inputs!$I$6)))/Inputs!$K$6)^2),NA())</f>
        <v/>
      </c>
      <c r="BA29" s="9">
        <f>IF(OR(Inputs!$F$7=TRUE,Inputs!$F$7="TRUE",Inputs!$F$7=1),(Inputs!$H$7+Inputs!$L$7*(((Inputs!$I$7+(((A29)+1)/2)*(Inputs!$J$7-Inputs!$I$7)))/Inputs!$K$7)^2),NA())</f>
        <v/>
      </c>
      <c r="BB29" s="9">
        <f>IF(OR(Inputs!$F$8=TRUE,Inputs!$F$8="TRUE",Inputs!$F$8=1),(Inputs!$H$8+Inputs!$L$8*(((Inputs!$I$8+(((A29)+1)/2)*(Inputs!$J$8-Inputs!$I$8)))/Inputs!$K$8)^2),NA())</f>
        <v/>
      </c>
      <c r="BC29" s="9">
        <f>IF(OR(Inputs!$F$9=TRUE,Inputs!$F$9="TRUE",Inputs!$F$9=1),(Inputs!$H$9+Inputs!$L$9*(((Inputs!$I$9+(((A29)+1)/2)*(Inputs!$J$9-Inputs!$I$9)))/Inputs!$K$9)^2),NA())</f>
        <v/>
      </c>
      <c r="BD29" s="10" t="n"/>
      <c r="BE29" s="9">
        <f>A29</f>
        <v/>
      </c>
      <c r="BF29" s="9">
        <f>0</f>
        <v/>
      </c>
      <c r="BG29" s="9">
        <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f>
        <v/>
      </c>
      <c r="BH29" s="9">
        <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f>
        <v/>
      </c>
      <c r="BI29" s="9">
        <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f>
        <v/>
      </c>
      <c r="BJ29" s="9">
        <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f>
        <v/>
      </c>
    </row>
    <row r="30">
      <c r="A30" s="9">
        <f>ROUND(-1+28*2/240,3)</f>
        <v/>
      </c>
      <c r="B30" s="9">
        <f>IF(OR(Inputs!$F$6=TRUE,Inputs!$F$6="TRUE",Inputs!$F$6=1),(Inputs!$H$6+Inputs!$L$6*(((Inputs!$I$6+(((A30)+1)/2)*(Inputs!$J$6-Inputs!$I$6)))/Inputs!$K$6)^2),NA())</f>
        <v/>
      </c>
      <c r="C30" s="9">
        <f>IF(OR(Inputs!$F$7=TRUE,Inputs!$F$7="TRUE",Inputs!$F$7=1),(Inputs!$H$7+Inputs!$L$7*(((Inputs!$I$7+(((A30)+1)/2)*(Inputs!$J$7-Inputs!$I$7)))/Inputs!$K$7)^2),NA())</f>
        <v/>
      </c>
      <c r="D30" s="9">
        <f>IF(OR(Inputs!$F$8=TRUE,Inputs!$F$8="TRUE",Inputs!$F$8=1),(Inputs!$H$8+Inputs!$L$8*(((Inputs!$I$8+(((A30)+1)/2)*(Inputs!$J$8-Inputs!$I$8)))/Inputs!$K$8)^2),NA())</f>
        <v/>
      </c>
      <c r="E30" s="9">
        <f>IF(OR(Inputs!$F$9=TRUE,Inputs!$F$9="TRUE",Inputs!$F$9=1),(Inputs!$H$9+Inputs!$L$9*(((Inputs!$I$9+(((A30)+1)/2)*(Inputs!$J$9-Inputs!$I$9)))/Inputs!$K$9)^2),NA())</f>
        <v/>
      </c>
      <c r="F30" s="10" t="n"/>
      <c r="G30" s="9">
        <f>A30</f>
        <v/>
      </c>
      <c r="H30" s="9">
        <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f>
        <v/>
      </c>
      <c r="I30" s="9">
        <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f>
        <v/>
      </c>
      <c r="J30" s="9">
        <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f>
        <v/>
      </c>
      <c r="K30" s="9">
        <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f>
        <v/>
      </c>
      <c r="L30" s="10" t="n"/>
      <c r="M30" s="9">
        <f>A30</f>
        <v/>
      </c>
      <c r="N30" s="9">
        <f>IF(OR(Inputs!$F$6=TRUE,Inputs!$F$6="TRUE",Inputs!$F$6=1),(-2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NA())</f>
        <v/>
      </c>
      <c r="O30" s="9">
        <f>IF(OR(Inputs!$F$7=TRUE,Inputs!$F$7="TRUE",Inputs!$F$7=1),(-2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NA())</f>
        <v/>
      </c>
      <c r="P30" s="9">
        <f>IF(OR(Inputs!$F$8=TRUE,Inputs!$F$8="TRUE",Inputs!$F$8=1),(-2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NA())</f>
        <v/>
      </c>
      <c r="Q30" s="9">
        <f>IF(OR(Inputs!$F$9=TRUE,Inputs!$F$9="TRUE",Inputs!$F$9=1),(-2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NA())</f>
        <v/>
      </c>
      <c r="R30" s="10" t="n"/>
      <c r="S30" s="9">
        <f>A30</f>
        <v/>
      </c>
      <c r="T30" s="9">
        <f>(Inputs!$I$6+(((A30)+1)/2)*(Inputs!$J$6-Inputs!$I$6))</f>
        <v/>
      </c>
      <c r="U30" s="9">
        <f>(Inputs!$I$7+(((A30)+1)/2)*(Inputs!$J$7-Inputs!$I$7))</f>
        <v/>
      </c>
      <c r="V30" s="9">
        <f>(Inputs!$I$8+(((A30)+1)/2)*(Inputs!$J$8-Inputs!$I$8))</f>
        <v/>
      </c>
      <c r="W30" s="9">
        <f>(Inputs!$I$9+(((A30)+1)/2)*(Inputs!$J$9-Inputs!$I$9))</f>
        <v/>
      </c>
      <c r="X30" s="10" t="n"/>
      <c r="Y30" s="9">
        <f>A30</f>
        <v/>
      </c>
      <c r="Z30" s="9">
        <f>(Inputs!$H$6+Inputs!$L$6*(((Inputs!$I$6+(((A30)+1)/2)*(Inputs!$J$6-Inputs!$I$6)))/Inputs!$K$6)^2)</f>
        <v/>
      </c>
      <c r="AA30" s="9">
        <f>(Inputs!$H$7+Inputs!$L$7*(((Inputs!$I$7+(((A30)+1)/2)*(Inputs!$J$7-Inputs!$I$7)))/Inputs!$K$7)^2)</f>
        <v/>
      </c>
      <c r="AB30" s="9">
        <f>(Inputs!$H$8+Inputs!$L$8*(((Inputs!$I$8+(((A30)+1)/2)*(Inputs!$J$8-Inputs!$I$8)))/Inputs!$K$8)^2)</f>
        <v/>
      </c>
      <c r="AC30" s="9">
        <f>(Inputs!$H$9+Inputs!$L$9*(((Inputs!$I$9+(((A30)+1)/2)*(Inputs!$J$9-Inputs!$I$9)))/Inputs!$K$9)^2)</f>
        <v/>
      </c>
      <c r="AD30" s="10" t="n"/>
      <c r="AE30" s="9">
        <f>A30</f>
        <v/>
      </c>
      <c r="AF30" s="9">
        <f>(((SQRT((Inputs!$C$52+((Inputs!$H$6+Inputs!$L$6*(((Inputs!$I$6+(((A30)+1)/2)*(Inputs!$J$6-Inputs!$I$6)))/Inputs!$K$6)^2)))^2+Inputs!$C$52^2-2*(Inputs!$C$52+((Inputs!$H$6+Inputs!$L$6*(((Inputs!$I$6+(((A30)+1)/2)*(Inputs!$J$6-Inputs!$I$6)))/Inputs!$K$6)^2)))*Inputs!$C$52*COS(SQRT(((Inputs!$I$6+(((A30)+1)/2)*(Inputs!$J$6-Inputs!$I$6)))^2+Inputs!$C$6^2)/Inputs!$C$52)))-((Inputs!$H$6+Inputs!$L$6*(((Inputs!$I$6+(((A30)+1)/2)*(Inputs!$J$6-Inputs!$I$6)))/Inputs!$K$6)^2)))*1000/Inputs!$C$12)</f>
        <v/>
      </c>
      <c r="AG30" s="9">
        <f>(((SQRT((Inputs!$C$52+((Inputs!$H$7+Inputs!$L$7*(((Inputs!$I$7+(((A30)+1)/2)*(Inputs!$J$7-Inputs!$I$7)))/Inputs!$K$7)^2)))^2+Inputs!$C$52^2-2*(Inputs!$C$52+((Inputs!$H$7+Inputs!$L$7*(((Inputs!$I$7+(((A30)+1)/2)*(Inputs!$J$7-Inputs!$I$7)))/Inputs!$K$7)^2)))*Inputs!$C$52*COS(SQRT(((Inputs!$I$7+(((A30)+1)/2)*(Inputs!$J$7-Inputs!$I$7)))^2+Inputs!$C$6^2)/Inputs!$C$52)))-((Inputs!$H$7+Inputs!$L$7*(((Inputs!$I$7+(((A30)+1)/2)*(Inputs!$J$7-Inputs!$I$7)))/Inputs!$K$7)^2)))*1000/Inputs!$C$12)</f>
        <v/>
      </c>
      <c r="AH30" s="9">
        <f>(((SQRT((Inputs!$C$52+((Inputs!$H$8+Inputs!$L$8*(((Inputs!$I$8+(((A30)+1)/2)*(Inputs!$J$8-Inputs!$I$8)))/Inputs!$K$8)^2)))^2+Inputs!$C$52^2-2*(Inputs!$C$52+((Inputs!$H$8+Inputs!$L$8*(((Inputs!$I$8+(((A30)+1)/2)*(Inputs!$J$8-Inputs!$I$8)))/Inputs!$K$8)^2)))*Inputs!$C$52*COS(SQRT(((Inputs!$I$8+(((A30)+1)/2)*(Inputs!$J$8-Inputs!$I$8)))^2+Inputs!$C$6^2)/Inputs!$C$52)))-((Inputs!$H$8+Inputs!$L$8*(((Inputs!$I$8+(((A30)+1)/2)*(Inputs!$J$8-Inputs!$I$8)))/Inputs!$K$8)^2)))*1000/Inputs!$C$12)</f>
        <v/>
      </c>
      <c r="AI30" s="9">
        <f>(((SQRT((Inputs!$C$52+((Inputs!$H$9+Inputs!$L$9*(((Inputs!$I$9+(((A30)+1)/2)*(Inputs!$J$9-Inputs!$I$9)))/Inputs!$K$9)^2)))^2+Inputs!$C$52^2-2*(Inputs!$C$52+((Inputs!$H$9+Inputs!$L$9*(((Inputs!$I$9+(((A30)+1)/2)*(Inputs!$J$9-Inputs!$I$9)))/Inputs!$K$9)^2)))*Inputs!$C$52*COS(SQRT(((Inputs!$I$9+(((A30)+1)/2)*(Inputs!$J$9-Inputs!$I$9)))^2+Inputs!$C$6^2)/Inputs!$C$52)))-((Inputs!$H$9+Inputs!$L$9*(((Inputs!$I$9+(((A30)+1)/2)*(Inputs!$J$9-Inputs!$I$9)))/Inputs!$K$9)^2)))*1000/Inputs!$C$12)</f>
        <v/>
      </c>
      <c r="AJ30" s="10" t="n"/>
      <c r="AK30" s="9">
        <f>A30</f>
        <v/>
      </c>
      <c r="AL30" s="9">
        <f>(-2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f>
        <v/>
      </c>
      <c r="AM30" s="9">
        <f>(-2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f>
        <v/>
      </c>
      <c r="AN30" s="9">
        <f>(-2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f>
        <v/>
      </c>
      <c r="AO30" s="9">
        <f>(-2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f>
        <v/>
      </c>
      <c r="AP30" s="10" t="n"/>
      <c r="AQ30" s="9">
        <f>A30</f>
        <v/>
      </c>
      <c r="AR30" s="9">
        <f>0</f>
        <v/>
      </c>
      <c r="AS30" s="9">
        <f>IF(OR(Inputs!$F$6=TRUE,Inputs!$F$6="TRUE",Inputs!$F$6=1),IF(OR(Inputs!$C$27=TRUE,Inputs!$C$27="TRUE",Inputs!$C$27=1),1,0)*(Inputs!$C$51*(115*EXP(-(((Inputs!$C$6)-25)^2)/(4.5^2))+70*EXP(-(((Inputs!$C$6)+38)^2)/(7^2))*(0.55+0.45*SIN(2*PI()*((Inputs!$I$6+(((A30)+1)/2)*(Inputs!$J$6-Inputs!$I$6)))/45))+24*SIN(2*PI()*(Inputs!$C$6)/9+((Inputs!$I$6+(((A30)+1)/2)*(Inputs!$J$6-Inputs!$I$6)))/18)*EXP(-(((Inputs!$C$6)+5)^2)/(22^2))+18*SIN(2*PI()*((Inputs!$I$6+(((A30)+1)/2)*(Inputs!$J$6-Inputs!$I$6)))/70))+Inputs!$C$28*EXP(-((((Inputs!$I$6+(((A30)+1)/2)*(Inputs!$J$6-Inputs!$I$6)))-Inputs!$C$29)^2)/(2*Inputs!$C$31^2))*EXP(-(((Inputs!$C$6)-Inputs!$C$30)^2)/(2*Inputs!$C$32^2))+-Inputs!$C$33*EXP(-((((((Inputs!$I$6+(((A30)+1)/2)*(Inputs!$J$6-Inputs!$I$6)))-Inputs!$C$34)^2)+(((Inputs!$C$6)-Inputs!$C$35)^2))/(2*Inputs!$C$36^2)))+Inputs!$C$37*(0.55*SIN(2*PI()*((Inputs!$I$6+(((A30)+1)/2)*(Inputs!$J$6-Inputs!$I$6)))/Inputs!$C$39)+0.35*COS(2*PI()*(Inputs!$C$6)/Inputs!$C$40)+0.2*SIN(2*PI()*(((Inputs!$I$6+(((A30)+1)/2)*(Inputs!$J$6-Inputs!$I$6)))+(Inputs!$C$6))/(0.5*(Inputs!$C$39+Inputs!$C$40))))+Inputs!$C$38*SIN(2*PI()*((Inputs!$I$6+(((A30)+1)/2)*(Inputs!$J$6-Inputs!$I$6)))/Inputs!$C$39)*SIN(2*PI()*(Inputs!$C$6)/Inputs!$C$40)+-Inputs!$C$41*EXP(-(((Inputs!$C$6)-Inputs!$C$43)^2)/(2*Inputs!$C$44^2))*EXP(-((((Inputs!$I$6+(((A30)+1)/2)*(Inputs!$J$6-Inputs!$I$6)))-Inputs!$C$42)^2)/(2*Inputs!$C$45^2))+Inputs!$C$48*(0.7*(0.45*SIN(2*PI()*((((Inputs!$I$6+(((A30)+1)/2)*(Inputs!$J$6-Inputs!$I$6)))/Inputs!$C$49)+Inputs!$C$47*0.137))+0.35*COS(2*PI()*(((Inputs!$C$6)/Inputs!$C$50)+Inputs!$C$47*0.173))+0.2*SIN(2*PI()*((((Inputs!$I$6+(((A30)+1)/2)*(Inputs!$J$6-Inputs!$I$6)))+(Inputs!$C$6))/(0.5*(Inputs!$C$49+Inputs!$C$50))+Inputs!$C$47*0.097)))+0.3*(2*((SIN((((Inputs!$I$6+(((A30)+1)/2)*(Inputs!$J$6-Inputs!$I$6)))*12.9898+(Inputs!$C$6)*78.233+Inputs!$C$47*37.719))*43758.5453)-INT((SIN((((Inputs!$I$6+(((A30)+1)/2)*(Inputs!$J$6-Inputs!$I$6)))*12.9898+(Inputs!$C$6)*78.233+Inputs!$C$47*37.719))*43758.5453)))-1))),NA())</f>
        <v/>
      </c>
      <c r="AT30" s="9">
        <f>IF(OR(Inputs!$F$7=TRUE,Inputs!$F$7="TRUE",Inputs!$F$7=1),IF(OR(Inputs!$C$27=TRUE,Inputs!$C$27="TRUE",Inputs!$C$27=1),1,0)*(Inputs!$C$51*(115*EXP(-(((Inputs!$C$6)-25)^2)/(4.5^2))+70*EXP(-(((Inputs!$C$6)+38)^2)/(7^2))*(0.55+0.45*SIN(2*PI()*((Inputs!$I$7+(((A30)+1)/2)*(Inputs!$J$7-Inputs!$I$7)))/45))+24*SIN(2*PI()*(Inputs!$C$6)/9+((Inputs!$I$7+(((A30)+1)/2)*(Inputs!$J$7-Inputs!$I$7)))/18)*EXP(-(((Inputs!$C$6)+5)^2)/(22^2))+18*SIN(2*PI()*((Inputs!$I$7+(((A30)+1)/2)*(Inputs!$J$7-Inputs!$I$7)))/70))+Inputs!$C$28*EXP(-((((Inputs!$I$7+(((A30)+1)/2)*(Inputs!$J$7-Inputs!$I$7)))-Inputs!$C$29)^2)/(2*Inputs!$C$31^2))*EXP(-(((Inputs!$C$6)-Inputs!$C$30)^2)/(2*Inputs!$C$32^2))+-Inputs!$C$33*EXP(-((((((Inputs!$I$7+(((A30)+1)/2)*(Inputs!$J$7-Inputs!$I$7)))-Inputs!$C$34)^2)+(((Inputs!$C$6)-Inputs!$C$35)^2))/(2*Inputs!$C$36^2)))+Inputs!$C$37*(0.55*SIN(2*PI()*((Inputs!$I$7+(((A30)+1)/2)*(Inputs!$J$7-Inputs!$I$7)))/Inputs!$C$39)+0.35*COS(2*PI()*(Inputs!$C$6)/Inputs!$C$40)+0.2*SIN(2*PI()*(((Inputs!$I$7+(((A30)+1)/2)*(Inputs!$J$7-Inputs!$I$7)))+(Inputs!$C$6))/(0.5*(Inputs!$C$39+Inputs!$C$40))))+Inputs!$C$38*SIN(2*PI()*((Inputs!$I$7+(((A30)+1)/2)*(Inputs!$J$7-Inputs!$I$7)))/Inputs!$C$39)*SIN(2*PI()*(Inputs!$C$6)/Inputs!$C$40)+-Inputs!$C$41*EXP(-(((Inputs!$C$6)-Inputs!$C$43)^2)/(2*Inputs!$C$44^2))*EXP(-((((Inputs!$I$7+(((A30)+1)/2)*(Inputs!$J$7-Inputs!$I$7)))-Inputs!$C$42)^2)/(2*Inputs!$C$45^2))+Inputs!$C$48*(0.7*(0.45*SIN(2*PI()*((((Inputs!$I$7+(((A30)+1)/2)*(Inputs!$J$7-Inputs!$I$7)))/Inputs!$C$49)+Inputs!$C$47*0.137))+0.35*COS(2*PI()*(((Inputs!$C$6)/Inputs!$C$50)+Inputs!$C$47*0.173))+0.2*SIN(2*PI()*((((Inputs!$I$7+(((A30)+1)/2)*(Inputs!$J$7-Inputs!$I$7)))+(Inputs!$C$6))/(0.5*(Inputs!$C$49+Inputs!$C$50))+Inputs!$C$47*0.097)))+0.3*(2*((SIN((((Inputs!$I$7+(((A30)+1)/2)*(Inputs!$J$7-Inputs!$I$7)))*12.9898+(Inputs!$C$6)*78.233+Inputs!$C$47*37.719))*43758.5453)-INT((SIN((((Inputs!$I$7+(((A30)+1)/2)*(Inputs!$J$7-Inputs!$I$7)))*12.9898+(Inputs!$C$6)*78.233+Inputs!$C$47*37.719))*43758.5453)))-1))),NA())</f>
        <v/>
      </c>
      <c r="AU30" s="9">
        <f>IF(OR(Inputs!$F$8=TRUE,Inputs!$F$8="TRUE",Inputs!$F$8=1),IF(OR(Inputs!$C$27=TRUE,Inputs!$C$27="TRUE",Inputs!$C$27=1),1,0)*(Inputs!$C$51*(115*EXP(-(((Inputs!$C$6)-25)^2)/(4.5^2))+70*EXP(-(((Inputs!$C$6)+38)^2)/(7^2))*(0.55+0.45*SIN(2*PI()*((Inputs!$I$8+(((A30)+1)/2)*(Inputs!$J$8-Inputs!$I$8)))/45))+24*SIN(2*PI()*(Inputs!$C$6)/9+((Inputs!$I$8+(((A30)+1)/2)*(Inputs!$J$8-Inputs!$I$8)))/18)*EXP(-(((Inputs!$C$6)+5)^2)/(22^2))+18*SIN(2*PI()*((Inputs!$I$8+(((A30)+1)/2)*(Inputs!$J$8-Inputs!$I$8)))/70))+Inputs!$C$28*EXP(-((((Inputs!$I$8+(((A30)+1)/2)*(Inputs!$J$8-Inputs!$I$8)))-Inputs!$C$29)^2)/(2*Inputs!$C$31^2))*EXP(-(((Inputs!$C$6)-Inputs!$C$30)^2)/(2*Inputs!$C$32^2))+-Inputs!$C$33*EXP(-((((((Inputs!$I$8+(((A30)+1)/2)*(Inputs!$J$8-Inputs!$I$8)))-Inputs!$C$34)^2)+(((Inputs!$C$6)-Inputs!$C$35)^2))/(2*Inputs!$C$36^2)))+Inputs!$C$37*(0.55*SIN(2*PI()*((Inputs!$I$8+(((A30)+1)/2)*(Inputs!$J$8-Inputs!$I$8)))/Inputs!$C$39)+0.35*COS(2*PI()*(Inputs!$C$6)/Inputs!$C$40)+0.2*SIN(2*PI()*(((Inputs!$I$8+(((A30)+1)/2)*(Inputs!$J$8-Inputs!$I$8)))+(Inputs!$C$6))/(0.5*(Inputs!$C$39+Inputs!$C$40))))+Inputs!$C$38*SIN(2*PI()*((Inputs!$I$8+(((A30)+1)/2)*(Inputs!$J$8-Inputs!$I$8)))/Inputs!$C$39)*SIN(2*PI()*(Inputs!$C$6)/Inputs!$C$40)+-Inputs!$C$41*EXP(-(((Inputs!$C$6)-Inputs!$C$43)^2)/(2*Inputs!$C$44^2))*EXP(-((((Inputs!$I$8+(((A30)+1)/2)*(Inputs!$J$8-Inputs!$I$8)))-Inputs!$C$42)^2)/(2*Inputs!$C$45^2))+Inputs!$C$48*(0.7*(0.45*SIN(2*PI()*((((Inputs!$I$8+(((A30)+1)/2)*(Inputs!$J$8-Inputs!$I$8)))/Inputs!$C$49)+Inputs!$C$47*0.137))+0.35*COS(2*PI()*(((Inputs!$C$6)/Inputs!$C$50)+Inputs!$C$47*0.173))+0.2*SIN(2*PI()*((((Inputs!$I$8+(((A30)+1)/2)*(Inputs!$J$8-Inputs!$I$8)))+(Inputs!$C$6))/(0.5*(Inputs!$C$49+Inputs!$C$50))+Inputs!$C$47*0.097)))+0.3*(2*((SIN((((Inputs!$I$8+(((A30)+1)/2)*(Inputs!$J$8-Inputs!$I$8)))*12.9898+(Inputs!$C$6)*78.233+Inputs!$C$47*37.719))*43758.5453)-INT((SIN((((Inputs!$I$8+(((A30)+1)/2)*(Inputs!$J$8-Inputs!$I$8)))*12.9898+(Inputs!$C$6)*78.233+Inputs!$C$47*37.719))*43758.5453)))-1))),NA())</f>
        <v/>
      </c>
      <c r="AV30" s="9">
        <f>IF(OR(Inputs!$F$9=TRUE,Inputs!$F$9="TRUE",Inputs!$F$9=1),IF(OR(Inputs!$C$27=TRUE,Inputs!$C$27="TRUE",Inputs!$C$27=1),1,0)*(Inputs!$C$51*(115*EXP(-(((Inputs!$C$6)-25)^2)/(4.5^2))+70*EXP(-(((Inputs!$C$6)+38)^2)/(7^2))*(0.55+0.45*SIN(2*PI()*((Inputs!$I$9+(((A30)+1)/2)*(Inputs!$J$9-Inputs!$I$9)))/45))+24*SIN(2*PI()*(Inputs!$C$6)/9+((Inputs!$I$9+(((A30)+1)/2)*(Inputs!$J$9-Inputs!$I$9)))/18)*EXP(-(((Inputs!$C$6)+5)^2)/(22^2))+18*SIN(2*PI()*((Inputs!$I$9+(((A30)+1)/2)*(Inputs!$J$9-Inputs!$I$9)))/70))+Inputs!$C$28*EXP(-((((Inputs!$I$9+(((A30)+1)/2)*(Inputs!$J$9-Inputs!$I$9)))-Inputs!$C$29)^2)/(2*Inputs!$C$31^2))*EXP(-(((Inputs!$C$6)-Inputs!$C$30)^2)/(2*Inputs!$C$32^2))+-Inputs!$C$33*EXP(-((((((Inputs!$I$9+(((A30)+1)/2)*(Inputs!$J$9-Inputs!$I$9)))-Inputs!$C$34)^2)+(((Inputs!$C$6)-Inputs!$C$35)^2))/(2*Inputs!$C$36^2)))+Inputs!$C$37*(0.55*SIN(2*PI()*((Inputs!$I$9+(((A30)+1)/2)*(Inputs!$J$9-Inputs!$I$9)))/Inputs!$C$39)+0.35*COS(2*PI()*(Inputs!$C$6)/Inputs!$C$40)+0.2*SIN(2*PI()*(((Inputs!$I$9+(((A30)+1)/2)*(Inputs!$J$9-Inputs!$I$9)))+(Inputs!$C$6))/(0.5*(Inputs!$C$39+Inputs!$C$40))))+Inputs!$C$38*SIN(2*PI()*((Inputs!$I$9+(((A30)+1)/2)*(Inputs!$J$9-Inputs!$I$9)))/Inputs!$C$39)*SIN(2*PI()*(Inputs!$C$6)/Inputs!$C$40)+-Inputs!$C$41*EXP(-(((Inputs!$C$6)-Inputs!$C$43)^2)/(2*Inputs!$C$44^2))*EXP(-((((Inputs!$I$9+(((A30)+1)/2)*(Inputs!$J$9-Inputs!$I$9)))-Inputs!$C$42)^2)/(2*Inputs!$C$45^2))+Inputs!$C$48*(0.7*(0.45*SIN(2*PI()*((((Inputs!$I$9+(((A30)+1)/2)*(Inputs!$J$9-Inputs!$I$9)))/Inputs!$C$49)+Inputs!$C$47*0.137))+0.35*COS(2*PI()*(((Inputs!$C$6)/Inputs!$C$50)+Inputs!$C$47*0.173))+0.2*SIN(2*PI()*((((Inputs!$I$9+(((A30)+1)/2)*(Inputs!$J$9-Inputs!$I$9)))+(Inputs!$C$6))/(0.5*(Inputs!$C$49+Inputs!$C$50))+Inputs!$C$47*0.097)))+0.3*(2*((SIN((((Inputs!$I$9+(((A30)+1)/2)*(Inputs!$J$9-Inputs!$I$9)))*12.9898+(Inputs!$C$6)*78.233+Inputs!$C$47*37.719))*43758.5453)-INT((SIN((((Inputs!$I$9+(((A30)+1)/2)*(Inputs!$J$9-Inputs!$I$9)))*12.9898+(Inputs!$C$6)*78.233+Inputs!$C$47*37.719))*43758.5453)))-1))),NA())</f>
        <v/>
      </c>
      <c r="AW30" s="10" t="n"/>
      <c r="AX30" s="9">
        <f>A30</f>
        <v/>
      </c>
      <c r="AY30" s="9">
        <f>0</f>
        <v/>
      </c>
      <c r="AZ30" s="9">
        <f>IF(OR(Inputs!$F$6=TRUE,Inputs!$F$6="TRUE",Inputs!$F$6=1),(Inputs!$H$6+Inputs!$L$6*(((Inputs!$I$6+(((A30)+1)/2)*(Inputs!$J$6-Inputs!$I$6)))/Inputs!$K$6)^2),NA())</f>
        <v/>
      </c>
      <c r="BA30" s="9">
        <f>IF(OR(Inputs!$F$7=TRUE,Inputs!$F$7="TRUE",Inputs!$F$7=1),(Inputs!$H$7+Inputs!$L$7*(((Inputs!$I$7+(((A30)+1)/2)*(Inputs!$J$7-Inputs!$I$7)))/Inputs!$K$7)^2),NA())</f>
        <v/>
      </c>
      <c r="BB30" s="9">
        <f>IF(OR(Inputs!$F$8=TRUE,Inputs!$F$8="TRUE",Inputs!$F$8=1),(Inputs!$H$8+Inputs!$L$8*(((Inputs!$I$8+(((A30)+1)/2)*(Inputs!$J$8-Inputs!$I$8)))/Inputs!$K$8)^2),NA())</f>
        <v/>
      </c>
      <c r="BC30" s="9">
        <f>IF(OR(Inputs!$F$9=TRUE,Inputs!$F$9="TRUE",Inputs!$F$9=1),(Inputs!$H$9+Inputs!$L$9*(((Inputs!$I$9+(((A30)+1)/2)*(Inputs!$J$9-Inputs!$I$9)))/Inputs!$K$9)^2),NA())</f>
        <v/>
      </c>
      <c r="BD30" s="10" t="n"/>
      <c r="BE30" s="9">
        <f>A30</f>
        <v/>
      </c>
      <c r="BF30" s="9">
        <f>0</f>
        <v/>
      </c>
      <c r="BG30" s="9">
        <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f>
        <v/>
      </c>
      <c r="BH30" s="9">
        <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f>
        <v/>
      </c>
      <c r="BI30" s="9">
        <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f>
        <v/>
      </c>
      <c r="BJ30" s="9">
        <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f>
        <v/>
      </c>
    </row>
    <row r="31">
      <c r="A31" s="9">
        <f>ROUND(-1+29*2/240,3)</f>
        <v/>
      </c>
      <c r="B31" s="9">
        <f>IF(OR(Inputs!$F$6=TRUE,Inputs!$F$6="TRUE",Inputs!$F$6=1),(Inputs!$H$6+Inputs!$L$6*(((Inputs!$I$6+(((A31)+1)/2)*(Inputs!$J$6-Inputs!$I$6)))/Inputs!$K$6)^2),NA())</f>
        <v/>
      </c>
      <c r="C31" s="9">
        <f>IF(OR(Inputs!$F$7=TRUE,Inputs!$F$7="TRUE",Inputs!$F$7=1),(Inputs!$H$7+Inputs!$L$7*(((Inputs!$I$7+(((A31)+1)/2)*(Inputs!$J$7-Inputs!$I$7)))/Inputs!$K$7)^2),NA())</f>
        <v/>
      </c>
      <c r="D31" s="9">
        <f>IF(OR(Inputs!$F$8=TRUE,Inputs!$F$8="TRUE",Inputs!$F$8=1),(Inputs!$H$8+Inputs!$L$8*(((Inputs!$I$8+(((A31)+1)/2)*(Inputs!$J$8-Inputs!$I$8)))/Inputs!$K$8)^2),NA())</f>
        <v/>
      </c>
      <c r="E31" s="9">
        <f>IF(OR(Inputs!$F$9=TRUE,Inputs!$F$9="TRUE",Inputs!$F$9=1),(Inputs!$H$9+Inputs!$L$9*(((Inputs!$I$9+(((A31)+1)/2)*(Inputs!$J$9-Inputs!$I$9)))/Inputs!$K$9)^2),NA())</f>
        <v/>
      </c>
      <c r="F31" s="10" t="n"/>
      <c r="G31" s="9">
        <f>A31</f>
        <v/>
      </c>
      <c r="H31" s="9">
        <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f>
        <v/>
      </c>
      <c r="I31" s="9">
        <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f>
        <v/>
      </c>
      <c r="J31" s="9">
        <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f>
        <v/>
      </c>
      <c r="K31" s="9">
        <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f>
        <v/>
      </c>
      <c r="L31" s="10" t="n"/>
      <c r="M31" s="9">
        <f>A31</f>
        <v/>
      </c>
      <c r="N31" s="9">
        <f>IF(OR(Inputs!$F$6=TRUE,Inputs!$F$6="TRUE",Inputs!$F$6=1),(-2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NA())</f>
        <v/>
      </c>
      <c r="O31" s="9">
        <f>IF(OR(Inputs!$F$7=TRUE,Inputs!$F$7="TRUE",Inputs!$F$7=1),(-2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NA())</f>
        <v/>
      </c>
      <c r="P31" s="9">
        <f>IF(OR(Inputs!$F$8=TRUE,Inputs!$F$8="TRUE",Inputs!$F$8=1),(-2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NA())</f>
        <v/>
      </c>
      <c r="Q31" s="9">
        <f>IF(OR(Inputs!$F$9=TRUE,Inputs!$F$9="TRUE",Inputs!$F$9=1),(-2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NA())</f>
        <v/>
      </c>
      <c r="R31" s="10" t="n"/>
      <c r="S31" s="9">
        <f>A31</f>
        <v/>
      </c>
      <c r="T31" s="9">
        <f>(Inputs!$I$6+(((A31)+1)/2)*(Inputs!$J$6-Inputs!$I$6))</f>
        <v/>
      </c>
      <c r="U31" s="9">
        <f>(Inputs!$I$7+(((A31)+1)/2)*(Inputs!$J$7-Inputs!$I$7))</f>
        <v/>
      </c>
      <c r="V31" s="9">
        <f>(Inputs!$I$8+(((A31)+1)/2)*(Inputs!$J$8-Inputs!$I$8))</f>
        <v/>
      </c>
      <c r="W31" s="9">
        <f>(Inputs!$I$9+(((A31)+1)/2)*(Inputs!$J$9-Inputs!$I$9))</f>
        <v/>
      </c>
      <c r="X31" s="10" t="n"/>
      <c r="Y31" s="9">
        <f>A31</f>
        <v/>
      </c>
      <c r="Z31" s="9">
        <f>(Inputs!$H$6+Inputs!$L$6*(((Inputs!$I$6+(((A31)+1)/2)*(Inputs!$J$6-Inputs!$I$6)))/Inputs!$K$6)^2)</f>
        <v/>
      </c>
      <c r="AA31" s="9">
        <f>(Inputs!$H$7+Inputs!$L$7*(((Inputs!$I$7+(((A31)+1)/2)*(Inputs!$J$7-Inputs!$I$7)))/Inputs!$K$7)^2)</f>
        <v/>
      </c>
      <c r="AB31" s="9">
        <f>(Inputs!$H$8+Inputs!$L$8*(((Inputs!$I$8+(((A31)+1)/2)*(Inputs!$J$8-Inputs!$I$8)))/Inputs!$K$8)^2)</f>
        <v/>
      </c>
      <c r="AC31" s="9">
        <f>(Inputs!$H$9+Inputs!$L$9*(((Inputs!$I$9+(((A31)+1)/2)*(Inputs!$J$9-Inputs!$I$9)))/Inputs!$K$9)^2)</f>
        <v/>
      </c>
      <c r="AD31" s="10" t="n"/>
      <c r="AE31" s="9">
        <f>A31</f>
        <v/>
      </c>
      <c r="AF31" s="9">
        <f>(((SQRT((Inputs!$C$52+((Inputs!$H$6+Inputs!$L$6*(((Inputs!$I$6+(((A31)+1)/2)*(Inputs!$J$6-Inputs!$I$6)))/Inputs!$K$6)^2)))^2+Inputs!$C$52^2-2*(Inputs!$C$52+((Inputs!$H$6+Inputs!$L$6*(((Inputs!$I$6+(((A31)+1)/2)*(Inputs!$J$6-Inputs!$I$6)))/Inputs!$K$6)^2)))*Inputs!$C$52*COS(SQRT(((Inputs!$I$6+(((A31)+1)/2)*(Inputs!$J$6-Inputs!$I$6)))^2+Inputs!$C$6^2)/Inputs!$C$52)))-((Inputs!$H$6+Inputs!$L$6*(((Inputs!$I$6+(((A31)+1)/2)*(Inputs!$J$6-Inputs!$I$6)))/Inputs!$K$6)^2)))*1000/Inputs!$C$12)</f>
        <v/>
      </c>
      <c r="AG31" s="9">
        <f>(((SQRT((Inputs!$C$52+((Inputs!$H$7+Inputs!$L$7*(((Inputs!$I$7+(((A31)+1)/2)*(Inputs!$J$7-Inputs!$I$7)))/Inputs!$K$7)^2)))^2+Inputs!$C$52^2-2*(Inputs!$C$52+((Inputs!$H$7+Inputs!$L$7*(((Inputs!$I$7+(((A31)+1)/2)*(Inputs!$J$7-Inputs!$I$7)))/Inputs!$K$7)^2)))*Inputs!$C$52*COS(SQRT(((Inputs!$I$7+(((A31)+1)/2)*(Inputs!$J$7-Inputs!$I$7)))^2+Inputs!$C$6^2)/Inputs!$C$52)))-((Inputs!$H$7+Inputs!$L$7*(((Inputs!$I$7+(((A31)+1)/2)*(Inputs!$J$7-Inputs!$I$7)))/Inputs!$K$7)^2)))*1000/Inputs!$C$12)</f>
        <v/>
      </c>
      <c r="AH31" s="9">
        <f>(((SQRT((Inputs!$C$52+((Inputs!$H$8+Inputs!$L$8*(((Inputs!$I$8+(((A31)+1)/2)*(Inputs!$J$8-Inputs!$I$8)))/Inputs!$K$8)^2)))^2+Inputs!$C$52^2-2*(Inputs!$C$52+((Inputs!$H$8+Inputs!$L$8*(((Inputs!$I$8+(((A31)+1)/2)*(Inputs!$J$8-Inputs!$I$8)))/Inputs!$K$8)^2)))*Inputs!$C$52*COS(SQRT(((Inputs!$I$8+(((A31)+1)/2)*(Inputs!$J$8-Inputs!$I$8)))^2+Inputs!$C$6^2)/Inputs!$C$52)))-((Inputs!$H$8+Inputs!$L$8*(((Inputs!$I$8+(((A31)+1)/2)*(Inputs!$J$8-Inputs!$I$8)))/Inputs!$K$8)^2)))*1000/Inputs!$C$12)</f>
        <v/>
      </c>
      <c r="AI31" s="9">
        <f>(((SQRT((Inputs!$C$52+((Inputs!$H$9+Inputs!$L$9*(((Inputs!$I$9+(((A31)+1)/2)*(Inputs!$J$9-Inputs!$I$9)))/Inputs!$K$9)^2)))^2+Inputs!$C$52^2-2*(Inputs!$C$52+((Inputs!$H$9+Inputs!$L$9*(((Inputs!$I$9+(((A31)+1)/2)*(Inputs!$J$9-Inputs!$I$9)))/Inputs!$K$9)^2)))*Inputs!$C$52*COS(SQRT(((Inputs!$I$9+(((A31)+1)/2)*(Inputs!$J$9-Inputs!$I$9)))^2+Inputs!$C$6^2)/Inputs!$C$52)))-((Inputs!$H$9+Inputs!$L$9*(((Inputs!$I$9+(((A31)+1)/2)*(Inputs!$J$9-Inputs!$I$9)))/Inputs!$K$9)^2)))*1000/Inputs!$C$12)</f>
        <v/>
      </c>
      <c r="AJ31" s="10" t="n"/>
      <c r="AK31" s="9">
        <f>A31</f>
        <v/>
      </c>
      <c r="AL31" s="9">
        <f>(-2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f>
        <v/>
      </c>
      <c r="AM31" s="9">
        <f>(-2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f>
        <v/>
      </c>
      <c r="AN31" s="9">
        <f>(-2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f>
        <v/>
      </c>
      <c r="AO31" s="9">
        <f>(-2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f>
        <v/>
      </c>
      <c r="AP31" s="10" t="n"/>
      <c r="AQ31" s="9">
        <f>A31</f>
        <v/>
      </c>
      <c r="AR31" s="9">
        <f>0</f>
        <v/>
      </c>
      <c r="AS31" s="9">
        <f>IF(OR(Inputs!$F$6=TRUE,Inputs!$F$6="TRUE",Inputs!$F$6=1),IF(OR(Inputs!$C$27=TRUE,Inputs!$C$27="TRUE",Inputs!$C$27=1),1,0)*(Inputs!$C$51*(115*EXP(-(((Inputs!$C$6)-25)^2)/(4.5^2))+70*EXP(-(((Inputs!$C$6)+38)^2)/(7^2))*(0.55+0.45*SIN(2*PI()*((Inputs!$I$6+(((A31)+1)/2)*(Inputs!$J$6-Inputs!$I$6)))/45))+24*SIN(2*PI()*(Inputs!$C$6)/9+((Inputs!$I$6+(((A31)+1)/2)*(Inputs!$J$6-Inputs!$I$6)))/18)*EXP(-(((Inputs!$C$6)+5)^2)/(22^2))+18*SIN(2*PI()*((Inputs!$I$6+(((A31)+1)/2)*(Inputs!$J$6-Inputs!$I$6)))/70))+Inputs!$C$28*EXP(-((((Inputs!$I$6+(((A31)+1)/2)*(Inputs!$J$6-Inputs!$I$6)))-Inputs!$C$29)^2)/(2*Inputs!$C$31^2))*EXP(-(((Inputs!$C$6)-Inputs!$C$30)^2)/(2*Inputs!$C$32^2))+-Inputs!$C$33*EXP(-((((((Inputs!$I$6+(((A31)+1)/2)*(Inputs!$J$6-Inputs!$I$6)))-Inputs!$C$34)^2)+(((Inputs!$C$6)-Inputs!$C$35)^2))/(2*Inputs!$C$36^2)))+Inputs!$C$37*(0.55*SIN(2*PI()*((Inputs!$I$6+(((A31)+1)/2)*(Inputs!$J$6-Inputs!$I$6)))/Inputs!$C$39)+0.35*COS(2*PI()*(Inputs!$C$6)/Inputs!$C$40)+0.2*SIN(2*PI()*(((Inputs!$I$6+(((A31)+1)/2)*(Inputs!$J$6-Inputs!$I$6)))+(Inputs!$C$6))/(0.5*(Inputs!$C$39+Inputs!$C$40))))+Inputs!$C$38*SIN(2*PI()*((Inputs!$I$6+(((A31)+1)/2)*(Inputs!$J$6-Inputs!$I$6)))/Inputs!$C$39)*SIN(2*PI()*(Inputs!$C$6)/Inputs!$C$40)+-Inputs!$C$41*EXP(-(((Inputs!$C$6)-Inputs!$C$43)^2)/(2*Inputs!$C$44^2))*EXP(-((((Inputs!$I$6+(((A31)+1)/2)*(Inputs!$J$6-Inputs!$I$6)))-Inputs!$C$42)^2)/(2*Inputs!$C$45^2))+Inputs!$C$48*(0.7*(0.45*SIN(2*PI()*((((Inputs!$I$6+(((A31)+1)/2)*(Inputs!$J$6-Inputs!$I$6)))/Inputs!$C$49)+Inputs!$C$47*0.137))+0.35*COS(2*PI()*(((Inputs!$C$6)/Inputs!$C$50)+Inputs!$C$47*0.173))+0.2*SIN(2*PI()*((((Inputs!$I$6+(((A31)+1)/2)*(Inputs!$J$6-Inputs!$I$6)))+(Inputs!$C$6))/(0.5*(Inputs!$C$49+Inputs!$C$50))+Inputs!$C$47*0.097)))+0.3*(2*((SIN((((Inputs!$I$6+(((A31)+1)/2)*(Inputs!$J$6-Inputs!$I$6)))*12.9898+(Inputs!$C$6)*78.233+Inputs!$C$47*37.719))*43758.5453)-INT((SIN((((Inputs!$I$6+(((A31)+1)/2)*(Inputs!$J$6-Inputs!$I$6)))*12.9898+(Inputs!$C$6)*78.233+Inputs!$C$47*37.719))*43758.5453)))-1))),NA())</f>
        <v/>
      </c>
      <c r="AT31" s="9">
        <f>IF(OR(Inputs!$F$7=TRUE,Inputs!$F$7="TRUE",Inputs!$F$7=1),IF(OR(Inputs!$C$27=TRUE,Inputs!$C$27="TRUE",Inputs!$C$27=1),1,0)*(Inputs!$C$51*(115*EXP(-(((Inputs!$C$6)-25)^2)/(4.5^2))+70*EXP(-(((Inputs!$C$6)+38)^2)/(7^2))*(0.55+0.45*SIN(2*PI()*((Inputs!$I$7+(((A31)+1)/2)*(Inputs!$J$7-Inputs!$I$7)))/45))+24*SIN(2*PI()*(Inputs!$C$6)/9+((Inputs!$I$7+(((A31)+1)/2)*(Inputs!$J$7-Inputs!$I$7)))/18)*EXP(-(((Inputs!$C$6)+5)^2)/(22^2))+18*SIN(2*PI()*((Inputs!$I$7+(((A31)+1)/2)*(Inputs!$J$7-Inputs!$I$7)))/70))+Inputs!$C$28*EXP(-((((Inputs!$I$7+(((A31)+1)/2)*(Inputs!$J$7-Inputs!$I$7)))-Inputs!$C$29)^2)/(2*Inputs!$C$31^2))*EXP(-(((Inputs!$C$6)-Inputs!$C$30)^2)/(2*Inputs!$C$32^2))+-Inputs!$C$33*EXP(-((((((Inputs!$I$7+(((A31)+1)/2)*(Inputs!$J$7-Inputs!$I$7)))-Inputs!$C$34)^2)+(((Inputs!$C$6)-Inputs!$C$35)^2))/(2*Inputs!$C$36^2)))+Inputs!$C$37*(0.55*SIN(2*PI()*((Inputs!$I$7+(((A31)+1)/2)*(Inputs!$J$7-Inputs!$I$7)))/Inputs!$C$39)+0.35*COS(2*PI()*(Inputs!$C$6)/Inputs!$C$40)+0.2*SIN(2*PI()*(((Inputs!$I$7+(((A31)+1)/2)*(Inputs!$J$7-Inputs!$I$7)))+(Inputs!$C$6))/(0.5*(Inputs!$C$39+Inputs!$C$40))))+Inputs!$C$38*SIN(2*PI()*((Inputs!$I$7+(((A31)+1)/2)*(Inputs!$J$7-Inputs!$I$7)))/Inputs!$C$39)*SIN(2*PI()*(Inputs!$C$6)/Inputs!$C$40)+-Inputs!$C$41*EXP(-(((Inputs!$C$6)-Inputs!$C$43)^2)/(2*Inputs!$C$44^2))*EXP(-((((Inputs!$I$7+(((A31)+1)/2)*(Inputs!$J$7-Inputs!$I$7)))-Inputs!$C$42)^2)/(2*Inputs!$C$45^2))+Inputs!$C$48*(0.7*(0.45*SIN(2*PI()*((((Inputs!$I$7+(((A31)+1)/2)*(Inputs!$J$7-Inputs!$I$7)))/Inputs!$C$49)+Inputs!$C$47*0.137))+0.35*COS(2*PI()*(((Inputs!$C$6)/Inputs!$C$50)+Inputs!$C$47*0.173))+0.2*SIN(2*PI()*((((Inputs!$I$7+(((A31)+1)/2)*(Inputs!$J$7-Inputs!$I$7)))+(Inputs!$C$6))/(0.5*(Inputs!$C$49+Inputs!$C$50))+Inputs!$C$47*0.097)))+0.3*(2*((SIN((((Inputs!$I$7+(((A31)+1)/2)*(Inputs!$J$7-Inputs!$I$7)))*12.9898+(Inputs!$C$6)*78.233+Inputs!$C$47*37.719))*43758.5453)-INT((SIN((((Inputs!$I$7+(((A31)+1)/2)*(Inputs!$J$7-Inputs!$I$7)))*12.9898+(Inputs!$C$6)*78.233+Inputs!$C$47*37.719))*43758.5453)))-1))),NA())</f>
        <v/>
      </c>
      <c r="AU31" s="9">
        <f>IF(OR(Inputs!$F$8=TRUE,Inputs!$F$8="TRUE",Inputs!$F$8=1),IF(OR(Inputs!$C$27=TRUE,Inputs!$C$27="TRUE",Inputs!$C$27=1),1,0)*(Inputs!$C$51*(115*EXP(-(((Inputs!$C$6)-25)^2)/(4.5^2))+70*EXP(-(((Inputs!$C$6)+38)^2)/(7^2))*(0.55+0.45*SIN(2*PI()*((Inputs!$I$8+(((A31)+1)/2)*(Inputs!$J$8-Inputs!$I$8)))/45))+24*SIN(2*PI()*(Inputs!$C$6)/9+((Inputs!$I$8+(((A31)+1)/2)*(Inputs!$J$8-Inputs!$I$8)))/18)*EXP(-(((Inputs!$C$6)+5)^2)/(22^2))+18*SIN(2*PI()*((Inputs!$I$8+(((A31)+1)/2)*(Inputs!$J$8-Inputs!$I$8)))/70))+Inputs!$C$28*EXP(-((((Inputs!$I$8+(((A31)+1)/2)*(Inputs!$J$8-Inputs!$I$8)))-Inputs!$C$29)^2)/(2*Inputs!$C$31^2))*EXP(-(((Inputs!$C$6)-Inputs!$C$30)^2)/(2*Inputs!$C$32^2))+-Inputs!$C$33*EXP(-((((((Inputs!$I$8+(((A31)+1)/2)*(Inputs!$J$8-Inputs!$I$8)))-Inputs!$C$34)^2)+(((Inputs!$C$6)-Inputs!$C$35)^2))/(2*Inputs!$C$36^2)))+Inputs!$C$37*(0.55*SIN(2*PI()*((Inputs!$I$8+(((A31)+1)/2)*(Inputs!$J$8-Inputs!$I$8)))/Inputs!$C$39)+0.35*COS(2*PI()*(Inputs!$C$6)/Inputs!$C$40)+0.2*SIN(2*PI()*(((Inputs!$I$8+(((A31)+1)/2)*(Inputs!$J$8-Inputs!$I$8)))+(Inputs!$C$6))/(0.5*(Inputs!$C$39+Inputs!$C$40))))+Inputs!$C$38*SIN(2*PI()*((Inputs!$I$8+(((A31)+1)/2)*(Inputs!$J$8-Inputs!$I$8)))/Inputs!$C$39)*SIN(2*PI()*(Inputs!$C$6)/Inputs!$C$40)+-Inputs!$C$41*EXP(-(((Inputs!$C$6)-Inputs!$C$43)^2)/(2*Inputs!$C$44^2))*EXP(-((((Inputs!$I$8+(((A31)+1)/2)*(Inputs!$J$8-Inputs!$I$8)))-Inputs!$C$42)^2)/(2*Inputs!$C$45^2))+Inputs!$C$48*(0.7*(0.45*SIN(2*PI()*((((Inputs!$I$8+(((A31)+1)/2)*(Inputs!$J$8-Inputs!$I$8)))/Inputs!$C$49)+Inputs!$C$47*0.137))+0.35*COS(2*PI()*(((Inputs!$C$6)/Inputs!$C$50)+Inputs!$C$47*0.173))+0.2*SIN(2*PI()*((((Inputs!$I$8+(((A31)+1)/2)*(Inputs!$J$8-Inputs!$I$8)))+(Inputs!$C$6))/(0.5*(Inputs!$C$49+Inputs!$C$50))+Inputs!$C$47*0.097)))+0.3*(2*((SIN((((Inputs!$I$8+(((A31)+1)/2)*(Inputs!$J$8-Inputs!$I$8)))*12.9898+(Inputs!$C$6)*78.233+Inputs!$C$47*37.719))*43758.5453)-INT((SIN((((Inputs!$I$8+(((A31)+1)/2)*(Inputs!$J$8-Inputs!$I$8)))*12.9898+(Inputs!$C$6)*78.233+Inputs!$C$47*37.719))*43758.5453)))-1))),NA())</f>
        <v/>
      </c>
      <c r="AV31" s="9">
        <f>IF(OR(Inputs!$F$9=TRUE,Inputs!$F$9="TRUE",Inputs!$F$9=1),IF(OR(Inputs!$C$27=TRUE,Inputs!$C$27="TRUE",Inputs!$C$27=1),1,0)*(Inputs!$C$51*(115*EXP(-(((Inputs!$C$6)-25)^2)/(4.5^2))+70*EXP(-(((Inputs!$C$6)+38)^2)/(7^2))*(0.55+0.45*SIN(2*PI()*((Inputs!$I$9+(((A31)+1)/2)*(Inputs!$J$9-Inputs!$I$9)))/45))+24*SIN(2*PI()*(Inputs!$C$6)/9+((Inputs!$I$9+(((A31)+1)/2)*(Inputs!$J$9-Inputs!$I$9)))/18)*EXP(-(((Inputs!$C$6)+5)^2)/(22^2))+18*SIN(2*PI()*((Inputs!$I$9+(((A31)+1)/2)*(Inputs!$J$9-Inputs!$I$9)))/70))+Inputs!$C$28*EXP(-((((Inputs!$I$9+(((A31)+1)/2)*(Inputs!$J$9-Inputs!$I$9)))-Inputs!$C$29)^2)/(2*Inputs!$C$31^2))*EXP(-(((Inputs!$C$6)-Inputs!$C$30)^2)/(2*Inputs!$C$32^2))+-Inputs!$C$33*EXP(-((((((Inputs!$I$9+(((A31)+1)/2)*(Inputs!$J$9-Inputs!$I$9)))-Inputs!$C$34)^2)+(((Inputs!$C$6)-Inputs!$C$35)^2))/(2*Inputs!$C$36^2)))+Inputs!$C$37*(0.55*SIN(2*PI()*((Inputs!$I$9+(((A31)+1)/2)*(Inputs!$J$9-Inputs!$I$9)))/Inputs!$C$39)+0.35*COS(2*PI()*(Inputs!$C$6)/Inputs!$C$40)+0.2*SIN(2*PI()*(((Inputs!$I$9+(((A31)+1)/2)*(Inputs!$J$9-Inputs!$I$9)))+(Inputs!$C$6))/(0.5*(Inputs!$C$39+Inputs!$C$40))))+Inputs!$C$38*SIN(2*PI()*((Inputs!$I$9+(((A31)+1)/2)*(Inputs!$J$9-Inputs!$I$9)))/Inputs!$C$39)*SIN(2*PI()*(Inputs!$C$6)/Inputs!$C$40)+-Inputs!$C$41*EXP(-(((Inputs!$C$6)-Inputs!$C$43)^2)/(2*Inputs!$C$44^2))*EXP(-((((Inputs!$I$9+(((A31)+1)/2)*(Inputs!$J$9-Inputs!$I$9)))-Inputs!$C$42)^2)/(2*Inputs!$C$45^2))+Inputs!$C$48*(0.7*(0.45*SIN(2*PI()*((((Inputs!$I$9+(((A31)+1)/2)*(Inputs!$J$9-Inputs!$I$9)))/Inputs!$C$49)+Inputs!$C$47*0.137))+0.35*COS(2*PI()*(((Inputs!$C$6)/Inputs!$C$50)+Inputs!$C$47*0.173))+0.2*SIN(2*PI()*((((Inputs!$I$9+(((A31)+1)/2)*(Inputs!$J$9-Inputs!$I$9)))+(Inputs!$C$6))/(0.5*(Inputs!$C$49+Inputs!$C$50))+Inputs!$C$47*0.097)))+0.3*(2*((SIN((((Inputs!$I$9+(((A31)+1)/2)*(Inputs!$J$9-Inputs!$I$9)))*12.9898+(Inputs!$C$6)*78.233+Inputs!$C$47*37.719))*43758.5453)-INT((SIN((((Inputs!$I$9+(((A31)+1)/2)*(Inputs!$J$9-Inputs!$I$9)))*12.9898+(Inputs!$C$6)*78.233+Inputs!$C$47*37.719))*43758.5453)))-1))),NA())</f>
        <v/>
      </c>
      <c r="AW31" s="10" t="n"/>
      <c r="AX31" s="9">
        <f>A31</f>
        <v/>
      </c>
      <c r="AY31" s="9">
        <f>0</f>
        <v/>
      </c>
      <c r="AZ31" s="9">
        <f>IF(OR(Inputs!$F$6=TRUE,Inputs!$F$6="TRUE",Inputs!$F$6=1),(Inputs!$H$6+Inputs!$L$6*(((Inputs!$I$6+(((A31)+1)/2)*(Inputs!$J$6-Inputs!$I$6)))/Inputs!$K$6)^2),NA())</f>
        <v/>
      </c>
      <c r="BA31" s="9">
        <f>IF(OR(Inputs!$F$7=TRUE,Inputs!$F$7="TRUE",Inputs!$F$7=1),(Inputs!$H$7+Inputs!$L$7*(((Inputs!$I$7+(((A31)+1)/2)*(Inputs!$J$7-Inputs!$I$7)))/Inputs!$K$7)^2),NA())</f>
        <v/>
      </c>
      <c r="BB31" s="9">
        <f>IF(OR(Inputs!$F$8=TRUE,Inputs!$F$8="TRUE",Inputs!$F$8=1),(Inputs!$H$8+Inputs!$L$8*(((Inputs!$I$8+(((A31)+1)/2)*(Inputs!$J$8-Inputs!$I$8)))/Inputs!$K$8)^2),NA())</f>
        <v/>
      </c>
      <c r="BC31" s="9">
        <f>IF(OR(Inputs!$F$9=TRUE,Inputs!$F$9="TRUE",Inputs!$F$9=1),(Inputs!$H$9+Inputs!$L$9*(((Inputs!$I$9+(((A31)+1)/2)*(Inputs!$J$9-Inputs!$I$9)))/Inputs!$K$9)^2),NA())</f>
        <v/>
      </c>
      <c r="BD31" s="10" t="n"/>
      <c r="BE31" s="9">
        <f>A31</f>
        <v/>
      </c>
      <c r="BF31" s="9">
        <f>0</f>
        <v/>
      </c>
      <c r="BG31" s="9">
        <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f>
        <v/>
      </c>
      <c r="BH31" s="9">
        <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f>
        <v/>
      </c>
      <c r="BI31" s="9">
        <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f>
        <v/>
      </c>
      <c r="BJ31" s="9">
        <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f>
        <v/>
      </c>
    </row>
    <row r="32">
      <c r="A32" s="9">
        <f>ROUND(-1+30*2/240,3)</f>
        <v/>
      </c>
      <c r="B32" s="9">
        <f>IF(OR(Inputs!$F$6=TRUE,Inputs!$F$6="TRUE",Inputs!$F$6=1),(Inputs!$H$6+Inputs!$L$6*(((Inputs!$I$6+(((A32)+1)/2)*(Inputs!$J$6-Inputs!$I$6)))/Inputs!$K$6)^2),NA())</f>
        <v/>
      </c>
      <c r="C32" s="9">
        <f>IF(OR(Inputs!$F$7=TRUE,Inputs!$F$7="TRUE",Inputs!$F$7=1),(Inputs!$H$7+Inputs!$L$7*(((Inputs!$I$7+(((A32)+1)/2)*(Inputs!$J$7-Inputs!$I$7)))/Inputs!$K$7)^2),NA())</f>
        <v/>
      </c>
      <c r="D32" s="9">
        <f>IF(OR(Inputs!$F$8=TRUE,Inputs!$F$8="TRUE",Inputs!$F$8=1),(Inputs!$H$8+Inputs!$L$8*(((Inputs!$I$8+(((A32)+1)/2)*(Inputs!$J$8-Inputs!$I$8)))/Inputs!$K$8)^2),NA())</f>
        <v/>
      </c>
      <c r="E32" s="9">
        <f>IF(OR(Inputs!$F$9=TRUE,Inputs!$F$9="TRUE",Inputs!$F$9=1),(Inputs!$H$9+Inputs!$L$9*(((Inputs!$I$9+(((A32)+1)/2)*(Inputs!$J$9-Inputs!$I$9)))/Inputs!$K$9)^2),NA())</f>
        <v/>
      </c>
      <c r="F32" s="10" t="n"/>
      <c r="G32" s="9">
        <f>A32</f>
        <v/>
      </c>
      <c r="H32" s="9">
        <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f>
        <v/>
      </c>
      <c r="I32" s="9">
        <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f>
        <v/>
      </c>
      <c r="J32" s="9">
        <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f>
        <v/>
      </c>
      <c r="K32" s="9">
        <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f>
        <v/>
      </c>
      <c r="L32" s="10" t="n"/>
      <c r="M32" s="9">
        <f>A32</f>
        <v/>
      </c>
      <c r="N32" s="9">
        <f>IF(OR(Inputs!$F$6=TRUE,Inputs!$F$6="TRUE",Inputs!$F$6=1),(-2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NA())</f>
        <v/>
      </c>
      <c r="O32" s="9">
        <f>IF(OR(Inputs!$F$7=TRUE,Inputs!$F$7="TRUE",Inputs!$F$7=1),(-2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NA())</f>
        <v/>
      </c>
      <c r="P32" s="9">
        <f>IF(OR(Inputs!$F$8=TRUE,Inputs!$F$8="TRUE",Inputs!$F$8=1),(-2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NA())</f>
        <v/>
      </c>
      <c r="Q32" s="9">
        <f>IF(OR(Inputs!$F$9=TRUE,Inputs!$F$9="TRUE",Inputs!$F$9=1),(-2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NA())</f>
        <v/>
      </c>
      <c r="R32" s="10" t="n"/>
      <c r="S32" s="9">
        <f>A32</f>
        <v/>
      </c>
      <c r="T32" s="9">
        <f>(Inputs!$I$6+(((A32)+1)/2)*(Inputs!$J$6-Inputs!$I$6))</f>
        <v/>
      </c>
      <c r="U32" s="9">
        <f>(Inputs!$I$7+(((A32)+1)/2)*(Inputs!$J$7-Inputs!$I$7))</f>
        <v/>
      </c>
      <c r="V32" s="9">
        <f>(Inputs!$I$8+(((A32)+1)/2)*(Inputs!$J$8-Inputs!$I$8))</f>
        <v/>
      </c>
      <c r="W32" s="9">
        <f>(Inputs!$I$9+(((A32)+1)/2)*(Inputs!$J$9-Inputs!$I$9))</f>
        <v/>
      </c>
      <c r="X32" s="10" t="n"/>
      <c r="Y32" s="9">
        <f>A32</f>
        <v/>
      </c>
      <c r="Z32" s="9">
        <f>(Inputs!$H$6+Inputs!$L$6*(((Inputs!$I$6+(((A32)+1)/2)*(Inputs!$J$6-Inputs!$I$6)))/Inputs!$K$6)^2)</f>
        <v/>
      </c>
      <c r="AA32" s="9">
        <f>(Inputs!$H$7+Inputs!$L$7*(((Inputs!$I$7+(((A32)+1)/2)*(Inputs!$J$7-Inputs!$I$7)))/Inputs!$K$7)^2)</f>
        <v/>
      </c>
      <c r="AB32" s="9">
        <f>(Inputs!$H$8+Inputs!$L$8*(((Inputs!$I$8+(((A32)+1)/2)*(Inputs!$J$8-Inputs!$I$8)))/Inputs!$K$8)^2)</f>
        <v/>
      </c>
      <c r="AC32" s="9">
        <f>(Inputs!$H$9+Inputs!$L$9*(((Inputs!$I$9+(((A32)+1)/2)*(Inputs!$J$9-Inputs!$I$9)))/Inputs!$K$9)^2)</f>
        <v/>
      </c>
      <c r="AD32" s="10" t="n"/>
      <c r="AE32" s="9">
        <f>A32</f>
        <v/>
      </c>
      <c r="AF32" s="9">
        <f>(((SQRT((Inputs!$C$52+((Inputs!$H$6+Inputs!$L$6*(((Inputs!$I$6+(((A32)+1)/2)*(Inputs!$J$6-Inputs!$I$6)))/Inputs!$K$6)^2)))^2+Inputs!$C$52^2-2*(Inputs!$C$52+((Inputs!$H$6+Inputs!$L$6*(((Inputs!$I$6+(((A32)+1)/2)*(Inputs!$J$6-Inputs!$I$6)))/Inputs!$K$6)^2)))*Inputs!$C$52*COS(SQRT(((Inputs!$I$6+(((A32)+1)/2)*(Inputs!$J$6-Inputs!$I$6)))^2+Inputs!$C$6^2)/Inputs!$C$52)))-((Inputs!$H$6+Inputs!$L$6*(((Inputs!$I$6+(((A32)+1)/2)*(Inputs!$J$6-Inputs!$I$6)))/Inputs!$K$6)^2)))*1000/Inputs!$C$12)</f>
        <v/>
      </c>
      <c r="AG32" s="9">
        <f>(((SQRT((Inputs!$C$52+((Inputs!$H$7+Inputs!$L$7*(((Inputs!$I$7+(((A32)+1)/2)*(Inputs!$J$7-Inputs!$I$7)))/Inputs!$K$7)^2)))^2+Inputs!$C$52^2-2*(Inputs!$C$52+((Inputs!$H$7+Inputs!$L$7*(((Inputs!$I$7+(((A32)+1)/2)*(Inputs!$J$7-Inputs!$I$7)))/Inputs!$K$7)^2)))*Inputs!$C$52*COS(SQRT(((Inputs!$I$7+(((A32)+1)/2)*(Inputs!$J$7-Inputs!$I$7)))^2+Inputs!$C$6^2)/Inputs!$C$52)))-((Inputs!$H$7+Inputs!$L$7*(((Inputs!$I$7+(((A32)+1)/2)*(Inputs!$J$7-Inputs!$I$7)))/Inputs!$K$7)^2)))*1000/Inputs!$C$12)</f>
        <v/>
      </c>
      <c r="AH32" s="9">
        <f>(((SQRT((Inputs!$C$52+((Inputs!$H$8+Inputs!$L$8*(((Inputs!$I$8+(((A32)+1)/2)*(Inputs!$J$8-Inputs!$I$8)))/Inputs!$K$8)^2)))^2+Inputs!$C$52^2-2*(Inputs!$C$52+((Inputs!$H$8+Inputs!$L$8*(((Inputs!$I$8+(((A32)+1)/2)*(Inputs!$J$8-Inputs!$I$8)))/Inputs!$K$8)^2)))*Inputs!$C$52*COS(SQRT(((Inputs!$I$8+(((A32)+1)/2)*(Inputs!$J$8-Inputs!$I$8)))^2+Inputs!$C$6^2)/Inputs!$C$52)))-((Inputs!$H$8+Inputs!$L$8*(((Inputs!$I$8+(((A32)+1)/2)*(Inputs!$J$8-Inputs!$I$8)))/Inputs!$K$8)^2)))*1000/Inputs!$C$12)</f>
        <v/>
      </c>
      <c r="AI32" s="9">
        <f>(((SQRT((Inputs!$C$52+((Inputs!$H$9+Inputs!$L$9*(((Inputs!$I$9+(((A32)+1)/2)*(Inputs!$J$9-Inputs!$I$9)))/Inputs!$K$9)^2)))^2+Inputs!$C$52^2-2*(Inputs!$C$52+((Inputs!$H$9+Inputs!$L$9*(((Inputs!$I$9+(((A32)+1)/2)*(Inputs!$J$9-Inputs!$I$9)))/Inputs!$K$9)^2)))*Inputs!$C$52*COS(SQRT(((Inputs!$I$9+(((A32)+1)/2)*(Inputs!$J$9-Inputs!$I$9)))^2+Inputs!$C$6^2)/Inputs!$C$52)))-((Inputs!$H$9+Inputs!$L$9*(((Inputs!$I$9+(((A32)+1)/2)*(Inputs!$J$9-Inputs!$I$9)))/Inputs!$K$9)^2)))*1000/Inputs!$C$12)</f>
        <v/>
      </c>
      <c r="AJ32" s="10" t="n"/>
      <c r="AK32" s="9">
        <f>A32</f>
        <v/>
      </c>
      <c r="AL32" s="9">
        <f>(-2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f>
        <v/>
      </c>
      <c r="AM32" s="9">
        <f>(-2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f>
        <v/>
      </c>
      <c r="AN32" s="9">
        <f>(-2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f>
        <v/>
      </c>
      <c r="AO32" s="9">
        <f>(-2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f>
        <v/>
      </c>
      <c r="AP32" s="10" t="n"/>
      <c r="AQ32" s="9">
        <f>A32</f>
        <v/>
      </c>
      <c r="AR32" s="9">
        <f>0</f>
        <v/>
      </c>
      <c r="AS32" s="9">
        <f>IF(OR(Inputs!$F$6=TRUE,Inputs!$F$6="TRUE",Inputs!$F$6=1),IF(OR(Inputs!$C$27=TRUE,Inputs!$C$27="TRUE",Inputs!$C$27=1),1,0)*(Inputs!$C$51*(115*EXP(-(((Inputs!$C$6)-25)^2)/(4.5^2))+70*EXP(-(((Inputs!$C$6)+38)^2)/(7^2))*(0.55+0.45*SIN(2*PI()*((Inputs!$I$6+(((A32)+1)/2)*(Inputs!$J$6-Inputs!$I$6)))/45))+24*SIN(2*PI()*(Inputs!$C$6)/9+((Inputs!$I$6+(((A32)+1)/2)*(Inputs!$J$6-Inputs!$I$6)))/18)*EXP(-(((Inputs!$C$6)+5)^2)/(22^2))+18*SIN(2*PI()*((Inputs!$I$6+(((A32)+1)/2)*(Inputs!$J$6-Inputs!$I$6)))/70))+Inputs!$C$28*EXP(-((((Inputs!$I$6+(((A32)+1)/2)*(Inputs!$J$6-Inputs!$I$6)))-Inputs!$C$29)^2)/(2*Inputs!$C$31^2))*EXP(-(((Inputs!$C$6)-Inputs!$C$30)^2)/(2*Inputs!$C$32^2))+-Inputs!$C$33*EXP(-((((((Inputs!$I$6+(((A32)+1)/2)*(Inputs!$J$6-Inputs!$I$6)))-Inputs!$C$34)^2)+(((Inputs!$C$6)-Inputs!$C$35)^2))/(2*Inputs!$C$36^2)))+Inputs!$C$37*(0.55*SIN(2*PI()*((Inputs!$I$6+(((A32)+1)/2)*(Inputs!$J$6-Inputs!$I$6)))/Inputs!$C$39)+0.35*COS(2*PI()*(Inputs!$C$6)/Inputs!$C$40)+0.2*SIN(2*PI()*(((Inputs!$I$6+(((A32)+1)/2)*(Inputs!$J$6-Inputs!$I$6)))+(Inputs!$C$6))/(0.5*(Inputs!$C$39+Inputs!$C$40))))+Inputs!$C$38*SIN(2*PI()*((Inputs!$I$6+(((A32)+1)/2)*(Inputs!$J$6-Inputs!$I$6)))/Inputs!$C$39)*SIN(2*PI()*(Inputs!$C$6)/Inputs!$C$40)+-Inputs!$C$41*EXP(-(((Inputs!$C$6)-Inputs!$C$43)^2)/(2*Inputs!$C$44^2))*EXP(-((((Inputs!$I$6+(((A32)+1)/2)*(Inputs!$J$6-Inputs!$I$6)))-Inputs!$C$42)^2)/(2*Inputs!$C$45^2))+Inputs!$C$48*(0.7*(0.45*SIN(2*PI()*((((Inputs!$I$6+(((A32)+1)/2)*(Inputs!$J$6-Inputs!$I$6)))/Inputs!$C$49)+Inputs!$C$47*0.137))+0.35*COS(2*PI()*(((Inputs!$C$6)/Inputs!$C$50)+Inputs!$C$47*0.173))+0.2*SIN(2*PI()*((((Inputs!$I$6+(((A32)+1)/2)*(Inputs!$J$6-Inputs!$I$6)))+(Inputs!$C$6))/(0.5*(Inputs!$C$49+Inputs!$C$50))+Inputs!$C$47*0.097)))+0.3*(2*((SIN((((Inputs!$I$6+(((A32)+1)/2)*(Inputs!$J$6-Inputs!$I$6)))*12.9898+(Inputs!$C$6)*78.233+Inputs!$C$47*37.719))*43758.5453)-INT((SIN((((Inputs!$I$6+(((A32)+1)/2)*(Inputs!$J$6-Inputs!$I$6)))*12.9898+(Inputs!$C$6)*78.233+Inputs!$C$47*37.719))*43758.5453)))-1))),NA())</f>
        <v/>
      </c>
      <c r="AT32" s="9">
        <f>IF(OR(Inputs!$F$7=TRUE,Inputs!$F$7="TRUE",Inputs!$F$7=1),IF(OR(Inputs!$C$27=TRUE,Inputs!$C$27="TRUE",Inputs!$C$27=1),1,0)*(Inputs!$C$51*(115*EXP(-(((Inputs!$C$6)-25)^2)/(4.5^2))+70*EXP(-(((Inputs!$C$6)+38)^2)/(7^2))*(0.55+0.45*SIN(2*PI()*((Inputs!$I$7+(((A32)+1)/2)*(Inputs!$J$7-Inputs!$I$7)))/45))+24*SIN(2*PI()*(Inputs!$C$6)/9+((Inputs!$I$7+(((A32)+1)/2)*(Inputs!$J$7-Inputs!$I$7)))/18)*EXP(-(((Inputs!$C$6)+5)^2)/(22^2))+18*SIN(2*PI()*((Inputs!$I$7+(((A32)+1)/2)*(Inputs!$J$7-Inputs!$I$7)))/70))+Inputs!$C$28*EXP(-((((Inputs!$I$7+(((A32)+1)/2)*(Inputs!$J$7-Inputs!$I$7)))-Inputs!$C$29)^2)/(2*Inputs!$C$31^2))*EXP(-(((Inputs!$C$6)-Inputs!$C$30)^2)/(2*Inputs!$C$32^2))+-Inputs!$C$33*EXP(-((((((Inputs!$I$7+(((A32)+1)/2)*(Inputs!$J$7-Inputs!$I$7)))-Inputs!$C$34)^2)+(((Inputs!$C$6)-Inputs!$C$35)^2))/(2*Inputs!$C$36^2)))+Inputs!$C$37*(0.55*SIN(2*PI()*((Inputs!$I$7+(((A32)+1)/2)*(Inputs!$J$7-Inputs!$I$7)))/Inputs!$C$39)+0.35*COS(2*PI()*(Inputs!$C$6)/Inputs!$C$40)+0.2*SIN(2*PI()*(((Inputs!$I$7+(((A32)+1)/2)*(Inputs!$J$7-Inputs!$I$7)))+(Inputs!$C$6))/(0.5*(Inputs!$C$39+Inputs!$C$40))))+Inputs!$C$38*SIN(2*PI()*((Inputs!$I$7+(((A32)+1)/2)*(Inputs!$J$7-Inputs!$I$7)))/Inputs!$C$39)*SIN(2*PI()*(Inputs!$C$6)/Inputs!$C$40)+-Inputs!$C$41*EXP(-(((Inputs!$C$6)-Inputs!$C$43)^2)/(2*Inputs!$C$44^2))*EXP(-((((Inputs!$I$7+(((A32)+1)/2)*(Inputs!$J$7-Inputs!$I$7)))-Inputs!$C$42)^2)/(2*Inputs!$C$45^2))+Inputs!$C$48*(0.7*(0.45*SIN(2*PI()*((((Inputs!$I$7+(((A32)+1)/2)*(Inputs!$J$7-Inputs!$I$7)))/Inputs!$C$49)+Inputs!$C$47*0.137))+0.35*COS(2*PI()*(((Inputs!$C$6)/Inputs!$C$50)+Inputs!$C$47*0.173))+0.2*SIN(2*PI()*((((Inputs!$I$7+(((A32)+1)/2)*(Inputs!$J$7-Inputs!$I$7)))+(Inputs!$C$6))/(0.5*(Inputs!$C$49+Inputs!$C$50))+Inputs!$C$47*0.097)))+0.3*(2*((SIN((((Inputs!$I$7+(((A32)+1)/2)*(Inputs!$J$7-Inputs!$I$7)))*12.9898+(Inputs!$C$6)*78.233+Inputs!$C$47*37.719))*43758.5453)-INT((SIN((((Inputs!$I$7+(((A32)+1)/2)*(Inputs!$J$7-Inputs!$I$7)))*12.9898+(Inputs!$C$6)*78.233+Inputs!$C$47*37.719))*43758.5453)))-1))),NA())</f>
        <v/>
      </c>
      <c r="AU32" s="9">
        <f>IF(OR(Inputs!$F$8=TRUE,Inputs!$F$8="TRUE",Inputs!$F$8=1),IF(OR(Inputs!$C$27=TRUE,Inputs!$C$27="TRUE",Inputs!$C$27=1),1,0)*(Inputs!$C$51*(115*EXP(-(((Inputs!$C$6)-25)^2)/(4.5^2))+70*EXP(-(((Inputs!$C$6)+38)^2)/(7^2))*(0.55+0.45*SIN(2*PI()*((Inputs!$I$8+(((A32)+1)/2)*(Inputs!$J$8-Inputs!$I$8)))/45))+24*SIN(2*PI()*(Inputs!$C$6)/9+((Inputs!$I$8+(((A32)+1)/2)*(Inputs!$J$8-Inputs!$I$8)))/18)*EXP(-(((Inputs!$C$6)+5)^2)/(22^2))+18*SIN(2*PI()*((Inputs!$I$8+(((A32)+1)/2)*(Inputs!$J$8-Inputs!$I$8)))/70))+Inputs!$C$28*EXP(-((((Inputs!$I$8+(((A32)+1)/2)*(Inputs!$J$8-Inputs!$I$8)))-Inputs!$C$29)^2)/(2*Inputs!$C$31^2))*EXP(-(((Inputs!$C$6)-Inputs!$C$30)^2)/(2*Inputs!$C$32^2))+-Inputs!$C$33*EXP(-((((((Inputs!$I$8+(((A32)+1)/2)*(Inputs!$J$8-Inputs!$I$8)))-Inputs!$C$34)^2)+(((Inputs!$C$6)-Inputs!$C$35)^2))/(2*Inputs!$C$36^2)))+Inputs!$C$37*(0.55*SIN(2*PI()*((Inputs!$I$8+(((A32)+1)/2)*(Inputs!$J$8-Inputs!$I$8)))/Inputs!$C$39)+0.35*COS(2*PI()*(Inputs!$C$6)/Inputs!$C$40)+0.2*SIN(2*PI()*(((Inputs!$I$8+(((A32)+1)/2)*(Inputs!$J$8-Inputs!$I$8)))+(Inputs!$C$6))/(0.5*(Inputs!$C$39+Inputs!$C$40))))+Inputs!$C$38*SIN(2*PI()*((Inputs!$I$8+(((A32)+1)/2)*(Inputs!$J$8-Inputs!$I$8)))/Inputs!$C$39)*SIN(2*PI()*(Inputs!$C$6)/Inputs!$C$40)+-Inputs!$C$41*EXP(-(((Inputs!$C$6)-Inputs!$C$43)^2)/(2*Inputs!$C$44^2))*EXP(-((((Inputs!$I$8+(((A32)+1)/2)*(Inputs!$J$8-Inputs!$I$8)))-Inputs!$C$42)^2)/(2*Inputs!$C$45^2))+Inputs!$C$48*(0.7*(0.45*SIN(2*PI()*((((Inputs!$I$8+(((A32)+1)/2)*(Inputs!$J$8-Inputs!$I$8)))/Inputs!$C$49)+Inputs!$C$47*0.137))+0.35*COS(2*PI()*(((Inputs!$C$6)/Inputs!$C$50)+Inputs!$C$47*0.173))+0.2*SIN(2*PI()*((((Inputs!$I$8+(((A32)+1)/2)*(Inputs!$J$8-Inputs!$I$8)))+(Inputs!$C$6))/(0.5*(Inputs!$C$49+Inputs!$C$50))+Inputs!$C$47*0.097)))+0.3*(2*((SIN((((Inputs!$I$8+(((A32)+1)/2)*(Inputs!$J$8-Inputs!$I$8)))*12.9898+(Inputs!$C$6)*78.233+Inputs!$C$47*37.719))*43758.5453)-INT((SIN((((Inputs!$I$8+(((A32)+1)/2)*(Inputs!$J$8-Inputs!$I$8)))*12.9898+(Inputs!$C$6)*78.233+Inputs!$C$47*37.719))*43758.5453)))-1))),NA())</f>
        <v/>
      </c>
      <c r="AV32" s="9">
        <f>IF(OR(Inputs!$F$9=TRUE,Inputs!$F$9="TRUE",Inputs!$F$9=1),IF(OR(Inputs!$C$27=TRUE,Inputs!$C$27="TRUE",Inputs!$C$27=1),1,0)*(Inputs!$C$51*(115*EXP(-(((Inputs!$C$6)-25)^2)/(4.5^2))+70*EXP(-(((Inputs!$C$6)+38)^2)/(7^2))*(0.55+0.45*SIN(2*PI()*((Inputs!$I$9+(((A32)+1)/2)*(Inputs!$J$9-Inputs!$I$9)))/45))+24*SIN(2*PI()*(Inputs!$C$6)/9+((Inputs!$I$9+(((A32)+1)/2)*(Inputs!$J$9-Inputs!$I$9)))/18)*EXP(-(((Inputs!$C$6)+5)^2)/(22^2))+18*SIN(2*PI()*((Inputs!$I$9+(((A32)+1)/2)*(Inputs!$J$9-Inputs!$I$9)))/70))+Inputs!$C$28*EXP(-((((Inputs!$I$9+(((A32)+1)/2)*(Inputs!$J$9-Inputs!$I$9)))-Inputs!$C$29)^2)/(2*Inputs!$C$31^2))*EXP(-(((Inputs!$C$6)-Inputs!$C$30)^2)/(2*Inputs!$C$32^2))+-Inputs!$C$33*EXP(-((((((Inputs!$I$9+(((A32)+1)/2)*(Inputs!$J$9-Inputs!$I$9)))-Inputs!$C$34)^2)+(((Inputs!$C$6)-Inputs!$C$35)^2))/(2*Inputs!$C$36^2)))+Inputs!$C$37*(0.55*SIN(2*PI()*((Inputs!$I$9+(((A32)+1)/2)*(Inputs!$J$9-Inputs!$I$9)))/Inputs!$C$39)+0.35*COS(2*PI()*(Inputs!$C$6)/Inputs!$C$40)+0.2*SIN(2*PI()*(((Inputs!$I$9+(((A32)+1)/2)*(Inputs!$J$9-Inputs!$I$9)))+(Inputs!$C$6))/(0.5*(Inputs!$C$39+Inputs!$C$40))))+Inputs!$C$38*SIN(2*PI()*((Inputs!$I$9+(((A32)+1)/2)*(Inputs!$J$9-Inputs!$I$9)))/Inputs!$C$39)*SIN(2*PI()*(Inputs!$C$6)/Inputs!$C$40)+-Inputs!$C$41*EXP(-(((Inputs!$C$6)-Inputs!$C$43)^2)/(2*Inputs!$C$44^2))*EXP(-((((Inputs!$I$9+(((A32)+1)/2)*(Inputs!$J$9-Inputs!$I$9)))-Inputs!$C$42)^2)/(2*Inputs!$C$45^2))+Inputs!$C$48*(0.7*(0.45*SIN(2*PI()*((((Inputs!$I$9+(((A32)+1)/2)*(Inputs!$J$9-Inputs!$I$9)))/Inputs!$C$49)+Inputs!$C$47*0.137))+0.35*COS(2*PI()*(((Inputs!$C$6)/Inputs!$C$50)+Inputs!$C$47*0.173))+0.2*SIN(2*PI()*((((Inputs!$I$9+(((A32)+1)/2)*(Inputs!$J$9-Inputs!$I$9)))+(Inputs!$C$6))/(0.5*(Inputs!$C$49+Inputs!$C$50))+Inputs!$C$47*0.097)))+0.3*(2*((SIN((((Inputs!$I$9+(((A32)+1)/2)*(Inputs!$J$9-Inputs!$I$9)))*12.9898+(Inputs!$C$6)*78.233+Inputs!$C$47*37.719))*43758.5453)-INT((SIN((((Inputs!$I$9+(((A32)+1)/2)*(Inputs!$J$9-Inputs!$I$9)))*12.9898+(Inputs!$C$6)*78.233+Inputs!$C$47*37.719))*43758.5453)))-1))),NA())</f>
        <v/>
      </c>
      <c r="AW32" s="10" t="n"/>
      <c r="AX32" s="9">
        <f>A32</f>
        <v/>
      </c>
      <c r="AY32" s="9">
        <f>0</f>
        <v/>
      </c>
      <c r="AZ32" s="9">
        <f>IF(OR(Inputs!$F$6=TRUE,Inputs!$F$6="TRUE",Inputs!$F$6=1),(Inputs!$H$6+Inputs!$L$6*(((Inputs!$I$6+(((A32)+1)/2)*(Inputs!$J$6-Inputs!$I$6)))/Inputs!$K$6)^2),NA())</f>
        <v/>
      </c>
      <c r="BA32" s="9">
        <f>IF(OR(Inputs!$F$7=TRUE,Inputs!$F$7="TRUE",Inputs!$F$7=1),(Inputs!$H$7+Inputs!$L$7*(((Inputs!$I$7+(((A32)+1)/2)*(Inputs!$J$7-Inputs!$I$7)))/Inputs!$K$7)^2),NA())</f>
        <v/>
      </c>
      <c r="BB32" s="9">
        <f>IF(OR(Inputs!$F$8=TRUE,Inputs!$F$8="TRUE",Inputs!$F$8=1),(Inputs!$H$8+Inputs!$L$8*(((Inputs!$I$8+(((A32)+1)/2)*(Inputs!$J$8-Inputs!$I$8)))/Inputs!$K$8)^2),NA())</f>
        <v/>
      </c>
      <c r="BC32" s="9">
        <f>IF(OR(Inputs!$F$9=TRUE,Inputs!$F$9="TRUE",Inputs!$F$9=1),(Inputs!$H$9+Inputs!$L$9*(((Inputs!$I$9+(((A32)+1)/2)*(Inputs!$J$9-Inputs!$I$9)))/Inputs!$K$9)^2),NA())</f>
        <v/>
      </c>
      <c r="BD32" s="10" t="n"/>
      <c r="BE32" s="9">
        <f>A32</f>
        <v/>
      </c>
      <c r="BF32" s="9">
        <f>0</f>
        <v/>
      </c>
      <c r="BG32" s="9">
        <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f>
        <v/>
      </c>
      <c r="BH32" s="9">
        <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f>
        <v/>
      </c>
      <c r="BI32" s="9">
        <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f>
        <v/>
      </c>
      <c r="BJ32" s="9">
        <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f>
        <v/>
      </c>
    </row>
    <row r="33">
      <c r="A33" s="9">
        <f>ROUND(-1+31*2/240,3)</f>
        <v/>
      </c>
      <c r="B33" s="9">
        <f>IF(OR(Inputs!$F$6=TRUE,Inputs!$F$6="TRUE",Inputs!$F$6=1),(Inputs!$H$6+Inputs!$L$6*(((Inputs!$I$6+(((A33)+1)/2)*(Inputs!$J$6-Inputs!$I$6)))/Inputs!$K$6)^2),NA())</f>
        <v/>
      </c>
      <c r="C33" s="9">
        <f>IF(OR(Inputs!$F$7=TRUE,Inputs!$F$7="TRUE",Inputs!$F$7=1),(Inputs!$H$7+Inputs!$L$7*(((Inputs!$I$7+(((A33)+1)/2)*(Inputs!$J$7-Inputs!$I$7)))/Inputs!$K$7)^2),NA())</f>
        <v/>
      </c>
      <c r="D33" s="9">
        <f>IF(OR(Inputs!$F$8=TRUE,Inputs!$F$8="TRUE",Inputs!$F$8=1),(Inputs!$H$8+Inputs!$L$8*(((Inputs!$I$8+(((A33)+1)/2)*(Inputs!$J$8-Inputs!$I$8)))/Inputs!$K$8)^2),NA())</f>
        <v/>
      </c>
      <c r="E33" s="9">
        <f>IF(OR(Inputs!$F$9=TRUE,Inputs!$F$9="TRUE",Inputs!$F$9=1),(Inputs!$H$9+Inputs!$L$9*(((Inputs!$I$9+(((A33)+1)/2)*(Inputs!$J$9-Inputs!$I$9)))/Inputs!$K$9)^2),NA())</f>
        <v/>
      </c>
      <c r="F33" s="10" t="n"/>
      <c r="G33" s="9">
        <f>A33</f>
        <v/>
      </c>
      <c r="H33" s="9">
        <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f>
        <v/>
      </c>
      <c r="I33" s="9">
        <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f>
        <v/>
      </c>
      <c r="J33" s="9">
        <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f>
        <v/>
      </c>
      <c r="K33" s="9">
        <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f>
        <v/>
      </c>
      <c r="L33" s="10" t="n"/>
      <c r="M33" s="9">
        <f>A33</f>
        <v/>
      </c>
      <c r="N33" s="9">
        <f>IF(OR(Inputs!$F$6=TRUE,Inputs!$F$6="TRUE",Inputs!$F$6=1),(-2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NA())</f>
        <v/>
      </c>
      <c r="O33" s="9">
        <f>IF(OR(Inputs!$F$7=TRUE,Inputs!$F$7="TRUE",Inputs!$F$7=1),(-2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NA())</f>
        <v/>
      </c>
      <c r="P33" s="9">
        <f>IF(OR(Inputs!$F$8=TRUE,Inputs!$F$8="TRUE",Inputs!$F$8=1),(-2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NA())</f>
        <v/>
      </c>
      <c r="Q33" s="9">
        <f>IF(OR(Inputs!$F$9=TRUE,Inputs!$F$9="TRUE",Inputs!$F$9=1),(-2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NA())</f>
        <v/>
      </c>
      <c r="R33" s="10" t="n"/>
      <c r="S33" s="9">
        <f>A33</f>
        <v/>
      </c>
      <c r="T33" s="9">
        <f>(Inputs!$I$6+(((A33)+1)/2)*(Inputs!$J$6-Inputs!$I$6))</f>
        <v/>
      </c>
      <c r="U33" s="9">
        <f>(Inputs!$I$7+(((A33)+1)/2)*(Inputs!$J$7-Inputs!$I$7))</f>
        <v/>
      </c>
      <c r="V33" s="9">
        <f>(Inputs!$I$8+(((A33)+1)/2)*(Inputs!$J$8-Inputs!$I$8))</f>
        <v/>
      </c>
      <c r="W33" s="9">
        <f>(Inputs!$I$9+(((A33)+1)/2)*(Inputs!$J$9-Inputs!$I$9))</f>
        <v/>
      </c>
      <c r="X33" s="10" t="n"/>
      <c r="Y33" s="9">
        <f>A33</f>
        <v/>
      </c>
      <c r="Z33" s="9">
        <f>(Inputs!$H$6+Inputs!$L$6*(((Inputs!$I$6+(((A33)+1)/2)*(Inputs!$J$6-Inputs!$I$6)))/Inputs!$K$6)^2)</f>
        <v/>
      </c>
      <c r="AA33" s="9">
        <f>(Inputs!$H$7+Inputs!$L$7*(((Inputs!$I$7+(((A33)+1)/2)*(Inputs!$J$7-Inputs!$I$7)))/Inputs!$K$7)^2)</f>
        <v/>
      </c>
      <c r="AB33" s="9">
        <f>(Inputs!$H$8+Inputs!$L$8*(((Inputs!$I$8+(((A33)+1)/2)*(Inputs!$J$8-Inputs!$I$8)))/Inputs!$K$8)^2)</f>
        <v/>
      </c>
      <c r="AC33" s="9">
        <f>(Inputs!$H$9+Inputs!$L$9*(((Inputs!$I$9+(((A33)+1)/2)*(Inputs!$J$9-Inputs!$I$9)))/Inputs!$K$9)^2)</f>
        <v/>
      </c>
      <c r="AD33" s="10" t="n"/>
      <c r="AE33" s="9">
        <f>A33</f>
        <v/>
      </c>
      <c r="AF33" s="9">
        <f>(((SQRT((Inputs!$C$52+((Inputs!$H$6+Inputs!$L$6*(((Inputs!$I$6+(((A33)+1)/2)*(Inputs!$J$6-Inputs!$I$6)))/Inputs!$K$6)^2)))^2+Inputs!$C$52^2-2*(Inputs!$C$52+((Inputs!$H$6+Inputs!$L$6*(((Inputs!$I$6+(((A33)+1)/2)*(Inputs!$J$6-Inputs!$I$6)))/Inputs!$K$6)^2)))*Inputs!$C$52*COS(SQRT(((Inputs!$I$6+(((A33)+1)/2)*(Inputs!$J$6-Inputs!$I$6)))^2+Inputs!$C$6^2)/Inputs!$C$52)))-((Inputs!$H$6+Inputs!$L$6*(((Inputs!$I$6+(((A33)+1)/2)*(Inputs!$J$6-Inputs!$I$6)))/Inputs!$K$6)^2)))*1000/Inputs!$C$12)</f>
        <v/>
      </c>
      <c r="AG33" s="9">
        <f>(((SQRT((Inputs!$C$52+((Inputs!$H$7+Inputs!$L$7*(((Inputs!$I$7+(((A33)+1)/2)*(Inputs!$J$7-Inputs!$I$7)))/Inputs!$K$7)^2)))^2+Inputs!$C$52^2-2*(Inputs!$C$52+((Inputs!$H$7+Inputs!$L$7*(((Inputs!$I$7+(((A33)+1)/2)*(Inputs!$J$7-Inputs!$I$7)))/Inputs!$K$7)^2)))*Inputs!$C$52*COS(SQRT(((Inputs!$I$7+(((A33)+1)/2)*(Inputs!$J$7-Inputs!$I$7)))^2+Inputs!$C$6^2)/Inputs!$C$52)))-((Inputs!$H$7+Inputs!$L$7*(((Inputs!$I$7+(((A33)+1)/2)*(Inputs!$J$7-Inputs!$I$7)))/Inputs!$K$7)^2)))*1000/Inputs!$C$12)</f>
        <v/>
      </c>
      <c r="AH33" s="9">
        <f>(((SQRT((Inputs!$C$52+((Inputs!$H$8+Inputs!$L$8*(((Inputs!$I$8+(((A33)+1)/2)*(Inputs!$J$8-Inputs!$I$8)))/Inputs!$K$8)^2)))^2+Inputs!$C$52^2-2*(Inputs!$C$52+((Inputs!$H$8+Inputs!$L$8*(((Inputs!$I$8+(((A33)+1)/2)*(Inputs!$J$8-Inputs!$I$8)))/Inputs!$K$8)^2)))*Inputs!$C$52*COS(SQRT(((Inputs!$I$8+(((A33)+1)/2)*(Inputs!$J$8-Inputs!$I$8)))^2+Inputs!$C$6^2)/Inputs!$C$52)))-((Inputs!$H$8+Inputs!$L$8*(((Inputs!$I$8+(((A33)+1)/2)*(Inputs!$J$8-Inputs!$I$8)))/Inputs!$K$8)^2)))*1000/Inputs!$C$12)</f>
        <v/>
      </c>
      <c r="AI33" s="9">
        <f>(((SQRT((Inputs!$C$52+((Inputs!$H$9+Inputs!$L$9*(((Inputs!$I$9+(((A33)+1)/2)*(Inputs!$J$9-Inputs!$I$9)))/Inputs!$K$9)^2)))^2+Inputs!$C$52^2-2*(Inputs!$C$52+((Inputs!$H$9+Inputs!$L$9*(((Inputs!$I$9+(((A33)+1)/2)*(Inputs!$J$9-Inputs!$I$9)))/Inputs!$K$9)^2)))*Inputs!$C$52*COS(SQRT(((Inputs!$I$9+(((A33)+1)/2)*(Inputs!$J$9-Inputs!$I$9)))^2+Inputs!$C$6^2)/Inputs!$C$52)))-((Inputs!$H$9+Inputs!$L$9*(((Inputs!$I$9+(((A33)+1)/2)*(Inputs!$J$9-Inputs!$I$9)))/Inputs!$K$9)^2)))*1000/Inputs!$C$12)</f>
        <v/>
      </c>
      <c r="AJ33" s="10" t="n"/>
      <c r="AK33" s="9">
        <f>A33</f>
        <v/>
      </c>
      <c r="AL33" s="9">
        <f>(-2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f>
        <v/>
      </c>
      <c r="AM33" s="9">
        <f>(-2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f>
        <v/>
      </c>
      <c r="AN33" s="9">
        <f>(-2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f>
        <v/>
      </c>
      <c r="AO33" s="9">
        <f>(-2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f>
        <v/>
      </c>
      <c r="AP33" s="10" t="n"/>
      <c r="AQ33" s="9">
        <f>A33</f>
        <v/>
      </c>
      <c r="AR33" s="9">
        <f>0</f>
        <v/>
      </c>
      <c r="AS33" s="9">
        <f>IF(OR(Inputs!$F$6=TRUE,Inputs!$F$6="TRUE",Inputs!$F$6=1),IF(OR(Inputs!$C$27=TRUE,Inputs!$C$27="TRUE",Inputs!$C$27=1),1,0)*(Inputs!$C$51*(115*EXP(-(((Inputs!$C$6)-25)^2)/(4.5^2))+70*EXP(-(((Inputs!$C$6)+38)^2)/(7^2))*(0.55+0.45*SIN(2*PI()*((Inputs!$I$6+(((A33)+1)/2)*(Inputs!$J$6-Inputs!$I$6)))/45))+24*SIN(2*PI()*(Inputs!$C$6)/9+((Inputs!$I$6+(((A33)+1)/2)*(Inputs!$J$6-Inputs!$I$6)))/18)*EXP(-(((Inputs!$C$6)+5)^2)/(22^2))+18*SIN(2*PI()*((Inputs!$I$6+(((A33)+1)/2)*(Inputs!$J$6-Inputs!$I$6)))/70))+Inputs!$C$28*EXP(-((((Inputs!$I$6+(((A33)+1)/2)*(Inputs!$J$6-Inputs!$I$6)))-Inputs!$C$29)^2)/(2*Inputs!$C$31^2))*EXP(-(((Inputs!$C$6)-Inputs!$C$30)^2)/(2*Inputs!$C$32^2))+-Inputs!$C$33*EXP(-((((((Inputs!$I$6+(((A33)+1)/2)*(Inputs!$J$6-Inputs!$I$6)))-Inputs!$C$34)^2)+(((Inputs!$C$6)-Inputs!$C$35)^2))/(2*Inputs!$C$36^2)))+Inputs!$C$37*(0.55*SIN(2*PI()*((Inputs!$I$6+(((A33)+1)/2)*(Inputs!$J$6-Inputs!$I$6)))/Inputs!$C$39)+0.35*COS(2*PI()*(Inputs!$C$6)/Inputs!$C$40)+0.2*SIN(2*PI()*(((Inputs!$I$6+(((A33)+1)/2)*(Inputs!$J$6-Inputs!$I$6)))+(Inputs!$C$6))/(0.5*(Inputs!$C$39+Inputs!$C$40))))+Inputs!$C$38*SIN(2*PI()*((Inputs!$I$6+(((A33)+1)/2)*(Inputs!$J$6-Inputs!$I$6)))/Inputs!$C$39)*SIN(2*PI()*(Inputs!$C$6)/Inputs!$C$40)+-Inputs!$C$41*EXP(-(((Inputs!$C$6)-Inputs!$C$43)^2)/(2*Inputs!$C$44^2))*EXP(-((((Inputs!$I$6+(((A33)+1)/2)*(Inputs!$J$6-Inputs!$I$6)))-Inputs!$C$42)^2)/(2*Inputs!$C$45^2))+Inputs!$C$48*(0.7*(0.45*SIN(2*PI()*((((Inputs!$I$6+(((A33)+1)/2)*(Inputs!$J$6-Inputs!$I$6)))/Inputs!$C$49)+Inputs!$C$47*0.137))+0.35*COS(2*PI()*(((Inputs!$C$6)/Inputs!$C$50)+Inputs!$C$47*0.173))+0.2*SIN(2*PI()*((((Inputs!$I$6+(((A33)+1)/2)*(Inputs!$J$6-Inputs!$I$6)))+(Inputs!$C$6))/(0.5*(Inputs!$C$49+Inputs!$C$50))+Inputs!$C$47*0.097)))+0.3*(2*((SIN((((Inputs!$I$6+(((A33)+1)/2)*(Inputs!$J$6-Inputs!$I$6)))*12.9898+(Inputs!$C$6)*78.233+Inputs!$C$47*37.719))*43758.5453)-INT((SIN((((Inputs!$I$6+(((A33)+1)/2)*(Inputs!$J$6-Inputs!$I$6)))*12.9898+(Inputs!$C$6)*78.233+Inputs!$C$47*37.719))*43758.5453)))-1))),NA())</f>
        <v/>
      </c>
      <c r="AT33" s="9">
        <f>IF(OR(Inputs!$F$7=TRUE,Inputs!$F$7="TRUE",Inputs!$F$7=1),IF(OR(Inputs!$C$27=TRUE,Inputs!$C$27="TRUE",Inputs!$C$27=1),1,0)*(Inputs!$C$51*(115*EXP(-(((Inputs!$C$6)-25)^2)/(4.5^2))+70*EXP(-(((Inputs!$C$6)+38)^2)/(7^2))*(0.55+0.45*SIN(2*PI()*((Inputs!$I$7+(((A33)+1)/2)*(Inputs!$J$7-Inputs!$I$7)))/45))+24*SIN(2*PI()*(Inputs!$C$6)/9+((Inputs!$I$7+(((A33)+1)/2)*(Inputs!$J$7-Inputs!$I$7)))/18)*EXP(-(((Inputs!$C$6)+5)^2)/(22^2))+18*SIN(2*PI()*((Inputs!$I$7+(((A33)+1)/2)*(Inputs!$J$7-Inputs!$I$7)))/70))+Inputs!$C$28*EXP(-((((Inputs!$I$7+(((A33)+1)/2)*(Inputs!$J$7-Inputs!$I$7)))-Inputs!$C$29)^2)/(2*Inputs!$C$31^2))*EXP(-(((Inputs!$C$6)-Inputs!$C$30)^2)/(2*Inputs!$C$32^2))+-Inputs!$C$33*EXP(-((((((Inputs!$I$7+(((A33)+1)/2)*(Inputs!$J$7-Inputs!$I$7)))-Inputs!$C$34)^2)+(((Inputs!$C$6)-Inputs!$C$35)^2))/(2*Inputs!$C$36^2)))+Inputs!$C$37*(0.55*SIN(2*PI()*((Inputs!$I$7+(((A33)+1)/2)*(Inputs!$J$7-Inputs!$I$7)))/Inputs!$C$39)+0.35*COS(2*PI()*(Inputs!$C$6)/Inputs!$C$40)+0.2*SIN(2*PI()*(((Inputs!$I$7+(((A33)+1)/2)*(Inputs!$J$7-Inputs!$I$7)))+(Inputs!$C$6))/(0.5*(Inputs!$C$39+Inputs!$C$40))))+Inputs!$C$38*SIN(2*PI()*((Inputs!$I$7+(((A33)+1)/2)*(Inputs!$J$7-Inputs!$I$7)))/Inputs!$C$39)*SIN(2*PI()*(Inputs!$C$6)/Inputs!$C$40)+-Inputs!$C$41*EXP(-(((Inputs!$C$6)-Inputs!$C$43)^2)/(2*Inputs!$C$44^2))*EXP(-((((Inputs!$I$7+(((A33)+1)/2)*(Inputs!$J$7-Inputs!$I$7)))-Inputs!$C$42)^2)/(2*Inputs!$C$45^2))+Inputs!$C$48*(0.7*(0.45*SIN(2*PI()*((((Inputs!$I$7+(((A33)+1)/2)*(Inputs!$J$7-Inputs!$I$7)))/Inputs!$C$49)+Inputs!$C$47*0.137))+0.35*COS(2*PI()*(((Inputs!$C$6)/Inputs!$C$50)+Inputs!$C$47*0.173))+0.2*SIN(2*PI()*((((Inputs!$I$7+(((A33)+1)/2)*(Inputs!$J$7-Inputs!$I$7)))+(Inputs!$C$6))/(0.5*(Inputs!$C$49+Inputs!$C$50))+Inputs!$C$47*0.097)))+0.3*(2*((SIN((((Inputs!$I$7+(((A33)+1)/2)*(Inputs!$J$7-Inputs!$I$7)))*12.9898+(Inputs!$C$6)*78.233+Inputs!$C$47*37.719))*43758.5453)-INT((SIN((((Inputs!$I$7+(((A33)+1)/2)*(Inputs!$J$7-Inputs!$I$7)))*12.9898+(Inputs!$C$6)*78.233+Inputs!$C$47*37.719))*43758.5453)))-1))),NA())</f>
        <v/>
      </c>
      <c r="AU33" s="9">
        <f>IF(OR(Inputs!$F$8=TRUE,Inputs!$F$8="TRUE",Inputs!$F$8=1),IF(OR(Inputs!$C$27=TRUE,Inputs!$C$27="TRUE",Inputs!$C$27=1),1,0)*(Inputs!$C$51*(115*EXP(-(((Inputs!$C$6)-25)^2)/(4.5^2))+70*EXP(-(((Inputs!$C$6)+38)^2)/(7^2))*(0.55+0.45*SIN(2*PI()*((Inputs!$I$8+(((A33)+1)/2)*(Inputs!$J$8-Inputs!$I$8)))/45))+24*SIN(2*PI()*(Inputs!$C$6)/9+((Inputs!$I$8+(((A33)+1)/2)*(Inputs!$J$8-Inputs!$I$8)))/18)*EXP(-(((Inputs!$C$6)+5)^2)/(22^2))+18*SIN(2*PI()*((Inputs!$I$8+(((A33)+1)/2)*(Inputs!$J$8-Inputs!$I$8)))/70))+Inputs!$C$28*EXP(-((((Inputs!$I$8+(((A33)+1)/2)*(Inputs!$J$8-Inputs!$I$8)))-Inputs!$C$29)^2)/(2*Inputs!$C$31^2))*EXP(-(((Inputs!$C$6)-Inputs!$C$30)^2)/(2*Inputs!$C$32^2))+-Inputs!$C$33*EXP(-((((((Inputs!$I$8+(((A33)+1)/2)*(Inputs!$J$8-Inputs!$I$8)))-Inputs!$C$34)^2)+(((Inputs!$C$6)-Inputs!$C$35)^2))/(2*Inputs!$C$36^2)))+Inputs!$C$37*(0.55*SIN(2*PI()*((Inputs!$I$8+(((A33)+1)/2)*(Inputs!$J$8-Inputs!$I$8)))/Inputs!$C$39)+0.35*COS(2*PI()*(Inputs!$C$6)/Inputs!$C$40)+0.2*SIN(2*PI()*(((Inputs!$I$8+(((A33)+1)/2)*(Inputs!$J$8-Inputs!$I$8)))+(Inputs!$C$6))/(0.5*(Inputs!$C$39+Inputs!$C$40))))+Inputs!$C$38*SIN(2*PI()*((Inputs!$I$8+(((A33)+1)/2)*(Inputs!$J$8-Inputs!$I$8)))/Inputs!$C$39)*SIN(2*PI()*(Inputs!$C$6)/Inputs!$C$40)+-Inputs!$C$41*EXP(-(((Inputs!$C$6)-Inputs!$C$43)^2)/(2*Inputs!$C$44^2))*EXP(-((((Inputs!$I$8+(((A33)+1)/2)*(Inputs!$J$8-Inputs!$I$8)))-Inputs!$C$42)^2)/(2*Inputs!$C$45^2))+Inputs!$C$48*(0.7*(0.45*SIN(2*PI()*((((Inputs!$I$8+(((A33)+1)/2)*(Inputs!$J$8-Inputs!$I$8)))/Inputs!$C$49)+Inputs!$C$47*0.137))+0.35*COS(2*PI()*(((Inputs!$C$6)/Inputs!$C$50)+Inputs!$C$47*0.173))+0.2*SIN(2*PI()*((((Inputs!$I$8+(((A33)+1)/2)*(Inputs!$J$8-Inputs!$I$8)))+(Inputs!$C$6))/(0.5*(Inputs!$C$49+Inputs!$C$50))+Inputs!$C$47*0.097)))+0.3*(2*((SIN((((Inputs!$I$8+(((A33)+1)/2)*(Inputs!$J$8-Inputs!$I$8)))*12.9898+(Inputs!$C$6)*78.233+Inputs!$C$47*37.719))*43758.5453)-INT((SIN((((Inputs!$I$8+(((A33)+1)/2)*(Inputs!$J$8-Inputs!$I$8)))*12.9898+(Inputs!$C$6)*78.233+Inputs!$C$47*37.719))*43758.5453)))-1))),NA())</f>
        <v/>
      </c>
      <c r="AV33" s="9">
        <f>IF(OR(Inputs!$F$9=TRUE,Inputs!$F$9="TRUE",Inputs!$F$9=1),IF(OR(Inputs!$C$27=TRUE,Inputs!$C$27="TRUE",Inputs!$C$27=1),1,0)*(Inputs!$C$51*(115*EXP(-(((Inputs!$C$6)-25)^2)/(4.5^2))+70*EXP(-(((Inputs!$C$6)+38)^2)/(7^2))*(0.55+0.45*SIN(2*PI()*((Inputs!$I$9+(((A33)+1)/2)*(Inputs!$J$9-Inputs!$I$9)))/45))+24*SIN(2*PI()*(Inputs!$C$6)/9+((Inputs!$I$9+(((A33)+1)/2)*(Inputs!$J$9-Inputs!$I$9)))/18)*EXP(-(((Inputs!$C$6)+5)^2)/(22^2))+18*SIN(2*PI()*((Inputs!$I$9+(((A33)+1)/2)*(Inputs!$J$9-Inputs!$I$9)))/70))+Inputs!$C$28*EXP(-((((Inputs!$I$9+(((A33)+1)/2)*(Inputs!$J$9-Inputs!$I$9)))-Inputs!$C$29)^2)/(2*Inputs!$C$31^2))*EXP(-(((Inputs!$C$6)-Inputs!$C$30)^2)/(2*Inputs!$C$32^2))+-Inputs!$C$33*EXP(-((((((Inputs!$I$9+(((A33)+1)/2)*(Inputs!$J$9-Inputs!$I$9)))-Inputs!$C$34)^2)+(((Inputs!$C$6)-Inputs!$C$35)^2))/(2*Inputs!$C$36^2)))+Inputs!$C$37*(0.55*SIN(2*PI()*((Inputs!$I$9+(((A33)+1)/2)*(Inputs!$J$9-Inputs!$I$9)))/Inputs!$C$39)+0.35*COS(2*PI()*(Inputs!$C$6)/Inputs!$C$40)+0.2*SIN(2*PI()*(((Inputs!$I$9+(((A33)+1)/2)*(Inputs!$J$9-Inputs!$I$9)))+(Inputs!$C$6))/(0.5*(Inputs!$C$39+Inputs!$C$40))))+Inputs!$C$38*SIN(2*PI()*((Inputs!$I$9+(((A33)+1)/2)*(Inputs!$J$9-Inputs!$I$9)))/Inputs!$C$39)*SIN(2*PI()*(Inputs!$C$6)/Inputs!$C$40)+-Inputs!$C$41*EXP(-(((Inputs!$C$6)-Inputs!$C$43)^2)/(2*Inputs!$C$44^2))*EXP(-((((Inputs!$I$9+(((A33)+1)/2)*(Inputs!$J$9-Inputs!$I$9)))-Inputs!$C$42)^2)/(2*Inputs!$C$45^2))+Inputs!$C$48*(0.7*(0.45*SIN(2*PI()*((((Inputs!$I$9+(((A33)+1)/2)*(Inputs!$J$9-Inputs!$I$9)))/Inputs!$C$49)+Inputs!$C$47*0.137))+0.35*COS(2*PI()*(((Inputs!$C$6)/Inputs!$C$50)+Inputs!$C$47*0.173))+0.2*SIN(2*PI()*((((Inputs!$I$9+(((A33)+1)/2)*(Inputs!$J$9-Inputs!$I$9)))+(Inputs!$C$6))/(0.5*(Inputs!$C$49+Inputs!$C$50))+Inputs!$C$47*0.097)))+0.3*(2*((SIN((((Inputs!$I$9+(((A33)+1)/2)*(Inputs!$J$9-Inputs!$I$9)))*12.9898+(Inputs!$C$6)*78.233+Inputs!$C$47*37.719))*43758.5453)-INT((SIN((((Inputs!$I$9+(((A33)+1)/2)*(Inputs!$J$9-Inputs!$I$9)))*12.9898+(Inputs!$C$6)*78.233+Inputs!$C$47*37.719))*43758.5453)))-1))),NA())</f>
        <v/>
      </c>
      <c r="AW33" s="10" t="n"/>
      <c r="AX33" s="9">
        <f>A33</f>
        <v/>
      </c>
      <c r="AY33" s="9">
        <f>0</f>
        <v/>
      </c>
      <c r="AZ33" s="9">
        <f>IF(OR(Inputs!$F$6=TRUE,Inputs!$F$6="TRUE",Inputs!$F$6=1),(Inputs!$H$6+Inputs!$L$6*(((Inputs!$I$6+(((A33)+1)/2)*(Inputs!$J$6-Inputs!$I$6)))/Inputs!$K$6)^2),NA())</f>
        <v/>
      </c>
      <c r="BA33" s="9">
        <f>IF(OR(Inputs!$F$7=TRUE,Inputs!$F$7="TRUE",Inputs!$F$7=1),(Inputs!$H$7+Inputs!$L$7*(((Inputs!$I$7+(((A33)+1)/2)*(Inputs!$J$7-Inputs!$I$7)))/Inputs!$K$7)^2),NA())</f>
        <v/>
      </c>
      <c r="BB33" s="9">
        <f>IF(OR(Inputs!$F$8=TRUE,Inputs!$F$8="TRUE",Inputs!$F$8=1),(Inputs!$H$8+Inputs!$L$8*(((Inputs!$I$8+(((A33)+1)/2)*(Inputs!$J$8-Inputs!$I$8)))/Inputs!$K$8)^2),NA())</f>
        <v/>
      </c>
      <c r="BC33" s="9">
        <f>IF(OR(Inputs!$F$9=TRUE,Inputs!$F$9="TRUE",Inputs!$F$9=1),(Inputs!$H$9+Inputs!$L$9*(((Inputs!$I$9+(((A33)+1)/2)*(Inputs!$J$9-Inputs!$I$9)))/Inputs!$K$9)^2),NA())</f>
        <v/>
      </c>
      <c r="BD33" s="10" t="n"/>
      <c r="BE33" s="9">
        <f>A33</f>
        <v/>
      </c>
      <c r="BF33" s="9">
        <f>0</f>
        <v/>
      </c>
      <c r="BG33" s="9">
        <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f>
        <v/>
      </c>
      <c r="BH33" s="9">
        <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f>
        <v/>
      </c>
      <c r="BI33" s="9">
        <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f>
        <v/>
      </c>
      <c r="BJ33" s="9">
        <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f>
        <v/>
      </c>
    </row>
    <row r="34">
      <c r="A34" s="9">
        <f>ROUND(-1+32*2/240,3)</f>
        <v/>
      </c>
      <c r="B34" s="9">
        <f>IF(OR(Inputs!$F$6=TRUE,Inputs!$F$6="TRUE",Inputs!$F$6=1),(Inputs!$H$6+Inputs!$L$6*(((Inputs!$I$6+(((A34)+1)/2)*(Inputs!$J$6-Inputs!$I$6)))/Inputs!$K$6)^2),NA())</f>
        <v/>
      </c>
      <c r="C34" s="9">
        <f>IF(OR(Inputs!$F$7=TRUE,Inputs!$F$7="TRUE",Inputs!$F$7=1),(Inputs!$H$7+Inputs!$L$7*(((Inputs!$I$7+(((A34)+1)/2)*(Inputs!$J$7-Inputs!$I$7)))/Inputs!$K$7)^2),NA())</f>
        <v/>
      </c>
      <c r="D34" s="9">
        <f>IF(OR(Inputs!$F$8=TRUE,Inputs!$F$8="TRUE",Inputs!$F$8=1),(Inputs!$H$8+Inputs!$L$8*(((Inputs!$I$8+(((A34)+1)/2)*(Inputs!$J$8-Inputs!$I$8)))/Inputs!$K$8)^2),NA())</f>
        <v/>
      </c>
      <c r="E34" s="9">
        <f>IF(OR(Inputs!$F$9=TRUE,Inputs!$F$9="TRUE",Inputs!$F$9=1),(Inputs!$H$9+Inputs!$L$9*(((Inputs!$I$9+(((A34)+1)/2)*(Inputs!$J$9-Inputs!$I$9)))/Inputs!$K$9)^2),NA())</f>
        <v/>
      </c>
      <c r="F34" s="10" t="n"/>
      <c r="G34" s="9">
        <f>A34</f>
        <v/>
      </c>
      <c r="H34" s="9">
        <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f>
        <v/>
      </c>
      <c r="I34" s="9">
        <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f>
        <v/>
      </c>
      <c r="J34" s="9">
        <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f>
        <v/>
      </c>
      <c r="K34" s="9">
        <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f>
        <v/>
      </c>
      <c r="L34" s="10" t="n"/>
      <c r="M34" s="9">
        <f>A34</f>
        <v/>
      </c>
      <c r="N34" s="9">
        <f>IF(OR(Inputs!$F$6=TRUE,Inputs!$F$6="TRUE",Inputs!$F$6=1),(-2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NA())</f>
        <v/>
      </c>
      <c r="O34" s="9">
        <f>IF(OR(Inputs!$F$7=TRUE,Inputs!$F$7="TRUE",Inputs!$F$7=1),(-2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NA())</f>
        <v/>
      </c>
      <c r="P34" s="9">
        <f>IF(OR(Inputs!$F$8=TRUE,Inputs!$F$8="TRUE",Inputs!$F$8=1),(-2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NA())</f>
        <v/>
      </c>
      <c r="Q34" s="9">
        <f>IF(OR(Inputs!$F$9=TRUE,Inputs!$F$9="TRUE",Inputs!$F$9=1),(-2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NA())</f>
        <v/>
      </c>
      <c r="R34" s="10" t="n"/>
      <c r="S34" s="9">
        <f>A34</f>
        <v/>
      </c>
      <c r="T34" s="9">
        <f>(Inputs!$I$6+(((A34)+1)/2)*(Inputs!$J$6-Inputs!$I$6))</f>
        <v/>
      </c>
      <c r="U34" s="9">
        <f>(Inputs!$I$7+(((A34)+1)/2)*(Inputs!$J$7-Inputs!$I$7))</f>
        <v/>
      </c>
      <c r="V34" s="9">
        <f>(Inputs!$I$8+(((A34)+1)/2)*(Inputs!$J$8-Inputs!$I$8))</f>
        <v/>
      </c>
      <c r="W34" s="9">
        <f>(Inputs!$I$9+(((A34)+1)/2)*(Inputs!$J$9-Inputs!$I$9))</f>
        <v/>
      </c>
      <c r="X34" s="10" t="n"/>
      <c r="Y34" s="9">
        <f>A34</f>
        <v/>
      </c>
      <c r="Z34" s="9">
        <f>(Inputs!$H$6+Inputs!$L$6*(((Inputs!$I$6+(((A34)+1)/2)*(Inputs!$J$6-Inputs!$I$6)))/Inputs!$K$6)^2)</f>
        <v/>
      </c>
      <c r="AA34" s="9">
        <f>(Inputs!$H$7+Inputs!$L$7*(((Inputs!$I$7+(((A34)+1)/2)*(Inputs!$J$7-Inputs!$I$7)))/Inputs!$K$7)^2)</f>
        <v/>
      </c>
      <c r="AB34" s="9">
        <f>(Inputs!$H$8+Inputs!$L$8*(((Inputs!$I$8+(((A34)+1)/2)*(Inputs!$J$8-Inputs!$I$8)))/Inputs!$K$8)^2)</f>
        <v/>
      </c>
      <c r="AC34" s="9">
        <f>(Inputs!$H$9+Inputs!$L$9*(((Inputs!$I$9+(((A34)+1)/2)*(Inputs!$J$9-Inputs!$I$9)))/Inputs!$K$9)^2)</f>
        <v/>
      </c>
      <c r="AD34" s="10" t="n"/>
      <c r="AE34" s="9">
        <f>A34</f>
        <v/>
      </c>
      <c r="AF34" s="9">
        <f>(((SQRT((Inputs!$C$52+((Inputs!$H$6+Inputs!$L$6*(((Inputs!$I$6+(((A34)+1)/2)*(Inputs!$J$6-Inputs!$I$6)))/Inputs!$K$6)^2)))^2+Inputs!$C$52^2-2*(Inputs!$C$52+((Inputs!$H$6+Inputs!$L$6*(((Inputs!$I$6+(((A34)+1)/2)*(Inputs!$J$6-Inputs!$I$6)))/Inputs!$K$6)^2)))*Inputs!$C$52*COS(SQRT(((Inputs!$I$6+(((A34)+1)/2)*(Inputs!$J$6-Inputs!$I$6)))^2+Inputs!$C$6^2)/Inputs!$C$52)))-((Inputs!$H$6+Inputs!$L$6*(((Inputs!$I$6+(((A34)+1)/2)*(Inputs!$J$6-Inputs!$I$6)))/Inputs!$K$6)^2)))*1000/Inputs!$C$12)</f>
        <v/>
      </c>
      <c r="AG34" s="9">
        <f>(((SQRT((Inputs!$C$52+((Inputs!$H$7+Inputs!$L$7*(((Inputs!$I$7+(((A34)+1)/2)*(Inputs!$J$7-Inputs!$I$7)))/Inputs!$K$7)^2)))^2+Inputs!$C$52^2-2*(Inputs!$C$52+((Inputs!$H$7+Inputs!$L$7*(((Inputs!$I$7+(((A34)+1)/2)*(Inputs!$J$7-Inputs!$I$7)))/Inputs!$K$7)^2)))*Inputs!$C$52*COS(SQRT(((Inputs!$I$7+(((A34)+1)/2)*(Inputs!$J$7-Inputs!$I$7)))^2+Inputs!$C$6^2)/Inputs!$C$52)))-((Inputs!$H$7+Inputs!$L$7*(((Inputs!$I$7+(((A34)+1)/2)*(Inputs!$J$7-Inputs!$I$7)))/Inputs!$K$7)^2)))*1000/Inputs!$C$12)</f>
        <v/>
      </c>
      <c r="AH34" s="9">
        <f>(((SQRT((Inputs!$C$52+((Inputs!$H$8+Inputs!$L$8*(((Inputs!$I$8+(((A34)+1)/2)*(Inputs!$J$8-Inputs!$I$8)))/Inputs!$K$8)^2)))^2+Inputs!$C$52^2-2*(Inputs!$C$52+((Inputs!$H$8+Inputs!$L$8*(((Inputs!$I$8+(((A34)+1)/2)*(Inputs!$J$8-Inputs!$I$8)))/Inputs!$K$8)^2)))*Inputs!$C$52*COS(SQRT(((Inputs!$I$8+(((A34)+1)/2)*(Inputs!$J$8-Inputs!$I$8)))^2+Inputs!$C$6^2)/Inputs!$C$52)))-((Inputs!$H$8+Inputs!$L$8*(((Inputs!$I$8+(((A34)+1)/2)*(Inputs!$J$8-Inputs!$I$8)))/Inputs!$K$8)^2)))*1000/Inputs!$C$12)</f>
        <v/>
      </c>
      <c r="AI34" s="9">
        <f>(((SQRT((Inputs!$C$52+((Inputs!$H$9+Inputs!$L$9*(((Inputs!$I$9+(((A34)+1)/2)*(Inputs!$J$9-Inputs!$I$9)))/Inputs!$K$9)^2)))^2+Inputs!$C$52^2-2*(Inputs!$C$52+((Inputs!$H$9+Inputs!$L$9*(((Inputs!$I$9+(((A34)+1)/2)*(Inputs!$J$9-Inputs!$I$9)))/Inputs!$K$9)^2)))*Inputs!$C$52*COS(SQRT(((Inputs!$I$9+(((A34)+1)/2)*(Inputs!$J$9-Inputs!$I$9)))^2+Inputs!$C$6^2)/Inputs!$C$52)))-((Inputs!$H$9+Inputs!$L$9*(((Inputs!$I$9+(((A34)+1)/2)*(Inputs!$J$9-Inputs!$I$9)))/Inputs!$K$9)^2)))*1000/Inputs!$C$12)</f>
        <v/>
      </c>
      <c r="AJ34" s="10" t="n"/>
      <c r="AK34" s="9">
        <f>A34</f>
        <v/>
      </c>
      <c r="AL34" s="9">
        <f>(-2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f>
        <v/>
      </c>
      <c r="AM34" s="9">
        <f>(-2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f>
        <v/>
      </c>
      <c r="AN34" s="9">
        <f>(-2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f>
        <v/>
      </c>
      <c r="AO34" s="9">
        <f>(-2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f>
        <v/>
      </c>
      <c r="AP34" s="10" t="n"/>
      <c r="AQ34" s="9">
        <f>A34</f>
        <v/>
      </c>
      <c r="AR34" s="9">
        <f>0</f>
        <v/>
      </c>
      <c r="AS34" s="9">
        <f>IF(OR(Inputs!$F$6=TRUE,Inputs!$F$6="TRUE",Inputs!$F$6=1),IF(OR(Inputs!$C$27=TRUE,Inputs!$C$27="TRUE",Inputs!$C$27=1),1,0)*(Inputs!$C$51*(115*EXP(-(((Inputs!$C$6)-25)^2)/(4.5^2))+70*EXP(-(((Inputs!$C$6)+38)^2)/(7^2))*(0.55+0.45*SIN(2*PI()*((Inputs!$I$6+(((A34)+1)/2)*(Inputs!$J$6-Inputs!$I$6)))/45))+24*SIN(2*PI()*(Inputs!$C$6)/9+((Inputs!$I$6+(((A34)+1)/2)*(Inputs!$J$6-Inputs!$I$6)))/18)*EXP(-(((Inputs!$C$6)+5)^2)/(22^2))+18*SIN(2*PI()*((Inputs!$I$6+(((A34)+1)/2)*(Inputs!$J$6-Inputs!$I$6)))/70))+Inputs!$C$28*EXP(-((((Inputs!$I$6+(((A34)+1)/2)*(Inputs!$J$6-Inputs!$I$6)))-Inputs!$C$29)^2)/(2*Inputs!$C$31^2))*EXP(-(((Inputs!$C$6)-Inputs!$C$30)^2)/(2*Inputs!$C$32^2))+-Inputs!$C$33*EXP(-((((((Inputs!$I$6+(((A34)+1)/2)*(Inputs!$J$6-Inputs!$I$6)))-Inputs!$C$34)^2)+(((Inputs!$C$6)-Inputs!$C$35)^2))/(2*Inputs!$C$36^2)))+Inputs!$C$37*(0.55*SIN(2*PI()*((Inputs!$I$6+(((A34)+1)/2)*(Inputs!$J$6-Inputs!$I$6)))/Inputs!$C$39)+0.35*COS(2*PI()*(Inputs!$C$6)/Inputs!$C$40)+0.2*SIN(2*PI()*(((Inputs!$I$6+(((A34)+1)/2)*(Inputs!$J$6-Inputs!$I$6)))+(Inputs!$C$6))/(0.5*(Inputs!$C$39+Inputs!$C$40))))+Inputs!$C$38*SIN(2*PI()*((Inputs!$I$6+(((A34)+1)/2)*(Inputs!$J$6-Inputs!$I$6)))/Inputs!$C$39)*SIN(2*PI()*(Inputs!$C$6)/Inputs!$C$40)+-Inputs!$C$41*EXP(-(((Inputs!$C$6)-Inputs!$C$43)^2)/(2*Inputs!$C$44^2))*EXP(-((((Inputs!$I$6+(((A34)+1)/2)*(Inputs!$J$6-Inputs!$I$6)))-Inputs!$C$42)^2)/(2*Inputs!$C$45^2))+Inputs!$C$48*(0.7*(0.45*SIN(2*PI()*((((Inputs!$I$6+(((A34)+1)/2)*(Inputs!$J$6-Inputs!$I$6)))/Inputs!$C$49)+Inputs!$C$47*0.137))+0.35*COS(2*PI()*(((Inputs!$C$6)/Inputs!$C$50)+Inputs!$C$47*0.173))+0.2*SIN(2*PI()*((((Inputs!$I$6+(((A34)+1)/2)*(Inputs!$J$6-Inputs!$I$6)))+(Inputs!$C$6))/(0.5*(Inputs!$C$49+Inputs!$C$50))+Inputs!$C$47*0.097)))+0.3*(2*((SIN((((Inputs!$I$6+(((A34)+1)/2)*(Inputs!$J$6-Inputs!$I$6)))*12.9898+(Inputs!$C$6)*78.233+Inputs!$C$47*37.719))*43758.5453)-INT((SIN((((Inputs!$I$6+(((A34)+1)/2)*(Inputs!$J$6-Inputs!$I$6)))*12.9898+(Inputs!$C$6)*78.233+Inputs!$C$47*37.719))*43758.5453)))-1))),NA())</f>
        <v/>
      </c>
      <c r="AT34" s="9">
        <f>IF(OR(Inputs!$F$7=TRUE,Inputs!$F$7="TRUE",Inputs!$F$7=1),IF(OR(Inputs!$C$27=TRUE,Inputs!$C$27="TRUE",Inputs!$C$27=1),1,0)*(Inputs!$C$51*(115*EXP(-(((Inputs!$C$6)-25)^2)/(4.5^2))+70*EXP(-(((Inputs!$C$6)+38)^2)/(7^2))*(0.55+0.45*SIN(2*PI()*((Inputs!$I$7+(((A34)+1)/2)*(Inputs!$J$7-Inputs!$I$7)))/45))+24*SIN(2*PI()*(Inputs!$C$6)/9+((Inputs!$I$7+(((A34)+1)/2)*(Inputs!$J$7-Inputs!$I$7)))/18)*EXP(-(((Inputs!$C$6)+5)^2)/(22^2))+18*SIN(2*PI()*((Inputs!$I$7+(((A34)+1)/2)*(Inputs!$J$7-Inputs!$I$7)))/70))+Inputs!$C$28*EXP(-((((Inputs!$I$7+(((A34)+1)/2)*(Inputs!$J$7-Inputs!$I$7)))-Inputs!$C$29)^2)/(2*Inputs!$C$31^2))*EXP(-(((Inputs!$C$6)-Inputs!$C$30)^2)/(2*Inputs!$C$32^2))+-Inputs!$C$33*EXP(-((((((Inputs!$I$7+(((A34)+1)/2)*(Inputs!$J$7-Inputs!$I$7)))-Inputs!$C$34)^2)+(((Inputs!$C$6)-Inputs!$C$35)^2))/(2*Inputs!$C$36^2)))+Inputs!$C$37*(0.55*SIN(2*PI()*((Inputs!$I$7+(((A34)+1)/2)*(Inputs!$J$7-Inputs!$I$7)))/Inputs!$C$39)+0.35*COS(2*PI()*(Inputs!$C$6)/Inputs!$C$40)+0.2*SIN(2*PI()*(((Inputs!$I$7+(((A34)+1)/2)*(Inputs!$J$7-Inputs!$I$7)))+(Inputs!$C$6))/(0.5*(Inputs!$C$39+Inputs!$C$40))))+Inputs!$C$38*SIN(2*PI()*((Inputs!$I$7+(((A34)+1)/2)*(Inputs!$J$7-Inputs!$I$7)))/Inputs!$C$39)*SIN(2*PI()*(Inputs!$C$6)/Inputs!$C$40)+-Inputs!$C$41*EXP(-(((Inputs!$C$6)-Inputs!$C$43)^2)/(2*Inputs!$C$44^2))*EXP(-((((Inputs!$I$7+(((A34)+1)/2)*(Inputs!$J$7-Inputs!$I$7)))-Inputs!$C$42)^2)/(2*Inputs!$C$45^2))+Inputs!$C$48*(0.7*(0.45*SIN(2*PI()*((((Inputs!$I$7+(((A34)+1)/2)*(Inputs!$J$7-Inputs!$I$7)))/Inputs!$C$49)+Inputs!$C$47*0.137))+0.35*COS(2*PI()*(((Inputs!$C$6)/Inputs!$C$50)+Inputs!$C$47*0.173))+0.2*SIN(2*PI()*((((Inputs!$I$7+(((A34)+1)/2)*(Inputs!$J$7-Inputs!$I$7)))+(Inputs!$C$6))/(0.5*(Inputs!$C$49+Inputs!$C$50))+Inputs!$C$47*0.097)))+0.3*(2*((SIN((((Inputs!$I$7+(((A34)+1)/2)*(Inputs!$J$7-Inputs!$I$7)))*12.9898+(Inputs!$C$6)*78.233+Inputs!$C$47*37.719))*43758.5453)-INT((SIN((((Inputs!$I$7+(((A34)+1)/2)*(Inputs!$J$7-Inputs!$I$7)))*12.9898+(Inputs!$C$6)*78.233+Inputs!$C$47*37.719))*43758.5453)))-1))),NA())</f>
        <v/>
      </c>
      <c r="AU34" s="9">
        <f>IF(OR(Inputs!$F$8=TRUE,Inputs!$F$8="TRUE",Inputs!$F$8=1),IF(OR(Inputs!$C$27=TRUE,Inputs!$C$27="TRUE",Inputs!$C$27=1),1,0)*(Inputs!$C$51*(115*EXP(-(((Inputs!$C$6)-25)^2)/(4.5^2))+70*EXP(-(((Inputs!$C$6)+38)^2)/(7^2))*(0.55+0.45*SIN(2*PI()*((Inputs!$I$8+(((A34)+1)/2)*(Inputs!$J$8-Inputs!$I$8)))/45))+24*SIN(2*PI()*(Inputs!$C$6)/9+((Inputs!$I$8+(((A34)+1)/2)*(Inputs!$J$8-Inputs!$I$8)))/18)*EXP(-(((Inputs!$C$6)+5)^2)/(22^2))+18*SIN(2*PI()*((Inputs!$I$8+(((A34)+1)/2)*(Inputs!$J$8-Inputs!$I$8)))/70))+Inputs!$C$28*EXP(-((((Inputs!$I$8+(((A34)+1)/2)*(Inputs!$J$8-Inputs!$I$8)))-Inputs!$C$29)^2)/(2*Inputs!$C$31^2))*EXP(-(((Inputs!$C$6)-Inputs!$C$30)^2)/(2*Inputs!$C$32^2))+-Inputs!$C$33*EXP(-((((((Inputs!$I$8+(((A34)+1)/2)*(Inputs!$J$8-Inputs!$I$8)))-Inputs!$C$34)^2)+(((Inputs!$C$6)-Inputs!$C$35)^2))/(2*Inputs!$C$36^2)))+Inputs!$C$37*(0.55*SIN(2*PI()*((Inputs!$I$8+(((A34)+1)/2)*(Inputs!$J$8-Inputs!$I$8)))/Inputs!$C$39)+0.35*COS(2*PI()*(Inputs!$C$6)/Inputs!$C$40)+0.2*SIN(2*PI()*(((Inputs!$I$8+(((A34)+1)/2)*(Inputs!$J$8-Inputs!$I$8)))+(Inputs!$C$6))/(0.5*(Inputs!$C$39+Inputs!$C$40))))+Inputs!$C$38*SIN(2*PI()*((Inputs!$I$8+(((A34)+1)/2)*(Inputs!$J$8-Inputs!$I$8)))/Inputs!$C$39)*SIN(2*PI()*(Inputs!$C$6)/Inputs!$C$40)+-Inputs!$C$41*EXP(-(((Inputs!$C$6)-Inputs!$C$43)^2)/(2*Inputs!$C$44^2))*EXP(-((((Inputs!$I$8+(((A34)+1)/2)*(Inputs!$J$8-Inputs!$I$8)))-Inputs!$C$42)^2)/(2*Inputs!$C$45^2))+Inputs!$C$48*(0.7*(0.45*SIN(2*PI()*((((Inputs!$I$8+(((A34)+1)/2)*(Inputs!$J$8-Inputs!$I$8)))/Inputs!$C$49)+Inputs!$C$47*0.137))+0.35*COS(2*PI()*(((Inputs!$C$6)/Inputs!$C$50)+Inputs!$C$47*0.173))+0.2*SIN(2*PI()*((((Inputs!$I$8+(((A34)+1)/2)*(Inputs!$J$8-Inputs!$I$8)))+(Inputs!$C$6))/(0.5*(Inputs!$C$49+Inputs!$C$50))+Inputs!$C$47*0.097)))+0.3*(2*((SIN((((Inputs!$I$8+(((A34)+1)/2)*(Inputs!$J$8-Inputs!$I$8)))*12.9898+(Inputs!$C$6)*78.233+Inputs!$C$47*37.719))*43758.5453)-INT((SIN((((Inputs!$I$8+(((A34)+1)/2)*(Inputs!$J$8-Inputs!$I$8)))*12.9898+(Inputs!$C$6)*78.233+Inputs!$C$47*37.719))*43758.5453)))-1))),NA())</f>
        <v/>
      </c>
      <c r="AV34" s="9">
        <f>IF(OR(Inputs!$F$9=TRUE,Inputs!$F$9="TRUE",Inputs!$F$9=1),IF(OR(Inputs!$C$27=TRUE,Inputs!$C$27="TRUE",Inputs!$C$27=1),1,0)*(Inputs!$C$51*(115*EXP(-(((Inputs!$C$6)-25)^2)/(4.5^2))+70*EXP(-(((Inputs!$C$6)+38)^2)/(7^2))*(0.55+0.45*SIN(2*PI()*((Inputs!$I$9+(((A34)+1)/2)*(Inputs!$J$9-Inputs!$I$9)))/45))+24*SIN(2*PI()*(Inputs!$C$6)/9+((Inputs!$I$9+(((A34)+1)/2)*(Inputs!$J$9-Inputs!$I$9)))/18)*EXP(-(((Inputs!$C$6)+5)^2)/(22^2))+18*SIN(2*PI()*((Inputs!$I$9+(((A34)+1)/2)*(Inputs!$J$9-Inputs!$I$9)))/70))+Inputs!$C$28*EXP(-((((Inputs!$I$9+(((A34)+1)/2)*(Inputs!$J$9-Inputs!$I$9)))-Inputs!$C$29)^2)/(2*Inputs!$C$31^2))*EXP(-(((Inputs!$C$6)-Inputs!$C$30)^2)/(2*Inputs!$C$32^2))+-Inputs!$C$33*EXP(-((((((Inputs!$I$9+(((A34)+1)/2)*(Inputs!$J$9-Inputs!$I$9)))-Inputs!$C$34)^2)+(((Inputs!$C$6)-Inputs!$C$35)^2))/(2*Inputs!$C$36^2)))+Inputs!$C$37*(0.55*SIN(2*PI()*((Inputs!$I$9+(((A34)+1)/2)*(Inputs!$J$9-Inputs!$I$9)))/Inputs!$C$39)+0.35*COS(2*PI()*(Inputs!$C$6)/Inputs!$C$40)+0.2*SIN(2*PI()*(((Inputs!$I$9+(((A34)+1)/2)*(Inputs!$J$9-Inputs!$I$9)))+(Inputs!$C$6))/(0.5*(Inputs!$C$39+Inputs!$C$40))))+Inputs!$C$38*SIN(2*PI()*((Inputs!$I$9+(((A34)+1)/2)*(Inputs!$J$9-Inputs!$I$9)))/Inputs!$C$39)*SIN(2*PI()*(Inputs!$C$6)/Inputs!$C$40)+-Inputs!$C$41*EXP(-(((Inputs!$C$6)-Inputs!$C$43)^2)/(2*Inputs!$C$44^2))*EXP(-((((Inputs!$I$9+(((A34)+1)/2)*(Inputs!$J$9-Inputs!$I$9)))-Inputs!$C$42)^2)/(2*Inputs!$C$45^2))+Inputs!$C$48*(0.7*(0.45*SIN(2*PI()*((((Inputs!$I$9+(((A34)+1)/2)*(Inputs!$J$9-Inputs!$I$9)))/Inputs!$C$49)+Inputs!$C$47*0.137))+0.35*COS(2*PI()*(((Inputs!$C$6)/Inputs!$C$50)+Inputs!$C$47*0.173))+0.2*SIN(2*PI()*((((Inputs!$I$9+(((A34)+1)/2)*(Inputs!$J$9-Inputs!$I$9)))+(Inputs!$C$6))/(0.5*(Inputs!$C$49+Inputs!$C$50))+Inputs!$C$47*0.097)))+0.3*(2*((SIN((((Inputs!$I$9+(((A34)+1)/2)*(Inputs!$J$9-Inputs!$I$9)))*12.9898+(Inputs!$C$6)*78.233+Inputs!$C$47*37.719))*43758.5453)-INT((SIN((((Inputs!$I$9+(((A34)+1)/2)*(Inputs!$J$9-Inputs!$I$9)))*12.9898+(Inputs!$C$6)*78.233+Inputs!$C$47*37.719))*43758.5453)))-1))),NA())</f>
        <v/>
      </c>
      <c r="AW34" s="10" t="n"/>
      <c r="AX34" s="9">
        <f>A34</f>
        <v/>
      </c>
      <c r="AY34" s="9">
        <f>0</f>
        <v/>
      </c>
      <c r="AZ34" s="9">
        <f>IF(OR(Inputs!$F$6=TRUE,Inputs!$F$6="TRUE",Inputs!$F$6=1),(Inputs!$H$6+Inputs!$L$6*(((Inputs!$I$6+(((A34)+1)/2)*(Inputs!$J$6-Inputs!$I$6)))/Inputs!$K$6)^2),NA())</f>
        <v/>
      </c>
      <c r="BA34" s="9">
        <f>IF(OR(Inputs!$F$7=TRUE,Inputs!$F$7="TRUE",Inputs!$F$7=1),(Inputs!$H$7+Inputs!$L$7*(((Inputs!$I$7+(((A34)+1)/2)*(Inputs!$J$7-Inputs!$I$7)))/Inputs!$K$7)^2),NA())</f>
        <v/>
      </c>
      <c r="BB34" s="9">
        <f>IF(OR(Inputs!$F$8=TRUE,Inputs!$F$8="TRUE",Inputs!$F$8=1),(Inputs!$H$8+Inputs!$L$8*(((Inputs!$I$8+(((A34)+1)/2)*(Inputs!$J$8-Inputs!$I$8)))/Inputs!$K$8)^2),NA())</f>
        <v/>
      </c>
      <c r="BC34" s="9">
        <f>IF(OR(Inputs!$F$9=TRUE,Inputs!$F$9="TRUE",Inputs!$F$9=1),(Inputs!$H$9+Inputs!$L$9*(((Inputs!$I$9+(((A34)+1)/2)*(Inputs!$J$9-Inputs!$I$9)))/Inputs!$K$9)^2),NA())</f>
        <v/>
      </c>
      <c r="BD34" s="10" t="n"/>
      <c r="BE34" s="9">
        <f>A34</f>
        <v/>
      </c>
      <c r="BF34" s="9">
        <f>0</f>
        <v/>
      </c>
      <c r="BG34" s="9">
        <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f>
        <v/>
      </c>
      <c r="BH34" s="9">
        <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f>
        <v/>
      </c>
      <c r="BI34" s="9">
        <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f>
        <v/>
      </c>
      <c r="BJ34" s="9">
        <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f>
        <v/>
      </c>
    </row>
    <row r="35">
      <c r="A35" s="9">
        <f>ROUND(-1+33*2/240,3)</f>
        <v/>
      </c>
      <c r="B35" s="9">
        <f>IF(OR(Inputs!$F$6=TRUE,Inputs!$F$6="TRUE",Inputs!$F$6=1),(Inputs!$H$6+Inputs!$L$6*(((Inputs!$I$6+(((A35)+1)/2)*(Inputs!$J$6-Inputs!$I$6)))/Inputs!$K$6)^2),NA())</f>
        <v/>
      </c>
      <c r="C35" s="9">
        <f>IF(OR(Inputs!$F$7=TRUE,Inputs!$F$7="TRUE",Inputs!$F$7=1),(Inputs!$H$7+Inputs!$L$7*(((Inputs!$I$7+(((A35)+1)/2)*(Inputs!$J$7-Inputs!$I$7)))/Inputs!$K$7)^2),NA())</f>
        <v/>
      </c>
      <c r="D35" s="9">
        <f>IF(OR(Inputs!$F$8=TRUE,Inputs!$F$8="TRUE",Inputs!$F$8=1),(Inputs!$H$8+Inputs!$L$8*(((Inputs!$I$8+(((A35)+1)/2)*(Inputs!$J$8-Inputs!$I$8)))/Inputs!$K$8)^2),NA())</f>
        <v/>
      </c>
      <c r="E35" s="9">
        <f>IF(OR(Inputs!$F$9=TRUE,Inputs!$F$9="TRUE",Inputs!$F$9=1),(Inputs!$H$9+Inputs!$L$9*(((Inputs!$I$9+(((A35)+1)/2)*(Inputs!$J$9-Inputs!$I$9)))/Inputs!$K$9)^2),NA())</f>
        <v/>
      </c>
      <c r="F35" s="10" t="n"/>
      <c r="G35" s="9">
        <f>A35</f>
        <v/>
      </c>
      <c r="H35" s="9">
        <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f>
        <v/>
      </c>
      <c r="I35" s="9">
        <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f>
        <v/>
      </c>
      <c r="J35" s="9">
        <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f>
        <v/>
      </c>
      <c r="K35" s="9">
        <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f>
        <v/>
      </c>
      <c r="L35" s="10" t="n"/>
      <c r="M35" s="9">
        <f>A35</f>
        <v/>
      </c>
      <c r="N35" s="9">
        <f>IF(OR(Inputs!$F$6=TRUE,Inputs!$F$6="TRUE",Inputs!$F$6=1),(-2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NA())</f>
        <v/>
      </c>
      <c r="O35" s="9">
        <f>IF(OR(Inputs!$F$7=TRUE,Inputs!$F$7="TRUE",Inputs!$F$7=1),(-2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NA())</f>
        <v/>
      </c>
      <c r="P35" s="9">
        <f>IF(OR(Inputs!$F$8=TRUE,Inputs!$F$8="TRUE",Inputs!$F$8=1),(-2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NA())</f>
        <v/>
      </c>
      <c r="Q35" s="9">
        <f>IF(OR(Inputs!$F$9=TRUE,Inputs!$F$9="TRUE",Inputs!$F$9=1),(-2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NA())</f>
        <v/>
      </c>
      <c r="R35" s="10" t="n"/>
      <c r="S35" s="9">
        <f>A35</f>
        <v/>
      </c>
      <c r="T35" s="9">
        <f>(Inputs!$I$6+(((A35)+1)/2)*(Inputs!$J$6-Inputs!$I$6))</f>
        <v/>
      </c>
      <c r="U35" s="9">
        <f>(Inputs!$I$7+(((A35)+1)/2)*(Inputs!$J$7-Inputs!$I$7))</f>
        <v/>
      </c>
      <c r="V35" s="9">
        <f>(Inputs!$I$8+(((A35)+1)/2)*(Inputs!$J$8-Inputs!$I$8))</f>
        <v/>
      </c>
      <c r="W35" s="9">
        <f>(Inputs!$I$9+(((A35)+1)/2)*(Inputs!$J$9-Inputs!$I$9))</f>
        <v/>
      </c>
      <c r="X35" s="10" t="n"/>
      <c r="Y35" s="9">
        <f>A35</f>
        <v/>
      </c>
      <c r="Z35" s="9">
        <f>(Inputs!$H$6+Inputs!$L$6*(((Inputs!$I$6+(((A35)+1)/2)*(Inputs!$J$6-Inputs!$I$6)))/Inputs!$K$6)^2)</f>
        <v/>
      </c>
      <c r="AA35" s="9">
        <f>(Inputs!$H$7+Inputs!$L$7*(((Inputs!$I$7+(((A35)+1)/2)*(Inputs!$J$7-Inputs!$I$7)))/Inputs!$K$7)^2)</f>
        <v/>
      </c>
      <c r="AB35" s="9">
        <f>(Inputs!$H$8+Inputs!$L$8*(((Inputs!$I$8+(((A35)+1)/2)*(Inputs!$J$8-Inputs!$I$8)))/Inputs!$K$8)^2)</f>
        <v/>
      </c>
      <c r="AC35" s="9">
        <f>(Inputs!$H$9+Inputs!$L$9*(((Inputs!$I$9+(((A35)+1)/2)*(Inputs!$J$9-Inputs!$I$9)))/Inputs!$K$9)^2)</f>
        <v/>
      </c>
      <c r="AD35" s="10" t="n"/>
      <c r="AE35" s="9">
        <f>A35</f>
        <v/>
      </c>
      <c r="AF35" s="9">
        <f>(((SQRT((Inputs!$C$52+((Inputs!$H$6+Inputs!$L$6*(((Inputs!$I$6+(((A35)+1)/2)*(Inputs!$J$6-Inputs!$I$6)))/Inputs!$K$6)^2)))^2+Inputs!$C$52^2-2*(Inputs!$C$52+((Inputs!$H$6+Inputs!$L$6*(((Inputs!$I$6+(((A35)+1)/2)*(Inputs!$J$6-Inputs!$I$6)))/Inputs!$K$6)^2)))*Inputs!$C$52*COS(SQRT(((Inputs!$I$6+(((A35)+1)/2)*(Inputs!$J$6-Inputs!$I$6)))^2+Inputs!$C$6^2)/Inputs!$C$52)))-((Inputs!$H$6+Inputs!$L$6*(((Inputs!$I$6+(((A35)+1)/2)*(Inputs!$J$6-Inputs!$I$6)))/Inputs!$K$6)^2)))*1000/Inputs!$C$12)</f>
        <v/>
      </c>
      <c r="AG35" s="9">
        <f>(((SQRT((Inputs!$C$52+((Inputs!$H$7+Inputs!$L$7*(((Inputs!$I$7+(((A35)+1)/2)*(Inputs!$J$7-Inputs!$I$7)))/Inputs!$K$7)^2)))^2+Inputs!$C$52^2-2*(Inputs!$C$52+((Inputs!$H$7+Inputs!$L$7*(((Inputs!$I$7+(((A35)+1)/2)*(Inputs!$J$7-Inputs!$I$7)))/Inputs!$K$7)^2)))*Inputs!$C$52*COS(SQRT(((Inputs!$I$7+(((A35)+1)/2)*(Inputs!$J$7-Inputs!$I$7)))^2+Inputs!$C$6^2)/Inputs!$C$52)))-((Inputs!$H$7+Inputs!$L$7*(((Inputs!$I$7+(((A35)+1)/2)*(Inputs!$J$7-Inputs!$I$7)))/Inputs!$K$7)^2)))*1000/Inputs!$C$12)</f>
        <v/>
      </c>
      <c r="AH35" s="9">
        <f>(((SQRT((Inputs!$C$52+((Inputs!$H$8+Inputs!$L$8*(((Inputs!$I$8+(((A35)+1)/2)*(Inputs!$J$8-Inputs!$I$8)))/Inputs!$K$8)^2)))^2+Inputs!$C$52^2-2*(Inputs!$C$52+((Inputs!$H$8+Inputs!$L$8*(((Inputs!$I$8+(((A35)+1)/2)*(Inputs!$J$8-Inputs!$I$8)))/Inputs!$K$8)^2)))*Inputs!$C$52*COS(SQRT(((Inputs!$I$8+(((A35)+1)/2)*(Inputs!$J$8-Inputs!$I$8)))^2+Inputs!$C$6^2)/Inputs!$C$52)))-((Inputs!$H$8+Inputs!$L$8*(((Inputs!$I$8+(((A35)+1)/2)*(Inputs!$J$8-Inputs!$I$8)))/Inputs!$K$8)^2)))*1000/Inputs!$C$12)</f>
        <v/>
      </c>
      <c r="AI35" s="9">
        <f>(((SQRT((Inputs!$C$52+((Inputs!$H$9+Inputs!$L$9*(((Inputs!$I$9+(((A35)+1)/2)*(Inputs!$J$9-Inputs!$I$9)))/Inputs!$K$9)^2)))^2+Inputs!$C$52^2-2*(Inputs!$C$52+((Inputs!$H$9+Inputs!$L$9*(((Inputs!$I$9+(((A35)+1)/2)*(Inputs!$J$9-Inputs!$I$9)))/Inputs!$K$9)^2)))*Inputs!$C$52*COS(SQRT(((Inputs!$I$9+(((A35)+1)/2)*(Inputs!$J$9-Inputs!$I$9)))^2+Inputs!$C$6^2)/Inputs!$C$52)))-((Inputs!$H$9+Inputs!$L$9*(((Inputs!$I$9+(((A35)+1)/2)*(Inputs!$J$9-Inputs!$I$9)))/Inputs!$K$9)^2)))*1000/Inputs!$C$12)</f>
        <v/>
      </c>
      <c r="AJ35" s="10" t="n"/>
      <c r="AK35" s="9">
        <f>A35</f>
        <v/>
      </c>
      <c r="AL35" s="9">
        <f>(-2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f>
        <v/>
      </c>
      <c r="AM35" s="9">
        <f>(-2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f>
        <v/>
      </c>
      <c r="AN35" s="9">
        <f>(-2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f>
        <v/>
      </c>
      <c r="AO35" s="9">
        <f>(-2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f>
        <v/>
      </c>
      <c r="AP35" s="10" t="n"/>
      <c r="AQ35" s="9">
        <f>A35</f>
        <v/>
      </c>
      <c r="AR35" s="9">
        <f>0</f>
        <v/>
      </c>
      <c r="AS35" s="9">
        <f>IF(OR(Inputs!$F$6=TRUE,Inputs!$F$6="TRUE",Inputs!$F$6=1),IF(OR(Inputs!$C$27=TRUE,Inputs!$C$27="TRUE",Inputs!$C$27=1),1,0)*(Inputs!$C$51*(115*EXP(-(((Inputs!$C$6)-25)^2)/(4.5^2))+70*EXP(-(((Inputs!$C$6)+38)^2)/(7^2))*(0.55+0.45*SIN(2*PI()*((Inputs!$I$6+(((A35)+1)/2)*(Inputs!$J$6-Inputs!$I$6)))/45))+24*SIN(2*PI()*(Inputs!$C$6)/9+((Inputs!$I$6+(((A35)+1)/2)*(Inputs!$J$6-Inputs!$I$6)))/18)*EXP(-(((Inputs!$C$6)+5)^2)/(22^2))+18*SIN(2*PI()*((Inputs!$I$6+(((A35)+1)/2)*(Inputs!$J$6-Inputs!$I$6)))/70))+Inputs!$C$28*EXP(-((((Inputs!$I$6+(((A35)+1)/2)*(Inputs!$J$6-Inputs!$I$6)))-Inputs!$C$29)^2)/(2*Inputs!$C$31^2))*EXP(-(((Inputs!$C$6)-Inputs!$C$30)^2)/(2*Inputs!$C$32^2))+-Inputs!$C$33*EXP(-((((((Inputs!$I$6+(((A35)+1)/2)*(Inputs!$J$6-Inputs!$I$6)))-Inputs!$C$34)^2)+(((Inputs!$C$6)-Inputs!$C$35)^2))/(2*Inputs!$C$36^2)))+Inputs!$C$37*(0.55*SIN(2*PI()*((Inputs!$I$6+(((A35)+1)/2)*(Inputs!$J$6-Inputs!$I$6)))/Inputs!$C$39)+0.35*COS(2*PI()*(Inputs!$C$6)/Inputs!$C$40)+0.2*SIN(2*PI()*(((Inputs!$I$6+(((A35)+1)/2)*(Inputs!$J$6-Inputs!$I$6)))+(Inputs!$C$6))/(0.5*(Inputs!$C$39+Inputs!$C$40))))+Inputs!$C$38*SIN(2*PI()*((Inputs!$I$6+(((A35)+1)/2)*(Inputs!$J$6-Inputs!$I$6)))/Inputs!$C$39)*SIN(2*PI()*(Inputs!$C$6)/Inputs!$C$40)+-Inputs!$C$41*EXP(-(((Inputs!$C$6)-Inputs!$C$43)^2)/(2*Inputs!$C$44^2))*EXP(-((((Inputs!$I$6+(((A35)+1)/2)*(Inputs!$J$6-Inputs!$I$6)))-Inputs!$C$42)^2)/(2*Inputs!$C$45^2))+Inputs!$C$48*(0.7*(0.45*SIN(2*PI()*((((Inputs!$I$6+(((A35)+1)/2)*(Inputs!$J$6-Inputs!$I$6)))/Inputs!$C$49)+Inputs!$C$47*0.137))+0.35*COS(2*PI()*(((Inputs!$C$6)/Inputs!$C$50)+Inputs!$C$47*0.173))+0.2*SIN(2*PI()*((((Inputs!$I$6+(((A35)+1)/2)*(Inputs!$J$6-Inputs!$I$6)))+(Inputs!$C$6))/(0.5*(Inputs!$C$49+Inputs!$C$50))+Inputs!$C$47*0.097)))+0.3*(2*((SIN((((Inputs!$I$6+(((A35)+1)/2)*(Inputs!$J$6-Inputs!$I$6)))*12.9898+(Inputs!$C$6)*78.233+Inputs!$C$47*37.719))*43758.5453)-INT((SIN((((Inputs!$I$6+(((A35)+1)/2)*(Inputs!$J$6-Inputs!$I$6)))*12.9898+(Inputs!$C$6)*78.233+Inputs!$C$47*37.719))*43758.5453)))-1))),NA())</f>
        <v/>
      </c>
      <c r="AT35" s="9">
        <f>IF(OR(Inputs!$F$7=TRUE,Inputs!$F$7="TRUE",Inputs!$F$7=1),IF(OR(Inputs!$C$27=TRUE,Inputs!$C$27="TRUE",Inputs!$C$27=1),1,0)*(Inputs!$C$51*(115*EXP(-(((Inputs!$C$6)-25)^2)/(4.5^2))+70*EXP(-(((Inputs!$C$6)+38)^2)/(7^2))*(0.55+0.45*SIN(2*PI()*((Inputs!$I$7+(((A35)+1)/2)*(Inputs!$J$7-Inputs!$I$7)))/45))+24*SIN(2*PI()*(Inputs!$C$6)/9+((Inputs!$I$7+(((A35)+1)/2)*(Inputs!$J$7-Inputs!$I$7)))/18)*EXP(-(((Inputs!$C$6)+5)^2)/(22^2))+18*SIN(2*PI()*((Inputs!$I$7+(((A35)+1)/2)*(Inputs!$J$7-Inputs!$I$7)))/70))+Inputs!$C$28*EXP(-((((Inputs!$I$7+(((A35)+1)/2)*(Inputs!$J$7-Inputs!$I$7)))-Inputs!$C$29)^2)/(2*Inputs!$C$31^2))*EXP(-(((Inputs!$C$6)-Inputs!$C$30)^2)/(2*Inputs!$C$32^2))+-Inputs!$C$33*EXP(-((((((Inputs!$I$7+(((A35)+1)/2)*(Inputs!$J$7-Inputs!$I$7)))-Inputs!$C$34)^2)+(((Inputs!$C$6)-Inputs!$C$35)^2))/(2*Inputs!$C$36^2)))+Inputs!$C$37*(0.55*SIN(2*PI()*((Inputs!$I$7+(((A35)+1)/2)*(Inputs!$J$7-Inputs!$I$7)))/Inputs!$C$39)+0.35*COS(2*PI()*(Inputs!$C$6)/Inputs!$C$40)+0.2*SIN(2*PI()*(((Inputs!$I$7+(((A35)+1)/2)*(Inputs!$J$7-Inputs!$I$7)))+(Inputs!$C$6))/(0.5*(Inputs!$C$39+Inputs!$C$40))))+Inputs!$C$38*SIN(2*PI()*((Inputs!$I$7+(((A35)+1)/2)*(Inputs!$J$7-Inputs!$I$7)))/Inputs!$C$39)*SIN(2*PI()*(Inputs!$C$6)/Inputs!$C$40)+-Inputs!$C$41*EXP(-(((Inputs!$C$6)-Inputs!$C$43)^2)/(2*Inputs!$C$44^2))*EXP(-((((Inputs!$I$7+(((A35)+1)/2)*(Inputs!$J$7-Inputs!$I$7)))-Inputs!$C$42)^2)/(2*Inputs!$C$45^2))+Inputs!$C$48*(0.7*(0.45*SIN(2*PI()*((((Inputs!$I$7+(((A35)+1)/2)*(Inputs!$J$7-Inputs!$I$7)))/Inputs!$C$49)+Inputs!$C$47*0.137))+0.35*COS(2*PI()*(((Inputs!$C$6)/Inputs!$C$50)+Inputs!$C$47*0.173))+0.2*SIN(2*PI()*((((Inputs!$I$7+(((A35)+1)/2)*(Inputs!$J$7-Inputs!$I$7)))+(Inputs!$C$6))/(0.5*(Inputs!$C$49+Inputs!$C$50))+Inputs!$C$47*0.097)))+0.3*(2*((SIN((((Inputs!$I$7+(((A35)+1)/2)*(Inputs!$J$7-Inputs!$I$7)))*12.9898+(Inputs!$C$6)*78.233+Inputs!$C$47*37.719))*43758.5453)-INT((SIN((((Inputs!$I$7+(((A35)+1)/2)*(Inputs!$J$7-Inputs!$I$7)))*12.9898+(Inputs!$C$6)*78.233+Inputs!$C$47*37.719))*43758.5453)))-1))),NA())</f>
        <v/>
      </c>
      <c r="AU35" s="9">
        <f>IF(OR(Inputs!$F$8=TRUE,Inputs!$F$8="TRUE",Inputs!$F$8=1),IF(OR(Inputs!$C$27=TRUE,Inputs!$C$27="TRUE",Inputs!$C$27=1),1,0)*(Inputs!$C$51*(115*EXP(-(((Inputs!$C$6)-25)^2)/(4.5^2))+70*EXP(-(((Inputs!$C$6)+38)^2)/(7^2))*(0.55+0.45*SIN(2*PI()*((Inputs!$I$8+(((A35)+1)/2)*(Inputs!$J$8-Inputs!$I$8)))/45))+24*SIN(2*PI()*(Inputs!$C$6)/9+((Inputs!$I$8+(((A35)+1)/2)*(Inputs!$J$8-Inputs!$I$8)))/18)*EXP(-(((Inputs!$C$6)+5)^2)/(22^2))+18*SIN(2*PI()*((Inputs!$I$8+(((A35)+1)/2)*(Inputs!$J$8-Inputs!$I$8)))/70))+Inputs!$C$28*EXP(-((((Inputs!$I$8+(((A35)+1)/2)*(Inputs!$J$8-Inputs!$I$8)))-Inputs!$C$29)^2)/(2*Inputs!$C$31^2))*EXP(-(((Inputs!$C$6)-Inputs!$C$30)^2)/(2*Inputs!$C$32^2))+-Inputs!$C$33*EXP(-((((((Inputs!$I$8+(((A35)+1)/2)*(Inputs!$J$8-Inputs!$I$8)))-Inputs!$C$34)^2)+(((Inputs!$C$6)-Inputs!$C$35)^2))/(2*Inputs!$C$36^2)))+Inputs!$C$37*(0.55*SIN(2*PI()*((Inputs!$I$8+(((A35)+1)/2)*(Inputs!$J$8-Inputs!$I$8)))/Inputs!$C$39)+0.35*COS(2*PI()*(Inputs!$C$6)/Inputs!$C$40)+0.2*SIN(2*PI()*(((Inputs!$I$8+(((A35)+1)/2)*(Inputs!$J$8-Inputs!$I$8)))+(Inputs!$C$6))/(0.5*(Inputs!$C$39+Inputs!$C$40))))+Inputs!$C$38*SIN(2*PI()*((Inputs!$I$8+(((A35)+1)/2)*(Inputs!$J$8-Inputs!$I$8)))/Inputs!$C$39)*SIN(2*PI()*(Inputs!$C$6)/Inputs!$C$40)+-Inputs!$C$41*EXP(-(((Inputs!$C$6)-Inputs!$C$43)^2)/(2*Inputs!$C$44^2))*EXP(-((((Inputs!$I$8+(((A35)+1)/2)*(Inputs!$J$8-Inputs!$I$8)))-Inputs!$C$42)^2)/(2*Inputs!$C$45^2))+Inputs!$C$48*(0.7*(0.45*SIN(2*PI()*((((Inputs!$I$8+(((A35)+1)/2)*(Inputs!$J$8-Inputs!$I$8)))/Inputs!$C$49)+Inputs!$C$47*0.137))+0.35*COS(2*PI()*(((Inputs!$C$6)/Inputs!$C$50)+Inputs!$C$47*0.173))+0.2*SIN(2*PI()*((((Inputs!$I$8+(((A35)+1)/2)*(Inputs!$J$8-Inputs!$I$8)))+(Inputs!$C$6))/(0.5*(Inputs!$C$49+Inputs!$C$50))+Inputs!$C$47*0.097)))+0.3*(2*((SIN((((Inputs!$I$8+(((A35)+1)/2)*(Inputs!$J$8-Inputs!$I$8)))*12.9898+(Inputs!$C$6)*78.233+Inputs!$C$47*37.719))*43758.5453)-INT((SIN((((Inputs!$I$8+(((A35)+1)/2)*(Inputs!$J$8-Inputs!$I$8)))*12.9898+(Inputs!$C$6)*78.233+Inputs!$C$47*37.719))*43758.5453)))-1))),NA())</f>
        <v/>
      </c>
      <c r="AV35" s="9">
        <f>IF(OR(Inputs!$F$9=TRUE,Inputs!$F$9="TRUE",Inputs!$F$9=1),IF(OR(Inputs!$C$27=TRUE,Inputs!$C$27="TRUE",Inputs!$C$27=1),1,0)*(Inputs!$C$51*(115*EXP(-(((Inputs!$C$6)-25)^2)/(4.5^2))+70*EXP(-(((Inputs!$C$6)+38)^2)/(7^2))*(0.55+0.45*SIN(2*PI()*((Inputs!$I$9+(((A35)+1)/2)*(Inputs!$J$9-Inputs!$I$9)))/45))+24*SIN(2*PI()*(Inputs!$C$6)/9+((Inputs!$I$9+(((A35)+1)/2)*(Inputs!$J$9-Inputs!$I$9)))/18)*EXP(-(((Inputs!$C$6)+5)^2)/(22^2))+18*SIN(2*PI()*((Inputs!$I$9+(((A35)+1)/2)*(Inputs!$J$9-Inputs!$I$9)))/70))+Inputs!$C$28*EXP(-((((Inputs!$I$9+(((A35)+1)/2)*(Inputs!$J$9-Inputs!$I$9)))-Inputs!$C$29)^2)/(2*Inputs!$C$31^2))*EXP(-(((Inputs!$C$6)-Inputs!$C$30)^2)/(2*Inputs!$C$32^2))+-Inputs!$C$33*EXP(-((((((Inputs!$I$9+(((A35)+1)/2)*(Inputs!$J$9-Inputs!$I$9)))-Inputs!$C$34)^2)+(((Inputs!$C$6)-Inputs!$C$35)^2))/(2*Inputs!$C$36^2)))+Inputs!$C$37*(0.55*SIN(2*PI()*((Inputs!$I$9+(((A35)+1)/2)*(Inputs!$J$9-Inputs!$I$9)))/Inputs!$C$39)+0.35*COS(2*PI()*(Inputs!$C$6)/Inputs!$C$40)+0.2*SIN(2*PI()*(((Inputs!$I$9+(((A35)+1)/2)*(Inputs!$J$9-Inputs!$I$9)))+(Inputs!$C$6))/(0.5*(Inputs!$C$39+Inputs!$C$40))))+Inputs!$C$38*SIN(2*PI()*((Inputs!$I$9+(((A35)+1)/2)*(Inputs!$J$9-Inputs!$I$9)))/Inputs!$C$39)*SIN(2*PI()*(Inputs!$C$6)/Inputs!$C$40)+-Inputs!$C$41*EXP(-(((Inputs!$C$6)-Inputs!$C$43)^2)/(2*Inputs!$C$44^2))*EXP(-((((Inputs!$I$9+(((A35)+1)/2)*(Inputs!$J$9-Inputs!$I$9)))-Inputs!$C$42)^2)/(2*Inputs!$C$45^2))+Inputs!$C$48*(0.7*(0.45*SIN(2*PI()*((((Inputs!$I$9+(((A35)+1)/2)*(Inputs!$J$9-Inputs!$I$9)))/Inputs!$C$49)+Inputs!$C$47*0.137))+0.35*COS(2*PI()*(((Inputs!$C$6)/Inputs!$C$50)+Inputs!$C$47*0.173))+0.2*SIN(2*PI()*((((Inputs!$I$9+(((A35)+1)/2)*(Inputs!$J$9-Inputs!$I$9)))+(Inputs!$C$6))/(0.5*(Inputs!$C$49+Inputs!$C$50))+Inputs!$C$47*0.097)))+0.3*(2*((SIN((((Inputs!$I$9+(((A35)+1)/2)*(Inputs!$J$9-Inputs!$I$9)))*12.9898+(Inputs!$C$6)*78.233+Inputs!$C$47*37.719))*43758.5453)-INT((SIN((((Inputs!$I$9+(((A35)+1)/2)*(Inputs!$J$9-Inputs!$I$9)))*12.9898+(Inputs!$C$6)*78.233+Inputs!$C$47*37.719))*43758.5453)))-1))),NA())</f>
        <v/>
      </c>
      <c r="AW35" s="10" t="n"/>
      <c r="AX35" s="9">
        <f>A35</f>
        <v/>
      </c>
      <c r="AY35" s="9">
        <f>0</f>
        <v/>
      </c>
      <c r="AZ35" s="9">
        <f>IF(OR(Inputs!$F$6=TRUE,Inputs!$F$6="TRUE",Inputs!$F$6=1),(Inputs!$H$6+Inputs!$L$6*(((Inputs!$I$6+(((A35)+1)/2)*(Inputs!$J$6-Inputs!$I$6)))/Inputs!$K$6)^2),NA())</f>
        <v/>
      </c>
      <c r="BA35" s="9">
        <f>IF(OR(Inputs!$F$7=TRUE,Inputs!$F$7="TRUE",Inputs!$F$7=1),(Inputs!$H$7+Inputs!$L$7*(((Inputs!$I$7+(((A35)+1)/2)*(Inputs!$J$7-Inputs!$I$7)))/Inputs!$K$7)^2),NA())</f>
        <v/>
      </c>
      <c r="BB35" s="9">
        <f>IF(OR(Inputs!$F$8=TRUE,Inputs!$F$8="TRUE",Inputs!$F$8=1),(Inputs!$H$8+Inputs!$L$8*(((Inputs!$I$8+(((A35)+1)/2)*(Inputs!$J$8-Inputs!$I$8)))/Inputs!$K$8)^2),NA())</f>
        <v/>
      </c>
      <c r="BC35" s="9">
        <f>IF(OR(Inputs!$F$9=TRUE,Inputs!$F$9="TRUE",Inputs!$F$9=1),(Inputs!$H$9+Inputs!$L$9*(((Inputs!$I$9+(((A35)+1)/2)*(Inputs!$J$9-Inputs!$I$9)))/Inputs!$K$9)^2),NA())</f>
        <v/>
      </c>
      <c r="BD35" s="10" t="n"/>
      <c r="BE35" s="9">
        <f>A35</f>
        <v/>
      </c>
      <c r="BF35" s="9">
        <f>0</f>
        <v/>
      </c>
      <c r="BG35" s="9">
        <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f>
        <v/>
      </c>
      <c r="BH35" s="9">
        <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f>
        <v/>
      </c>
      <c r="BI35" s="9">
        <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f>
        <v/>
      </c>
      <c r="BJ35" s="9">
        <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f>
        <v/>
      </c>
    </row>
    <row r="36">
      <c r="A36" s="9">
        <f>ROUND(-1+34*2/240,3)</f>
        <v/>
      </c>
      <c r="B36" s="9">
        <f>IF(OR(Inputs!$F$6=TRUE,Inputs!$F$6="TRUE",Inputs!$F$6=1),(Inputs!$H$6+Inputs!$L$6*(((Inputs!$I$6+(((A36)+1)/2)*(Inputs!$J$6-Inputs!$I$6)))/Inputs!$K$6)^2),NA())</f>
        <v/>
      </c>
      <c r="C36" s="9">
        <f>IF(OR(Inputs!$F$7=TRUE,Inputs!$F$7="TRUE",Inputs!$F$7=1),(Inputs!$H$7+Inputs!$L$7*(((Inputs!$I$7+(((A36)+1)/2)*(Inputs!$J$7-Inputs!$I$7)))/Inputs!$K$7)^2),NA())</f>
        <v/>
      </c>
      <c r="D36" s="9">
        <f>IF(OR(Inputs!$F$8=TRUE,Inputs!$F$8="TRUE",Inputs!$F$8=1),(Inputs!$H$8+Inputs!$L$8*(((Inputs!$I$8+(((A36)+1)/2)*(Inputs!$J$8-Inputs!$I$8)))/Inputs!$K$8)^2),NA())</f>
        <v/>
      </c>
      <c r="E36" s="9">
        <f>IF(OR(Inputs!$F$9=TRUE,Inputs!$F$9="TRUE",Inputs!$F$9=1),(Inputs!$H$9+Inputs!$L$9*(((Inputs!$I$9+(((A36)+1)/2)*(Inputs!$J$9-Inputs!$I$9)))/Inputs!$K$9)^2),NA())</f>
        <v/>
      </c>
      <c r="F36" s="10" t="n"/>
      <c r="G36" s="9">
        <f>A36</f>
        <v/>
      </c>
      <c r="H36" s="9">
        <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f>
        <v/>
      </c>
      <c r="I36" s="9">
        <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f>
        <v/>
      </c>
      <c r="J36" s="9">
        <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f>
        <v/>
      </c>
      <c r="K36" s="9">
        <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f>
        <v/>
      </c>
      <c r="L36" s="10" t="n"/>
      <c r="M36" s="9">
        <f>A36</f>
        <v/>
      </c>
      <c r="N36" s="9">
        <f>IF(OR(Inputs!$F$6=TRUE,Inputs!$F$6="TRUE",Inputs!$F$6=1),(-2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NA())</f>
        <v/>
      </c>
      <c r="O36" s="9">
        <f>IF(OR(Inputs!$F$7=TRUE,Inputs!$F$7="TRUE",Inputs!$F$7=1),(-2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NA())</f>
        <v/>
      </c>
      <c r="P36" s="9">
        <f>IF(OR(Inputs!$F$8=TRUE,Inputs!$F$8="TRUE",Inputs!$F$8=1),(-2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NA())</f>
        <v/>
      </c>
      <c r="Q36" s="9">
        <f>IF(OR(Inputs!$F$9=TRUE,Inputs!$F$9="TRUE",Inputs!$F$9=1),(-2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NA())</f>
        <v/>
      </c>
      <c r="R36" s="10" t="n"/>
      <c r="S36" s="9">
        <f>A36</f>
        <v/>
      </c>
      <c r="T36" s="9">
        <f>(Inputs!$I$6+(((A36)+1)/2)*(Inputs!$J$6-Inputs!$I$6))</f>
        <v/>
      </c>
      <c r="U36" s="9">
        <f>(Inputs!$I$7+(((A36)+1)/2)*(Inputs!$J$7-Inputs!$I$7))</f>
        <v/>
      </c>
      <c r="V36" s="9">
        <f>(Inputs!$I$8+(((A36)+1)/2)*(Inputs!$J$8-Inputs!$I$8))</f>
        <v/>
      </c>
      <c r="W36" s="9">
        <f>(Inputs!$I$9+(((A36)+1)/2)*(Inputs!$J$9-Inputs!$I$9))</f>
        <v/>
      </c>
      <c r="X36" s="10" t="n"/>
      <c r="Y36" s="9">
        <f>A36</f>
        <v/>
      </c>
      <c r="Z36" s="9">
        <f>(Inputs!$H$6+Inputs!$L$6*(((Inputs!$I$6+(((A36)+1)/2)*(Inputs!$J$6-Inputs!$I$6)))/Inputs!$K$6)^2)</f>
        <v/>
      </c>
      <c r="AA36" s="9">
        <f>(Inputs!$H$7+Inputs!$L$7*(((Inputs!$I$7+(((A36)+1)/2)*(Inputs!$J$7-Inputs!$I$7)))/Inputs!$K$7)^2)</f>
        <v/>
      </c>
      <c r="AB36" s="9">
        <f>(Inputs!$H$8+Inputs!$L$8*(((Inputs!$I$8+(((A36)+1)/2)*(Inputs!$J$8-Inputs!$I$8)))/Inputs!$K$8)^2)</f>
        <v/>
      </c>
      <c r="AC36" s="9">
        <f>(Inputs!$H$9+Inputs!$L$9*(((Inputs!$I$9+(((A36)+1)/2)*(Inputs!$J$9-Inputs!$I$9)))/Inputs!$K$9)^2)</f>
        <v/>
      </c>
      <c r="AD36" s="10" t="n"/>
      <c r="AE36" s="9">
        <f>A36</f>
        <v/>
      </c>
      <c r="AF36" s="9">
        <f>(((SQRT((Inputs!$C$52+((Inputs!$H$6+Inputs!$L$6*(((Inputs!$I$6+(((A36)+1)/2)*(Inputs!$J$6-Inputs!$I$6)))/Inputs!$K$6)^2)))^2+Inputs!$C$52^2-2*(Inputs!$C$52+((Inputs!$H$6+Inputs!$L$6*(((Inputs!$I$6+(((A36)+1)/2)*(Inputs!$J$6-Inputs!$I$6)))/Inputs!$K$6)^2)))*Inputs!$C$52*COS(SQRT(((Inputs!$I$6+(((A36)+1)/2)*(Inputs!$J$6-Inputs!$I$6)))^2+Inputs!$C$6^2)/Inputs!$C$52)))-((Inputs!$H$6+Inputs!$L$6*(((Inputs!$I$6+(((A36)+1)/2)*(Inputs!$J$6-Inputs!$I$6)))/Inputs!$K$6)^2)))*1000/Inputs!$C$12)</f>
        <v/>
      </c>
      <c r="AG36" s="9">
        <f>(((SQRT((Inputs!$C$52+((Inputs!$H$7+Inputs!$L$7*(((Inputs!$I$7+(((A36)+1)/2)*(Inputs!$J$7-Inputs!$I$7)))/Inputs!$K$7)^2)))^2+Inputs!$C$52^2-2*(Inputs!$C$52+((Inputs!$H$7+Inputs!$L$7*(((Inputs!$I$7+(((A36)+1)/2)*(Inputs!$J$7-Inputs!$I$7)))/Inputs!$K$7)^2)))*Inputs!$C$52*COS(SQRT(((Inputs!$I$7+(((A36)+1)/2)*(Inputs!$J$7-Inputs!$I$7)))^2+Inputs!$C$6^2)/Inputs!$C$52)))-((Inputs!$H$7+Inputs!$L$7*(((Inputs!$I$7+(((A36)+1)/2)*(Inputs!$J$7-Inputs!$I$7)))/Inputs!$K$7)^2)))*1000/Inputs!$C$12)</f>
        <v/>
      </c>
      <c r="AH36" s="9">
        <f>(((SQRT((Inputs!$C$52+((Inputs!$H$8+Inputs!$L$8*(((Inputs!$I$8+(((A36)+1)/2)*(Inputs!$J$8-Inputs!$I$8)))/Inputs!$K$8)^2)))^2+Inputs!$C$52^2-2*(Inputs!$C$52+((Inputs!$H$8+Inputs!$L$8*(((Inputs!$I$8+(((A36)+1)/2)*(Inputs!$J$8-Inputs!$I$8)))/Inputs!$K$8)^2)))*Inputs!$C$52*COS(SQRT(((Inputs!$I$8+(((A36)+1)/2)*(Inputs!$J$8-Inputs!$I$8)))^2+Inputs!$C$6^2)/Inputs!$C$52)))-((Inputs!$H$8+Inputs!$L$8*(((Inputs!$I$8+(((A36)+1)/2)*(Inputs!$J$8-Inputs!$I$8)))/Inputs!$K$8)^2)))*1000/Inputs!$C$12)</f>
        <v/>
      </c>
      <c r="AI36" s="9">
        <f>(((SQRT((Inputs!$C$52+((Inputs!$H$9+Inputs!$L$9*(((Inputs!$I$9+(((A36)+1)/2)*(Inputs!$J$9-Inputs!$I$9)))/Inputs!$K$9)^2)))^2+Inputs!$C$52^2-2*(Inputs!$C$52+((Inputs!$H$9+Inputs!$L$9*(((Inputs!$I$9+(((A36)+1)/2)*(Inputs!$J$9-Inputs!$I$9)))/Inputs!$K$9)^2)))*Inputs!$C$52*COS(SQRT(((Inputs!$I$9+(((A36)+1)/2)*(Inputs!$J$9-Inputs!$I$9)))^2+Inputs!$C$6^2)/Inputs!$C$52)))-((Inputs!$H$9+Inputs!$L$9*(((Inputs!$I$9+(((A36)+1)/2)*(Inputs!$J$9-Inputs!$I$9)))/Inputs!$K$9)^2)))*1000/Inputs!$C$12)</f>
        <v/>
      </c>
      <c r="AJ36" s="10" t="n"/>
      <c r="AK36" s="9">
        <f>A36</f>
        <v/>
      </c>
      <c r="AL36" s="9">
        <f>(-2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f>
        <v/>
      </c>
      <c r="AM36" s="9">
        <f>(-2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f>
        <v/>
      </c>
      <c r="AN36" s="9">
        <f>(-2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f>
        <v/>
      </c>
      <c r="AO36" s="9">
        <f>(-2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f>
        <v/>
      </c>
      <c r="AP36" s="10" t="n"/>
      <c r="AQ36" s="9">
        <f>A36</f>
        <v/>
      </c>
      <c r="AR36" s="9">
        <f>0</f>
        <v/>
      </c>
      <c r="AS36" s="9">
        <f>IF(OR(Inputs!$F$6=TRUE,Inputs!$F$6="TRUE",Inputs!$F$6=1),IF(OR(Inputs!$C$27=TRUE,Inputs!$C$27="TRUE",Inputs!$C$27=1),1,0)*(Inputs!$C$51*(115*EXP(-(((Inputs!$C$6)-25)^2)/(4.5^2))+70*EXP(-(((Inputs!$C$6)+38)^2)/(7^2))*(0.55+0.45*SIN(2*PI()*((Inputs!$I$6+(((A36)+1)/2)*(Inputs!$J$6-Inputs!$I$6)))/45))+24*SIN(2*PI()*(Inputs!$C$6)/9+((Inputs!$I$6+(((A36)+1)/2)*(Inputs!$J$6-Inputs!$I$6)))/18)*EXP(-(((Inputs!$C$6)+5)^2)/(22^2))+18*SIN(2*PI()*((Inputs!$I$6+(((A36)+1)/2)*(Inputs!$J$6-Inputs!$I$6)))/70))+Inputs!$C$28*EXP(-((((Inputs!$I$6+(((A36)+1)/2)*(Inputs!$J$6-Inputs!$I$6)))-Inputs!$C$29)^2)/(2*Inputs!$C$31^2))*EXP(-(((Inputs!$C$6)-Inputs!$C$30)^2)/(2*Inputs!$C$32^2))+-Inputs!$C$33*EXP(-((((((Inputs!$I$6+(((A36)+1)/2)*(Inputs!$J$6-Inputs!$I$6)))-Inputs!$C$34)^2)+(((Inputs!$C$6)-Inputs!$C$35)^2))/(2*Inputs!$C$36^2)))+Inputs!$C$37*(0.55*SIN(2*PI()*((Inputs!$I$6+(((A36)+1)/2)*(Inputs!$J$6-Inputs!$I$6)))/Inputs!$C$39)+0.35*COS(2*PI()*(Inputs!$C$6)/Inputs!$C$40)+0.2*SIN(2*PI()*(((Inputs!$I$6+(((A36)+1)/2)*(Inputs!$J$6-Inputs!$I$6)))+(Inputs!$C$6))/(0.5*(Inputs!$C$39+Inputs!$C$40))))+Inputs!$C$38*SIN(2*PI()*((Inputs!$I$6+(((A36)+1)/2)*(Inputs!$J$6-Inputs!$I$6)))/Inputs!$C$39)*SIN(2*PI()*(Inputs!$C$6)/Inputs!$C$40)+-Inputs!$C$41*EXP(-(((Inputs!$C$6)-Inputs!$C$43)^2)/(2*Inputs!$C$44^2))*EXP(-((((Inputs!$I$6+(((A36)+1)/2)*(Inputs!$J$6-Inputs!$I$6)))-Inputs!$C$42)^2)/(2*Inputs!$C$45^2))+Inputs!$C$48*(0.7*(0.45*SIN(2*PI()*((((Inputs!$I$6+(((A36)+1)/2)*(Inputs!$J$6-Inputs!$I$6)))/Inputs!$C$49)+Inputs!$C$47*0.137))+0.35*COS(2*PI()*(((Inputs!$C$6)/Inputs!$C$50)+Inputs!$C$47*0.173))+0.2*SIN(2*PI()*((((Inputs!$I$6+(((A36)+1)/2)*(Inputs!$J$6-Inputs!$I$6)))+(Inputs!$C$6))/(0.5*(Inputs!$C$49+Inputs!$C$50))+Inputs!$C$47*0.097)))+0.3*(2*((SIN((((Inputs!$I$6+(((A36)+1)/2)*(Inputs!$J$6-Inputs!$I$6)))*12.9898+(Inputs!$C$6)*78.233+Inputs!$C$47*37.719))*43758.5453)-INT((SIN((((Inputs!$I$6+(((A36)+1)/2)*(Inputs!$J$6-Inputs!$I$6)))*12.9898+(Inputs!$C$6)*78.233+Inputs!$C$47*37.719))*43758.5453)))-1))),NA())</f>
        <v/>
      </c>
      <c r="AT36" s="9">
        <f>IF(OR(Inputs!$F$7=TRUE,Inputs!$F$7="TRUE",Inputs!$F$7=1),IF(OR(Inputs!$C$27=TRUE,Inputs!$C$27="TRUE",Inputs!$C$27=1),1,0)*(Inputs!$C$51*(115*EXP(-(((Inputs!$C$6)-25)^2)/(4.5^2))+70*EXP(-(((Inputs!$C$6)+38)^2)/(7^2))*(0.55+0.45*SIN(2*PI()*((Inputs!$I$7+(((A36)+1)/2)*(Inputs!$J$7-Inputs!$I$7)))/45))+24*SIN(2*PI()*(Inputs!$C$6)/9+((Inputs!$I$7+(((A36)+1)/2)*(Inputs!$J$7-Inputs!$I$7)))/18)*EXP(-(((Inputs!$C$6)+5)^2)/(22^2))+18*SIN(2*PI()*((Inputs!$I$7+(((A36)+1)/2)*(Inputs!$J$7-Inputs!$I$7)))/70))+Inputs!$C$28*EXP(-((((Inputs!$I$7+(((A36)+1)/2)*(Inputs!$J$7-Inputs!$I$7)))-Inputs!$C$29)^2)/(2*Inputs!$C$31^2))*EXP(-(((Inputs!$C$6)-Inputs!$C$30)^2)/(2*Inputs!$C$32^2))+-Inputs!$C$33*EXP(-((((((Inputs!$I$7+(((A36)+1)/2)*(Inputs!$J$7-Inputs!$I$7)))-Inputs!$C$34)^2)+(((Inputs!$C$6)-Inputs!$C$35)^2))/(2*Inputs!$C$36^2)))+Inputs!$C$37*(0.55*SIN(2*PI()*((Inputs!$I$7+(((A36)+1)/2)*(Inputs!$J$7-Inputs!$I$7)))/Inputs!$C$39)+0.35*COS(2*PI()*(Inputs!$C$6)/Inputs!$C$40)+0.2*SIN(2*PI()*(((Inputs!$I$7+(((A36)+1)/2)*(Inputs!$J$7-Inputs!$I$7)))+(Inputs!$C$6))/(0.5*(Inputs!$C$39+Inputs!$C$40))))+Inputs!$C$38*SIN(2*PI()*((Inputs!$I$7+(((A36)+1)/2)*(Inputs!$J$7-Inputs!$I$7)))/Inputs!$C$39)*SIN(2*PI()*(Inputs!$C$6)/Inputs!$C$40)+-Inputs!$C$41*EXP(-(((Inputs!$C$6)-Inputs!$C$43)^2)/(2*Inputs!$C$44^2))*EXP(-((((Inputs!$I$7+(((A36)+1)/2)*(Inputs!$J$7-Inputs!$I$7)))-Inputs!$C$42)^2)/(2*Inputs!$C$45^2))+Inputs!$C$48*(0.7*(0.45*SIN(2*PI()*((((Inputs!$I$7+(((A36)+1)/2)*(Inputs!$J$7-Inputs!$I$7)))/Inputs!$C$49)+Inputs!$C$47*0.137))+0.35*COS(2*PI()*(((Inputs!$C$6)/Inputs!$C$50)+Inputs!$C$47*0.173))+0.2*SIN(2*PI()*((((Inputs!$I$7+(((A36)+1)/2)*(Inputs!$J$7-Inputs!$I$7)))+(Inputs!$C$6))/(0.5*(Inputs!$C$49+Inputs!$C$50))+Inputs!$C$47*0.097)))+0.3*(2*((SIN((((Inputs!$I$7+(((A36)+1)/2)*(Inputs!$J$7-Inputs!$I$7)))*12.9898+(Inputs!$C$6)*78.233+Inputs!$C$47*37.719))*43758.5453)-INT((SIN((((Inputs!$I$7+(((A36)+1)/2)*(Inputs!$J$7-Inputs!$I$7)))*12.9898+(Inputs!$C$6)*78.233+Inputs!$C$47*37.719))*43758.5453)))-1))),NA())</f>
        <v/>
      </c>
      <c r="AU36" s="9">
        <f>IF(OR(Inputs!$F$8=TRUE,Inputs!$F$8="TRUE",Inputs!$F$8=1),IF(OR(Inputs!$C$27=TRUE,Inputs!$C$27="TRUE",Inputs!$C$27=1),1,0)*(Inputs!$C$51*(115*EXP(-(((Inputs!$C$6)-25)^2)/(4.5^2))+70*EXP(-(((Inputs!$C$6)+38)^2)/(7^2))*(0.55+0.45*SIN(2*PI()*((Inputs!$I$8+(((A36)+1)/2)*(Inputs!$J$8-Inputs!$I$8)))/45))+24*SIN(2*PI()*(Inputs!$C$6)/9+((Inputs!$I$8+(((A36)+1)/2)*(Inputs!$J$8-Inputs!$I$8)))/18)*EXP(-(((Inputs!$C$6)+5)^2)/(22^2))+18*SIN(2*PI()*((Inputs!$I$8+(((A36)+1)/2)*(Inputs!$J$8-Inputs!$I$8)))/70))+Inputs!$C$28*EXP(-((((Inputs!$I$8+(((A36)+1)/2)*(Inputs!$J$8-Inputs!$I$8)))-Inputs!$C$29)^2)/(2*Inputs!$C$31^2))*EXP(-(((Inputs!$C$6)-Inputs!$C$30)^2)/(2*Inputs!$C$32^2))+-Inputs!$C$33*EXP(-((((((Inputs!$I$8+(((A36)+1)/2)*(Inputs!$J$8-Inputs!$I$8)))-Inputs!$C$34)^2)+(((Inputs!$C$6)-Inputs!$C$35)^2))/(2*Inputs!$C$36^2)))+Inputs!$C$37*(0.55*SIN(2*PI()*((Inputs!$I$8+(((A36)+1)/2)*(Inputs!$J$8-Inputs!$I$8)))/Inputs!$C$39)+0.35*COS(2*PI()*(Inputs!$C$6)/Inputs!$C$40)+0.2*SIN(2*PI()*(((Inputs!$I$8+(((A36)+1)/2)*(Inputs!$J$8-Inputs!$I$8)))+(Inputs!$C$6))/(0.5*(Inputs!$C$39+Inputs!$C$40))))+Inputs!$C$38*SIN(2*PI()*((Inputs!$I$8+(((A36)+1)/2)*(Inputs!$J$8-Inputs!$I$8)))/Inputs!$C$39)*SIN(2*PI()*(Inputs!$C$6)/Inputs!$C$40)+-Inputs!$C$41*EXP(-(((Inputs!$C$6)-Inputs!$C$43)^2)/(2*Inputs!$C$44^2))*EXP(-((((Inputs!$I$8+(((A36)+1)/2)*(Inputs!$J$8-Inputs!$I$8)))-Inputs!$C$42)^2)/(2*Inputs!$C$45^2))+Inputs!$C$48*(0.7*(0.45*SIN(2*PI()*((((Inputs!$I$8+(((A36)+1)/2)*(Inputs!$J$8-Inputs!$I$8)))/Inputs!$C$49)+Inputs!$C$47*0.137))+0.35*COS(2*PI()*(((Inputs!$C$6)/Inputs!$C$50)+Inputs!$C$47*0.173))+0.2*SIN(2*PI()*((((Inputs!$I$8+(((A36)+1)/2)*(Inputs!$J$8-Inputs!$I$8)))+(Inputs!$C$6))/(0.5*(Inputs!$C$49+Inputs!$C$50))+Inputs!$C$47*0.097)))+0.3*(2*((SIN((((Inputs!$I$8+(((A36)+1)/2)*(Inputs!$J$8-Inputs!$I$8)))*12.9898+(Inputs!$C$6)*78.233+Inputs!$C$47*37.719))*43758.5453)-INT((SIN((((Inputs!$I$8+(((A36)+1)/2)*(Inputs!$J$8-Inputs!$I$8)))*12.9898+(Inputs!$C$6)*78.233+Inputs!$C$47*37.719))*43758.5453)))-1))),NA())</f>
        <v/>
      </c>
      <c r="AV36" s="9">
        <f>IF(OR(Inputs!$F$9=TRUE,Inputs!$F$9="TRUE",Inputs!$F$9=1),IF(OR(Inputs!$C$27=TRUE,Inputs!$C$27="TRUE",Inputs!$C$27=1),1,0)*(Inputs!$C$51*(115*EXP(-(((Inputs!$C$6)-25)^2)/(4.5^2))+70*EXP(-(((Inputs!$C$6)+38)^2)/(7^2))*(0.55+0.45*SIN(2*PI()*((Inputs!$I$9+(((A36)+1)/2)*(Inputs!$J$9-Inputs!$I$9)))/45))+24*SIN(2*PI()*(Inputs!$C$6)/9+((Inputs!$I$9+(((A36)+1)/2)*(Inputs!$J$9-Inputs!$I$9)))/18)*EXP(-(((Inputs!$C$6)+5)^2)/(22^2))+18*SIN(2*PI()*((Inputs!$I$9+(((A36)+1)/2)*(Inputs!$J$9-Inputs!$I$9)))/70))+Inputs!$C$28*EXP(-((((Inputs!$I$9+(((A36)+1)/2)*(Inputs!$J$9-Inputs!$I$9)))-Inputs!$C$29)^2)/(2*Inputs!$C$31^2))*EXP(-(((Inputs!$C$6)-Inputs!$C$30)^2)/(2*Inputs!$C$32^2))+-Inputs!$C$33*EXP(-((((((Inputs!$I$9+(((A36)+1)/2)*(Inputs!$J$9-Inputs!$I$9)))-Inputs!$C$34)^2)+(((Inputs!$C$6)-Inputs!$C$35)^2))/(2*Inputs!$C$36^2)))+Inputs!$C$37*(0.55*SIN(2*PI()*((Inputs!$I$9+(((A36)+1)/2)*(Inputs!$J$9-Inputs!$I$9)))/Inputs!$C$39)+0.35*COS(2*PI()*(Inputs!$C$6)/Inputs!$C$40)+0.2*SIN(2*PI()*(((Inputs!$I$9+(((A36)+1)/2)*(Inputs!$J$9-Inputs!$I$9)))+(Inputs!$C$6))/(0.5*(Inputs!$C$39+Inputs!$C$40))))+Inputs!$C$38*SIN(2*PI()*((Inputs!$I$9+(((A36)+1)/2)*(Inputs!$J$9-Inputs!$I$9)))/Inputs!$C$39)*SIN(2*PI()*(Inputs!$C$6)/Inputs!$C$40)+-Inputs!$C$41*EXP(-(((Inputs!$C$6)-Inputs!$C$43)^2)/(2*Inputs!$C$44^2))*EXP(-((((Inputs!$I$9+(((A36)+1)/2)*(Inputs!$J$9-Inputs!$I$9)))-Inputs!$C$42)^2)/(2*Inputs!$C$45^2))+Inputs!$C$48*(0.7*(0.45*SIN(2*PI()*((((Inputs!$I$9+(((A36)+1)/2)*(Inputs!$J$9-Inputs!$I$9)))/Inputs!$C$49)+Inputs!$C$47*0.137))+0.35*COS(2*PI()*(((Inputs!$C$6)/Inputs!$C$50)+Inputs!$C$47*0.173))+0.2*SIN(2*PI()*((((Inputs!$I$9+(((A36)+1)/2)*(Inputs!$J$9-Inputs!$I$9)))+(Inputs!$C$6))/(0.5*(Inputs!$C$49+Inputs!$C$50))+Inputs!$C$47*0.097)))+0.3*(2*((SIN((((Inputs!$I$9+(((A36)+1)/2)*(Inputs!$J$9-Inputs!$I$9)))*12.9898+(Inputs!$C$6)*78.233+Inputs!$C$47*37.719))*43758.5453)-INT((SIN((((Inputs!$I$9+(((A36)+1)/2)*(Inputs!$J$9-Inputs!$I$9)))*12.9898+(Inputs!$C$6)*78.233+Inputs!$C$47*37.719))*43758.5453)))-1))),NA())</f>
        <v/>
      </c>
      <c r="AW36" s="10" t="n"/>
      <c r="AX36" s="9">
        <f>A36</f>
        <v/>
      </c>
      <c r="AY36" s="9">
        <f>0</f>
        <v/>
      </c>
      <c r="AZ36" s="9">
        <f>IF(OR(Inputs!$F$6=TRUE,Inputs!$F$6="TRUE",Inputs!$F$6=1),(Inputs!$H$6+Inputs!$L$6*(((Inputs!$I$6+(((A36)+1)/2)*(Inputs!$J$6-Inputs!$I$6)))/Inputs!$K$6)^2),NA())</f>
        <v/>
      </c>
      <c r="BA36" s="9">
        <f>IF(OR(Inputs!$F$7=TRUE,Inputs!$F$7="TRUE",Inputs!$F$7=1),(Inputs!$H$7+Inputs!$L$7*(((Inputs!$I$7+(((A36)+1)/2)*(Inputs!$J$7-Inputs!$I$7)))/Inputs!$K$7)^2),NA())</f>
        <v/>
      </c>
      <c r="BB36" s="9">
        <f>IF(OR(Inputs!$F$8=TRUE,Inputs!$F$8="TRUE",Inputs!$F$8=1),(Inputs!$H$8+Inputs!$L$8*(((Inputs!$I$8+(((A36)+1)/2)*(Inputs!$J$8-Inputs!$I$8)))/Inputs!$K$8)^2),NA())</f>
        <v/>
      </c>
      <c r="BC36" s="9">
        <f>IF(OR(Inputs!$F$9=TRUE,Inputs!$F$9="TRUE",Inputs!$F$9=1),(Inputs!$H$9+Inputs!$L$9*(((Inputs!$I$9+(((A36)+1)/2)*(Inputs!$J$9-Inputs!$I$9)))/Inputs!$K$9)^2),NA())</f>
        <v/>
      </c>
      <c r="BD36" s="10" t="n"/>
      <c r="BE36" s="9">
        <f>A36</f>
        <v/>
      </c>
      <c r="BF36" s="9">
        <f>0</f>
        <v/>
      </c>
      <c r="BG36" s="9">
        <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f>
        <v/>
      </c>
      <c r="BH36" s="9">
        <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f>
        <v/>
      </c>
      <c r="BI36" s="9">
        <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f>
        <v/>
      </c>
      <c r="BJ36" s="9">
        <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f>
        <v/>
      </c>
    </row>
    <row r="37">
      <c r="A37" s="9">
        <f>ROUND(-1+35*2/240,3)</f>
        <v/>
      </c>
      <c r="B37" s="9">
        <f>IF(OR(Inputs!$F$6=TRUE,Inputs!$F$6="TRUE",Inputs!$F$6=1),(Inputs!$H$6+Inputs!$L$6*(((Inputs!$I$6+(((A37)+1)/2)*(Inputs!$J$6-Inputs!$I$6)))/Inputs!$K$6)^2),NA())</f>
        <v/>
      </c>
      <c r="C37" s="9">
        <f>IF(OR(Inputs!$F$7=TRUE,Inputs!$F$7="TRUE",Inputs!$F$7=1),(Inputs!$H$7+Inputs!$L$7*(((Inputs!$I$7+(((A37)+1)/2)*(Inputs!$J$7-Inputs!$I$7)))/Inputs!$K$7)^2),NA())</f>
        <v/>
      </c>
      <c r="D37" s="9">
        <f>IF(OR(Inputs!$F$8=TRUE,Inputs!$F$8="TRUE",Inputs!$F$8=1),(Inputs!$H$8+Inputs!$L$8*(((Inputs!$I$8+(((A37)+1)/2)*(Inputs!$J$8-Inputs!$I$8)))/Inputs!$K$8)^2),NA())</f>
        <v/>
      </c>
      <c r="E37" s="9">
        <f>IF(OR(Inputs!$F$9=TRUE,Inputs!$F$9="TRUE",Inputs!$F$9=1),(Inputs!$H$9+Inputs!$L$9*(((Inputs!$I$9+(((A37)+1)/2)*(Inputs!$J$9-Inputs!$I$9)))/Inputs!$K$9)^2),NA())</f>
        <v/>
      </c>
      <c r="F37" s="10" t="n"/>
      <c r="G37" s="9">
        <f>A37</f>
        <v/>
      </c>
      <c r="H37" s="9">
        <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f>
        <v/>
      </c>
      <c r="I37" s="9">
        <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f>
        <v/>
      </c>
      <c r="J37" s="9">
        <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f>
        <v/>
      </c>
      <c r="K37" s="9">
        <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f>
        <v/>
      </c>
      <c r="L37" s="10" t="n"/>
      <c r="M37" s="9">
        <f>A37</f>
        <v/>
      </c>
      <c r="N37" s="9">
        <f>IF(OR(Inputs!$F$6=TRUE,Inputs!$F$6="TRUE",Inputs!$F$6=1),(-2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NA())</f>
        <v/>
      </c>
      <c r="O37" s="9">
        <f>IF(OR(Inputs!$F$7=TRUE,Inputs!$F$7="TRUE",Inputs!$F$7=1),(-2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NA())</f>
        <v/>
      </c>
      <c r="P37" s="9">
        <f>IF(OR(Inputs!$F$8=TRUE,Inputs!$F$8="TRUE",Inputs!$F$8=1),(-2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NA())</f>
        <v/>
      </c>
      <c r="Q37" s="9">
        <f>IF(OR(Inputs!$F$9=TRUE,Inputs!$F$9="TRUE",Inputs!$F$9=1),(-2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NA())</f>
        <v/>
      </c>
      <c r="R37" s="10" t="n"/>
      <c r="S37" s="9">
        <f>A37</f>
        <v/>
      </c>
      <c r="T37" s="9">
        <f>(Inputs!$I$6+(((A37)+1)/2)*(Inputs!$J$6-Inputs!$I$6))</f>
        <v/>
      </c>
      <c r="U37" s="9">
        <f>(Inputs!$I$7+(((A37)+1)/2)*(Inputs!$J$7-Inputs!$I$7))</f>
        <v/>
      </c>
      <c r="V37" s="9">
        <f>(Inputs!$I$8+(((A37)+1)/2)*(Inputs!$J$8-Inputs!$I$8))</f>
        <v/>
      </c>
      <c r="W37" s="9">
        <f>(Inputs!$I$9+(((A37)+1)/2)*(Inputs!$J$9-Inputs!$I$9))</f>
        <v/>
      </c>
      <c r="X37" s="10" t="n"/>
      <c r="Y37" s="9">
        <f>A37</f>
        <v/>
      </c>
      <c r="Z37" s="9">
        <f>(Inputs!$H$6+Inputs!$L$6*(((Inputs!$I$6+(((A37)+1)/2)*(Inputs!$J$6-Inputs!$I$6)))/Inputs!$K$6)^2)</f>
        <v/>
      </c>
      <c r="AA37" s="9">
        <f>(Inputs!$H$7+Inputs!$L$7*(((Inputs!$I$7+(((A37)+1)/2)*(Inputs!$J$7-Inputs!$I$7)))/Inputs!$K$7)^2)</f>
        <v/>
      </c>
      <c r="AB37" s="9">
        <f>(Inputs!$H$8+Inputs!$L$8*(((Inputs!$I$8+(((A37)+1)/2)*(Inputs!$J$8-Inputs!$I$8)))/Inputs!$K$8)^2)</f>
        <v/>
      </c>
      <c r="AC37" s="9">
        <f>(Inputs!$H$9+Inputs!$L$9*(((Inputs!$I$9+(((A37)+1)/2)*(Inputs!$J$9-Inputs!$I$9)))/Inputs!$K$9)^2)</f>
        <v/>
      </c>
      <c r="AD37" s="10" t="n"/>
      <c r="AE37" s="9">
        <f>A37</f>
        <v/>
      </c>
      <c r="AF37" s="9">
        <f>(((SQRT((Inputs!$C$52+((Inputs!$H$6+Inputs!$L$6*(((Inputs!$I$6+(((A37)+1)/2)*(Inputs!$J$6-Inputs!$I$6)))/Inputs!$K$6)^2)))^2+Inputs!$C$52^2-2*(Inputs!$C$52+((Inputs!$H$6+Inputs!$L$6*(((Inputs!$I$6+(((A37)+1)/2)*(Inputs!$J$6-Inputs!$I$6)))/Inputs!$K$6)^2)))*Inputs!$C$52*COS(SQRT(((Inputs!$I$6+(((A37)+1)/2)*(Inputs!$J$6-Inputs!$I$6)))^2+Inputs!$C$6^2)/Inputs!$C$52)))-((Inputs!$H$6+Inputs!$L$6*(((Inputs!$I$6+(((A37)+1)/2)*(Inputs!$J$6-Inputs!$I$6)))/Inputs!$K$6)^2)))*1000/Inputs!$C$12)</f>
        <v/>
      </c>
      <c r="AG37" s="9">
        <f>(((SQRT((Inputs!$C$52+((Inputs!$H$7+Inputs!$L$7*(((Inputs!$I$7+(((A37)+1)/2)*(Inputs!$J$7-Inputs!$I$7)))/Inputs!$K$7)^2)))^2+Inputs!$C$52^2-2*(Inputs!$C$52+((Inputs!$H$7+Inputs!$L$7*(((Inputs!$I$7+(((A37)+1)/2)*(Inputs!$J$7-Inputs!$I$7)))/Inputs!$K$7)^2)))*Inputs!$C$52*COS(SQRT(((Inputs!$I$7+(((A37)+1)/2)*(Inputs!$J$7-Inputs!$I$7)))^2+Inputs!$C$6^2)/Inputs!$C$52)))-((Inputs!$H$7+Inputs!$L$7*(((Inputs!$I$7+(((A37)+1)/2)*(Inputs!$J$7-Inputs!$I$7)))/Inputs!$K$7)^2)))*1000/Inputs!$C$12)</f>
        <v/>
      </c>
      <c r="AH37" s="9">
        <f>(((SQRT((Inputs!$C$52+((Inputs!$H$8+Inputs!$L$8*(((Inputs!$I$8+(((A37)+1)/2)*(Inputs!$J$8-Inputs!$I$8)))/Inputs!$K$8)^2)))^2+Inputs!$C$52^2-2*(Inputs!$C$52+((Inputs!$H$8+Inputs!$L$8*(((Inputs!$I$8+(((A37)+1)/2)*(Inputs!$J$8-Inputs!$I$8)))/Inputs!$K$8)^2)))*Inputs!$C$52*COS(SQRT(((Inputs!$I$8+(((A37)+1)/2)*(Inputs!$J$8-Inputs!$I$8)))^2+Inputs!$C$6^2)/Inputs!$C$52)))-((Inputs!$H$8+Inputs!$L$8*(((Inputs!$I$8+(((A37)+1)/2)*(Inputs!$J$8-Inputs!$I$8)))/Inputs!$K$8)^2)))*1000/Inputs!$C$12)</f>
        <v/>
      </c>
      <c r="AI37" s="9">
        <f>(((SQRT((Inputs!$C$52+((Inputs!$H$9+Inputs!$L$9*(((Inputs!$I$9+(((A37)+1)/2)*(Inputs!$J$9-Inputs!$I$9)))/Inputs!$K$9)^2)))^2+Inputs!$C$52^2-2*(Inputs!$C$52+((Inputs!$H$9+Inputs!$L$9*(((Inputs!$I$9+(((A37)+1)/2)*(Inputs!$J$9-Inputs!$I$9)))/Inputs!$K$9)^2)))*Inputs!$C$52*COS(SQRT(((Inputs!$I$9+(((A37)+1)/2)*(Inputs!$J$9-Inputs!$I$9)))^2+Inputs!$C$6^2)/Inputs!$C$52)))-((Inputs!$H$9+Inputs!$L$9*(((Inputs!$I$9+(((A37)+1)/2)*(Inputs!$J$9-Inputs!$I$9)))/Inputs!$K$9)^2)))*1000/Inputs!$C$12)</f>
        <v/>
      </c>
      <c r="AJ37" s="10" t="n"/>
      <c r="AK37" s="9">
        <f>A37</f>
        <v/>
      </c>
      <c r="AL37" s="9">
        <f>(-2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f>
        <v/>
      </c>
      <c r="AM37" s="9">
        <f>(-2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f>
        <v/>
      </c>
      <c r="AN37" s="9">
        <f>(-2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f>
        <v/>
      </c>
      <c r="AO37" s="9">
        <f>(-2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f>
        <v/>
      </c>
      <c r="AP37" s="10" t="n"/>
      <c r="AQ37" s="9">
        <f>A37</f>
        <v/>
      </c>
      <c r="AR37" s="9">
        <f>0</f>
        <v/>
      </c>
      <c r="AS37" s="9">
        <f>IF(OR(Inputs!$F$6=TRUE,Inputs!$F$6="TRUE",Inputs!$F$6=1),IF(OR(Inputs!$C$27=TRUE,Inputs!$C$27="TRUE",Inputs!$C$27=1),1,0)*(Inputs!$C$51*(115*EXP(-(((Inputs!$C$6)-25)^2)/(4.5^2))+70*EXP(-(((Inputs!$C$6)+38)^2)/(7^2))*(0.55+0.45*SIN(2*PI()*((Inputs!$I$6+(((A37)+1)/2)*(Inputs!$J$6-Inputs!$I$6)))/45))+24*SIN(2*PI()*(Inputs!$C$6)/9+((Inputs!$I$6+(((A37)+1)/2)*(Inputs!$J$6-Inputs!$I$6)))/18)*EXP(-(((Inputs!$C$6)+5)^2)/(22^2))+18*SIN(2*PI()*((Inputs!$I$6+(((A37)+1)/2)*(Inputs!$J$6-Inputs!$I$6)))/70))+Inputs!$C$28*EXP(-((((Inputs!$I$6+(((A37)+1)/2)*(Inputs!$J$6-Inputs!$I$6)))-Inputs!$C$29)^2)/(2*Inputs!$C$31^2))*EXP(-(((Inputs!$C$6)-Inputs!$C$30)^2)/(2*Inputs!$C$32^2))+-Inputs!$C$33*EXP(-((((((Inputs!$I$6+(((A37)+1)/2)*(Inputs!$J$6-Inputs!$I$6)))-Inputs!$C$34)^2)+(((Inputs!$C$6)-Inputs!$C$35)^2))/(2*Inputs!$C$36^2)))+Inputs!$C$37*(0.55*SIN(2*PI()*((Inputs!$I$6+(((A37)+1)/2)*(Inputs!$J$6-Inputs!$I$6)))/Inputs!$C$39)+0.35*COS(2*PI()*(Inputs!$C$6)/Inputs!$C$40)+0.2*SIN(2*PI()*(((Inputs!$I$6+(((A37)+1)/2)*(Inputs!$J$6-Inputs!$I$6)))+(Inputs!$C$6))/(0.5*(Inputs!$C$39+Inputs!$C$40))))+Inputs!$C$38*SIN(2*PI()*((Inputs!$I$6+(((A37)+1)/2)*(Inputs!$J$6-Inputs!$I$6)))/Inputs!$C$39)*SIN(2*PI()*(Inputs!$C$6)/Inputs!$C$40)+-Inputs!$C$41*EXP(-(((Inputs!$C$6)-Inputs!$C$43)^2)/(2*Inputs!$C$44^2))*EXP(-((((Inputs!$I$6+(((A37)+1)/2)*(Inputs!$J$6-Inputs!$I$6)))-Inputs!$C$42)^2)/(2*Inputs!$C$45^2))+Inputs!$C$48*(0.7*(0.45*SIN(2*PI()*((((Inputs!$I$6+(((A37)+1)/2)*(Inputs!$J$6-Inputs!$I$6)))/Inputs!$C$49)+Inputs!$C$47*0.137))+0.35*COS(2*PI()*(((Inputs!$C$6)/Inputs!$C$50)+Inputs!$C$47*0.173))+0.2*SIN(2*PI()*((((Inputs!$I$6+(((A37)+1)/2)*(Inputs!$J$6-Inputs!$I$6)))+(Inputs!$C$6))/(0.5*(Inputs!$C$49+Inputs!$C$50))+Inputs!$C$47*0.097)))+0.3*(2*((SIN((((Inputs!$I$6+(((A37)+1)/2)*(Inputs!$J$6-Inputs!$I$6)))*12.9898+(Inputs!$C$6)*78.233+Inputs!$C$47*37.719))*43758.5453)-INT((SIN((((Inputs!$I$6+(((A37)+1)/2)*(Inputs!$J$6-Inputs!$I$6)))*12.9898+(Inputs!$C$6)*78.233+Inputs!$C$47*37.719))*43758.5453)))-1))),NA())</f>
        <v/>
      </c>
      <c r="AT37" s="9">
        <f>IF(OR(Inputs!$F$7=TRUE,Inputs!$F$7="TRUE",Inputs!$F$7=1),IF(OR(Inputs!$C$27=TRUE,Inputs!$C$27="TRUE",Inputs!$C$27=1),1,0)*(Inputs!$C$51*(115*EXP(-(((Inputs!$C$6)-25)^2)/(4.5^2))+70*EXP(-(((Inputs!$C$6)+38)^2)/(7^2))*(0.55+0.45*SIN(2*PI()*((Inputs!$I$7+(((A37)+1)/2)*(Inputs!$J$7-Inputs!$I$7)))/45))+24*SIN(2*PI()*(Inputs!$C$6)/9+((Inputs!$I$7+(((A37)+1)/2)*(Inputs!$J$7-Inputs!$I$7)))/18)*EXP(-(((Inputs!$C$6)+5)^2)/(22^2))+18*SIN(2*PI()*((Inputs!$I$7+(((A37)+1)/2)*(Inputs!$J$7-Inputs!$I$7)))/70))+Inputs!$C$28*EXP(-((((Inputs!$I$7+(((A37)+1)/2)*(Inputs!$J$7-Inputs!$I$7)))-Inputs!$C$29)^2)/(2*Inputs!$C$31^2))*EXP(-(((Inputs!$C$6)-Inputs!$C$30)^2)/(2*Inputs!$C$32^2))+-Inputs!$C$33*EXP(-((((((Inputs!$I$7+(((A37)+1)/2)*(Inputs!$J$7-Inputs!$I$7)))-Inputs!$C$34)^2)+(((Inputs!$C$6)-Inputs!$C$35)^2))/(2*Inputs!$C$36^2)))+Inputs!$C$37*(0.55*SIN(2*PI()*((Inputs!$I$7+(((A37)+1)/2)*(Inputs!$J$7-Inputs!$I$7)))/Inputs!$C$39)+0.35*COS(2*PI()*(Inputs!$C$6)/Inputs!$C$40)+0.2*SIN(2*PI()*(((Inputs!$I$7+(((A37)+1)/2)*(Inputs!$J$7-Inputs!$I$7)))+(Inputs!$C$6))/(0.5*(Inputs!$C$39+Inputs!$C$40))))+Inputs!$C$38*SIN(2*PI()*((Inputs!$I$7+(((A37)+1)/2)*(Inputs!$J$7-Inputs!$I$7)))/Inputs!$C$39)*SIN(2*PI()*(Inputs!$C$6)/Inputs!$C$40)+-Inputs!$C$41*EXP(-(((Inputs!$C$6)-Inputs!$C$43)^2)/(2*Inputs!$C$44^2))*EXP(-((((Inputs!$I$7+(((A37)+1)/2)*(Inputs!$J$7-Inputs!$I$7)))-Inputs!$C$42)^2)/(2*Inputs!$C$45^2))+Inputs!$C$48*(0.7*(0.45*SIN(2*PI()*((((Inputs!$I$7+(((A37)+1)/2)*(Inputs!$J$7-Inputs!$I$7)))/Inputs!$C$49)+Inputs!$C$47*0.137))+0.35*COS(2*PI()*(((Inputs!$C$6)/Inputs!$C$50)+Inputs!$C$47*0.173))+0.2*SIN(2*PI()*((((Inputs!$I$7+(((A37)+1)/2)*(Inputs!$J$7-Inputs!$I$7)))+(Inputs!$C$6))/(0.5*(Inputs!$C$49+Inputs!$C$50))+Inputs!$C$47*0.097)))+0.3*(2*((SIN((((Inputs!$I$7+(((A37)+1)/2)*(Inputs!$J$7-Inputs!$I$7)))*12.9898+(Inputs!$C$6)*78.233+Inputs!$C$47*37.719))*43758.5453)-INT((SIN((((Inputs!$I$7+(((A37)+1)/2)*(Inputs!$J$7-Inputs!$I$7)))*12.9898+(Inputs!$C$6)*78.233+Inputs!$C$47*37.719))*43758.5453)))-1))),NA())</f>
        <v/>
      </c>
      <c r="AU37" s="9">
        <f>IF(OR(Inputs!$F$8=TRUE,Inputs!$F$8="TRUE",Inputs!$F$8=1),IF(OR(Inputs!$C$27=TRUE,Inputs!$C$27="TRUE",Inputs!$C$27=1),1,0)*(Inputs!$C$51*(115*EXP(-(((Inputs!$C$6)-25)^2)/(4.5^2))+70*EXP(-(((Inputs!$C$6)+38)^2)/(7^2))*(0.55+0.45*SIN(2*PI()*((Inputs!$I$8+(((A37)+1)/2)*(Inputs!$J$8-Inputs!$I$8)))/45))+24*SIN(2*PI()*(Inputs!$C$6)/9+((Inputs!$I$8+(((A37)+1)/2)*(Inputs!$J$8-Inputs!$I$8)))/18)*EXP(-(((Inputs!$C$6)+5)^2)/(22^2))+18*SIN(2*PI()*((Inputs!$I$8+(((A37)+1)/2)*(Inputs!$J$8-Inputs!$I$8)))/70))+Inputs!$C$28*EXP(-((((Inputs!$I$8+(((A37)+1)/2)*(Inputs!$J$8-Inputs!$I$8)))-Inputs!$C$29)^2)/(2*Inputs!$C$31^2))*EXP(-(((Inputs!$C$6)-Inputs!$C$30)^2)/(2*Inputs!$C$32^2))+-Inputs!$C$33*EXP(-((((((Inputs!$I$8+(((A37)+1)/2)*(Inputs!$J$8-Inputs!$I$8)))-Inputs!$C$34)^2)+(((Inputs!$C$6)-Inputs!$C$35)^2))/(2*Inputs!$C$36^2)))+Inputs!$C$37*(0.55*SIN(2*PI()*((Inputs!$I$8+(((A37)+1)/2)*(Inputs!$J$8-Inputs!$I$8)))/Inputs!$C$39)+0.35*COS(2*PI()*(Inputs!$C$6)/Inputs!$C$40)+0.2*SIN(2*PI()*(((Inputs!$I$8+(((A37)+1)/2)*(Inputs!$J$8-Inputs!$I$8)))+(Inputs!$C$6))/(0.5*(Inputs!$C$39+Inputs!$C$40))))+Inputs!$C$38*SIN(2*PI()*((Inputs!$I$8+(((A37)+1)/2)*(Inputs!$J$8-Inputs!$I$8)))/Inputs!$C$39)*SIN(2*PI()*(Inputs!$C$6)/Inputs!$C$40)+-Inputs!$C$41*EXP(-(((Inputs!$C$6)-Inputs!$C$43)^2)/(2*Inputs!$C$44^2))*EXP(-((((Inputs!$I$8+(((A37)+1)/2)*(Inputs!$J$8-Inputs!$I$8)))-Inputs!$C$42)^2)/(2*Inputs!$C$45^2))+Inputs!$C$48*(0.7*(0.45*SIN(2*PI()*((((Inputs!$I$8+(((A37)+1)/2)*(Inputs!$J$8-Inputs!$I$8)))/Inputs!$C$49)+Inputs!$C$47*0.137))+0.35*COS(2*PI()*(((Inputs!$C$6)/Inputs!$C$50)+Inputs!$C$47*0.173))+0.2*SIN(2*PI()*((((Inputs!$I$8+(((A37)+1)/2)*(Inputs!$J$8-Inputs!$I$8)))+(Inputs!$C$6))/(0.5*(Inputs!$C$49+Inputs!$C$50))+Inputs!$C$47*0.097)))+0.3*(2*((SIN((((Inputs!$I$8+(((A37)+1)/2)*(Inputs!$J$8-Inputs!$I$8)))*12.9898+(Inputs!$C$6)*78.233+Inputs!$C$47*37.719))*43758.5453)-INT((SIN((((Inputs!$I$8+(((A37)+1)/2)*(Inputs!$J$8-Inputs!$I$8)))*12.9898+(Inputs!$C$6)*78.233+Inputs!$C$47*37.719))*43758.5453)))-1))),NA())</f>
        <v/>
      </c>
      <c r="AV37" s="9">
        <f>IF(OR(Inputs!$F$9=TRUE,Inputs!$F$9="TRUE",Inputs!$F$9=1),IF(OR(Inputs!$C$27=TRUE,Inputs!$C$27="TRUE",Inputs!$C$27=1),1,0)*(Inputs!$C$51*(115*EXP(-(((Inputs!$C$6)-25)^2)/(4.5^2))+70*EXP(-(((Inputs!$C$6)+38)^2)/(7^2))*(0.55+0.45*SIN(2*PI()*((Inputs!$I$9+(((A37)+1)/2)*(Inputs!$J$9-Inputs!$I$9)))/45))+24*SIN(2*PI()*(Inputs!$C$6)/9+((Inputs!$I$9+(((A37)+1)/2)*(Inputs!$J$9-Inputs!$I$9)))/18)*EXP(-(((Inputs!$C$6)+5)^2)/(22^2))+18*SIN(2*PI()*((Inputs!$I$9+(((A37)+1)/2)*(Inputs!$J$9-Inputs!$I$9)))/70))+Inputs!$C$28*EXP(-((((Inputs!$I$9+(((A37)+1)/2)*(Inputs!$J$9-Inputs!$I$9)))-Inputs!$C$29)^2)/(2*Inputs!$C$31^2))*EXP(-(((Inputs!$C$6)-Inputs!$C$30)^2)/(2*Inputs!$C$32^2))+-Inputs!$C$33*EXP(-((((((Inputs!$I$9+(((A37)+1)/2)*(Inputs!$J$9-Inputs!$I$9)))-Inputs!$C$34)^2)+(((Inputs!$C$6)-Inputs!$C$35)^2))/(2*Inputs!$C$36^2)))+Inputs!$C$37*(0.55*SIN(2*PI()*((Inputs!$I$9+(((A37)+1)/2)*(Inputs!$J$9-Inputs!$I$9)))/Inputs!$C$39)+0.35*COS(2*PI()*(Inputs!$C$6)/Inputs!$C$40)+0.2*SIN(2*PI()*(((Inputs!$I$9+(((A37)+1)/2)*(Inputs!$J$9-Inputs!$I$9)))+(Inputs!$C$6))/(0.5*(Inputs!$C$39+Inputs!$C$40))))+Inputs!$C$38*SIN(2*PI()*((Inputs!$I$9+(((A37)+1)/2)*(Inputs!$J$9-Inputs!$I$9)))/Inputs!$C$39)*SIN(2*PI()*(Inputs!$C$6)/Inputs!$C$40)+-Inputs!$C$41*EXP(-(((Inputs!$C$6)-Inputs!$C$43)^2)/(2*Inputs!$C$44^2))*EXP(-((((Inputs!$I$9+(((A37)+1)/2)*(Inputs!$J$9-Inputs!$I$9)))-Inputs!$C$42)^2)/(2*Inputs!$C$45^2))+Inputs!$C$48*(0.7*(0.45*SIN(2*PI()*((((Inputs!$I$9+(((A37)+1)/2)*(Inputs!$J$9-Inputs!$I$9)))/Inputs!$C$49)+Inputs!$C$47*0.137))+0.35*COS(2*PI()*(((Inputs!$C$6)/Inputs!$C$50)+Inputs!$C$47*0.173))+0.2*SIN(2*PI()*((((Inputs!$I$9+(((A37)+1)/2)*(Inputs!$J$9-Inputs!$I$9)))+(Inputs!$C$6))/(0.5*(Inputs!$C$49+Inputs!$C$50))+Inputs!$C$47*0.097)))+0.3*(2*((SIN((((Inputs!$I$9+(((A37)+1)/2)*(Inputs!$J$9-Inputs!$I$9)))*12.9898+(Inputs!$C$6)*78.233+Inputs!$C$47*37.719))*43758.5453)-INT((SIN((((Inputs!$I$9+(((A37)+1)/2)*(Inputs!$J$9-Inputs!$I$9)))*12.9898+(Inputs!$C$6)*78.233+Inputs!$C$47*37.719))*43758.5453)))-1))),NA())</f>
        <v/>
      </c>
      <c r="AW37" s="10" t="n"/>
      <c r="AX37" s="9">
        <f>A37</f>
        <v/>
      </c>
      <c r="AY37" s="9">
        <f>0</f>
        <v/>
      </c>
      <c r="AZ37" s="9">
        <f>IF(OR(Inputs!$F$6=TRUE,Inputs!$F$6="TRUE",Inputs!$F$6=1),(Inputs!$H$6+Inputs!$L$6*(((Inputs!$I$6+(((A37)+1)/2)*(Inputs!$J$6-Inputs!$I$6)))/Inputs!$K$6)^2),NA())</f>
        <v/>
      </c>
      <c r="BA37" s="9">
        <f>IF(OR(Inputs!$F$7=TRUE,Inputs!$F$7="TRUE",Inputs!$F$7=1),(Inputs!$H$7+Inputs!$L$7*(((Inputs!$I$7+(((A37)+1)/2)*(Inputs!$J$7-Inputs!$I$7)))/Inputs!$K$7)^2),NA())</f>
        <v/>
      </c>
      <c r="BB37" s="9">
        <f>IF(OR(Inputs!$F$8=TRUE,Inputs!$F$8="TRUE",Inputs!$F$8=1),(Inputs!$H$8+Inputs!$L$8*(((Inputs!$I$8+(((A37)+1)/2)*(Inputs!$J$8-Inputs!$I$8)))/Inputs!$K$8)^2),NA())</f>
        <v/>
      </c>
      <c r="BC37" s="9">
        <f>IF(OR(Inputs!$F$9=TRUE,Inputs!$F$9="TRUE",Inputs!$F$9=1),(Inputs!$H$9+Inputs!$L$9*(((Inputs!$I$9+(((A37)+1)/2)*(Inputs!$J$9-Inputs!$I$9)))/Inputs!$K$9)^2),NA())</f>
        <v/>
      </c>
      <c r="BD37" s="10" t="n"/>
      <c r="BE37" s="9">
        <f>A37</f>
        <v/>
      </c>
      <c r="BF37" s="9">
        <f>0</f>
        <v/>
      </c>
      <c r="BG37" s="9">
        <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f>
        <v/>
      </c>
      <c r="BH37" s="9">
        <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f>
        <v/>
      </c>
      <c r="BI37" s="9">
        <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f>
        <v/>
      </c>
      <c r="BJ37" s="9">
        <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f>
        <v/>
      </c>
    </row>
    <row r="38">
      <c r="A38" s="9">
        <f>ROUND(-1+36*2/240,3)</f>
        <v/>
      </c>
      <c r="B38" s="9">
        <f>IF(OR(Inputs!$F$6=TRUE,Inputs!$F$6="TRUE",Inputs!$F$6=1),(Inputs!$H$6+Inputs!$L$6*(((Inputs!$I$6+(((A38)+1)/2)*(Inputs!$J$6-Inputs!$I$6)))/Inputs!$K$6)^2),NA())</f>
        <v/>
      </c>
      <c r="C38" s="9">
        <f>IF(OR(Inputs!$F$7=TRUE,Inputs!$F$7="TRUE",Inputs!$F$7=1),(Inputs!$H$7+Inputs!$L$7*(((Inputs!$I$7+(((A38)+1)/2)*(Inputs!$J$7-Inputs!$I$7)))/Inputs!$K$7)^2),NA())</f>
        <v/>
      </c>
      <c r="D38" s="9">
        <f>IF(OR(Inputs!$F$8=TRUE,Inputs!$F$8="TRUE",Inputs!$F$8=1),(Inputs!$H$8+Inputs!$L$8*(((Inputs!$I$8+(((A38)+1)/2)*(Inputs!$J$8-Inputs!$I$8)))/Inputs!$K$8)^2),NA())</f>
        <v/>
      </c>
      <c r="E38" s="9">
        <f>IF(OR(Inputs!$F$9=TRUE,Inputs!$F$9="TRUE",Inputs!$F$9=1),(Inputs!$H$9+Inputs!$L$9*(((Inputs!$I$9+(((A38)+1)/2)*(Inputs!$J$9-Inputs!$I$9)))/Inputs!$K$9)^2),NA())</f>
        <v/>
      </c>
      <c r="F38" s="10" t="n"/>
      <c r="G38" s="9">
        <f>A38</f>
        <v/>
      </c>
      <c r="H38" s="9">
        <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f>
        <v/>
      </c>
      <c r="I38" s="9">
        <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f>
        <v/>
      </c>
      <c r="J38" s="9">
        <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f>
        <v/>
      </c>
      <c r="K38" s="9">
        <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f>
        <v/>
      </c>
      <c r="L38" s="10" t="n"/>
      <c r="M38" s="9">
        <f>A38</f>
        <v/>
      </c>
      <c r="N38" s="9">
        <f>IF(OR(Inputs!$F$6=TRUE,Inputs!$F$6="TRUE",Inputs!$F$6=1),(-2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NA())</f>
        <v/>
      </c>
      <c r="O38" s="9">
        <f>IF(OR(Inputs!$F$7=TRUE,Inputs!$F$7="TRUE",Inputs!$F$7=1),(-2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NA())</f>
        <v/>
      </c>
      <c r="P38" s="9">
        <f>IF(OR(Inputs!$F$8=TRUE,Inputs!$F$8="TRUE",Inputs!$F$8=1),(-2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NA())</f>
        <v/>
      </c>
      <c r="Q38" s="9">
        <f>IF(OR(Inputs!$F$9=TRUE,Inputs!$F$9="TRUE",Inputs!$F$9=1),(-2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NA())</f>
        <v/>
      </c>
      <c r="R38" s="10" t="n"/>
      <c r="S38" s="9">
        <f>A38</f>
        <v/>
      </c>
      <c r="T38" s="9">
        <f>(Inputs!$I$6+(((A38)+1)/2)*(Inputs!$J$6-Inputs!$I$6))</f>
        <v/>
      </c>
      <c r="U38" s="9">
        <f>(Inputs!$I$7+(((A38)+1)/2)*(Inputs!$J$7-Inputs!$I$7))</f>
        <v/>
      </c>
      <c r="V38" s="9">
        <f>(Inputs!$I$8+(((A38)+1)/2)*(Inputs!$J$8-Inputs!$I$8))</f>
        <v/>
      </c>
      <c r="W38" s="9">
        <f>(Inputs!$I$9+(((A38)+1)/2)*(Inputs!$J$9-Inputs!$I$9))</f>
        <v/>
      </c>
      <c r="X38" s="10" t="n"/>
      <c r="Y38" s="9">
        <f>A38</f>
        <v/>
      </c>
      <c r="Z38" s="9">
        <f>(Inputs!$H$6+Inputs!$L$6*(((Inputs!$I$6+(((A38)+1)/2)*(Inputs!$J$6-Inputs!$I$6)))/Inputs!$K$6)^2)</f>
        <v/>
      </c>
      <c r="AA38" s="9">
        <f>(Inputs!$H$7+Inputs!$L$7*(((Inputs!$I$7+(((A38)+1)/2)*(Inputs!$J$7-Inputs!$I$7)))/Inputs!$K$7)^2)</f>
        <v/>
      </c>
      <c r="AB38" s="9">
        <f>(Inputs!$H$8+Inputs!$L$8*(((Inputs!$I$8+(((A38)+1)/2)*(Inputs!$J$8-Inputs!$I$8)))/Inputs!$K$8)^2)</f>
        <v/>
      </c>
      <c r="AC38" s="9">
        <f>(Inputs!$H$9+Inputs!$L$9*(((Inputs!$I$9+(((A38)+1)/2)*(Inputs!$J$9-Inputs!$I$9)))/Inputs!$K$9)^2)</f>
        <v/>
      </c>
      <c r="AD38" s="10" t="n"/>
      <c r="AE38" s="9">
        <f>A38</f>
        <v/>
      </c>
      <c r="AF38" s="9">
        <f>(((SQRT((Inputs!$C$52+((Inputs!$H$6+Inputs!$L$6*(((Inputs!$I$6+(((A38)+1)/2)*(Inputs!$J$6-Inputs!$I$6)))/Inputs!$K$6)^2)))^2+Inputs!$C$52^2-2*(Inputs!$C$52+((Inputs!$H$6+Inputs!$L$6*(((Inputs!$I$6+(((A38)+1)/2)*(Inputs!$J$6-Inputs!$I$6)))/Inputs!$K$6)^2)))*Inputs!$C$52*COS(SQRT(((Inputs!$I$6+(((A38)+1)/2)*(Inputs!$J$6-Inputs!$I$6)))^2+Inputs!$C$6^2)/Inputs!$C$52)))-((Inputs!$H$6+Inputs!$L$6*(((Inputs!$I$6+(((A38)+1)/2)*(Inputs!$J$6-Inputs!$I$6)))/Inputs!$K$6)^2)))*1000/Inputs!$C$12)</f>
        <v/>
      </c>
      <c r="AG38" s="9">
        <f>(((SQRT((Inputs!$C$52+((Inputs!$H$7+Inputs!$L$7*(((Inputs!$I$7+(((A38)+1)/2)*(Inputs!$J$7-Inputs!$I$7)))/Inputs!$K$7)^2)))^2+Inputs!$C$52^2-2*(Inputs!$C$52+((Inputs!$H$7+Inputs!$L$7*(((Inputs!$I$7+(((A38)+1)/2)*(Inputs!$J$7-Inputs!$I$7)))/Inputs!$K$7)^2)))*Inputs!$C$52*COS(SQRT(((Inputs!$I$7+(((A38)+1)/2)*(Inputs!$J$7-Inputs!$I$7)))^2+Inputs!$C$6^2)/Inputs!$C$52)))-((Inputs!$H$7+Inputs!$L$7*(((Inputs!$I$7+(((A38)+1)/2)*(Inputs!$J$7-Inputs!$I$7)))/Inputs!$K$7)^2)))*1000/Inputs!$C$12)</f>
        <v/>
      </c>
      <c r="AH38" s="9">
        <f>(((SQRT((Inputs!$C$52+((Inputs!$H$8+Inputs!$L$8*(((Inputs!$I$8+(((A38)+1)/2)*(Inputs!$J$8-Inputs!$I$8)))/Inputs!$K$8)^2)))^2+Inputs!$C$52^2-2*(Inputs!$C$52+((Inputs!$H$8+Inputs!$L$8*(((Inputs!$I$8+(((A38)+1)/2)*(Inputs!$J$8-Inputs!$I$8)))/Inputs!$K$8)^2)))*Inputs!$C$52*COS(SQRT(((Inputs!$I$8+(((A38)+1)/2)*(Inputs!$J$8-Inputs!$I$8)))^2+Inputs!$C$6^2)/Inputs!$C$52)))-((Inputs!$H$8+Inputs!$L$8*(((Inputs!$I$8+(((A38)+1)/2)*(Inputs!$J$8-Inputs!$I$8)))/Inputs!$K$8)^2)))*1000/Inputs!$C$12)</f>
        <v/>
      </c>
      <c r="AI38" s="9">
        <f>(((SQRT((Inputs!$C$52+((Inputs!$H$9+Inputs!$L$9*(((Inputs!$I$9+(((A38)+1)/2)*(Inputs!$J$9-Inputs!$I$9)))/Inputs!$K$9)^2)))^2+Inputs!$C$52^2-2*(Inputs!$C$52+((Inputs!$H$9+Inputs!$L$9*(((Inputs!$I$9+(((A38)+1)/2)*(Inputs!$J$9-Inputs!$I$9)))/Inputs!$K$9)^2)))*Inputs!$C$52*COS(SQRT(((Inputs!$I$9+(((A38)+1)/2)*(Inputs!$J$9-Inputs!$I$9)))^2+Inputs!$C$6^2)/Inputs!$C$52)))-((Inputs!$H$9+Inputs!$L$9*(((Inputs!$I$9+(((A38)+1)/2)*(Inputs!$J$9-Inputs!$I$9)))/Inputs!$K$9)^2)))*1000/Inputs!$C$12)</f>
        <v/>
      </c>
      <c r="AJ38" s="10" t="n"/>
      <c r="AK38" s="9">
        <f>A38</f>
        <v/>
      </c>
      <c r="AL38" s="9">
        <f>(-2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f>
        <v/>
      </c>
      <c r="AM38" s="9">
        <f>(-2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f>
        <v/>
      </c>
      <c r="AN38" s="9">
        <f>(-2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f>
        <v/>
      </c>
      <c r="AO38" s="9">
        <f>(-2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f>
        <v/>
      </c>
      <c r="AP38" s="10" t="n"/>
      <c r="AQ38" s="9">
        <f>A38</f>
        <v/>
      </c>
      <c r="AR38" s="9">
        <f>0</f>
        <v/>
      </c>
      <c r="AS38" s="9">
        <f>IF(OR(Inputs!$F$6=TRUE,Inputs!$F$6="TRUE",Inputs!$F$6=1),IF(OR(Inputs!$C$27=TRUE,Inputs!$C$27="TRUE",Inputs!$C$27=1),1,0)*(Inputs!$C$51*(115*EXP(-(((Inputs!$C$6)-25)^2)/(4.5^2))+70*EXP(-(((Inputs!$C$6)+38)^2)/(7^2))*(0.55+0.45*SIN(2*PI()*((Inputs!$I$6+(((A38)+1)/2)*(Inputs!$J$6-Inputs!$I$6)))/45))+24*SIN(2*PI()*(Inputs!$C$6)/9+((Inputs!$I$6+(((A38)+1)/2)*(Inputs!$J$6-Inputs!$I$6)))/18)*EXP(-(((Inputs!$C$6)+5)^2)/(22^2))+18*SIN(2*PI()*((Inputs!$I$6+(((A38)+1)/2)*(Inputs!$J$6-Inputs!$I$6)))/70))+Inputs!$C$28*EXP(-((((Inputs!$I$6+(((A38)+1)/2)*(Inputs!$J$6-Inputs!$I$6)))-Inputs!$C$29)^2)/(2*Inputs!$C$31^2))*EXP(-(((Inputs!$C$6)-Inputs!$C$30)^2)/(2*Inputs!$C$32^2))+-Inputs!$C$33*EXP(-((((((Inputs!$I$6+(((A38)+1)/2)*(Inputs!$J$6-Inputs!$I$6)))-Inputs!$C$34)^2)+(((Inputs!$C$6)-Inputs!$C$35)^2))/(2*Inputs!$C$36^2)))+Inputs!$C$37*(0.55*SIN(2*PI()*((Inputs!$I$6+(((A38)+1)/2)*(Inputs!$J$6-Inputs!$I$6)))/Inputs!$C$39)+0.35*COS(2*PI()*(Inputs!$C$6)/Inputs!$C$40)+0.2*SIN(2*PI()*(((Inputs!$I$6+(((A38)+1)/2)*(Inputs!$J$6-Inputs!$I$6)))+(Inputs!$C$6))/(0.5*(Inputs!$C$39+Inputs!$C$40))))+Inputs!$C$38*SIN(2*PI()*((Inputs!$I$6+(((A38)+1)/2)*(Inputs!$J$6-Inputs!$I$6)))/Inputs!$C$39)*SIN(2*PI()*(Inputs!$C$6)/Inputs!$C$40)+-Inputs!$C$41*EXP(-(((Inputs!$C$6)-Inputs!$C$43)^2)/(2*Inputs!$C$44^2))*EXP(-((((Inputs!$I$6+(((A38)+1)/2)*(Inputs!$J$6-Inputs!$I$6)))-Inputs!$C$42)^2)/(2*Inputs!$C$45^2))+Inputs!$C$48*(0.7*(0.45*SIN(2*PI()*((((Inputs!$I$6+(((A38)+1)/2)*(Inputs!$J$6-Inputs!$I$6)))/Inputs!$C$49)+Inputs!$C$47*0.137))+0.35*COS(2*PI()*(((Inputs!$C$6)/Inputs!$C$50)+Inputs!$C$47*0.173))+0.2*SIN(2*PI()*((((Inputs!$I$6+(((A38)+1)/2)*(Inputs!$J$6-Inputs!$I$6)))+(Inputs!$C$6))/(0.5*(Inputs!$C$49+Inputs!$C$50))+Inputs!$C$47*0.097)))+0.3*(2*((SIN((((Inputs!$I$6+(((A38)+1)/2)*(Inputs!$J$6-Inputs!$I$6)))*12.9898+(Inputs!$C$6)*78.233+Inputs!$C$47*37.719))*43758.5453)-INT((SIN((((Inputs!$I$6+(((A38)+1)/2)*(Inputs!$J$6-Inputs!$I$6)))*12.9898+(Inputs!$C$6)*78.233+Inputs!$C$47*37.719))*43758.5453)))-1))),NA())</f>
        <v/>
      </c>
      <c r="AT38" s="9">
        <f>IF(OR(Inputs!$F$7=TRUE,Inputs!$F$7="TRUE",Inputs!$F$7=1),IF(OR(Inputs!$C$27=TRUE,Inputs!$C$27="TRUE",Inputs!$C$27=1),1,0)*(Inputs!$C$51*(115*EXP(-(((Inputs!$C$6)-25)^2)/(4.5^2))+70*EXP(-(((Inputs!$C$6)+38)^2)/(7^2))*(0.55+0.45*SIN(2*PI()*((Inputs!$I$7+(((A38)+1)/2)*(Inputs!$J$7-Inputs!$I$7)))/45))+24*SIN(2*PI()*(Inputs!$C$6)/9+((Inputs!$I$7+(((A38)+1)/2)*(Inputs!$J$7-Inputs!$I$7)))/18)*EXP(-(((Inputs!$C$6)+5)^2)/(22^2))+18*SIN(2*PI()*((Inputs!$I$7+(((A38)+1)/2)*(Inputs!$J$7-Inputs!$I$7)))/70))+Inputs!$C$28*EXP(-((((Inputs!$I$7+(((A38)+1)/2)*(Inputs!$J$7-Inputs!$I$7)))-Inputs!$C$29)^2)/(2*Inputs!$C$31^2))*EXP(-(((Inputs!$C$6)-Inputs!$C$30)^2)/(2*Inputs!$C$32^2))+-Inputs!$C$33*EXP(-((((((Inputs!$I$7+(((A38)+1)/2)*(Inputs!$J$7-Inputs!$I$7)))-Inputs!$C$34)^2)+(((Inputs!$C$6)-Inputs!$C$35)^2))/(2*Inputs!$C$36^2)))+Inputs!$C$37*(0.55*SIN(2*PI()*((Inputs!$I$7+(((A38)+1)/2)*(Inputs!$J$7-Inputs!$I$7)))/Inputs!$C$39)+0.35*COS(2*PI()*(Inputs!$C$6)/Inputs!$C$40)+0.2*SIN(2*PI()*(((Inputs!$I$7+(((A38)+1)/2)*(Inputs!$J$7-Inputs!$I$7)))+(Inputs!$C$6))/(0.5*(Inputs!$C$39+Inputs!$C$40))))+Inputs!$C$38*SIN(2*PI()*((Inputs!$I$7+(((A38)+1)/2)*(Inputs!$J$7-Inputs!$I$7)))/Inputs!$C$39)*SIN(2*PI()*(Inputs!$C$6)/Inputs!$C$40)+-Inputs!$C$41*EXP(-(((Inputs!$C$6)-Inputs!$C$43)^2)/(2*Inputs!$C$44^2))*EXP(-((((Inputs!$I$7+(((A38)+1)/2)*(Inputs!$J$7-Inputs!$I$7)))-Inputs!$C$42)^2)/(2*Inputs!$C$45^2))+Inputs!$C$48*(0.7*(0.45*SIN(2*PI()*((((Inputs!$I$7+(((A38)+1)/2)*(Inputs!$J$7-Inputs!$I$7)))/Inputs!$C$49)+Inputs!$C$47*0.137))+0.35*COS(2*PI()*(((Inputs!$C$6)/Inputs!$C$50)+Inputs!$C$47*0.173))+0.2*SIN(2*PI()*((((Inputs!$I$7+(((A38)+1)/2)*(Inputs!$J$7-Inputs!$I$7)))+(Inputs!$C$6))/(0.5*(Inputs!$C$49+Inputs!$C$50))+Inputs!$C$47*0.097)))+0.3*(2*((SIN((((Inputs!$I$7+(((A38)+1)/2)*(Inputs!$J$7-Inputs!$I$7)))*12.9898+(Inputs!$C$6)*78.233+Inputs!$C$47*37.719))*43758.5453)-INT((SIN((((Inputs!$I$7+(((A38)+1)/2)*(Inputs!$J$7-Inputs!$I$7)))*12.9898+(Inputs!$C$6)*78.233+Inputs!$C$47*37.719))*43758.5453)))-1))),NA())</f>
        <v/>
      </c>
      <c r="AU38" s="9">
        <f>IF(OR(Inputs!$F$8=TRUE,Inputs!$F$8="TRUE",Inputs!$F$8=1),IF(OR(Inputs!$C$27=TRUE,Inputs!$C$27="TRUE",Inputs!$C$27=1),1,0)*(Inputs!$C$51*(115*EXP(-(((Inputs!$C$6)-25)^2)/(4.5^2))+70*EXP(-(((Inputs!$C$6)+38)^2)/(7^2))*(0.55+0.45*SIN(2*PI()*((Inputs!$I$8+(((A38)+1)/2)*(Inputs!$J$8-Inputs!$I$8)))/45))+24*SIN(2*PI()*(Inputs!$C$6)/9+((Inputs!$I$8+(((A38)+1)/2)*(Inputs!$J$8-Inputs!$I$8)))/18)*EXP(-(((Inputs!$C$6)+5)^2)/(22^2))+18*SIN(2*PI()*((Inputs!$I$8+(((A38)+1)/2)*(Inputs!$J$8-Inputs!$I$8)))/70))+Inputs!$C$28*EXP(-((((Inputs!$I$8+(((A38)+1)/2)*(Inputs!$J$8-Inputs!$I$8)))-Inputs!$C$29)^2)/(2*Inputs!$C$31^2))*EXP(-(((Inputs!$C$6)-Inputs!$C$30)^2)/(2*Inputs!$C$32^2))+-Inputs!$C$33*EXP(-((((((Inputs!$I$8+(((A38)+1)/2)*(Inputs!$J$8-Inputs!$I$8)))-Inputs!$C$34)^2)+(((Inputs!$C$6)-Inputs!$C$35)^2))/(2*Inputs!$C$36^2)))+Inputs!$C$37*(0.55*SIN(2*PI()*((Inputs!$I$8+(((A38)+1)/2)*(Inputs!$J$8-Inputs!$I$8)))/Inputs!$C$39)+0.35*COS(2*PI()*(Inputs!$C$6)/Inputs!$C$40)+0.2*SIN(2*PI()*(((Inputs!$I$8+(((A38)+1)/2)*(Inputs!$J$8-Inputs!$I$8)))+(Inputs!$C$6))/(0.5*(Inputs!$C$39+Inputs!$C$40))))+Inputs!$C$38*SIN(2*PI()*((Inputs!$I$8+(((A38)+1)/2)*(Inputs!$J$8-Inputs!$I$8)))/Inputs!$C$39)*SIN(2*PI()*(Inputs!$C$6)/Inputs!$C$40)+-Inputs!$C$41*EXP(-(((Inputs!$C$6)-Inputs!$C$43)^2)/(2*Inputs!$C$44^2))*EXP(-((((Inputs!$I$8+(((A38)+1)/2)*(Inputs!$J$8-Inputs!$I$8)))-Inputs!$C$42)^2)/(2*Inputs!$C$45^2))+Inputs!$C$48*(0.7*(0.45*SIN(2*PI()*((((Inputs!$I$8+(((A38)+1)/2)*(Inputs!$J$8-Inputs!$I$8)))/Inputs!$C$49)+Inputs!$C$47*0.137))+0.35*COS(2*PI()*(((Inputs!$C$6)/Inputs!$C$50)+Inputs!$C$47*0.173))+0.2*SIN(2*PI()*((((Inputs!$I$8+(((A38)+1)/2)*(Inputs!$J$8-Inputs!$I$8)))+(Inputs!$C$6))/(0.5*(Inputs!$C$49+Inputs!$C$50))+Inputs!$C$47*0.097)))+0.3*(2*((SIN((((Inputs!$I$8+(((A38)+1)/2)*(Inputs!$J$8-Inputs!$I$8)))*12.9898+(Inputs!$C$6)*78.233+Inputs!$C$47*37.719))*43758.5453)-INT((SIN((((Inputs!$I$8+(((A38)+1)/2)*(Inputs!$J$8-Inputs!$I$8)))*12.9898+(Inputs!$C$6)*78.233+Inputs!$C$47*37.719))*43758.5453)))-1))),NA())</f>
        <v/>
      </c>
      <c r="AV38" s="9">
        <f>IF(OR(Inputs!$F$9=TRUE,Inputs!$F$9="TRUE",Inputs!$F$9=1),IF(OR(Inputs!$C$27=TRUE,Inputs!$C$27="TRUE",Inputs!$C$27=1),1,0)*(Inputs!$C$51*(115*EXP(-(((Inputs!$C$6)-25)^2)/(4.5^2))+70*EXP(-(((Inputs!$C$6)+38)^2)/(7^2))*(0.55+0.45*SIN(2*PI()*((Inputs!$I$9+(((A38)+1)/2)*(Inputs!$J$9-Inputs!$I$9)))/45))+24*SIN(2*PI()*(Inputs!$C$6)/9+((Inputs!$I$9+(((A38)+1)/2)*(Inputs!$J$9-Inputs!$I$9)))/18)*EXP(-(((Inputs!$C$6)+5)^2)/(22^2))+18*SIN(2*PI()*((Inputs!$I$9+(((A38)+1)/2)*(Inputs!$J$9-Inputs!$I$9)))/70))+Inputs!$C$28*EXP(-((((Inputs!$I$9+(((A38)+1)/2)*(Inputs!$J$9-Inputs!$I$9)))-Inputs!$C$29)^2)/(2*Inputs!$C$31^2))*EXP(-(((Inputs!$C$6)-Inputs!$C$30)^2)/(2*Inputs!$C$32^2))+-Inputs!$C$33*EXP(-((((((Inputs!$I$9+(((A38)+1)/2)*(Inputs!$J$9-Inputs!$I$9)))-Inputs!$C$34)^2)+(((Inputs!$C$6)-Inputs!$C$35)^2))/(2*Inputs!$C$36^2)))+Inputs!$C$37*(0.55*SIN(2*PI()*((Inputs!$I$9+(((A38)+1)/2)*(Inputs!$J$9-Inputs!$I$9)))/Inputs!$C$39)+0.35*COS(2*PI()*(Inputs!$C$6)/Inputs!$C$40)+0.2*SIN(2*PI()*(((Inputs!$I$9+(((A38)+1)/2)*(Inputs!$J$9-Inputs!$I$9)))+(Inputs!$C$6))/(0.5*(Inputs!$C$39+Inputs!$C$40))))+Inputs!$C$38*SIN(2*PI()*((Inputs!$I$9+(((A38)+1)/2)*(Inputs!$J$9-Inputs!$I$9)))/Inputs!$C$39)*SIN(2*PI()*(Inputs!$C$6)/Inputs!$C$40)+-Inputs!$C$41*EXP(-(((Inputs!$C$6)-Inputs!$C$43)^2)/(2*Inputs!$C$44^2))*EXP(-((((Inputs!$I$9+(((A38)+1)/2)*(Inputs!$J$9-Inputs!$I$9)))-Inputs!$C$42)^2)/(2*Inputs!$C$45^2))+Inputs!$C$48*(0.7*(0.45*SIN(2*PI()*((((Inputs!$I$9+(((A38)+1)/2)*(Inputs!$J$9-Inputs!$I$9)))/Inputs!$C$49)+Inputs!$C$47*0.137))+0.35*COS(2*PI()*(((Inputs!$C$6)/Inputs!$C$50)+Inputs!$C$47*0.173))+0.2*SIN(2*PI()*((((Inputs!$I$9+(((A38)+1)/2)*(Inputs!$J$9-Inputs!$I$9)))+(Inputs!$C$6))/(0.5*(Inputs!$C$49+Inputs!$C$50))+Inputs!$C$47*0.097)))+0.3*(2*((SIN((((Inputs!$I$9+(((A38)+1)/2)*(Inputs!$J$9-Inputs!$I$9)))*12.9898+(Inputs!$C$6)*78.233+Inputs!$C$47*37.719))*43758.5453)-INT((SIN((((Inputs!$I$9+(((A38)+1)/2)*(Inputs!$J$9-Inputs!$I$9)))*12.9898+(Inputs!$C$6)*78.233+Inputs!$C$47*37.719))*43758.5453)))-1))),NA())</f>
        <v/>
      </c>
      <c r="AW38" s="10" t="n"/>
      <c r="AX38" s="9">
        <f>A38</f>
        <v/>
      </c>
      <c r="AY38" s="9">
        <f>0</f>
        <v/>
      </c>
      <c r="AZ38" s="9">
        <f>IF(OR(Inputs!$F$6=TRUE,Inputs!$F$6="TRUE",Inputs!$F$6=1),(Inputs!$H$6+Inputs!$L$6*(((Inputs!$I$6+(((A38)+1)/2)*(Inputs!$J$6-Inputs!$I$6)))/Inputs!$K$6)^2),NA())</f>
        <v/>
      </c>
      <c r="BA38" s="9">
        <f>IF(OR(Inputs!$F$7=TRUE,Inputs!$F$7="TRUE",Inputs!$F$7=1),(Inputs!$H$7+Inputs!$L$7*(((Inputs!$I$7+(((A38)+1)/2)*(Inputs!$J$7-Inputs!$I$7)))/Inputs!$K$7)^2),NA())</f>
        <v/>
      </c>
      <c r="BB38" s="9">
        <f>IF(OR(Inputs!$F$8=TRUE,Inputs!$F$8="TRUE",Inputs!$F$8=1),(Inputs!$H$8+Inputs!$L$8*(((Inputs!$I$8+(((A38)+1)/2)*(Inputs!$J$8-Inputs!$I$8)))/Inputs!$K$8)^2),NA())</f>
        <v/>
      </c>
      <c r="BC38" s="9">
        <f>IF(OR(Inputs!$F$9=TRUE,Inputs!$F$9="TRUE",Inputs!$F$9=1),(Inputs!$H$9+Inputs!$L$9*(((Inputs!$I$9+(((A38)+1)/2)*(Inputs!$J$9-Inputs!$I$9)))/Inputs!$K$9)^2),NA())</f>
        <v/>
      </c>
      <c r="BD38" s="10" t="n"/>
      <c r="BE38" s="9">
        <f>A38</f>
        <v/>
      </c>
      <c r="BF38" s="9">
        <f>0</f>
        <v/>
      </c>
      <c r="BG38" s="9">
        <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f>
        <v/>
      </c>
      <c r="BH38" s="9">
        <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f>
        <v/>
      </c>
      <c r="BI38" s="9">
        <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f>
        <v/>
      </c>
      <c r="BJ38" s="9">
        <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f>
        <v/>
      </c>
    </row>
    <row r="39">
      <c r="A39" s="9">
        <f>ROUND(-1+37*2/240,3)</f>
        <v/>
      </c>
      <c r="B39" s="9">
        <f>IF(OR(Inputs!$F$6=TRUE,Inputs!$F$6="TRUE",Inputs!$F$6=1),(Inputs!$H$6+Inputs!$L$6*(((Inputs!$I$6+(((A39)+1)/2)*(Inputs!$J$6-Inputs!$I$6)))/Inputs!$K$6)^2),NA())</f>
        <v/>
      </c>
      <c r="C39" s="9">
        <f>IF(OR(Inputs!$F$7=TRUE,Inputs!$F$7="TRUE",Inputs!$F$7=1),(Inputs!$H$7+Inputs!$L$7*(((Inputs!$I$7+(((A39)+1)/2)*(Inputs!$J$7-Inputs!$I$7)))/Inputs!$K$7)^2),NA())</f>
        <v/>
      </c>
      <c r="D39" s="9">
        <f>IF(OR(Inputs!$F$8=TRUE,Inputs!$F$8="TRUE",Inputs!$F$8=1),(Inputs!$H$8+Inputs!$L$8*(((Inputs!$I$8+(((A39)+1)/2)*(Inputs!$J$8-Inputs!$I$8)))/Inputs!$K$8)^2),NA())</f>
        <v/>
      </c>
      <c r="E39" s="9">
        <f>IF(OR(Inputs!$F$9=TRUE,Inputs!$F$9="TRUE",Inputs!$F$9=1),(Inputs!$H$9+Inputs!$L$9*(((Inputs!$I$9+(((A39)+1)/2)*(Inputs!$J$9-Inputs!$I$9)))/Inputs!$K$9)^2),NA())</f>
        <v/>
      </c>
      <c r="F39" s="10" t="n"/>
      <c r="G39" s="9">
        <f>A39</f>
        <v/>
      </c>
      <c r="H39" s="9">
        <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f>
        <v/>
      </c>
      <c r="I39" s="9">
        <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f>
        <v/>
      </c>
      <c r="J39" s="9">
        <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f>
        <v/>
      </c>
      <c r="K39" s="9">
        <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f>
        <v/>
      </c>
      <c r="L39" s="10" t="n"/>
      <c r="M39" s="9">
        <f>A39</f>
        <v/>
      </c>
      <c r="N39" s="9">
        <f>IF(OR(Inputs!$F$6=TRUE,Inputs!$F$6="TRUE",Inputs!$F$6=1),(-2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NA())</f>
        <v/>
      </c>
      <c r="O39" s="9">
        <f>IF(OR(Inputs!$F$7=TRUE,Inputs!$F$7="TRUE",Inputs!$F$7=1),(-2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NA())</f>
        <v/>
      </c>
      <c r="P39" s="9">
        <f>IF(OR(Inputs!$F$8=TRUE,Inputs!$F$8="TRUE",Inputs!$F$8=1),(-2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NA())</f>
        <v/>
      </c>
      <c r="Q39" s="9">
        <f>IF(OR(Inputs!$F$9=TRUE,Inputs!$F$9="TRUE",Inputs!$F$9=1),(-2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NA())</f>
        <v/>
      </c>
      <c r="R39" s="10" t="n"/>
      <c r="S39" s="9">
        <f>A39</f>
        <v/>
      </c>
      <c r="T39" s="9">
        <f>(Inputs!$I$6+(((A39)+1)/2)*(Inputs!$J$6-Inputs!$I$6))</f>
        <v/>
      </c>
      <c r="U39" s="9">
        <f>(Inputs!$I$7+(((A39)+1)/2)*(Inputs!$J$7-Inputs!$I$7))</f>
        <v/>
      </c>
      <c r="V39" s="9">
        <f>(Inputs!$I$8+(((A39)+1)/2)*(Inputs!$J$8-Inputs!$I$8))</f>
        <v/>
      </c>
      <c r="W39" s="9">
        <f>(Inputs!$I$9+(((A39)+1)/2)*(Inputs!$J$9-Inputs!$I$9))</f>
        <v/>
      </c>
      <c r="X39" s="10" t="n"/>
      <c r="Y39" s="9">
        <f>A39</f>
        <v/>
      </c>
      <c r="Z39" s="9">
        <f>(Inputs!$H$6+Inputs!$L$6*(((Inputs!$I$6+(((A39)+1)/2)*(Inputs!$J$6-Inputs!$I$6)))/Inputs!$K$6)^2)</f>
        <v/>
      </c>
      <c r="AA39" s="9">
        <f>(Inputs!$H$7+Inputs!$L$7*(((Inputs!$I$7+(((A39)+1)/2)*(Inputs!$J$7-Inputs!$I$7)))/Inputs!$K$7)^2)</f>
        <v/>
      </c>
      <c r="AB39" s="9">
        <f>(Inputs!$H$8+Inputs!$L$8*(((Inputs!$I$8+(((A39)+1)/2)*(Inputs!$J$8-Inputs!$I$8)))/Inputs!$K$8)^2)</f>
        <v/>
      </c>
      <c r="AC39" s="9">
        <f>(Inputs!$H$9+Inputs!$L$9*(((Inputs!$I$9+(((A39)+1)/2)*(Inputs!$J$9-Inputs!$I$9)))/Inputs!$K$9)^2)</f>
        <v/>
      </c>
      <c r="AD39" s="10" t="n"/>
      <c r="AE39" s="9">
        <f>A39</f>
        <v/>
      </c>
      <c r="AF39" s="9">
        <f>(((SQRT((Inputs!$C$52+((Inputs!$H$6+Inputs!$L$6*(((Inputs!$I$6+(((A39)+1)/2)*(Inputs!$J$6-Inputs!$I$6)))/Inputs!$K$6)^2)))^2+Inputs!$C$52^2-2*(Inputs!$C$52+((Inputs!$H$6+Inputs!$L$6*(((Inputs!$I$6+(((A39)+1)/2)*(Inputs!$J$6-Inputs!$I$6)))/Inputs!$K$6)^2)))*Inputs!$C$52*COS(SQRT(((Inputs!$I$6+(((A39)+1)/2)*(Inputs!$J$6-Inputs!$I$6)))^2+Inputs!$C$6^2)/Inputs!$C$52)))-((Inputs!$H$6+Inputs!$L$6*(((Inputs!$I$6+(((A39)+1)/2)*(Inputs!$J$6-Inputs!$I$6)))/Inputs!$K$6)^2)))*1000/Inputs!$C$12)</f>
        <v/>
      </c>
      <c r="AG39" s="9">
        <f>(((SQRT((Inputs!$C$52+((Inputs!$H$7+Inputs!$L$7*(((Inputs!$I$7+(((A39)+1)/2)*(Inputs!$J$7-Inputs!$I$7)))/Inputs!$K$7)^2)))^2+Inputs!$C$52^2-2*(Inputs!$C$52+((Inputs!$H$7+Inputs!$L$7*(((Inputs!$I$7+(((A39)+1)/2)*(Inputs!$J$7-Inputs!$I$7)))/Inputs!$K$7)^2)))*Inputs!$C$52*COS(SQRT(((Inputs!$I$7+(((A39)+1)/2)*(Inputs!$J$7-Inputs!$I$7)))^2+Inputs!$C$6^2)/Inputs!$C$52)))-((Inputs!$H$7+Inputs!$L$7*(((Inputs!$I$7+(((A39)+1)/2)*(Inputs!$J$7-Inputs!$I$7)))/Inputs!$K$7)^2)))*1000/Inputs!$C$12)</f>
        <v/>
      </c>
      <c r="AH39" s="9">
        <f>(((SQRT((Inputs!$C$52+((Inputs!$H$8+Inputs!$L$8*(((Inputs!$I$8+(((A39)+1)/2)*(Inputs!$J$8-Inputs!$I$8)))/Inputs!$K$8)^2)))^2+Inputs!$C$52^2-2*(Inputs!$C$52+((Inputs!$H$8+Inputs!$L$8*(((Inputs!$I$8+(((A39)+1)/2)*(Inputs!$J$8-Inputs!$I$8)))/Inputs!$K$8)^2)))*Inputs!$C$52*COS(SQRT(((Inputs!$I$8+(((A39)+1)/2)*(Inputs!$J$8-Inputs!$I$8)))^2+Inputs!$C$6^2)/Inputs!$C$52)))-((Inputs!$H$8+Inputs!$L$8*(((Inputs!$I$8+(((A39)+1)/2)*(Inputs!$J$8-Inputs!$I$8)))/Inputs!$K$8)^2)))*1000/Inputs!$C$12)</f>
        <v/>
      </c>
      <c r="AI39" s="9">
        <f>(((SQRT((Inputs!$C$52+((Inputs!$H$9+Inputs!$L$9*(((Inputs!$I$9+(((A39)+1)/2)*(Inputs!$J$9-Inputs!$I$9)))/Inputs!$K$9)^2)))^2+Inputs!$C$52^2-2*(Inputs!$C$52+((Inputs!$H$9+Inputs!$L$9*(((Inputs!$I$9+(((A39)+1)/2)*(Inputs!$J$9-Inputs!$I$9)))/Inputs!$K$9)^2)))*Inputs!$C$52*COS(SQRT(((Inputs!$I$9+(((A39)+1)/2)*(Inputs!$J$9-Inputs!$I$9)))^2+Inputs!$C$6^2)/Inputs!$C$52)))-((Inputs!$H$9+Inputs!$L$9*(((Inputs!$I$9+(((A39)+1)/2)*(Inputs!$J$9-Inputs!$I$9)))/Inputs!$K$9)^2)))*1000/Inputs!$C$12)</f>
        <v/>
      </c>
      <c r="AJ39" s="10" t="n"/>
      <c r="AK39" s="9">
        <f>A39</f>
        <v/>
      </c>
      <c r="AL39" s="9">
        <f>(-2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f>
        <v/>
      </c>
      <c r="AM39" s="9">
        <f>(-2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f>
        <v/>
      </c>
      <c r="AN39" s="9">
        <f>(-2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f>
        <v/>
      </c>
      <c r="AO39" s="9">
        <f>(-2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f>
        <v/>
      </c>
      <c r="AP39" s="10" t="n"/>
      <c r="AQ39" s="9">
        <f>A39</f>
        <v/>
      </c>
      <c r="AR39" s="9">
        <f>0</f>
        <v/>
      </c>
      <c r="AS39" s="9">
        <f>IF(OR(Inputs!$F$6=TRUE,Inputs!$F$6="TRUE",Inputs!$F$6=1),IF(OR(Inputs!$C$27=TRUE,Inputs!$C$27="TRUE",Inputs!$C$27=1),1,0)*(Inputs!$C$51*(115*EXP(-(((Inputs!$C$6)-25)^2)/(4.5^2))+70*EXP(-(((Inputs!$C$6)+38)^2)/(7^2))*(0.55+0.45*SIN(2*PI()*((Inputs!$I$6+(((A39)+1)/2)*(Inputs!$J$6-Inputs!$I$6)))/45))+24*SIN(2*PI()*(Inputs!$C$6)/9+((Inputs!$I$6+(((A39)+1)/2)*(Inputs!$J$6-Inputs!$I$6)))/18)*EXP(-(((Inputs!$C$6)+5)^2)/(22^2))+18*SIN(2*PI()*((Inputs!$I$6+(((A39)+1)/2)*(Inputs!$J$6-Inputs!$I$6)))/70))+Inputs!$C$28*EXP(-((((Inputs!$I$6+(((A39)+1)/2)*(Inputs!$J$6-Inputs!$I$6)))-Inputs!$C$29)^2)/(2*Inputs!$C$31^2))*EXP(-(((Inputs!$C$6)-Inputs!$C$30)^2)/(2*Inputs!$C$32^2))+-Inputs!$C$33*EXP(-((((((Inputs!$I$6+(((A39)+1)/2)*(Inputs!$J$6-Inputs!$I$6)))-Inputs!$C$34)^2)+(((Inputs!$C$6)-Inputs!$C$35)^2))/(2*Inputs!$C$36^2)))+Inputs!$C$37*(0.55*SIN(2*PI()*((Inputs!$I$6+(((A39)+1)/2)*(Inputs!$J$6-Inputs!$I$6)))/Inputs!$C$39)+0.35*COS(2*PI()*(Inputs!$C$6)/Inputs!$C$40)+0.2*SIN(2*PI()*(((Inputs!$I$6+(((A39)+1)/2)*(Inputs!$J$6-Inputs!$I$6)))+(Inputs!$C$6))/(0.5*(Inputs!$C$39+Inputs!$C$40))))+Inputs!$C$38*SIN(2*PI()*((Inputs!$I$6+(((A39)+1)/2)*(Inputs!$J$6-Inputs!$I$6)))/Inputs!$C$39)*SIN(2*PI()*(Inputs!$C$6)/Inputs!$C$40)+-Inputs!$C$41*EXP(-(((Inputs!$C$6)-Inputs!$C$43)^2)/(2*Inputs!$C$44^2))*EXP(-((((Inputs!$I$6+(((A39)+1)/2)*(Inputs!$J$6-Inputs!$I$6)))-Inputs!$C$42)^2)/(2*Inputs!$C$45^2))+Inputs!$C$48*(0.7*(0.45*SIN(2*PI()*((((Inputs!$I$6+(((A39)+1)/2)*(Inputs!$J$6-Inputs!$I$6)))/Inputs!$C$49)+Inputs!$C$47*0.137))+0.35*COS(2*PI()*(((Inputs!$C$6)/Inputs!$C$50)+Inputs!$C$47*0.173))+0.2*SIN(2*PI()*((((Inputs!$I$6+(((A39)+1)/2)*(Inputs!$J$6-Inputs!$I$6)))+(Inputs!$C$6))/(0.5*(Inputs!$C$49+Inputs!$C$50))+Inputs!$C$47*0.097)))+0.3*(2*((SIN((((Inputs!$I$6+(((A39)+1)/2)*(Inputs!$J$6-Inputs!$I$6)))*12.9898+(Inputs!$C$6)*78.233+Inputs!$C$47*37.719))*43758.5453)-INT((SIN((((Inputs!$I$6+(((A39)+1)/2)*(Inputs!$J$6-Inputs!$I$6)))*12.9898+(Inputs!$C$6)*78.233+Inputs!$C$47*37.719))*43758.5453)))-1))),NA())</f>
        <v/>
      </c>
      <c r="AT39" s="9">
        <f>IF(OR(Inputs!$F$7=TRUE,Inputs!$F$7="TRUE",Inputs!$F$7=1),IF(OR(Inputs!$C$27=TRUE,Inputs!$C$27="TRUE",Inputs!$C$27=1),1,0)*(Inputs!$C$51*(115*EXP(-(((Inputs!$C$6)-25)^2)/(4.5^2))+70*EXP(-(((Inputs!$C$6)+38)^2)/(7^2))*(0.55+0.45*SIN(2*PI()*((Inputs!$I$7+(((A39)+1)/2)*(Inputs!$J$7-Inputs!$I$7)))/45))+24*SIN(2*PI()*(Inputs!$C$6)/9+((Inputs!$I$7+(((A39)+1)/2)*(Inputs!$J$7-Inputs!$I$7)))/18)*EXP(-(((Inputs!$C$6)+5)^2)/(22^2))+18*SIN(2*PI()*((Inputs!$I$7+(((A39)+1)/2)*(Inputs!$J$7-Inputs!$I$7)))/70))+Inputs!$C$28*EXP(-((((Inputs!$I$7+(((A39)+1)/2)*(Inputs!$J$7-Inputs!$I$7)))-Inputs!$C$29)^2)/(2*Inputs!$C$31^2))*EXP(-(((Inputs!$C$6)-Inputs!$C$30)^2)/(2*Inputs!$C$32^2))+-Inputs!$C$33*EXP(-((((((Inputs!$I$7+(((A39)+1)/2)*(Inputs!$J$7-Inputs!$I$7)))-Inputs!$C$34)^2)+(((Inputs!$C$6)-Inputs!$C$35)^2))/(2*Inputs!$C$36^2)))+Inputs!$C$37*(0.55*SIN(2*PI()*((Inputs!$I$7+(((A39)+1)/2)*(Inputs!$J$7-Inputs!$I$7)))/Inputs!$C$39)+0.35*COS(2*PI()*(Inputs!$C$6)/Inputs!$C$40)+0.2*SIN(2*PI()*(((Inputs!$I$7+(((A39)+1)/2)*(Inputs!$J$7-Inputs!$I$7)))+(Inputs!$C$6))/(0.5*(Inputs!$C$39+Inputs!$C$40))))+Inputs!$C$38*SIN(2*PI()*((Inputs!$I$7+(((A39)+1)/2)*(Inputs!$J$7-Inputs!$I$7)))/Inputs!$C$39)*SIN(2*PI()*(Inputs!$C$6)/Inputs!$C$40)+-Inputs!$C$41*EXP(-(((Inputs!$C$6)-Inputs!$C$43)^2)/(2*Inputs!$C$44^2))*EXP(-((((Inputs!$I$7+(((A39)+1)/2)*(Inputs!$J$7-Inputs!$I$7)))-Inputs!$C$42)^2)/(2*Inputs!$C$45^2))+Inputs!$C$48*(0.7*(0.45*SIN(2*PI()*((((Inputs!$I$7+(((A39)+1)/2)*(Inputs!$J$7-Inputs!$I$7)))/Inputs!$C$49)+Inputs!$C$47*0.137))+0.35*COS(2*PI()*(((Inputs!$C$6)/Inputs!$C$50)+Inputs!$C$47*0.173))+0.2*SIN(2*PI()*((((Inputs!$I$7+(((A39)+1)/2)*(Inputs!$J$7-Inputs!$I$7)))+(Inputs!$C$6))/(0.5*(Inputs!$C$49+Inputs!$C$50))+Inputs!$C$47*0.097)))+0.3*(2*((SIN((((Inputs!$I$7+(((A39)+1)/2)*(Inputs!$J$7-Inputs!$I$7)))*12.9898+(Inputs!$C$6)*78.233+Inputs!$C$47*37.719))*43758.5453)-INT((SIN((((Inputs!$I$7+(((A39)+1)/2)*(Inputs!$J$7-Inputs!$I$7)))*12.9898+(Inputs!$C$6)*78.233+Inputs!$C$47*37.719))*43758.5453)))-1))),NA())</f>
        <v/>
      </c>
      <c r="AU39" s="9">
        <f>IF(OR(Inputs!$F$8=TRUE,Inputs!$F$8="TRUE",Inputs!$F$8=1),IF(OR(Inputs!$C$27=TRUE,Inputs!$C$27="TRUE",Inputs!$C$27=1),1,0)*(Inputs!$C$51*(115*EXP(-(((Inputs!$C$6)-25)^2)/(4.5^2))+70*EXP(-(((Inputs!$C$6)+38)^2)/(7^2))*(0.55+0.45*SIN(2*PI()*((Inputs!$I$8+(((A39)+1)/2)*(Inputs!$J$8-Inputs!$I$8)))/45))+24*SIN(2*PI()*(Inputs!$C$6)/9+((Inputs!$I$8+(((A39)+1)/2)*(Inputs!$J$8-Inputs!$I$8)))/18)*EXP(-(((Inputs!$C$6)+5)^2)/(22^2))+18*SIN(2*PI()*((Inputs!$I$8+(((A39)+1)/2)*(Inputs!$J$8-Inputs!$I$8)))/70))+Inputs!$C$28*EXP(-((((Inputs!$I$8+(((A39)+1)/2)*(Inputs!$J$8-Inputs!$I$8)))-Inputs!$C$29)^2)/(2*Inputs!$C$31^2))*EXP(-(((Inputs!$C$6)-Inputs!$C$30)^2)/(2*Inputs!$C$32^2))+-Inputs!$C$33*EXP(-((((((Inputs!$I$8+(((A39)+1)/2)*(Inputs!$J$8-Inputs!$I$8)))-Inputs!$C$34)^2)+(((Inputs!$C$6)-Inputs!$C$35)^2))/(2*Inputs!$C$36^2)))+Inputs!$C$37*(0.55*SIN(2*PI()*((Inputs!$I$8+(((A39)+1)/2)*(Inputs!$J$8-Inputs!$I$8)))/Inputs!$C$39)+0.35*COS(2*PI()*(Inputs!$C$6)/Inputs!$C$40)+0.2*SIN(2*PI()*(((Inputs!$I$8+(((A39)+1)/2)*(Inputs!$J$8-Inputs!$I$8)))+(Inputs!$C$6))/(0.5*(Inputs!$C$39+Inputs!$C$40))))+Inputs!$C$38*SIN(2*PI()*((Inputs!$I$8+(((A39)+1)/2)*(Inputs!$J$8-Inputs!$I$8)))/Inputs!$C$39)*SIN(2*PI()*(Inputs!$C$6)/Inputs!$C$40)+-Inputs!$C$41*EXP(-(((Inputs!$C$6)-Inputs!$C$43)^2)/(2*Inputs!$C$44^2))*EXP(-((((Inputs!$I$8+(((A39)+1)/2)*(Inputs!$J$8-Inputs!$I$8)))-Inputs!$C$42)^2)/(2*Inputs!$C$45^2))+Inputs!$C$48*(0.7*(0.45*SIN(2*PI()*((((Inputs!$I$8+(((A39)+1)/2)*(Inputs!$J$8-Inputs!$I$8)))/Inputs!$C$49)+Inputs!$C$47*0.137))+0.35*COS(2*PI()*(((Inputs!$C$6)/Inputs!$C$50)+Inputs!$C$47*0.173))+0.2*SIN(2*PI()*((((Inputs!$I$8+(((A39)+1)/2)*(Inputs!$J$8-Inputs!$I$8)))+(Inputs!$C$6))/(0.5*(Inputs!$C$49+Inputs!$C$50))+Inputs!$C$47*0.097)))+0.3*(2*((SIN((((Inputs!$I$8+(((A39)+1)/2)*(Inputs!$J$8-Inputs!$I$8)))*12.9898+(Inputs!$C$6)*78.233+Inputs!$C$47*37.719))*43758.5453)-INT((SIN((((Inputs!$I$8+(((A39)+1)/2)*(Inputs!$J$8-Inputs!$I$8)))*12.9898+(Inputs!$C$6)*78.233+Inputs!$C$47*37.719))*43758.5453)))-1))),NA())</f>
        <v/>
      </c>
      <c r="AV39" s="9">
        <f>IF(OR(Inputs!$F$9=TRUE,Inputs!$F$9="TRUE",Inputs!$F$9=1),IF(OR(Inputs!$C$27=TRUE,Inputs!$C$27="TRUE",Inputs!$C$27=1),1,0)*(Inputs!$C$51*(115*EXP(-(((Inputs!$C$6)-25)^2)/(4.5^2))+70*EXP(-(((Inputs!$C$6)+38)^2)/(7^2))*(0.55+0.45*SIN(2*PI()*((Inputs!$I$9+(((A39)+1)/2)*(Inputs!$J$9-Inputs!$I$9)))/45))+24*SIN(2*PI()*(Inputs!$C$6)/9+((Inputs!$I$9+(((A39)+1)/2)*(Inputs!$J$9-Inputs!$I$9)))/18)*EXP(-(((Inputs!$C$6)+5)^2)/(22^2))+18*SIN(2*PI()*((Inputs!$I$9+(((A39)+1)/2)*(Inputs!$J$9-Inputs!$I$9)))/70))+Inputs!$C$28*EXP(-((((Inputs!$I$9+(((A39)+1)/2)*(Inputs!$J$9-Inputs!$I$9)))-Inputs!$C$29)^2)/(2*Inputs!$C$31^2))*EXP(-(((Inputs!$C$6)-Inputs!$C$30)^2)/(2*Inputs!$C$32^2))+-Inputs!$C$33*EXP(-((((((Inputs!$I$9+(((A39)+1)/2)*(Inputs!$J$9-Inputs!$I$9)))-Inputs!$C$34)^2)+(((Inputs!$C$6)-Inputs!$C$35)^2))/(2*Inputs!$C$36^2)))+Inputs!$C$37*(0.55*SIN(2*PI()*((Inputs!$I$9+(((A39)+1)/2)*(Inputs!$J$9-Inputs!$I$9)))/Inputs!$C$39)+0.35*COS(2*PI()*(Inputs!$C$6)/Inputs!$C$40)+0.2*SIN(2*PI()*(((Inputs!$I$9+(((A39)+1)/2)*(Inputs!$J$9-Inputs!$I$9)))+(Inputs!$C$6))/(0.5*(Inputs!$C$39+Inputs!$C$40))))+Inputs!$C$38*SIN(2*PI()*((Inputs!$I$9+(((A39)+1)/2)*(Inputs!$J$9-Inputs!$I$9)))/Inputs!$C$39)*SIN(2*PI()*(Inputs!$C$6)/Inputs!$C$40)+-Inputs!$C$41*EXP(-(((Inputs!$C$6)-Inputs!$C$43)^2)/(2*Inputs!$C$44^2))*EXP(-((((Inputs!$I$9+(((A39)+1)/2)*(Inputs!$J$9-Inputs!$I$9)))-Inputs!$C$42)^2)/(2*Inputs!$C$45^2))+Inputs!$C$48*(0.7*(0.45*SIN(2*PI()*((((Inputs!$I$9+(((A39)+1)/2)*(Inputs!$J$9-Inputs!$I$9)))/Inputs!$C$49)+Inputs!$C$47*0.137))+0.35*COS(2*PI()*(((Inputs!$C$6)/Inputs!$C$50)+Inputs!$C$47*0.173))+0.2*SIN(2*PI()*((((Inputs!$I$9+(((A39)+1)/2)*(Inputs!$J$9-Inputs!$I$9)))+(Inputs!$C$6))/(0.5*(Inputs!$C$49+Inputs!$C$50))+Inputs!$C$47*0.097)))+0.3*(2*((SIN((((Inputs!$I$9+(((A39)+1)/2)*(Inputs!$J$9-Inputs!$I$9)))*12.9898+(Inputs!$C$6)*78.233+Inputs!$C$47*37.719))*43758.5453)-INT((SIN((((Inputs!$I$9+(((A39)+1)/2)*(Inputs!$J$9-Inputs!$I$9)))*12.9898+(Inputs!$C$6)*78.233+Inputs!$C$47*37.719))*43758.5453)))-1))),NA())</f>
        <v/>
      </c>
      <c r="AW39" s="10" t="n"/>
      <c r="AX39" s="9">
        <f>A39</f>
        <v/>
      </c>
      <c r="AY39" s="9">
        <f>0</f>
        <v/>
      </c>
      <c r="AZ39" s="9">
        <f>IF(OR(Inputs!$F$6=TRUE,Inputs!$F$6="TRUE",Inputs!$F$6=1),(Inputs!$H$6+Inputs!$L$6*(((Inputs!$I$6+(((A39)+1)/2)*(Inputs!$J$6-Inputs!$I$6)))/Inputs!$K$6)^2),NA())</f>
        <v/>
      </c>
      <c r="BA39" s="9">
        <f>IF(OR(Inputs!$F$7=TRUE,Inputs!$F$7="TRUE",Inputs!$F$7=1),(Inputs!$H$7+Inputs!$L$7*(((Inputs!$I$7+(((A39)+1)/2)*(Inputs!$J$7-Inputs!$I$7)))/Inputs!$K$7)^2),NA())</f>
        <v/>
      </c>
      <c r="BB39" s="9">
        <f>IF(OR(Inputs!$F$8=TRUE,Inputs!$F$8="TRUE",Inputs!$F$8=1),(Inputs!$H$8+Inputs!$L$8*(((Inputs!$I$8+(((A39)+1)/2)*(Inputs!$J$8-Inputs!$I$8)))/Inputs!$K$8)^2),NA())</f>
        <v/>
      </c>
      <c r="BC39" s="9">
        <f>IF(OR(Inputs!$F$9=TRUE,Inputs!$F$9="TRUE",Inputs!$F$9=1),(Inputs!$H$9+Inputs!$L$9*(((Inputs!$I$9+(((A39)+1)/2)*(Inputs!$J$9-Inputs!$I$9)))/Inputs!$K$9)^2),NA())</f>
        <v/>
      </c>
      <c r="BD39" s="10" t="n"/>
      <c r="BE39" s="9">
        <f>A39</f>
        <v/>
      </c>
      <c r="BF39" s="9">
        <f>0</f>
        <v/>
      </c>
      <c r="BG39" s="9">
        <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f>
        <v/>
      </c>
      <c r="BH39" s="9">
        <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f>
        <v/>
      </c>
      <c r="BI39" s="9">
        <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f>
        <v/>
      </c>
      <c r="BJ39" s="9">
        <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f>
        <v/>
      </c>
    </row>
    <row r="40">
      <c r="A40" s="9">
        <f>ROUND(-1+38*2/240,3)</f>
        <v/>
      </c>
      <c r="B40" s="9">
        <f>IF(OR(Inputs!$F$6=TRUE,Inputs!$F$6="TRUE",Inputs!$F$6=1),(Inputs!$H$6+Inputs!$L$6*(((Inputs!$I$6+(((A40)+1)/2)*(Inputs!$J$6-Inputs!$I$6)))/Inputs!$K$6)^2),NA())</f>
        <v/>
      </c>
      <c r="C40" s="9">
        <f>IF(OR(Inputs!$F$7=TRUE,Inputs!$F$7="TRUE",Inputs!$F$7=1),(Inputs!$H$7+Inputs!$L$7*(((Inputs!$I$7+(((A40)+1)/2)*(Inputs!$J$7-Inputs!$I$7)))/Inputs!$K$7)^2),NA())</f>
        <v/>
      </c>
      <c r="D40" s="9">
        <f>IF(OR(Inputs!$F$8=TRUE,Inputs!$F$8="TRUE",Inputs!$F$8=1),(Inputs!$H$8+Inputs!$L$8*(((Inputs!$I$8+(((A40)+1)/2)*(Inputs!$J$8-Inputs!$I$8)))/Inputs!$K$8)^2),NA())</f>
        <v/>
      </c>
      <c r="E40" s="9">
        <f>IF(OR(Inputs!$F$9=TRUE,Inputs!$F$9="TRUE",Inputs!$F$9=1),(Inputs!$H$9+Inputs!$L$9*(((Inputs!$I$9+(((A40)+1)/2)*(Inputs!$J$9-Inputs!$I$9)))/Inputs!$K$9)^2),NA())</f>
        <v/>
      </c>
      <c r="F40" s="10" t="n"/>
      <c r="G40" s="9">
        <f>A40</f>
        <v/>
      </c>
      <c r="H40" s="9">
        <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f>
        <v/>
      </c>
      <c r="I40" s="9">
        <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f>
        <v/>
      </c>
      <c r="J40" s="9">
        <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f>
        <v/>
      </c>
      <c r="K40" s="9">
        <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f>
        <v/>
      </c>
      <c r="L40" s="10" t="n"/>
      <c r="M40" s="9">
        <f>A40</f>
        <v/>
      </c>
      <c r="N40" s="9">
        <f>IF(OR(Inputs!$F$6=TRUE,Inputs!$F$6="TRUE",Inputs!$F$6=1),(-2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NA())</f>
        <v/>
      </c>
      <c r="O40" s="9">
        <f>IF(OR(Inputs!$F$7=TRUE,Inputs!$F$7="TRUE",Inputs!$F$7=1),(-2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NA())</f>
        <v/>
      </c>
      <c r="P40" s="9">
        <f>IF(OR(Inputs!$F$8=TRUE,Inputs!$F$8="TRUE",Inputs!$F$8=1),(-2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NA())</f>
        <v/>
      </c>
      <c r="Q40" s="9">
        <f>IF(OR(Inputs!$F$9=TRUE,Inputs!$F$9="TRUE",Inputs!$F$9=1),(-2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NA())</f>
        <v/>
      </c>
      <c r="R40" s="10" t="n"/>
      <c r="S40" s="9">
        <f>A40</f>
        <v/>
      </c>
      <c r="T40" s="9">
        <f>(Inputs!$I$6+(((A40)+1)/2)*(Inputs!$J$6-Inputs!$I$6))</f>
        <v/>
      </c>
      <c r="U40" s="9">
        <f>(Inputs!$I$7+(((A40)+1)/2)*(Inputs!$J$7-Inputs!$I$7))</f>
        <v/>
      </c>
      <c r="V40" s="9">
        <f>(Inputs!$I$8+(((A40)+1)/2)*(Inputs!$J$8-Inputs!$I$8))</f>
        <v/>
      </c>
      <c r="W40" s="9">
        <f>(Inputs!$I$9+(((A40)+1)/2)*(Inputs!$J$9-Inputs!$I$9))</f>
        <v/>
      </c>
      <c r="X40" s="10" t="n"/>
      <c r="Y40" s="9">
        <f>A40</f>
        <v/>
      </c>
      <c r="Z40" s="9">
        <f>(Inputs!$H$6+Inputs!$L$6*(((Inputs!$I$6+(((A40)+1)/2)*(Inputs!$J$6-Inputs!$I$6)))/Inputs!$K$6)^2)</f>
        <v/>
      </c>
      <c r="AA40" s="9">
        <f>(Inputs!$H$7+Inputs!$L$7*(((Inputs!$I$7+(((A40)+1)/2)*(Inputs!$J$7-Inputs!$I$7)))/Inputs!$K$7)^2)</f>
        <v/>
      </c>
      <c r="AB40" s="9">
        <f>(Inputs!$H$8+Inputs!$L$8*(((Inputs!$I$8+(((A40)+1)/2)*(Inputs!$J$8-Inputs!$I$8)))/Inputs!$K$8)^2)</f>
        <v/>
      </c>
      <c r="AC40" s="9">
        <f>(Inputs!$H$9+Inputs!$L$9*(((Inputs!$I$9+(((A40)+1)/2)*(Inputs!$J$9-Inputs!$I$9)))/Inputs!$K$9)^2)</f>
        <v/>
      </c>
      <c r="AD40" s="10" t="n"/>
      <c r="AE40" s="9">
        <f>A40</f>
        <v/>
      </c>
      <c r="AF40" s="9">
        <f>(((SQRT((Inputs!$C$52+((Inputs!$H$6+Inputs!$L$6*(((Inputs!$I$6+(((A40)+1)/2)*(Inputs!$J$6-Inputs!$I$6)))/Inputs!$K$6)^2)))^2+Inputs!$C$52^2-2*(Inputs!$C$52+((Inputs!$H$6+Inputs!$L$6*(((Inputs!$I$6+(((A40)+1)/2)*(Inputs!$J$6-Inputs!$I$6)))/Inputs!$K$6)^2)))*Inputs!$C$52*COS(SQRT(((Inputs!$I$6+(((A40)+1)/2)*(Inputs!$J$6-Inputs!$I$6)))^2+Inputs!$C$6^2)/Inputs!$C$52)))-((Inputs!$H$6+Inputs!$L$6*(((Inputs!$I$6+(((A40)+1)/2)*(Inputs!$J$6-Inputs!$I$6)))/Inputs!$K$6)^2)))*1000/Inputs!$C$12)</f>
        <v/>
      </c>
      <c r="AG40" s="9">
        <f>(((SQRT((Inputs!$C$52+((Inputs!$H$7+Inputs!$L$7*(((Inputs!$I$7+(((A40)+1)/2)*(Inputs!$J$7-Inputs!$I$7)))/Inputs!$K$7)^2)))^2+Inputs!$C$52^2-2*(Inputs!$C$52+((Inputs!$H$7+Inputs!$L$7*(((Inputs!$I$7+(((A40)+1)/2)*(Inputs!$J$7-Inputs!$I$7)))/Inputs!$K$7)^2)))*Inputs!$C$52*COS(SQRT(((Inputs!$I$7+(((A40)+1)/2)*(Inputs!$J$7-Inputs!$I$7)))^2+Inputs!$C$6^2)/Inputs!$C$52)))-((Inputs!$H$7+Inputs!$L$7*(((Inputs!$I$7+(((A40)+1)/2)*(Inputs!$J$7-Inputs!$I$7)))/Inputs!$K$7)^2)))*1000/Inputs!$C$12)</f>
        <v/>
      </c>
      <c r="AH40" s="9">
        <f>(((SQRT((Inputs!$C$52+((Inputs!$H$8+Inputs!$L$8*(((Inputs!$I$8+(((A40)+1)/2)*(Inputs!$J$8-Inputs!$I$8)))/Inputs!$K$8)^2)))^2+Inputs!$C$52^2-2*(Inputs!$C$52+((Inputs!$H$8+Inputs!$L$8*(((Inputs!$I$8+(((A40)+1)/2)*(Inputs!$J$8-Inputs!$I$8)))/Inputs!$K$8)^2)))*Inputs!$C$52*COS(SQRT(((Inputs!$I$8+(((A40)+1)/2)*(Inputs!$J$8-Inputs!$I$8)))^2+Inputs!$C$6^2)/Inputs!$C$52)))-((Inputs!$H$8+Inputs!$L$8*(((Inputs!$I$8+(((A40)+1)/2)*(Inputs!$J$8-Inputs!$I$8)))/Inputs!$K$8)^2)))*1000/Inputs!$C$12)</f>
        <v/>
      </c>
      <c r="AI40" s="9">
        <f>(((SQRT((Inputs!$C$52+((Inputs!$H$9+Inputs!$L$9*(((Inputs!$I$9+(((A40)+1)/2)*(Inputs!$J$9-Inputs!$I$9)))/Inputs!$K$9)^2)))^2+Inputs!$C$52^2-2*(Inputs!$C$52+((Inputs!$H$9+Inputs!$L$9*(((Inputs!$I$9+(((A40)+1)/2)*(Inputs!$J$9-Inputs!$I$9)))/Inputs!$K$9)^2)))*Inputs!$C$52*COS(SQRT(((Inputs!$I$9+(((A40)+1)/2)*(Inputs!$J$9-Inputs!$I$9)))^2+Inputs!$C$6^2)/Inputs!$C$52)))-((Inputs!$H$9+Inputs!$L$9*(((Inputs!$I$9+(((A40)+1)/2)*(Inputs!$J$9-Inputs!$I$9)))/Inputs!$K$9)^2)))*1000/Inputs!$C$12)</f>
        <v/>
      </c>
      <c r="AJ40" s="10" t="n"/>
      <c r="AK40" s="9">
        <f>A40</f>
        <v/>
      </c>
      <c r="AL40" s="9">
        <f>(-2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f>
        <v/>
      </c>
      <c r="AM40" s="9">
        <f>(-2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f>
        <v/>
      </c>
      <c r="AN40" s="9">
        <f>(-2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f>
        <v/>
      </c>
      <c r="AO40" s="9">
        <f>(-2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f>
        <v/>
      </c>
      <c r="AP40" s="10" t="n"/>
      <c r="AQ40" s="9">
        <f>A40</f>
        <v/>
      </c>
      <c r="AR40" s="9">
        <f>0</f>
        <v/>
      </c>
      <c r="AS40" s="9">
        <f>IF(OR(Inputs!$F$6=TRUE,Inputs!$F$6="TRUE",Inputs!$F$6=1),IF(OR(Inputs!$C$27=TRUE,Inputs!$C$27="TRUE",Inputs!$C$27=1),1,0)*(Inputs!$C$51*(115*EXP(-(((Inputs!$C$6)-25)^2)/(4.5^2))+70*EXP(-(((Inputs!$C$6)+38)^2)/(7^2))*(0.55+0.45*SIN(2*PI()*((Inputs!$I$6+(((A40)+1)/2)*(Inputs!$J$6-Inputs!$I$6)))/45))+24*SIN(2*PI()*(Inputs!$C$6)/9+((Inputs!$I$6+(((A40)+1)/2)*(Inputs!$J$6-Inputs!$I$6)))/18)*EXP(-(((Inputs!$C$6)+5)^2)/(22^2))+18*SIN(2*PI()*((Inputs!$I$6+(((A40)+1)/2)*(Inputs!$J$6-Inputs!$I$6)))/70))+Inputs!$C$28*EXP(-((((Inputs!$I$6+(((A40)+1)/2)*(Inputs!$J$6-Inputs!$I$6)))-Inputs!$C$29)^2)/(2*Inputs!$C$31^2))*EXP(-(((Inputs!$C$6)-Inputs!$C$30)^2)/(2*Inputs!$C$32^2))+-Inputs!$C$33*EXP(-((((((Inputs!$I$6+(((A40)+1)/2)*(Inputs!$J$6-Inputs!$I$6)))-Inputs!$C$34)^2)+(((Inputs!$C$6)-Inputs!$C$35)^2))/(2*Inputs!$C$36^2)))+Inputs!$C$37*(0.55*SIN(2*PI()*((Inputs!$I$6+(((A40)+1)/2)*(Inputs!$J$6-Inputs!$I$6)))/Inputs!$C$39)+0.35*COS(2*PI()*(Inputs!$C$6)/Inputs!$C$40)+0.2*SIN(2*PI()*(((Inputs!$I$6+(((A40)+1)/2)*(Inputs!$J$6-Inputs!$I$6)))+(Inputs!$C$6))/(0.5*(Inputs!$C$39+Inputs!$C$40))))+Inputs!$C$38*SIN(2*PI()*((Inputs!$I$6+(((A40)+1)/2)*(Inputs!$J$6-Inputs!$I$6)))/Inputs!$C$39)*SIN(2*PI()*(Inputs!$C$6)/Inputs!$C$40)+-Inputs!$C$41*EXP(-(((Inputs!$C$6)-Inputs!$C$43)^2)/(2*Inputs!$C$44^2))*EXP(-((((Inputs!$I$6+(((A40)+1)/2)*(Inputs!$J$6-Inputs!$I$6)))-Inputs!$C$42)^2)/(2*Inputs!$C$45^2))+Inputs!$C$48*(0.7*(0.45*SIN(2*PI()*((((Inputs!$I$6+(((A40)+1)/2)*(Inputs!$J$6-Inputs!$I$6)))/Inputs!$C$49)+Inputs!$C$47*0.137))+0.35*COS(2*PI()*(((Inputs!$C$6)/Inputs!$C$50)+Inputs!$C$47*0.173))+0.2*SIN(2*PI()*((((Inputs!$I$6+(((A40)+1)/2)*(Inputs!$J$6-Inputs!$I$6)))+(Inputs!$C$6))/(0.5*(Inputs!$C$49+Inputs!$C$50))+Inputs!$C$47*0.097)))+0.3*(2*((SIN((((Inputs!$I$6+(((A40)+1)/2)*(Inputs!$J$6-Inputs!$I$6)))*12.9898+(Inputs!$C$6)*78.233+Inputs!$C$47*37.719))*43758.5453)-INT((SIN((((Inputs!$I$6+(((A40)+1)/2)*(Inputs!$J$6-Inputs!$I$6)))*12.9898+(Inputs!$C$6)*78.233+Inputs!$C$47*37.719))*43758.5453)))-1))),NA())</f>
        <v/>
      </c>
      <c r="AT40" s="9">
        <f>IF(OR(Inputs!$F$7=TRUE,Inputs!$F$7="TRUE",Inputs!$F$7=1),IF(OR(Inputs!$C$27=TRUE,Inputs!$C$27="TRUE",Inputs!$C$27=1),1,0)*(Inputs!$C$51*(115*EXP(-(((Inputs!$C$6)-25)^2)/(4.5^2))+70*EXP(-(((Inputs!$C$6)+38)^2)/(7^2))*(0.55+0.45*SIN(2*PI()*((Inputs!$I$7+(((A40)+1)/2)*(Inputs!$J$7-Inputs!$I$7)))/45))+24*SIN(2*PI()*(Inputs!$C$6)/9+((Inputs!$I$7+(((A40)+1)/2)*(Inputs!$J$7-Inputs!$I$7)))/18)*EXP(-(((Inputs!$C$6)+5)^2)/(22^2))+18*SIN(2*PI()*((Inputs!$I$7+(((A40)+1)/2)*(Inputs!$J$7-Inputs!$I$7)))/70))+Inputs!$C$28*EXP(-((((Inputs!$I$7+(((A40)+1)/2)*(Inputs!$J$7-Inputs!$I$7)))-Inputs!$C$29)^2)/(2*Inputs!$C$31^2))*EXP(-(((Inputs!$C$6)-Inputs!$C$30)^2)/(2*Inputs!$C$32^2))+-Inputs!$C$33*EXP(-((((((Inputs!$I$7+(((A40)+1)/2)*(Inputs!$J$7-Inputs!$I$7)))-Inputs!$C$34)^2)+(((Inputs!$C$6)-Inputs!$C$35)^2))/(2*Inputs!$C$36^2)))+Inputs!$C$37*(0.55*SIN(2*PI()*((Inputs!$I$7+(((A40)+1)/2)*(Inputs!$J$7-Inputs!$I$7)))/Inputs!$C$39)+0.35*COS(2*PI()*(Inputs!$C$6)/Inputs!$C$40)+0.2*SIN(2*PI()*(((Inputs!$I$7+(((A40)+1)/2)*(Inputs!$J$7-Inputs!$I$7)))+(Inputs!$C$6))/(0.5*(Inputs!$C$39+Inputs!$C$40))))+Inputs!$C$38*SIN(2*PI()*((Inputs!$I$7+(((A40)+1)/2)*(Inputs!$J$7-Inputs!$I$7)))/Inputs!$C$39)*SIN(2*PI()*(Inputs!$C$6)/Inputs!$C$40)+-Inputs!$C$41*EXP(-(((Inputs!$C$6)-Inputs!$C$43)^2)/(2*Inputs!$C$44^2))*EXP(-((((Inputs!$I$7+(((A40)+1)/2)*(Inputs!$J$7-Inputs!$I$7)))-Inputs!$C$42)^2)/(2*Inputs!$C$45^2))+Inputs!$C$48*(0.7*(0.45*SIN(2*PI()*((((Inputs!$I$7+(((A40)+1)/2)*(Inputs!$J$7-Inputs!$I$7)))/Inputs!$C$49)+Inputs!$C$47*0.137))+0.35*COS(2*PI()*(((Inputs!$C$6)/Inputs!$C$50)+Inputs!$C$47*0.173))+0.2*SIN(2*PI()*((((Inputs!$I$7+(((A40)+1)/2)*(Inputs!$J$7-Inputs!$I$7)))+(Inputs!$C$6))/(0.5*(Inputs!$C$49+Inputs!$C$50))+Inputs!$C$47*0.097)))+0.3*(2*((SIN((((Inputs!$I$7+(((A40)+1)/2)*(Inputs!$J$7-Inputs!$I$7)))*12.9898+(Inputs!$C$6)*78.233+Inputs!$C$47*37.719))*43758.5453)-INT((SIN((((Inputs!$I$7+(((A40)+1)/2)*(Inputs!$J$7-Inputs!$I$7)))*12.9898+(Inputs!$C$6)*78.233+Inputs!$C$47*37.719))*43758.5453)))-1))),NA())</f>
        <v/>
      </c>
      <c r="AU40" s="9">
        <f>IF(OR(Inputs!$F$8=TRUE,Inputs!$F$8="TRUE",Inputs!$F$8=1),IF(OR(Inputs!$C$27=TRUE,Inputs!$C$27="TRUE",Inputs!$C$27=1),1,0)*(Inputs!$C$51*(115*EXP(-(((Inputs!$C$6)-25)^2)/(4.5^2))+70*EXP(-(((Inputs!$C$6)+38)^2)/(7^2))*(0.55+0.45*SIN(2*PI()*((Inputs!$I$8+(((A40)+1)/2)*(Inputs!$J$8-Inputs!$I$8)))/45))+24*SIN(2*PI()*(Inputs!$C$6)/9+((Inputs!$I$8+(((A40)+1)/2)*(Inputs!$J$8-Inputs!$I$8)))/18)*EXP(-(((Inputs!$C$6)+5)^2)/(22^2))+18*SIN(2*PI()*((Inputs!$I$8+(((A40)+1)/2)*(Inputs!$J$8-Inputs!$I$8)))/70))+Inputs!$C$28*EXP(-((((Inputs!$I$8+(((A40)+1)/2)*(Inputs!$J$8-Inputs!$I$8)))-Inputs!$C$29)^2)/(2*Inputs!$C$31^2))*EXP(-(((Inputs!$C$6)-Inputs!$C$30)^2)/(2*Inputs!$C$32^2))+-Inputs!$C$33*EXP(-((((((Inputs!$I$8+(((A40)+1)/2)*(Inputs!$J$8-Inputs!$I$8)))-Inputs!$C$34)^2)+(((Inputs!$C$6)-Inputs!$C$35)^2))/(2*Inputs!$C$36^2)))+Inputs!$C$37*(0.55*SIN(2*PI()*((Inputs!$I$8+(((A40)+1)/2)*(Inputs!$J$8-Inputs!$I$8)))/Inputs!$C$39)+0.35*COS(2*PI()*(Inputs!$C$6)/Inputs!$C$40)+0.2*SIN(2*PI()*(((Inputs!$I$8+(((A40)+1)/2)*(Inputs!$J$8-Inputs!$I$8)))+(Inputs!$C$6))/(0.5*(Inputs!$C$39+Inputs!$C$40))))+Inputs!$C$38*SIN(2*PI()*((Inputs!$I$8+(((A40)+1)/2)*(Inputs!$J$8-Inputs!$I$8)))/Inputs!$C$39)*SIN(2*PI()*(Inputs!$C$6)/Inputs!$C$40)+-Inputs!$C$41*EXP(-(((Inputs!$C$6)-Inputs!$C$43)^2)/(2*Inputs!$C$44^2))*EXP(-((((Inputs!$I$8+(((A40)+1)/2)*(Inputs!$J$8-Inputs!$I$8)))-Inputs!$C$42)^2)/(2*Inputs!$C$45^2))+Inputs!$C$48*(0.7*(0.45*SIN(2*PI()*((((Inputs!$I$8+(((A40)+1)/2)*(Inputs!$J$8-Inputs!$I$8)))/Inputs!$C$49)+Inputs!$C$47*0.137))+0.35*COS(2*PI()*(((Inputs!$C$6)/Inputs!$C$50)+Inputs!$C$47*0.173))+0.2*SIN(2*PI()*((((Inputs!$I$8+(((A40)+1)/2)*(Inputs!$J$8-Inputs!$I$8)))+(Inputs!$C$6))/(0.5*(Inputs!$C$49+Inputs!$C$50))+Inputs!$C$47*0.097)))+0.3*(2*((SIN((((Inputs!$I$8+(((A40)+1)/2)*(Inputs!$J$8-Inputs!$I$8)))*12.9898+(Inputs!$C$6)*78.233+Inputs!$C$47*37.719))*43758.5453)-INT((SIN((((Inputs!$I$8+(((A40)+1)/2)*(Inputs!$J$8-Inputs!$I$8)))*12.9898+(Inputs!$C$6)*78.233+Inputs!$C$47*37.719))*43758.5453)))-1))),NA())</f>
        <v/>
      </c>
      <c r="AV40" s="9">
        <f>IF(OR(Inputs!$F$9=TRUE,Inputs!$F$9="TRUE",Inputs!$F$9=1),IF(OR(Inputs!$C$27=TRUE,Inputs!$C$27="TRUE",Inputs!$C$27=1),1,0)*(Inputs!$C$51*(115*EXP(-(((Inputs!$C$6)-25)^2)/(4.5^2))+70*EXP(-(((Inputs!$C$6)+38)^2)/(7^2))*(0.55+0.45*SIN(2*PI()*((Inputs!$I$9+(((A40)+1)/2)*(Inputs!$J$9-Inputs!$I$9)))/45))+24*SIN(2*PI()*(Inputs!$C$6)/9+((Inputs!$I$9+(((A40)+1)/2)*(Inputs!$J$9-Inputs!$I$9)))/18)*EXP(-(((Inputs!$C$6)+5)^2)/(22^2))+18*SIN(2*PI()*((Inputs!$I$9+(((A40)+1)/2)*(Inputs!$J$9-Inputs!$I$9)))/70))+Inputs!$C$28*EXP(-((((Inputs!$I$9+(((A40)+1)/2)*(Inputs!$J$9-Inputs!$I$9)))-Inputs!$C$29)^2)/(2*Inputs!$C$31^2))*EXP(-(((Inputs!$C$6)-Inputs!$C$30)^2)/(2*Inputs!$C$32^2))+-Inputs!$C$33*EXP(-((((((Inputs!$I$9+(((A40)+1)/2)*(Inputs!$J$9-Inputs!$I$9)))-Inputs!$C$34)^2)+(((Inputs!$C$6)-Inputs!$C$35)^2))/(2*Inputs!$C$36^2)))+Inputs!$C$37*(0.55*SIN(2*PI()*((Inputs!$I$9+(((A40)+1)/2)*(Inputs!$J$9-Inputs!$I$9)))/Inputs!$C$39)+0.35*COS(2*PI()*(Inputs!$C$6)/Inputs!$C$40)+0.2*SIN(2*PI()*(((Inputs!$I$9+(((A40)+1)/2)*(Inputs!$J$9-Inputs!$I$9)))+(Inputs!$C$6))/(0.5*(Inputs!$C$39+Inputs!$C$40))))+Inputs!$C$38*SIN(2*PI()*((Inputs!$I$9+(((A40)+1)/2)*(Inputs!$J$9-Inputs!$I$9)))/Inputs!$C$39)*SIN(2*PI()*(Inputs!$C$6)/Inputs!$C$40)+-Inputs!$C$41*EXP(-(((Inputs!$C$6)-Inputs!$C$43)^2)/(2*Inputs!$C$44^2))*EXP(-((((Inputs!$I$9+(((A40)+1)/2)*(Inputs!$J$9-Inputs!$I$9)))-Inputs!$C$42)^2)/(2*Inputs!$C$45^2))+Inputs!$C$48*(0.7*(0.45*SIN(2*PI()*((((Inputs!$I$9+(((A40)+1)/2)*(Inputs!$J$9-Inputs!$I$9)))/Inputs!$C$49)+Inputs!$C$47*0.137))+0.35*COS(2*PI()*(((Inputs!$C$6)/Inputs!$C$50)+Inputs!$C$47*0.173))+0.2*SIN(2*PI()*((((Inputs!$I$9+(((A40)+1)/2)*(Inputs!$J$9-Inputs!$I$9)))+(Inputs!$C$6))/(0.5*(Inputs!$C$49+Inputs!$C$50))+Inputs!$C$47*0.097)))+0.3*(2*((SIN((((Inputs!$I$9+(((A40)+1)/2)*(Inputs!$J$9-Inputs!$I$9)))*12.9898+(Inputs!$C$6)*78.233+Inputs!$C$47*37.719))*43758.5453)-INT((SIN((((Inputs!$I$9+(((A40)+1)/2)*(Inputs!$J$9-Inputs!$I$9)))*12.9898+(Inputs!$C$6)*78.233+Inputs!$C$47*37.719))*43758.5453)))-1))),NA())</f>
        <v/>
      </c>
      <c r="AW40" s="10" t="n"/>
      <c r="AX40" s="9">
        <f>A40</f>
        <v/>
      </c>
      <c r="AY40" s="9">
        <f>0</f>
        <v/>
      </c>
      <c r="AZ40" s="9">
        <f>IF(OR(Inputs!$F$6=TRUE,Inputs!$F$6="TRUE",Inputs!$F$6=1),(Inputs!$H$6+Inputs!$L$6*(((Inputs!$I$6+(((A40)+1)/2)*(Inputs!$J$6-Inputs!$I$6)))/Inputs!$K$6)^2),NA())</f>
        <v/>
      </c>
      <c r="BA40" s="9">
        <f>IF(OR(Inputs!$F$7=TRUE,Inputs!$F$7="TRUE",Inputs!$F$7=1),(Inputs!$H$7+Inputs!$L$7*(((Inputs!$I$7+(((A40)+1)/2)*(Inputs!$J$7-Inputs!$I$7)))/Inputs!$K$7)^2),NA())</f>
        <v/>
      </c>
      <c r="BB40" s="9">
        <f>IF(OR(Inputs!$F$8=TRUE,Inputs!$F$8="TRUE",Inputs!$F$8=1),(Inputs!$H$8+Inputs!$L$8*(((Inputs!$I$8+(((A40)+1)/2)*(Inputs!$J$8-Inputs!$I$8)))/Inputs!$K$8)^2),NA())</f>
        <v/>
      </c>
      <c r="BC40" s="9">
        <f>IF(OR(Inputs!$F$9=TRUE,Inputs!$F$9="TRUE",Inputs!$F$9=1),(Inputs!$H$9+Inputs!$L$9*(((Inputs!$I$9+(((A40)+1)/2)*(Inputs!$J$9-Inputs!$I$9)))/Inputs!$K$9)^2),NA())</f>
        <v/>
      </c>
      <c r="BD40" s="10" t="n"/>
      <c r="BE40" s="9">
        <f>A40</f>
        <v/>
      </c>
      <c r="BF40" s="9">
        <f>0</f>
        <v/>
      </c>
      <c r="BG40" s="9">
        <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f>
        <v/>
      </c>
      <c r="BH40" s="9">
        <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f>
        <v/>
      </c>
      <c r="BI40" s="9">
        <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f>
        <v/>
      </c>
      <c r="BJ40" s="9">
        <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f>
        <v/>
      </c>
    </row>
    <row r="41">
      <c r="A41" s="9">
        <f>ROUND(-1+39*2/240,3)</f>
        <v/>
      </c>
      <c r="B41" s="9">
        <f>IF(OR(Inputs!$F$6=TRUE,Inputs!$F$6="TRUE",Inputs!$F$6=1),(Inputs!$H$6+Inputs!$L$6*(((Inputs!$I$6+(((A41)+1)/2)*(Inputs!$J$6-Inputs!$I$6)))/Inputs!$K$6)^2),NA())</f>
        <v/>
      </c>
      <c r="C41" s="9">
        <f>IF(OR(Inputs!$F$7=TRUE,Inputs!$F$7="TRUE",Inputs!$F$7=1),(Inputs!$H$7+Inputs!$L$7*(((Inputs!$I$7+(((A41)+1)/2)*(Inputs!$J$7-Inputs!$I$7)))/Inputs!$K$7)^2),NA())</f>
        <v/>
      </c>
      <c r="D41" s="9">
        <f>IF(OR(Inputs!$F$8=TRUE,Inputs!$F$8="TRUE",Inputs!$F$8=1),(Inputs!$H$8+Inputs!$L$8*(((Inputs!$I$8+(((A41)+1)/2)*(Inputs!$J$8-Inputs!$I$8)))/Inputs!$K$8)^2),NA())</f>
        <v/>
      </c>
      <c r="E41" s="9">
        <f>IF(OR(Inputs!$F$9=TRUE,Inputs!$F$9="TRUE",Inputs!$F$9=1),(Inputs!$H$9+Inputs!$L$9*(((Inputs!$I$9+(((A41)+1)/2)*(Inputs!$J$9-Inputs!$I$9)))/Inputs!$K$9)^2),NA())</f>
        <v/>
      </c>
      <c r="F41" s="10" t="n"/>
      <c r="G41" s="9">
        <f>A41</f>
        <v/>
      </c>
      <c r="H41" s="9">
        <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f>
        <v/>
      </c>
      <c r="I41" s="9">
        <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f>
        <v/>
      </c>
      <c r="J41" s="9">
        <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f>
        <v/>
      </c>
      <c r="K41" s="9">
        <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f>
        <v/>
      </c>
      <c r="L41" s="10" t="n"/>
      <c r="M41" s="9">
        <f>A41</f>
        <v/>
      </c>
      <c r="N41" s="9">
        <f>IF(OR(Inputs!$F$6=TRUE,Inputs!$F$6="TRUE",Inputs!$F$6=1),(-2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NA())</f>
        <v/>
      </c>
      <c r="O41" s="9">
        <f>IF(OR(Inputs!$F$7=TRUE,Inputs!$F$7="TRUE",Inputs!$F$7=1),(-2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NA())</f>
        <v/>
      </c>
      <c r="P41" s="9">
        <f>IF(OR(Inputs!$F$8=TRUE,Inputs!$F$8="TRUE",Inputs!$F$8=1),(-2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NA())</f>
        <v/>
      </c>
      <c r="Q41" s="9">
        <f>IF(OR(Inputs!$F$9=TRUE,Inputs!$F$9="TRUE",Inputs!$F$9=1),(-2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NA())</f>
        <v/>
      </c>
      <c r="R41" s="10" t="n"/>
      <c r="S41" s="9">
        <f>A41</f>
        <v/>
      </c>
      <c r="T41" s="9">
        <f>(Inputs!$I$6+(((A41)+1)/2)*(Inputs!$J$6-Inputs!$I$6))</f>
        <v/>
      </c>
      <c r="U41" s="9">
        <f>(Inputs!$I$7+(((A41)+1)/2)*(Inputs!$J$7-Inputs!$I$7))</f>
        <v/>
      </c>
      <c r="V41" s="9">
        <f>(Inputs!$I$8+(((A41)+1)/2)*(Inputs!$J$8-Inputs!$I$8))</f>
        <v/>
      </c>
      <c r="W41" s="9">
        <f>(Inputs!$I$9+(((A41)+1)/2)*(Inputs!$J$9-Inputs!$I$9))</f>
        <v/>
      </c>
      <c r="X41" s="10" t="n"/>
      <c r="Y41" s="9">
        <f>A41</f>
        <v/>
      </c>
      <c r="Z41" s="9">
        <f>(Inputs!$H$6+Inputs!$L$6*(((Inputs!$I$6+(((A41)+1)/2)*(Inputs!$J$6-Inputs!$I$6)))/Inputs!$K$6)^2)</f>
        <v/>
      </c>
      <c r="AA41" s="9">
        <f>(Inputs!$H$7+Inputs!$L$7*(((Inputs!$I$7+(((A41)+1)/2)*(Inputs!$J$7-Inputs!$I$7)))/Inputs!$K$7)^2)</f>
        <v/>
      </c>
      <c r="AB41" s="9">
        <f>(Inputs!$H$8+Inputs!$L$8*(((Inputs!$I$8+(((A41)+1)/2)*(Inputs!$J$8-Inputs!$I$8)))/Inputs!$K$8)^2)</f>
        <v/>
      </c>
      <c r="AC41" s="9">
        <f>(Inputs!$H$9+Inputs!$L$9*(((Inputs!$I$9+(((A41)+1)/2)*(Inputs!$J$9-Inputs!$I$9)))/Inputs!$K$9)^2)</f>
        <v/>
      </c>
      <c r="AD41" s="10" t="n"/>
      <c r="AE41" s="9">
        <f>A41</f>
        <v/>
      </c>
      <c r="AF41" s="9">
        <f>(((SQRT((Inputs!$C$52+((Inputs!$H$6+Inputs!$L$6*(((Inputs!$I$6+(((A41)+1)/2)*(Inputs!$J$6-Inputs!$I$6)))/Inputs!$K$6)^2)))^2+Inputs!$C$52^2-2*(Inputs!$C$52+((Inputs!$H$6+Inputs!$L$6*(((Inputs!$I$6+(((A41)+1)/2)*(Inputs!$J$6-Inputs!$I$6)))/Inputs!$K$6)^2)))*Inputs!$C$52*COS(SQRT(((Inputs!$I$6+(((A41)+1)/2)*(Inputs!$J$6-Inputs!$I$6)))^2+Inputs!$C$6^2)/Inputs!$C$52)))-((Inputs!$H$6+Inputs!$L$6*(((Inputs!$I$6+(((A41)+1)/2)*(Inputs!$J$6-Inputs!$I$6)))/Inputs!$K$6)^2)))*1000/Inputs!$C$12)</f>
        <v/>
      </c>
      <c r="AG41" s="9">
        <f>(((SQRT((Inputs!$C$52+((Inputs!$H$7+Inputs!$L$7*(((Inputs!$I$7+(((A41)+1)/2)*(Inputs!$J$7-Inputs!$I$7)))/Inputs!$K$7)^2)))^2+Inputs!$C$52^2-2*(Inputs!$C$52+((Inputs!$H$7+Inputs!$L$7*(((Inputs!$I$7+(((A41)+1)/2)*(Inputs!$J$7-Inputs!$I$7)))/Inputs!$K$7)^2)))*Inputs!$C$52*COS(SQRT(((Inputs!$I$7+(((A41)+1)/2)*(Inputs!$J$7-Inputs!$I$7)))^2+Inputs!$C$6^2)/Inputs!$C$52)))-((Inputs!$H$7+Inputs!$L$7*(((Inputs!$I$7+(((A41)+1)/2)*(Inputs!$J$7-Inputs!$I$7)))/Inputs!$K$7)^2)))*1000/Inputs!$C$12)</f>
        <v/>
      </c>
      <c r="AH41" s="9">
        <f>(((SQRT((Inputs!$C$52+((Inputs!$H$8+Inputs!$L$8*(((Inputs!$I$8+(((A41)+1)/2)*(Inputs!$J$8-Inputs!$I$8)))/Inputs!$K$8)^2)))^2+Inputs!$C$52^2-2*(Inputs!$C$52+((Inputs!$H$8+Inputs!$L$8*(((Inputs!$I$8+(((A41)+1)/2)*(Inputs!$J$8-Inputs!$I$8)))/Inputs!$K$8)^2)))*Inputs!$C$52*COS(SQRT(((Inputs!$I$8+(((A41)+1)/2)*(Inputs!$J$8-Inputs!$I$8)))^2+Inputs!$C$6^2)/Inputs!$C$52)))-((Inputs!$H$8+Inputs!$L$8*(((Inputs!$I$8+(((A41)+1)/2)*(Inputs!$J$8-Inputs!$I$8)))/Inputs!$K$8)^2)))*1000/Inputs!$C$12)</f>
        <v/>
      </c>
      <c r="AI41" s="9">
        <f>(((SQRT((Inputs!$C$52+((Inputs!$H$9+Inputs!$L$9*(((Inputs!$I$9+(((A41)+1)/2)*(Inputs!$J$9-Inputs!$I$9)))/Inputs!$K$9)^2)))^2+Inputs!$C$52^2-2*(Inputs!$C$52+((Inputs!$H$9+Inputs!$L$9*(((Inputs!$I$9+(((A41)+1)/2)*(Inputs!$J$9-Inputs!$I$9)))/Inputs!$K$9)^2)))*Inputs!$C$52*COS(SQRT(((Inputs!$I$9+(((A41)+1)/2)*(Inputs!$J$9-Inputs!$I$9)))^2+Inputs!$C$6^2)/Inputs!$C$52)))-((Inputs!$H$9+Inputs!$L$9*(((Inputs!$I$9+(((A41)+1)/2)*(Inputs!$J$9-Inputs!$I$9)))/Inputs!$K$9)^2)))*1000/Inputs!$C$12)</f>
        <v/>
      </c>
      <c r="AJ41" s="10" t="n"/>
      <c r="AK41" s="9">
        <f>A41</f>
        <v/>
      </c>
      <c r="AL41" s="9">
        <f>(-2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f>
        <v/>
      </c>
      <c r="AM41" s="9">
        <f>(-2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f>
        <v/>
      </c>
      <c r="AN41" s="9">
        <f>(-2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f>
        <v/>
      </c>
      <c r="AO41" s="9">
        <f>(-2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f>
        <v/>
      </c>
      <c r="AP41" s="10" t="n"/>
      <c r="AQ41" s="9">
        <f>A41</f>
        <v/>
      </c>
      <c r="AR41" s="9">
        <f>0</f>
        <v/>
      </c>
      <c r="AS41" s="9">
        <f>IF(OR(Inputs!$F$6=TRUE,Inputs!$F$6="TRUE",Inputs!$F$6=1),IF(OR(Inputs!$C$27=TRUE,Inputs!$C$27="TRUE",Inputs!$C$27=1),1,0)*(Inputs!$C$51*(115*EXP(-(((Inputs!$C$6)-25)^2)/(4.5^2))+70*EXP(-(((Inputs!$C$6)+38)^2)/(7^2))*(0.55+0.45*SIN(2*PI()*((Inputs!$I$6+(((A41)+1)/2)*(Inputs!$J$6-Inputs!$I$6)))/45))+24*SIN(2*PI()*(Inputs!$C$6)/9+((Inputs!$I$6+(((A41)+1)/2)*(Inputs!$J$6-Inputs!$I$6)))/18)*EXP(-(((Inputs!$C$6)+5)^2)/(22^2))+18*SIN(2*PI()*((Inputs!$I$6+(((A41)+1)/2)*(Inputs!$J$6-Inputs!$I$6)))/70))+Inputs!$C$28*EXP(-((((Inputs!$I$6+(((A41)+1)/2)*(Inputs!$J$6-Inputs!$I$6)))-Inputs!$C$29)^2)/(2*Inputs!$C$31^2))*EXP(-(((Inputs!$C$6)-Inputs!$C$30)^2)/(2*Inputs!$C$32^2))+-Inputs!$C$33*EXP(-((((((Inputs!$I$6+(((A41)+1)/2)*(Inputs!$J$6-Inputs!$I$6)))-Inputs!$C$34)^2)+(((Inputs!$C$6)-Inputs!$C$35)^2))/(2*Inputs!$C$36^2)))+Inputs!$C$37*(0.55*SIN(2*PI()*((Inputs!$I$6+(((A41)+1)/2)*(Inputs!$J$6-Inputs!$I$6)))/Inputs!$C$39)+0.35*COS(2*PI()*(Inputs!$C$6)/Inputs!$C$40)+0.2*SIN(2*PI()*(((Inputs!$I$6+(((A41)+1)/2)*(Inputs!$J$6-Inputs!$I$6)))+(Inputs!$C$6))/(0.5*(Inputs!$C$39+Inputs!$C$40))))+Inputs!$C$38*SIN(2*PI()*((Inputs!$I$6+(((A41)+1)/2)*(Inputs!$J$6-Inputs!$I$6)))/Inputs!$C$39)*SIN(2*PI()*(Inputs!$C$6)/Inputs!$C$40)+-Inputs!$C$41*EXP(-(((Inputs!$C$6)-Inputs!$C$43)^2)/(2*Inputs!$C$44^2))*EXP(-((((Inputs!$I$6+(((A41)+1)/2)*(Inputs!$J$6-Inputs!$I$6)))-Inputs!$C$42)^2)/(2*Inputs!$C$45^2))+Inputs!$C$48*(0.7*(0.45*SIN(2*PI()*((((Inputs!$I$6+(((A41)+1)/2)*(Inputs!$J$6-Inputs!$I$6)))/Inputs!$C$49)+Inputs!$C$47*0.137))+0.35*COS(2*PI()*(((Inputs!$C$6)/Inputs!$C$50)+Inputs!$C$47*0.173))+0.2*SIN(2*PI()*((((Inputs!$I$6+(((A41)+1)/2)*(Inputs!$J$6-Inputs!$I$6)))+(Inputs!$C$6))/(0.5*(Inputs!$C$49+Inputs!$C$50))+Inputs!$C$47*0.097)))+0.3*(2*((SIN((((Inputs!$I$6+(((A41)+1)/2)*(Inputs!$J$6-Inputs!$I$6)))*12.9898+(Inputs!$C$6)*78.233+Inputs!$C$47*37.719))*43758.5453)-INT((SIN((((Inputs!$I$6+(((A41)+1)/2)*(Inputs!$J$6-Inputs!$I$6)))*12.9898+(Inputs!$C$6)*78.233+Inputs!$C$47*37.719))*43758.5453)))-1))),NA())</f>
        <v/>
      </c>
      <c r="AT41" s="9">
        <f>IF(OR(Inputs!$F$7=TRUE,Inputs!$F$7="TRUE",Inputs!$F$7=1),IF(OR(Inputs!$C$27=TRUE,Inputs!$C$27="TRUE",Inputs!$C$27=1),1,0)*(Inputs!$C$51*(115*EXP(-(((Inputs!$C$6)-25)^2)/(4.5^2))+70*EXP(-(((Inputs!$C$6)+38)^2)/(7^2))*(0.55+0.45*SIN(2*PI()*((Inputs!$I$7+(((A41)+1)/2)*(Inputs!$J$7-Inputs!$I$7)))/45))+24*SIN(2*PI()*(Inputs!$C$6)/9+((Inputs!$I$7+(((A41)+1)/2)*(Inputs!$J$7-Inputs!$I$7)))/18)*EXP(-(((Inputs!$C$6)+5)^2)/(22^2))+18*SIN(2*PI()*((Inputs!$I$7+(((A41)+1)/2)*(Inputs!$J$7-Inputs!$I$7)))/70))+Inputs!$C$28*EXP(-((((Inputs!$I$7+(((A41)+1)/2)*(Inputs!$J$7-Inputs!$I$7)))-Inputs!$C$29)^2)/(2*Inputs!$C$31^2))*EXP(-(((Inputs!$C$6)-Inputs!$C$30)^2)/(2*Inputs!$C$32^2))+-Inputs!$C$33*EXP(-((((((Inputs!$I$7+(((A41)+1)/2)*(Inputs!$J$7-Inputs!$I$7)))-Inputs!$C$34)^2)+(((Inputs!$C$6)-Inputs!$C$35)^2))/(2*Inputs!$C$36^2)))+Inputs!$C$37*(0.55*SIN(2*PI()*((Inputs!$I$7+(((A41)+1)/2)*(Inputs!$J$7-Inputs!$I$7)))/Inputs!$C$39)+0.35*COS(2*PI()*(Inputs!$C$6)/Inputs!$C$40)+0.2*SIN(2*PI()*(((Inputs!$I$7+(((A41)+1)/2)*(Inputs!$J$7-Inputs!$I$7)))+(Inputs!$C$6))/(0.5*(Inputs!$C$39+Inputs!$C$40))))+Inputs!$C$38*SIN(2*PI()*((Inputs!$I$7+(((A41)+1)/2)*(Inputs!$J$7-Inputs!$I$7)))/Inputs!$C$39)*SIN(2*PI()*(Inputs!$C$6)/Inputs!$C$40)+-Inputs!$C$41*EXP(-(((Inputs!$C$6)-Inputs!$C$43)^2)/(2*Inputs!$C$44^2))*EXP(-((((Inputs!$I$7+(((A41)+1)/2)*(Inputs!$J$7-Inputs!$I$7)))-Inputs!$C$42)^2)/(2*Inputs!$C$45^2))+Inputs!$C$48*(0.7*(0.45*SIN(2*PI()*((((Inputs!$I$7+(((A41)+1)/2)*(Inputs!$J$7-Inputs!$I$7)))/Inputs!$C$49)+Inputs!$C$47*0.137))+0.35*COS(2*PI()*(((Inputs!$C$6)/Inputs!$C$50)+Inputs!$C$47*0.173))+0.2*SIN(2*PI()*((((Inputs!$I$7+(((A41)+1)/2)*(Inputs!$J$7-Inputs!$I$7)))+(Inputs!$C$6))/(0.5*(Inputs!$C$49+Inputs!$C$50))+Inputs!$C$47*0.097)))+0.3*(2*((SIN((((Inputs!$I$7+(((A41)+1)/2)*(Inputs!$J$7-Inputs!$I$7)))*12.9898+(Inputs!$C$6)*78.233+Inputs!$C$47*37.719))*43758.5453)-INT((SIN((((Inputs!$I$7+(((A41)+1)/2)*(Inputs!$J$7-Inputs!$I$7)))*12.9898+(Inputs!$C$6)*78.233+Inputs!$C$47*37.719))*43758.5453)))-1))),NA())</f>
        <v/>
      </c>
      <c r="AU41" s="9">
        <f>IF(OR(Inputs!$F$8=TRUE,Inputs!$F$8="TRUE",Inputs!$F$8=1),IF(OR(Inputs!$C$27=TRUE,Inputs!$C$27="TRUE",Inputs!$C$27=1),1,0)*(Inputs!$C$51*(115*EXP(-(((Inputs!$C$6)-25)^2)/(4.5^2))+70*EXP(-(((Inputs!$C$6)+38)^2)/(7^2))*(0.55+0.45*SIN(2*PI()*((Inputs!$I$8+(((A41)+1)/2)*(Inputs!$J$8-Inputs!$I$8)))/45))+24*SIN(2*PI()*(Inputs!$C$6)/9+((Inputs!$I$8+(((A41)+1)/2)*(Inputs!$J$8-Inputs!$I$8)))/18)*EXP(-(((Inputs!$C$6)+5)^2)/(22^2))+18*SIN(2*PI()*((Inputs!$I$8+(((A41)+1)/2)*(Inputs!$J$8-Inputs!$I$8)))/70))+Inputs!$C$28*EXP(-((((Inputs!$I$8+(((A41)+1)/2)*(Inputs!$J$8-Inputs!$I$8)))-Inputs!$C$29)^2)/(2*Inputs!$C$31^2))*EXP(-(((Inputs!$C$6)-Inputs!$C$30)^2)/(2*Inputs!$C$32^2))+-Inputs!$C$33*EXP(-((((((Inputs!$I$8+(((A41)+1)/2)*(Inputs!$J$8-Inputs!$I$8)))-Inputs!$C$34)^2)+(((Inputs!$C$6)-Inputs!$C$35)^2))/(2*Inputs!$C$36^2)))+Inputs!$C$37*(0.55*SIN(2*PI()*((Inputs!$I$8+(((A41)+1)/2)*(Inputs!$J$8-Inputs!$I$8)))/Inputs!$C$39)+0.35*COS(2*PI()*(Inputs!$C$6)/Inputs!$C$40)+0.2*SIN(2*PI()*(((Inputs!$I$8+(((A41)+1)/2)*(Inputs!$J$8-Inputs!$I$8)))+(Inputs!$C$6))/(0.5*(Inputs!$C$39+Inputs!$C$40))))+Inputs!$C$38*SIN(2*PI()*((Inputs!$I$8+(((A41)+1)/2)*(Inputs!$J$8-Inputs!$I$8)))/Inputs!$C$39)*SIN(2*PI()*(Inputs!$C$6)/Inputs!$C$40)+-Inputs!$C$41*EXP(-(((Inputs!$C$6)-Inputs!$C$43)^2)/(2*Inputs!$C$44^2))*EXP(-((((Inputs!$I$8+(((A41)+1)/2)*(Inputs!$J$8-Inputs!$I$8)))-Inputs!$C$42)^2)/(2*Inputs!$C$45^2))+Inputs!$C$48*(0.7*(0.45*SIN(2*PI()*((((Inputs!$I$8+(((A41)+1)/2)*(Inputs!$J$8-Inputs!$I$8)))/Inputs!$C$49)+Inputs!$C$47*0.137))+0.35*COS(2*PI()*(((Inputs!$C$6)/Inputs!$C$50)+Inputs!$C$47*0.173))+0.2*SIN(2*PI()*((((Inputs!$I$8+(((A41)+1)/2)*(Inputs!$J$8-Inputs!$I$8)))+(Inputs!$C$6))/(0.5*(Inputs!$C$49+Inputs!$C$50))+Inputs!$C$47*0.097)))+0.3*(2*((SIN((((Inputs!$I$8+(((A41)+1)/2)*(Inputs!$J$8-Inputs!$I$8)))*12.9898+(Inputs!$C$6)*78.233+Inputs!$C$47*37.719))*43758.5453)-INT((SIN((((Inputs!$I$8+(((A41)+1)/2)*(Inputs!$J$8-Inputs!$I$8)))*12.9898+(Inputs!$C$6)*78.233+Inputs!$C$47*37.719))*43758.5453)))-1))),NA())</f>
        <v/>
      </c>
      <c r="AV41" s="9">
        <f>IF(OR(Inputs!$F$9=TRUE,Inputs!$F$9="TRUE",Inputs!$F$9=1),IF(OR(Inputs!$C$27=TRUE,Inputs!$C$27="TRUE",Inputs!$C$27=1),1,0)*(Inputs!$C$51*(115*EXP(-(((Inputs!$C$6)-25)^2)/(4.5^2))+70*EXP(-(((Inputs!$C$6)+38)^2)/(7^2))*(0.55+0.45*SIN(2*PI()*((Inputs!$I$9+(((A41)+1)/2)*(Inputs!$J$9-Inputs!$I$9)))/45))+24*SIN(2*PI()*(Inputs!$C$6)/9+((Inputs!$I$9+(((A41)+1)/2)*(Inputs!$J$9-Inputs!$I$9)))/18)*EXP(-(((Inputs!$C$6)+5)^2)/(22^2))+18*SIN(2*PI()*((Inputs!$I$9+(((A41)+1)/2)*(Inputs!$J$9-Inputs!$I$9)))/70))+Inputs!$C$28*EXP(-((((Inputs!$I$9+(((A41)+1)/2)*(Inputs!$J$9-Inputs!$I$9)))-Inputs!$C$29)^2)/(2*Inputs!$C$31^2))*EXP(-(((Inputs!$C$6)-Inputs!$C$30)^2)/(2*Inputs!$C$32^2))+-Inputs!$C$33*EXP(-((((((Inputs!$I$9+(((A41)+1)/2)*(Inputs!$J$9-Inputs!$I$9)))-Inputs!$C$34)^2)+(((Inputs!$C$6)-Inputs!$C$35)^2))/(2*Inputs!$C$36^2)))+Inputs!$C$37*(0.55*SIN(2*PI()*((Inputs!$I$9+(((A41)+1)/2)*(Inputs!$J$9-Inputs!$I$9)))/Inputs!$C$39)+0.35*COS(2*PI()*(Inputs!$C$6)/Inputs!$C$40)+0.2*SIN(2*PI()*(((Inputs!$I$9+(((A41)+1)/2)*(Inputs!$J$9-Inputs!$I$9)))+(Inputs!$C$6))/(0.5*(Inputs!$C$39+Inputs!$C$40))))+Inputs!$C$38*SIN(2*PI()*((Inputs!$I$9+(((A41)+1)/2)*(Inputs!$J$9-Inputs!$I$9)))/Inputs!$C$39)*SIN(2*PI()*(Inputs!$C$6)/Inputs!$C$40)+-Inputs!$C$41*EXP(-(((Inputs!$C$6)-Inputs!$C$43)^2)/(2*Inputs!$C$44^2))*EXP(-((((Inputs!$I$9+(((A41)+1)/2)*(Inputs!$J$9-Inputs!$I$9)))-Inputs!$C$42)^2)/(2*Inputs!$C$45^2))+Inputs!$C$48*(0.7*(0.45*SIN(2*PI()*((((Inputs!$I$9+(((A41)+1)/2)*(Inputs!$J$9-Inputs!$I$9)))/Inputs!$C$49)+Inputs!$C$47*0.137))+0.35*COS(2*PI()*(((Inputs!$C$6)/Inputs!$C$50)+Inputs!$C$47*0.173))+0.2*SIN(2*PI()*((((Inputs!$I$9+(((A41)+1)/2)*(Inputs!$J$9-Inputs!$I$9)))+(Inputs!$C$6))/(0.5*(Inputs!$C$49+Inputs!$C$50))+Inputs!$C$47*0.097)))+0.3*(2*((SIN((((Inputs!$I$9+(((A41)+1)/2)*(Inputs!$J$9-Inputs!$I$9)))*12.9898+(Inputs!$C$6)*78.233+Inputs!$C$47*37.719))*43758.5453)-INT((SIN((((Inputs!$I$9+(((A41)+1)/2)*(Inputs!$J$9-Inputs!$I$9)))*12.9898+(Inputs!$C$6)*78.233+Inputs!$C$47*37.719))*43758.5453)))-1))),NA())</f>
        <v/>
      </c>
      <c r="AW41" s="10" t="n"/>
      <c r="AX41" s="9">
        <f>A41</f>
        <v/>
      </c>
      <c r="AY41" s="9">
        <f>0</f>
        <v/>
      </c>
      <c r="AZ41" s="9">
        <f>IF(OR(Inputs!$F$6=TRUE,Inputs!$F$6="TRUE",Inputs!$F$6=1),(Inputs!$H$6+Inputs!$L$6*(((Inputs!$I$6+(((A41)+1)/2)*(Inputs!$J$6-Inputs!$I$6)))/Inputs!$K$6)^2),NA())</f>
        <v/>
      </c>
      <c r="BA41" s="9">
        <f>IF(OR(Inputs!$F$7=TRUE,Inputs!$F$7="TRUE",Inputs!$F$7=1),(Inputs!$H$7+Inputs!$L$7*(((Inputs!$I$7+(((A41)+1)/2)*(Inputs!$J$7-Inputs!$I$7)))/Inputs!$K$7)^2),NA())</f>
        <v/>
      </c>
      <c r="BB41" s="9">
        <f>IF(OR(Inputs!$F$8=TRUE,Inputs!$F$8="TRUE",Inputs!$F$8=1),(Inputs!$H$8+Inputs!$L$8*(((Inputs!$I$8+(((A41)+1)/2)*(Inputs!$J$8-Inputs!$I$8)))/Inputs!$K$8)^2),NA())</f>
        <v/>
      </c>
      <c r="BC41" s="9">
        <f>IF(OR(Inputs!$F$9=TRUE,Inputs!$F$9="TRUE",Inputs!$F$9=1),(Inputs!$H$9+Inputs!$L$9*(((Inputs!$I$9+(((A41)+1)/2)*(Inputs!$J$9-Inputs!$I$9)))/Inputs!$K$9)^2),NA())</f>
        <v/>
      </c>
      <c r="BD41" s="10" t="n"/>
      <c r="BE41" s="9">
        <f>A41</f>
        <v/>
      </c>
      <c r="BF41" s="9">
        <f>0</f>
        <v/>
      </c>
      <c r="BG41" s="9">
        <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f>
        <v/>
      </c>
      <c r="BH41" s="9">
        <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f>
        <v/>
      </c>
      <c r="BI41" s="9">
        <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f>
        <v/>
      </c>
      <c r="BJ41" s="9">
        <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f>
        <v/>
      </c>
    </row>
    <row r="42">
      <c r="A42" s="9">
        <f>ROUND(-1+40*2/240,3)</f>
        <v/>
      </c>
      <c r="B42" s="9">
        <f>IF(OR(Inputs!$F$6=TRUE,Inputs!$F$6="TRUE",Inputs!$F$6=1),(Inputs!$H$6+Inputs!$L$6*(((Inputs!$I$6+(((A42)+1)/2)*(Inputs!$J$6-Inputs!$I$6)))/Inputs!$K$6)^2),NA())</f>
        <v/>
      </c>
      <c r="C42" s="9">
        <f>IF(OR(Inputs!$F$7=TRUE,Inputs!$F$7="TRUE",Inputs!$F$7=1),(Inputs!$H$7+Inputs!$L$7*(((Inputs!$I$7+(((A42)+1)/2)*(Inputs!$J$7-Inputs!$I$7)))/Inputs!$K$7)^2),NA())</f>
        <v/>
      </c>
      <c r="D42" s="9">
        <f>IF(OR(Inputs!$F$8=TRUE,Inputs!$F$8="TRUE",Inputs!$F$8=1),(Inputs!$H$8+Inputs!$L$8*(((Inputs!$I$8+(((A42)+1)/2)*(Inputs!$J$8-Inputs!$I$8)))/Inputs!$K$8)^2),NA())</f>
        <v/>
      </c>
      <c r="E42" s="9">
        <f>IF(OR(Inputs!$F$9=TRUE,Inputs!$F$9="TRUE",Inputs!$F$9=1),(Inputs!$H$9+Inputs!$L$9*(((Inputs!$I$9+(((A42)+1)/2)*(Inputs!$J$9-Inputs!$I$9)))/Inputs!$K$9)^2),NA())</f>
        <v/>
      </c>
      <c r="F42" s="10" t="n"/>
      <c r="G42" s="9">
        <f>A42</f>
        <v/>
      </c>
      <c r="H42" s="9">
        <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f>
        <v/>
      </c>
      <c r="I42" s="9">
        <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f>
        <v/>
      </c>
      <c r="J42" s="9">
        <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f>
        <v/>
      </c>
      <c r="K42" s="9">
        <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f>
        <v/>
      </c>
      <c r="L42" s="10" t="n"/>
      <c r="M42" s="9">
        <f>A42</f>
        <v/>
      </c>
      <c r="N42" s="9">
        <f>IF(OR(Inputs!$F$6=TRUE,Inputs!$F$6="TRUE",Inputs!$F$6=1),(-2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NA())</f>
        <v/>
      </c>
      <c r="O42" s="9">
        <f>IF(OR(Inputs!$F$7=TRUE,Inputs!$F$7="TRUE",Inputs!$F$7=1),(-2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NA())</f>
        <v/>
      </c>
      <c r="P42" s="9">
        <f>IF(OR(Inputs!$F$8=TRUE,Inputs!$F$8="TRUE",Inputs!$F$8=1),(-2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NA())</f>
        <v/>
      </c>
      <c r="Q42" s="9">
        <f>IF(OR(Inputs!$F$9=TRUE,Inputs!$F$9="TRUE",Inputs!$F$9=1),(-2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NA())</f>
        <v/>
      </c>
      <c r="R42" s="10" t="n"/>
      <c r="S42" s="9">
        <f>A42</f>
        <v/>
      </c>
      <c r="T42" s="9">
        <f>(Inputs!$I$6+(((A42)+1)/2)*(Inputs!$J$6-Inputs!$I$6))</f>
        <v/>
      </c>
      <c r="U42" s="9">
        <f>(Inputs!$I$7+(((A42)+1)/2)*(Inputs!$J$7-Inputs!$I$7))</f>
        <v/>
      </c>
      <c r="V42" s="9">
        <f>(Inputs!$I$8+(((A42)+1)/2)*(Inputs!$J$8-Inputs!$I$8))</f>
        <v/>
      </c>
      <c r="W42" s="9">
        <f>(Inputs!$I$9+(((A42)+1)/2)*(Inputs!$J$9-Inputs!$I$9))</f>
        <v/>
      </c>
      <c r="X42" s="10" t="n"/>
      <c r="Y42" s="9">
        <f>A42</f>
        <v/>
      </c>
      <c r="Z42" s="9">
        <f>(Inputs!$H$6+Inputs!$L$6*(((Inputs!$I$6+(((A42)+1)/2)*(Inputs!$J$6-Inputs!$I$6)))/Inputs!$K$6)^2)</f>
        <v/>
      </c>
      <c r="AA42" s="9">
        <f>(Inputs!$H$7+Inputs!$L$7*(((Inputs!$I$7+(((A42)+1)/2)*(Inputs!$J$7-Inputs!$I$7)))/Inputs!$K$7)^2)</f>
        <v/>
      </c>
      <c r="AB42" s="9">
        <f>(Inputs!$H$8+Inputs!$L$8*(((Inputs!$I$8+(((A42)+1)/2)*(Inputs!$J$8-Inputs!$I$8)))/Inputs!$K$8)^2)</f>
        <v/>
      </c>
      <c r="AC42" s="9">
        <f>(Inputs!$H$9+Inputs!$L$9*(((Inputs!$I$9+(((A42)+1)/2)*(Inputs!$J$9-Inputs!$I$9)))/Inputs!$K$9)^2)</f>
        <v/>
      </c>
      <c r="AD42" s="10" t="n"/>
      <c r="AE42" s="9">
        <f>A42</f>
        <v/>
      </c>
      <c r="AF42" s="9">
        <f>(((SQRT((Inputs!$C$52+((Inputs!$H$6+Inputs!$L$6*(((Inputs!$I$6+(((A42)+1)/2)*(Inputs!$J$6-Inputs!$I$6)))/Inputs!$K$6)^2)))^2+Inputs!$C$52^2-2*(Inputs!$C$52+((Inputs!$H$6+Inputs!$L$6*(((Inputs!$I$6+(((A42)+1)/2)*(Inputs!$J$6-Inputs!$I$6)))/Inputs!$K$6)^2)))*Inputs!$C$52*COS(SQRT(((Inputs!$I$6+(((A42)+1)/2)*(Inputs!$J$6-Inputs!$I$6)))^2+Inputs!$C$6^2)/Inputs!$C$52)))-((Inputs!$H$6+Inputs!$L$6*(((Inputs!$I$6+(((A42)+1)/2)*(Inputs!$J$6-Inputs!$I$6)))/Inputs!$K$6)^2)))*1000/Inputs!$C$12)</f>
        <v/>
      </c>
      <c r="AG42" s="9">
        <f>(((SQRT((Inputs!$C$52+((Inputs!$H$7+Inputs!$L$7*(((Inputs!$I$7+(((A42)+1)/2)*(Inputs!$J$7-Inputs!$I$7)))/Inputs!$K$7)^2)))^2+Inputs!$C$52^2-2*(Inputs!$C$52+((Inputs!$H$7+Inputs!$L$7*(((Inputs!$I$7+(((A42)+1)/2)*(Inputs!$J$7-Inputs!$I$7)))/Inputs!$K$7)^2)))*Inputs!$C$52*COS(SQRT(((Inputs!$I$7+(((A42)+1)/2)*(Inputs!$J$7-Inputs!$I$7)))^2+Inputs!$C$6^2)/Inputs!$C$52)))-((Inputs!$H$7+Inputs!$L$7*(((Inputs!$I$7+(((A42)+1)/2)*(Inputs!$J$7-Inputs!$I$7)))/Inputs!$K$7)^2)))*1000/Inputs!$C$12)</f>
        <v/>
      </c>
      <c r="AH42" s="9">
        <f>(((SQRT((Inputs!$C$52+((Inputs!$H$8+Inputs!$L$8*(((Inputs!$I$8+(((A42)+1)/2)*(Inputs!$J$8-Inputs!$I$8)))/Inputs!$K$8)^2)))^2+Inputs!$C$52^2-2*(Inputs!$C$52+((Inputs!$H$8+Inputs!$L$8*(((Inputs!$I$8+(((A42)+1)/2)*(Inputs!$J$8-Inputs!$I$8)))/Inputs!$K$8)^2)))*Inputs!$C$52*COS(SQRT(((Inputs!$I$8+(((A42)+1)/2)*(Inputs!$J$8-Inputs!$I$8)))^2+Inputs!$C$6^2)/Inputs!$C$52)))-((Inputs!$H$8+Inputs!$L$8*(((Inputs!$I$8+(((A42)+1)/2)*(Inputs!$J$8-Inputs!$I$8)))/Inputs!$K$8)^2)))*1000/Inputs!$C$12)</f>
        <v/>
      </c>
      <c r="AI42" s="9">
        <f>(((SQRT((Inputs!$C$52+((Inputs!$H$9+Inputs!$L$9*(((Inputs!$I$9+(((A42)+1)/2)*(Inputs!$J$9-Inputs!$I$9)))/Inputs!$K$9)^2)))^2+Inputs!$C$52^2-2*(Inputs!$C$52+((Inputs!$H$9+Inputs!$L$9*(((Inputs!$I$9+(((A42)+1)/2)*(Inputs!$J$9-Inputs!$I$9)))/Inputs!$K$9)^2)))*Inputs!$C$52*COS(SQRT(((Inputs!$I$9+(((A42)+1)/2)*(Inputs!$J$9-Inputs!$I$9)))^2+Inputs!$C$6^2)/Inputs!$C$52)))-((Inputs!$H$9+Inputs!$L$9*(((Inputs!$I$9+(((A42)+1)/2)*(Inputs!$J$9-Inputs!$I$9)))/Inputs!$K$9)^2)))*1000/Inputs!$C$12)</f>
        <v/>
      </c>
      <c r="AJ42" s="10" t="n"/>
      <c r="AK42" s="9">
        <f>A42</f>
        <v/>
      </c>
      <c r="AL42" s="9">
        <f>(-2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f>
        <v/>
      </c>
      <c r="AM42" s="9">
        <f>(-2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f>
        <v/>
      </c>
      <c r="AN42" s="9">
        <f>(-2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f>
        <v/>
      </c>
      <c r="AO42" s="9">
        <f>(-2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f>
        <v/>
      </c>
      <c r="AP42" s="10" t="n"/>
      <c r="AQ42" s="9">
        <f>A42</f>
        <v/>
      </c>
      <c r="AR42" s="9">
        <f>0</f>
        <v/>
      </c>
      <c r="AS42" s="9">
        <f>IF(OR(Inputs!$F$6=TRUE,Inputs!$F$6="TRUE",Inputs!$F$6=1),IF(OR(Inputs!$C$27=TRUE,Inputs!$C$27="TRUE",Inputs!$C$27=1),1,0)*(Inputs!$C$51*(115*EXP(-(((Inputs!$C$6)-25)^2)/(4.5^2))+70*EXP(-(((Inputs!$C$6)+38)^2)/(7^2))*(0.55+0.45*SIN(2*PI()*((Inputs!$I$6+(((A42)+1)/2)*(Inputs!$J$6-Inputs!$I$6)))/45))+24*SIN(2*PI()*(Inputs!$C$6)/9+((Inputs!$I$6+(((A42)+1)/2)*(Inputs!$J$6-Inputs!$I$6)))/18)*EXP(-(((Inputs!$C$6)+5)^2)/(22^2))+18*SIN(2*PI()*((Inputs!$I$6+(((A42)+1)/2)*(Inputs!$J$6-Inputs!$I$6)))/70))+Inputs!$C$28*EXP(-((((Inputs!$I$6+(((A42)+1)/2)*(Inputs!$J$6-Inputs!$I$6)))-Inputs!$C$29)^2)/(2*Inputs!$C$31^2))*EXP(-(((Inputs!$C$6)-Inputs!$C$30)^2)/(2*Inputs!$C$32^2))+-Inputs!$C$33*EXP(-((((((Inputs!$I$6+(((A42)+1)/2)*(Inputs!$J$6-Inputs!$I$6)))-Inputs!$C$34)^2)+(((Inputs!$C$6)-Inputs!$C$35)^2))/(2*Inputs!$C$36^2)))+Inputs!$C$37*(0.55*SIN(2*PI()*((Inputs!$I$6+(((A42)+1)/2)*(Inputs!$J$6-Inputs!$I$6)))/Inputs!$C$39)+0.35*COS(2*PI()*(Inputs!$C$6)/Inputs!$C$40)+0.2*SIN(2*PI()*(((Inputs!$I$6+(((A42)+1)/2)*(Inputs!$J$6-Inputs!$I$6)))+(Inputs!$C$6))/(0.5*(Inputs!$C$39+Inputs!$C$40))))+Inputs!$C$38*SIN(2*PI()*((Inputs!$I$6+(((A42)+1)/2)*(Inputs!$J$6-Inputs!$I$6)))/Inputs!$C$39)*SIN(2*PI()*(Inputs!$C$6)/Inputs!$C$40)+-Inputs!$C$41*EXP(-(((Inputs!$C$6)-Inputs!$C$43)^2)/(2*Inputs!$C$44^2))*EXP(-((((Inputs!$I$6+(((A42)+1)/2)*(Inputs!$J$6-Inputs!$I$6)))-Inputs!$C$42)^2)/(2*Inputs!$C$45^2))+Inputs!$C$48*(0.7*(0.45*SIN(2*PI()*((((Inputs!$I$6+(((A42)+1)/2)*(Inputs!$J$6-Inputs!$I$6)))/Inputs!$C$49)+Inputs!$C$47*0.137))+0.35*COS(2*PI()*(((Inputs!$C$6)/Inputs!$C$50)+Inputs!$C$47*0.173))+0.2*SIN(2*PI()*((((Inputs!$I$6+(((A42)+1)/2)*(Inputs!$J$6-Inputs!$I$6)))+(Inputs!$C$6))/(0.5*(Inputs!$C$49+Inputs!$C$50))+Inputs!$C$47*0.097)))+0.3*(2*((SIN((((Inputs!$I$6+(((A42)+1)/2)*(Inputs!$J$6-Inputs!$I$6)))*12.9898+(Inputs!$C$6)*78.233+Inputs!$C$47*37.719))*43758.5453)-INT((SIN((((Inputs!$I$6+(((A42)+1)/2)*(Inputs!$J$6-Inputs!$I$6)))*12.9898+(Inputs!$C$6)*78.233+Inputs!$C$47*37.719))*43758.5453)))-1))),NA())</f>
        <v/>
      </c>
      <c r="AT42" s="9">
        <f>IF(OR(Inputs!$F$7=TRUE,Inputs!$F$7="TRUE",Inputs!$F$7=1),IF(OR(Inputs!$C$27=TRUE,Inputs!$C$27="TRUE",Inputs!$C$27=1),1,0)*(Inputs!$C$51*(115*EXP(-(((Inputs!$C$6)-25)^2)/(4.5^2))+70*EXP(-(((Inputs!$C$6)+38)^2)/(7^2))*(0.55+0.45*SIN(2*PI()*((Inputs!$I$7+(((A42)+1)/2)*(Inputs!$J$7-Inputs!$I$7)))/45))+24*SIN(2*PI()*(Inputs!$C$6)/9+((Inputs!$I$7+(((A42)+1)/2)*(Inputs!$J$7-Inputs!$I$7)))/18)*EXP(-(((Inputs!$C$6)+5)^2)/(22^2))+18*SIN(2*PI()*((Inputs!$I$7+(((A42)+1)/2)*(Inputs!$J$7-Inputs!$I$7)))/70))+Inputs!$C$28*EXP(-((((Inputs!$I$7+(((A42)+1)/2)*(Inputs!$J$7-Inputs!$I$7)))-Inputs!$C$29)^2)/(2*Inputs!$C$31^2))*EXP(-(((Inputs!$C$6)-Inputs!$C$30)^2)/(2*Inputs!$C$32^2))+-Inputs!$C$33*EXP(-((((((Inputs!$I$7+(((A42)+1)/2)*(Inputs!$J$7-Inputs!$I$7)))-Inputs!$C$34)^2)+(((Inputs!$C$6)-Inputs!$C$35)^2))/(2*Inputs!$C$36^2)))+Inputs!$C$37*(0.55*SIN(2*PI()*((Inputs!$I$7+(((A42)+1)/2)*(Inputs!$J$7-Inputs!$I$7)))/Inputs!$C$39)+0.35*COS(2*PI()*(Inputs!$C$6)/Inputs!$C$40)+0.2*SIN(2*PI()*(((Inputs!$I$7+(((A42)+1)/2)*(Inputs!$J$7-Inputs!$I$7)))+(Inputs!$C$6))/(0.5*(Inputs!$C$39+Inputs!$C$40))))+Inputs!$C$38*SIN(2*PI()*((Inputs!$I$7+(((A42)+1)/2)*(Inputs!$J$7-Inputs!$I$7)))/Inputs!$C$39)*SIN(2*PI()*(Inputs!$C$6)/Inputs!$C$40)+-Inputs!$C$41*EXP(-(((Inputs!$C$6)-Inputs!$C$43)^2)/(2*Inputs!$C$44^2))*EXP(-((((Inputs!$I$7+(((A42)+1)/2)*(Inputs!$J$7-Inputs!$I$7)))-Inputs!$C$42)^2)/(2*Inputs!$C$45^2))+Inputs!$C$48*(0.7*(0.45*SIN(2*PI()*((((Inputs!$I$7+(((A42)+1)/2)*(Inputs!$J$7-Inputs!$I$7)))/Inputs!$C$49)+Inputs!$C$47*0.137))+0.35*COS(2*PI()*(((Inputs!$C$6)/Inputs!$C$50)+Inputs!$C$47*0.173))+0.2*SIN(2*PI()*((((Inputs!$I$7+(((A42)+1)/2)*(Inputs!$J$7-Inputs!$I$7)))+(Inputs!$C$6))/(0.5*(Inputs!$C$49+Inputs!$C$50))+Inputs!$C$47*0.097)))+0.3*(2*((SIN((((Inputs!$I$7+(((A42)+1)/2)*(Inputs!$J$7-Inputs!$I$7)))*12.9898+(Inputs!$C$6)*78.233+Inputs!$C$47*37.719))*43758.5453)-INT((SIN((((Inputs!$I$7+(((A42)+1)/2)*(Inputs!$J$7-Inputs!$I$7)))*12.9898+(Inputs!$C$6)*78.233+Inputs!$C$47*37.719))*43758.5453)))-1))),NA())</f>
        <v/>
      </c>
      <c r="AU42" s="9">
        <f>IF(OR(Inputs!$F$8=TRUE,Inputs!$F$8="TRUE",Inputs!$F$8=1),IF(OR(Inputs!$C$27=TRUE,Inputs!$C$27="TRUE",Inputs!$C$27=1),1,0)*(Inputs!$C$51*(115*EXP(-(((Inputs!$C$6)-25)^2)/(4.5^2))+70*EXP(-(((Inputs!$C$6)+38)^2)/(7^2))*(0.55+0.45*SIN(2*PI()*((Inputs!$I$8+(((A42)+1)/2)*(Inputs!$J$8-Inputs!$I$8)))/45))+24*SIN(2*PI()*(Inputs!$C$6)/9+((Inputs!$I$8+(((A42)+1)/2)*(Inputs!$J$8-Inputs!$I$8)))/18)*EXP(-(((Inputs!$C$6)+5)^2)/(22^2))+18*SIN(2*PI()*((Inputs!$I$8+(((A42)+1)/2)*(Inputs!$J$8-Inputs!$I$8)))/70))+Inputs!$C$28*EXP(-((((Inputs!$I$8+(((A42)+1)/2)*(Inputs!$J$8-Inputs!$I$8)))-Inputs!$C$29)^2)/(2*Inputs!$C$31^2))*EXP(-(((Inputs!$C$6)-Inputs!$C$30)^2)/(2*Inputs!$C$32^2))+-Inputs!$C$33*EXP(-((((((Inputs!$I$8+(((A42)+1)/2)*(Inputs!$J$8-Inputs!$I$8)))-Inputs!$C$34)^2)+(((Inputs!$C$6)-Inputs!$C$35)^2))/(2*Inputs!$C$36^2)))+Inputs!$C$37*(0.55*SIN(2*PI()*((Inputs!$I$8+(((A42)+1)/2)*(Inputs!$J$8-Inputs!$I$8)))/Inputs!$C$39)+0.35*COS(2*PI()*(Inputs!$C$6)/Inputs!$C$40)+0.2*SIN(2*PI()*(((Inputs!$I$8+(((A42)+1)/2)*(Inputs!$J$8-Inputs!$I$8)))+(Inputs!$C$6))/(0.5*(Inputs!$C$39+Inputs!$C$40))))+Inputs!$C$38*SIN(2*PI()*((Inputs!$I$8+(((A42)+1)/2)*(Inputs!$J$8-Inputs!$I$8)))/Inputs!$C$39)*SIN(2*PI()*(Inputs!$C$6)/Inputs!$C$40)+-Inputs!$C$41*EXP(-(((Inputs!$C$6)-Inputs!$C$43)^2)/(2*Inputs!$C$44^2))*EXP(-((((Inputs!$I$8+(((A42)+1)/2)*(Inputs!$J$8-Inputs!$I$8)))-Inputs!$C$42)^2)/(2*Inputs!$C$45^2))+Inputs!$C$48*(0.7*(0.45*SIN(2*PI()*((((Inputs!$I$8+(((A42)+1)/2)*(Inputs!$J$8-Inputs!$I$8)))/Inputs!$C$49)+Inputs!$C$47*0.137))+0.35*COS(2*PI()*(((Inputs!$C$6)/Inputs!$C$50)+Inputs!$C$47*0.173))+0.2*SIN(2*PI()*((((Inputs!$I$8+(((A42)+1)/2)*(Inputs!$J$8-Inputs!$I$8)))+(Inputs!$C$6))/(0.5*(Inputs!$C$49+Inputs!$C$50))+Inputs!$C$47*0.097)))+0.3*(2*((SIN((((Inputs!$I$8+(((A42)+1)/2)*(Inputs!$J$8-Inputs!$I$8)))*12.9898+(Inputs!$C$6)*78.233+Inputs!$C$47*37.719))*43758.5453)-INT((SIN((((Inputs!$I$8+(((A42)+1)/2)*(Inputs!$J$8-Inputs!$I$8)))*12.9898+(Inputs!$C$6)*78.233+Inputs!$C$47*37.719))*43758.5453)))-1))),NA())</f>
        <v/>
      </c>
      <c r="AV42" s="9">
        <f>IF(OR(Inputs!$F$9=TRUE,Inputs!$F$9="TRUE",Inputs!$F$9=1),IF(OR(Inputs!$C$27=TRUE,Inputs!$C$27="TRUE",Inputs!$C$27=1),1,0)*(Inputs!$C$51*(115*EXP(-(((Inputs!$C$6)-25)^2)/(4.5^2))+70*EXP(-(((Inputs!$C$6)+38)^2)/(7^2))*(0.55+0.45*SIN(2*PI()*((Inputs!$I$9+(((A42)+1)/2)*(Inputs!$J$9-Inputs!$I$9)))/45))+24*SIN(2*PI()*(Inputs!$C$6)/9+((Inputs!$I$9+(((A42)+1)/2)*(Inputs!$J$9-Inputs!$I$9)))/18)*EXP(-(((Inputs!$C$6)+5)^2)/(22^2))+18*SIN(2*PI()*((Inputs!$I$9+(((A42)+1)/2)*(Inputs!$J$9-Inputs!$I$9)))/70))+Inputs!$C$28*EXP(-((((Inputs!$I$9+(((A42)+1)/2)*(Inputs!$J$9-Inputs!$I$9)))-Inputs!$C$29)^2)/(2*Inputs!$C$31^2))*EXP(-(((Inputs!$C$6)-Inputs!$C$30)^2)/(2*Inputs!$C$32^2))+-Inputs!$C$33*EXP(-((((((Inputs!$I$9+(((A42)+1)/2)*(Inputs!$J$9-Inputs!$I$9)))-Inputs!$C$34)^2)+(((Inputs!$C$6)-Inputs!$C$35)^2))/(2*Inputs!$C$36^2)))+Inputs!$C$37*(0.55*SIN(2*PI()*((Inputs!$I$9+(((A42)+1)/2)*(Inputs!$J$9-Inputs!$I$9)))/Inputs!$C$39)+0.35*COS(2*PI()*(Inputs!$C$6)/Inputs!$C$40)+0.2*SIN(2*PI()*(((Inputs!$I$9+(((A42)+1)/2)*(Inputs!$J$9-Inputs!$I$9)))+(Inputs!$C$6))/(0.5*(Inputs!$C$39+Inputs!$C$40))))+Inputs!$C$38*SIN(2*PI()*((Inputs!$I$9+(((A42)+1)/2)*(Inputs!$J$9-Inputs!$I$9)))/Inputs!$C$39)*SIN(2*PI()*(Inputs!$C$6)/Inputs!$C$40)+-Inputs!$C$41*EXP(-(((Inputs!$C$6)-Inputs!$C$43)^2)/(2*Inputs!$C$44^2))*EXP(-((((Inputs!$I$9+(((A42)+1)/2)*(Inputs!$J$9-Inputs!$I$9)))-Inputs!$C$42)^2)/(2*Inputs!$C$45^2))+Inputs!$C$48*(0.7*(0.45*SIN(2*PI()*((((Inputs!$I$9+(((A42)+1)/2)*(Inputs!$J$9-Inputs!$I$9)))/Inputs!$C$49)+Inputs!$C$47*0.137))+0.35*COS(2*PI()*(((Inputs!$C$6)/Inputs!$C$50)+Inputs!$C$47*0.173))+0.2*SIN(2*PI()*((((Inputs!$I$9+(((A42)+1)/2)*(Inputs!$J$9-Inputs!$I$9)))+(Inputs!$C$6))/(0.5*(Inputs!$C$49+Inputs!$C$50))+Inputs!$C$47*0.097)))+0.3*(2*((SIN((((Inputs!$I$9+(((A42)+1)/2)*(Inputs!$J$9-Inputs!$I$9)))*12.9898+(Inputs!$C$6)*78.233+Inputs!$C$47*37.719))*43758.5453)-INT((SIN((((Inputs!$I$9+(((A42)+1)/2)*(Inputs!$J$9-Inputs!$I$9)))*12.9898+(Inputs!$C$6)*78.233+Inputs!$C$47*37.719))*43758.5453)))-1))),NA())</f>
        <v/>
      </c>
      <c r="AW42" s="10" t="n"/>
      <c r="AX42" s="9">
        <f>A42</f>
        <v/>
      </c>
      <c r="AY42" s="9">
        <f>0</f>
        <v/>
      </c>
      <c r="AZ42" s="9">
        <f>IF(OR(Inputs!$F$6=TRUE,Inputs!$F$6="TRUE",Inputs!$F$6=1),(Inputs!$H$6+Inputs!$L$6*(((Inputs!$I$6+(((A42)+1)/2)*(Inputs!$J$6-Inputs!$I$6)))/Inputs!$K$6)^2),NA())</f>
        <v/>
      </c>
      <c r="BA42" s="9">
        <f>IF(OR(Inputs!$F$7=TRUE,Inputs!$F$7="TRUE",Inputs!$F$7=1),(Inputs!$H$7+Inputs!$L$7*(((Inputs!$I$7+(((A42)+1)/2)*(Inputs!$J$7-Inputs!$I$7)))/Inputs!$K$7)^2),NA())</f>
        <v/>
      </c>
      <c r="BB42" s="9">
        <f>IF(OR(Inputs!$F$8=TRUE,Inputs!$F$8="TRUE",Inputs!$F$8=1),(Inputs!$H$8+Inputs!$L$8*(((Inputs!$I$8+(((A42)+1)/2)*(Inputs!$J$8-Inputs!$I$8)))/Inputs!$K$8)^2),NA())</f>
        <v/>
      </c>
      <c r="BC42" s="9">
        <f>IF(OR(Inputs!$F$9=TRUE,Inputs!$F$9="TRUE",Inputs!$F$9=1),(Inputs!$H$9+Inputs!$L$9*(((Inputs!$I$9+(((A42)+1)/2)*(Inputs!$J$9-Inputs!$I$9)))/Inputs!$K$9)^2),NA())</f>
        <v/>
      </c>
      <c r="BD42" s="10" t="n"/>
      <c r="BE42" s="9">
        <f>A42</f>
        <v/>
      </c>
      <c r="BF42" s="9">
        <f>0</f>
        <v/>
      </c>
      <c r="BG42" s="9">
        <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f>
        <v/>
      </c>
      <c r="BH42" s="9">
        <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f>
        <v/>
      </c>
      <c r="BI42" s="9">
        <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f>
        <v/>
      </c>
      <c r="BJ42" s="9">
        <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f>
        <v/>
      </c>
    </row>
    <row r="43">
      <c r="A43" s="9">
        <f>ROUND(-1+41*2/240,3)</f>
        <v/>
      </c>
      <c r="B43" s="9">
        <f>IF(OR(Inputs!$F$6=TRUE,Inputs!$F$6="TRUE",Inputs!$F$6=1),(Inputs!$H$6+Inputs!$L$6*(((Inputs!$I$6+(((A43)+1)/2)*(Inputs!$J$6-Inputs!$I$6)))/Inputs!$K$6)^2),NA())</f>
        <v/>
      </c>
      <c r="C43" s="9">
        <f>IF(OR(Inputs!$F$7=TRUE,Inputs!$F$7="TRUE",Inputs!$F$7=1),(Inputs!$H$7+Inputs!$L$7*(((Inputs!$I$7+(((A43)+1)/2)*(Inputs!$J$7-Inputs!$I$7)))/Inputs!$K$7)^2),NA())</f>
        <v/>
      </c>
      <c r="D43" s="9">
        <f>IF(OR(Inputs!$F$8=TRUE,Inputs!$F$8="TRUE",Inputs!$F$8=1),(Inputs!$H$8+Inputs!$L$8*(((Inputs!$I$8+(((A43)+1)/2)*(Inputs!$J$8-Inputs!$I$8)))/Inputs!$K$8)^2),NA())</f>
        <v/>
      </c>
      <c r="E43" s="9">
        <f>IF(OR(Inputs!$F$9=TRUE,Inputs!$F$9="TRUE",Inputs!$F$9=1),(Inputs!$H$9+Inputs!$L$9*(((Inputs!$I$9+(((A43)+1)/2)*(Inputs!$J$9-Inputs!$I$9)))/Inputs!$K$9)^2),NA())</f>
        <v/>
      </c>
      <c r="F43" s="10" t="n"/>
      <c r="G43" s="9">
        <f>A43</f>
        <v/>
      </c>
      <c r="H43" s="9">
        <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f>
        <v/>
      </c>
      <c r="I43" s="9">
        <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f>
        <v/>
      </c>
      <c r="J43" s="9">
        <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f>
        <v/>
      </c>
      <c r="K43" s="9">
        <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f>
        <v/>
      </c>
      <c r="L43" s="10" t="n"/>
      <c r="M43" s="9">
        <f>A43</f>
        <v/>
      </c>
      <c r="N43" s="9">
        <f>IF(OR(Inputs!$F$6=TRUE,Inputs!$F$6="TRUE",Inputs!$F$6=1),(-2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NA())</f>
        <v/>
      </c>
      <c r="O43" s="9">
        <f>IF(OR(Inputs!$F$7=TRUE,Inputs!$F$7="TRUE",Inputs!$F$7=1),(-2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NA())</f>
        <v/>
      </c>
      <c r="P43" s="9">
        <f>IF(OR(Inputs!$F$8=TRUE,Inputs!$F$8="TRUE",Inputs!$F$8=1),(-2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NA())</f>
        <v/>
      </c>
      <c r="Q43" s="9">
        <f>IF(OR(Inputs!$F$9=TRUE,Inputs!$F$9="TRUE",Inputs!$F$9=1),(-2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NA())</f>
        <v/>
      </c>
      <c r="R43" s="10" t="n"/>
      <c r="S43" s="9">
        <f>A43</f>
        <v/>
      </c>
      <c r="T43" s="9">
        <f>(Inputs!$I$6+(((A43)+1)/2)*(Inputs!$J$6-Inputs!$I$6))</f>
        <v/>
      </c>
      <c r="U43" s="9">
        <f>(Inputs!$I$7+(((A43)+1)/2)*(Inputs!$J$7-Inputs!$I$7))</f>
        <v/>
      </c>
      <c r="V43" s="9">
        <f>(Inputs!$I$8+(((A43)+1)/2)*(Inputs!$J$8-Inputs!$I$8))</f>
        <v/>
      </c>
      <c r="W43" s="9">
        <f>(Inputs!$I$9+(((A43)+1)/2)*(Inputs!$J$9-Inputs!$I$9))</f>
        <v/>
      </c>
      <c r="X43" s="10" t="n"/>
      <c r="Y43" s="9">
        <f>A43</f>
        <v/>
      </c>
      <c r="Z43" s="9">
        <f>(Inputs!$H$6+Inputs!$L$6*(((Inputs!$I$6+(((A43)+1)/2)*(Inputs!$J$6-Inputs!$I$6)))/Inputs!$K$6)^2)</f>
        <v/>
      </c>
      <c r="AA43" s="9">
        <f>(Inputs!$H$7+Inputs!$L$7*(((Inputs!$I$7+(((A43)+1)/2)*(Inputs!$J$7-Inputs!$I$7)))/Inputs!$K$7)^2)</f>
        <v/>
      </c>
      <c r="AB43" s="9">
        <f>(Inputs!$H$8+Inputs!$L$8*(((Inputs!$I$8+(((A43)+1)/2)*(Inputs!$J$8-Inputs!$I$8)))/Inputs!$K$8)^2)</f>
        <v/>
      </c>
      <c r="AC43" s="9">
        <f>(Inputs!$H$9+Inputs!$L$9*(((Inputs!$I$9+(((A43)+1)/2)*(Inputs!$J$9-Inputs!$I$9)))/Inputs!$K$9)^2)</f>
        <v/>
      </c>
      <c r="AD43" s="10" t="n"/>
      <c r="AE43" s="9">
        <f>A43</f>
        <v/>
      </c>
      <c r="AF43" s="9">
        <f>(((SQRT((Inputs!$C$52+((Inputs!$H$6+Inputs!$L$6*(((Inputs!$I$6+(((A43)+1)/2)*(Inputs!$J$6-Inputs!$I$6)))/Inputs!$K$6)^2)))^2+Inputs!$C$52^2-2*(Inputs!$C$52+((Inputs!$H$6+Inputs!$L$6*(((Inputs!$I$6+(((A43)+1)/2)*(Inputs!$J$6-Inputs!$I$6)))/Inputs!$K$6)^2)))*Inputs!$C$52*COS(SQRT(((Inputs!$I$6+(((A43)+1)/2)*(Inputs!$J$6-Inputs!$I$6)))^2+Inputs!$C$6^2)/Inputs!$C$52)))-((Inputs!$H$6+Inputs!$L$6*(((Inputs!$I$6+(((A43)+1)/2)*(Inputs!$J$6-Inputs!$I$6)))/Inputs!$K$6)^2)))*1000/Inputs!$C$12)</f>
        <v/>
      </c>
      <c r="AG43" s="9">
        <f>(((SQRT((Inputs!$C$52+((Inputs!$H$7+Inputs!$L$7*(((Inputs!$I$7+(((A43)+1)/2)*(Inputs!$J$7-Inputs!$I$7)))/Inputs!$K$7)^2)))^2+Inputs!$C$52^2-2*(Inputs!$C$52+((Inputs!$H$7+Inputs!$L$7*(((Inputs!$I$7+(((A43)+1)/2)*(Inputs!$J$7-Inputs!$I$7)))/Inputs!$K$7)^2)))*Inputs!$C$52*COS(SQRT(((Inputs!$I$7+(((A43)+1)/2)*(Inputs!$J$7-Inputs!$I$7)))^2+Inputs!$C$6^2)/Inputs!$C$52)))-((Inputs!$H$7+Inputs!$L$7*(((Inputs!$I$7+(((A43)+1)/2)*(Inputs!$J$7-Inputs!$I$7)))/Inputs!$K$7)^2)))*1000/Inputs!$C$12)</f>
        <v/>
      </c>
      <c r="AH43" s="9">
        <f>(((SQRT((Inputs!$C$52+((Inputs!$H$8+Inputs!$L$8*(((Inputs!$I$8+(((A43)+1)/2)*(Inputs!$J$8-Inputs!$I$8)))/Inputs!$K$8)^2)))^2+Inputs!$C$52^2-2*(Inputs!$C$52+((Inputs!$H$8+Inputs!$L$8*(((Inputs!$I$8+(((A43)+1)/2)*(Inputs!$J$8-Inputs!$I$8)))/Inputs!$K$8)^2)))*Inputs!$C$52*COS(SQRT(((Inputs!$I$8+(((A43)+1)/2)*(Inputs!$J$8-Inputs!$I$8)))^2+Inputs!$C$6^2)/Inputs!$C$52)))-((Inputs!$H$8+Inputs!$L$8*(((Inputs!$I$8+(((A43)+1)/2)*(Inputs!$J$8-Inputs!$I$8)))/Inputs!$K$8)^2)))*1000/Inputs!$C$12)</f>
        <v/>
      </c>
      <c r="AI43" s="9">
        <f>(((SQRT((Inputs!$C$52+((Inputs!$H$9+Inputs!$L$9*(((Inputs!$I$9+(((A43)+1)/2)*(Inputs!$J$9-Inputs!$I$9)))/Inputs!$K$9)^2)))^2+Inputs!$C$52^2-2*(Inputs!$C$52+((Inputs!$H$9+Inputs!$L$9*(((Inputs!$I$9+(((A43)+1)/2)*(Inputs!$J$9-Inputs!$I$9)))/Inputs!$K$9)^2)))*Inputs!$C$52*COS(SQRT(((Inputs!$I$9+(((A43)+1)/2)*(Inputs!$J$9-Inputs!$I$9)))^2+Inputs!$C$6^2)/Inputs!$C$52)))-((Inputs!$H$9+Inputs!$L$9*(((Inputs!$I$9+(((A43)+1)/2)*(Inputs!$J$9-Inputs!$I$9)))/Inputs!$K$9)^2)))*1000/Inputs!$C$12)</f>
        <v/>
      </c>
      <c r="AJ43" s="10" t="n"/>
      <c r="AK43" s="9">
        <f>A43</f>
        <v/>
      </c>
      <c r="AL43" s="9">
        <f>(-2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f>
        <v/>
      </c>
      <c r="AM43" s="9">
        <f>(-2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f>
        <v/>
      </c>
      <c r="AN43" s="9">
        <f>(-2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f>
        <v/>
      </c>
      <c r="AO43" s="9">
        <f>(-2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f>
        <v/>
      </c>
      <c r="AP43" s="10" t="n"/>
      <c r="AQ43" s="9">
        <f>A43</f>
        <v/>
      </c>
      <c r="AR43" s="9">
        <f>0</f>
        <v/>
      </c>
      <c r="AS43" s="9">
        <f>IF(OR(Inputs!$F$6=TRUE,Inputs!$F$6="TRUE",Inputs!$F$6=1),IF(OR(Inputs!$C$27=TRUE,Inputs!$C$27="TRUE",Inputs!$C$27=1),1,0)*(Inputs!$C$51*(115*EXP(-(((Inputs!$C$6)-25)^2)/(4.5^2))+70*EXP(-(((Inputs!$C$6)+38)^2)/(7^2))*(0.55+0.45*SIN(2*PI()*((Inputs!$I$6+(((A43)+1)/2)*(Inputs!$J$6-Inputs!$I$6)))/45))+24*SIN(2*PI()*(Inputs!$C$6)/9+((Inputs!$I$6+(((A43)+1)/2)*(Inputs!$J$6-Inputs!$I$6)))/18)*EXP(-(((Inputs!$C$6)+5)^2)/(22^2))+18*SIN(2*PI()*((Inputs!$I$6+(((A43)+1)/2)*(Inputs!$J$6-Inputs!$I$6)))/70))+Inputs!$C$28*EXP(-((((Inputs!$I$6+(((A43)+1)/2)*(Inputs!$J$6-Inputs!$I$6)))-Inputs!$C$29)^2)/(2*Inputs!$C$31^2))*EXP(-(((Inputs!$C$6)-Inputs!$C$30)^2)/(2*Inputs!$C$32^2))+-Inputs!$C$33*EXP(-((((((Inputs!$I$6+(((A43)+1)/2)*(Inputs!$J$6-Inputs!$I$6)))-Inputs!$C$34)^2)+(((Inputs!$C$6)-Inputs!$C$35)^2))/(2*Inputs!$C$36^2)))+Inputs!$C$37*(0.55*SIN(2*PI()*((Inputs!$I$6+(((A43)+1)/2)*(Inputs!$J$6-Inputs!$I$6)))/Inputs!$C$39)+0.35*COS(2*PI()*(Inputs!$C$6)/Inputs!$C$40)+0.2*SIN(2*PI()*(((Inputs!$I$6+(((A43)+1)/2)*(Inputs!$J$6-Inputs!$I$6)))+(Inputs!$C$6))/(0.5*(Inputs!$C$39+Inputs!$C$40))))+Inputs!$C$38*SIN(2*PI()*((Inputs!$I$6+(((A43)+1)/2)*(Inputs!$J$6-Inputs!$I$6)))/Inputs!$C$39)*SIN(2*PI()*(Inputs!$C$6)/Inputs!$C$40)+-Inputs!$C$41*EXP(-(((Inputs!$C$6)-Inputs!$C$43)^2)/(2*Inputs!$C$44^2))*EXP(-((((Inputs!$I$6+(((A43)+1)/2)*(Inputs!$J$6-Inputs!$I$6)))-Inputs!$C$42)^2)/(2*Inputs!$C$45^2))+Inputs!$C$48*(0.7*(0.45*SIN(2*PI()*((((Inputs!$I$6+(((A43)+1)/2)*(Inputs!$J$6-Inputs!$I$6)))/Inputs!$C$49)+Inputs!$C$47*0.137))+0.35*COS(2*PI()*(((Inputs!$C$6)/Inputs!$C$50)+Inputs!$C$47*0.173))+0.2*SIN(2*PI()*((((Inputs!$I$6+(((A43)+1)/2)*(Inputs!$J$6-Inputs!$I$6)))+(Inputs!$C$6))/(0.5*(Inputs!$C$49+Inputs!$C$50))+Inputs!$C$47*0.097)))+0.3*(2*((SIN((((Inputs!$I$6+(((A43)+1)/2)*(Inputs!$J$6-Inputs!$I$6)))*12.9898+(Inputs!$C$6)*78.233+Inputs!$C$47*37.719))*43758.5453)-INT((SIN((((Inputs!$I$6+(((A43)+1)/2)*(Inputs!$J$6-Inputs!$I$6)))*12.9898+(Inputs!$C$6)*78.233+Inputs!$C$47*37.719))*43758.5453)))-1))),NA())</f>
        <v/>
      </c>
      <c r="AT43" s="9">
        <f>IF(OR(Inputs!$F$7=TRUE,Inputs!$F$7="TRUE",Inputs!$F$7=1),IF(OR(Inputs!$C$27=TRUE,Inputs!$C$27="TRUE",Inputs!$C$27=1),1,0)*(Inputs!$C$51*(115*EXP(-(((Inputs!$C$6)-25)^2)/(4.5^2))+70*EXP(-(((Inputs!$C$6)+38)^2)/(7^2))*(0.55+0.45*SIN(2*PI()*((Inputs!$I$7+(((A43)+1)/2)*(Inputs!$J$7-Inputs!$I$7)))/45))+24*SIN(2*PI()*(Inputs!$C$6)/9+((Inputs!$I$7+(((A43)+1)/2)*(Inputs!$J$7-Inputs!$I$7)))/18)*EXP(-(((Inputs!$C$6)+5)^2)/(22^2))+18*SIN(2*PI()*((Inputs!$I$7+(((A43)+1)/2)*(Inputs!$J$7-Inputs!$I$7)))/70))+Inputs!$C$28*EXP(-((((Inputs!$I$7+(((A43)+1)/2)*(Inputs!$J$7-Inputs!$I$7)))-Inputs!$C$29)^2)/(2*Inputs!$C$31^2))*EXP(-(((Inputs!$C$6)-Inputs!$C$30)^2)/(2*Inputs!$C$32^2))+-Inputs!$C$33*EXP(-((((((Inputs!$I$7+(((A43)+1)/2)*(Inputs!$J$7-Inputs!$I$7)))-Inputs!$C$34)^2)+(((Inputs!$C$6)-Inputs!$C$35)^2))/(2*Inputs!$C$36^2)))+Inputs!$C$37*(0.55*SIN(2*PI()*((Inputs!$I$7+(((A43)+1)/2)*(Inputs!$J$7-Inputs!$I$7)))/Inputs!$C$39)+0.35*COS(2*PI()*(Inputs!$C$6)/Inputs!$C$40)+0.2*SIN(2*PI()*(((Inputs!$I$7+(((A43)+1)/2)*(Inputs!$J$7-Inputs!$I$7)))+(Inputs!$C$6))/(0.5*(Inputs!$C$39+Inputs!$C$40))))+Inputs!$C$38*SIN(2*PI()*((Inputs!$I$7+(((A43)+1)/2)*(Inputs!$J$7-Inputs!$I$7)))/Inputs!$C$39)*SIN(2*PI()*(Inputs!$C$6)/Inputs!$C$40)+-Inputs!$C$41*EXP(-(((Inputs!$C$6)-Inputs!$C$43)^2)/(2*Inputs!$C$44^2))*EXP(-((((Inputs!$I$7+(((A43)+1)/2)*(Inputs!$J$7-Inputs!$I$7)))-Inputs!$C$42)^2)/(2*Inputs!$C$45^2))+Inputs!$C$48*(0.7*(0.45*SIN(2*PI()*((((Inputs!$I$7+(((A43)+1)/2)*(Inputs!$J$7-Inputs!$I$7)))/Inputs!$C$49)+Inputs!$C$47*0.137))+0.35*COS(2*PI()*(((Inputs!$C$6)/Inputs!$C$50)+Inputs!$C$47*0.173))+0.2*SIN(2*PI()*((((Inputs!$I$7+(((A43)+1)/2)*(Inputs!$J$7-Inputs!$I$7)))+(Inputs!$C$6))/(0.5*(Inputs!$C$49+Inputs!$C$50))+Inputs!$C$47*0.097)))+0.3*(2*((SIN((((Inputs!$I$7+(((A43)+1)/2)*(Inputs!$J$7-Inputs!$I$7)))*12.9898+(Inputs!$C$6)*78.233+Inputs!$C$47*37.719))*43758.5453)-INT((SIN((((Inputs!$I$7+(((A43)+1)/2)*(Inputs!$J$7-Inputs!$I$7)))*12.9898+(Inputs!$C$6)*78.233+Inputs!$C$47*37.719))*43758.5453)))-1))),NA())</f>
        <v/>
      </c>
      <c r="AU43" s="9">
        <f>IF(OR(Inputs!$F$8=TRUE,Inputs!$F$8="TRUE",Inputs!$F$8=1),IF(OR(Inputs!$C$27=TRUE,Inputs!$C$27="TRUE",Inputs!$C$27=1),1,0)*(Inputs!$C$51*(115*EXP(-(((Inputs!$C$6)-25)^2)/(4.5^2))+70*EXP(-(((Inputs!$C$6)+38)^2)/(7^2))*(0.55+0.45*SIN(2*PI()*((Inputs!$I$8+(((A43)+1)/2)*(Inputs!$J$8-Inputs!$I$8)))/45))+24*SIN(2*PI()*(Inputs!$C$6)/9+((Inputs!$I$8+(((A43)+1)/2)*(Inputs!$J$8-Inputs!$I$8)))/18)*EXP(-(((Inputs!$C$6)+5)^2)/(22^2))+18*SIN(2*PI()*((Inputs!$I$8+(((A43)+1)/2)*(Inputs!$J$8-Inputs!$I$8)))/70))+Inputs!$C$28*EXP(-((((Inputs!$I$8+(((A43)+1)/2)*(Inputs!$J$8-Inputs!$I$8)))-Inputs!$C$29)^2)/(2*Inputs!$C$31^2))*EXP(-(((Inputs!$C$6)-Inputs!$C$30)^2)/(2*Inputs!$C$32^2))+-Inputs!$C$33*EXP(-((((((Inputs!$I$8+(((A43)+1)/2)*(Inputs!$J$8-Inputs!$I$8)))-Inputs!$C$34)^2)+(((Inputs!$C$6)-Inputs!$C$35)^2))/(2*Inputs!$C$36^2)))+Inputs!$C$37*(0.55*SIN(2*PI()*((Inputs!$I$8+(((A43)+1)/2)*(Inputs!$J$8-Inputs!$I$8)))/Inputs!$C$39)+0.35*COS(2*PI()*(Inputs!$C$6)/Inputs!$C$40)+0.2*SIN(2*PI()*(((Inputs!$I$8+(((A43)+1)/2)*(Inputs!$J$8-Inputs!$I$8)))+(Inputs!$C$6))/(0.5*(Inputs!$C$39+Inputs!$C$40))))+Inputs!$C$38*SIN(2*PI()*((Inputs!$I$8+(((A43)+1)/2)*(Inputs!$J$8-Inputs!$I$8)))/Inputs!$C$39)*SIN(2*PI()*(Inputs!$C$6)/Inputs!$C$40)+-Inputs!$C$41*EXP(-(((Inputs!$C$6)-Inputs!$C$43)^2)/(2*Inputs!$C$44^2))*EXP(-((((Inputs!$I$8+(((A43)+1)/2)*(Inputs!$J$8-Inputs!$I$8)))-Inputs!$C$42)^2)/(2*Inputs!$C$45^2))+Inputs!$C$48*(0.7*(0.45*SIN(2*PI()*((((Inputs!$I$8+(((A43)+1)/2)*(Inputs!$J$8-Inputs!$I$8)))/Inputs!$C$49)+Inputs!$C$47*0.137))+0.35*COS(2*PI()*(((Inputs!$C$6)/Inputs!$C$50)+Inputs!$C$47*0.173))+0.2*SIN(2*PI()*((((Inputs!$I$8+(((A43)+1)/2)*(Inputs!$J$8-Inputs!$I$8)))+(Inputs!$C$6))/(0.5*(Inputs!$C$49+Inputs!$C$50))+Inputs!$C$47*0.097)))+0.3*(2*((SIN((((Inputs!$I$8+(((A43)+1)/2)*(Inputs!$J$8-Inputs!$I$8)))*12.9898+(Inputs!$C$6)*78.233+Inputs!$C$47*37.719))*43758.5453)-INT((SIN((((Inputs!$I$8+(((A43)+1)/2)*(Inputs!$J$8-Inputs!$I$8)))*12.9898+(Inputs!$C$6)*78.233+Inputs!$C$47*37.719))*43758.5453)))-1))),NA())</f>
        <v/>
      </c>
      <c r="AV43" s="9">
        <f>IF(OR(Inputs!$F$9=TRUE,Inputs!$F$9="TRUE",Inputs!$F$9=1),IF(OR(Inputs!$C$27=TRUE,Inputs!$C$27="TRUE",Inputs!$C$27=1),1,0)*(Inputs!$C$51*(115*EXP(-(((Inputs!$C$6)-25)^2)/(4.5^2))+70*EXP(-(((Inputs!$C$6)+38)^2)/(7^2))*(0.55+0.45*SIN(2*PI()*((Inputs!$I$9+(((A43)+1)/2)*(Inputs!$J$9-Inputs!$I$9)))/45))+24*SIN(2*PI()*(Inputs!$C$6)/9+((Inputs!$I$9+(((A43)+1)/2)*(Inputs!$J$9-Inputs!$I$9)))/18)*EXP(-(((Inputs!$C$6)+5)^2)/(22^2))+18*SIN(2*PI()*((Inputs!$I$9+(((A43)+1)/2)*(Inputs!$J$9-Inputs!$I$9)))/70))+Inputs!$C$28*EXP(-((((Inputs!$I$9+(((A43)+1)/2)*(Inputs!$J$9-Inputs!$I$9)))-Inputs!$C$29)^2)/(2*Inputs!$C$31^2))*EXP(-(((Inputs!$C$6)-Inputs!$C$30)^2)/(2*Inputs!$C$32^2))+-Inputs!$C$33*EXP(-((((((Inputs!$I$9+(((A43)+1)/2)*(Inputs!$J$9-Inputs!$I$9)))-Inputs!$C$34)^2)+(((Inputs!$C$6)-Inputs!$C$35)^2))/(2*Inputs!$C$36^2)))+Inputs!$C$37*(0.55*SIN(2*PI()*((Inputs!$I$9+(((A43)+1)/2)*(Inputs!$J$9-Inputs!$I$9)))/Inputs!$C$39)+0.35*COS(2*PI()*(Inputs!$C$6)/Inputs!$C$40)+0.2*SIN(2*PI()*(((Inputs!$I$9+(((A43)+1)/2)*(Inputs!$J$9-Inputs!$I$9)))+(Inputs!$C$6))/(0.5*(Inputs!$C$39+Inputs!$C$40))))+Inputs!$C$38*SIN(2*PI()*((Inputs!$I$9+(((A43)+1)/2)*(Inputs!$J$9-Inputs!$I$9)))/Inputs!$C$39)*SIN(2*PI()*(Inputs!$C$6)/Inputs!$C$40)+-Inputs!$C$41*EXP(-(((Inputs!$C$6)-Inputs!$C$43)^2)/(2*Inputs!$C$44^2))*EXP(-((((Inputs!$I$9+(((A43)+1)/2)*(Inputs!$J$9-Inputs!$I$9)))-Inputs!$C$42)^2)/(2*Inputs!$C$45^2))+Inputs!$C$48*(0.7*(0.45*SIN(2*PI()*((((Inputs!$I$9+(((A43)+1)/2)*(Inputs!$J$9-Inputs!$I$9)))/Inputs!$C$49)+Inputs!$C$47*0.137))+0.35*COS(2*PI()*(((Inputs!$C$6)/Inputs!$C$50)+Inputs!$C$47*0.173))+0.2*SIN(2*PI()*((((Inputs!$I$9+(((A43)+1)/2)*(Inputs!$J$9-Inputs!$I$9)))+(Inputs!$C$6))/(0.5*(Inputs!$C$49+Inputs!$C$50))+Inputs!$C$47*0.097)))+0.3*(2*((SIN((((Inputs!$I$9+(((A43)+1)/2)*(Inputs!$J$9-Inputs!$I$9)))*12.9898+(Inputs!$C$6)*78.233+Inputs!$C$47*37.719))*43758.5453)-INT((SIN((((Inputs!$I$9+(((A43)+1)/2)*(Inputs!$J$9-Inputs!$I$9)))*12.9898+(Inputs!$C$6)*78.233+Inputs!$C$47*37.719))*43758.5453)))-1))),NA())</f>
        <v/>
      </c>
      <c r="AW43" s="10" t="n"/>
      <c r="AX43" s="9">
        <f>A43</f>
        <v/>
      </c>
      <c r="AY43" s="9">
        <f>0</f>
        <v/>
      </c>
      <c r="AZ43" s="9">
        <f>IF(OR(Inputs!$F$6=TRUE,Inputs!$F$6="TRUE",Inputs!$F$6=1),(Inputs!$H$6+Inputs!$L$6*(((Inputs!$I$6+(((A43)+1)/2)*(Inputs!$J$6-Inputs!$I$6)))/Inputs!$K$6)^2),NA())</f>
        <v/>
      </c>
      <c r="BA43" s="9">
        <f>IF(OR(Inputs!$F$7=TRUE,Inputs!$F$7="TRUE",Inputs!$F$7=1),(Inputs!$H$7+Inputs!$L$7*(((Inputs!$I$7+(((A43)+1)/2)*(Inputs!$J$7-Inputs!$I$7)))/Inputs!$K$7)^2),NA())</f>
        <v/>
      </c>
      <c r="BB43" s="9">
        <f>IF(OR(Inputs!$F$8=TRUE,Inputs!$F$8="TRUE",Inputs!$F$8=1),(Inputs!$H$8+Inputs!$L$8*(((Inputs!$I$8+(((A43)+1)/2)*(Inputs!$J$8-Inputs!$I$8)))/Inputs!$K$8)^2),NA())</f>
        <v/>
      </c>
      <c r="BC43" s="9">
        <f>IF(OR(Inputs!$F$9=TRUE,Inputs!$F$9="TRUE",Inputs!$F$9=1),(Inputs!$H$9+Inputs!$L$9*(((Inputs!$I$9+(((A43)+1)/2)*(Inputs!$J$9-Inputs!$I$9)))/Inputs!$K$9)^2),NA())</f>
        <v/>
      </c>
      <c r="BD43" s="10" t="n"/>
      <c r="BE43" s="9">
        <f>A43</f>
        <v/>
      </c>
      <c r="BF43" s="9">
        <f>0</f>
        <v/>
      </c>
      <c r="BG43" s="9">
        <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f>
        <v/>
      </c>
      <c r="BH43" s="9">
        <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f>
        <v/>
      </c>
      <c r="BI43" s="9">
        <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f>
        <v/>
      </c>
      <c r="BJ43" s="9">
        <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f>
        <v/>
      </c>
    </row>
    <row r="44">
      <c r="A44" s="9">
        <f>ROUND(-1+42*2/240,3)</f>
        <v/>
      </c>
      <c r="B44" s="9">
        <f>IF(OR(Inputs!$F$6=TRUE,Inputs!$F$6="TRUE",Inputs!$F$6=1),(Inputs!$H$6+Inputs!$L$6*(((Inputs!$I$6+(((A44)+1)/2)*(Inputs!$J$6-Inputs!$I$6)))/Inputs!$K$6)^2),NA())</f>
        <v/>
      </c>
      <c r="C44" s="9">
        <f>IF(OR(Inputs!$F$7=TRUE,Inputs!$F$7="TRUE",Inputs!$F$7=1),(Inputs!$H$7+Inputs!$L$7*(((Inputs!$I$7+(((A44)+1)/2)*(Inputs!$J$7-Inputs!$I$7)))/Inputs!$K$7)^2),NA())</f>
        <v/>
      </c>
      <c r="D44" s="9">
        <f>IF(OR(Inputs!$F$8=TRUE,Inputs!$F$8="TRUE",Inputs!$F$8=1),(Inputs!$H$8+Inputs!$L$8*(((Inputs!$I$8+(((A44)+1)/2)*(Inputs!$J$8-Inputs!$I$8)))/Inputs!$K$8)^2),NA())</f>
        <v/>
      </c>
      <c r="E44" s="9">
        <f>IF(OR(Inputs!$F$9=TRUE,Inputs!$F$9="TRUE",Inputs!$F$9=1),(Inputs!$H$9+Inputs!$L$9*(((Inputs!$I$9+(((A44)+1)/2)*(Inputs!$J$9-Inputs!$I$9)))/Inputs!$K$9)^2),NA())</f>
        <v/>
      </c>
      <c r="F44" s="10" t="n"/>
      <c r="G44" s="9">
        <f>A44</f>
        <v/>
      </c>
      <c r="H44" s="9">
        <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f>
        <v/>
      </c>
      <c r="I44" s="9">
        <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f>
        <v/>
      </c>
      <c r="J44" s="9">
        <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f>
        <v/>
      </c>
      <c r="K44" s="9">
        <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f>
        <v/>
      </c>
      <c r="L44" s="10" t="n"/>
      <c r="M44" s="9">
        <f>A44</f>
        <v/>
      </c>
      <c r="N44" s="9">
        <f>IF(OR(Inputs!$F$6=TRUE,Inputs!$F$6="TRUE",Inputs!$F$6=1),(-2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NA())</f>
        <v/>
      </c>
      <c r="O44" s="9">
        <f>IF(OR(Inputs!$F$7=TRUE,Inputs!$F$7="TRUE",Inputs!$F$7=1),(-2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NA())</f>
        <v/>
      </c>
      <c r="P44" s="9">
        <f>IF(OR(Inputs!$F$8=TRUE,Inputs!$F$8="TRUE",Inputs!$F$8=1),(-2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NA())</f>
        <v/>
      </c>
      <c r="Q44" s="9">
        <f>IF(OR(Inputs!$F$9=TRUE,Inputs!$F$9="TRUE",Inputs!$F$9=1),(-2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NA())</f>
        <v/>
      </c>
      <c r="R44" s="10" t="n"/>
      <c r="S44" s="9">
        <f>A44</f>
        <v/>
      </c>
      <c r="T44" s="9">
        <f>(Inputs!$I$6+(((A44)+1)/2)*(Inputs!$J$6-Inputs!$I$6))</f>
        <v/>
      </c>
      <c r="U44" s="9">
        <f>(Inputs!$I$7+(((A44)+1)/2)*(Inputs!$J$7-Inputs!$I$7))</f>
        <v/>
      </c>
      <c r="V44" s="9">
        <f>(Inputs!$I$8+(((A44)+1)/2)*(Inputs!$J$8-Inputs!$I$8))</f>
        <v/>
      </c>
      <c r="W44" s="9">
        <f>(Inputs!$I$9+(((A44)+1)/2)*(Inputs!$J$9-Inputs!$I$9))</f>
        <v/>
      </c>
      <c r="X44" s="10" t="n"/>
      <c r="Y44" s="9">
        <f>A44</f>
        <v/>
      </c>
      <c r="Z44" s="9">
        <f>(Inputs!$H$6+Inputs!$L$6*(((Inputs!$I$6+(((A44)+1)/2)*(Inputs!$J$6-Inputs!$I$6)))/Inputs!$K$6)^2)</f>
        <v/>
      </c>
      <c r="AA44" s="9">
        <f>(Inputs!$H$7+Inputs!$L$7*(((Inputs!$I$7+(((A44)+1)/2)*(Inputs!$J$7-Inputs!$I$7)))/Inputs!$K$7)^2)</f>
        <v/>
      </c>
      <c r="AB44" s="9">
        <f>(Inputs!$H$8+Inputs!$L$8*(((Inputs!$I$8+(((A44)+1)/2)*(Inputs!$J$8-Inputs!$I$8)))/Inputs!$K$8)^2)</f>
        <v/>
      </c>
      <c r="AC44" s="9">
        <f>(Inputs!$H$9+Inputs!$L$9*(((Inputs!$I$9+(((A44)+1)/2)*(Inputs!$J$9-Inputs!$I$9)))/Inputs!$K$9)^2)</f>
        <v/>
      </c>
      <c r="AD44" s="10" t="n"/>
      <c r="AE44" s="9">
        <f>A44</f>
        <v/>
      </c>
      <c r="AF44" s="9">
        <f>(((SQRT((Inputs!$C$52+((Inputs!$H$6+Inputs!$L$6*(((Inputs!$I$6+(((A44)+1)/2)*(Inputs!$J$6-Inputs!$I$6)))/Inputs!$K$6)^2)))^2+Inputs!$C$52^2-2*(Inputs!$C$52+((Inputs!$H$6+Inputs!$L$6*(((Inputs!$I$6+(((A44)+1)/2)*(Inputs!$J$6-Inputs!$I$6)))/Inputs!$K$6)^2)))*Inputs!$C$52*COS(SQRT(((Inputs!$I$6+(((A44)+1)/2)*(Inputs!$J$6-Inputs!$I$6)))^2+Inputs!$C$6^2)/Inputs!$C$52)))-((Inputs!$H$6+Inputs!$L$6*(((Inputs!$I$6+(((A44)+1)/2)*(Inputs!$J$6-Inputs!$I$6)))/Inputs!$K$6)^2)))*1000/Inputs!$C$12)</f>
        <v/>
      </c>
      <c r="AG44" s="9">
        <f>(((SQRT((Inputs!$C$52+((Inputs!$H$7+Inputs!$L$7*(((Inputs!$I$7+(((A44)+1)/2)*(Inputs!$J$7-Inputs!$I$7)))/Inputs!$K$7)^2)))^2+Inputs!$C$52^2-2*(Inputs!$C$52+((Inputs!$H$7+Inputs!$L$7*(((Inputs!$I$7+(((A44)+1)/2)*(Inputs!$J$7-Inputs!$I$7)))/Inputs!$K$7)^2)))*Inputs!$C$52*COS(SQRT(((Inputs!$I$7+(((A44)+1)/2)*(Inputs!$J$7-Inputs!$I$7)))^2+Inputs!$C$6^2)/Inputs!$C$52)))-((Inputs!$H$7+Inputs!$L$7*(((Inputs!$I$7+(((A44)+1)/2)*(Inputs!$J$7-Inputs!$I$7)))/Inputs!$K$7)^2)))*1000/Inputs!$C$12)</f>
        <v/>
      </c>
      <c r="AH44" s="9">
        <f>(((SQRT((Inputs!$C$52+((Inputs!$H$8+Inputs!$L$8*(((Inputs!$I$8+(((A44)+1)/2)*(Inputs!$J$8-Inputs!$I$8)))/Inputs!$K$8)^2)))^2+Inputs!$C$52^2-2*(Inputs!$C$52+((Inputs!$H$8+Inputs!$L$8*(((Inputs!$I$8+(((A44)+1)/2)*(Inputs!$J$8-Inputs!$I$8)))/Inputs!$K$8)^2)))*Inputs!$C$52*COS(SQRT(((Inputs!$I$8+(((A44)+1)/2)*(Inputs!$J$8-Inputs!$I$8)))^2+Inputs!$C$6^2)/Inputs!$C$52)))-((Inputs!$H$8+Inputs!$L$8*(((Inputs!$I$8+(((A44)+1)/2)*(Inputs!$J$8-Inputs!$I$8)))/Inputs!$K$8)^2)))*1000/Inputs!$C$12)</f>
        <v/>
      </c>
      <c r="AI44" s="9">
        <f>(((SQRT((Inputs!$C$52+((Inputs!$H$9+Inputs!$L$9*(((Inputs!$I$9+(((A44)+1)/2)*(Inputs!$J$9-Inputs!$I$9)))/Inputs!$K$9)^2)))^2+Inputs!$C$52^2-2*(Inputs!$C$52+((Inputs!$H$9+Inputs!$L$9*(((Inputs!$I$9+(((A44)+1)/2)*(Inputs!$J$9-Inputs!$I$9)))/Inputs!$K$9)^2)))*Inputs!$C$52*COS(SQRT(((Inputs!$I$9+(((A44)+1)/2)*(Inputs!$J$9-Inputs!$I$9)))^2+Inputs!$C$6^2)/Inputs!$C$52)))-((Inputs!$H$9+Inputs!$L$9*(((Inputs!$I$9+(((A44)+1)/2)*(Inputs!$J$9-Inputs!$I$9)))/Inputs!$K$9)^2)))*1000/Inputs!$C$12)</f>
        <v/>
      </c>
      <c r="AJ44" s="10" t="n"/>
      <c r="AK44" s="9">
        <f>A44</f>
        <v/>
      </c>
      <c r="AL44" s="9">
        <f>(-2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f>
        <v/>
      </c>
      <c r="AM44" s="9">
        <f>(-2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f>
        <v/>
      </c>
      <c r="AN44" s="9">
        <f>(-2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f>
        <v/>
      </c>
      <c r="AO44" s="9">
        <f>(-2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f>
        <v/>
      </c>
      <c r="AP44" s="10" t="n"/>
      <c r="AQ44" s="9">
        <f>A44</f>
        <v/>
      </c>
      <c r="AR44" s="9">
        <f>0</f>
        <v/>
      </c>
      <c r="AS44" s="9">
        <f>IF(OR(Inputs!$F$6=TRUE,Inputs!$F$6="TRUE",Inputs!$F$6=1),IF(OR(Inputs!$C$27=TRUE,Inputs!$C$27="TRUE",Inputs!$C$27=1),1,0)*(Inputs!$C$51*(115*EXP(-(((Inputs!$C$6)-25)^2)/(4.5^2))+70*EXP(-(((Inputs!$C$6)+38)^2)/(7^2))*(0.55+0.45*SIN(2*PI()*((Inputs!$I$6+(((A44)+1)/2)*(Inputs!$J$6-Inputs!$I$6)))/45))+24*SIN(2*PI()*(Inputs!$C$6)/9+((Inputs!$I$6+(((A44)+1)/2)*(Inputs!$J$6-Inputs!$I$6)))/18)*EXP(-(((Inputs!$C$6)+5)^2)/(22^2))+18*SIN(2*PI()*((Inputs!$I$6+(((A44)+1)/2)*(Inputs!$J$6-Inputs!$I$6)))/70))+Inputs!$C$28*EXP(-((((Inputs!$I$6+(((A44)+1)/2)*(Inputs!$J$6-Inputs!$I$6)))-Inputs!$C$29)^2)/(2*Inputs!$C$31^2))*EXP(-(((Inputs!$C$6)-Inputs!$C$30)^2)/(2*Inputs!$C$32^2))+-Inputs!$C$33*EXP(-((((((Inputs!$I$6+(((A44)+1)/2)*(Inputs!$J$6-Inputs!$I$6)))-Inputs!$C$34)^2)+(((Inputs!$C$6)-Inputs!$C$35)^2))/(2*Inputs!$C$36^2)))+Inputs!$C$37*(0.55*SIN(2*PI()*((Inputs!$I$6+(((A44)+1)/2)*(Inputs!$J$6-Inputs!$I$6)))/Inputs!$C$39)+0.35*COS(2*PI()*(Inputs!$C$6)/Inputs!$C$40)+0.2*SIN(2*PI()*(((Inputs!$I$6+(((A44)+1)/2)*(Inputs!$J$6-Inputs!$I$6)))+(Inputs!$C$6))/(0.5*(Inputs!$C$39+Inputs!$C$40))))+Inputs!$C$38*SIN(2*PI()*((Inputs!$I$6+(((A44)+1)/2)*(Inputs!$J$6-Inputs!$I$6)))/Inputs!$C$39)*SIN(2*PI()*(Inputs!$C$6)/Inputs!$C$40)+-Inputs!$C$41*EXP(-(((Inputs!$C$6)-Inputs!$C$43)^2)/(2*Inputs!$C$44^2))*EXP(-((((Inputs!$I$6+(((A44)+1)/2)*(Inputs!$J$6-Inputs!$I$6)))-Inputs!$C$42)^2)/(2*Inputs!$C$45^2))+Inputs!$C$48*(0.7*(0.45*SIN(2*PI()*((((Inputs!$I$6+(((A44)+1)/2)*(Inputs!$J$6-Inputs!$I$6)))/Inputs!$C$49)+Inputs!$C$47*0.137))+0.35*COS(2*PI()*(((Inputs!$C$6)/Inputs!$C$50)+Inputs!$C$47*0.173))+0.2*SIN(2*PI()*((((Inputs!$I$6+(((A44)+1)/2)*(Inputs!$J$6-Inputs!$I$6)))+(Inputs!$C$6))/(0.5*(Inputs!$C$49+Inputs!$C$50))+Inputs!$C$47*0.097)))+0.3*(2*((SIN((((Inputs!$I$6+(((A44)+1)/2)*(Inputs!$J$6-Inputs!$I$6)))*12.9898+(Inputs!$C$6)*78.233+Inputs!$C$47*37.719))*43758.5453)-INT((SIN((((Inputs!$I$6+(((A44)+1)/2)*(Inputs!$J$6-Inputs!$I$6)))*12.9898+(Inputs!$C$6)*78.233+Inputs!$C$47*37.719))*43758.5453)))-1))),NA())</f>
        <v/>
      </c>
      <c r="AT44" s="9">
        <f>IF(OR(Inputs!$F$7=TRUE,Inputs!$F$7="TRUE",Inputs!$F$7=1),IF(OR(Inputs!$C$27=TRUE,Inputs!$C$27="TRUE",Inputs!$C$27=1),1,0)*(Inputs!$C$51*(115*EXP(-(((Inputs!$C$6)-25)^2)/(4.5^2))+70*EXP(-(((Inputs!$C$6)+38)^2)/(7^2))*(0.55+0.45*SIN(2*PI()*((Inputs!$I$7+(((A44)+1)/2)*(Inputs!$J$7-Inputs!$I$7)))/45))+24*SIN(2*PI()*(Inputs!$C$6)/9+((Inputs!$I$7+(((A44)+1)/2)*(Inputs!$J$7-Inputs!$I$7)))/18)*EXP(-(((Inputs!$C$6)+5)^2)/(22^2))+18*SIN(2*PI()*((Inputs!$I$7+(((A44)+1)/2)*(Inputs!$J$7-Inputs!$I$7)))/70))+Inputs!$C$28*EXP(-((((Inputs!$I$7+(((A44)+1)/2)*(Inputs!$J$7-Inputs!$I$7)))-Inputs!$C$29)^2)/(2*Inputs!$C$31^2))*EXP(-(((Inputs!$C$6)-Inputs!$C$30)^2)/(2*Inputs!$C$32^2))+-Inputs!$C$33*EXP(-((((((Inputs!$I$7+(((A44)+1)/2)*(Inputs!$J$7-Inputs!$I$7)))-Inputs!$C$34)^2)+(((Inputs!$C$6)-Inputs!$C$35)^2))/(2*Inputs!$C$36^2)))+Inputs!$C$37*(0.55*SIN(2*PI()*((Inputs!$I$7+(((A44)+1)/2)*(Inputs!$J$7-Inputs!$I$7)))/Inputs!$C$39)+0.35*COS(2*PI()*(Inputs!$C$6)/Inputs!$C$40)+0.2*SIN(2*PI()*(((Inputs!$I$7+(((A44)+1)/2)*(Inputs!$J$7-Inputs!$I$7)))+(Inputs!$C$6))/(0.5*(Inputs!$C$39+Inputs!$C$40))))+Inputs!$C$38*SIN(2*PI()*((Inputs!$I$7+(((A44)+1)/2)*(Inputs!$J$7-Inputs!$I$7)))/Inputs!$C$39)*SIN(2*PI()*(Inputs!$C$6)/Inputs!$C$40)+-Inputs!$C$41*EXP(-(((Inputs!$C$6)-Inputs!$C$43)^2)/(2*Inputs!$C$44^2))*EXP(-((((Inputs!$I$7+(((A44)+1)/2)*(Inputs!$J$7-Inputs!$I$7)))-Inputs!$C$42)^2)/(2*Inputs!$C$45^2))+Inputs!$C$48*(0.7*(0.45*SIN(2*PI()*((((Inputs!$I$7+(((A44)+1)/2)*(Inputs!$J$7-Inputs!$I$7)))/Inputs!$C$49)+Inputs!$C$47*0.137))+0.35*COS(2*PI()*(((Inputs!$C$6)/Inputs!$C$50)+Inputs!$C$47*0.173))+0.2*SIN(2*PI()*((((Inputs!$I$7+(((A44)+1)/2)*(Inputs!$J$7-Inputs!$I$7)))+(Inputs!$C$6))/(0.5*(Inputs!$C$49+Inputs!$C$50))+Inputs!$C$47*0.097)))+0.3*(2*((SIN((((Inputs!$I$7+(((A44)+1)/2)*(Inputs!$J$7-Inputs!$I$7)))*12.9898+(Inputs!$C$6)*78.233+Inputs!$C$47*37.719))*43758.5453)-INT((SIN((((Inputs!$I$7+(((A44)+1)/2)*(Inputs!$J$7-Inputs!$I$7)))*12.9898+(Inputs!$C$6)*78.233+Inputs!$C$47*37.719))*43758.5453)))-1))),NA())</f>
        <v/>
      </c>
      <c r="AU44" s="9">
        <f>IF(OR(Inputs!$F$8=TRUE,Inputs!$F$8="TRUE",Inputs!$F$8=1),IF(OR(Inputs!$C$27=TRUE,Inputs!$C$27="TRUE",Inputs!$C$27=1),1,0)*(Inputs!$C$51*(115*EXP(-(((Inputs!$C$6)-25)^2)/(4.5^2))+70*EXP(-(((Inputs!$C$6)+38)^2)/(7^2))*(0.55+0.45*SIN(2*PI()*((Inputs!$I$8+(((A44)+1)/2)*(Inputs!$J$8-Inputs!$I$8)))/45))+24*SIN(2*PI()*(Inputs!$C$6)/9+((Inputs!$I$8+(((A44)+1)/2)*(Inputs!$J$8-Inputs!$I$8)))/18)*EXP(-(((Inputs!$C$6)+5)^2)/(22^2))+18*SIN(2*PI()*((Inputs!$I$8+(((A44)+1)/2)*(Inputs!$J$8-Inputs!$I$8)))/70))+Inputs!$C$28*EXP(-((((Inputs!$I$8+(((A44)+1)/2)*(Inputs!$J$8-Inputs!$I$8)))-Inputs!$C$29)^2)/(2*Inputs!$C$31^2))*EXP(-(((Inputs!$C$6)-Inputs!$C$30)^2)/(2*Inputs!$C$32^2))+-Inputs!$C$33*EXP(-((((((Inputs!$I$8+(((A44)+1)/2)*(Inputs!$J$8-Inputs!$I$8)))-Inputs!$C$34)^2)+(((Inputs!$C$6)-Inputs!$C$35)^2))/(2*Inputs!$C$36^2)))+Inputs!$C$37*(0.55*SIN(2*PI()*((Inputs!$I$8+(((A44)+1)/2)*(Inputs!$J$8-Inputs!$I$8)))/Inputs!$C$39)+0.35*COS(2*PI()*(Inputs!$C$6)/Inputs!$C$40)+0.2*SIN(2*PI()*(((Inputs!$I$8+(((A44)+1)/2)*(Inputs!$J$8-Inputs!$I$8)))+(Inputs!$C$6))/(0.5*(Inputs!$C$39+Inputs!$C$40))))+Inputs!$C$38*SIN(2*PI()*((Inputs!$I$8+(((A44)+1)/2)*(Inputs!$J$8-Inputs!$I$8)))/Inputs!$C$39)*SIN(2*PI()*(Inputs!$C$6)/Inputs!$C$40)+-Inputs!$C$41*EXP(-(((Inputs!$C$6)-Inputs!$C$43)^2)/(2*Inputs!$C$44^2))*EXP(-((((Inputs!$I$8+(((A44)+1)/2)*(Inputs!$J$8-Inputs!$I$8)))-Inputs!$C$42)^2)/(2*Inputs!$C$45^2))+Inputs!$C$48*(0.7*(0.45*SIN(2*PI()*((((Inputs!$I$8+(((A44)+1)/2)*(Inputs!$J$8-Inputs!$I$8)))/Inputs!$C$49)+Inputs!$C$47*0.137))+0.35*COS(2*PI()*(((Inputs!$C$6)/Inputs!$C$50)+Inputs!$C$47*0.173))+0.2*SIN(2*PI()*((((Inputs!$I$8+(((A44)+1)/2)*(Inputs!$J$8-Inputs!$I$8)))+(Inputs!$C$6))/(0.5*(Inputs!$C$49+Inputs!$C$50))+Inputs!$C$47*0.097)))+0.3*(2*((SIN((((Inputs!$I$8+(((A44)+1)/2)*(Inputs!$J$8-Inputs!$I$8)))*12.9898+(Inputs!$C$6)*78.233+Inputs!$C$47*37.719))*43758.5453)-INT((SIN((((Inputs!$I$8+(((A44)+1)/2)*(Inputs!$J$8-Inputs!$I$8)))*12.9898+(Inputs!$C$6)*78.233+Inputs!$C$47*37.719))*43758.5453)))-1))),NA())</f>
        <v/>
      </c>
      <c r="AV44" s="9">
        <f>IF(OR(Inputs!$F$9=TRUE,Inputs!$F$9="TRUE",Inputs!$F$9=1),IF(OR(Inputs!$C$27=TRUE,Inputs!$C$27="TRUE",Inputs!$C$27=1),1,0)*(Inputs!$C$51*(115*EXP(-(((Inputs!$C$6)-25)^2)/(4.5^2))+70*EXP(-(((Inputs!$C$6)+38)^2)/(7^2))*(0.55+0.45*SIN(2*PI()*((Inputs!$I$9+(((A44)+1)/2)*(Inputs!$J$9-Inputs!$I$9)))/45))+24*SIN(2*PI()*(Inputs!$C$6)/9+((Inputs!$I$9+(((A44)+1)/2)*(Inputs!$J$9-Inputs!$I$9)))/18)*EXP(-(((Inputs!$C$6)+5)^2)/(22^2))+18*SIN(2*PI()*((Inputs!$I$9+(((A44)+1)/2)*(Inputs!$J$9-Inputs!$I$9)))/70))+Inputs!$C$28*EXP(-((((Inputs!$I$9+(((A44)+1)/2)*(Inputs!$J$9-Inputs!$I$9)))-Inputs!$C$29)^2)/(2*Inputs!$C$31^2))*EXP(-(((Inputs!$C$6)-Inputs!$C$30)^2)/(2*Inputs!$C$32^2))+-Inputs!$C$33*EXP(-((((((Inputs!$I$9+(((A44)+1)/2)*(Inputs!$J$9-Inputs!$I$9)))-Inputs!$C$34)^2)+(((Inputs!$C$6)-Inputs!$C$35)^2))/(2*Inputs!$C$36^2)))+Inputs!$C$37*(0.55*SIN(2*PI()*((Inputs!$I$9+(((A44)+1)/2)*(Inputs!$J$9-Inputs!$I$9)))/Inputs!$C$39)+0.35*COS(2*PI()*(Inputs!$C$6)/Inputs!$C$40)+0.2*SIN(2*PI()*(((Inputs!$I$9+(((A44)+1)/2)*(Inputs!$J$9-Inputs!$I$9)))+(Inputs!$C$6))/(0.5*(Inputs!$C$39+Inputs!$C$40))))+Inputs!$C$38*SIN(2*PI()*((Inputs!$I$9+(((A44)+1)/2)*(Inputs!$J$9-Inputs!$I$9)))/Inputs!$C$39)*SIN(2*PI()*(Inputs!$C$6)/Inputs!$C$40)+-Inputs!$C$41*EXP(-(((Inputs!$C$6)-Inputs!$C$43)^2)/(2*Inputs!$C$44^2))*EXP(-((((Inputs!$I$9+(((A44)+1)/2)*(Inputs!$J$9-Inputs!$I$9)))-Inputs!$C$42)^2)/(2*Inputs!$C$45^2))+Inputs!$C$48*(0.7*(0.45*SIN(2*PI()*((((Inputs!$I$9+(((A44)+1)/2)*(Inputs!$J$9-Inputs!$I$9)))/Inputs!$C$49)+Inputs!$C$47*0.137))+0.35*COS(2*PI()*(((Inputs!$C$6)/Inputs!$C$50)+Inputs!$C$47*0.173))+0.2*SIN(2*PI()*((((Inputs!$I$9+(((A44)+1)/2)*(Inputs!$J$9-Inputs!$I$9)))+(Inputs!$C$6))/(0.5*(Inputs!$C$49+Inputs!$C$50))+Inputs!$C$47*0.097)))+0.3*(2*((SIN((((Inputs!$I$9+(((A44)+1)/2)*(Inputs!$J$9-Inputs!$I$9)))*12.9898+(Inputs!$C$6)*78.233+Inputs!$C$47*37.719))*43758.5453)-INT((SIN((((Inputs!$I$9+(((A44)+1)/2)*(Inputs!$J$9-Inputs!$I$9)))*12.9898+(Inputs!$C$6)*78.233+Inputs!$C$47*37.719))*43758.5453)))-1))),NA())</f>
        <v/>
      </c>
      <c r="AW44" s="10" t="n"/>
      <c r="AX44" s="9">
        <f>A44</f>
        <v/>
      </c>
      <c r="AY44" s="9">
        <f>0</f>
        <v/>
      </c>
      <c r="AZ44" s="9">
        <f>IF(OR(Inputs!$F$6=TRUE,Inputs!$F$6="TRUE",Inputs!$F$6=1),(Inputs!$H$6+Inputs!$L$6*(((Inputs!$I$6+(((A44)+1)/2)*(Inputs!$J$6-Inputs!$I$6)))/Inputs!$K$6)^2),NA())</f>
        <v/>
      </c>
      <c r="BA44" s="9">
        <f>IF(OR(Inputs!$F$7=TRUE,Inputs!$F$7="TRUE",Inputs!$F$7=1),(Inputs!$H$7+Inputs!$L$7*(((Inputs!$I$7+(((A44)+1)/2)*(Inputs!$J$7-Inputs!$I$7)))/Inputs!$K$7)^2),NA())</f>
        <v/>
      </c>
      <c r="BB44" s="9">
        <f>IF(OR(Inputs!$F$8=TRUE,Inputs!$F$8="TRUE",Inputs!$F$8=1),(Inputs!$H$8+Inputs!$L$8*(((Inputs!$I$8+(((A44)+1)/2)*(Inputs!$J$8-Inputs!$I$8)))/Inputs!$K$8)^2),NA())</f>
        <v/>
      </c>
      <c r="BC44" s="9">
        <f>IF(OR(Inputs!$F$9=TRUE,Inputs!$F$9="TRUE",Inputs!$F$9=1),(Inputs!$H$9+Inputs!$L$9*(((Inputs!$I$9+(((A44)+1)/2)*(Inputs!$J$9-Inputs!$I$9)))/Inputs!$K$9)^2),NA())</f>
        <v/>
      </c>
      <c r="BD44" s="10" t="n"/>
      <c r="BE44" s="9">
        <f>A44</f>
        <v/>
      </c>
      <c r="BF44" s="9">
        <f>0</f>
        <v/>
      </c>
      <c r="BG44" s="9">
        <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f>
        <v/>
      </c>
      <c r="BH44" s="9">
        <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f>
        <v/>
      </c>
      <c r="BI44" s="9">
        <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f>
        <v/>
      </c>
      <c r="BJ44" s="9">
        <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f>
        <v/>
      </c>
    </row>
    <row r="45">
      <c r="A45" s="9">
        <f>ROUND(-1+43*2/240,3)</f>
        <v/>
      </c>
      <c r="B45" s="9">
        <f>IF(OR(Inputs!$F$6=TRUE,Inputs!$F$6="TRUE",Inputs!$F$6=1),(Inputs!$H$6+Inputs!$L$6*(((Inputs!$I$6+(((A45)+1)/2)*(Inputs!$J$6-Inputs!$I$6)))/Inputs!$K$6)^2),NA())</f>
        <v/>
      </c>
      <c r="C45" s="9">
        <f>IF(OR(Inputs!$F$7=TRUE,Inputs!$F$7="TRUE",Inputs!$F$7=1),(Inputs!$H$7+Inputs!$L$7*(((Inputs!$I$7+(((A45)+1)/2)*(Inputs!$J$7-Inputs!$I$7)))/Inputs!$K$7)^2),NA())</f>
        <v/>
      </c>
      <c r="D45" s="9">
        <f>IF(OR(Inputs!$F$8=TRUE,Inputs!$F$8="TRUE",Inputs!$F$8=1),(Inputs!$H$8+Inputs!$L$8*(((Inputs!$I$8+(((A45)+1)/2)*(Inputs!$J$8-Inputs!$I$8)))/Inputs!$K$8)^2),NA())</f>
        <v/>
      </c>
      <c r="E45" s="9">
        <f>IF(OR(Inputs!$F$9=TRUE,Inputs!$F$9="TRUE",Inputs!$F$9=1),(Inputs!$H$9+Inputs!$L$9*(((Inputs!$I$9+(((A45)+1)/2)*(Inputs!$J$9-Inputs!$I$9)))/Inputs!$K$9)^2),NA())</f>
        <v/>
      </c>
      <c r="F45" s="10" t="n"/>
      <c r="G45" s="9">
        <f>A45</f>
        <v/>
      </c>
      <c r="H45" s="9">
        <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f>
        <v/>
      </c>
      <c r="I45" s="9">
        <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f>
        <v/>
      </c>
      <c r="J45" s="9">
        <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f>
        <v/>
      </c>
      <c r="K45" s="9">
        <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f>
        <v/>
      </c>
      <c r="L45" s="10" t="n"/>
      <c r="M45" s="9">
        <f>A45</f>
        <v/>
      </c>
      <c r="N45" s="9">
        <f>IF(OR(Inputs!$F$6=TRUE,Inputs!$F$6="TRUE",Inputs!$F$6=1),(-2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NA())</f>
        <v/>
      </c>
      <c r="O45" s="9">
        <f>IF(OR(Inputs!$F$7=TRUE,Inputs!$F$7="TRUE",Inputs!$F$7=1),(-2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NA())</f>
        <v/>
      </c>
      <c r="P45" s="9">
        <f>IF(OR(Inputs!$F$8=TRUE,Inputs!$F$8="TRUE",Inputs!$F$8=1),(-2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NA())</f>
        <v/>
      </c>
      <c r="Q45" s="9">
        <f>IF(OR(Inputs!$F$9=TRUE,Inputs!$F$9="TRUE",Inputs!$F$9=1),(-2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NA())</f>
        <v/>
      </c>
      <c r="R45" s="10" t="n"/>
      <c r="S45" s="9">
        <f>A45</f>
        <v/>
      </c>
      <c r="T45" s="9">
        <f>(Inputs!$I$6+(((A45)+1)/2)*(Inputs!$J$6-Inputs!$I$6))</f>
        <v/>
      </c>
      <c r="U45" s="9">
        <f>(Inputs!$I$7+(((A45)+1)/2)*(Inputs!$J$7-Inputs!$I$7))</f>
        <v/>
      </c>
      <c r="V45" s="9">
        <f>(Inputs!$I$8+(((A45)+1)/2)*(Inputs!$J$8-Inputs!$I$8))</f>
        <v/>
      </c>
      <c r="W45" s="9">
        <f>(Inputs!$I$9+(((A45)+1)/2)*(Inputs!$J$9-Inputs!$I$9))</f>
        <v/>
      </c>
      <c r="X45" s="10" t="n"/>
      <c r="Y45" s="9">
        <f>A45</f>
        <v/>
      </c>
      <c r="Z45" s="9">
        <f>(Inputs!$H$6+Inputs!$L$6*(((Inputs!$I$6+(((A45)+1)/2)*(Inputs!$J$6-Inputs!$I$6)))/Inputs!$K$6)^2)</f>
        <v/>
      </c>
      <c r="AA45" s="9">
        <f>(Inputs!$H$7+Inputs!$L$7*(((Inputs!$I$7+(((A45)+1)/2)*(Inputs!$J$7-Inputs!$I$7)))/Inputs!$K$7)^2)</f>
        <v/>
      </c>
      <c r="AB45" s="9">
        <f>(Inputs!$H$8+Inputs!$L$8*(((Inputs!$I$8+(((A45)+1)/2)*(Inputs!$J$8-Inputs!$I$8)))/Inputs!$K$8)^2)</f>
        <v/>
      </c>
      <c r="AC45" s="9">
        <f>(Inputs!$H$9+Inputs!$L$9*(((Inputs!$I$9+(((A45)+1)/2)*(Inputs!$J$9-Inputs!$I$9)))/Inputs!$K$9)^2)</f>
        <v/>
      </c>
      <c r="AD45" s="10" t="n"/>
      <c r="AE45" s="9">
        <f>A45</f>
        <v/>
      </c>
      <c r="AF45" s="9">
        <f>(((SQRT((Inputs!$C$52+((Inputs!$H$6+Inputs!$L$6*(((Inputs!$I$6+(((A45)+1)/2)*(Inputs!$J$6-Inputs!$I$6)))/Inputs!$K$6)^2)))^2+Inputs!$C$52^2-2*(Inputs!$C$52+((Inputs!$H$6+Inputs!$L$6*(((Inputs!$I$6+(((A45)+1)/2)*(Inputs!$J$6-Inputs!$I$6)))/Inputs!$K$6)^2)))*Inputs!$C$52*COS(SQRT(((Inputs!$I$6+(((A45)+1)/2)*(Inputs!$J$6-Inputs!$I$6)))^2+Inputs!$C$6^2)/Inputs!$C$52)))-((Inputs!$H$6+Inputs!$L$6*(((Inputs!$I$6+(((A45)+1)/2)*(Inputs!$J$6-Inputs!$I$6)))/Inputs!$K$6)^2)))*1000/Inputs!$C$12)</f>
        <v/>
      </c>
      <c r="AG45" s="9">
        <f>(((SQRT((Inputs!$C$52+((Inputs!$H$7+Inputs!$L$7*(((Inputs!$I$7+(((A45)+1)/2)*(Inputs!$J$7-Inputs!$I$7)))/Inputs!$K$7)^2)))^2+Inputs!$C$52^2-2*(Inputs!$C$52+((Inputs!$H$7+Inputs!$L$7*(((Inputs!$I$7+(((A45)+1)/2)*(Inputs!$J$7-Inputs!$I$7)))/Inputs!$K$7)^2)))*Inputs!$C$52*COS(SQRT(((Inputs!$I$7+(((A45)+1)/2)*(Inputs!$J$7-Inputs!$I$7)))^2+Inputs!$C$6^2)/Inputs!$C$52)))-((Inputs!$H$7+Inputs!$L$7*(((Inputs!$I$7+(((A45)+1)/2)*(Inputs!$J$7-Inputs!$I$7)))/Inputs!$K$7)^2)))*1000/Inputs!$C$12)</f>
        <v/>
      </c>
      <c r="AH45" s="9">
        <f>(((SQRT((Inputs!$C$52+((Inputs!$H$8+Inputs!$L$8*(((Inputs!$I$8+(((A45)+1)/2)*(Inputs!$J$8-Inputs!$I$8)))/Inputs!$K$8)^2)))^2+Inputs!$C$52^2-2*(Inputs!$C$52+((Inputs!$H$8+Inputs!$L$8*(((Inputs!$I$8+(((A45)+1)/2)*(Inputs!$J$8-Inputs!$I$8)))/Inputs!$K$8)^2)))*Inputs!$C$52*COS(SQRT(((Inputs!$I$8+(((A45)+1)/2)*(Inputs!$J$8-Inputs!$I$8)))^2+Inputs!$C$6^2)/Inputs!$C$52)))-((Inputs!$H$8+Inputs!$L$8*(((Inputs!$I$8+(((A45)+1)/2)*(Inputs!$J$8-Inputs!$I$8)))/Inputs!$K$8)^2)))*1000/Inputs!$C$12)</f>
        <v/>
      </c>
      <c r="AI45" s="9">
        <f>(((SQRT((Inputs!$C$52+((Inputs!$H$9+Inputs!$L$9*(((Inputs!$I$9+(((A45)+1)/2)*(Inputs!$J$9-Inputs!$I$9)))/Inputs!$K$9)^2)))^2+Inputs!$C$52^2-2*(Inputs!$C$52+((Inputs!$H$9+Inputs!$L$9*(((Inputs!$I$9+(((A45)+1)/2)*(Inputs!$J$9-Inputs!$I$9)))/Inputs!$K$9)^2)))*Inputs!$C$52*COS(SQRT(((Inputs!$I$9+(((A45)+1)/2)*(Inputs!$J$9-Inputs!$I$9)))^2+Inputs!$C$6^2)/Inputs!$C$52)))-((Inputs!$H$9+Inputs!$L$9*(((Inputs!$I$9+(((A45)+1)/2)*(Inputs!$J$9-Inputs!$I$9)))/Inputs!$K$9)^2)))*1000/Inputs!$C$12)</f>
        <v/>
      </c>
      <c r="AJ45" s="10" t="n"/>
      <c r="AK45" s="9">
        <f>A45</f>
        <v/>
      </c>
      <c r="AL45" s="9">
        <f>(-2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f>
        <v/>
      </c>
      <c r="AM45" s="9">
        <f>(-2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f>
        <v/>
      </c>
      <c r="AN45" s="9">
        <f>(-2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f>
        <v/>
      </c>
      <c r="AO45" s="9">
        <f>(-2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f>
        <v/>
      </c>
      <c r="AP45" s="10" t="n"/>
      <c r="AQ45" s="9">
        <f>A45</f>
        <v/>
      </c>
      <c r="AR45" s="9">
        <f>0</f>
        <v/>
      </c>
      <c r="AS45" s="9">
        <f>IF(OR(Inputs!$F$6=TRUE,Inputs!$F$6="TRUE",Inputs!$F$6=1),IF(OR(Inputs!$C$27=TRUE,Inputs!$C$27="TRUE",Inputs!$C$27=1),1,0)*(Inputs!$C$51*(115*EXP(-(((Inputs!$C$6)-25)^2)/(4.5^2))+70*EXP(-(((Inputs!$C$6)+38)^2)/(7^2))*(0.55+0.45*SIN(2*PI()*((Inputs!$I$6+(((A45)+1)/2)*(Inputs!$J$6-Inputs!$I$6)))/45))+24*SIN(2*PI()*(Inputs!$C$6)/9+((Inputs!$I$6+(((A45)+1)/2)*(Inputs!$J$6-Inputs!$I$6)))/18)*EXP(-(((Inputs!$C$6)+5)^2)/(22^2))+18*SIN(2*PI()*((Inputs!$I$6+(((A45)+1)/2)*(Inputs!$J$6-Inputs!$I$6)))/70))+Inputs!$C$28*EXP(-((((Inputs!$I$6+(((A45)+1)/2)*(Inputs!$J$6-Inputs!$I$6)))-Inputs!$C$29)^2)/(2*Inputs!$C$31^2))*EXP(-(((Inputs!$C$6)-Inputs!$C$30)^2)/(2*Inputs!$C$32^2))+-Inputs!$C$33*EXP(-((((((Inputs!$I$6+(((A45)+1)/2)*(Inputs!$J$6-Inputs!$I$6)))-Inputs!$C$34)^2)+(((Inputs!$C$6)-Inputs!$C$35)^2))/(2*Inputs!$C$36^2)))+Inputs!$C$37*(0.55*SIN(2*PI()*((Inputs!$I$6+(((A45)+1)/2)*(Inputs!$J$6-Inputs!$I$6)))/Inputs!$C$39)+0.35*COS(2*PI()*(Inputs!$C$6)/Inputs!$C$40)+0.2*SIN(2*PI()*(((Inputs!$I$6+(((A45)+1)/2)*(Inputs!$J$6-Inputs!$I$6)))+(Inputs!$C$6))/(0.5*(Inputs!$C$39+Inputs!$C$40))))+Inputs!$C$38*SIN(2*PI()*((Inputs!$I$6+(((A45)+1)/2)*(Inputs!$J$6-Inputs!$I$6)))/Inputs!$C$39)*SIN(2*PI()*(Inputs!$C$6)/Inputs!$C$40)+-Inputs!$C$41*EXP(-(((Inputs!$C$6)-Inputs!$C$43)^2)/(2*Inputs!$C$44^2))*EXP(-((((Inputs!$I$6+(((A45)+1)/2)*(Inputs!$J$6-Inputs!$I$6)))-Inputs!$C$42)^2)/(2*Inputs!$C$45^2))+Inputs!$C$48*(0.7*(0.45*SIN(2*PI()*((((Inputs!$I$6+(((A45)+1)/2)*(Inputs!$J$6-Inputs!$I$6)))/Inputs!$C$49)+Inputs!$C$47*0.137))+0.35*COS(2*PI()*(((Inputs!$C$6)/Inputs!$C$50)+Inputs!$C$47*0.173))+0.2*SIN(2*PI()*((((Inputs!$I$6+(((A45)+1)/2)*(Inputs!$J$6-Inputs!$I$6)))+(Inputs!$C$6))/(0.5*(Inputs!$C$49+Inputs!$C$50))+Inputs!$C$47*0.097)))+0.3*(2*((SIN((((Inputs!$I$6+(((A45)+1)/2)*(Inputs!$J$6-Inputs!$I$6)))*12.9898+(Inputs!$C$6)*78.233+Inputs!$C$47*37.719))*43758.5453)-INT((SIN((((Inputs!$I$6+(((A45)+1)/2)*(Inputs!$J$6-Inputs!$I$6)))*12.9898+(Inputs!$C$6)*78.233+Inputs!$C$47*37.719))*43758.5453)))-1))),NA())</f>
        <v/>
      </c>
      <c r="AT45" s="9">
        <f>IF(OR(Inputs!$F$7=TRUE,Inputs!$F$7="TRUE",Inputs!$F$7=1),IF(OR(Inputs!$C$27=TRUE,Inputs!$C$27="TRUE",Inputs!$C$27=1),1,0)*(Inputs!$C$51*(115*EXP(-(((Inputs!$C$6)-25)^2)/(4.5^2))+70*EXP(-(((Inputs!$C$6)+38)^2)/(7^2))*(0.55+0.45*SIN(2*PI()*((Inputs!$I$7+(((A45)+1)/2)*(Inputs!$J$7-Inputs!$I$7)))/45))+24*SIN(2*PI()*(Inputs!$C$6)/9+((Inputs!$I$7+(((A45)+1)/2)*(Inputs!$J$7-Inputs!$I$7)))/18)*EXP(-(((Inputs!$C$6)+5)^2)/(22^2))+18*SIN(2*PI()*((Inputs!$I$7+(((A45)+1)/2)*(Inputs!$J$7-Inputs!$I$7)))/70))+Inputs!$C$28*EXP(-((((Inputs!$I$7+(((A45)+1)/2)*(Inputs!$J$7-Inputs!$I$7)))-Inputs!$C$29)^2)/(2*Inputs!$C$31^2))*EXP(-(((Inputs!$C$6)-Inputs!$C$30)^2)/(2*Inputs!$C$32^2))+-Inputs!$C$33*EXP(-((((((Inputs!$I$7+(((A45)+1)/2)*(Inputs!$J$7-Inputs!$I$7)))-Inputs!$C$34)^2)+(((Inputs!$C$6)-Inputs!$C$35)^2))/(2*Inputs!$C$36^2)))+Inputs!$C$37*(0.55*SIN(2*PI()*((Inputs!$I$7+(((A45)+1)/2)*(Inputs!$J$7-Inputs!$I$7)))/Inputs!$C$39)+0.35*COS(2*PI()*(Inputs!$C$6)/Inputs!$C$40)+0.2*SIN(2*PI()*(((Inputs!$I$7+(((A45)+1)/2)*(Inputs!$J$7-Inputs!$I$7)))+(Inputs!$C$6))/(0.5*(Inputs!$C$39+Inputs!$C$40))))+Inputs!$C$38*SIN(2*PI()*((Inputs!$I$7+(((A45)+1)/2)*(Inputs!$J$7-Inputs!$I$7)))/Inputs!$C$39)*SIN(2*PI()*(Inputs!$C$6)/Inputs!$C$40)+-Inputs!$C$41*EXP(-(((Inputs!$C$6)-Inputs!$C$43)^2)/(2*Inputs!$C$44^2))*EXP(-((((Inputs!$I$7+(((A45)+1)/2)*(Inputs!$J$7-Inputs!$I$7)))-Inputs!$C$42)^2)/(2*Inputs!$C$45^2))+Inputs!$C$48*(0.7*(0.45*SIN(2*PI()*((((Inputs!$I$7+(((A45)+1)/2)*(Inputs!$J$7-Inputs!$I$7)))/Inputs!$C$49)+Inputs!$C$47*0.137))+0.35*COS(2*PI()*(((Inputs!$C$6)/Inputs!$C$50)+Inputs!$C$47*0.173))+0.2*SIN(2*PI()*((((Inputs!$I$7+(((A45)+1)/2)*(Inputs!$J$7-Inputs!$I$7)))+(Inputs!$C$6))/(0.5*(Inputs!$C$49+Inputs!$C$50))+Inputs!$C$47*0.097)))+0.3*(2*((SIN((((Inputs!$I$7+(((A45)+1)/2)*(Inputs!$J$7-Inputs!$I$7)))*12.9898+(Inputs!$C$6)*78.233+Inputs!$C$47*37.719))*43758.5453)-INT((SIN((((Inputs!$I$7+(((A45)+1)/2)*(Inputs!$J$7-Inputs!$I$7)))*12.9898+(Inputs!$C$6)*78.233+Inputs!$C$47*37.719))*43758.5453)))-1))),NA())</f>
        <v/>
      </c>
      <c r="AU45" s="9">
        <f>IF(OR(Inputs!$F$8=TRUE,Inputs!$F$8="TRUE",Inputs!$F$8=1),IF(OR(Inputs!$C$27=TRUE,Inputs!$C$27="TRUE",Inputs!$C$27=1),1,0)*(Inputs!$C$51*(115*EXP(-(((Inputs!$C$6)-25)^2)/(4.5^2))+70*EXP(-(((Inputs!$C$6)+38)^2)/(7^2))*(0.55+0.45*SIN(2*PI()*((Inputs!$I$8+(((A45)+1)/2)*(Inputs!$J$8-Inputs!$I$8)))/45))+24*SIN(2*PI()*(Inputs!$C$6)/9+((Inputs!$I$8+(((A45)+1)/2)*(Inputs!$J$8-Inputs!$I$8)))/18)*EXP(-(((Inputs!$C$6)+5)^2)/(22^2))+18*SIN(2*PI()*((Inputs!$I$8+(((A45)+1)/2)*(Inputs!$J$8-Inputs!$I$8)))/70))+Inputs!$C$28*EXP(-((((Inputs!$I$8+(((A45)+1)/2)*(Inputs!$J$8-Inputs!$I$8)))-Inputs!$C$29)^2)/(2*Inputs!$C$31^2))*EXP(-(((Inputs!$C$6)-Inputs!$C$30)^2)/(2*Inputs!$C$32^2))+-Inputs!$C$33*EXP(-((((((Inputs!$I$8+(((A45)+1)/2)*(Inputs!$J$8-Inputs!$I$8)))-Inputs!$C$34)^2)+(((Inputs!$C$6)-Inputs!$C$35)^2))/(2*Inputs!$C$36^2)))+Inputs!$C$37*(0.55*SIN(2*PI()*((Inputs!$I$8+(((A45)+1)/2)*(Inputs!$J$8-Inputs!$I$8)))/Inputs!$C$39)+0.35*COS(2*PI()*(Inputs!$C$6)/Inputs!$C$40)+0.2*SIN(2*PI()*(((Inputs!$I$8+(((A45)+1)/2)*(Inputs!$J$8-Inputs!$I$8)))+(Inputs!$C$6))/(0.5*(Inputs!$C$39+Inputs!$C$40))))+Inputs!$C$38*SIN(2*PI()*((Inputs!$I$8+(((A45)+1)/2)*(Inputs!$J$8-Inputs!$I$8)))/Inputs!$C$39)*SIN(2*PI()*(Inputs!$C$6)/Inputs!$C$40)+-Inputs!$C$41*EXP(-(((Inputs!$C$6)-Inputs!$C$43)^2)/(2*Inputs!$C$44^2))*EXP(-((((Inputs!$I$8+(((A45)+1)/2)*(Inputs!$J$8-Inputs!$I$8)))-Inputs!$C$42)^2)/(2*Inputs!$C$45^2))+Inputs!$C$48*(0.7*(0.45*SIN(2*PI()*((((Inputs!$I$8+(((A45)+1)/2)*(Inputs!$J$8-Inputs!$I$8)))/Inputs!$C$49)+Inputs!$C$47*0.137))+0.35*COS(2*PI()*(((Inputs!$C$6)/Inputs!$C$50)+Inputs!$C$47*0.173))+0.2*SIN(2*PI()*((((Inputs!$I$8+(((A45)+1)/2)*(Inputs!$J$8-Inputs!$I$8)))+(Inputs!$C$6))/(0.5*(Inputs!$C$49+Inputs!$C$50))+Inputs!$C$47*0.097)))+0.3*(2*((SIN((((Inputs!$I$8+(((A45)+1)/2)*(Inputs!$J$8-Inputs!$I$8)))*12.9898+(Inputs!$C$6)*78.233+Inputs!$C$47*37.719))*43758.5453)-INT((SIN((((Inputs!$I$8+(((A45)+1)/2)*(Inputs!$J$8-Inputs!$I$8)))*12.9898+(Inputs!$C$6)*78.233+Inputs!$C$47*37.719))*43758.5453)))-1))),NA())</f>
        <v/>
      </c>
      <c r="AV45" s="9">
        <f>IF(OR(Inputs!$F$9=TRUE,Inputs!$F$9="TRUE",Inputs!$F$9=1),IF(OR(Inputs!$C$27=TRUE,Inputs!$C$27="TRUE",Inputs!$C$27=1),1,0)*(Inputs!$C$51*(115*EXP(-(((Inputs!$C$6)-25)^2)/(4.5^2))+70*EXP(-(((Inputs!$C$6)+38)^2)/(7^2))*(0.55+0.45*SIN(2*PI()*((Inputs!$I$9+(((A45)+1)/2)*(Inputs!$J$9-Inputs!$I$9)))/45))+24*SIN(2*PI()*(Inputs!$C$6)/9+((Inputs!$I$9+(((A45)+1)/2)*(Inputs!$J$9-Inputs!$I$9)))/18)*EXP(-(((Inputs!$C$6)+5)^2)/(22^2))+18*SIN(2*PI()*((Inputs!$I$9+(((A45)+1)/2)*(Inputs!$J$9-Inputs!$I$9)))/70))+Inputs!$C$28*EXP(-((((Inputs!$I$9+(((A45)+1)/2)*(Inputs!$J$9-Inputs!$I$9)))-Inputs!$C$29)^2)/(2*Inputs!$C$31^2))*EXP(-(((Inputs!$C$6)-Inputs!$C$30)^2)/(2*Inputs!$C$32^2))+-Inputs!$C$33*EXP(-((((((Inputs!$I$9+(((A45)+1)/2)*(Inputs!$J$9-Inputs!$I$9)))-Inputs!$C$34)^2)+(((Inputs!$C$6)-Inputs!$C$35)^2))/(2*Inputs!$C$36^2)))+Inputs!$C$37*(0.55*SIN(2*PI()*((Inputs!$I$9+(((A45)+1)/2)*(Inputs!$J$9-Inputs!$I$9)))/Inputs!$C$39)+0.35*COS(2*PI()*(Inputs!$C$6)/Inputs!$C$40)+0.2*SIN(2*PI()*(((Inputs!$I$9+(((A45)+1)/2)*(Inputs!$J$9-Inputs!$I$9)))+(Inputs!$C$6))/(0.5*(Inputs!$C$39+Inputs!$C$40))))+Inputs!$C$38*SIN(2*PI()*((Inputs!$I$9+(((A45)+1)/2)*(Inputs!$J$9-Inputs!$I$9)))/Inputs!$C$39)*SIN(2*PI()*(Inputs!$C$6)/Inputs!$C$40)+-Inputs!$C$41*EXP(-(((Inputs!$C$6)-Inputs!$C$43)^2)/(2*Inputs!$C$44^2))*EXP(-((((Inputs!$I$9+(((A45)+1)/2)*(Inputs!$J$9-Inputs!$I$9)))-Inputs!$C$42)^2)/(2*Inputs!$C$45^2))+Inputs!$C$48*(0.7*(0.45*SIN(2*PI()*((((Inputs!$I$9+(((A45)+1)/2)*(Inputs!$J$9-Inputs!$I$9)))/Inputs!$C$49)+Inputs!$C$47*0.137))+0.35*COS(2*PI()*(((Inputs!$C$6)/Inputs!$C$50)+Inputs!$C$47*0.173))+0.2*SIN(2*PI()*((((Inputs!$I$9+(((A45)+1)/2)*(Inputs!$J$9-Inputs!$I$9)))+(Inputs!$C$6))/(0.5*(Inputs!$C$49+Inputs!$C$50))+Inputs!$C$47*0.097)))+0.3*(2*((SIN((((Inputs!$I$9+(((A45)+1)/2)*(Inputs!$J$9-Inputs!$I$9)))*12.9898+(Inputs!$C$6)*78.233+Inputs!$C$47*37.719))*43758.5453)-INT((SIN((((Inputs!$I$9+(((A45)+1)/2)*(Inputs!$J$9-Inputs!$I$9)))*12.9898+(Inputs!$C$6)*78.233+Inputs!$C$47*37.719))*43758.5453)))-1))),NA())</f>
        <v/>
      </c>
      <c r="AW45" s="10" t="n"/>
      <c r="AX45" s="9">
        <f>A45</f>
        <v/>
      </c>
      <c r="AY45" s="9">
        <f>0</f>
        <v/>
      </c>
      <c r="AZ45" s="9">
        <f>IF(OR(Inputs!$F$6=TRUE,Inputs!$F$6="TRUE",Inputs!$F$6=1),(Inputs!$H$6+Inputs!$L$6*(((Inputs!$I$6+(((A45)+1)/2)*(Inputs!$J$6-Inputs!$I$6)))/Inputs!$K$6)^2),NA())</f>
        <v/>
      </c>
      <c r="BA45" s="9">
        <f>IF(OR(Inputs!$F$7=TRUE,Inputs!$F$7="TRUE",Inputs!$F$7=1),(Inputs!$H$7+Inputs!$L$7*(((Inputs!$I$7+(((A45)+1)/2)*(Inputs!$J$7-Inputs!$I$7)))/Inputs!$K$7)^2),NA())</f>
        <v/>
      </c>
      <c r="BB45" s="9">
        <f>IF(OR(Inputs!$F$8=TRUE,Inputs!$F$8="TRUE",Inputs!$F$8=1),(Inputs!$H$8+Inputs!$L$8*(((Inputs!$I$8+(((A45)+1)/2)*(Inputs!$J$8-Inputs!$I$8)))/Inputs!$K$8)^2),NA())</f>
        <v/>
      </c>
      <c r="BC45" s="9">
        <f>IF(OR(Inputs!$F$9=TRUE,Inputs!$F$9="TRUE",Inputs!$F$9=1),(Inputs!$H$9+Inputs!$L$9*(((Inputs!$I$9+(((A45)+1)/2)*(Inputs!$J$9-Inputs!$I$9)))/Inputs!$K$9)^2),NA())</f>
        <v/>
      </c>
      <c r="BD45" s="10" t="n"/>
      <c r="BE45" s="9">
        <f>A45</f>
        <v/>
      </c>
      <c r="BF45" s="9">
        <f>0</f>
        <v/>
      </c>
      <c r="BG45" s="9">
        <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f>
        <v/>
      </c>
      <c r="BH45" s="9">
        <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f>
        <v/>
      </c>
      <c r="BI45" s="9">
        <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f>
        <v/>
      </c>
      <c r="BJ45" s="9">
        <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f>
        <v/>
      </c>
    </row>
    <row r="46">
      <c r="A46" s="9">
        <f>ROUND(-1+44*2/240,3)</f>
        <v/>
      </c>
      <c r="B46" s="9">
        <f>IF(OR(Inputs!$F$6=TRUE,Inputs!$F$6="TRUE",Inputs!$F$6=1),(Inputs!$H$6+Inputs!$L$6*(((Inputs!$I$6+(((A46)+1)/2)*(Inputs!$J$6-Inputs!$I$6)))/Inputs!$K$6)^2),NA())</f>
        <v/>
      </c>
      <c r="C46" s="9">
        <f>IF(OR(Inputs!$F$7=TRUE,Inputs!$F$7="TRUE",Inputs!$F$7=1),(Inputs!$H$7+Inputs!$L$7*(((Inputs!$I$7+(((A46)+1)/2)*(Inputs!$J$7-Inputs!$I$7)))/Inputs!$K$7)^2),NA())</f>
        <v/>
      </c>
      <c r="D46" s="9">
        <f>IF(OR(Inputs!$F$8=TRUE,Inputs!$F$8="TRUE",Inputs!$F$8=1),(Inputs!$H$8+Inputs!$L$8*(((Inputs!$I$8+(((A46)+1)/2)*(Inputs!$J$8-Inputs!$I$8)))/Inputs!$K$8)^2),NA())</f>
        <v/>
      </c>
      <c r="E46" s="9">
        <f>IF(OR(Inputs!$F$9=TRUE,Inputs!$F$9="TRUE",Inputs!$F$9=1),(Inputs!$H$9+Inputs!$L$9*(((Inputs!$I$9+(((A46)+1)/2)*(Inputs!$J$9-Inputs!$I$9)))/Inputs!$K$9)^2),NA())</f>
        <v/>
      </c>
      <c r="F46" s="10" t="n"/>
      <c r="G46" s="9">
        <f>A46</f>
        <v/>
      </c>
      <c r="H46" s="9">
        <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f>
        <v/>
      </c>
      <c r="I46" s="9">
        <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f>
        <v/>
      </c>
      <c r="J46" s="9">
        <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f>
        <v/>
      </c>
      <c r="K46" s="9">
        <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f>
        <v/>
      </c>
      <c r="L46" s="10" t="n"/>
      <c r="M46" s="9">
        <f>A46</f>
        <v/>
      </c>
      <c r="N46" s="9">
        <f>IF(OR(Inputs!$F$6=TRUE,Inputs!$F$6="TRUE",Inputs!$F$6=1),(-2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NA())</f>
        <v/>
      </c>
      <c r="O46" s="9">
        <f>IF(OR(Inputs!$F$7=TRUE,Inputs!$F$7="TRUE",Inputs!$F$7=1),(-2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NA())</f>
        <v/>
      </c>
      <c r="P46" s="9">
        <f>IF(OR(Inputs!$F$8=TRUE,Inputs!$F$8="TRUE",Inputs!$F$8=1),(-2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NA())</f>
        <v/>
      </c>
      <c r="Q46" s="9">
        <f>IF(OR(Inputs!$F$9=TRUE,Inputs!$F$9="TRUE",Inputs!$F$9=1),(-2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NA())</f>
        <v/>
      </c>
      <c r="R46" s="10" t="n"/>
      <c r="S46" s="9">
        <f>A46</f>
        <v/>
      </c>
      <c r="T46" s="9">
        <f>(Inputs!$I$6+(((A46)+1)/2)*(Inputs!$J$6-Inputs!$I$6))</f>
        <v/>
      </c>
      <c r="U46" s="9">
        <f>(Inputs!$I$7+(((A46)+1)/2)*(Inputs!$J$7-Inputs!$I$7))</f>
        <v/>
      </c>
      <c r="V46" s="9">
        <f>(Inputs!$I$8+(((A46)+1)/2)*(Inputs!$J$8-Inputs!$I$8))</f>
        <v/>
      </c>
      <c r="W46" s="9">
        <f>(Inputs!$I$9+(((A46)+1)/2)*(Inputs!$J$9-Inputs!$I$9))</f>
        <v/>
      </c>
      <c r="X46" s="10" t="n"/>
      <c r="Y46" s="9">
        <f>A46</f>
        <v/>
      </c>
      <c r="Z46" s="9">
        <f>(Inputs!$H$6+Inputs!$L$6*(((Inputs!$I$6+(((A46)+1)/2)*(Inputs!$J$6-Inputs!$I$6)))/Inputs!$K$6)^2)</f>
        <v/>
      </c>
      <c r="AA46" s="9">
        <f>(Inputs!$H$7+Inputs!$L$7*(((Inputs!$I$7+(((A46)+1)/2)*(Inputs!$J$7-Inputs!$I$7)))/Inputs!$K$7)^2)</f>
        <v/>
      </c>
      <c r="AB46" s="9">
        <f>(Inputs!$H$8+Inputs!$L$8*(((Inputs!$I$8+(((A46)+1)/2)*(Inputs!$J$8-Inputs!$I$8)))/Inputs!$K$8)^2)</f>
        <v/>
      </c>
      <c r="AC46" s="9">
        <f>(Inputs!$H$9+Inputs!$L$9*(((Inputs!$I$9+(((A46)+1)/2)*(Inputs!$J$9-Inputs!$I$9)))/Inputs!$K$9)^2)</f>
        <v/>
      </c>
      <c r="AD46" s="10" t="n"/>
      <c r="AE46" s="9">
        <f>A46</f>
        <v/>
      </c>
      <c r="AF46" s="9">
        <f>(((SQRT((Inputs!$C$52+((Inputs!$H$6+Inputs!$L$6*(((Inputs!$I$6+(((A46)+1)/2)*(Inputs!$J$6-Inputs!$I$6)))/Inputs!$K$6)^2)))^2+Inputs!$C$52^2-2*(Inputs!$C$52+((Inputs!$H$6+Inputs!$L$6*(((Inputs!$I$6+(((A46)+1)/2)*(Inputs!$J$6-Inputs!$I$6)))/Inputs!$K$6)^2)))*Inputs!$C$52*COS(SQRT(((Inputs!$I$6+(((A46)+1)/2)*(Inputs!$J$6-Inputs!$I$6)))^2+Inputs!$C$6^2)/Inputs!$C$52)))-((Inputs!$H$6+Inputs!$L$6*(((Inputs!$I$6+(((A46)+1)/2)*(Inputs!$J$6-Inputs!$I$6)))/Inputs!$K$6)^2)))*1000/Inputs!$C$12)</f>
        <v/>
      </c>
      <c r="AG46" s="9">
        <f>(((SQRT((Inputs!$C$52+((Inputs!$H$7+Inputs!$L$7*(((Inputs!$I$7+(((A46)+1)/2)*(Inputs!$J$7-Inputs!$I$7)))/Inputs!$K$7)^2)))^2+Inputs!$C$52^2-2*(Inputs!$C$52+((Inputs!$H$7+Inputs!$L$7*(((Inputs!$I$7+(((A46)+1)/2)*(Inputs!$J$7-Inputs!$I$7)))/Inputs!$K$7)^2)))*Inputs!$C$52*COS(SQRT(((Inputs!$I$7+(((A46)+1)/2)*(Inputs!$J$7-Inputs!$I$7)))^2+Inputs!$C$6^2)/Inputs!$C$52)))-((Inputs!$H$7+Inputs!$L$7*(((Inputs!$I$7+(((A46)+1)/2)*(Inputs!$J$7-Inputs!$I$7)))/Inputs!$K$7)^2)))*1000/Inputs!$C$12)</f>
        <v/>
      </c>
      <c r="AH46" s="9">
        <f>(((SQRT((Inputs!$C$52+((Inputs!$H$8+Inputs!$L$8*(((Inputs!$I$8+(((A46)+1)/2)*(Inputs!$J$8-Inputs!$I$8)))/Inputs!$K$8)^2)))^2+Inputs!$C$52^2-2*(Inputs!$C$52+((Inputs!$H$8+Inputs!$L$8*(((Inputs!$I$8+(((A46)+1)/2)*(Inputs!$J$8-Inputs!$I$8)))/Inputs!$K$8)^2)))*Inputs!$C$52*COS(SQRT(((Inputs!$I$8+(((A46)+1)/2)*(Inputs!$J$8-Inputs!$I$8)))^2+Inputs!$C$6^2)/Inputs!$C$52)))-((Inputs!$H$8+Inputs!$L$8*(((Inputs!$I$8+(((A46)+1)/2)*(Inputs!$J$8-Inputs!$I$8)))/Inputs!$K$8)^2)))*1000/Inputs!$C$12)</f>
        <v/>
      </c>
      <c r="AI46" s="9">
        <f>(((SQRT((Inputs!$C$52+((Inputs!$H$9+Inputs!$L$9*(((Inputs!$I$9+(((A46)+1)/2)*(Inputs!$J$9-Inputs!$I$9)))/Inputs!$K$9)^2)))^2+Inputs!$C$52^2-2*(Inputs!$C$52+((Inputs!$H$9+Inputs!$L$9*(((Inputs!$I$9+(((A46)+1)/2)*(Inputs!$J$9-Inputs!$I$9)))/Inputs!$K$9)^2)))*Inputs!$C$52*COS(SQRT(((Inputs!$I$9+(((A46)+1)/2)*(Inputs!$J$9-Inputs!$I$9)))^2+Inputs!$C$6^2)/Inputs!$C$52)))-((Inputs!$H$9+Inputs!$L$9*(((Inputs!$I$9+(((A46)+1)/2)*(Inputs!$J$9-Inputs!$I$9)))/Inputs!$K$9)^2)))*1000/Inputs!$C$12)</f>
        <v/>
      </c>
      <c r="AJ46" s="10" t="n"/>
      <c r="AK46" s="9">
        <f>A46</f>
        <v/>
      </c>
      <c r="AL46" s="9">
        <f>(-2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f>
        <v/>
      </c>
      <c r="AM46" s="9">
        <f>(-2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f>
        <v/>
      </c>
      <c r="AN46" s="9">
        <f>(-2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f>
        <v/>
      </c>
      <c r="AO46" s="9">
        <f>(-2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f>
        <v/>
      </c>
      <c r="AP46" s="10" t="n"/>
      <c r="AQ46" s="9">
        <f>A46</f>
        <v/>
      </c>
      <c r="AR46" s="9">
        <f>0</f>
        <v/>
      </c>
      <c r="AS46" s="9">
        <f>IF(OR(Inputs!$F$6=TRUE,Inputs!$F$6="TRUE",Inputs!$F$6=1),IF(OR(Inputs!$C$27=TRUE,Inputs!$C$27="TRUE",Inputs!$C$27=1),1,0)*(Inputs!$C$51*(115*EXP(-(((Inputs!$C$6)-25)^2)/(4.5^2))+70*EXP(-(((Inputs!$C$6)+38)^2)/(7^2))*(0.55+0.45*SIN(2*PI()*((Inputs!$I$6+(((A46)+1)/2)*(Inputs!$J$6-Inputs!$I$6)))/45))+24*SIN(2*PI()*(Inputs!$C$6)/9+((Inputs!$I$6+(((A46)+1)/2)*(Inputs!$J$6-Inputs!$I$6)))/18)*EXP(-(((Inputs!$C$6)+5)^2)/(22^2))+18*SIN(2*PI()*((Inputs!$I$6+(((A46)+1)/2)*(Inputs!$J$6-Inputs!$I$6)))/70))+Inputs!$C$28*EXP(-((((Inputs!$I$6+(((A46)+1)/2)*(Inputs!$J$6-Inputs!$I$6)))-Inputs!$C$29)^2)/(2*Inputs!$C$31^2))*EXP(-(((Inputs!$C$6)-Inputs!$C$30)^2)/(2*Inputs!$C$32^2))+-Inputs!$C$33*EXP(-((((((Inputs!$I$6+(((A46)+1)/2)*(Inputs!$J$6-Inputs!$I$6)))-Inputs!$C$34)^2)+(((Inputs!$C$6)-Inputs!$C$35)^2))/(2*Inputs!$C$36^2)))+Inputs!$C$37*(0.55*SIN(2*PI()*((Inputs!$I$6+(((A46)+1)/2)*(Inputs!$J$6-Inputs!$I$6)))/Inputs!$C$39)+0.35*COS(2*PI()*(Inputs!$C$6)/Inputs!$C$40)+0.2*SIN(2*PI()*(((Inputs!$I$6+(((A46)+1)/2)*(Inputs!$J$6-Inputs!$I$6)))+(Inputs!$C$6))/(0.5*(Inputs!$C$39+Inputs!$C$40))))+Inputs!$C$38*SIN(2*PI()*((Inputs!$I$6+(((A46)+1)/2)*(Inputs!$J$6-Inputs!$I$6)))/Inputs!$C$39)*SIN(2*PI()*(Inputs!$C$6)/Inputs!$C$40)+-Inputs!$C$41*EXP(-(((Inputs!$C$6)-Inputs!$C$43)^2)/(2*Inputs!$C$44^2))*EXP(-((((Inputs!$I$6+(((A46)+1)/2)*(Inputs!$J$6-Inputs!$I$6)))-Inputs!$C$42)^2)/(2*Inputs!$C$45^2))+Inputs!$C$48*(0.7*(0.45*SIN(2*PI()*((((Inputs!$I$6+(((A46)+1)/2)*(Inputs!$J$6-Inputs!$I$6)))/Inputs!$C$49)+Inputs!$C$47*0.137))+0.35*COS(2*PI()*(((Inputs!$C$6)/Inputs!$C$50)+Inputs!$C$47*0.173))+0.2*SIN(2*PI()*((((Inputs!$I$6+(((A46)+1)/2)*(Inputs!$J$6-Inputs!$I$6)))+(Inputs!$C$6))/(0.5*(Inputs!$C$49+Inputs!$C$50))+Inputs!$C$47*0.097)))+0.3*(2*((SIN((((Inputs!$I$6+(((A46)+1)/2)*(Inputs!$J$6-Inputs!$I$6)))*12.9898+(Inputs!$C$6)*78.233+Inputs!$C$47*37.719))*43758.5453)-INT((SIN((((Inputs!$I$6+(((A46)+1)/2)*(Inputs!$J$6-Inputs!$I$6)))*12.9898+(Inputs!$C$6)*78.233+Inputs!$C$47*37.719))*43758.5453)))-1))),NA())</f>
        <v/>
      </c>
      <c r="AT46" s="9">
        <f>IF(OR(Inputs!$F$7=TRUE,Inputs!$F$7="TRUE",Inputs!$F$7=1),IF(OR(Inputs!$C$27=TRUE,Inputs!$C$27="TRUE",Inputs!$C$27=1),1,0)*(Inputs!$C$51*(115*EXP(-(((Inputs!$C$6)-25)^2)/(4.5^2))+70*EXP(-(((Inputs!$C$6)+38)^2)/(7^2))*(0.55+0.45*SIN(2*PI()*((Inputs!$I$7+(((A46)+1)/2)*(Inputs!$J$7-Inputs!$I$7)))/45))+24*SIN(2*PI()*(Inputs!$C$6)/9+((Inputs!$I$7+(((A46)+1)/2)*(Inputs!$J$7-Inputs!$I$7)))/18)*EXP(-(((Inputs!$C$6)+5)^2)/(22^2))+18*SIN(2*PI()*((Inputs!$I$7+(((A46)+1)/2)*(Inputs!$J$7-Inputs!$I$7)))/70))+Inputs!$C$28*EXP(-((((Inputs!$I$7+(((A46)+1)/2)*(Inputs!$J$7-Inputs!$I$7)))-Inputs!$C$29)^2)/(2*Inputs!$C$31^2))*EXP(-(((Inputs!$C$6)-Inputs!$C$30)^2)/(2*Inputs!$C$32^2))+-Inputs!$C$33*EXP(-((((((Inputs!$I$7+(((A46)+1)/2)*(Inputs!$J$7-Inputs!$I$7)))-Inputs!$C$34)^2)+(((Inputs!$C$6)-Inputs!$C$35)^2))/(2*Inputs!$C$36^2)))+Inputs!$C$37*(0.55*SIN(2*PI()*((Inputs!$I$7+(((A46)+1)/2)*(Inputs!$J$7-Inputs!$I$7)))/Inputs!$C$39)+0.35*COS(2*PI()*(Inputs!$C$6)/Inputs!$C$40)+0.2*SIN(2*PI()*(((Inputs!$I$7+(((A46)+1)/2)*(Inputs!$J$7-Inputs!$I$7)))+(Inputs!$C$6))/(0.5*(Inputs!$C$39+Inputs!$C$40))))+Inputs!$C$38*SIN(2*PI()*((Inputs!$I$7+(((A46)+1)/2)*(Inputs!$J$7-Inputs!$I$7)))/Inputs!$C$39)*SIN(2*PI()*(Inputs!$C$6)/Inputs!$C$40)+-Inputs!$C$41*EXP(-(((Inputs!$C$6)-Inputs!$C$43)^2)/(2*Inputs!$C$44^2))*EXP(-((((Inputs!$I$7+(((A46)+1)/2)*(Inputs!$J$7-Inputs!$I$7)))-Inputs!$C$42)^2)/(2*Inputs!$C$45^2))+Inputs!$C$48*(0.7*(0.45*SIN(2*PI()*((((Inputs!$I$7+(((A46)+1)/2)*(Inputs!$J$7-Inputs!$I$7)))/Inputs!$C$49)+Inputs!$C$47*0.137))+0.35*COS(2*PI()*(((Inputs!$C$6)/Inputs!$C$50)+Inputs!$C$47*0.173))+0.2*SIN(2*PI()*((((Inputs!$I$7+(((A46)+1)/2)*(Inputs!$J$7-Inputs!$I$7)))+(Inputs!$C$6))/(0.5*(Inputs!$C$49+Inputs!$C$50))+Inputs!$C$47*0.097)))+0.3*(2*((SIN((((Inputs!$I$7+(((A46)+1)/2)*(Inputs!$J$7-Inputs!$I$7)))*12.9898+(Inputs!$C$6)*78.233+Inputs!$C$47*37.719))*43758.5453)-INT((SIN((((Inputs!$I$7+(((A46)+1)/2)*(Inputs!$J$7-Inputs!$I$7)))*12.9898+(Inputs!$C$6)*78.233+Inputs!$C$47*37.719))*43758.5453)))-1))),NA())</f>
        <v/>
      </c>
      <c r="AU46" s="9">
        <f>IF(OR(Inputs!$F$8=TRUE,Inputs!$F$8="TRUE",Inputs!$F$8=1),IF(OR(Inputs!$C$27=TRUE,Inputs!$C$27="TRUE",Inputs!$C$27=1),1,0)*(Inputs!$C$51*(115*EXP(-(((Inputs!$C$6)-25)^2)/(4.5^2))+70*EXP(-(((Inputs!$C$6)+38)^2)/(7^2))*(0.55+0.45*SIN(2*PI()*((Inputs!$I$8+(((A46)+1)/2)*(Inputs!$J$8-Inputs!$I$8)))/45))+24*SIN(2*PI()*(Inputs!$C$6)/9+((Inputs!$I$8+(((A46)+1)/2)*(Inputs!$J$8-Inputs!$I$8)))/18)*EXP(-(((Inputs!$C$6)+5)^2)/(22^2))+18*SIN(2*PI()*((Inputs!$I$8+(((A46)+1)/2)*(Inputs!$J$8-Inputs!$I$8)))/70))+Inputs!$C$28*EXP(-((((Inputs!$I$8+(((A46)+1)/2)*(Inputs!$J$8-Inputs!$I$8)))-Inputs!$C$29)^2)/(2*Inputs!$C$31^2))*EXP(-(((Inputs!$C$6)-Inputs!$C$30)^2)/(2*Inputs!$C$32^2))+-Inputs!$C$33*EXP(-((((((Inputs!$I$8+(((A46)+1)/2)*(Inputs!$J$8-Inputs!$I$8)))-Inputs!$C$34)^2)+(((Inputs!$C$6)-Inputs!$C$35)^2))/(2*Inputs!$C$36^2)))+Inputs!$C$37*(0.55*SIN(2*PI()*((Inputs!$I$8+(((A46)+1)/2)*(Inputs!$J$8-Inputs!$I$8)))/Inputs!$C$39)+0.35*COS(2*PI()*(Inputs!$C$6)/Inputs!$C$40)+0.2*SIN(2*PI()*(((Inputs!$I$8+(((A46)+1)/2)*(Inputs!$J$8-Inputs!$I$8)))+(Inputs!$C$6))/(0.5*(Inputs!$C$39+Inputs!$C$40))))+Inputs!$C$38*SIN(2*PI()*((Inputs!$I$8+(((A46)+1)/2)*(Inputs!$J$8-Inputs!$I$8)))/Inputs!$C$39)*SIN(2*PI()*(Inputs!$C$6)/Inputs!$C$40)+-Inputs!$C$41*EXP(-(((Inputs!$C$6)-Inputs!$C$43)^2)/(2*Inputs!$C$44^2))*EXP(-((((Inputs!$I$8+(((A46)+1)/2)*(Inputs!$J$8-Inputs!$I$8)))-Inputs!$C$42)^2)/(2*Inputs!$C$45^2))+Inputs!$C$48*(0.7*(0.45*SIN(2*PI()*((((Inputs!$I$8+(((A46)+1)/2)*(Inputs!$J$8-Inputs!$I$8)))/Inputs!$C$49)+Inputs!$C$47*0.137))+0.35*COS(2*PI()*(((Inputs!$C$6)/Inputs!$C$50)+Inputs!$C$47*0.173))+0.2*SIN(2*PI()*((((Inputs!$I$8+(((A46)+1)/2)*(Inputs!$J$8-Inputs!$I$8)))+(Inputs!$C$6))/(0.5*(Inputs!$C$49+Inputs!$C$50))+Inputs!$C$47*0.097)))+0.3*(2*((SIN((((Inputs!$I$8+(((A46)+1)/2)*(Inputs!$J$8-Inputs!$I$8)))*12.9898+(Inputs!$C$6)*78.233+Inputs!$C$47*37.719))*43758.5453)-INT((SIN((((Inputs!$I$8+(((A46)+1)/2)*(Inputs!$J$8-Inputs!$I$8)))*12.9898+(Inputs!$C$6)*78.233+Inputs!$C$47*37.719))*43758.5453)))-1))),NA())</f>
        <v/>
      </c>
      <c r="AV46" s="9">
        <f>IF(OR(Inputs!$F$9=TRUE,Inputs!$F$9="TRUE",Inputs!$F$9=1),IF(OR(Inputs!$C$27=TRUE,Inputs!$C$27="TRUE",Inputs!$C$27=1),1,0)*(Inputs!$C$51*(115*EXP(-(((Inputs!$C$6)-25)^2)/(4.5^2))+70*EXP(-(((Inputs!$C$6)+38)^2)/(7^2))*(0.55+0.45*SIN(2*PI()*((Inputs!$I$9+(((A46)+1)/2)*(Inputs!$J$9-Inputs!$I$9)))/45))+24*SIN(2*PI()*(Inputs!$C$6)/9+((Inputs!$I$9+(((A46)+1)/2)*(Inputs!$J$9-Inputs!$I$9)))/18)*EXP(-(((Inputs!$C$6)+5)^2)/(22^2))+18*SIN(2*PI()*((Inputs!$I$9+(((A46)+1)/2)*(Inputs!$J$9-Inputs!$I$9)))/70))+Inputs!$C$28*EXP(-((((Inputs!$I$9+(((A46)+1)/2)*(Inputs!$J$9-Inputs!$I$9)))-Inputs!$C$29)^2)/(2*Inputs!$C$31^2))*EXP(-(((Inputs!$C$6)-Inputs!$C$30)^2)/(2*Inputs!$C$32^2))+-Inputs!$C$33*EXP(-((((((Inputs!$I$9+(((A46)+1)/2)*(Inputs!$J$9-Inputs!$I$9)))-Inputs!$C$34)^2)+(((Inputs!$C$6)-Inputs!$C$35)^2))/(2*Inputs!$C$36^2)))+Inputs!$C$37*(0.55*SIN(2*PI()*((Inputs!$I$9+(((A46)+1)/2)*(Inputs!$J$9-Inputs!$I$9)))/Inputs!$C$39)+0.35*COS(2*PI()*(Inputs!$C$6)/Inputs!$C$40)+0.2*SIN(2*PI()*(((Inputs!$I$9+(((A46)+1)/2)*(Inputs!$J$9-Inputs!$I$9)))+(Inputs!$C$6))/(0.5*(Inputs!$C$39+Inputs!$C$40))))+Inputs!$C$38*SIN(2*PI()*((Inputs!$I$9+(((A46)+1)/2)*(Inputs!$J$9-Inputs!$I$9)))/Inputs!$C$39)*SIN(2*PI()*(Inputs!$C$6)/Inputs!$C$40)+-Inputs!$C$41*EXP(-(((Inputs!$C$6)-Inputs!$C$43)^2)/(2*Inputs!$C$44^2))*EXP(-((((Inputs!$I$9+(((A46)+1)/2)*(Inputs!$J$9-Inputs!$I$9)))-Inputs!$C$42)^2)/(2*Inputs!$C$45^2))+Inputs!$C$48*(0.7*(0.45*SIN(2*PI()*((((Inputs!$I$9+(((A46)+1)/2)*(Inputs!$J$9-Inputs!$I$9)))/Inputs!$C$49)+Inputs!$C$47*0.137))+0.35*COS(2*PI()*(((Inputs!$C$6)/Inputs!$C$50)+Inputs!$C$47*0.173))+0.2*SIN(2*PI()*((((Inputs!$I$9+(((A46)+1)/2)*(Inputs!$J$9-Inputs!$I$9)))+(Inputs!$C$6))/(0.5*(Inputs!$C$49+Inputs!$C$50))+Inputs!$C$47*0.097)))+0.3*(2*((SIN((((Inputs!$I$9+(((A46)+1)/2)*(Inputs!$J$9-Inputs!$I$9)))*12.9898+(Inputs!$C$6)*78.233+Inputs!$C$47*37.719))*43758.5453)-INT((SIN((((Inputs!$I$9+(((A46)+1)/2)*(Inputs!$J$9-Inputs!$I$9)))*12.9898+(Inputs!$C$6)*78.233+Inputs!$C$47*37.719))*43758.5453)))-1))),NA())</f>
        <v/>
      </c>
      <c r="AW46" s="10" t="n"/>
      <c r="AX46" s="9">
        <f>A46</f>
        <v/>
      </c>
      <c r="AY46" s="9">
        <f>0</f>
        <v/>
      </c>
      <c r="AZ46" s="9">
        <f>IF(OR(Inputs!$F$6=TRUE,Inputs!$F$6="TRUE",Inputs!$F$6=1),(Inputs!$H$6+Inputs!$L$6*(((Inputs!$I$6+(((A46)+1)/2)*(Inputs!$J$6-Inputs!$I$6)))/Inputs!$K$6)^2),NA())</f>
        <v/>
      </c>
      <c r="BA46" s="9">
        <f>IF(OR(Inputs!$F$7=TRUE,Inputs!$F$7="TRUE",Inputs!$F$7=1),(Inputs!$H$7+Inputs!$L$7*(((Inputs!$I$7+(((A46)+1)/2)*(Inputs!$J$7-Inputs!$I$7)))/Inputs!$K$7)^2),NA())</f>
        <v/>
      </c>
      <c r="BB46" s="9">
        <f>IF(OR(Inputs!$F$8=TRUE,Inputs!$F$8="TRUE",Inputs!$F$8=1),(Inputs!$H$8+Inputs!$L$8*(((Inputs!$I$8+(((A46)+1)/2)*(Inputs!$J$8-Inputs!$I$8)))/Inputs!$K$8)^2),NA())</f>
        <v/>
      </c>
      <c r="BC46" s="9">
        <f>IF(OR(Inputs!$F$9=TRUE,Inputs!$F$9="TRUE",Inputs!$F$9=1),(Inputs!$H$9+Inputs!$L$9*(((Inputs!$I$9+(((A46)+1)/2)*(Inputs!$J$9-Inputs!$I$9)))/Inputs!$K$9)^2),NA())</f>
        <v/>
      </c>
      <c r="BD46" s="10" t="n"/>
      <c r="BE46" s="9">
        <f>A46</f>
        <v/>
      </c>
      <c r="BF46" s="9">
        <f>0</f>
        <v/>
      </c>
      <c r="BG46" s="9">
        <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f>
        <v/>
      </c>
      <c r="BH46" s="9">
        <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f>
        <v/>
      </c>
      <c r="BI46" s="9">
        <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f>
        <v/>
      </c>
      <c r="BJ46" s="9">
        <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f>
        <v/>
      </c>
    </row>
    <row r="47">
      <c r="A47" s="9">
        <f>ROUND(-1+45*2/240,3)</f>
        <v/>
      </c>
      <c r="B47" s="9">
        <f>IF(OR(Inputs!$F$6=TRUE,Inputs!$F$6="TRUE",Inputs!$F$6=1),(Inputs!$H$6+Inputs!$L$6*(((Inputs!$I$6+(((A47)+1)/2)*(Inputs!$J$6-Inputs!$I$6)))/Inputs!$K$6)^2),NA())</f>
        <v/>
      </c>
      <c r="C47" s="9">
        <f>IF(OR(Inputs!$F$7=TRUE,Inputs!$F$7="TRUE",Inputs!$F$7=1),(Inputs!$H$7+Inputs!$L$7*(((Inputs!$I$7+(((A47)+1)/2)*(Inputs!$J$7-Inputs!$I$7)))/Inputs!$K$7)^2),NA())</f>
        <v/>
      </c>
      <c r="D47" s="9">
        <f>IF(OR(Inputs!$F$8=TRUE,Inputs!$F$8="TRUE",Inputs!$F$8=1),(Inputs!$H$8+Inputs!$L$8*(((Inputs!$I$8+(((A47)+1)/2)*(Inputs!$J$8-Inputs!$I$8)))/Inputs!$K$8)^2),NA())</f>
        <v/>
      </c>
      <c r="E47" s="9">
        <f>IF(OR(Inputs!$F$9=TRUE,Inputs!$F$9="TRUE",Inputs!$F$9=1),(Inputs!$H$9+Inputs!$L$9*(((Inputs!$I$9+(((A47)+1)/2)*(Inputs!$J$9-Inputs!$I$9)))/Inputs!$K$9)^2),NA())</f>
        <v/>
      </c>
      <c r="F47" s="10" t="n"/>
      <c r="G47" s="9">
        <f>A47</f>
        <v/>
      </c>
      <c r="H47" s="9">
        <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f>
        <v/>
      </c>
      <c r="I47" s="9">
        <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f>
        <v/>
      </c>
      <c r="J47" s="9">
        <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f>
        <v/>
      </c>
      <c r="K47" s="9">
        <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f>
        <v/>
      </c>
      <c r="L47" s="10" t="n"/>
      <c r="M47" s="9">
        <f>A47</f>
        <v/>
      </c>
      <c r="N47" s="9">
        <f>IF(OR(Inputs!$F$6=TRUE,Inputs!$F$6="TRUE",Inputs!$F$6=1),(-2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NA())</f>
        <v/>
      </c>
      <c r="O47" s="9">
        <f>IF(OR(Inputs!$F$7=TRUE,Inputs!$F$7="TRUE",Inputs!$F$7=1),(-2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NA())</f>
        <v/>
      </c>
      <c r="P47" s="9">
        <f>IF(OR(Inputs!$F$8=TRUE,Inputs!$F$8="TRUE",Inputs!$F$8=1),(-2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NA())</f>
        <v/>
      </c>
      <c r="Q47" s="9">
        <f>IF(OR(Inputs!$F$9=TRUE,Inputs!$F$9="TRUE",Inputs!$F$9=1),(-2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NA())</f>
        <v/>
      </c>
      <c r="R47" s="10" t="n"/>
      <c r="S47" s="9">
        <f>A47</f>
        <v/>
      </c>
      <c r="T47" s="9">
        <f>(Inputs!$I$6+(((A47)+1)/2)*(Inputs!$J$6-Inputs!$I$6))</f>
        <v/>
      </c>
      <c r="U47" s="9">
        <f>(Inputs!$I$7+(((A47)+1)/2)*(Inputs!$J$7-Inputs!$I$7))</f>
        <v/>
      </c>
      <c r="V47" s="9">
        <f>(Inputs!$I$8+(((A47)+1)/2)*(Inputs!$J$8-Inputs!$I$8))</f>
        <v/>
      </c>
      <c r="W47" s="9">
        <f>(Inputs!$I$9+(((A47)+1)/2)*(Inputs!$J$9-Inputs!$I$9))</f>
        <v/>
      </c>
      <c r="X47" s="10" t="n"/>
      <c r="Y47" s="9">
        <f>A47</f>
        <v/>
      </c>
      <c r="Z47" s="9">
        <f>(Inputs!$H$6+Inputs!$L$6*(((Inputs!$I$6+(((A47)+1)/2)*(Inputs!$J$6-Inputs!$I$6)))/Inputs!$K$6)^2)</f>
        <v/>
      </c>
      <c r="AA47" s="9">
        <f>(Inputs!$H$7+Inputs!$L$7*(((Inputs!$I$7+(((A47)+1)/2)*(Inputs!$J$7-Inputs!$I$7)))/Inputs!$K$7)^2)</f>
        <v/>
      </c>
      <c r="AB47" s="9">
        <f>(Inputs!$H$8+Inputs!$L$8*(((Inputs!$I$8+(((A47)+1)/2)*(Inputs!$J$8-Inputs!$I$8)))/Inputs!$K$8)^2)</f>
        <v/>
      </c>
      <c r="AC47" s="9">
        <f>(Inputs!$H$9+Inputs!$L$9*(((Inputs!$I$9+(((A47)+1)/2)*(Inputs!$J$9-Inputs!$I$9)))/Inputs!$K$9)^2)</f>
        <v/>
      </c>
      <c r="AD47" s="10" t="n"/>
      <c r="AE47" s="9">
        <f>A47</f>
        <v/>
      </c>
      <c r="AF47" s="9">
        <f>(((SQRT((Inputs!$C$52+((Inputs!$H$6+Inputs!$L$6*(((Inputs!$I$6+(((A47)+1)/2)*(Inputs!$J$6-Inputs!$I$6)))/Inputs!$K$6)^2)))^2+Inputs!$C$52^2-2*(Inputs!$C$52+((Inputs!$H$6+Inputs!$L$6*(((Inputs!$I$6+(((A47)+1)/2)*(Inputs!$J$6-Inputs!$I$6)))/Inputs!$K$6)^2)))*Inputs!$C$52*COS(SQRT(((Inputs!$I$6+(((A47)+1)/2)*(Inputs!$J$6-Inputs!$I$6)))^2+Inputs!$C$6^2)/Inputs!$C$52)))-((Inputs!$H$6+Inputs!$L$6*(((Inputs!$I$6+(((A47)+1)/2)*(Inputs!$J$6-Inputs!$I$6)))/Inputs!$K$6)^2)))*1000/Inputs!$C$12)</f>
        <v/>
      </c>
      <c r="AG47" s="9">
        <f>(((SQRT((Inputs!$C$52+((Inputs!$H$7+Inputs!$L$7*(((Inputs!$I$7+(((A47)+1)/2)*(Inputs!$J$7-Inputs!$I$7)))/Inputs!$K$7)^2)))^2+Inputs!$C$52^2-2*(Inputs!$C$52+((Inputs!$H$7+Inputs!$L$7*(((Inputs!$I$7+(((A47)+1)/2)*(Inputs!$J$7-Inputs!$I$7)))/Inputs!$K$7)^2)))*Inputs!$C$52*COS(SQRT(((Inputs!$I$7+(((A47)+1)/2)*(Inputs!$J$7-Inputs!$I$7)))^2+Inputs!$C$6^2)/Inputs!$C$52)))-((Inputs!$H$7+Inputs!$L$7*(((Inputs!$I$7+(((A47)+1)/2)*(Inputs!$J$7-Inputs!$I$7)))/Inputs!$K$7)^2)))*1000/Inputs!$C$12)</f>
        <v/>
      </c>
      <c r="AH47" s="9">
        <f>(((SQRT((Inputs!$C$52+((Inputs!$H$8+Inputs!$L$8*(((Inputs!$I$8+(((A47)+1)/2)*(Inputs!$J$8-Inputs!$I$8)))/Inputs!$K$8)^2)))^2+Inputs!$C$52^2-2*(Inputs!$C$52+((Inputs!$H$8+Inputs!$L$8*(((Inputs!$I$8+(((A47)+1)/2)*(Inputs!$J$8-Inputs!$I$8)))/Inputs!$K$8)^2)))*Inputs!$C$52*COS(SQRT(((Inputs!$I$8+(((A47)+1)/2)*(Inputs!$J$8-Inputs!$I$8)))^2+Inputs!$C$6^2)/Inputs!$C$52)))-((Inputs!$H$8+Inputs!$L$8*(((Inputs!$I$8+(((A47)+1)/2)*(Inputs!$J$8-Inputs!$I$8)))/Inputs!$K$8)^2)))*1000/Inputs!$C$12)</f>
        <v/>
      </c>
      <c r="AI47" s="9">
        <f>(((SQRT((Inputs!$C$52+((Inputs!$H$9+Inputs!$L$9*(((Inputs!$I$9+(((A47)+1)/2)*(Inputs!$J$9-Inputs!$I$9)))/Inputs!$K$9)^2)))^2+Inputs!$C$52^2-2*(Inputs!$C$52+((Inputs!$H$9+Inputs!$L$9*(((Inputs!$I$9+(((A47)+1)/2)*(Inputs!$J$9-Inputs!$I$9)))/Inputs!$K$9)^2)))*Inputs!$C$52*COS(SQRT(((Inputs!$I$9+(((A47)+1)/2)*(Inputs!$J$9-Inputs!$I$9)))^2+Inputs!$C$6^2)/Inputs!$C$52)))-((Inputs!$H$9+Inputs!$L$9*(((Inputs!$I$9+(((A47)+1)/2)*(Inputs!$J$9-Inputs!$I$9)))/Inputs!$K$9)^2)))*1000/Inputs!$C$12)</f>
        <v/>
      </c>
      <c r="AJ47" s="10" t="n"/>
      <c r="AK47" s="9">
        <f>A47</f>
        <v/>
      </c>
      <c r="AL47" s="9">
        <f>(-2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f>
        <v/>
      </c>
      <c r="AM47" s="9">
        <f>(-2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f>
        <v/>
      </c>
      <c r="AN47" s="9">
        <f>(-2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f>
        <v/>
      </c>
      <c r="AO47" s="9">
        <f>(-2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f>
        <v/>
      </c>
      <c r="AP47" s="10" t="n"/>
      <c r="AQ47" s="9">
        <f>A47</f>
        <v/>
      </c>
      <c r="AR47" s="9">
        <f>0</f>
        <v/>
      </c>
      <c r="AS47" s="9">
        <f>IF(OR(Inputs!$F$6=TRUE,Inputs!$F$6="TRUE",Inputs!$F$6=1),IF(OR(Inputs!$C$27=TRUE,Inputs!$C$27="TRUE",Inputs!$C$27=1),1,0)*(Inputs!$C$51*(115*EXP(-(((Inputs!$C$6)-25)^2)/(4.5^2))+70*EXP(-(((Inputs!$C$6)+38)^2)/(7^2))*(0.55+0.45*SIN(2*PI()*((Inputs!$I$6+(((A47)+1)/2)*(Inputs!$J$6-Inputs!$I$6)))/45))+24*SIN(2*PI()*(Inputs!$C$6)/9+((Inputs!$I$6+(((A47)+1)/2)*(Inputs!$J$6-Inputs!$I$6)))/18)*EXP(-(((Inputs!$C$6)+5)^2)/(22^2))+18*SIN(2*PI()*((Inputs!$I$6+(((A47)+1)/2)*(Inputs!$J$6-Inputs!$I$6)))/70))+Inputs!$C$28*EXP(-((((Inputs!$I$6+(((A47)+1)/2)*(Inputs!$J$6-Inputs!$I$6)))-Inputs!$C$29)^2)/(2*Inputs!$C$31^2))*EXP(-(((Inputs!$C$6)-Inputs!$C$30)^2)/(2*Inputs!$C$32^2))+-Inputs!$C$33*EXP(-((((((Inputs!$I$6+(((A47)+1)/2)*(Inputs!$J$6-Inputs!$I$6)))-Inputs!$C$34)^2)+(((Inputs!$C$6)-Inputs!$C$35)^2))/(2*Inputs!$C$36^2)))+Inputs!$C$37*(0.55*SIN(2*PI()*((Inputs!$I$6+(((A47)+1)/2)*(Inputs!$J$6-Inputs!$I$6)))/Inputs!$C$39)+0.35*COS(2*PI()*(Inputs!$C$6)/Inputs!$C$40)+0.2*SIN(2*PI()*(((Inputs!$I$6+(((A47)+1)/2)*(Inputs!$J$6-Inputs!$I$6)))+(Inputs!$C$6))/(0.5*(Inputs!$C$39+Inputs!$C$40))))+Inputs!$C$38*SIN(2*PI()*((Inputs!$I$6+(((A47)+1)/2)*(Inputs!$J$6-Inputs!$I$6)))/Inputs!$C$39)*SIN(2*PI()*(Inputs!$C$6)/Inputs!$C$40)+-Inputs!$C$41*EXP(-(((Inputs!$C$6)-Inputs!$C$43)^2)/(2*Inputs!$C$44^2))*EXP(-((((Inputs!$I$6+(((A47)+1)/2)*(Inputs!$J$6-Inputs!$I$6)))-Inputs!$C$42)^2)/(2*Inputs!$C$45^2))+Inputs!$C$48*(0.7*(0.45*SIN(2*PI()*((((Inputs!$I$6+(((A47)+1)/2)*(Inputs!$J$6-Inputs!$I$6)))/Inputs!$C$49)+Inputs!$C$47*0.137))+0.35*COS(2*PI()*(((Inputs!$C$6)/Inputs!$C$50)+Inputs!$C$47*0.173))+0.2*SIN(2*PI()*((((Inputs!$I$6+(((A47)+1)/2)*(Inputs!$J$6-Inputs!$I$6)))+(Inputs!$C$6))/(0.5*(Inputs!$C$49+Inputs!$C$50))+Inputs!$C$47*0.097)))+0.3*(2*((SIN((((Inputs!$I$6+(((A47)+1)/2)*(Inputs!$J$6-Inputs!$I$6)))*12.9898+(Inputs!$C$6)*78.233+Inputs!$C$47*37.719))*43758.5453)-INT((SIN((((Inputs!$I$6+(((A47)+1)/2)*(Inputs!$J$6-Inputs!$I$6)))*12.9898+(Inputs!$C$6)*78.233+Inputs!$C$47*37.719))*43758.5453)))-1))),NA())</f>
        <v/>
      </c>
      <c r="AT47" s="9">
        <f>IF(OR(Inputs!$F$7=TRUE,Inputs!$F$7="TRUE",Inputs!$F$7=1),IF(OR(Inputs!$C$27=TRUE,Inputs!$C$27="TRUE",Inputs!$C$27=1),1,0)*(Inputs!$C$51*(115*EXP(-(((Inputs!$C$6)-25)^2)/(4.5^2))+70*EXP(-(((Inputs!$C$6)+38)^2)/(7^2))*(0.55+0.45*SIN(2*PI()*((Inputs!$I$7+(((A47)+1)/2)*(Inputs!$J$7-Inputs!$I$7)))/45))+24*SIN(2*PI()*(Inputs!$C$6)/9+((Inputs!$I$7+(((A47)+1)/2)*(Inputs!$J$7-Inputs!$I$7)))/18)*EXP(-(((Inputs!$C$6)+5)^2)/(22^2))+18*SIN(2*PI()*((Inputs!$I$7+(((A47)+1)/2)*(Inputs!$J$7-Inputs!$I$7)))/70))+Inputs!$C$28*EXP(-((((Inputs!$I$7+(((A47)+1)/2)*(Inputs!$J$7-Inputs!$I$7)))-Inputs!$C$29)^2)/(2*Inputs!$C$31^2))*EXP(-(((Inputs!$C$6)-Inputs!$C$30)^2)/(2*Inputs!$C$32^2))+-Inputs!$C$33*EXP(-((((((Inputs!$I$7+(((A47)+1)/2)*(Inputs!$J$7-Inputs!$I$7)))-Inputs!$C$34)^2)+(((Inputs!$C$6)-Inputs!$C$35)^2))/(2*Inputs!$C$36^2)))+Inputs!$C$37*(0.55*SIN(2*PI()*((Inputs!$I$7+(((A47)+1)/2)*(Inputs!$J$7-Inputs!$I$7)))/Inputs!$C$39)+0.35*COS(2*PI()*(Inputs!$C$6)/Inputs!$C$40)+0.2*SIN(2*PI()*(((Inputs!$I$7+(((A47)+1)/2)*(Inputs!$J$7-Inputs!$I$7)))+(Inputs!$C$6))/(0.5*(Inputs!$C$39+Inputs!$C$40))))+Inputs!$C$38*SIN(2*PI()*((Inputs!$I$7+(((A47)+1)/2)*(Inputs!$J$7-Inputs!$I$7)))/Inputs!$C$39)*SIN(2*PI()*(Inputs!$C$6)/Inputs!$C$40)+-Inputs!$C$41*EXP(-(((Inputs!$C$6)-Inputs!$C$43)^2)/(2*Inputs!$C$44^2))*EXP(-((((Inputs!$I$7+(((A47)+1)/2)*(Inputs!$J$7-Inputs!$I$7)))-Inputs!$C$42)^2)/(2*Inputs!$C$45^2))+Inputs!$C$48*(0.7*(0.45*SIN(2*PI()*((((Inputs!$I$7+(((A47)+1)/2)*(Inputs!$J$7-Inputs!$I$7)))/Inputs!$C$49)+Inputs!$C$47*0.137))+0.35*COS(2*PI()*(((Inputs!$C$6)/Inputs!$C$50)+Inputs!$C$47*0.173))+0.2*SIN(2*PI()*((((Inputs!$I$7+(((A47)+1)/2)*(Inputs!$J$7-Inputs!$I$7)))+(Inputs!$C$6))/(0.5*(Inputs!$C$49+Inputs!$C$50))+Inputs!$C$47*0.097)))+0.3*(2*((SIN((((Inputs!$I$7+(((A47)+1)/2)*(Inputs!$J$7-Inputs!$I$7)))*12.9898+(Inputs!$C$6)*78.233+Inputs!$C$47*37.719))*43758.5453)-INT((SIN((((Inputs!$I$7+(((A47)+1)/2)*(Inputs!$J$7-Inputs!$I$7)))*12.9898+(Inputs!$C$6)*78.233+Inputs!$C$47*37.719))*43758.5453)))-1))),NA())</f>
        <v/>
      </c>
      <c r="AU47" s="9">
        <f>IF(OR(Inputs!$F$8=TRUE,Inputs!$F$8="TRUE",Inputs!$F$8=1),IF(OR(Inputs!$C$27=TRUE,Inputs!$C$27="TRUE",Inputs!$C$27=1),1,0)*(Inputs!$C$51*(115*EXP(-(((Inputs!$C$6)-25)^2)/(4.5^2))+70*EXP(-(((Inputs!$C$6)+38)^2)/(7^2))*(0.55+0.45*SIN(2*PI()*((Inputs!$I$8+(((A47)+1)/2)*(Inputs!$J$8-Inputs!$I$8)))/45))+24*SIN(2*PI()*(Inputs!$C$6)/9+((Inputs!$I$8+(((A47)+1)/2)*(Inputs!$J$8-Inputs!$I$8)))/18)*EXP(-(((Inputs!$C$6)+5)^2)/(22^2))+18*SIN(2*PI()*((Inputs!$I$8+(((A47)+1)/2)*(Inputs!$J$8-Inputs!$I$8)))/70))+Inputs!$C$28*EXP(-((((Inputs!$I$8+(((A47)+1)/2)*(Inputs!$J$8-Inputs!$I$8)))-Inputs!$C$29)^2)/(2*Inputs!$C$31^2))*EXP(-(((Inputs!$C$6)-Inputs!$C$30)^2)/(2*Inputs!$C$32^2))+-Inputs!$C$33*EXP(-((((((Inputs!$I$8+(((A47)+1)/2)*(Inputs!$J$8-Inputs!$I$8)))-Inputs!$C$34)^2)+(((Inputs!$C$6)-Inputs!$C$35)^2))/(2*Inputs!$C$36^2)))+Inputs!$C$37*(0.55*SIN(2*PI()*((Inputs!$I$8+(((A47)+1)/2)*(Inputs!$J$8-Inputs!$I$8)))/Inputs!$C$39)+0.35*COS(2*PI()*(Inputs!$C$6)/Inputs!$C$40)+0.2*SIN(2*PI()*(((Inputs!$I$8+(((A47)+1)/2)*(Inputs!$J$8-Inputs!$I$8)))+(Inputs!$C$6))/(0.5*(Inputs!$C$39+Inputs!$C$40))))+Inputs!$C$38*SIN(2*PI()*((Inputs!$I$8+(((A47)+1)/2)*(Inputs!$J$8-Inputs!$I$8)))/Inputs!$C$39)*SIN(2*PI()*(Inputs!$C$6)/Inputs!$C$40)+-Inputs!$C$41*EXP(-(((Inputs!$C$6)-Inputs!$C$43)^2)/(2*Inputs!$C$44^2))*EXP(-((((Inputs!$I$8+(((A47)+1)/2)*(Inputs!$J$8-Inputs!$I$8)))-Inputs!$C$42)^2)/(2*Inputs!$C$45^2))+Inputs!$C$48*(0.7*(0.45*SIN(2*PI()*((((Inputs!$I$8+(((A47)+1)/2)*(Inputs!$J$8-Inputs!$I$8)))/Inputs!$C$49)+Inputs!$C$47*0.137))+0.35*COS(2*PI()*(((Inputs!$C$6)/Inputs!$C$50)+Inputs!$C$47*0.173))+0.2*SIN(2*PI()*((((Inputs!$I$8+(((A47)+1)/2)*(Inputs!$J$8-Inputs!$I$8)))+(Inputs!$C$6))/(0.5*(Inputs!$C$49+Inputs!$C$50))+Inputs!$C$47*0.097)))+0.3*(2*((SIN((((Inputs!$I$8+(((A47)+1)/2)*(Inputs!$J$8-Inputs!$I$8)))*12.9898+(Inputs!$C$6)*78.233+Inputs!$C$47*37.719))*43758.5453)-INT((SIN((((Inputs!$I$8+(((A47)+1)/2)*(Inputs!$J$8-Inputs!$I$8)))*12.9898+(Inputs!$C$6)*78.233+Inputs!$C$47*37.719))*43758.5453)))-1))),NA())</f>
        <v/>
      </c>
      <c r="AV47" s="9">
        <f>IF(OR(Inputs!$F$9=TRUE,Inputs!$F$9="TRUE",Inputs!$F$9=1),IF(OR(Inputs!$C$27=TRUE,Inputs!$C$27="TRUE",Inputs!$C$27=1),1,0)*(Inputs!$C$51*(115*EXP(-(((Inputs!$C$6)-25)^2)/(4.5^2))+70*EXP(-(((Inputs!$C$6)+38)^2)/(7^2))*(0.55+0.45*SIN(2*PI()*((Inputs!$I$9+(((A47)+1)/2)*(Inputs!$J$9-Inputs!$I$9)))/45))+24*SIN(2*PI()*(Inputs!$C$6)/9+((Inputs!$I$9+(((A47)+1)/2)*(Inputs!$J$9-Inputs!$I$9)))/18)*EXP(-(((Inputs!$C$6)+5)^2)/(22^2))+18*SIN(2*PI()*((Inputs!$I$9+(((A47)+1)/2)*(Inputs!$J$9-Inputs!$I$9)))/70))+Inputs!$C$28*EXP(-((((Inputs!$I$9+(((A47)+1)/2)*(Inputs!$J$9-Inputs!$I$9)))-Inputs!$C$29)^2)/(2*Inputs!$C$31^2))*EXP(-(((Inputs!$C$6)-Inputs!$C$30)^2)/(2*Inputs!$C$32^2))+-Inputs!$C$33*EXP(-((((((Inputs!$I$9+(((A47)+1)/2)*(Inputs!$J$9-Inputs!$I$9)))-Inputs!$C$34)^2)+(((Inputs!$C$6)-Inputs!$C$35)^2))/(2*Inputs!$C$36^2)))+Inputs!$C$37*(0.55*SIN(2*PI()*((Inputs!$I$9+(((A47)+1)/2)*(Inputs!$J$9-Inputs!$I$9)))/Inputs!$C$39)+0.35*COS(2*PI()*(Inputs!$C$6)/Inputs!$C$40)+0.2*SIN(2*PI()*(((Inputs!$I$9+(((A47)+1)/2)*(Inputs!$J$9-Inputs!$I$9)))+(Inputs!$C$6))/(0.5*(Inputs!$C$39+Inputs!$C$40))))+Inputs!$C$38*SIN(2*PI()*((Inputs!$I$9+(((A47)+1)/2)*(Inputs!$J$9-Inputs!$I$9)))/Inputs!$C$39)*SIN(2*PI()*(Inputs!$C$6)/Inputs!$C$40)+-Inputs!$C$41*EXP(-(((Inputs!$C$6)-Inputs!$C$43)^2)/(2*Inputs!$C$44^2))*EXP(-((((Inputs!$I$9+(((A47)+1)/2)*(Inputs!$J$9-Inputs!$I$9)))-Inputs!$C$42)^2)/(2*Inputs!$C$45^2))+Inputs!$C$48*(0.7*(0.45*SIN(2*PI()*((((Inputs!$I$9+(((A47)+1)/2)*(Inputs!$J$9-Inputs!$I$9)))/Inputs!$C$49)+Inputs!$C$47*0.137))+0.35*COS(2*PI()*(((Inputs!$C$6)/Inputs!$C$50)+Inputs!$C$47*0.173))+0.2*SIN(2*PI()*((((Inputs!$I$9+(((A47)+1)/2)*(Inputs!$J$9-Inputs!$I$9)))+(Inputs!$C$6))/(0.5*(Inputs!$C$49+Inputs!$C$50))+Inputs!$C$47*0.097)))+0.3*(2*((SIN((((Inputs!$I$9+(((A47)+1)/2)*(Inputs!$J$9-Inputs!$I$9)))*12.9898+(Inputs!$C$6)*78.233+Inputs!$C$47*37.719))*43758.5453)-INT((SIN((((Inputs!$I$9+(((A47)+1)/2)*(Inputs!$J$9-Inputs!$I$9)))*12.9898+(Inputs!$C$6)*78.233+Inputs!$C$47*37.719))*43758.5453)))-1))),NA())</f>
        <v/>
      </c>
      <c r="AW47" s="10" t="n"/>
      <c r="AX47" s="9">
        <f>A47</f>
        <v/>
      </c>
      <c r="AY47" s="9">
        <f>0</f>
        <v/>
      </c>
      <c r="AZ47" s="9">
        <f>IF(OR(Inputs!$F$6=TRUE,Inputs!$F$6="TRUE",Inputs!$F$6=1),(Inputs!$H$6+Inputs!$L$6*(((Inputs!$I$6+(((A47)+1)/2)*(Inputs!$J$6-Inputs!$I$6)))/Inputs!$K$6)^2),NA())</f>
        <v/>
      </c>
      <c r="BA47" s="9">
        <f>IF(OR(Inputs!$F$7=TRUE,Inputs!$F$7="TRUE",Inputs!$F$7=1),(Inputs!$H$7+Inputs!$L$7*(((Inputs!$I$7+(((A47)+1)/2)*(Inputs!$J$7-Inputs!$I$7)))/Inputs!$K$7)^2),NA())</f>
        <v/>
      </c>
      <c r="BB47" s="9">
        <f>IF(OR(Inputs!$F$8=TRUE,Inputs!$F$8="TRUE",Inputs!$F$8=1),(Inputs!$H$8+Inputs!$L$8*(((Inputs!$I$8+(((A47)+1)/2)*(Inputs!$J$8-Inputs!$I$8)))/Inputs!$K$8)^2),NA())</f>
        <v/>
      </c>
      <c r="BC47" s="9">
        <f>IF(OR(Inputs!$F$9=TRUE,Inputs!$F$9="TRUE",Inputs!$F$9=1),(Inputs!$H$9+Inputs!$L$9*(((Inputs!$I$9+(((A47)+1)/2)*(Inputs!$J$9-Inputs!$I$9)))/Inputs!$K$9)^2),NA())</f>
        <v/>
      </c>
      <c r="BD47" s="10" t="n"/>
      <c r="BE47" s="9">
        <f>A47</f>
        <v/>
      </c>
      <c r="BF47" s="9">
        <f>0</f>
        <v/>
      </c>
      <c r="BG47" s="9">
        <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f>
        <v/>
      </c>
      <c r="BH47" s="9">
        <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f>
        <v/>
      </c>
      <c r="BI47" s="9">
        <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f>
        <v/>
      </c>
      <c r="BJ47" s="9">
        <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f>
        <v/>
      </c>
    </row>
    <row r="48">
      <c r="A48" s="9">
        <f>ROUND(-1+46*2/240,3)</f>
        <v/>
      </c>
      <c r="B48" s="9">
        <f>IF(OR(Inputs!$F$6=TRUE,Inputs!$F$6="TRUE",Inputs!$F$6=1),(Inputs!$H$6+Inputs!$L$6*(((Inputs!$I$6+(((A48)+1)/2)*(Inputs!$J$6-Inputs!$I$6)))/Inputs!$K$6)^2),NA())</f>
        <v/>
      </c>
      <c r="C48" s="9">
        <f>IF(OR(Inputs!$F$7=TRUE,Inputs!$F$7="TRUE",Inputs!$F$7=1),(Inputs!$H$7+Inputs!$L$7*(((Inputs!$I$7+(((A48)+1)/2)*(Inputs!$J$7-Inputs!$I$7)))/Inputs!$K$7)^2),NA())</f>
        <v/>
      </c>
      <c r="D48" s="9">
        <f>IF(OR(Inputs!$F$8=TRUE,Inputs!$F$8="TRUE",Inputs!$F$8=1),(Inputs!$H$8+Inputs!$L$8*(((Inputs!$I$8+(((A48)+1)/2)*(Inputs!$J$8-Inputs!$I$8)))/Inputs!$K$8)^2),NA())</f>
        <v/>
      </c>
      <c r="E48" s="9">
        <f>IF(OR(Inputs!$F$9=TRUE,Inputs!$F$9="TRUE",Inputs!$F$9=1),(Inputs!$H$9+Inputs!$L$9*(((Inputs!$I$9+(((A48)+1)/2)*(Inputs!$J$9-Inputs!$I$9)))/Inputs!$K$9)^2),NA())</f>
        <v/>
      </c>
      <c r="F48" s="10" t="n"/>
      <c r="G48" s="9">
        <f>A48</f>
        <v/>
      </c>
      <c r="H48" s="9">
        <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f>
        <v/>
      </c>
      <c r="I48" s="9">
        <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f>
        <v/>
      </c>
      <c r="J48" s="9">
        <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f>
        <v/>
      </c>
      <c r="K48" s="9">
        <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f>
        <v/>
      </c>
      <c r="L48" s="10" t="n"/>
      <c r="M48" s="9">
        <f>A48</f>
        <v/>
      </c>
      <c r="N48" s="9">
        <f>IF(OR(Inputs!$F$6=TRUE,Inputs!$F$6="TRUE",Inputs!$F$6=1),(-2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NA())</f>
        <v/>
      </c>
      <c r="O48" s="9">
        <f>IF(OR(Inputs!$F$7=TRUE,Inputs!$F$7="TRUE",Inputs!$F$7=1),(-2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NA())</f>
        <v/>
      </c>
      <c r="P48" s="9">
        <f>IF(OR(Inputs!$F$8=TRUE,Inputs!$F$8="TRUE",Inputs!$F$8=1),(-2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NA())</f>
        <v/>
      </c>
      <c r="Q48" s="9">
        <f>IF(OR(Inputs!$F$9=TRUE,Inputs!$F$9="TRUE",Inputs!$F$9=1),(-2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NA())</f>
        <v/>
      </c>
      <c r="R48" s="10" t="n"/>
      <c r="S48" s="9">
        <f>A48</f>
        <v/>
      </c>
      <c r="T48" s="9">
        <f>(Inputs!$I$6+(((A48)+1)/2)*(Inputs!$J$6-Inputs!$I$6))</f>
        <v/>
      </c>
      <c r="U48" s="9">
        <f>(Inputs!$I$7+(((A48)+1)/2)*(Inputs!$J$7-Inputs!$I$7))</f>
        <v/>
      </c>
      <c r="V48" s="9">
        <f>(Inputs!$I$8+(((A48)+1)/2)*(Inputs!$J$8-Inputs!$I$8))</f>
        <v/>
      </c>
      <c r="W48" s="9">
        <f>(Inputs!$I$9+(((A48)+1)/2)*(Inputs!$J$9-Inputs!$I$9))</f>
        <v/>
      </c>
      <c r="X48" s="10" t="n"/>
      <c r="Y48" s="9">
        <f>A48</f>
        <v/>
      </c>
      <c r="Z48" s="9">
        <f>(Inputs!$H$6+Inputs!$L$6*(((Inputs!$I$6+(((A48)+1)/2)*(Inputs!$J$6-Inputs!$I$6)))/Inputs!$K$6)^2)</f>
        <v/>
      </c>
      <c r="AA48" s="9">
        <f>(Inputs!$H$7+Inputs!$L$7*(((Inputs!$I$7+(((A48)+1)/2)*(Inputs!$J$7-Inputs!$I$7)))/Inputs!$K$7)^2)</f>
        <v/>
      </c>
      <c r="AB48" s="9">
        <f>(Inputs!$H$8+Inputs!$L$8*(((Inputs!$I$8+(((A48)+1)/2)*(Inputs!$J$8-Inputs!$I$8)))/Inputs!$K$8)^2)</f>
        <v/>
      </c>
      <c r="AC48" s="9">
        <f>(Inputs!$H$9+Inputs!$L$9*(((Inputs!$I$9+(((A48)+1)/2)*(Inputs!$J$9-Inputs!$I$9)))/Inputs!$K$9)^2)</f>
        <v/>
      </c>
      <c r="AD48" s="10" t="n"/>
      <c r="AE48" s="9">
        <f>A48</f>
        <v/>
      </c>
      <c r="AF48" s="9">
        <f>(((SQRT((Inputs!$C$52+((Inputs!$H$6+Inputs!$L$6*(((Inputs!$I$6+(((A48)+1)/2)*(Inputs!$J$6-Inputs!$I$6)))/Inputs!$K$6)^2)))^2+Inputs!$C$52^2-2*(Inputs!$C$52+((Inputs!$H$6+Inputs!$L$6*(((Inputs!$I$6+(((A48)+1)/2)*(Inputs!$J$6-Inputs!$I$6)))/Inputs!$K$6)^2)))*Inputs!$C$52*COS(SQRT(((Inputs!$I$6+(((A48)+1)/2)*(Inputs!$J$6-Inputs!$I$6)))^2+Inputs!$C$6^2)/Inputs!$C$52)))-((Inputs!$H$6+Inputs!$L$6*(((Inputs!$I$6+(((A48)+1)/2)*(Inputs!$J$6-Inputs!$I$6)))/Inputs!$K$6)^2)))*1000/Inputs!$C$12)</f>
        <v/>
      </c>
      <c r="AG48" s="9">
        <f>(((SQRT((Inputs!$C$52+((Inputs!$H$7+Inputs!$L$7*(((Inputs!$I$7+(((A48)+1)/2)*(Inputs!$J$7-Inputs!$I$7)))/Inputs!$K$7)^2)))^2+Inputs!$C$52^2-2*(Inputs!$C$52+((Inputs!$H$7+Inputs!$L$7*(((Inputs!$I$7+(((A48)+1)/2)*(Inputs!$J$7-Inputs!$I$7)))/Inputs!$K$7)^2)))*Inputs!$C$52*COS(SQRT(((Inputs!$I$7+(((A48)+1)/2)*(Inputs!$J$7-Inputs!$I$7)))^2+Inputs!$C$6^2)/Inputs!$C$52)))-((Inputs!$H$7+Inputs!$L$7*(((Inputs!$I$7+(((A48)+1)/2)*(Inputs!$J$7-Inputs!$I$7)))/Inputs!$K$7)^2)))*1000/Inputs!$C$12)</f>
        <v/>
      </c>
      <c r="AH48" s="9">
        <f>(((SQRT((Inputs!$C$52+((Inputs!$H$8+Inputs!$L$8*(((Inputs!$I$8+(((A48)+1)/2)*(Inputs!$J$8-Inputs!$I$8)))/Inputs!$K$8)^2)))^2+Inputs!$C$52^2-2*(Inputs!$C$52+((Inputs!$H$8+Inputs!$L$8*(((Inputs!$I$8+(((A48)+1)/2)*(Inputs!$J$8-Inputs!$I$8)))/Inputs!$K$8)^2)))*Inputs!$C$52*COS(SQRT(((Inputs!$I$8+(((A48)+1)/2)*(Inputs!$J$8-Inputs!$I$8)))^2+Inputs!$C$6^2)/Inputs!$C$52)))-((Inputs!$H$8+Inputs!$L$8*(((Inputs!$I$8+(((A48)+1)/2)*(Inputs!$J$8-Inputs!$I$8)))/Inputs!$K$8)^2)))*1000/Inputs!$C$12)</f>
        <v/>
      </c>
      <c r="AI48" s="9">
        <f>(((SQRT((Inputs!$C$52+((Inputs!$H$9+Inputs!$L$9*(((Inputs!$I$9+(((A48)+1)/2)*(Inputs!$J$9-Inputs!$I$9)))/Inputs!$K$9)^2)))^2+Inputs!$C$52^2-2*(Inputs!$C$52+((Inputs!$H$9+Inputs!$L$9*(((Inputs!$I$9+(((A48)+1)/2)*(Inputs!$J$9-Inputs!$I$9)))/Inputs!$K$9)^2)))*Inputs!$C$52*COS(SQRT(((Inputs!$I$9+(((A48)+1)/2)*(Inputs!$J$9-Inputs!$I$9)))^2+Inputs!$C$6^2)/Inputs!$C$52)))-((Inputs!$H$9+Inputs!$L$9*(((Inputs!$I$9+(((A48)+1)/2)*(Inputs!$J$9-Inputs!$I$9)))/Inputs!$K$9)^2)))*1000/Inputs!$C$12)</f>
        <v/>
      </c>
      <c r="AJ48" s="10" t="n"/>
      <c r="AK48" s="9">
        <f>A48</f>
        <v/>
      </c>
      <c r="AL48" s="9">
        <f>(-2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f>
        <v/>
      </c>
      <c r="AM48" s="9">
        <f>(-2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f>
        <v/>
      </c>
      <c r="AN48" s="9">
        <f>(-2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f>
        <v/>
      </c>
      <c r="AO48" s="9">
        <f>(-2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f>
        <v/>
      </c>
      <c r="AP48" s="10" t="n"/>
      <c r="AQ48" s="9">
        <f>A48</f>
        <v/>
      </c>
      <c r="AR48" s="9">
        <f>0</f>
        <v/>
      </c>
      <c r="AS48" s="9">
        <f>IF(OR(Inputs!$F$6=TRUE,Inputs!$F$6="TRUE",Inputs!$F$6=1),IF(OR(Inputs!$C$27=TRUE,Inputs!$C$27="TRUE",Inputs!$C$27=1),1,0)*(Inputs!$C$51*(115*EXP(-(((Inputs!$C$6)-25)^2)/(4.5^2))+70*EXP(-(((Inputs!$C$6)+38)^2)/(7^2))*(0.55+0.45*SIN(2*PI()*((Inputs!$I$6+(((A48)+1)/2)*(Inputs!$J$6-Inputs!$I$6)))/45))+24*SIN(2*PI()*(Inputs!$C$6)/9+((Inputs!$I$6+(((A48)+1)/2)*(Inputs!$J$6-Inputs!$I$6)))/18)*EXP(-(((Inputs!$C$6)+5)^2)/(22^2))+18*SIN(2*PI()*((Inputs!$I$6+(((A48)+1)/2)*(Inputs!$J$6-Inputs!$I$6)))/70))+Inputs!$C$28*EXP(-((((Inputs!$I$6+(((A48)+1)/2)*(Inputs!$J$6-Inputs!$I$6)))-Inputs!$C$29)^2)/(2*Inputs!$C$31^2))*EXP(-(((Inputs!$C$6)-Inputs!$C$30)^2)/(2*Inputs!$C$32^2))+-Inputs!$C$33*EXP(-((((((Inputs!$I$6+(((A48)+1)/2)*(Inputs!$J$6-Inputs!$I$6)))-Inputs!$C$34)^2)+(((Inputs!$C$6)-Inputs!$C$35)^2))/(2*Inputs!$C$36^2)))+Inputs!$C$37*(0.55*SIN(2*PI()*((Inputs!$I$6+(((A48)+1)/2)*(Inputs!$J$6-Inputs!$I$6)))/Inputs!$C$39)+0.35*COS(2*PI()*(Inputs!$C$6)/Inputs!$C$40)+0.2*SIN(2*PI()*(((Inputs!$I$6+(((A48)+1)/2)*(Inputs!$J$6-Inputs!$I$6)))+(Inputs!$C$6))/(0.5*(Inputs!$C$39+Inputs!$C$40))))+Inputs!$C$38*SIN(2*PI()*((Inputs!$I$6+(((A48)+1)/2)*(Inputs!$J$6-Inputs!$I$6)))/Inputs!$C$39)*SIN(2*PI()*(Inputs!$C$6)/Inputs!$C$40)+-Inputs!$C$41*EXP(-(((Inputs!$C$6)-Inputs!$C$43)^2)/(2*Inputs!$C$44^2))*EXP(-((((Inputs!$I$6+(((A48)+1)/2)*(Inputs!$J$6-Inputs!$I$6)))-Inputs!$C$42)^2)/(2*Inputs!$C$45^2))+Inputs!$C$48*(0.7*(0.45*SIN(2*PI()*((((Inputs!$I$6+(((A48)+1)/2)*(Inputs!$J$6-Inputs!$I$6)))/Inputs!$C$49)+Inputs!$C$47*0.137))+0.35*COS(2*PI()*(((Inputs!$C$6)/Inputs!$C$50)+Inputs!$C$47*0.173))+0.2*SIN(2*PI()*((((Inputs!$I$6+(((A48)+1)/2)*(Inputs!$J$6-Inputs!$I$6)))+(Inputs!$C$6))/(0.5*(Inputs!$C$49+Inputs!$C$50))+Inputs!$C$47*0.097)))+0.3*(2*((SIN((((Inputs!$I$6+(((A48)+1)/2)*(Inputs!$J$6-Inputs!$I$6)))*12.9898+(Inputs!$C$6)*78.233+Inputs!$C$47*37.719))*43758.5453)-INT((SIN((((Inputs!$I$6+(((A48)+1)/2)*(Inputs!$J$6-Inputs!$I$6)))*12.9898+(Inputs!$C$6)*78.233+Inputs!$C$47*37.719))*43758.5453)))-1))),NA())</f>
        <v/>
      </c>
      <c r="AT48" s="9">
        <f>IF(OR(Inputs!$F$7=TRUE,Inputs!$F$7="TRUE",Inputs!$F$7=1),IF(OR(Inputs!$C$27=TRUE,Inputs!$C$27="TRUE",Inputs!$C$27=1),1,0)*(Inputs!$C$51*(115*EXP(-(((Inputs!$C$6)-25)^2)/(4.5^2))+70*EXP(-(((Inputs!$C$6)+38)^2)/(7^2))*(0.55+0.45*SIN(2*PI()*((Inputs!$I$7+(((A48)+1)/2)*(Inputs!$J$7-Inputs!$I$7)))/45))+24*SIN(2*PI()*(Inputs!$C$6)/9+((Inputs!$I$7+(((A48)+1)/2)*(Inputs!$J$7-Inputs!$I$7)))/18)*EXP(-(((Inputs!$C$6)+5)^2)/(22^2))+18*SIN(2*PI()*((Inputs!$I$7+(((A48)+1)/2)*(Inputs!$J$7-Inputs!$I$7)))/70))+Inputs!$C$28*EXP(-((((Inputs!$I$7+(((A48)+1)/2)*(Inputs!$J$7-Inputs!$I$7)))-Inputs!$C$29)^2)/(2*Inputs!$C$31^2))*EXP(-(((Inputs!$C$6)-Inputs!$C$30)^2)/(2*Inputs!$C$32^2))+-Inputs!$C$33*EXP(-((((((Inputs!$I$7+(((A48)+1)/2)*(Inputs!$J$7-Inputs!$I$7)))-Inputs!$C$34)^2)+(((Inputs!$C$6)-Inputs!$C$35)^2))/(2*Inputs!$C$36^2)))+Inputs!$C$37*(0.55*SIN(2*PI()*((Inputs!$I$7+(((A48)+1)/2)*(Inputs!$J$7-Inputs!$I$7)))/Inputs!$C$39)+0.35*COS(2*PI()*(Inputs!$C$6)/Inputs!$C$40)+0.2*SIN(2*PI()*(((Inputs!$I$7+(((A48)+1)/2)*(Inputs!$J$7-Inputs!$I$7)))+(Inputs!$C$6))/(0.5*(Inputs!$C$39+Inputs!$C$40))))+Inputs!$C$38*SIN(2*PI()*((Inputs!$I$7+(((A48)+1)/2)*(Inputs!$J$7-Inputs!$I$7)))/Inputs!$C$39)*SIN(2*PI()*(Inputs!$C$6)/Inputs!$C$40)+-Inputs!$C$41*EXP(-(((Inputs!$C$6)-Inputs!$C$43)^2)/(2*Inputs!$C$44^2))*EXP(-((((Inputs!$I$7+(((A48)+1)/2)*(Inputs!$J$7-Inputs!$I$7)))-Inputs!$C$42)^2)/(2*Inputs!$C$45^2))+Inputs!$C$48*(0.7*(0.45*SIN(2*PI()*((((Inputs!$I$7+(((A48)+1)/2)*(Inputs!$J$7-Inputs!$I$7)))/Inputs!$C$49)+Inputs!$C$47*0.137))+0.35*COS(2*PI()*(((Inputs!$C$6)/Inputs!$C$50)+Inputs!$C$47*0.173))+0.2*SIN(2*PI()*((((Inputs!$I$7+(((A48)+1)/2)*(Inputs!$J$7-Inputs!$I$7)))+(Inputs!$C$6))/(0.5*(Inputs!$C$49+Inputs!$C$50))+Inputs!$C$47*0.097)))+0.3*(2*((SIN((((Inputs!$I$7+(((A48)+1)/2)*(Inputs!$J$7-Inputs!$I$7)))*12.9898+(Inputs!$C$6)*78.233+Inputs!$C$47*37.719))*43758.5453)-INT((SIN((((Inputs!$I$7+(((A48)+1)/2)*(Inputs!$J$7-Inputs!$I$7)))*12.9898+(Inputs!$C$6)*78.233+Inputs!$C$47*37.719))*43758.5453)))-1))),NA())</f>
        <v/>
      </c>
      <c r="AU48" s="9">
        <f>IF(OR(Inputs!$F$8=TRUE,Inputs!$F$8="TRUE",Inputs!$F$8=1),IF(OR(Inputs!$C$27=TRUE,Inputs!$C$27="TRUE",Inputs!$C$27=1),1,0)*(Inputs!$C$51*(115*EXP(-(((Inputs!$C$6)-25)^2)/(4.5^2))+70*EXP(-(((Inputs!$C$6)+38)^2)/(7^2))*(0.55+0.45*SIN(2*PI()*((Inputs!$I$8+(((A48)+1)/2)*(Inputs!$J$8-Inputs!$I$8)))/45))+24*SIN(2*PI()*(Inputs!$C$6)/9+((Inputs!$I$8+(((A48)+1)/2)*(Inputs!$J$8-Inputs!$I$8)))/18)*EXP(-(((Inputs!$C$6)+5)^2)/(22^2))+18*SIN(2*PI()*((Inputs!$I$8+(((A48)+1)/2)*(Inputs!$J$8-Inputs!$I$8)))/70))+Inputs!$C$28*EXP(-((((Inputs!$I$8+(((A48)+1)/2)*(Inputs!$J$8-Inputs!$I$8)))-Inputs!$C$29)^2)/(2*Inputs!$C$31^2))*EXP(-(((Inputs!$C$6)-Inputs!$C$30)^2)/(2*Inputs!$C$32^2))+-Inputs!$C$33*EXP(-((((((Inputs!$I$8+(((A48)+1)/2)*(Inputs!$J$8-Inputs!$I$8)))-Inputs!$C$34)^2)+(((Inputs!$C$6)-Inputs!$C$35)^2))/(2*Inputs!$C$36^2)))+Inputs!$C$37*(0.55*SIN(2*PI()*((Inputs!$I$8+(((A48)+1)/2)*(Inputs!$J$8-Inputs!$I$8)))/Inputs!$C$39)+0.35*COS(2*PI()*(Inputs!$C$6)/Inputs!$C$40)+0.2*SIN(2*PI()*(((Inputs!$I$8+(((A48)+1)/2)*(Inputs!$J$8-Inputs!$I$8)))+(Inputs!$C$6))/(0.5*(Inputs!$C$39+Inputs!$C$40))))+Inputs!$C$38*SIN(2*PI()*((Inputs!$I$8+(((A48)+1)/2)*(Inputs!$J$8-Inputs!$I$8)))/Inputs!$C$39)*SIN(2*PI()*(Inputs!$C$6)/Inputs!$C$40)+-Inputs!$C$41*EXP(-(((Inputs!$C$6)-Inputs!$C$43)^2)/(2*Inputs!$C$44^2))*EXP(-((((Inputs!$I$8+(((A48)+1)/2)*(Inputs!$J$8-Inputs!$I$8)))-Inputs!$C$42)^2)/(2*Inputs!$C$45^2))+Inputs!$C$48*(0.7*(0.45*SIN(2*PI()*((((Inputs!$I$8+(((A48)+1)/2)*(Inputs!$J$8-Inputs!$I$8)))/Inputs!$C$49)+Inputs!$C$47*0.137))+0.35*COS(2*PI()*(((Inputs!$C$6)/Inputs!$C$50)+Inputs!$C$47*0.173))+0.2*SIN(2*PI()*((((Inputs!$I$8+(((A48)+1)/2)*(Inputs!$J$8-Inputs!$I$8)))+(Inputs!$C$6))/(0.5*(Inputs!$C$49+Inputs!$C$50))+Inputs!$C$47*0.097)))+0.3*(2*((SIN((((Inputs!$I$8+(((A48)+1)/2)*(Inputs!$J$8-Inputs!$I$8)))*12.9898+(Inputs!$C$6)*78.233+Inputs!$C$47*37.719))*43758.5453)-INT((SIN((((Inputs!$I$8+(((A48)+1)/2)*(Inputs!$J$8-Inputs!$I$8)))*12.9898+(Inputs!$C$6)*78.233+Inputs!$C$47*37.719))*43758.5453)))-1))),NA())</f>
        <v/>
      </c>
      <c r="AV48" s="9">
        <f>IF(OR(Inputs!$F$9=TRUE,Inputs!$F$9="TRUE",Inputs!$F$9=1),IF(OR(Inputs!$C$27=TRUE,Inputs!$C$27="TRUE",Inputs!$C$27=1),1,0)*(Inputs!$C$51*(115*EXP(-(((Inputs!$C$6)-25)^2)/(4.5^2))+70*EXP(-(((Inputs!$C$6)+38)^2)/(7^2))*(0.55+0.45*SIN(2*PI()*((Inputs!$I$9+(((A48)+1)/2)*(Inputs!$J$9-Inputs!$I$9)))/45))+24*SIN(2*PI()*(Inputs!$C$6)/9+((Inputs!$I$9+(((A48)+1)/2)*(Inputs!$J$9-Inputs!$I$9)))/18)*EXP(-(((Inputs!$C$6)+5)^2)/(22^2))+18*SIN(2*PI()*((Inputs!$I$9+(((A48)+1)/2)*(Inputs!$J$9-Inputs!$I$9)))/70))+Inputs!$C$28*EXP(-((((Inputs!$I$9+(((A48)+1)/2)*(Inputs!$J$9-Inputs!$I$9)))-Inputs!$C$29)^2)/(2*Inputs!$C$31^2))*EXP(-(((Inputs!$C$6)-Inputs!$C$30)^2)/(2*Inputs!$C$32^2))+-Inputs!$C$33*EXP(-((((((Inputs!$I$9+(((A48)+1)/2)*(Inputs!$J$9-Inputs!$I$9)))-Inputs!$C$34)^2)+(((Inputs!$C$6)-Inputs!$C$35)^2))/(2*Inputs!$C$36^2)))+Inputs!$C$37*(0.55*SIN(2*PI()*((Inputs!$I$9+(((A48)+1)/2)*(Inputs!$J$9-Inputs!$I$9)))/Inputs!$C$39)+0.35*COS(2*PI()*(Inputs!$C$6)/Inputs!$C$40)+0.2*SIN(2*PI()*(((Inputs!$I$9+(((A48)+1)/2)*(Inputs!$J$9-Inputs!$I$9)))+(Inputs!$C$6))/(0.5*(Inputs!$C$39+Inputs!$C$40))))+Inputs!$C$38*SIN(2*PI()*((Inputs!$I$9+(((A48)+1)/2)*(Inputs!$J$9-Inputs!$I$9)))/Inputs!$C$39)*SIN(2*PI()*(Inputs!$C$6)/Inputs!$C$40)+-Inputs!$C$41*EXP(-(((Inputs!$C$6)-Inputs!$C$43)^2)/(2*Inputs!$C$44^2))*EXP(-((((Inputs!$I$9+(((A48)+1)/2)*(Inputs!$J$9-Inputs!$I$9)))-Inputs!$C$42)^2)/(2*Inputs!$C$45^2))+Inputs!$C$48*(0.7*(0.45*SIN(2*PI()*((((Inputs!$I$9+(((A48)+1)/2)*(Inputs!$J$9-Inputs!$I$9)))/Inputs!$C$49)+Inputs!$C$47*0.137))+0.35*COS(2*PI()*(((Inputs!$C$6)/Inputs!$C$50)+Inputs!$C$47*0.173))+0.2*SIN(2*PI()*((((Inputs!$I$9+(((A48)+1)/2)*(Inputs!$J$9-Inputs!$I$9)))+(Inputs!$C$6))/(0.5*(Inputs!$C$49+Inputs!$C$50))+Inputs!$C$47*0.097)))+0.3*(2*((SIN((((Inputs!$I$9+(((A48)+1)/2)*(Inputs!$J$9-Inputs!$I$9)))*12.9898+(Inputs!$C$6)*78.233+Inputs!$C$47*37.719))*43758.5453)-INT((SIN((((Inputs!$I$9+(((A48)+1)/2)*(Inputs!$J$9-Inputs!$I$9)))*12.9898+(Inputs!$C$6)*78.233+Inputs!$C$47*37.719))*43758.5453)))-1))),NA())</f>
        <v/>
      </c>
      <c r="AW48" s="10" t="n"/>
      <c r="AX48" s="9">
        <f>A48</f>
        <v/>
      </c>
      <c r="AY48" s="9">
        <f>0</f>
        <v/>
      </c>
      <c r="AZ48" s="9">
        <f>IF(OR(Inputs!$F$6=TRUE,Inputs!$F$6="TRUE",Inputs!$F$6=1),(Inputs!$H$6+Inputs!$L$6*(((Inputs!$I$6+(((A48)+1)/2)*(Inputs!$J$6-Inputs!$I$6)))/Inputs!$K$6)^2),NA())</f>
        <v/>
      </c>
      <c r="BA48" s="9">
        <f>IF(OR(Inputs!$F$7=TRUE,Inputs!$F$7="TRUE",Inputs!$F$7=1),(Inputs!$H$7+Inputs!$L$7*(((Inputs!$I$7+(((A48)+1)/2)*(Inputs!$J$7-Inputs!$I$7)))/Inputs!$K$7)^2),NA())</f>
        <v/>
      </c>
      <c r="BB48" s="9">
        <f>IF(OR(Inputs!$F$8=TRUE,Inputs!$F$8="TRUE",Inputs!$F$8=1),(Inputs!$H$8+Inputs!$L$8*(((Inputs!$I$8+(((A48)+1)/2)*(Inputs!$J$8-Inputs!$I$8)))/Inputs!$K$8)^2),NA())</f>
        <v/>
      </c>
      <c r="BC48" s="9">
        <f>IF(OR(Inputs!$F$9=TRUE,Inputs!$F$9="TRUE",Inputs!$F$9=1),(Inputs!$H$9+Inputs!$L$9*(((Inputs!$I$9+(((A48)+1)/2)*(Inputs!$J$9-Inputs!$I$9)))/Inputs!$K$9)^2),NA())</f>
        <v/>
      </c>
      <c r="BD48" s="10" t="n"/>
      <c r="BE48" s="9">
        <f>A48</f>
        <v/>
      </c>
      <c r="BF48" s="9">
        <f>0</f>
        <v/>
      </c>
      <c r="BG48" s="9">
        <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f>
        <v/>
      </c>
      <c r="BH48" s="9">
        <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f>
        <v/>
      </c>
      <c r="BI48" s="9">
        <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f>
        <v/>
      </c>
      <c r="BJ48" s="9">
        <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f>
        <v/>
      </c>
    </row>
    <row r="49">
      <c r="A49" s="9">
        <f>ROUND(-1+47*2/240,3)</f>
        <v/>
      </c>
      <c r="B49" s="9">
        <f>IF(OR(Inputs!$F$6=TRUE,Inputs!$F$6="TRUE",Inputs!$F$6=1),(Inputs!$H$6+Inputs!$L$6*(((Inputs!$I$6+(((A49)+1)/2)*(Inputs!$J$6-Inputs!$I$6)))/Inputs!$K$6)^2),NA())</f>
        <v/>
      </c>
      <c r="C49" s="9">
        <f>IF(OR(Inputs!$F$7=TRUE,Inputs!$F$7="TRUE",Inputs!$F$7=1),(Inputs!$H$7+Inputs!$L$7*(((Inputs!$I$7+(((A49)+1)/2)*(Inputs!$J$7-Inputs!$I$7)))/Inputs!$K$7)^2),NA())</f>
        <v/>
      </c>
      <c r="D49" s="9">
        <f>IF(OR(Inputs!$F$8=TRUE,Inputs!$F$8="TRUE",Inputs!$F$8=1),(Inputs!$H$8+Inputs!$L$8*(((Inputs!$I$8+(((A49)+1)/2)*(Inputs!$J$8-Inputs!$I$8)))/Inputs!$K$8)^2),NA())</f>
        <v/>
      </c>
      <c r="E49" s="9">
        <f>IF(OR(Inputs!$F$9=TRUE,Inputs!$F$9="TRUE",Inputs!$F$9=1),(Inputs!$H$9+Inputs!$L$9*(((Inputs!$I$9+(((A49)+1)/2)*(Inputs!$J$9-Inputs!$I$9)))/Inputs!$K$9)^2),NA())</f>
        <v/>
      </c>
      <c r="F49" s="10" t="n"/>
      <c r="G49" s="9">
        <f>A49</f>
        <v/>
      </c>
      <c r="H49" s="9">
        <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f>
        <v/>
      </c>
      <c r="I49" s="9">
        <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f>
        <v/>
      </c>
      <c r="J49" s="9">
        <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f>
        <v/>
      </c>
      <c r="K49" s="9">
        <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f>
        <v/>
      </c>
      <c r="L49" s="10" t="n"/>
      <c r="M49" s="9">
        <f>A49</f>
        <v/>
      </c>
      <c r="N49" s="9">
        <f>IF(OR(Inputs!$F$6=TRUE,Inputs!$F$6="TRUE",Inputs!$F$6=1),(-2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NA())</f>
        <v/>
      </c>
      <c r="O49" s="9">
        <f>IF(OR(Inputs!$F$7=TRUE,Inputs!$F$7="TRUE",Inputs!$F$7=1),(-2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NA())</f>
        <v/>
      </c>
      <c r="P49" s="9">
        <f>IF(OR(Inputs!$F$8=TRUE,Inputs!$F$8="TRUE",Inputs!$F$8=1),(-2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NA())</f>
        <v/>
      </c>
      <c r="Q49" s="9">
        <f>IF(OR(Inputs!$F$9=TRUE,Inputs!$F$9="TRUE",Inputs!$F$9=1),(-2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NA())</f>
        <v/>
      </c>
      <c r="R49" s="10" t="n"/>
      <c r="S49" s="9">
        <f>A49</f>
        <v/>
      </c>
      <c r="T49" s="9">
        <f>(Inputs!$I$6+(((A49)+1)/2)*(Inputs!$J$6-Inputs!$I$6))</f>
        <v/>
      </c>
      <c r="U49" s="9">
        <f>(Inputs!$I$7+(((A49)+1)/2)*(Inputs!$J$7-Inputs!$I$7))</f>
        <v/>
      </c>
      <c r="V49" s="9">
        <f>(Inputs!$I$8+(((A49)+1)/2)*(Inputs!$J$8-Inputs!$I$8))</f>
        <v/>
      </c>
      <c r="W49" s="9">
        <f>(Inputs!$I$9+(((A49)+1)/2)*(Inputs!$J$9-Inputs!$I$9))</f>
        <v/>
      </c>
      <c r="X49" s="10" t="n"/>
      <c r="Y49" s="9">
        <f>A49</f>
        <v/>
      </c>
      <c r="Z49" s="9">
        <f>(Inputs!$H$6+Inputs!$L$6*(((Inputs!$I$6+(((A49)+1)/2)*(Inputs!$J$6-Inputs!$I$6)))/Inputs!$K$6)^2)</f>
        <v/>
      </c>
      <c r="AA49" s="9">
        <f>(Inputs!$H$7+Inputs!$L$7*(((Inputs!$I$7+(((A49)+1)/2)*(Inputs!$J$7-Inputs!$I$7)))/Inputs!$K$7)^2)</f>
        <v/>
      </c>
      <c r="AB49" s="9">
        <f>(Inputs!$H$8+Inputs!$L$8*(((Inputs!$I$8+(((A49)+1)/2)*(Inputs!$J$8-Inputs!$I$8)))/Inputs!$K$8)^2)</f>
        <v/>
      </c>
      <c r="AC49" s="9">
        <f>(Inputs!$H$9+Inputs!$L$9*(((Inputs!$I$9+(((A49)+1)/2)*(Inputs!$J$9-Inputs!$I$9)))/Inputs!$K$9)^2)</f>
        <v/>
      </c>
      <c r="AD49" s="10" t="n"/>
      <c r="AE49" s="9">
        <f>A49</f>
        <v/>
      </c>
      <c r="AF49" s="9">
        <f>(((SQRT((Inputs!$C$52+((Inputs!$H$6+Inputs!$L$6*(((Inputs!$I$6+(((A49)+1)/2)*(Inputs!$J$6-Inputs!$I$6)))/Inputs!$K$6)^2)))^2+Inputs!$C$52^2-2*(Inputs!$C$52+((Inputs!$H$6+Inputs!$L$6*(((Inputs!$I$6+(((A49)+1)/2)*(Inputs!$J$6-Inputs!$I$6)))/Inputs!$K$6)^2)))*Inputs!$C$52*COS(SQRT(((Inputs!$I$6+(((A49)+1)/2)*(Inputs!$J$6-Inputs!$I$6)))^2+Inputs!$C$6^2)/Inputs!$C$52)))-((Inputs!$H$6+Inputs!$L$6*(((Inputs!$I$6+(((A49)+1)/2)*(Inputs!$J$6-Inputs!$I$6)))/Inputs!$K$6)^2)))*1000/Inputs!$C$12)</f>
        <v/>
      </c>
      <c r="AG49" s="9">
        <f>(((SQRT((Inputs!$C$52+((Inputs!$H$7+Inputs!$L$7*(((Inputs!$I$7+(((A49)+1)/2)*(Inputs!$J$7-Inputs!$I$7)))/Inputs!$K$7)^2)))^2+Inputs!$C$52^2-2*(Inputs!$C$52+((Inputs!$H$7+Inputs!$L$7*(((Inputs!$I$7+(((A49)+1)/2)*(Inputs!$J$7-Inputs!$I$7)))/Inputs!$K$7)^2)))*Inputs!$C$52*COS(SQRT(((Inputs!$I$7+(((A49)+1)/2)*(Inputs!$J$7-Inputs!$I$7)))^2+Inputs!$C$6^2)/Inputs!$C$52)))-((Inputs!$H$7+Inputs!$L$7*(((Inputs!$I$7+(((A49)+1)/2)*(Inputs!$J$7-Inputs!$I$7)))/Inputs!$K$7)^2)))*1000/Inputs!$C$12)</f>
        <v/>
      </c>
      <c r="AH49" s="9">
        <f>(((SQRT((Inputs!$C$52+((Inputs!$H$8+Inputs!$L$8*(((Inputs!$I$8+(((A49)+1)/2)*(Inputs!$J$8-Inputs!$I$8)))/Inputs!$K$8)^2)))^2+Inputs!$C$52^2-2*(Inputs!$C$52+((Inputs!$H$8+Inputs!$L$8*(((Inputs!$I$8+(((A49)+1)/2)*(Inputs!$J$8-Inputs!$I$8)))/Inputs!$K$8)^2)))*Inputs!$C$52*COS(SQRT(((Inputs!$I$8+(((A49)+1)/2)*(Inputs!$J$8-Inputs!$I$8)))^2+Inputs!$C$6^2)/Inputs!$C$52)))-((Inputs!$H$8+Inputs!$L$8*(((Inputs!$I$8+(((A49)+1)/2)*(Inputs!$J$8-Inputs!$I$8)))/Inputs!$K$8)^2)))*1000/Inputs!$C$12)</f>
        <v/>
      </c>
      <c r="AI49" s="9">
        <f>(((SQRT((Inputs!$C$52+((Inputs!$H$9+Inputs!$L$9*(((Inputs!$I$9+(((A49)+1)/2)*(Inputs!$J$9-Inputs!$I$9)))/Inputs!$K$9)^2)))^2+Inputs!$C$52^2-2*(Inputs!$C$52+((Inputs!$H$9+Inputs!$L$9*(((Inputs!$I$9+(((A49)+1)/2)*(Inputs!$J$9-Inputs!$I$9)))/Inputs!$K$9)^2)))*Inputs!$C$52*COS(SQRT(((Inputs!$I$9+(((A49)+1)/2)*(Inputs!$J$9-Inputs!$I$9)))^2+Inputs!$C$6^2)/Inputs!$C$52)))-((Inputs!$H$9+Inputs!$L$9*(((Inputs!$I$9+(((A49)+1)/2)*(Inputs!$J$9-Inputs!$I$9)))/Inputs!$K$9)^2)))*1000/Inputs!$C$12)</f>
        <v/>
      </c>
      <c r="AJ49" s="10" t="n"/>
      <c r="AK49" s="9">
        <f>A49</f>
        <v/>
      </c>
      <c r="AL49" s="9">
        <f>(-2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f>
        <v/>
      </c>
      <c r="AM49" s="9">
        <f>(-2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f>
        <v/>
      </c>
      <c r="AN49" s="9">
        <f>(-2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f>
        <v/>
      </c>
      <c r="AO49" s="9">
        <f>(-2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f>
        <v/>
      </c>
      <c r="AP49" s="10" t="n"/>
      <c r="AQ49" s="9">
        <f>A49</f>
        <v/>
      </c>
      <c r="AR49" s="9">
        <f>0</f>
        <v/>
      </c>
      <c r="AS49" s="9">
        <f>IF(OR(Inputs!$F$6=TRUE,Inputs!$F$6="TRUE",Inputs!$F$6=1),IF(OR(Inputs!$C$27=TRUE,Inputs!$C$27="TRUE",Inputs!$C$27=1),1,0)*(Inputs!$C$51*(115*EXP(-(((Inputs!$C$6)-25)^2)/(4.5^2))+70*EXP(-(((Inputs!$C$6)+38)^2)/(7^2))*(0.55+0.45*SIN(2*PI()*((Inputs!$I$6+(((A49)+1)/2)*(Inputs!$J$6-Inputs!$I$6)))/45))+24*SIN(2*PI()*(Inputs!$C$6)/9+((Inputs!$I$6+(((A49)+1)/2)*(Inputs!$J$6-Inputs!$I$6)))/18)*EXP(-(((Inputs!$C$6)+5)^2)/(22^2))+18*SIN(2*PI()*((Inputs!$I$6+(((A49)+1)/2)*(Inputs!$J$6-Inputs!$I$6)))/70))+Inputs!$C$28*EXP(-((((Inputs!$I$6+(((A49)+1)/2)*(Inputs!$J$6-Inputs!$I$6)))-Inputs!$C$29)^2)/(2*Inputs!$C$31^2))*EXP(-(((Inputs!$C$6)-Inputs!$C$30)^2)/(2*Inputs!$C$32^2))+-Inputs!$C$33*EXP(-((((((Inputs!$I$6+(((A49)+1)/2)*(Inputs!$J$6-Inputs!$I$6)))-Inputs!$C$34)^2)+(((Inputs!$C$6)-Inputs!$C$35)^2))/(2*Inputs!$C$36^2)))+Inputs!$C$37*(0.55*SIN(2*PI()*((Inputs!$I$6+(((A49)+1)/2)*(Inputs!$J$6-Inputs!$I$6)))/Inputs!$C$39)+0.35*COS(2*PI()*(Inputs!$C$6)/Inputs!$C$40)+0.2*SIN(2*PI()*(((Inputs!$I$6+(((A49)+1)/2)*(Inputs!$J$6-Inputs!$I$6)))+(Inputs!$C$6))/(0.5*(Inputs!$C$39+Inputs!$C$40))))+Inputs!$C$38*SIN(2*PI()*((Inputs!$I$6+(((A49)+1)/2)*(Inputs!$J$6-Inputs!$I$6)))/Inputs!$C$39)*SIN(2*PI()*(Inputs!$C$6)/Inputs!$C$40)+-Inputs!$C$41*EXP(-(((Inputs!$C$6)-Inputs!$C$43)^2)/(2*Inputs!$C$44^2))*EXP(-((((Inputs!$I$6+(((A49)+1)/2)*(Inputs!$J$6-Inputs!$I$6)))-Inputs!$C$42)^2)/(2*Inputs!$C$45^2))+Inputs!$C$48*(0.7*(0.45*SIN(2*PI()*((((Inputs!$I$6+(((A49)+1)/2)*(Inputs!$J$6-Inputs!$I$6)))/Inputs!$C$49)+Inputs!$C$47*0.137))+0.35*COS(2*PI()*(((Inputs!$C$6)/Inputs!$C$50)+Inputs!$C$47*0.173))+0.2*SIN(2*PI()*((((Inputs!$I$6+(((A49)+1)/2)*(Inputs!$J$6-Inputs!$I$6)))+(Inputs!$C$6))/(0.5*(Inputs!$C$49+Inputs!$C$50))+Inputs!$C$47*0.097)))+0.3*(2*((SIN((((Inputs!$I$6+(((A49)+1)/2)*(Inputs!$J$6-Inputs!$I$6)))*12.9898+(Inputs!$C$6)*78.233+Inputs!$C$47*37.719))*43758.5453)-INT((SIN((((Inputs!$I$6+(((A49)+1)/2)*(Inputs!$J$6-Inputs!$I$6)))*12.9898+(Inputs!$C$6)*78.233+Inputs!$C$47*37.719))*43758.5453)))-1))),NA())</f>
        <v/>
      </c>
      <c r="AT49" s="9">
        <f>IF(OR(Inputs!$F$7=TRUE,Inputs!$F$7="TRUE",Inputs!$F$7=1),IF(OR(Inputs!$C$27=TRUE,Inputs!$C$27="TRUE",Inputs!$C$27=1),1,0)*(Inputs!$C$51*(115*EXP(-(((Inputs!$C$6)-25)^2)/(4.5^2))+70*EXP(-(((Inputs!$C$6)+38)^2)/(7^2))*(0.55+0.45*SIN(2*PI()*((Inputs!$I$7+(((A49)+1)/2)*(Inputs!$J$7-Inputs!$I$7)))/45))+24*SIN(2*PI()*(Inputs!$C$6)/9+((Inputs!$I$7+(((A49)+1)/2)*(Inputs!$J$7-Inputs!$I$7)))/18)*EXP(-(((Inputs!$C$6)+5)^2)/(22^2))+18*SIN(2*PI()*((Inputs!$I$7+(((A49)+1)/2)*(Inputs!$J$7-Inputs!$I$7)))/70))+Inputs!$C$28*EXP(-((((Inputs!$I$7+(((A49)+1)/2)*(Inputs!$J$7-Inputs!$I$7)))-Inputs!$C$29)^2)/(2*Inputs!$C$31^2))*EXP(-(((Inputs!$C$6)-Inputs!$C$30)^2)/(2*Inputs!$C$32^2))+-Inputs!$C$33*EXP(-((((((Inputs!$I$7+(((A49)+1)/2)*(Inputs!$J$7-Inputs!$I$7)))-Inputs!$C$34)^2)+(((Inputs!$C$6)-Inputs!$C$35)^2))/(2*Inputs!$C$36^2)))+Inputs!$C$37*(0.55*SIN(2*PI()*((Inputs!$I$7+(((A49)+1)/2)*(Inputs!$J$7-Inputs!$I$7)))/Inputs!$C$39)+0.35*COS(2*PI()*(Inputs!$C$6)/Inputs!$C$40)+0.2*SIN(2*PI()*(((Inputs!$I$7+(((A49)+1)/2)*(Inputs!$J$7-Inputs!$I$7)))+(Inputs!$C$6))/(0.5*(Inputs!$C$39+Inputs!$C$40))))+Inputs!$C$38*SIN(2*PI()*((Inputs!$I$7+(((A49)+1)/2)*(Inputs!$J$7-Inputs!$I$7)))/Inputs!$C$39)*SIN(2*PI()*(Inputs!$C$6)/Inputs!$C$40)+-Inputs!$C$41*EXP(-(((Inputs!$C$6)-Inputs!$C$43)^2)/(2*Inputs!$C$44^2))*EXP(-((((Inputs!$I$7+(((A49)+1)/2)*(Inputs!$J$7-Inputs!$I$7)))-Inputs!$C$42)^2)/(2*Inputs!$C$45^2))+Inputs!$C$48*(0.7*(0.45*SIN(2*PI()*((((Inputs!$I$7+(((A49)+1)/2)*(Inputs!$J$7-Inputs!$I$7)))/Inputs!$C$49)+Inputs!$C$47*0.137))+0.35*COS(2*PI()*(((Inputs!$C$6)/Inputs!$C$50)+Inputs!$C$47*0.173))+0.2*SIN(2*PI()*((((Inputs!$I$7+(((A49)+1)/2)*(Inputs!$J$7-Inputs!$I$7)))+(Inputs!$C$6))/(0.5*(Inputs!$C$49+Inputs!$C$50))+Inputs!$C$47*0.097)))+0.3*(2*((SIN((((Inputs!$I$7+(((A49)+1)/2)*(Inputs!$J$7-Inputs!$I$7)))*12.9898+(Inputs!$C$6)*78.233+Inputs!$C$47*37.719))*43758.5453)-INT((SIN((((Inputs!$I$7+(((A49)+1)/2)*(Inputs!$J$7-Inputs!$I$7)))*12.9898+(Inputs!$C$6)*78.233+Inputs!$C$47*37.719))*43758.5453)))-1))),NA())</f>
        <v/>
      </c>
      <c r="AU49" s="9">
        <f>IF(OR(Inputs!$F$8=TRUE,Inputs!$F$8="TRUE",Inputs!$F$8=1),IF(OR(Inputs!$C$27=TRUE,Inputs!$C$27="TRUE",Inputs!$C$27=1),1,0)*(Inputs!$C$51*(115*EXP(-(((Inputs!$C$6)-25)^2)/(4.5^2))+70*EXP(-(((Inputs!$C$6)+38)^2)/(7^2))*(0.55+0.45*SIN(2*PI()*((Inputs!$I$8+(((A49)+1)/2)*(Inputs!$J$8-Inputs!$I$8)))/45))+24*SIN(2*PI()*(Inputs!$C$6)/9+((Inputs!$I$8+(((A49)+1)/2)*(Inputs!$J$8-Inputs!$I$8)))/18)*EXP(-(((Inputs!$C$6)+5)^2)/(22^2))+18*SIN(2*PI()*((Inputs!$I$8+(((A49)+1)/2)*(Inputs!$J$8-Inputs!$I$8)))/70))+Inputs!$C$28*EXP(-((((Inputs!$I$8+(((A49)+1)/2)*(Inputs!$J$8-Inputs!$I$8)))-Inputs!$C$29)^2)/(2*Inputs!$C$31^2))*EXP(-(((Inputs!$C$6)-Inputs!$C$30)^2)/(2*Inputs!$C$32^2))+-Inputs!$C$33*EXP(-((((((Inputs!$I$8+(((A49)+1)/2)*(Inputs!$J$8-Inputs!$I$8)))-Inputs!$C$34)^2)+(((Inputs!$C$6)-Inputs!$C$35)^2))/(2*Inputs!$C$36^2)))+Inputs!$C$37*(0.55*SIN(2*PI()*((Inputs!$I$8+(((A49)+1)/2)*(Inputs!$J$8-Inputs!$I$8)))/Inputs!$C$39)+0.35*COS(2*PI()*(Inputs!$C$6)/Inputs!$C$40)+0.2*SIN(2*PI()*(((Inputs!$I$8+(((A49)+1)/2)*(Inputs!$J$8-Inputs!$I$8)))+(Inputs!$C$6))/(0.5*(Inputs!$C$39+Inputs!$C$40))))+Inputs!$C$38*SIN(2*PI()*((Inputs!$I$8+(((A49)+1)/2)*(Inputs!$J$8-Inputs!$I$8)))/Inputs!$C$39)*SIN(2*PI()*(Inputs!$C$6)/Inputs!$C$40)+-Inputs!$C$41*EXP(-(((Inputs!$C$6)-Inputs!$C$43)^2)/(2*Inputs!$C$44^2))*EXP(-((((Inputs!$I$8+(((A49)+1)/2)*(Inputs!$J$8-Inputs!$I$8)))-Inputs!$C$42)^2)/(2*Inputs!$C$45^2))+Inputs!$C$48*(0.7*(0.45*SIN(2*PI()*((((Inputs!$I$8+(((A49)+1)/2)*(Inputs!$J$8-Inputs!$I$8)))/Inputs!$C$49)+Inputs!$C$47*0.137))+0.35*COS(2*PI()*(((Inputs!$C$6)/Inputs!$C$50)+Inputs!$C$47*0.173))+0.2*SIN(2*PI()*((((Inputs!$I$8+(((A49)+1)/2)*(Inputs!$J$8-Inputs!$I$8)))+(Inputs!$C$6))/(0.5*(Inputs!$C$49+Inputs!$C$50))+Inputs!$C$47*0.097)))+0.3*(2*((SIN((((Inputs!$I$8+(((A49)+1)/2)*(Inputs!$J$8-Inputs!$I$8)))*12.9898+(Inputs!$C$6)*78.233+Inputs!$C$47*37.719))*43758.5453)-INT((SIN((((Inputs!$I$8+(((A49)+1)/2)*(Inputs!$J$8-Inputs!$I$8)))*12.9898+(Inputs!$C$6)*78.233+Inputs!$C$47*37.719))*43758.5453)))-1))),NA())</f>
        <v/>
      </c>
      <c r="AV49" s="9">
        <f>IF(OR(Inputs!$F$9=TRUE,Inputs!$F$9="TRUE",Inputs!$F$9=1),IF(OR(Inputs!$C$27=TRUE,Inputs!$C$27="TRUE",Inputs!$C$27=1),1,0)*(Inputs!$C$51*(115*EXP(-(((Inputs!$C$6)-25)^2)/(4.5^2))+70*EXP(-(((Inputs!$C$6)+38)^2)/(7^2))*(0.55+0.45*SIN(2*PI()*((Inputs!$I$9+(((A49)+1)/2)*(Inputs!$J$9-Inputs!$I$9)))/45))+24*SIN(2*PI()*(Inputs!$C$6)/9+((Inputs!$I$9+(((A49)+1)/2)*(Inputs!$J$9-Inputs!$I$9)))/18)*EXP(-(((Inputs!$C$6)+5)^2)/(22^2))+18*SIN(2*PI()*((Inputs!$I$9+(((A49)+1)/2)*(Inputs!$J$9-Inputs!$I$9)))/70))+Inputs!$C$28*EXP(-((((Inputs!$I$9+(((A49)+1)/2)*(Inputs!$J$9-Inputs!$I$9)))-Inputs!$C$29)^2)/(2*Inputs!$C$31^2))*EXP(-(((Inputs!$C$6)-Inputs!$C$30)^2)/(2*Inputs!$C$32^2))+-Inputs!$C$33*EXP(-((((((Inputs!$I$9+(((A49)+1)/2)*(Inputs!$J$9-Inputs!$I$9)))-Inputs!$C$34)^2)+(((Inputs!$C$6)-Inputs!$C$35)^2))/(2*Inputs!$C$36^2)))+Inputs!$C$37*(0.55*SIN(2*PI()*((Inputs!$I$9+(((A49)+1)/2)*(Inputs!$J$9-Inputs!$I$9)))/Inputs!$C$39)+0.35*COS(2*PI()*(Inputs!$C$6)/Inputs!$C$40)+0.2*SIN(2*PI()*(((Inputs!$I$9+(((A49)+1)/2)*(Inputs!$J$9-Inputs!$I$9)))+(Inputs!$C$6))/(0.5*(Inputs!$C$39+Inputs!$C$40))))+Inputs!$C$38*SIN(2*PI()*((Inputs!$I$9+(((A49)+1)/2)*(Inputs!$J$9-Inputs!$I$9)))/Inputs!$C$39)*SIN(2*PI()*(Inputs!$C$6)/Inputs!$C$40)+-Inputs!$C$41*EXP(-(((Inputs!$C$6)-Inputs!$C$43)^2)/(2*Inputs!$C$44^2))*EXP(-((((Inputs!$I$9+(((A49)+1)/2)*(Inputs!$J$9-Inputs!$I$9)))-Inputs!$C$42)^2)/(2*Inputs!$C$45^2))+Inputs!$C$48*(0.7*(0.45*SIN(2*PI()*((((Inputs!$I$9+(((A49)+1)/2)*(Inputs!$J$9-Inputs!$I$9)))/Inputs!$C$49)+Inputs!$C$47*0.137))+0.35*COS(2*PI()*(((Inputs!$C$6)/Inputs!$C$50)+Inputs!$C$47*0.173))+0.2*SIN(2*PI()*((((Inputs!$I$9+(((A49)+1)/2)*(Inputs!$J$9-Inputs!$I$9)))+(Inputs!$C$6))/(0.5*(Inputs!$C$49+Inputs!$C$50))+Inputs!$C$47*0.097)))+0.3*(2*((SIN((((Inputs!$I$9+(((A49)+1)/2)*(Inputs!$J$9-Inputs!$I$9)))*12.9898+(Inputs!$C$6)*78.233+Inputs!$C$47*37.719))*43758.5453)-INT((SIN((((Inputs!$I$9+(((A49)+1)/2)*(Inputs!$J$9-Inputs!$I$9)))*12.9898+(Inputs!$C$6)*78.233+Inputs!$C$47*37.719))*43758.5453)))-1))),NA())</f>
        <v/>
      </c>
      <c r="AW49" s="10" t="n"/>
      <c r="AX49" s="9">
        <f>A49</f>
        <v/>
      </c>
      <c r="AY49" s="9">
        <f>0</f>
        <v/>
      </c>
      <c r="AZ49" s="9">
        <f>IF(OR(Inputs!$F$6=TRUE,Inputs!$F$6="TRUE",Inputs!$F$6=1),(Inputs!$H$6+Inputs!$L$6*(((Inputs!$I$6+(((A49)+1)/2)*(Inputs!$J$6-Inputs!$I$6)))/Inputs!$K$6)^2),NA())</f>
        <v/>
      </c>
      <c r="BA49" s="9">
        <f>IF(OR(Inputs!$F$7=TRUE,Inputs!$F$7="TRUE",Inputs!$F$7=1),(Inputs!$H$7+Inputs!$L$7*(((Inputs!$I$7+(((A49)+1)/2)*(Inputs!$J$7-Inputs!$I$7)))/Inputs!$K$7)^2),NA())</f>
        <v/>
      </c>
      <c r="BB49" s="9">
        <f>IF(OR(Inputs!$F$8=TRUE,Inputs!$F$8="TRUE",Inputs!$F$8=1),(Inputs!$H$8+Inputs!$L$8*(((Inputs!$I$8+(((A49)+1)/2)*(Inputs!$J$8-Inputs!$I$8)))/Inputs!$K$8)^2),NA())</f>
        <v/>
      </c>
      <c r="BC49" s="9">
        <f>IF(OR(Inputs!$F$9=TRUE,Inputs!$F$9="TRUE",Inputs!$F$9=1),(Inputs!$H$9+Inputs!$L$9*(((Inputs!$I$9+(((A49)+1)/2)*(Inputs!$J$9-Inputs!$I$9)))/Inputs!$K$9)^2),NA())</f>
        <v/>
      </c>
      <c r="BD49" s="10" t="n"/>
      <c r="BE49" s="9">
        <f>A49</f>
        <v/>
      </c>
      <c r="BF49" s="9">
        <f>0</f>
        <v/>
      </c>
      <c r="BG49" s="9">
        <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f>
        <v/>
      </c>
      <c r="BH49" s="9">
        <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f>
        <v/>
      </c>
      <c r="BI49" s="9">
        <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f>
        <v/>
      </c>
      <c r="BJ49" s="9">
        <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f>
        <v/>
      </c>
    </row>
    <row r="50">
      <c r="A50" s="9">
        <f>ROUND(-1+48*2/240,3)</f>
        <v/>
      </c>
      <c r="B50" s="9">
        <f>IF(OR(Inputs!$F$6=TRUE,Inputs!$F$6="TRUE",Inputs!$F$6=1),(Inputs!$H$6+Inputs!$L$6*(((Inputs!$I$6+(((A50)+1)/2)*(Inputs!$J$6-Inputs!$I$6)))/Inputs!$K$6)^2),NA())</f>
        <v/>
      </c>
      <c r="C50" s="9">
        <f>IF(OR(Inputs!$F$7=TRUE,Inputs!$F$7="TRUE",Inputs!$F$7=1),(Inputs!$H$7+Inputs!$L$7*(((Inputs!$I$7+(((A50)+1)/2)*(Inputs!$J$7-Inputs!$I$7)))/Inputs!$K$7)^2),NA())</f>
        <v/>
      </c>
      <c r="D50" s="9">
        <f>IF(OR(Inputs!$F$8=TRUE,Inputs!$F$8="TRUE",Inputs!$F$8=1),(Inputs!$H$8+Inputs!$L$8*(((Inputs!$I$8+(((A50)+1)/2)*(Inputs!$J$8-Inputs!$I$8)))/Inputs!$K$8)^2),NA())</f>
        <v/>
      </c>
      <c r="E50" s="9">
        <f>IF(OR(Inputs!$F$9=TRUE,Inputs!$F$9="TRUE",Inputs!$F$9=1),(Inputs!$H$9+Inputs!$L$9*(((Inputs!$I$9+(((A50)+1)/2)*(Inputs!$J$9-Inputs!$I$9)))/Inputs!$K$9)^2),NA())</f>
        <v/>
      </c>
      <c r="F50" s="10" t="n"/>
      <c r="G50" s="9">
        <f>A50</f>
        <v/>
      </c>
      <c r="H50" s="9">
        <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f>
        <v/>
      </c>
      <c r="I50" s="9">
        <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f>
        <v/>
      </c>
      <c r="J50" s="9">
        <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f>
        <v/>
      </c>
      <c r="K50" s="9">
        <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f>
        <v/>
      </c>
      <c r="L50" s="10" t="n"/>
      <c r="M50" s="9">
        <f>A50</f>
        <v/>
      </c>
      <c r="N50" s="9">
        <f>IF(OR(Inputs!$F$6=TRUE,Inputs!$F$6="TRUE",Inputs!$F$6=1),(-2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NA())</f>
        <v/>
      </c>
      <c r="O50" s="9">
        <f>IF(OR(Inputs!$F$7=TRUE,Inputs!$F$7="TRUE",Inputs!$F$7=1),(-2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NA())</f>
        <v/>
      </c>
      <c r="P50" s="9">
        <f>IF(OR(Inputs!$F$8=TRUE,Inputs!$F$8="TRUE",Inputs!$F$8=1),(-2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NA())</f>
        <v/>
      </c>
      <c r="Q50" s="9">
        <f>IF(OR(Inputs!$F$9=TRUE,Inputs!$F$9="TRUE",Inputs!$F$9=1),(-2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NA())</f>
        <v/>
      </c>
      <c r="R50" s="10" t="n"/>
      <c r="S50" s="9">
        <f>A50</f>
        <v/>
      </c>
      <c r="T50" s="9">
        <f>(Inputs!$I$6+(((A50)+1)/2)*(Inputs!$J$6-Inputs!$I$6))</f>
        <v/>
      </c>
      <c r="U50" s="9">
        <f>(Inputs!$I$7+(((A50)+1)/2)*(Inputs!$J$7-Inputs!$I$7))</f>
        <v/>
      </c>
      <c r="V50" s="9">
        <f>(Inputs!$I$8+(((A50)+1)/2)*(Inputs!$J$8-Inputs!$I$8))</f>
        <v/>
      </c>
      <c r="W50" s="9">
        <f>(Inputs!$I$9+(((A50)+1)/2)*(Inputs!$J$9-Inputs!$I$9))</f>
        <v/>
      </c>
      <c r="X50" s="10" t="n"/>
      <c r="Y50" s="9">
        <f>A50</f>
        <v/>
      </c>
      <c r="Z50" s="9">
        <f>(Inputs!$H$6+Inputs!$L$6*(((Inputs!$I$6+(((A50)+1)/2)*(Inputs!$J$6-Inputs!$I$6)))/Inputs!$K$6)^2)</f>
        <v/>
      </c>
      <c r="AA50" s="9">
        <f>(Inputs!$H$7+Inputs!$L$7*(((Inputs!$I$7+(((A50)+1)/2)*(Inputs!$J$7-Inputs!$I$7)))/Inputs!$K$7)^2)</f>
        <v/>
      </c>
      <c r="AB50" s="9">
        <f>(Inputs!$H$8+Inputs!$L$8*(((Inputs!$I$8+(((A50)+1)/2)*(Inputs!$J$8-Inputs!$I$8)))/Inputs!$K$8)^2)</f>
        <v/>
      </c>
      <c r="AC50" s="9">
        <f>(Inputs!$H$9+Inputs!$L$9*(((Inputs!$I$9+(((A50)+1)/2)*(Inputs!$J$9-Inputs!$I$9)))/Inputs!$K$9)^2)</f>
        <v/>
      </c>
      <c r="AD50" s="10" t="n"/>
      <c r="AE50" s="9">
        <f>A50</f>
        <v/>
      </c>
      <c r="AF50" s="9">
        <f>(((SQRT((Inputs!$C$52+((Inputs!$H$6+Inputs!$L$6*(((Inputs!$I$6+(((A50)+1)/2)*(Inputs!$J$6-Inputs!$I$6)))/Inputs!$K$6)^2)))^2+Inputs!$C$52^2-2*(Inputs!$C$52+((Inputs!$H$6+Inputs!$L$6*(((Inputs!$I$6+(((A50)+1)/2)*(Inputs!$J$6-Inputs!$I$6)))/Inputs!$K$6)^2)))*Inputs!$C$52*COS(SQRT(((Inputs!$I$6+(((A50)+1)/2)*(Inputs!$J$6-Inputs!$I$6)))^2+Inputs!$C$6^2)/Inputs!$C$52)))-((Inputs!$H$6+Inputs!$L$6*(((Inputs!$I$6+(((A50)+1)/2)*(Inputs!$J$6-Inputs!$I$6)))/Inputs!$K$6)^2)))*1000/Inputs!$C$12)</f>
        <v/>
      </c>
      <c r="AG50" s="9">
        <f>(((SQRT((Inputs!$C$52+((Inputs!$H$7+Inputs!$L$7*(((Inputs!$I$7+(((A50)+1)/2)*(Inputs!$J$7-Inputs!$I$7)))/Inputs!$K$7)^2)))^2+Inputs!$C$52^2-2*(Inputs!$C$52+((Inputs!$H$7+Inputs!$L$7*(((Inputs!$I$7+(((A50)+1)/2)*(Inputs!$J$7-Inputs!$I$7)))/Inputs!$K$7)^2)))*Inputs!$C$52*COS(SQRT(((Inputs!$I$7+(((A50)+1)/2)*(Inputs!$J$7-Inputs!$I$7)))^2+Inputs!$C$6^2)/Inputs!$C$52)))-((Inputs!$H$7+Inputs!$L$7*(((Inputs!$I$7+(((A50)+1)/2)*(Inputs!$J$7-Inputs!$I$7)))/Inputs!$K$7)^2)))*1000/Inputs!$C$12)</f>
        <v/>
      </c>
      <c r="AH50" s="9">
        <f>(((SQRT((Inputs!$C$52+((Inputs!$H$8+Inputs!$L$8*(((Inputs!$I$8+(((A50)+1)/2)*(Inputs!$J$8-Inputs!$I$8)))/Inputs!$K$8)^2)))^2+Inputs!$C$52^2-2*(Inputs!$C$52+((Inputs!$H$8+Inputs!$L$8*(((Inputs!$I$8+(((A50)+1)/2)*(Inputs!$J$8-Inputs!$I$8)))/Inputs!$K$8)^2)))*Inputs!$C$52*COS(SQRT(((Inputs!$I$8+(((A50)+1)/2)*(Inputs!$J$8-Inputs!$I$8)))^2+Inputs!$C$6^2)/Inputs!$C$52)))-((Inputs!$H$8+Inputs!$L$8*(((Inputs!$I$8+(((A50)+1)/2)*(Inputs!$J$8-Inputs!$I$8)))/Inputs!$K$8)^2)))*1000/Inputs!$C$12)</f>
        <v/>
      </c>
      <c r="AI50" s="9">
        <f>(((SQRT((Inputs!$C$52+((Inputs!$H$9+Inputs!$L$9*(((Inputs!$I$9+(((A50)+1)/2)*(Inputs!$J$9-Inputs!$I$9)))/Inputs!$K$9)^2)))^2+Inputs!$C$52^2-2*(Inputs!$C$52+((Inputs!$H$9+Inputs!$L$9*(((Inputs!$I$9+(((A50)+1)/2)*(Inputs!$J$9-Inputs!$I$9)))/Inputs!$K$9)^2)))*Inputs!$C$52*COS(SQRT(((Inputs!$I$9+(((A50)+1)/2)*(Inputs!$J$9-Inputs!$I$9)))^2+Inputs!$C$6^2)/Inputs!$C$52)))-((Inputs!$H$9+Inputs!$L$9*(((Inputs!$I$9+(((A50)+1)/2)*(Inputs!$J$9-Inputs!$I$9)))/Inputs!$K$9)^2)))*1000/Inputs!$C$12)</f>
        <v/>
      </c>
      <c r="AJ50" s="10" t="n"/>
      <c r="AK50" s="9">
        <f>A50</f>
        <v/>
      </c>
      <c r="AL50" s="9">
        <f>(-2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f>
        <v/>
      </c>
      <c r="AM50" s="9">
        <f>(-2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f>
        <v/>
      </c>
      <c r="AN50" s="9">
        <f>(-2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f>
        <v/>
      </c>
      <c r="AO50" s="9">
        <f>(-2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f>
        <v/>
      </c>
      <c r="AP50" s="10" t="n"/>
      <c r="AQ50" s="9">
        <f>A50</f>
        <v/>
      </c>
      <c r="AR50" s="9">
        <f>0</f>
        <v/>
      </c>
      <c r="AS50" s="9">
        <f>IF(OR(Inputs!$F$6=TRUE,Inputs!$F$6="TRUE",Inputs!$F$6=1),IF(OR(Inputs!$C$27=TRUE,Inputs!$C$27="TRUE",Inputs!$C$27=1),1,0)*(Inputs!$C$51*(115*EXP(-(((Inputs!$C$6)-25)^2)/(4.5^2))+70*EXP(-(((Inputs!$C$6)+38)^2)/(7^2))*(0.55+0.45*SIN(2*PI()*((Inputs!$I$6+(((A50)+1)/2)*(Inputs!$J$6-Inputs!$I$6)))/45))+24*SIN(2*PI()*(Inputs!$C$6)/9+((Inputs!$I$6+(((A50)+1)/2)*(Inputs!$J$6-Inputs!$I$6)))/18)*EXP(-(((Inputs!$C$6)+5)^2)/(22^2))+18*SIN(2*PI()*((Inputs!$I$6+(((A50)+1)/2)*(Inputs!$J$6-Inputs!$I$6)))/70))+Inputs!$C$28*EXP(-((((Inputs!$I$6+(((A50)+1)/2)*(Inputs!$J$6-Inputs!$I$6)))-Inputs!$C$29)^2)/(2*Inputs!$C$31^2))*EXP(-(((Inputs!$C$6)-Inputs!$C$30)^2)/(2*Inputs!$C$32^2))+-Inputs!$C$33*EXP(-((((((Inputs!$I$6+(((A50)+1)/2)*(Inputs!$J$6-Inputs!$I$6)))-Inputs!$C$34)^2)+(((Inputs!$C$6)-Inputs!$C$35)^2))/(2*Inputs!$C$36^2)))+Inputs!$C$37*(0.55*SIN(2*PI()*((Inputs!$I$6+(((A50)+1)/2)*(Inputs!$J$6-Inputs!$I$6)))/Inputs!$C$39)+0.35*COS(2*PI()*(Inputs!$C$6)/Inputs!$C$40)+0.2*SIN(2*PI()*(((Inputs!$I$6+(((A50)+1)/2)*(Inputs!$J$6-Inputs!$I$6)))+(Inputs!$C$6))/(0.5*(Inputs!$C$39+Inputs!$C$40))))+Inputs!$C$38*SIN(2*PI()*((Inputs!$I$6+(((A50)+1)/2)*(Inputs!$J$6-Inputs!$I$6)))/Inputs!$C$39)*SIN(2*PI()*(Inputs!$C$6)/Inputs!$C$40)+-Inputs!$C$41*EXP(-(((Inputs!$C$6)-Inputs!$C$43)^2)/(2*Inputs!$C$44^2))*EXP(-((((Inputs!$I$6+(((A50)+1)/2)*(Inputs!$J$6-Inputs!$I$6)))-Inputs!$C$42)^2)/(2*Inputs!$C$45^2))+Inputs!$C$48*(0.7*(0.45*SIN(2*PI()*((((Inputs!$I$6+(((A50)+1)/2)*(Inputs!$J$6-Inputs!$I$6)))/Inputs!$C$49)+Inputs!$C$47*0.137))+0.35*COS(2*PI()*(((Inputs!$C$6)/Inputs!$C$50)+Inputs!$C$47*0.173))+0.2*SIN(2*PI()*((((Inputs!$I$6+(((A50)+1)/2)*(Inputs!$J$6-Inputs!$I$6)))+(Inputs!$C$6))/(0.5*(Inputs!$C$49+Inputs!$C$50))+Inputs!$C$47*0.097)))+0.3*(2*((SIN((((Inputs!$I$6+(((A50)+1)/2)*(Inputs!$J$6-Inputs!$I$6)))*12.9898+(Inputs!$C$6)*78.233+Inputs!$C$47*37.719))*43758.5453)-INT((SIN((((Inputs!$I$6+(((A50)+1)/2)*(Inputs!$J$6-Inputs!$I$6)))*12.9898+(Inputs!$C$6)*78.233+Inputs!$C$47*37.719))*43758.5453)))-1))),NA())</f>
        <v/>
      </c>
      <c r="AT50" s="9">
        <f>IF(OR(Inputs!$F$7=TRUE,Inputs!$F$7="TRUE",Inputs!$F$7=1),IF(OR(Inputs!$C$27=TRUE,Inputs!$C$27="TRUE",Inputs!$C$27=1),1,0)*(Inputs!$C$51*(115*EXP(-(((Inputs!$C$6)-25)^2)/(4.5^2))+70*EXP(-(((Inputs!$C$6)+38)^2)/(7^2))*(0.55+0.45*SIN(2*PI()*((Inputs!$I$7+(((A50)+1)/2)*(Inputs!$J$7-Inputs!$I$7)))/45))+24*SIN(2*PI()*(Inputs!$C$6)/9+((Inputs!$I$7+(((A50)+1)/2)*(Inputs!$J$7-Inputs!$I$7)))/18)*EXP(-(((Inputs!$C$6)+5)^2)/(22^2))+18*SIN(2*PI()*((Inputs!$I$7+(((A50)+1)/2)*(Inputs!$J$7-Inputs!$I$7)))/70))+Inputs!$C$28*EXP(-((((Inputs!$I$7+(((A50)+1)/2)*(Inputs!$J$7-Inputs!$I$7)))-Inputs!$C$29)^2)/(2*Inputs!$C$31^2))*EXP(-(((Inputs!$C$6)-Inputs!$C$30)^2)/(2*Inputs!$C$32^2))+-Inputs!$C$33*EXP(-((((((Inputs!$I$7+(((A50)+1)/2)*(Inputs!$J$7-Inputs!$I$7)))-Inputs!$C$34)^2)+(((Inputs!$C$6)-Inputs!$C$35)^2))/(2*Inputs!$C$36^2)))+Inputs!$C$37*(0.55*SIN(2*PI()*((Inputs!$I$7+(((A50)+1)/2)*(Inputs!$J$7-Inputs!$I$7)))/Inputs!$C$39)+0.35*COS(2*PI()*(Inputs!$C$6)/Inputs!$C$40)+0.2*SIN(2*PI()*(((Inputs!$I$7+(((A50)+1)/2)*(Inputs!$J$7-Inputs!$I$7)))+(Inputs!$C$6))/(0.5*(Inputs!$C$39+Inputs!$C$40))))+Inputs!$C$38*SIN(2*PI()*((Inputs!$I$7+(((A50)+1)/2)*(Inputs!$J$7-Inputs!$I$7)))/Inputs!$C$39)*SIN(2*PI()*(Inputs!$C$6)/Inputs!$C$40)+-Inputs!$C$41*EXP(-(((Inputs!$C$6)-Inputs!$C$43)^2)/(2*Inputs!$C$44^2))*EXP(-((((Inputs!$I$7+(((A50)+1)/2)*(Inputs!$J$7-Inputs!$I$7)))-Inputs!$C$42)^2)/(2*Inputs!$C$45^2))+Inputs!$C$48*(0.7*(0.45*SIN(2*PI()*((((Inputs!$I$7+(((A50)+1)/2)*(Inputs!$J$7-Inputs!$I$7)))/Inputs!$C$49)+Inputs!$C$47*0.137))+0.35*COS(2*PI()*(((Inputs!$C$6)/Inputs!$C$50)+Inputs!$C$47*0.173))+0.2*SIN(2*PI()*((((Inputs!$I$7+(((A50)+1)/2)*(Inputs!$J$7-Inputs!$I$7)))+(Inputs!$C$6))/(0.5*(Inputs!$C$49+Inputs!$C$50))+Inputs!$C$47*0.097)))+0.3*(2*((SIN((((Inputs!$I$7+(((A50)+1)/2)*(Inputs!$J$7-Inputs!$I$7)))*12.9898+(Inputs!$C$6)*78.233+Inputs!$C$47*37.719))*43758.5453)-INT((SIN((((Inputs!$I$7+(((A50)+1)/2)*(Inputs!$J$7-Inputs!$I$7)))*12.9898+(Inputs!$C$6)*78.233+Inputs!$C$47*37.719))*43758.5453)))-1))),NA())</f>
        <v/>
      </c>
      <c r="AU50" s="9">
        <f>IF(OR(Inputs!$F$8=TRUE,Inputs!$F$8="TRUE",Inputs!$F$8=1),IF(OR(Inputs!$C$27=TRUE,Inputs!$C$27="TRUE",Inputs!$C$27=1),1,0)*(Inputs!$C$51*(115*EXP(-(((Inputs!$C$6)-25)^2)/(4.5^2))+70*EXP(-(((Inputs!$C$6)+38)^2)/(7^2))*(0.55+0.45*SIN(2*PI()*((Inputs!$I$8+(((A50)+1)/2)*(Inputs!$J$8-Inputs!$I$8)))/45))+24*SIN(2*PI()*(Inputs!$C$6)/9+((Inputs!$I$8+(((A50)+1)/2)*(Inputs!$J$8-Inputs!$I$8)))/18)*EXP(-(((Inputs!$C$6)+5)^2)/(22^2))+18*SIN(2*PI()*((Inputs!$I$8+(((A50)+1)/2)*(Inputs!$J$8-Inputs!$I$8)))/70))+Inputs!$C$28*EXP(-((((Inputs!$I$8+(((A50)+1)/2)*(Inputs!$J$8-Inputs!$I$8)))-Inputs!$C$29)^2)/(2*Inputs!$C$31^2))*EXP(-(((Inputs!$C$6)-Inputs!$C$30)^2)/(2*Inputs!$C$32^2))+-Inputs!$C$33*EXP(-((((((Inputs!$I$8+(((A50)+1)/2)*(Inputs!$J$8-Inputs!$I$8)))-Inputs!$C$34)^2)+(((Inputs!$C$6)-Inputs!$C$35)^2))/(2*Inputs!$C$36^2)))+Inputs!$C$37*(0.55*SIN(2*PI()*((Inputs!$I$8+(((A50)+1)/2)*(Inputs!$J$8-Inputs!$I$8)))/Inputs!$C$39)+0.35*COS(2*PI()*(Inputs!$C$6)/Inputs!$C$40)+0.2*SIN(2*PI()*(((Inputs!$I$8+(((A50)+1)/2)*(Inputs!$J$8-Inputs!$I$8)))+(Inputs!$C$6))/(0.5*(Inputs!$C$39+Inputs!$C$40))))+Inputs!$C$38*SIN(2*PI()*((Inputs!$I$8+(((A50)+1)/2)*(Inputs!$J$8-Inputs!$I$8)))/Inputs!$C$39)*SIN(2*PI()*(Inputs!$C$6)/Inputs!$C$40)+-Inputs!$C$41*EXP(-(((Inputs!$C$6)-Inputs!$C$43)^2)/(2*Inputs!$C$44^2))*EXP(-((((Inputs!$I$8+(((A50)+1)/2)*(Inputs!$J$8-Inputs!$I$8)))-Inputs!$C$42)^2)/(2*Inputs!$C$45^2))+Inputs!$C$48*(0.7*(0.45*SIN(2*PI()*((((Inputs!$I$8+(((A50)+1)/2)*(Inputs!$J$8-Inputs!$I$8)))/Inputs!$C$49)+Inputs!$C$47*0.137))+0.35*COS(2*PI()*(((Inputs!$C$6)/Inputs!$C$50)+Inputs!$C$47*0.173))+0.2*SIN(2*PI()*((((Inputs!$I$8+(((A50)+1)/2)*(Inputs!$J$8-Inputs!$I$8)))+(Inputs!$C$6))/(0.5*(Inputs!$C$49+Inputs!$C$50))+Inputs!$C$47*0.097)))+0.3*(2*((SIN((((Inputs!$I$8+(((A50)+1)/2)*(Inputs!$J$8-Inputs!$I$8)))*12.9898+(Inputs!$C$6)*78.233+Inputs!$C$47*37.719))*43758.5453)-INT((SIN((((Inputs!$I$8+(((A50)+1)/2)*(Inputs!$J$8-Inputs!$I$8)))*12.9898+(Inputs!$C$6)*78.233+Inputs!$C$47*37.719))*43758.5453)))-1))),NA())</f>
        <v/>
      </c>
      <c r="AV50" s="9">
        <f>IF(OR(Inputs!$F$9=TRUE,Inputs!$F$9="TRUE",Inputs!$F$9=1),IF(OR(Inputs!$C$27=TRUE,Inputs!$C$27="TRUE",Inputs!$C$27=1),1,0)*(Inputs!$C$51*(115*EXP(-(((Inputs!$C$6)-25)^2)/(4.5^2))+70*EXP(-(((Inputs!$C$6)+38)^2)/(7^2))*(0.55+0.45*SIN(2*PI()*((Inputs!$I$9+(((A50)+1)/2)*(Inputs!$J$9-Inputs!$I$9)))/45))+24*SIN(2*PI()*(Inputs!$C$6)/9+((Inputs!$I$9+(((A50)+1)/2)*(Inputs!$J$9-Inputs!$I$9)))/18)*EXP(-(((Inputs!$C$6)+5)^2)/(22^2))+18*SIN(2*PI()*((Inputs!$I$9+(((A50)+1)/2)*(Inputs!$J$9-Inputs!$I$9)))/70))+Inputs!$C$28*EXP(-((((Inputs!$I$9+(((A50)+1)/2)*(Inputs!$J$9-Inputs!$I$9)))-Inputs!$C$29)^2)/(2*Inputs!$C$31^2))*EXP(-(((Inputs!$C$6)-Inputs!$C$30)^2)/(2*Inputs!$C$32^2))+-Inputs!$C$33*EXP(-((((((Inputs!$I$9+(((A50)+1)/2)*(Inputs!$J$9-Inputs!$I$9)))-Inputs!$C$34)^2)+(((Inputs!$C$6)-Inputs!$C$35)^2))/(2*Inputs!$C$36^2)))+Inputs!$C$37*(0.55*SIN(2*PI()*((Inputs!$I$9+(((A50)+1)/2)*(Inputs!$J$9-Inputs!$I$9)))/Inputs!$C$39)+0.35*COS(2*PI()*(Inputs!$C$6)/Inputs!$C$40)+0.2*SIN(2*PI()*(((Inputs!$I$9+(((A50)+1)/2)*(Inputs!$J$9-Inputs!$I$9)))+(Inputs!$C$6))/(0.5*(Inputs!$C$39+Inputs!$C$40))))+Inputs!$C$38*SIN(2*PI()*((Inputs!$I$9+(((A50)+1)/2)*(Inputs!$J$9-Inputs!$I$9)))/Inputs!$C$39)*SIN(2*PI()*(Inputs!$C$6)/Inputs!$C$40)+-Inputs!$C$41*EXP(-(((Inputs!$C$6)-Inputs!$C$43)^2)/(2*Inputs!$C$44^2))*EXP(-((((Inputs!$I$9+(((A50)+1)/2)*(Inputs!$J$9-Inputs!$I$9)))-Inputs!$C$42)^2)/(2*Inputs!$C$45^2))+Inputs!$C$48*(0.7*(0.45*SIN(2*PI()*((((Inputs!$I$9+(((A50)+1)/2)*(Inputs!$J$9-Inputs!$I$9)))/Inputs!$C$49)+Inputs!$C$47*0.137))+0.35*COS(2*PI()*(((Inputs!$C$6)/Inputs!$C$50)+Inputs!$C$47*0.173))+0.2*SIN(2*PI()*((((Inputs!$I$9+(((A50)+1)/2)*(Inputs!$J$9-Inputs!$I$9)))+(Inputs!$C$6))/(0.5*(Inputs!$C$49+Inputs!$C$50))+Inputs!$C$47*0.097)))+0.3*(2*((SIN((((Inputs!$I$9+(((A50)+1)/2)*(Inputs!$J$9-Inputs!$I$9)))*12.9898+(Inputs!$C$6)*78.233+Inputs!$C$47*37.719))*43758.5453)-INT((SIN((((Inputs!$I$9+(((A50)+1)/2)*(Inputs!$J$9-Inputs!$I$9)))*12.9898+(Inputs!$C$6)*78.233+Inputs!$C$47*37.719))*43758.5453)))-1))),NA())</f>
        <v/>
      </c>
      <c r="AW50" s="10" t="n"/>
      <c r="AX50" s="9">
        <f>A50</f>
        <v/>
      </c>
      <c r="AY50" s="9">
        <f>0</f>
        <v/>
      </c>
      <c r="AZ50" s="9">
        <f>IF(OR(Inputs!$F$6=TRUE,Inputs!$F$6="TRUE",Inputs!$F$6=1),(Inputs!$H$6+Inputs!$L$6*(((Inputs!$I$6+(((A50)+1)/2)*(Inputs!$J$6-Inputs!$I$6)))/Inputs!$K$6)^2),NA())</f>
        <v/>
      </c>
      <c r="BA50" s="9">
        <f>IF(OR(Inputs!$F$7=TRUE,Inputs!$F$7="TRUE",Inputs!$F$7=1),(Inputs!$H$7+Inputs!$L$7*(((Inputs!$I$7+(((A50)+1)/2)*(Inputs!$J$7-Inputs!$I$7)))/Inputs!$K$7)^2),NA())</f>
        <v/>
      </c>
      <c r="BB50" s="9">
        <f>IF(OR(Inputs!$F$8=TRUE,Inputs!$F$8="TRUE",Inputs!$F$8=1),(Inputs!$H$8+Inputs!$L$8*(((Inputs!$I$8+(((A50)+1)/2)*(Inputs!$J$8-Inputs!$I$8)))/Inputs!$K$8)^2),NA())</f>
        <v/>
      </c>
      <c r="BC50" s="9">
        <f>IF(OR(Inputs!$F$9=TRUE,Inputs!$F$9="TRUE",Inputs!$F$9=1),(Inputs!$H$9+Inputs!$L$9*(((Inputs!$I$9+(((A50)+1)/2)*(Inputs!$J$9-Inputs!$I$9)))/Inputs!$K$9)^2),NA())</f>
        <v/>
      </c>
      <c r="BD50" s="10" t="n"/>
      <c r="BE50" s="9">
        <f>A50</f>
        <v/>
      </c>
      <c r="BF50" s="9">
        <f>0</f>
        <v/>
      </c>
      <c r="BG50" s="9">
        <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f>
        <v/>
      </c>
      <c r="BH50" s="9">
        <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f>
        <v/>
      </c>
      <c r="BI50" s="9">
        <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f>
        <v/>
      </c>
      <c r="BJ50" s="9">
        <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f>
        <v/>
      </c>
    </row>
    <row r="51">
      <c r="A51" s="9">
        <f>ROUND(-1+49*2/240,3)</f>
        <v/>
      </c>
      <c r="B51" s="9">
        <f>IF(OR(Inputs!$F$6=TRUE,Inputs!$F$6="TRUE",Inputs!$F$6=1),(Inputs!$H$6+Inputs!$L$6*(((Inputs!$I$6+(((A51)+1)/2)*(Inputs!$J$6-Inputs!$I$6)))/Inputs!$K$6)^2),NA())</f>
        <v/>
      </c>
      <c r="C51" s="9">
        <f>IF(OR(Inputs!$F$7=TRUE,Inputs!$F$7="TRUE",Inputs!$F$7=1),(Inputs!$H$7+Inputs!$L$7*(((Inputs!$I$7+(((A51)+1)/2)*(Inputs!$J$7-Inputs!$I$7)))/Inputs!$K$7)^2),NA())</f>
        <v/>
      </c>
      <c r="D51" s="9">
        <f>IF(OR(Inputs!$F$8=TRUE,Inputs!$F$8="TRUE",Inputs!$F$8=1),(Inputs!$H$8+Inputs!$L$8*(((Inputs!$I$8+(((A51)+1)/2)*(Inputs!$J$8-Inputs!$I$8)))/Inputs!$K$8)^2),NA())</f>
        <v/>
      </c>
      <c r="E51" s="9">
        <f>IF(OR(Inputs!$F$9=TRUE,Inputs!$F$9="TRUE",Inputs!$F$9=1),(Inputs!$H$9+Inputs!$L$9*(((Inputs!$I$9+(((A51)+1)/2)*(Inputs!$J$9-Inputs!$I$9)))/Inputs!$K$9)^2),NA())</f>
        <v/>
      </c>
      <c r="F51" s="10" t="n"/>
      <c r="G51" s="9">
        <f>A51</f>
        <v/>
      </c>
      <c r="H51" s="9">
        <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f>
        <v/>
      </c>
      <c r="I51" s="9">
        <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f>
        <v/>
      </c>
      <c r="J51" s="9">
        <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f>
        <v/>
      </c>
      <c r="K51" s="9">
        <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f>
        <v/>
      </c>
      <c r="L51" s="10" t="n"/>
      <c r="M51" s="9">
        <f>A51</f>
        <v/>
      </c>
      <c r="N51" s="9">
        <f>IF(OR(Inputs!$F$6=TRUE,Inputs!$F$6="TRUE",Inputs!$F$6=1),(-2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NA())</f>
        <v/>
      </c>
      <c r="O51" s="9">
        <f>IF(OR(Inputs!$F$7=TRUE,Inputs!$F$7="TRUE",Inputs!$F$7=1),(-2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NA())</f>
        <v/>
      </c>
      <c r="P51" s="9">
        <f>IF(OR(Inputs!$F$8=TRUE,Inputs!$F$8="TRUE",Inputs!$F$8=1),(-2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NA())</f>
        <v/>
      </c>
      <c r="Q51" s="9">
        <f>IF(OR(Inputs!$F$9=TRUE,Inputs!$F$9="TRUE",Inputs!$F$9=1),(-2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NA())</f>
        <v/>
      </c>
      <c r="R51" s="10" t="n"/>
      <c r="S51" s="9">
        <f>A51</f>
        <v/>
      </c>
      <c r="T51" s="9">
        <f>(Inputs!$I$6+(((A51)+1)/2)*(Inputs!$J$6-Inputs!$I$6))</f>
        <v/>
      </c>
      <c r="U51" s="9">
        <f>(Inputs!$I$7+(((A51)+1)/2)*(Inputs!$J$7-Inputs!$I$7))</f>
        <v/>
      </c>
      <c r="V51" s="9">
        <f>(Inputs!$I$8+(((A51)+1)/2)*(Inputs!$J$8-Inputs!$I$8))</f>
        <v/>
      </c>
      <c r="W51" s="9">
        <f>(Inputs!$I$9+(((A51)+1)/2)*(Inputs!$J$9-Inputs!$I$9))</f>
        <v/>
      </c>
      <c r="X51" s="10" t="n"/>
      <c r="Y51" s="9">
        <f>A51</f>
        <v/>
      </c>
      <c r="Z51" s="9">
        <f>(Inputs!$H$6+Inputs!$L$6*(((Inputs!$I$6+(((A51)+1)/2)*(Inputs!$J$6-Inputs!$I$6)))/Inputs!$K$6)^2)</f>
        <v/>
      </c>
      <c r="AA51" s="9">
        <f>(Inputs!$H$7+Inputs!$L$7*(((Inputs!$I$7+(((A51)+1)/2)*(Inputs!$J$7-Inputs!$I$7)))/Inputs!$K$7)^2)</f>
        <v/>
      </c>
      <c r="AB51" s="9">
        <f>(Inputs!$H$8+Inputs!$L$8*(((Inputs!$I$8+(((A51)+1)/2)*(Inputs!$J$8-Inputs!$I$8)))/Inputs!$K$8)^2)</f>
        <v/>
      </c>
      <c r="AC51" s="9">
        <f>(Inputs!$H$9+Inputs!$L$9*(((Inputs!$I$9+(((A51)+1)/2)*(Inputs!$J$9-Inputs!$I$9)))/Inputs!$K$9)^2)</f>
        <v/>
      </c>
      <c r="AD51" s="10" t="n"/>
      <c r="AE51" s="9">
        <f>A51</f>
        <v/>
      </c>
      <c r="AF51" s="9">
        <f>(((SQRT((Inputs!$C$52+((Inputs!$H$6+Inputs!$L$6*(((Inputs!$I$6+(((A51)+1)/2)*(Inputs!$J$6-Inputs!$I$6)))/Inputs!$K$6)^2)))^2+Inputs!$C$52^2-2*(Inputs!$C$52+((Inputs!$H$6+Inputs!$L$6*(((Inputs!$I$6+(((A51)+1)/2)*(Inputs!$J$6-Inputs!$I$6)))/Inputs!$K$6)^2)))*Inputs!$C$52*COS(SQRT(((Inputs!$I$6+(((A51)+1)/2)*(Inputs!$J$6-Inputs!$I$6)))^2+Inputs!$C$6^2)/Inputs!$C$52)))-((Inputs!$H$6+Inputs!$L$6*(((Inputs!$I$6+(((A51)+1)/2)*(Inputs!$J$6-Inputs!$I$6)))/Inputs!$K$6)^2)))*1000/Inputs!$C$12)</f>
        <v/>
      </c>
      <c r="AG51" s="9">
        <f>(((SQRT((Inputs!$C$52+((Inputs!$H$7+Inputs!$L$7*(((Inputs!$I$7+(((A51)+1)/2)*(Inputs!$J$7-Inputs!$I$7)))/Inputs!$K$7)^2)))^2+Inputs!$C$52^2-2*(Inputs!$C$52+((Inputs!$H$7+Inputs!$L$7*(((Inputs!$I$7+(((A51)+1)/2)*(Inputs!$J$7-Inputs!$I$7)))/Inputs!$K$7)^2)))*Inputs!$C$52*COS(SQRT(((Inputs!$I$7+(((A51)+1)/2)*(Inputs!$J$7-Inputs!$I$7)))^2+Inputs!$C$6^2)/Inputs!$C$52)))-((Inputs!$H$7+Inputs!$L$7*(((Inputs!$I$7+(((A51)+1)/2)*(Inputs!$J$7-Inputs!$I$7)))/Inputs!$K$7)^2)))*1000/Inputs!$C$12)</f>
        <v/>
      </c>
      <c r="AH51" s="9">
        <f>(((SQRT((Inputs!$C$52+((Inputs!$H$8+Inputs!$L$8*(((Inputs!$I$8+(((A51)+1)/2)*(Inputs!$J$8-Inputs!$I$8)))/Inputs!$K$8)^2)))^2+Inputs!$C$52^2-2*(Inputs!$C$52+((Inputs!$H$8+Inputs!$L$8*(((Inputs!$I$8+(((A51)+1)/2)*(Inputs!$J$8-Inputs!$I$8)))/Inputs!$K$8)^2)))*Inputs!$C$52*COS(SQRT(((Inputs!$I$8+(((A51)+1)/2)*(Inputs!$J$8-Inputs!$I$8)))^2+Inputs!$C$6^2)/Inputs!$C$52)))-((Inputs!$H$8+Inputs!$L$8*(((Inputs!$I$8+(((A51)+1)/2)*(Inputs!$J$8-Inputs!$I$8)))/Inputs!$K$8)^2)))*1000/Inputs!$C$12)</f>
        <v/>
      </c>
      <c r="AI51" s="9">
        <f>(((SQRT((Inputs!$C$52+((Inputs!$H$9+Inputs!$L$9*(((Inputs!$I$9+(((A51)+1)/2)*(Inputs!$J$9-Inputs!$I$9)))/Inputs!$K$9)^2)))^2+Inputs!$C$52^2-2*(Inputs!$C$52+((Inputs!$H$9+Inputs!$L$9*(((Inputs!$I$9+(((A51)+1)/2)*(Inputs!$J$9-Inputs!$I$9)))/Inputs!$K$9)^2)))*Inputs!$C$52*COS(SQRT(((Inputs!$I$9+(((A51)+1)/2)*(Inputs!$J$9-Inputs!$I$9)))^2+Inputs!$C$6^2)/Inputs!$C$52)))-((Inputs!$H$9+Inputs!$L$9*(((Inputs!$I$9+(((A51)+1)/2)*(Inputs!$J$9-Inputs!$I$9)))/Inputs!$K$9)^2)))*1000/Inputs!$C$12)</f>
        <v/>
      </c>
      <c r="AJ51" s="10" t="n"/>
      <c r="AK51" s="9">
        <f>A51</f>
        <v/>
      </c>
      <c r="AL51" s="9">
        <f>(-2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f>
        <v/>
      </c>
      <c r="AM51" s="9">
        <f>(-2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f>
        <v/>
      </c>
      <c r="AN51" s="9">
        <f>(-2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f>
        <v/>
      </c>
      <c r="AO51" s="9">
        <f>(-2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f>
        <v/>
      </c>
      <c r="AP51" s="10" t="n"/>
      <c r="AQ51" s="9">
        <f>A51</f>
        <v/>
      </c>
      <c r="AR51" s="9">
        <f>0</f>
        <v/>
      </c>
      <c r="AS51" s="9">
        <f>IF(OR(Inputs!$F$6=TRUE,Inputs!$F$6="TRUE",Inputs!$F$6=1),IF(OR(Inputs!$C$27=TRUE,Inputs!$C$27="TRUE",Inputs!$C$27=1),1,0)*(Inputs!$C$51*(115*EXP(-(((Inputs!$C$6)-25)^2)/(4.5^2))+70*EXP(-(((Inputs!$C$6)+38)^2)/(7^2))*(0.55+0.45*SIN(2*PI()*((Inputs!$I$6+(((A51)+1)/2)*(Inputs!$J$6-Inputs!$I$6)))/45))+24*SIN(2*PI()*(Inputs!$C$6)/9+((Inputs!$I$6+(((A51)+1)/2)*(Inputs!$J$6-Inputs!$I$6)))/18)*EXP(-(((Inputs!$C$6)+5)^2)/(22^2))+18*SIN(2*PI()*((Inputs!$I$6+(((A51)+1)/2)*(Inputs!$J$6-Inputs!$I$6)))/70))+Inputs!$C$28*EXP(-((((Inputs!$I$6+(((A51)+1)/2)*(Inputs!$J$6-Inputs!$I$6)))-Inputs!$C$29)^2)/(2*Inputs!$C$31^2))*EXP(-(((Inputs!$C$6)-Inputs!$C$30)^2)/(2*Inputs!$C$32^2))+-Inputs!$C$33*EXP(-((((((Inputs!$I$6+(((A51)+1)/2)*(Inputs!$J$6-Inputs!$I$6)))-Inputs!$C$34)^2)+(((Inputs!$C$6)-Inputs!$C$35)^2))/(2*Inputs!$C$36^2)))+Inputs!$C$37*(0.55*SIN(2*PI()*((Inputs!$I$6+(((A51)+1)/2)*(Inputs!$J$6-Inputs!$I$6)))/Inputs!$C$39)+0.35*COS(2*PI()*(Inputs!$C$6)/Inputs!$C$40)+0.2*SIN(2*PI()*(((Inputs!$I$6+(((A51)+1)/2)*(Inputs!$J$6-Inputs!$I$6)))+(Inputs!$C$6))/(0.5*(Inputs!$C$39+Inputs!$C$40))))+Inputs!$C$38*SIN(2*PI()*((Inputs!$I$6+(((A51)+1)/2)*(Inputs!$J$6-Inputs!$I$6)))/Inputs!$C$39)*SIN(2*PI()*(Inputs!$C$6)/Inputs!$C$40)+-Inputs!$C$41*EXP(-(((Inputs!$C$6)-Inputs!$C$43)^2)/(2*Inputs!$C$44^2))*EXP(-((((Inputs!$I$6+(((A51)+1)/2)*(Inputs!$J$6-Inputs!$I$6)))-Inputs!$C$42)^2)/(2*Inputs!$C$45^2))+Inputs!$C$48*(0.7*(0.45*SIN(2*PI()*((((Inputs!$I$6+(((A51)+1)/2)*(Inputs!$J$6-Inputs!$I$6)))/Inputs!$C$49)+Inputs!$C$47*0.137))+0.35*COS(2*PI()*(((Inputs!$C$6)/Inputs!$C$50)+Inputs!$C$47*0.173))+0.2*SIN(2*PI()*((((Inputs!$I$6+(((A51)+1)/2)*(Inputs!$J$6-Inputs!$I$6)))+(Inputs!$C$6))/(0.5*(Inputs!$C$49+Inputs!$C$50))+Inputs!$C$47*0.097)))+0.3*(2*((SIN((((Inputs!$I$6+(((A51)+1)/2)*(Inputs!$J$6-Inputs!$I$6)))*12.9898+(Inputs!$C$6)*78.233+Inputs!$C$47*37.719))*43758.5453)-INT((SIN((((Inputs!$I$6+(((A51)+1)/2)*(Inputs!$J$6-Inputs!$I$6)))*12.9898+(Inputs!$C$6)*78.233+Inputs!$C$47*37.719))*43758.5453)))-1))),NA())</f>
        <v/>
      </c>
      <c r="AT51" s="9">
        <f>IF(OR(Inputs!$F$7=TRUE,Inputs!$F$7="TRUE",Inputs!$F$7=1),IF(OR(Inputs!$C$27=TRUE,Inputs!$C$27="TRUE",Inputs!$C$27=1),1,0)*(Inputs!$C$51*(115*EXP(-(((Inputs!$C$6)-25)^2)/(4.5^2))+70*EXP(-(((Inputs!$C$6)+38)^2)/(7^2))*(0.55+0.45*SIN(2*PI()*((Inputs!$I$7+(((A51)+1)/2)*(Inputs!$J$7-Inputs!$I$7)))/45))+24*SIN(2*PI()*(Inputs!$C$6)/9+((Inputs!$I$7+(((A51)+1)/2)*(Inputs!$J$7-Inputs!$I$7)))/18)*EXP(-(((Inputs!$C$6)+5)^2)/(22^2))+18*SIN(2*PI()*((Inputs!$I$7+(((A51)+1)/2)*(Inputs!$J$7-Inputs!$I$7)))/70))+Inputs!$C$28*EXP(-((((Inputs!$I$7+(((A51)+1)/2)*(Inputs!$J$7-Inputs!$I$7)))-Inputs!$C$29)^2)/(2*Inputs!$C$31^2))*EXP(-(((Inputs!$C$6)-Inputs!$C$30)^2)/(2*Inputs!$C$32^2))+-Inputs!$C$33*EXP(-((((((Inputs!$I$7+(((A51)+1)/2)*(Inputs!$J$7-Inputs!$I$7)))-Inputs!$C$34)^2)+(((Inputs!$C$6)-Inputs!$C$35)^2))/(2*Inputs!$C$36^2)))+Inputs!$C$37*(0.55*SIN(2*PI()*((Inputs!$I$7+(((A51)+1)/2)*(Inputs!$J$7-Inputs!$I$7)))/Inputs!$C$39)+0.35*COS(2*PI()*(Inputs!$C$6)/Inputs!$C$40)+0.2*SIN(2*PI()*(((Inputs!$I$7+(((A51)+1)/2)*(Inputs!$J$7-Inputs!$I$7)))+(Inputs!$C$6))/(0.5*(Inputs!$C$39+Inputs!$C$40))))+Inputs!$C$38*SIN(2*PI()*((Inputs!$I$7+(((A51)+1)/2)*(Inputs!$J$7-Inputs!$I$7)))/Inputs!$C$39)*SIN(2*PI()*(Inputs!$C$6)/Inputs!$C$40)+-Inputs!$C$41*EXP(-(((Inputs!$C$6)-Inputs!$C$43)^2)/(2*Inputs!$C$44^2))*EXP(-((((Inputs!$I$7+(((A51)+1)/2)*(Inputs!$J$7-Inputs!$I$7)))-Inputs!$C$42)^2)/(2*Inputs!$C$45^2))+Inputs!$C$48*(0.7*(0.45*SIN(2*PI()*((((Inputs!$I$7+(((A51)+1)/2)*(Inputs!$J$7-Inputs!$I$7)))/Inputs!$C$49)+Inputs!$C$47*0.137))+0.35*COS(2*PI()*(((Inputs!$C$6)/Inputs!$C$50)+Inputs!$C$47*0.173))+0.2*SIN(2*PI()*((((Inputs!$I$7+(((A51)+1)/2)*(Inputs!$J$7-Inputs!$I$7)))+(Inputs!$C$6))/(0.5*(Inputs!$C$49+Inputs!$C$50))+Inputs!$C$47*0.097)))+0.3*(2*((SIN((((Inputs!$I$7+(((A51)+1)/2)*(Inputs!$J$7-Inputs!$I$7)))*12.9898+(Inputs!$C$6)*78.233+Inputs!$C$47*37.719))*43758.5453)-INT((SIN((((Inputs!$I$7+(((A51)+1)/2)*(Inputs!$J$7-Inputs!$I$7)))*12.9898+(Inputs!$C$6)*78.233+Inputs!$C$47*37.719))*43758.5453)))-1))),NA())</f>
        <v/>
      </c>
      <c r="AU51" s="9">
        <f>IF(OR(Inputs!$F$8=TRUE,Inputs!$F$8="TRUE",Inputs!$F$8=1),IF(OR(Inputs!$C$27=TRUE,Inputs!$C$27="TRUE",Inputs!$C$27=1),1,0)*(Inputs!$C$51*(115*EXP(-(((Inputs!$C$6)-25)^2)/(4.5^2))+70*EXP(-(((Inputs!$C$6)+38)^2)/(7^2))*(0.55+0.45*SIN(2*PI()*((Inputs!$I$8+(((A51)+1)/2)*(Inputs!$J$8-Inputs!$I$8)))/45))+24*SIN(2*PI()*(Inputs!$C$6)/9+((Inputs!$I$8+(((A51)+1)/2)*(Inputs!$J$8-Inputs!$I$8)))/18)*EXP(-(((Inputs!$C$6)+5)^2)/(22^2))+18*SIN(2*PI()*((Inputs!$I$8+(((A51)+1)/2)*(Inputs!$J$8-Inputs!$I$8)))/70))+Inputs!$C$28*EXP(-((((Inputs!$I$8+(((A51)+1)/2)*(Inputs!$J$8-Inputs!$I$8)))-Inputs!$C$29)^2)/(2*Inputs!$C$31^2))*EXP(-(((Inputs!$C$6)-Inputs!$C$30)^2)/(2*Inputs!$C$32^2))+-Inputs!$C$33*EXP(-((((((Inputs!$I$8+(((A51)+1)/2)*(Inputs!$J$8-Inputs!$I$8)))-Inputs!$C$34)^2)+(((Inputs!$C$6)-Inputs!$C$35)^2))/(2*Inputs!$C$36^2)))+Inputs!$C$37*(0.55*SIN(2*PI()*((Inputs!$I$8+(((A51)+1)/2)*(Inputs!$J$8-Inputs!$I$8)))/Inputs!$C$39)+0.35*COS(2*PI()*(Inputs!$C$6)/Inputs!$C$40)+0.2*SIN(2*PI()*(((Inputs!$I$8+(((A51)+1)/2)*(Inputs!$J$8-Inputs!$I$8)))+(Inputs!$C$6))/(0.5*(Inputs!$C$39+Inputs!$C$40))))+Inputs!$C$38*SIN(2*PI()*((Inputs!$I$8+(((A51)+1)/2)*(Inputs!$J$8-Inputs!$I$8)))/Inputs!$C$39)*SIN(2*PI()*(Inputs!$C$6)/Inputs!$C$40)+-Inputs!$C$41*EXP(-(((Inputs!$C$6)-Inputs!$C$43)^2)/(2*Inputs!$C$44^2))*EXP(-((((Inputs!$I$8+(((A51)+1)/2)*(Inputs!$J$8-Inputs!$I$8)))-Inputs!$C$42)^2)/(2*Inputs!$C$45^2))+Inputs!$C$48*(0.7*(0.45*SIN(2*PI()*((((Inputs!$I$8+(((A51)+1)/2)*(Inputs!$J$8-Inputs!$I$8)))/Inputs!$C$49)+Inputs!$C$47*0.137))+0.35*COS(2*PI()*(((Inputs!$C$6)/Inputs!$C$50)+Inputs!$C$47*0.173))+0.2*SIN(2*PI()*((((Inputs!$I$8+(((A51)+1)/2)*(Inputs!$J$8-Inputs!$I$8)))+(Inputs!$C$6))/(0.5*(Inputs!$C$49+Inputs!$C$50))+Inputs!$C$47*0.097)))+0.3*(2*((SIN((((Inputs!$I$8+(((A51)+1)/2)*(Inputs!$J$8-Inputs!$I$8)))*12.9898+(Inputs!$C$6)*78.233+Inputs!$C$47*37.719))*43758.5453)-INT((SIN((((Inputs!$I$8+(((A51)+1)/2)*(Inputs!$J$8-Inputs!$I$8)))*12.9898+(Inputs!$C$6)*78.233+Inputs!$C$47*37.719))*43758.5453)))-1))),NA())</f>
        <v/>
      </c>
      <c r="AV51" s="9">
        <f>IF(OR(Inputs!$F$9=TRUE,Inputs!$F$9="TRUE",Inputs!$F$9=1),IF(OR(Inputs!$C$27=TRUE,Inputs!$C$27="TRUE",Inputs!$C$27=1),1,0)*(Inputs!$C$51*(115*EXP(-(((Inputs!$C$6)-25)^2)/(4.5^2))+70*EXP(-(((Inputs!$C$6)+38)^2)/(7^2))*(0.55+0.45*SIN(2*PI()*((Inputs!$I$9+(((A51)+1)/2)*(Inputs!$J$9-Inputs!$I$9)))/45))+24*SIN(2*PI()*(Inputs!$C$6)/9+((Inputs!$I$9+(((A51)+1)/2)*(Inputs!$J$9-Inputs!$I$9)))/18)*EXP(-(((Inputs!$C$6)+5)^2)/(22^2))+18*SIN(2*PI()*((Inputs!$I$9+(((A51)+1)/2)*(Inputs!$J$9-Inputs!$I$9)))/70))+Inputs!$C$28*EXP(-((((Inputs!$I$9+(((A51)+1)/2)*(Inputs!$J$9-Inputs!$I$9)))-Inputs!$C$29)^2)/(2*Inputs!$C$31^2))*EXP(-(((Inputs!$C$6)-Inputs!$C$30)^2)/(2*Inputs!$C$32^2))+-Inputs!$C$33*EXP(-((((((Inputs!$I$9+(((A51)+1)/2)*(Inputs!$J$9-Inputs!$I$9)))-Inputs!$C$34)^2)+(((Inputs!$C$6)-Inputs!$C$35)^2))/(2*Inputs!$C$36^2)))+Inputs!$C$37*(0.55*SIN(2*PI()*((Inputs!$I$9+(((A51)+1)/2)*(Inputs!$J$9-Inputs!$I$9)))/Inputs!$C$39)+0.35*COS(2*PI()*(Inputs!$C$6)/Inputs!$C$40)+0.2*SIN(2*PI()*(((Inputs!$I$9+(((A51)+1)/2)*(Inputs!$J$9-Inputs!$I$9)))+(Inputs!$C$6))/(0.5*(Inputs!$C$39+Inputs!$C$40))))+Inputs!$C$38*SIN(2*PI()*((Inputs!$I$9+(((A51)+1)/2)*(Inputs!$J$9-Inputs!$I$9)))/Inputs!$C$39)*SIN(2*PI()*(Inputs!$C$6)/Inputs!$C$40)+-Inputs!$C$41*EXP(-(((Inputs!$C$6)-Inputs!$C$43)^2)/(2*Inputs!$C$44^2))*EXP(-((((Inputs!$I$9+(((A51)+1)/2)*(Inputs!$J$9-Inputs!$I$9)))-Inputs!$C$42)^2)/(2*Inputs!$C$45^2))+Inputs!$C$48*(0.7*(0.45*SIN(2*PI()*((((Inputs!$I$9+(((A51)+1)/2)*(Inputs!$J$9-Inputs!$I$9)))/Inputs!$C$49)+Inputs!$C$47*0.137))+0.35*COS(2*PI()*(((Inputs!$C$6)/Inputs!$C$50)+Inputs!$C$47*0.173))+0.2*SIN(2*PI()*((((Inputs!$I$9+(((A51)+1)/2)*(Inputs!$J$9-Inputs!$I$9)))+(Inputs!$C$6))/(0.5*(Inputs!$C$49+Inputs!$C$50))+Inputs!$C$47*0.097)))+0.3*(2*((SIN((((Inputs!$I$9+(((A51)+1)/2)*(Inputs!$J$9-Inputs!$I$9)))*12.9898+(Inputs!$C$6)*78.233+Inputs!$C$47*37.719))*43758.5453)-INT((SIN((((Inputs!$I$9+(((A51)+1)/2)*(Inputs!$J$9-Inputs!$I$9)))*12.9898+(Inputs!$C$6)*78.233+Inputs!$C$47*37.719))*43758.5453)))-1))),NA())</f>
        <v/>
      </c>
      <c r="AW51" s="10" t="n"/>
      <c r="AX51" s="9">
        <f>A51</f>
        <v/>
      </c>
      <c r="AY51" s="9">
        <f>0</f>
        <v/>
      </c>
      <c r="AZ51" s="9">
        <f>IF(OR(Inputs!$F$6=TRUE,Inputs!$F$6="TRUE",Inputs!$F$6=1),(Inputs!$H$6+Inputs!$L$6*(((Inputs!$I$6+(((A51)+1)/2)*(Inputs!$J$6-Inputs!$I$6)))/Inputs!$K$6)^2),NA())</f>
        <v/>
      </c>
      <c r="BA51" s="9">
        <f>IF(OR(Inputs!$F$7=TRUE,Inputs!$F$7="TRUE",Inputs!$F$7=1),(Inputs!$H$7+Inputs!$L$7*(((Inputs!$I$7+(((A51)+1)/2)*(Inputs!$J$7-Inputs!$I$7)))/Inputs!$K$7)^2),NA())</f>
        <v/>
      </c>
      <c r="BB51" s="9">
        <f>IF(OR(Inputs!$F$8=TRUE,Inputs!$F$8="TRUE",Inputs!$F$8=1),(Inputs!$H$8+Inputs!$L$8*(((Inputs!$I$8+(((A51)+1)/2)*(Inputs!$J$8-Inputs!$I$8)))/Inputs!$K$8)^2),NA())</f>
        <v/>
      </c>
      <c r="BC51" s="9">
        <f>IF(OR(Inputs!$F$9=TRUE,Inputs!$F$9="TRUE",Inputs!$F$9=1),(Inputs!$H$9+Inputs!$L$9*(((Inputs!$I$9+(((A51)+1)/2)*(Inputs!$J$9-Inputs!$I$9)))/Inputs!$K$9)^2),NA())</f>
        <v/>
      </c>
      <c r="BD51" s="10" t="n"/>
      <c r="BE51" s="9">
        <f>A51</f>
        <v/>
      </c>
      <c r="BF51" s="9">
        <f>0</f>
        <v/>
      </c>
      <c r="BG51" s="9">
        <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f>
        <v/>
      </c>
      <c r="BH51" s="9">
        <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f>
        <v/>
      </c>
      <c r="BI51" s="9">
        <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f>
        <v/>
      </c>
      <c r="BJ51" s="9">
        <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f>
        <v/>
      </c>
    </row>
    <row r="52">
      <c r="A52" s="9">
        <f>ROUND(-1+50*2/240,3)</f>
        <v/>
      </c>
      <c r="B52" s="9">
        <f>IF(OR(Inputs!$F$6=TRUE,Inputs!$F$6="TRUE",Inputs!$F$6=1),(Inputs!$H$6+Inputs!$L$6*(((Inputs!$I$6+(((A52)+1)/2)*(Inputs!$J$6-Inputs!$I$6)))/Inputs!$K$6)^2),NA())</f>
        <v/>
      </c>
      <c r="C52" s="9">
        <f>IF(OR(Inputs!$F$7=TRUE,Inputs!$F$7="TRUE",Inputs!$F$7=1),(Inputs!$H$7+Inputs!$L$7*(((Inputs!$I$7+(((A52)+1)/2)*(Inputs!$J$7-Inputs!$I$7)))/Inputs!$K$7)^2),NA())</f>
        <v/>
      </c>
      <c r="D52" s="9">
        <f>IF(OR(Inputs!$F$8=TRUE,Inputs!$F$8="TRUE",Inputs!$F$8=1),(Inputs!$H$8+Inputs!$L$8*(((Inputs!$I$8+(((A52)+1)/2)*(Inputs!$J$8-Inputs!$I$8)))/Inputs!$K$8)^2),NA())</f>
        <v/>
      </c>
      <c r="E52" s="9">
        <f>IF(OR(Inputs!$F$9=TRUE,Inputs!$F$9="TRUE",Inputs!$F$9=1),(Inputs!$H$9+Inputs!$L$9*(((Inputs!$I$9+(((A52)+1)/2)*(Inputs!$J$9-Inputs!$I$9)))/Inputs!$K$9)^2),NA())</f>
        <v/>
      </c>
      <c r="F52" s="10" t="n"/>
      <c r="G52" s="9">
        <f>A52</f>
        <v/>
      </c>
      <c r="H52" s="9">
        <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f>
        <v/>
      </c>
      <c r="I52" s="9">
        <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f>
        <v/>
      </c>
      <c r="J52" s="9">
        <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f>
        <v/>
      </c>
      <c r="K52" s="9">
        <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f>
        <v/>
      </c>
      <c r="L52" s="10" t="n"/>
      <c r="M52" s="9">
        <f>A52</f>
        <v/>
      </c>
      <c r="N52" s="9">
        <f>IF(OR(Inputs!$F$6=TRUE,Inputs!$F$6="TRUE",Inputs!$F$6=1),(-2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NA())</f>
        <v/>
      </c>
      <c r="O52" s="9">
        <f>IF(OR(Inputs!$F$7=TRUE,Inputs!$F$7="TRUE",Inputs!$F$7=1),(-2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NA())</f>
        <v/>
      </c>
      <c r="P52" s="9">
        <f>IF(OR(Inputs!$F$8=TRUE,Inputs!$F$8="TRUE",Inputs!$F$8=1),(-2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NA())</f>
        <v/>
      </c>
      <c r="Q52" s="9">
        <f>IF(OR(Inputs!$F$9=TRUE,Inputs!$F$9="TRUE",Inputs!$F$9=1),(-2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NA())</f>
        <v/>
      </c>
      <c r="R52" s="10" t="n"/>
      <c r="S52" s="9">
        <f>A52</f>
        <v/>
      </c>
      <c r="T52" s="9">
        <f>(Inputs!$I$6+(((A52)+1)/2)*(Inputs!$J$6-Inputs!$I$6))</f>
        <v/>
      </c>
      <c r="U52" s="9">
        <f>(Inputs!$I$7+(((A52)+1)/2)*(Inputs!$J$7-Inputs!$I$7))</f>
        <v/>
      </c>
      <c r="V52" s="9">
        <f>(Inputs!$I$8+(((A52)+1)/2)*(Inputs!$J$8-Inputs!$I$8))</f>
        <v/>
      </c>
      <c r="W52" s="9">
        <f>(Inputs!$I$9+(((A52)+1)/2)*(Inputs!$J$9-Inputs!$I$9))</f>
        <v/>
      </c>
      <c r="X52" s="10" t="n"/>
      <c r="Y52" s="9">
        <f>A52</f>
        <v/>
      </c>
      <c r="Z52" s="9">
        <f>(Inputs!$H$6+Inputs!$L$6*(((Inputs!$I$6+(((A52)+1)/2)*(Inputs!$J$6-Inputs!$I$6)))/Inputs!$K$6)^2)</f>
        <v/>
      </c>
      <c r="AA52" s="9">
        <f>(Inputs!$H$7+Inputs!$L$7*(((Inputs!$I$7+(((A52)+1)/2)*(Inputs!$J$7-Inputs!$I$7)))/Inputs!$K$7)^2)</f>
        <v/>
      </c>
      <c r="AB52" s="9">
        <f>(Inputs!$H$8+Inputs!$L$8*(((Inputs!$I$8+(((A52)+1)/2)*(Inputs!$J$8-Inputs!$I$8)))/Inputs!$K$8)^2)</f>
        <v/>
      </c>
      <c r="AC52" s="9">
        <f>(Inputs!$H$9+Inputs!$L$9*(((Inputs!$I$9+(((A52)+1)/2)*(Inputs!$J$9-Inputs!$I$9)))/Inputs!$K$9)^2)</f>
        <v/>
      </c>
      <c r="AD52" s="10" t="n"/>
      <c r="AE52" s="9">
        <f>A52</f>
        <v/>
      </c>
      <c r="AF52" s="9">
        <f>(((SQRT((Inputs!$C$52+((Inputs!$H$6+Inputs!$L$6*(((Inputs!$I$6+(((A52)+1)/2)*(Inputs!$J$6-Inputs!$I$6)))/Inputs!$K$6)^2)))^2+Inputs!$C$52^2-2*(Inputs!$C$52+((Inputs!$H$6+Inputs!$L$6*(((Inputs!$I$6+(((A52)+1)/2)*(Inputs!$J$6-Inputs!$I$6)))/Inputs!$K$6)^2)))*Inputs!$C$52*COS(SQRT(((Inputs!$I$6+(((A52)+1)/2)*(Inputs!$J$6-Inputs!$I$6)))^2+Inputs!$C$6^2)/Inputs!$C$52)))-((Inputs!$H$6+Inputs!$L$6*(((Inputs!$I$6+(((A52)+1)/2)*(Inputs!$J$6-Inputs!$I$6)))/Inputs!$K$6)^2)))*1000/Inputs!$C$12)</f>
        <v/>
      </c>
      <c r="AG52" s="9">
        <f>(((SQRT((Inputs!$C$52+((Inputs!$H$7+Inputs!$L$7*(((Inputs!$I$7+(((A52)+1)/2)*(Inputs!$J$7-Inputs!$I$7)))/Inputs!$K$7)^2)))^2+Inputs!$C$52^2-2*(Inputs!$C$52+((Inputs!$H$7+Inputs!$L$7*(((Inputs!$I$7+(((A52)+1)/2)*(Inputs!$J$7-Inputs!$I$7)))/Inputs!$K$7)^2)))*Inputs!$C$52*COS(SQRT(((Inputs!$I$7+(((A52)+1)/2)*(Inputs!$J$7-Inputs!$I$7)))^2+Inputs!$C$6^2)/Inputs!$C$52)))-((Inputs!$H$7+Inputs!$L$7*(((Inputs!$I$7+(((A52)+1)/2)*(Inputs!$J$7-Inputs!$I$7)))/Inputs!$K$7)^2)))*1000/Inputs!$C$12)</f>
        <v/>
      </c>
      <c r="AH52" s="9">
        <f>(((SQRT((Inputs!$C$52+((Inputs!$H$8+Inputs!$L$8*(((Inputs!$I$8+(((A52)+1)/2)*(Inputs!$J$8-Inputs!$I$8)))/Inputs!$K$8)^2)))^2+Inputs!$C$52^2-2*(Inputs!$C$52+((Inputs!$H$8+Inputs!$L$8*(((Inputs!$I$8+(((A52)+1)/2)*(Inputs!$J$8-Inputs!$I$8)))/Inputs!$K$8)^2)))*Inputs!$C$52*COS(SQRT(((Inputs!$I$8+(((A52)+1)/2)*(Inputs!$J$8-Inputs!$I$8)))^2+Inputs!$C$6^2)/Inputs!$C$52)))-((Inputs!$H$8+Inputs!$L$8*(((Inputs!$I$8+(((A52)+1)/2)*(Inputs!$J$8-Inputs!$I$8)))/Inputs!$K$8)^2)))*1000/Inputs!$C$12)</f>
        <v/>
      </c>
      <c r="AI52" s="9">
        <f>(((SQRT((Inputs!$C$52+((Inputs!$H$9+Inputs!$L$9*(((Inputs!$I$9+(((A52)+1)/2)*(Inputs!$J$9-Inputs!$I$9)))/Inputs!$K$9)^2)))^2+Inputs!$C$52^2-2*(Inputs!$C$52+((Inputs!$H$9+Inputs!$L$9*(((Inputs!$I$9+(((A52)+1)/2)*(Inputs!$J$9-Inputs!$I$9)))/Inputs!$K$9)^2)))*Inputs!$C$52*COS(SQRT(((Inputs!$I$9+(((A52)+1)/2)*(Inputs!$J$9-Inputs!$I$9)))^2+Inputs!$C$6^2)/Inputs!$C$52)))-((Inputs!$H$9+Inputs!$L$9*(((Inputs!$I$9+(((A52)+1)/2)*(Inputs!$J$9-Inputs!$I$9)))/Inputs!$K$9)^2)))*1000/Inputs!$C$12)</f>
        <v/>
      </c>
      <c r="AJ52" s="10" t="n"/>
      <c r="AK52" s="9">
        <f>A52</f>
        <v/>
      </c>
      <c r="AL52" s="9">
        <f>(-2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f>
        <v/>
      </c>
      <c r="AM52" s="9">
        <f>(-2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f>
        <v/>
      </c>
      <c r="AN52" s="9">
        <f>(-2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f>
        <v/>
      </c>
      <c r="AO52" s="9">
        <f>(-2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f>
        <v/>
      </c>
      <c r="AP52" s="10" t="n"/>
      <c r="AQ52" s="9">
        <f>A52</f>
        <v/>
      </c>
      <c r="AR52" s="9">
        <f>0</f>
        <v/>
      </c>
      <c r="AS52" s="9">
        <f>IF(OR(Inputs!$F$6=TRUE,Inputs!$F$6="TRUE",Inputs!$F$6=1),IF(OR(Inputs!$C$27=TRUE,Inputs!$C$27="TRUE",Inputs!$C$27=1),1,0)*(Inputs!$C$51*(115*EXP(-(((Inputs!$C$6)-25)^2)/(4.5^2))+70*EXP(-(((Inputs!$C$6)+38)^2)/(7^2))*(0.55+0.45*SIN(2*PI()*((Inputs!$I$6+(((A52)+1)/2)*(Inputs!$J$6-Inputs!$I$6)))/45))+24*SIN(2*PI()*(Inputs!$C$6)/9+((Inputs!$I$6+(((A52)+1)/2)*(Inputs!$J$6-Inputs!$I$6)))/18)*EXP(-(((Inputs!$C$6)+5)^2)/(22^2))+18*SIN(2*PI()*((Inputs!$I$6+(((A52)+1)/2)*(Inputs!$J$6-Inputs!$I$6)))/70))+Inputs!$C$28*EXP(-((((Inputs!$I$6+(((A52)+1)/2)*(Inputs!$J$6-Inputs!$I$6)))-Inputs!$C$29)^2)/(2*Inputs!$C$31^2))*EXP(-(((Inputs!$C$6)-Inputs!$C$30)^2)/(2*Inputs!$C$32^2))+-Inputs!$C$33*EXP(-((((((Inputs!$I$6+(((A52)+1)/2)*(Inputs!$J$6-Inputs!$I$6)))-Inputs!$C$34)^2)+(((Inputs!$C$6)-Inputs!$C$35)^2))/(2*Inputs!$C$36^2)))+Inputs!$C$37*(0.55*SIN(2*PI()*((Inputs!$I$6+(((A52)+1)/2)*(Inputs!$J$6-Inputs!$I$6)))/Inputs!$C$39)+0.35*COS(2*PI()*(Inputs!$C$6)/Inputs!$C$40)+0.2*SIN(2*PI()*(((Inputs!$I$6+(((A52)+1)/2)*(Inputs!$J$6-Inputs!$I$6)))+(Inputs!$C$6))/(0.5*(Inputs!$C$39+Inputs!$C$40))))+Inputs!$C$38*SIN(2*PI()*((Inputs!$I$6+(((A52)+1)/2)*(Inputs!$J$6-Inputs!$I$6)))/Inputs!$C$39)*SIN(2*PI()*(Inputs!$C$6)/Inputs!$C$40)+-Inputs!$C$41*EXP(-(((Inputs!$C$6)-Inputs!$C$43)^2)/(2*Inputs!$C$44^2))*EXP(-((((Inputs!$I$6+(((A52)+1)/2)*(Inputs!$J$6-Inputs!$I$6)))-Inputs!$C$42)^2)/(2*Inputs!$C$45^2))+Inputs!$C$48*(0.7*(0.45*SIN(2*PI()*((((Inputs!$I$6+(((A52)+1)/2)*(Inputs!$J$6-Inputs!$I$6)))/Inputs!$C$49)+Inputs!$C$47*0.137))+0.35*COS(2*PI()*(((Inputs!$C$6)/Inputs!$C$50)+Inputs!$C$47*0.173))+0.2*SIN(2*PI()*((((Inputs!$I$6+(((A52)+1)/2)*(Inputs!$J$6-Inputs!$I$6)))+(Inputs!$C$6))/(0.5*(Inputs!$C$49+Inputs!$C$50))+Inputs!$C$47*0.097)))+0.3*(2*((SIN((((Inputs!$I$6+(((A52)+1)/2)*(Inputs!$J$6-Inputs!$I$6)))*12.9898+(Inputs!$C$6)*78.233+Inputs!$C$47*37.719))*43758.5453)-INT((SIN((((Inputs!$I$6+(((A52)+1)/2)*(Inputs!$J$6-Inputs!$I$6)))*12.9898+(Inputs!$C$6)*78.233+Inputs!$C$47*37.719))*43758.5453)))-1))),NA())</f>
        <v/>
      </c>
      <c r="AT52" s="9">
        <f>IF(OR(Inputs!$F$7=TRUE,Inputs!$F$7="TRUE",Inputs!$F$7=1),IF(OR(Inputs!$C$27=TRUE,Inputs!$C$27="TRUE",Inputs!$C$27=1),1,0)*(Inputs!$C$51*(115*EXP(-(((Inputs!$C$6)-25)^2)/(4.5^2))+70*EXP(-(((Inputs!$C$6)+38)^2)/(7^2))*(0.55+0.45*SIN(2*PI()*((Inputs!$I$7+(((A52)+1)/2)*(Inputs!$J$7-Inputs!$I$7)))/45))+24*SIN(2*PI()*(Inputs!$C$6)/9+((Inputs!$I$7+(((A52)+1)/2)*(Inputs!$J$7-Inputs!$I$7)))/18)*EXP(-(((Inputs!$C$6)+5)^2)/(22^2))+18*SIN(2*PI()*((Inputs!$I$7+(((A52)+1)/2)*(Inputs!$J$7-Inputs!$I$7)))/70))+Inputs!$C$28*EXP(-((((Inputs!$I$7+(((A52)+1)/2)*(Inputs!$J$7-Inputs!$I$7)))-Inputs!$C$29)^2)/(2*Inputs!$C$31^2))*EXP(-(((Inputs!$C$6)-Inputs!$C$30)^2)/(2*Inputs!$C$32^2))+-Inputs!$C$33*EXP(-((((((Inputs!$I$7+(((A52)+1)/2)*(Inputs!$J$7-Inputs!$I$7)))-Inputs!$C$34)^2)+(((Inputs!$C$6)-Inputs!$C$35)^2))/(2*Inputs!$C$36^2)))+Inputs!$C$37*(0.55*SIN(2*PI()*((Inputs!$I$7+(((A52)+1)/2)*(Inputs!$J$7-Inputs!$I$7)))/Inputs!$C$39)+0.35*COS(2*PI()*(Inputs!$C$6)/Inputs!$C$40)+0.2*SIN(2*PI()*(((Inputs!$I$7+(((A52)+1)/2)*(Inputs!$J$7-Inputs!$I$7)))+(Inputs!$C$6))/(0.5*(Inputs!$C$39+Inputs!$C$40))))+Inputs!$C$38*SIN(2*PI()*((Inputs!$I$7+(((A52)+1)/2)*(Inputs!$J$7-Inputs!$I$7)))/Inputs!$C$39)*SIN(2*PI()*(Inputs!$C$6)/Inputs!$C$40)+-Inputs!$C$41*EXP(-(((Inputs!$C$6)-Inputs!$C$43)^2)/(2*Inputs!$C$44^2))*EXP(-((((Inputs!$I$7+(((A52)+1)/2)*(Inputs!$J$7-Inputs!$I$7)))-Inputs!$C$42)^2)/(2*Inputs!$C$45^2))+Inputs!$C$48*(0.7*(0.45*SIN(2*PI()*((((Inputs!$I$7+(((A52)+1)/2)*(Inputs!$J$7-Inputs!$I$7)))/Inputs!$C$49)+Inputs!$C$47*0.137))+0.35*COS(2*PI()*(((Inputs!$C$6)/Inputs!$C$50)+Inputs!$C$47*0.173))+0.2*SIN(2*PI()*((((Inputs!$I$7+(((A52)+1)/2)*(Inputs!$J$7-Inputs!$I$7)))+(Inputs!$C$6))/(0.5*(Inputs!$C$49+Inputs!$C$50))+Inputs!$C$47*0.097)))+0.3*(2*((SIN((((Inputs!$I$7+(((A52)+1)/2)*(Inputs!$J$7-Inputs!$I$7)))*12.9898+(Inputs!$C$6)*78.233+Inputs!$C$47*37.719))*43758.5453)-INT((SIN((((Inputs!$I$7+(((A52)+1)/2)*(Inputs!$J$7-Inputs!$I$7)))*12.9898+(Inputs!$C$6)*78.233+Inputs!$C$47*37.719))*43758.5453)))-1))),NA())</f>
        <v/>
      </c>
      <c r="AU52" s="9">
        <f>IF(OR(Inputs!$F$8=TRUE,Inputs!$F$8="TRUE",Inputs!$F$8=1),IF(OR(Inputs!$C$27=TRUE,Inputs!$C$27="TRUE",Inputs!$C$27=1),1,0)*(Inputs!$C$51*(115*EXP(-(((Inputs!$C$6)-25)^2)/(4.5^2))+70*EXP(-(((Inputs!$C$6)+38)^2)/(7^2))*(0.55+0.45*SIN(2*PI()*((Inputs!$I$8+(((A52)+1)/2)*(Inputs!$J$8-Inputs!$I$8)))/45))+24*SIN(2*PI()*(Inputs!$C$6)/9+((Inputs!$I$8+(((A52)+1)/2)*(Inputs!$J$8-Inputs!$I$8)))/18)*EXP(-(((Inputs!$C$6)+5)^2)/(22^2))+18*SIN(2*PI()*((Inputs!$I$8+(((A52)+1)/2)*(Inputs!$J$8-Inputs!$I$8)))/70))+Inputs!$C$28*EXP(-((((Inputs!$I$8+(((A52)+1)/2)*(Inputs!$J$8-Inputs!$I$8)))-Inputs!$C$29)^2)/(2*Inputs!$C$31^2))*EXP(-(((Inputs!$C$6)-Inputs!$C$30)^2)/(2*Inputs!$C$32^2))+-Inputs!$C$33*EXP(-((((((Inputs!$I$8+(((A52)+1)/2)*(Inputs!$J$8-Inputs!$I$8)))-Inputs!$C$34)^2)+(((Inputs!$C$6)-Inputs!$C$35)^2))/(2*Inputs!$C$36^2)))+Inputs!$C$37*(0.55*SIN(2*PI()*((Inputs!$I$8+(((A52)+1)/2)*(Inputs!$J$8-Inputs!$I$8)))/Inputs!$C$39)+0.35*COS(2*PI()*(Inputs!$C$6)/Inputs!$C$40)+0.2*SIN(2*PI()*(((Inputs!$I$8+(((A52)+1)/2)*(Inputs!$J$8-Inputs!$I$8)))+(Inputs!$C$6))/(0.5*(Inputs!$C$39+Inputs!$C$40))))+Inputs!$C$38*SIN(2*PI()*((Inputs!$I$8+(((A52)+1)/2)*(Inputs!$J$8-Inputs!$I$8)))/Inputs!$C$39)*SIN(2*PI()*(Inputs!$C$6)/Inputs!$C$40)+-Inputs!$C$41*EXP(-(((Inputs!$C$6)-Inputs!$C$43)^2)/(2*Inputs!$C$44^2))*EXP(-((((Inputs!$I$8+(((A52)+1)/2)*(Inputs!$J$8-Inputs!$I$8)))-Inputs!$C$42)^2)/(2*Inputs!$C$45^2))+Inputs!$C$48*(0.7*(0.45*SIN(2*PI()*((((Inputs!$I$8+(((A52)+1)/2)*(Inputs!$J$8-Inputs!$I$8)))/Inputs!$C$49)+Inputs!$C$47*0.137))+0.35*COS(2*PI()*(((Inputs!$C$6)/Inputs!$C$50)+Inputs!$C$47*0.173))+0.2*SIN(2*PI()*((((Inputs!$I$8+(((A52)+1)/2)*(Inputs!$J$8-Inputs!$I$8)))+(Inputs!$C$6))/(0.5*(Inputs!$C$49+Inputs!$C$50))+Inputs!$C$47*0.097)))+0.3*(2*((SIN((((Inputs!$I$8+(((A52)+1)/2)*(Inputs!$J$8-Inputs!$I$8)))*12.9898+(Inputs!$C$6)*78.233+Inputs!$C$47*37.719))*43758.5453)-INT((SIN((((Inputs!$I$8+(((A52)+1)/2)*(Inputs!$J$8-Inputs!$I$8)))*12.9898+(Inputs!$C$6)*78.233+Inputs!$C$47*37.719))*43758.5453)))-1))),NA())</f>
        <v/>
      </c>
      <c r="AV52" s="9">
        <f>IF(OR(Inputs!$F$9=TRUE,Inputs!$F$9="TRUE",Inputs!$F$9=1),IF(OR(Inputs!$C$27=TRUE,Inputs!$C$27="TRUE",Inputs!$C$27=1),1,0)*(Inputs!$C$51*(115*EXP(-(((Inputs!$C$6)-25)^2)/(4.5^2))+70*EXP(-(((Inputs!$C$6)+38)^2)/(7^2))*(0.55+0.45*SIN(2*PI()*((Inputs!$I$9+(((A52)+1)/2)*(Inputs!$J$9-Inputs!$I$9)))/45))+24*SIN(2*PI()*(Inputs!$C$6)/9+((Inputs!$I$9+(((A52)+1)/2)*(Inputs!$J$9-Inputs!$I$9)))/18)*EXP(-(((Inputs!$C$6)+5)^2)/(22^2))+18*SIN(2*PI()*((Inputs!$I$9+(((A52)+1)/2)*(Inputs!$J$9-Inputs!$I$9)))/70))+Inputs!$C$28*EXP(-((((Inputs!$I$9+(((A52)+1)/2)*(Inputs!$J$9-Inputs!$I$9)))-Inputs!$C$29)^2)/(2*Inputs!$C$31^2))*EXP(-(((Inputs!$C$6)-Inputs!$C$30)^2)/(2*Inputs!$C$32^2))+-Inputs!$C$33*EXP(-((((((Inputs!$I$9+(((A52)+1)/2)*(Inputs!$J$9-Inputs!$I$9)))-Inputs!$C$34)^2)+(((Inputs!$C$6)-Inputs!$C$35)^2))/(2*Inputs!$C$36^2)))+Inputs!$C$37*(0.55*SIN(2*PI()*((Inputs!$I$9+(((A52)+1)/2)*(Inputs!$J$9-Inputs!$I$9)))/Inputs!$C$39)+0.35*COS(2*PI()*(Inputs!$C$6)/Inputs!$C$40)+0.2*SIN(2*PI()*(((Inputs!$I$9+(((A52)+1)/2)*(Inputs!$J$9-Inputs!$I$9)))+(Inputs!$C$6))/(0.5*(Inputs!$C$39+Inputs!$C$40))))+Inputs!$C$38*SIN(2*PI()*((Inputs!$I$9+(((A52)+1)/2)*(Inputs!$J$9-Inputs!$I$9)))/Inputs!$C$39)*SIN(2*PI()*(Inputs!$C$6)/Inputs!$C$40)+-Inputs!$C$41*EXP(-(((Inputs!$C$6)-Inputs!$C$43)^2)/(2*Inputs!$C$44^2))*EXP(-((((Inputs!$I$9+(((A52)+1)/2)*(Inputs!$J$9-Inputs!$I$9)))-Inputs!$C$42)^2)/(2*Inputs!$C$45^2))+Inputs!$C$48*(0.7*(0.45*SIN(2*PI()*((((Inputs!$I$9+(((A52)+1)/2)*(Inputs!$J$9-Inputs!$I$9)))/Inputs!$C$49)+Inputs!$C$47*0.137))+0.35*COS(2*PI()*(((Inputs!$C$6)/Inputs!$C$50)+Inputs!$C$47*0.173))+0.2*SIN(2*PI()*((((Inputs!$I$9+(((A52)+1)/2)*(Inputs!$J$9-Inputs!$I$9)))+(Inputs!$C$6))/(0.5*(Inputs!$C$49+Inputs!$C$50))+Inputs!$C$47*0.097)))+0.3*(2*((SIN((((Inputs!$I$9+(((A52)+1)/2)*(Inputs!$J$9-Inputs!$I$9)))*12.9898+(Inputs!$C$6)*78.233+Inputs!$C$47*37.719))*43758.5453)-INT((SIN((((Inputs!$I$9+(((A52)+1)/2)*(Inputs!$J$9-Inputs!$I$9)))*12.9898+(Inputs!$C$6)*78.233+Inputs!$C$47*37.719))*43758.5453)))-1))),NA())</f>
        <v/>
      </c>
      <c r="AW52" s="10" t="n"/>
      <c r="AX52" s="9">
        <f>A52</f>
        <v/>
      </c>
      <c r="AY52" s="9">
        <f>0</f>
        <v/>
      </c>
      <c r="AZ52" s="9">
        <f>IF(OR(Inputs!$F$6=TRUE,Inputs!$F$6="TRUE",Inputs!$F$6=1),(Inputs!$H$6+Inputs!$L$6*(((Inputs!$I$6+(((A52)+1)/2)*(Inputs!$J$6-Inputs!$I$6)))/Inputs!$K$6)^2),NA())</f>
        <v/>
      </c>
      <c r="BA52" s="9">
        <f>IF(OR(Inputs!$F$7=TRUE,Inputs!$F$7="TRUE",Inputs!$F$7=1),(Inputs!$H$7+Inputs!$L$7*(((Inputs!$I$7+(((A52)+1)/2)*(Inputs!$J$7-Inputs!$I$7)))/Inputs!$K$7)^2),NA())</f>
        <v/>
      </c>
      <c r="BB52" s="9">
        <f>IF(OR(Inputs!$F$8=TRUE,Inputs!$F$8="TRUE",Inputs!$F$8=1),(Inputs!$H$8+Inputs!$L$8*(((Inputs!$I$8+(((A52)+1)/2)*(Inputs!$J$8-Inputs!$I$8)))/Inputs!$K$8)^2),NA())</f>
        <v/>
      </c>
      <c r="BC52" s="9">
        <f>IF(OR(Inputs!$F$9=TRUE,Inputs!$F$9="TRUE",Inputs!$F$9=1),(Inputs!$H$9+Inputs!$L$9*(((Inputs!$I$9+(((A52)+1)/2)*(Inputs!$J$9-Inputs!$I$9)))/Inputs!$K$9)^2),NA())</f>
        <v/>
      </c>
      <c r="BD52" s="10" t="n"/>
      <c r="BE52" s="9">
        <f>A52</f>
        <v/>
      </c>
      <c r="BF52" s="9">
        <f>0</f>
        <v/>
      </c>
      <c r="BG52" s="9">
        <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f>
        <v/>
      </c>
      <c r="BH52" s="9">
        <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f>
        <v/>
      </c>
      <c r="BI52" s="9">
        <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f>
        <v/>
      </c>
      <c r="BJ52" s="9">
        <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f>
        <v/>
      </c>
    </row>
    <row r="53">
      <c r="A53" s="9">
        <f>ROUND(-1+51*2/240,3)</f>
        <v/>
      </c>
      <c r="B53" s="9">
        <f>IF(OR(Inputs!$F$6=TRUE,Inputs!$F$6="TRUE",Inputs!$F$6=1),(Inputs!$H$6+Inputs!$L$6*(((Inputs!$I$6+(((A53)+1)/2)*(Inputs!$J$6-Inputs!$I$6)))/Inputs!$K$6)^2),NA())</f>
        <v/>
      </c>
      <c r="C53" s="9">
        <f>IF(OR(Inputs!$F$7=TRUE,Inputs!$F$7="TRUE",Inputs!$F$7=1),(Inputs!$H$7+Inputs!$L$7*(((Inputs!$I$7+(((A53)+1)/2)*(Inputs!$J$7-Inputs!$I$7)))/Inputs!$K$7)^2),NA())</f>
        <v/>
      </c>
      <c r="D53" s="9">
        <f>IF(OR(Inputs!$F$8=TRUE,Inputs!$F$8="TRUE",Inputs!$F$8=1),(Inputs!$H$8+Inputs!$L$8*(((Inputs!$I$8+(((A53)+1)/2)*(Inputs!$J$8-Inputs!$I$8)))/Inputs!$K$8)^2),NA())</f>
        <v/>
      </c>
      <c r="E53" s="9">
        <f>IF(OR(Inputs!$F$9=TRUE,Inputs!$F$9="TRUE",Inputs!$F$9=1),(Inputs!$H$9+Inputs!$L$9*(((Inputs!$I$9+(((A53)+1)/2)*(Inputs!$J$9-Inputs!$I$9)))/Inputs!$K$9)^2),NA())</f>
        <v/>
      </c>
      <c r="F53" s="10" t="n"/>
      <c r="G53" s="9">
        <f>A53</f>
        <v/>
      </c>
      <c r="H53" s="9">
        <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f>
        <v/>
      </c>
      <c r="I53" s="9">
        <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f>
        <v/>
      </c>
      <c r="J53" s="9">
        <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f>
        <v/>
      </c>
      <c r="K53" s="9">
        <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f>
        <v/>
      </c>
      <c r="L53" s="10" t="n"/>
      <c r="M53" s="9">
        <f>A53</f>
        <v/>
      </c>
      <c r="N53" s="9">
        <f>IF(OR(Inputs!$F$6=TRUE,Inputs!$F$6="TRUE",Inputs!$F$6=1),(-2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NA())</f>
        <v/>
      </c>
      <c r="O53" s="9">
        <f>IF(OR(Inputs!$F$7=TRUE,Inputs!$F$7="TRUE",Inputs!$F$7=1),(-2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NA())</f>
        <v/>
      </c>
      <c r="P53" s="9">
        <f>IF(OR(Inputs!$F$8=TRUE,Inputs!$F$8="TRUE",Inputs!$F$8=1),(-2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NA())</f>
        <v/>
      </c>
      <c r="Q53" s="9">
        <f>IF(OR(Inputs!$F$9=TRUE,Inputs!$F$9="TRUE",Inputs!$F$9=1),(-2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NA())</f>
        <v/>
      </c>
      <c r="R53" s="10" t="n"/>
      <c r="S53" s="9">
        <f>A53</f>
        <v/>
      </c>
      <c r="T53" s="9">
        <f>(Inputs!$I$6+(((A53)+1)/2)*(Inputs!$J$6-Inputs!$I$6))</f>
        <v/>
      </c>
      <c r="U53" s="9">
        <f>(Inputs!$I$7+(((A53)+1)/2)*(Inputs!$J$7-Inputs!$I$7))</f>
        <v/>
      </c>
      <c r="V53" s="9">
        <f>(Inputs!$I$8+(((A53)+1)/2)*(Inputs!$J$8-Inputs!$I$8))</f>
        <v/>
      </c>
      <c r="W53" s="9">
        <f>(Inputs!$I$9+(((A53)+1)/2)*(Inputs!$J$9-Inputs!$I$9))</f>
        <v/>
      </c>
      <c r="X53" s="10" t="n"/>
      <c r="Y53" s="9">
        <f>A53</f>
        <v/>
      </c>
      <c r="Z53" s="9">
        <f>(Inputs!$H$6+Inputs!$L$6*(((Inputs!$I$6+(((A53)+1)/2)*(Inputs!$J$6-Inputs!$I$6)))/Inputs!$K$6)^2)</f>
        <v/>
      </c>
      <c r="AA53" s="9">
        <f>(Inputs!$H$7+Inputs!$L$7*(((Inputs!$I$7+(((A53)+1)/2)*(Inputs!$J$7-Inputs!$I$7)))/Inputs!$K$7)^2)</f>
        <v/>
      </c>
      <c r="AB53" s="9">
        <f>(Inputs!$H$8+Inputs!$L$8*(((Inputs!$I$8+(((A53)+1)/2)*(Inputs!$J$8-Inputs!$I$8)))/Inputs!$K$8)^2)</f>
        <v/>
      </c>
      <c r="AC53" s="9">
        <f>(Inputs!$H$9+Inputs!$L$9*(((Inputs!$I$9+(((A53)+1)/2)*(Inputs!$J$9-Inputs!$I$9)))/Inputs!$K$9)^2)</f>
        <v/>
      </c>
      <c r="AD53" s="10" t="n"/>
      <c r="AE53" s="9">
        <f>A53</f>
        <v/>
      </c>
      <c r="AF53" s="9">
        <f>(((SQRT((Inputs!$C$52+((Inputs!$H$6+Inputs!$L$6*(((Inputs!$I$6+(((A53)+1)/2)*(Inputs!$J$6-Inputs!$I$6)))/Inputs!$K$6)^2)))^2+Inputs!$C$52^2-2*(Inputs!$C$52+((Inputs!$H$6+Inputs!$L$6*(((Inputs!$I$6+(((A53)+1)/2)*(Inputs!$J$6-Inputs!$I$6)))/Inputs!$K$6)^2)))*Inputs!$C$52*COS(SQRT(((Inputs!$I$6+(((A53)+1)/2)*(Inputs!$J$6-Inputs!$I$6)))^2+Inputs!$C$6^2)/Inputs!$C$52)))-((Inputs!$H$6+Inputs!$L$6*(((Inputs!$I$6+(((A53)+1)/2)*(Inputs!$J$6-Inputs!$I$6)))/Inputs!$K$6)^2)))*1000/Inputs!$C$12)</f>
        <v/>
      </c>
      <c r="AG53" s="9">
        <f>(((SQRT((Inputs!$C$52+((Inputs!$H$7+Inputs!$L$7*(((Inputs!$I$7+(((A53)+1)/2)*(Inputs!$J$7-Inputs!$I$7)))/Inputs!$K$7)^2)))^2+Inputs!$C$52^2-2*(Inputs!$C$52+((Inputs!$H$7+Inputs!$L$7*(((Inputs!$I$7+(((A53)+1)/2)*(Inputs!$J$7-Inputs!$I$7)))/Inputs!$K$7)^2)))*Inputs!$C$52*COS(SQRT(((Inputs!$I$7+(((A53)+1)/2)*(Inputs!$J$7-Inputs!$I$7)))^2+Inputs!$C$6^2)/Inputs!$C$52)))-((Inputs!$H$7+Inputs!$L$7*(((Inputs!$I$7+(((A53)+1)/2)*(Inputs!$J$7-Inputs!$I$7)))/Inputs!$K$7)^2)))*1000/Inputs!$C$12)</f>
        <v/>
      </c>
      <c r="AH53" s="9">
        <f>(((SQRT((Inputs!$C$52+((Inputs!$H$8+Inputs!$L$8*(((Inputs!$I$8+(((A53)+1)/2)*(Inputs!$J$8-Inputs!$I$8)))/Inputs!$K$8)^2)))^2+Inputs!$C$52^2-2*(Inputs!$C$52+((Inputs!$H$8+Inputs!$L$8*(((Inputs!$I$8+(((A53)+1)/2)*(Inputs!$J$8-Inputs!$I$8)))/Inputs!$K$8)^2)))*Inputs!$C$52*COS(SQRT(((Inputs!$I$8+(((A53)+1)/2)*(Inputs!$J$8-Inputs!$I$8)))^2+Inputs!$C$6^2)/Inputs!$C$52)))-((Inputs!$H$8+Inputs!$L$8*(((Inputs!$I$8+(((A53)+1)/2)*(Inputs!$J$8-Inputs!$I$8)))/Inputs!$K$8)^2)))*1000/Inputs!$C$12)</f>
        <v/>
      </c>
      <c r="AI53" s="9">
        <f>(((SQRT((Inputs!$C$52+((Inputs!$H$9+Inputs!$L$9*(((Inputs!$I$9+(((A53)+1)/2)*(Inputs!$J$9-Inputs!$I$9)))/Inputs!$K$9)^2)))^2+Inputs!$C$52^2-2*(Inputs!$C$52+((Inputs!$H$9+Inputs!$L$9*(((Inputs!$I$9+(((A53)+1)/2)*(Inputs!$J$9-Inputs!$I$9)))/Inputs!$K$9)^2)))*Inputs!$C$52*COS(SQRT(((Inputs!$I$9+(((A53)+1)/2)*(Inputs!$J$9-Inputs!$I$9)))^2+Inputs!$C$6^2)/Inputs!$C$52)))-((Inputs!$H$9+Inputs!$L$9*(((Inputs!$I$9+(((A53)+1)/2)*(Inputs!$J$9-Inputs!$I$9)))/Inputs!$K$9)^2)))*1000/Inputs!$C$12)</f>
        <v/>
      </c>
      <c r="AJ53" s="10" t="n"/>
      <c r="AK53" s="9">
        <f>A53</f>
        <v/>
      </c>
      <c r="AL53" s="9">
        <f>(-2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f>
        <v/>
      </c>
      <c r="AM53" s="9">
        <f>(-2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f>
        <v/>
      </c>
      <c r="AN53" s="9">
        <f>(-2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f>
        <v/>
      </c>
      <c r="AO53" s="9">
        <f>(-2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f>
        <v/>
      </c>
      <c r="AP53" s="10" t="n"/>
      <c r="AQ53" s="9">
        <f>A53</f>
        <v/>
      </c>
      <c r="AR53" s="9">
        <f>0</f>
        <v/>
      </c>
      <c r="AS53" s="9">
        <f>IF(OR(Inputs!$F$6=TRUE,Inputs!$F$6="TRUE",Inputs!$F$6=1),IF(OR(Inputs!$C$27=TRUE,Inputs!$C$27="TRUE",Inputs!$C$27=1),1,0)*(Inputs!$C$51*(115*EXP(-(((Inputs!$C$6)-25)^2)/(4.5^2))+70*EXP(-(((Inputs!$C$6)+38)^2)/(7^2))*(0.55+0.45*SIN(2*PI()*((Inputs!$I$6+(((A53)+1)/2)*(Inputs!$J$6-Inputs!$I$6)))/45))+24*SIN(2*PI()*(Inputs!$C$6)/9+((Inputs!$I$6+(((A53)+1)/2)*(Inputs!$J$6-Inputs!$I$6)))/18)*EXP(-(((Inputs!$C$6)+5)^2)/(22^2))+18*SIN(2*PI()*((Inputs!$I$6+(((A53)+1)/2)*(Inputs!$J$6-Inputs!$I$6)))/70))+Inputs!$C$28*EXP(-((((Inputs!$I$6+(((A53)+1)/2)*(Inputs!$J$6-Inputs!$I$6)))-Inputs!$C$29)^2)/(2*Inputs!$C$31^2))*EXP(-(((Inputs!$C$6)-Inputs!$C$30)^2)/(2*Inputs!$C$32^2))+-Inputs!$C$33*EXP(-((((((Inputs!$I$6+(((A53)+1)/2)*(Inputs!$J$6-Inputs!$I$6)))-Inputs!$C$34)^2)+(((Inputs!$C$6)-Inputs!$C$35)^2))/(2*Inputs!$C$36^2)))+Inputs!$C$37*(0.55*SIN(2*PI()*((Inputs!$I$6+(((A53)+1)/2)*(Inputs!$J$6-Inputs!$I$6)))/Inputs!$C$39)+0.35*COS(2*PI()*(Inputs!$C$6)/Inputs!$C$40)+0.2*SIN(2*PI()*(((Inputs!$I$6+(((A53)+1)/2)*(Inputs!$J$6-Inputs!$I$6)))+(Inputs!$C$6))/(0.5*(Inputs!$C$39+Inputs!$C$40))))+Inputs!$C$38*SIN(2*PI()*((Inputs!$I$6+(((A53)+1)/2)*(Inputs!$J$6-Inputs!$I$6)))/Inputs!$C$39)*SIN(2*PI()*(Inputs!$C$6)/Inputs!$C$40)+-Inputs!$C$41*EXP(-(((Inputs!$C$6)-Inputs!$C$43)^2)/(2*Inputs!$C$44^2))*EXP(-((((Inputs!$I$6+(((A53)+1)/2)*(Inputs!$J$6-Inputs!$I$6)))-Inputs!$C$42)^2)/(2*Inputs!$C$45^2))+Inputs!$C$48*(0.7*(0.45*SIN(2*PI()*((((Inputs!$I$6+(((A53)+1)/2)*(Inputs!$J$6-Inputs!$I$6)))/Inputs!$C$49)+Inputs!$C$47*0.137))+0.35*COS(2*PI()*(((Inputs!$C$6)/Inputs!$C$50)+Inputs!$C$47*0.173))+0.2*SIN(2*PI()*((((Inputs!$I$6+(((A53)+1)/2)*(Inputs!$J$6-Inputs!$I$6)))+(Inputs!$C$6))/(0.5*(Inputs!$C$49+Inputs!$C$50))+Inputs!$C$47*0.097)))+0.3*(2*((SIN((((Inputs!$I$6+(((A53)+1)/2)*(Inputs!$J$6-Inputs!$I$6)))*12.9898+(Inputs!$C$6)*78.233+Inputs!$C$47*37.719))*43758.5453)-INT((SIN((((Inputs!$I$6+(((A53)+1)/2)*(Inputs!$J$6-Inputs!$I$6)))*12.9898+(Inputs!$C$6)*78.233+Inputs!$C$47*37.719))*43758.5453)))-1))),NA())</f>
        <v/>
      </c>
      <c r="AT53" s="9">
        <f>IF(OR(Inputs!$F$7=TRUE,Inputs!$F$7="TRUE",Inputs!$F$7=1),IF(OR(Inputs!$C$27=TRUE,Inputs!$C$27="TRUE",Inputs!$C$27=1),1,0)*(Inputs!$C$51*(115*EXP(-(((Inputs!$C$6)-25)^2)/(4.5^2))+70*EXP(-(((Inputs!$C$6)+38)^2)/(7^2))*(0.55+0.45*SIN(2*PI()*((Inputs!$I$7+(((A53)+1)/2)*(Inputs!$J$7-Inputs!$I$7)))/45))+24*SIN(2*PI()*(Inputs!$C$6)/9+((Inputs!$I$7+(((A53)+1)/2)*(Inputs!$J$7-Inputs!$I$7)))/18)*EXP(-(((Inputs!$C$6)+5)^2)/(22^2))+18*SIN(2*PI()*((Inputs!$I$7+(((A53)+1)/2)*(Inputs!$J$7-Inputs!$I$7)))/70))+Inputs!$C$28*EXP(-((((Inputs!$I$7+(((A53)+1)/2)*(Inputs!$J$7-Inputs!$I$7)))-Inputs!$C$29)^2)/(2*Inputs!$C$31^2))*EXP(-(((Inputs!$C$6)-Inputs!$C$30)^2)/(2*Inputs!$C$32^2))+-Inputs!$C$33*EXP(-((((((Inputs!$I$7+(((A53)+1)/2)*(Inputs!$J$7-Inputs!$I$7)))-Inputs!$C$34)^2)+(((Inputs!$C$6)-Inputs!$C$35)^2))/(2*Inputs!$C$36^2)))+Inputs!$C$37*(0.55*SIN(2*PI()*((Inputs!$I$7+(((A53)+1)/2)*(Inputs!$J$7-Inputs!$I$7)))/Inputs!$C$39)+0.35*COS(2*PI()*(Inputs!$C$6)/Inputs!$C$40)+0.2*SIN(2*PI()*(((Inputs!$I$7+(((A53)+1)/2)*(Inputs!$J$7-Inputs!$I$7)))+(Inputs!$C$6))/(0.5*(Inputs!$C$39+Inputs!$C$40))))+Inputs!$C$38*SIN(2*PI()*((Inputs!$I$7+(((A53)+1)/2)*(Inputs!$J$7-Inputs!$I$7)))/Inputs!$C$39)*SIN(2*PI()*(Inputs!$C$6)/Inputs!$C$40)+-Inputs!$C$41*EXP(-(((Inputs!$C$6)-Inputs!$C$43)^2)/(2*Inputs!$C$44^2))*EXP(-((((Inputs!$I$7+(((A53)+1)/2)*(Inputs!$J$7-Inputs!$I$7)))-Inputs!$C$42)^2)/(2*Inputs!$C$45^2))+Inputs!$C$48*(0.7*(0.45*SIN(2*PI()*((((Inputs!$I$7+(((A53)+1)/2)*(Inputs!$J$7-Inputs!$I$7)))/Inputs!$C$49)+Inputs!$C$47*0.137))+0.35*COS(2*PI()*(((Inputs!$C$6)/Inputs!$C$50)+Inputs!$C$47*0.173))+0.2*SIN(2*PI()*((((Inputs!$I$7+(((A53)+1)/2)*(Inputs!$J$7-Inputs!$I$7)))+(Inputs!$C$6))/(0.5*(Inputs!$C$49+Inputs!$C$50))+Inputs!$C$47*0.097)))+0.3*(2*((SIN((((Inputs!$I$7+(((A53)+1)/2)*(Inputs!$J$7-Inputs!$I$7)))*12.9898+(Inputs!$C$6)*78.233+Inputs!$C$47*37.719))*43758.5453)-INT((SIN((((Inputs!$I$7+(((A53)+1)/2)*(Inputs!$J$7-Inputs!$I$7)))*12.9898+(Inputs!$C$6)*78.233+Inputs!$C$47*37.719))*43758.5453)))-1))),NA())</f>
        <v/>
      </c>
      <c r="AU53" s="9">
        <f>IF(OR(Inputs!$F$8=TRUE,Inputs!$F$8="TRUE",Inputs!$F$8=1),IF(OR(Inputs!$C$27=TRUE,Inputs!$C$27="TRUE",Inputs!$C$27=1),1,0)*(Inputs!$C$51*(115*EXP(-(((Inputs!$C$6)-25)^2)/(4.5^2))+70*EXP(-(((Inputs!$C$6)+38)^2)/(7^2))*(0.55+0.45*SIN(2*PI()*((Inputs!$I$8+(((A53)+1)/2)*(Inputs!$J$8-Inputs!$I$8)))/45))+24*SIN(2*PI()*(Inputs!$C$6)/9+((Inputs!$I$8+(((A53)+1)/2)*(Inputs!$J$8-Inputs!$I$8)))/18)*EXP(-(((Inputs!$C$6)+5)^2)/(22^2))+18*SIN(2*PI()*((Inputs!$I$8+(((A53)+1)/2)*(Inputs!$J$8-Inputs!$I$8)))/70))+Inputs!$C$28*EXP(-((((Inputs!$I$8+(((A53)+1)/2)*(Inputs!$J$8-Inputs!$I$8)))-Inputs!$C$29)^2)/(2*Inputs!$C$31^2))*EXP(-(((Inputs!$C$6)-Inputs!$C$30)^2)/(2*Inputs!$C$32^2))+-Inputs!$C$33*EXP(-((((((Inputs!$I$8+(((A53)+1)/2)*(Inputs!$J$8-Inputs!$I$8)))-Inputs!$C$34)^2)+(((Inputs!$C$6)-Inputs!$C$35)^2))/(2*Inputs!$C$36^2)))+Inputs!$C$37*(0.55*SIN(2*PI()*((Inputs!$I$8+(((A53)+1)/2)*(Inputs!$J$8-Inputs!$I$8)))/Inputs!$C$39)+0.35*COS(2*PI()*(Inputs!$C$6)/Inputs!$C$40)+0.2*SIN(2*PI()*(((Inputs!$I$8+(((A53)+1)/2)*(Inputs!$J$8-Inputs!$I$8)))+(Inputs!$C$6))/(0.5*(Inputs!$C$39+Inputs!$C$40))))+Inputs!$C$38*SIN(2*PI()*((Inputs!$I$8+(((A53)+1)/2)*(Inputs!$J$8-Inputs!$I$8)))/Inputs!$C$39)*SIN(2*PI()*(Inputs!$C$6)/Inputs!$C$40)+-Inputs!$C$41*EXP(-(((Inputs!$C$6)-Inputs!$C$43)^2)/(2*Inputs!$C$44^2))*EXP(-((((Inputs!$I$8+(((A53)+1)/2)*(Inputs!$J$8-Inputs!$I$8)))-Inputs!$C$42)^2)/(2*Inputs!$C$45^2))+Inputs!$C$48*(0.7*(0.45*SIN(2*PI()*((((Inputs!$I$8+(((A53)+1)/2)*(Inputs!$J$8-Inputs!$I$8)))/Inputs!$C$49)+Inputs!$C$47*0.137))+0.35*COS(2*PI()*(((Inputs!$C$6)/Inputs!$C$50)+Inputs!$C$47*0.173))+0.2*SIN(2*PI()*((((Inputs!$I$8+(((A53)+1)/2)*(Inputs!$J$8-Inputs!$I$8)))+(Inputs!$C$6))/(0.5*(Inputs!$C$49+Inputs!$C$50))+Inputs!$C$47*0.097)))+0.3*(2*((SIN((((Inputs!$I$8+(((A53)+1)/2)*(Inputs!$J$8-Inputs!$I$8)))*12.9898+(Inputs!$C$6)*78.233+Inputs!$C$47*37.719))*43758.5453)-INT((SIN((((Inputs!$I$8+(((A53)+1)/2)*(Inputs!$J$8-Inputs!$I$8)))*12.9898+(Inputs!$C$6)*78.233+Inputs!$C$47*37.719))*43758.5453)))-1))),NA())</f>
        <v/>
      </c>
      <c r="AV53" s="9">
        <f>IF(OR(Inputs!$F$9=TRUE,Inputs!$F$9="TRUE",Inputs!$F$9=1),IF(OR(Inputs!$C$27=TRUE,Inputs!$C$27="TRUE",Inputs!$C$27=1),1,0)*(Inputs!$C$51*(115*EXP(-(((Inputs!$C$6)-25)^2)/(4.5^2))+70*EXP(-(((Inputs!$C$6)+38)^2)/(7^2))*(0.55+0.45*SIN(2*PI()*((Inputs!$I$9+(((A53)+1)/2)*(Inputs!$J$9-Inputs!$I$9)))/45))+24*SIN(2*PI()*(Inputs!$C$6)/9+((Inputs!$I$9+(((A53)+1)/2)*(Inputs!$J$9-Inputs!$I$9)))/18)*EXP(-(((Inputs!$C$6)+5)^2)/(22^2))+18*SIN(2*PI()*((Inputs!$I$9+(((A53)+1)/2)*(Inputs!$J$9-Inputs!$I$9)))/70))+Inputs!$C$28*EXP(-((((Inputs!$I$9+(((A53)+1)/2)*(Inputs!$J$9-Inputs!$I$9)))-Inputs!$C$29)^2)/(2*Inputs!$C$31^2))*EXP(-(((Inputs!$C$6)-Inputs!$C$30)^2)/(2*Inputs!$C$32^2))+-Inputs!$C$33*EXP(-((((((Inputs!$I$9+(((A53)+1)/2)*(Inputs!$J$9-Inputs!$I$9)))-Inputs!$C$34)^2)+(((Inputs!$C$6)-Inputs!$C$35)^2))/(2*Inputs!$C$36^2)))+Inputs!$C$37*(0.55*SIN(2*PI()*((Inputs!$I$9+(((A53)+1)/2)*(Inputs!$J$9-Inputs!$I$9)))/Inputs!$C$39)+0.35*COS(2*PI()*(Inputs!$C$6)/Inputs!$C$40)+0.2*SIN(2*PI()*(((Inputs!$I$9+(((A53)+1)/2)*(Inputs!$J$9-Inputs!$I$9)))+(Inputs!$C$6))/(0.5*(Inputs!$C$39+Inputs!$C$40))))+Inputs!$C$38*SIN(2*PI()*((Inputs!$I$9+(((A53)+1)/2)*(Inputs!$J$9-Inputs!$I$9)))/Inputs!$C$39)*SIN(2*PI()*(Inputs!$C$6)/Inputs!$C$40)+-Inputs!$C$41*EXP(-(((Inputs!$C$6)-Inputs!$C$43)^2)/(2*Inputs!$C$44^2))*EXP(-((((Inputs!$I$9+(((A53)+1)/2)*(Inputs!$J$9-Inputs!$I$9)))-Inputs!$C$42)^2)/(2*Inputs!$C$45^2))+Inputs!$C$48*(0.7*(0.45*SIN(2*PI()*((((Inputs!$I$9+(((A53)+1)/2)*(Inputs!$J$9-Inputs!$I$9)))/Inputs!$C$49)+Inputs!$C$47*0.137))+0.35*COS(2*PI()*(((Inputs!$C$6)/Inputs!$C$50)+Inputs!$C$47*0.173))+0.2*SIN(2*PI()*((((Inputs!$I$9+(((A53)+1)/2)*(Inputs!$J$9-Inputs!$I$9)))+(Inputs!$C$6))/(0.5*(Inputs!$C$49+Inputs!$C$50))+Inputs!$C$47*0.097)))+0.3*(2*((SIN((((Inputs!$I$9+(((A53)+1)/2)*(Inputs!$J$9-Inputs!$I$9)))*12.9898+(Inputs!$C$6)*78.233+Inputs!$C$47*37.719))*43758.5453)-INT((SIN((((Inputs!$I$9+(((A53)+1)/2)*(Inputs!$J$9-Inputs!$I$9)))*12.9898+(Inputs!$C$6)*78.233+Inputs!$C$47*37.719))*43758.5453)))-1))),NA())</f>
        <v/>
      </c>
      <c r="AW53" s="10" t="n"/>
      <c r="AX53" s="9">
        <f>A53</f>
        <v/>
      </c>
      <c r="AY53" s="9">
        <f>0</f>
        <v/>
      </c>
      <c r="AZ53" s="9">
        <f>IF(OR(Inputs!$F$6=TRUE,Inputs!$F$6="TRUE",Inputs!$F$6=1),(Inputs!$H$6+Inputs!$L$6*(((Inputs!$I$6+(((A53)+1)/2)*(Inputs!$J$6-Inputs!$I$6)))/Inputs!$K$6)^2),NA())</f>
        <v/>
      </c>
      <c r="BA53" s="9">
        <f>IF(OR(Inputs!$F$7=TRUE,Inputs!$F$7="TRUE",Inputs!$F$7=1),(Inputs!$H$7+Inputs!$L$7*(((Inputs!$I$7+(((A53)+1)/2)*(Inputs!$J$7-Inputs!$I$7)))/Inputs!$K$7)^2),NA())</f>
        <v/>
      </c>
      <c r="BB53" s="9">
        <f>IF(OR(Inputs!$F$8=TRUE,Inputs!$F$8="TRUE",Inputs!$F$8=1),(Inputs!$H$8+Inputs!$L$8*(((Inputs!$I$8+(((A53)+1)/2)*(Inputs!$J$8-Inputs!$I$8)))/Inputs!$K$8)^2),NA())</f>
        <v/>
      </c>
      <c r="BC53" s="9">
        <f>IF(OR(Inputs!$F$9=TRUE,Inputs!$F$9="TRUE",Inputs!$F$9=1),(Inputs!$H$9+Inputs!$L$9*(((Inputs!$I$9+(((A53)+1)/2)*(Inputs!$J$9-Inputs!$I$9)))/Inputs!$K$9)^2),NA())</f>
        <v/>
      </c>
      <c r="BD53" s="10" t="n"/>
      <c r="BE53" s="9">
        <f>A53</f>
        <v/>
      </c>
      <c r="BF53" s="9">
        <f>0</f>
        <v/>
      </c>
      <c r="BG53" s="9">
        <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f>
        <v/>
      </c>
      <c r="BH53" s="9">
        <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f>
        <v/>
      </c>
      <c r="BI53" s="9">
        <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f>
        <v/>
      </c>
      <c r="BJ53" s="9">
        <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f>
        <v/>
      </c>
    </row>
    <row r="54">
      <c r="A54" s="9">
        <f>ROUND(-1+52*2/240,3)</f>
        <v/>
      </c>
      <c r="B54" s="9">
        <f>IF(OR(Inputs!$F$6=TRUE,Inputs!$F$6="TRUE",Inputs!$F$6=1),(Inputs!$H$6+Inputs!$L$6*(((Inputs!$I$6+(((A54)+1)/2)*(Inputs!$J$6-Inputs!$I$6)))/Inputs!$K$6)^2),NA())</f>
        <v/>
      </c>
      <c r="C54" s="9">
        <f>IF(OR(Inputs!$F$7=TRUE,Inputs!$F$7="TRUE",Inputs!$F$7=1),(Inputs!$H$7+Inputs!$L$7*(((Inputs!$I$7+(((A54)+1)/2)*(Inputs!$J$7-Inputs!$I$7)))/Inputs!$K$7)^2),NA())</f>
        <v/>
      </c>
      <c r="D54" s="9">
        <f>IF(OR(Inputs!$F$8=TRUE,Inputs!$F$8="TRUE",Inputs!$F$8=1),(Inputs!$H$8+Inputs!$L$8*(((Inputs!$I$8+(((A54)+1)/2)*(Inputs!$J$8-Inputs!$I$8)))/Inputs!$K$8)^2),NA())</f>
        <v/>
      </c>
      <c r="E54" s="9">
        <f>IF(OR(Inputs!$F$9=TRUE,Inputs!$F$9="TRUE",Inputs!$F$9=1),(Inputs!$H$9+Inputs!$L$9*(((Inputs!$I$9+(((A54)+1)/2)*(Inputs!$J$9-Inputs!$I$9)))/Inputs!$K$9)^2),NA())</f>
        <v/>
      </c>
      <c r="F54" s="10" t="n"/>
      <c r="G54" s="9">
        <f>A54</f>
        <v/>
      </c>
      <c r="H54" s="9">
        <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f>
        <v/>
      </c>
      <c r="I54" s="9">
        <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f>
        <v/>
      </c>
      <c r="J54" s="9">
        <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f>
        <v/>
      </c>
      <c r="K54" s="9">
        <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f>
        <v/>
      </c>
      <c r="L54" s="10" t="n"/>
      <c r="M54" s="9">
        <f>A54</f>
        <v/>
      </c>
      <c r="N54" s="9">
        <f>IF(OR(Inputs!$F$6=TRUE,Inputs!$F$6="TRUE",Inputs!$F$6=1),(-2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NA())</f>
        <v/>
      </c>
      <c r="O54" s="9">
        <f>IF(OR(Inputs!$F$7=TRUE,Inputs!$F$7="TRUE",Inputs!$F$7=1),(-2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NA())</f>
        <v/>
      </c>
      <c r="P54" s="9">
        <f>IF(OR(Inputs!$F$8=TRUE,Inputs!$F$8="TRUE",Inputs!$F$8=1),(-2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NA())</f>
        <v/>
      </c>
      <c r="Q54" s="9">
        <f>IF(OR(Inputs!$F$9=TRUE,Inputs!$F$9="TRUE",Inputs!$F$9=1),(-2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NA())</f>
        <v/>
      </c>
      <c r="R54" s="10" t="n"/>
      <c r="S54" s="9">
        <f>A54</f>
        <v/>
      </c>
      <c r="T54" s="9">
        <f>(Inputs!$I$6+(((A54)+1)/2)*(Inputs!$J$6-Inputs!$I$6))</f>
        <v/>
      </c>
      <c r="U54" s="9">
        <f>(Inputs!$I$7+(((A54)+1)/2)*(Inputs!$J$7-Inputs!$I$7))</f>
        <v/>
      </c>
      <c r="V54" s="9">
        <f>(Inputs!$I$8+(((A54)+1)/2)*(Inputs!$J$8-Inputs!$I$8))</f>
        <v/>
      </c>
      <c r="W54" s="9">
        <f>(Inputs!$I$9+(((A54)+1)/2)*(Inputs!$J$9-Inputs!$I$9))</f>
        <v/>
      </c>
      <c r="X54" s="10" t="n"/>
      <c r="Y54" s="9">
        <f>A54</f>
        <v/>
      </c>
      <c r="Z54" s="9">
        <f>(Inputs!$H$6+Inputs!$L$6*(((Inputs!$I$6+(((A54)+1)/2)*(Inputs!$J$6-Inputs!$I$6)))/Inputs!$K$6)^2)</f>
        <v/>
      </c>
      <c r="AA54" s="9">
        <f>(Inputs!$H$7+Inputs!$L$7*(((Inputs!$I$7+(((A54)+1)/2)*(Inputs!$J$7-Inputs!$I$7)))/Inputs!$K$7)^2)</f>
        <v/>
      </c>
      <c r="AB54" s="9">
        <f>(Inputs!$H$8+Inputs!$L$8*(((Inputs!$I$8+(((A54)+1)/2)*(Inputs!$J$8-Inputs!$I$8)))/Inputs!$K$8)^2)</f>
        <v/>
      </c>
      <c r="AC54" s="9">
        <f>(Inputs!$H$9+Inputs!$L$9*(((Inputs!$I$9+(((A54)+1)/2)*(Inputs!$J$9-Inputs!$I$9)))/Inputs!$K$9)^2)</f>
        <v/>
      </c>
      <c r="AD54" s="10" t="n"/>
      <c r="AE54" s="9">
        <f>A54</f>
        <v/>
      </c>
      <c r="AF54" s="9">
        <f>(((SQRT((Inputs!$C$52+((Inputs!$H$6+Inputs!$L$6*(((Inputs!$I$6+(((A54)+1)/2)*(Inputs!$J$6-Inputs!$I$6)))/Inputs!$K$6)^2)))^2+Inputs!$C$52^2-2*(Inputs!$C$52+((Inputs!$H$6+Inputs!$L$6*(((Inputs!$I$6+(((A54)+1)/2)*(Inputs!$J$6-Inputs!$I$6)))/Inputs!$K$6)^2)))*Inputs!$C$52*COS(SQRT(((Inputs!$I$6+(((A54)+1)/2)*(Inputs!$J$6-Inputs!$I$6)))^2+Inputs!$C$6^2)/Inputs!$C$52)))-((Inputs!$H$6+Inputs!$L$6*(((Inputs!$I$6+(((A54)+1)/2)*(Inputs!$J$6-Inputs!$I$6)))/Inputs!$K$6)^2)))*1000/Inputs!$C$12)</f>
        <v/>
      </c>
      <c r="AG54" s="9">
        <f>(((SQRT((Inputs!$C$52+((Inputs!$H$7+Inputs!$L$7*(((Inputs!$I$7+(((A54)+1)/2)*(Inputs!$J$7-Inputs!$I$7)))/Inputs!$K$7)^2)))^2+Inputs!$C$52^2-2*(Inputs!$C$52+((Inputs!$H$7+Inputs!$L$7*(((Inputs!$I$7+(((A54)+1)/2)*(Inputs!$J$7-Inputs!$I$7)))/Inputs!$K$7)^2)))*Inputs!$C$52*COS(SQRT(((Inputs!$I$7+(((A54)+1)/2)*(Inputs!$J$7-Inputs!$I$7)))^2+Inputs!$C$6^2)/Inputs!$C$52)))-((Inputs!$H$7+Inputs!$L$7*(((Inputs!$I$7+(((A54)+1)/2)*(Inputs!$J$7-Inputs!$I$7)))/Inputs!$K$7)^2)))*1000/Inputs!$C$12)</f>
        <v/>
      </c>
      <c r="AH54" s="9">
        <f>(((SQRT((Inputs!$C$52+((Inputs!$H$8+Inputs!$L$8*(((Inputs!$I$8+(((A54)+1)/2)*(Inputs!$J$8-Inputs!$I$8)))/Inputs!$K$8)^2)))^2+Inputs!$C$52^2-2*(Inputs!$C$52+((Inputs!$H$8+Inputs!$L$8*(((Inputs!$I$8+(((A54)+1)/2)*(Inputs!$J$8-Inputs!$I$8)))/Inputs!$K$8)^2)))*Inputs!$C$52*COS(SQRT(((Inputs!$I$8+(((A54)+1)/2)*(Inputs!$J$8-Inputs!$I$8)))^2+Inputs!$C$6^2)/Inputs!$C$52)))-((Inputs!$H$8+Inputs!$L$8*(((Inputs!$I$8+(((A54)+1)/2)*(Inputs!$J$8-Inputs!$I$8)))/Inputs!$K$8)^2)))*1000/Inputs!$C$12)</f>
        <v/>
      </c>
      <c r="AI54" s="9">
        <f>(((SQRT((Inputs!$C$52+((Inputs!$H$9+Inputs!$L$9*(((Inputs!$I$9+(((A54)+1)/2)*(Inputs!$J$9-Inputs!$I$9)))/Inputs!$K$9)^2)))^2+Inputs!$C$52^2-2*(Inputs!$C$52+((Inputs!$H$9+Inputs!$L$9*(((Inputs!$I$9+(((A54)+1)/2)*(Inputs!$J$9-Inputs!$I$9)))/Inputs!$K$9)^2)))*Inputs!$C$52*COS(SQRT(((Inputs!$I$9+(((A54)+1)/2)*(Inputs!$J$9-Inputs!$I$9)))^2+Inputs!$C$6^2)/Inputs!$C$52)))-((Inputs!$H$9+Inputs!$L$9*(((Inputs!$I$9+(((A54)+1)/2)*(Inputs!$J$9-Inputs!$I$9)))/Inputs!$K$9)^2)))*1000/Inputs!$C$12)</f>
        <v/>
      </c>
      <c r="AJ54" s="10" t="n"/>
      <c r="AK54" s="9">
        <f>A54</f>
        <v/>
      </c>
      <c r="AL54" s="9">
        <f>(-2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f>
        <v/>
      </c>
      <c r="AM54" s="9">
        <f>(-2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f>
        <v/>
      </c>
      <c r="AN54" s="9">
        <f>(-2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f>
        <v/>
      </c>
      <c r="AO54" s="9">
        <f>(-2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f>
        <v/>
      </c>
      <c r="AP54" s="10" t="n"/>
      <c r="AQ54" s="9">
        <f>A54</f>
        <v/>
      </c>
      <c r="AR54" s="9">
        <f>0</f>
        <v/>
      </c>
      <c r="AS54" s="9">
        <f>IF(OR(Inputs!$F$6=TRUE,Inputs!$F$6="TRUE",Inputs!$F$6=1),IF(OR(Inputs!$C$27=TRUE,Inputs!$C$27="TRUE",Inputs!$C$27=1),1,0)*(Inputs!$C$51*(115*EXP(-(((Inputs!$C$6)-25)^2)/(4.5^2))+70*EXP(-(((Inputs!$C$6)+38)^2)/(7^2))*(0.55+0.45*SIN(2*PI()*((Inputs!$I$6+(((A54)+1)/2)*(Inputs!$J$6-Inputs!$I$6)))/45))+24*SIN(2*PI()*(Inputs!$C$6)/9+((Inputs!$I$6+(((A54)+1)/2)*(Inputs!$J$6-Inputs!$I$6)))/18)*EXP(-(((Inputs!$C$6)+5)^2)/(22^2))+18*SIN(2*PI()*((Inputs!$I$6+(((A54)+1)/2)*(Inputs!$J$6-Inputs!$I$6)))/70))+Inputs!$C$28*EXP(-((((Inputs!$I$6+(((A54)+1)/2)*(Inputs!$J$6-Inputs!$I$6)))-Inputs!$C$29)^2)/(2*Inputs!$C$31^2))*EXP(-(((Inputs!$C$6)-Inputs!$C$30)^2)/(2*Inputs!$C$32^2))+-Inputs!$C$33*EXP(-((((((Inputs!$I$6+(((A54)+1)/2)*(Inputs!$J$6-Inputs!$I$6)))-Inputs!$C$34)^2)+(((Inputs!$C$6)-Inputs!$C$35)^2))/(2*Inputs!$C$36^2)))+Inputs!$C$37*(0.55*SIN(2*PI()*((Inputs!$I$6+(((A54)+1)/2)*(Inputs!$J$6-Inputs!$I$6)))/Inputs!$C$39)+0.35*COS(2*PI()*(Inputs!$C$6)/Inputs!$C$40)+0.2*SIN(2*PI()*(((Inputs!$I$6+(((A54)+1)/2)*(Inputs!$J$6-Inputs!$I$6)))+(Inputs!$C$6))/(0.5*(Inputs!$C$39+Inputs!$C$40))))+Inputs!$C$38*SIN(2*PI()*((Inputs!$I$6+(((A54)+1)/2)*(Inputs!$J$6-Inputs!$I$6)))/Inputs!$C$39)*SIN(2*PI()*(Inputs!$C$6)/Inputs!$C$40)+-Inputs!$C$41*EXP(-(((Inputs!$C$6)-Inputs!$C$43)^2)/(2*Inputs!$C$44^2))*EXP(-((((Inputs!$I$6+(((A54)+1)/2)*(Inputs!$J$6-Inputs!$I$6)))-Inputs!$C$42)^2)/(2*Inputs!$C$45^2))+Inputs!$C$48*(0.7*(0.45*SIN(2*PI()*((((Inputs!$I$6+(((A54)+1)/2)*(Inputs!$J$6-Inputs!$I$6)))/Inputs!$C$49)+Inputs!$C$47*0.137))+0.35*COS(2*PI()*(((Inputs!$C$6)/Inputs!$C$50)+Inputs!$C$47*0.173))+0.2*SIN(2*PI()*((((Inputs!$I$6+(((A54)+1)/2)*(Inputs!$J$6-Inputs!$I$6)))+(Inputs!$C$6))/(0.5*(Inputs!$C$49+Inputs!$C$50))+Inputs!$C$47*0.097)))+0.3*(2*((SIN((((Inputs!$I$6+(((A54)+1)/2)*(Inputs!$J$6-Inputs!$I$6)))*12.9898+(Inputs!$C$6)*78.233+Inputs!$C$47*37.719))*43758.5453)-INT((SIN((((Inputs!$I$6+(((A54)+1)/2)*(Inputs!$J$6-Inputs!$I$6)))*12.9898+(Inputs!$C$6)*78.233+Inputs!$C$47*37.719))*43758.5453)))-1))),NA())</f>
        <v/>
      </c>
      <c r="AT54" s="9">
        <f>IF(OR(Inputs!$F$7=TRUE,Inputs!$F$7="TRUE",Inputs!$F$7=1),IF(OR(Inputs!$C$27=TRUE,Inputs!$C$27="TRUE",Inputs!$C$27=1),1,0)*(Inputs!$C$51*(115*EXP(-(((Inputs!$C$6)-25)^2)/(4.5^2))+70*EXP(-(((Inputs!$C$6)+38)^2)/(7^2))*(0.55+0.45*SIN(2*PI()*((Inputs!$I$7+(((A54)+1)/2)*(Inputs!$J$7-Inputs!$I$7)))/45))+24*SIN(2*PI()*(Inputs!$C$6)/9+((Inputs!$I$7+(((A54)+1)/2)*(Inputs!$J$7-Inputs!$I$7)))/18)*EXP(-(((Inputs!$C$6)+5)^2)/(22^2))+18*SIN(2*PI()*((Inputs!$I$7+(((A54)+1)/2)*(Inputs!$J$7-Inputs!$I$7)))/70))+Inputs!$C$28*EXP(-((((Inputs!$I$7+(((A54)+1)/2)*(Inputs!$J$7-Inputs!$I$7)))-Inputs!$C$29)^2)/(2*Inputs!$C$31^2))*EXP(-(((Inputs!$C$6)-Inputs!$C$30)^2)/(2*Inputs!$C$32^2))+-Inputs!$C$33*EXP(-((((((Inputs!$I$7+(((A54)+1)/2)*(Inputs!$J$7-Inputs!$I$7)))-Inputs!$C$34)^2)+(((Inputs!$C$6)-Inputs!$C$35)^2))/(2*Inputs!$C$36^2)))+Inputs!$C$37*(0.55*SIN(2*PI()*((Inputs!$I$7+(((A54)+1)/2)*(Inputs!$J$7-Inputs!$I$7)))/Inputs!$C$39)+0.35*COS(2*PI()*(Inputs!$C$6)/Inputs!$C$40)+0.2*SIN(2*PI()*(((Inputs!$I$7+(((A54)+1)/2)*(Inputs!$J$7-Inputs!$I$7)))+(Inputs!$C$6))/(0.5*(Inputs!$C$39+Inputs!$C$40))))+Inputs!$C$38*SIN(2*PI()*((Inputs!$I$7+(((A54)+1)/2)*(Inputs!$J$7-Inputs!$I$7)))/Inputs!$C$39)*SIN(2*PI()*(Inputs!$C$6)/Inputs!$C$40)+-Inputs!$C$41*EXP(-(((Inputs!$C$6)-Inputs!$C$43)^2)/(2*Inputs!$C$44^2))*EXP(-((((Inputs!$I$7+(((A54)+1)/2)*(Inputs!$J$7-Inputs!$I$7)))-Inputs!$C$42)^2)/(2*Inputs!$C$45^2))+Inputs!$C$48*(0.7*(0.45*SIN(2*PI()*((((Inputs!$I$7+(((A54)+1)/2)*(Inputs!$J$7-Inputs!$I$7)))/Inputs!$C$49)+Inputs!$C$47*0.137))+0.35*COS(2*PI()*(((Inputs!$C$6)/Inputs!$C$50)+Inputs!$C$47*0.173))+0.2*SIN(2*PI()*((((Inputs!$I$7+(((A54)+1)/2)*(Inputs!$J$7-Inputs!$I$7)))+(Inputs!$C$6))/(0.5*(Inputs!$C$49+Inputs!$C$50))+Inputs!$C$47*0.097)))+0.3*(2*((SIN((((Inputs!$I$7+(((A54)+1)/2)*(Inputs!$J$7-Inputs!$I$7)))*12.9898+(Inputs!$C$6)*78.233+Inputs!$C$47*37.719))*43758.5453)-INT((SIN((((Inputs!$I$7+(((A54)+1)/2)*(Inputs!$J$7-Inputs!$I$7)))*12.9898+(Inputs!$C$6)*78.233+Inputs!$C$47*37.719))*43758.5453)))-1))),NA())</f>
        <v/>
      </c>
      <c r="AU54" s="9">
        <f>IF(OR(Inputs!$F$8=TRUE,Inputs!$F$8="TRUE",Inputs!$F$8=1),IF(OR(Inputs!$C$27=TRUE,Inputs!$C$27="TRUE",Inputs!$C$27=1),1,0)*(Inputs!$C$51*(115*EXP(-(((Inputs!$C$6)-25)^2)/(4.5^2))+70*EXP(-(((Inputs!$C$6)+38)^2)/(7^2))*(0.55+0.45*SIN(2*PI()*((Inputs!$I$8+(((A54)+1)/2)*(Inputs!$J$8-Inputs!$I$8)))/45))+24*SIN(2*PI()*(Inputs!$C$6)/9+((Inputs!$I$8+(((A54)+1)/2)*(Inputs!$J$8-Inputs!$I$8)))/18)*EXP(-(((Inputs!$C$6)+5)^2)/(22^2))+18*SIN(2*PI()*((Inputs!$I$8+(((A54)+1)/2)*(Inputs!$J$8-Inputs!$I$8)))/70))+Inputs!$C$28*EXP(-((((Inputs!$I$8+(((A54)+1)/2)*(Inputs!$J$8-Inputs!$I$8)))-Inputs!$C$29)^2)/(2*Inputs!$C$31^2))*EXP(-(((Inputs!$C$6)-Inputs!$C$30)^2)/(2*Inputs!$C$32^2))+-Inputs!$C$33*EXP(-((((((Inputs!$I$8+(((A54)+1)/2)*(Inputs!$J$8-Inputs!$I$8)))-Inputs!$C$34)^2)+(((Inputs!$C$6)-Inputs!$C$35)^2))/(2*Inputs!$C$36^2)))+Inputs!$C$37*(0.55*SIN(2*PI()*((Inputs!$I$8+(((A54)+1)/2)*(Inputs!$J$8-Inputs!$I$8)))/Inputs!$C$39)+0.35*COS(2*PI()*(Inputs!$C$6)/Inputs!$C$40)+0.2*SIN(2*PI()*(((Inputs!$I$8+(((A54)+1)/2)*(Inputs!$J$8-Inputs!$I$8)))+(Inputs!$C$6))/(0.5*(Inputs!$C$39+Inputs!$C$40))))+Inputs!$C$38*SIN(2*PI()*((Inputs!$I$8+(((A54)+1)/2)*(Inputs!$J$8-Inputs!$I$8)))/Inputs!$C$39)*SIN(2*PI()*(Inputs!$C$6)/Inputs!$C$40)+-Inputs!$C$41*EXP(-(((Inputs!$C$6)-Inputs!$C$43)^2)/(2*Inputs!$C$44^2))*EXP(-((((Inputs!$I$8+(((A54)+1)/2)*(Inputs!$J$8-Inputs!$I$8)))-Inputs!$C$42)^2)/(2*Inputs!$C$45^2))+Inputs!$C$48*(0.7*(0.45*SIN(2*PI()*((((Inputs!$I$8+(((A54)+1)/2)*(Inputs!$J$8-Inputs!$I$8)))/Inputs!$C$49)+Inputs!$C$47*0.137))+0.35*COS(2*PI()*(((Inputs!$C$6)/Inputs!$C$50)+Inputs!$C$47*0.173))+0.2*SIN(2*PI()*((((Inputs!$I$8+(((A54)+1)/2)*(Inputs!$J$8-Inputs!$I$8)))+(Inputs!$C$6))/(0.5*(Inputs!$C$49+Inputs!$C$50))+Inputs!$C$47*0.097)))+0.3*(2*((SIN((((Inputs!$I$8+(((A54)+1)/2)*(Inputs!$J$8-Inputs!$I$8)))*12.9898+(Inputs!$C$6)*78.233+Inputs!$C$47*37.719))*43758.5453)-INT((SIN((((Inputs!$I$8+(((A54)+1)/2)*(Inputs!$J$8-Inputs!$I$8)))*12.9898+(Inputs!$C$6)*78.233+Inputs!$C$47*37.719))*43758.5453)))-1))),NA())</f>
        <v/>
      </c>
      <c r="AV54" s="9">
        <f>IF(OR(Inputs!$F$9=TRUE,Inputs!$F$9="TRUE",Inputs!$F$9=1),IF(OR(Inputs!$C$27=TRUE,Inputs!$C$27="TRUE",Inputs!$C$27=1),1,0)*(Inputs!$C$51*(115*EXP(-(((Inputs!$C$6)-25)^2)/(4.5^2))+70*EXP(-(((Inputs!$C$6)+38)^2)/(7^2))*(0.55+0.45*SIN(2*PI()*((Inputs!$I$9+(((A54)+1)/2)*(Inputs!$J$9-Inputs!$I$9)))/45))+24*SIN(2*PI()*(Inputs!$C$6)/9+((Inputs!$I$9+(((A54)+1)/2)*(Inputs!$J$9-Inputs!$I$9)))/18)*EXP(-(((Inputs!$C$6)+5)^2)/(22^2))+18*SIN(2*PI()*((Inputs!$I$9+(((A54)+1)/2)*(Inputs!$J$9-Inputs!$I$9)))/70))+Inputs!$C$28*EXP(-((((Inputs!$I$9+(((A54)+1)/2)*(Inputs!$J$9-Inputs!$I$9)))-Inputs!$C$29)^2)/(2*Inputs!$C$31^2))*EXP(-(((Inputs!$C$6)-Inputs!$C$30)^2)/(2*Inputs!$C$32^2))+-Inputs!$C$33*EXP(-((((((Inputs!$I$9+(((A54)+1)/2)*(Inputs!$J$9-Inputs!$I$9)))-Inputs!$C$34)^2)+(((Inputs!$C$6)-Inputs!$C$35)^2))/(2*Inputs!$C$36^2)))+Inputs!$C$37*(0.55*SIN(2*PI()*((Inputs!$I$9+(((A54)+1)/2)*(Inputs!$J$9-Inputs!$I$9)))/Inputs!$C$39)+0.35*COS(2*PI()*(Inputs!$C$6)/Inputs!$C$40)+0.2*SIN(2*PI()*(((Inputs!$I$9+(((A54)+1)/2)*(Inputs!$J$9-Inputs!$I$9)))+(Inputs!$C$6))/(0.5*(Inputs!$C$39+Inputs!$C$40))))+Inputs!$C$38*SIN(2*PI()*((Inputs!$I$9+(((A54)+1)/2)*(Inputs!$J$9-Inputs!$I$9)))/Inputs!$C$39)*SIN(2*PI()*(Inputs!$C$6)/Inputs!$C$40)+-Inputs!$C$41*EXP(-(((Inputs!$C$6)-Inputs!$C$43)^2)/(2*Inputs!$C$44^2))*EXP(-((((Inputs!$I$9+(((A54)+1)/2)*(Inputs!$J$9-Inputs!$I$9)))-Inputs!$C$42)^2)/(2*Inputs!$C$45^2))+Inputs!$C$48*(0.7*(0.45*SIN(2*PI()*((((Inputs!$I$9+(((A54)+1)/2)*(Inputs!$J$9-Inputs!$I$9)))/Inputs!$C$49)+Inputs!$C$47*0.137))+0.35*COS(2*PI()*(((Inputs!$C$6)/Inputs!$C$50)+Inputs!$C$47*0.173))+0.2*SIN(2*PI()*((((Inputs!$I$9+(((A54)+1)/2)*(Inputs!$J$9-Inputs!$I$9)))+(Inputs!$C$6))/(0.5*(Inputs!$C$49+Inputs!$C$50))+Inputs!$C$47*0.097)))+0.3*(2*((SIN((((Inputs!$I$9+(((A54)+1)/2)*(Inputs!$J$9-Inputs!$I$9)))*12.9898+(Inputs!$C$6)*78.233+Inputs!$C$47*37.719))*43758.5453)-INT((SIN((((Inputs!$I$9+(((A54)+1)/2)*(Inputs!$J$9-Inputs!$I$9)))*12.9898+(Inputs!$C$6)*78.233+Inputs!$C$47*37.719))*43758.5453)))-1))),NA())</f>
        <v/>
      </c>
      <c r="AW54" s="10" t="n"/>
      <c r="AX54" s="9">
        <f>A54</f>
        <v/>
      </c>
      <c r="AY54" s="9">
        <f>0</f>
        <v/>
      </c>
      <c r="AZ54" s="9">
        <f>IF(OR(Inputs!$F$6=TRUE,Inputs!$F$6="TRUE",Inputs!$F$6=1),(Inputs!$H$6+Inputs!$L$6*(((Inputs!$I$6+(((A54)+1)/2)*(Inputs!$J$6-Inputs!$I$6)))/Inputs!$K$6)^2),NA())</f>
        <v/>
      </c>
      <c r="BA54" s="9">
        <f>IF(OR(Inputs!$F$7=TRUE,Inputs!$F$7="TRUE",Inputs!$F$7=1),(Inputs!$H$7+Inputs!$L$7*(((Inputs!$I$7+(((A54)+1)/2)*(Inputs!$J$7-Inputs!$I$7)))/Inputs!$K$7)^2),NA())</f>
        <v/>
      </c>
      <c r="BB54" s="9">
        <f>IF(OR(Inputs!$F$8=TRUE,Inputs!$F$8="TRUE",Inputs!$F$8=1),(Inputs!$H$8+Inputs!$L$8*(((Inputs!$I$8+(((A54)+1)/2)*(Inputs!$J$8-Inputs!$I$8)))/Inputs!$K$8)^2),NA())</f>
        <v/>
      </c>
      <c r="BC54" s="9">
        <f>IF(OR(Inputs!$F$9=TRUE,Inputs!$F$9="TRUE",Inputs!$F$9=1),(Inputs!$H$9+Inputs!$L$9*(((Inputs!$I$9+(((A54)+1)/2)*(Inputs!$J$9-Inputs!$I$9)))/Inputs!$K$9)^2),NA())</f>
        <v/>
      </c>
      <c r="BD54" s="10" t="n"/>
      <c r="BE54" s="9">
        <f>A54</f>
        <v/>
      </c>
      <c r="BF54" s="9">
        <f>0</f>
        <v/>
      </c>
      <c r="BG54" s="9">
        <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f>
        <v/>
      </c>
      <c r="BH54" s="9">
        <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f>
        <v/>
      </c>
      <c r="BI54" s="9">
        <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f>
        <v/>
      </c>
      <c r="BJ54" s="9">
        <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f>
        <v/>
      </c>
    </row>
    <row r="55">
      <c r="A55" s="9">
        <f>ROUND(-1+53*2/240,3)</f>
        <v/>
      </c>
      <c r="B55" s="9">
        <f>IF(OR(Inputs!$F$6=TRUE,Inputs!$F$6="TRUE",Inputs!$F$6=1),(Inputs!$H$6+Inputs!$L$6*(((Inputs!$I$6+(((A55)+1)/2)*(Inputs!$J$6-Inputs!$I$6)))/Inputs!$K$6)^2),NA())</f>
        <v/>
      </c>
      <c r="C55" s="9">
        <f>IF(OR(Inputs!$F$7=TRUE,Inputs!$F$7="TRUE",Inputs!$F$7=1),(Inputs!$H$7+Inputs!$L$7*(((Inputs!$I$7+(((A55)+1)/2)*(Inputs!$J$7-Inputs!$I$7)))/Inputs!$K$7)^2),NA())</f>
        <v/>
      </c>
      <c r="D55" s="9">
        <f>IF(OR(Inputs!$F$8=TRUE,Inputs!$F$8="TRUE",Inputs!$F$8=1),(Inputs!$H$8+Inputs!$L$8*(((Inputs!$I$8+(((A55)+1)/2)*(Inputs!$J$8-Inputs!$I$8)))/Inputs!$K$8)^2),NA())</f>
        <v/>
      </c>
      <c r="E55" s="9">
        <f>IF(OR(Inputs!$F$9=TRUE,Inputs!$F$9="TRUE",Inputs!$F$9=1),(Inputs!$H$9+Inputs!$L$9*(((Inputs!$I$9+(((A55)+1)/2)*(Inputs!$J$9-Inputs!$I$9)))/Inputs!$K$9)^2),NA())</f>
        <v/>
      </c>
      <c r="F55" s="10" t="n"/>
      <c r="G55" s="9">
        <f>A55</f>
        <v/>
      </c>
      <c r="H55" s="9">
        <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f>
        <v/>
      </c>
      <c r="I55" s="9">
        <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f>
        <v/>
      </c>
      <c r="J55" s="9">
        <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f>
        <v/>
      </c>
      <c r="K55" s="9">
        <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f>
        <v/>
      </c>
      <c r="L55" s="10" t="n"/>
      <c r="M55" s="9">
        <f>A55</f>
        <v/>
      </c>
      <c r="N55" s="9">
        <f>IF(OR(Inputs!$F$6=TRUE,Inputs!$F$6="TRUE",Inputs!$F$6=1),(-2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NA())</f>
        <v/>
      </c>
      <c r="O55" s="9">
        <f>IF(OR(Inputs!$F$7=TRUE,Inputs!$F$7="TRUE",Inputs!$F$7=1),(-2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NA())</f>
        <v/>
      </c>
      <c r="P55" s="9">
        <f>IF(OR(Inputs!$F$8=TRUE,Inputs!$F$8="TRUE",Inputs!$F$8=1),(-2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NA())</f>
        <v/>
      </c>
      <c r="Q55" s="9">
        <f>IF(OR(Inputs!$F$9=TRUE,Inputs!$F$9="TRUE",Inputs!$F$9=1),(-2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NA())</f>
        <v/>
      </c>
      <c r="R55" s="10" t="n"/>
      <c r="S55" s="9">
        <f>A55</f>
        <v/>
      </c>
      <c r="T55" s="9">
        <f>(Inputs!$I$6+(((A55)+1)/2)*(Inputs!$J$6-Inputs!$I$6))</f>
        <v/>
      </c>
      <c r="U55" s="9">
        <f>(Inputs!$I$7+(((A55)+1)/2)*(Inputs!$J$7-Inputs!$I$7))</f>
        <v/>
      </c>
      <c r="V55" s="9">
        <f>(Inputs!$I$8+(((A55)+1)/2)*(Inputs!$J$8-Inputs!$I$8))</f>
        <v/>
      </c>
      <c r="W55" s="9">
        <f>(Inputs!$I$9+(((A55)+1)/2)*(Inputs!$J$9-Inputs!$I$9))</f>
        <v/>
      </c>
      <c r="X55" s="10" t="n"/>
      <c r="Y55" s="9">
        <f>A55</f>
        <v/>
      </c>
      <c r="Z55" s="9">
        <f>(Inputs!$H$6+Inputs!$L$6*(((Inputs!$I$6+(((A55)+1)/2)*(Inputs!$J$6-Inputs!$I$6)))/Inputs!$K$6)^2)</f>
        <v/>
      </c>
      <c r="AA55" s="9">
        <f>(Inputs!$H$7+Inputs!$L$7*(((Inputs!$I$7+(((A55)+1)/2)*(Inputs!$J$7-Inputs!$I$7)))/Inputs!$K$7)^2)</f>
        <v/>
      </c>
      <c r="AB55" s="9">
        <f>(Inputs!$H$8+Inputs!$L$8*(((Inputs!$I$8+(((A55)+1)/2)*(Inputs!$J$8-Inputs!$I$8)))/Inputs!$K$8)^2)</f>
        <v/>
      </c>
      <c r="AC55" s="9">
        <f>(Inputs!$H$9+Inputs!$L$9*(((Inputs!$I$9+(((A55)+1)/2)*(Inputs!$J$9-Inputs!$I$9)))/Inputs!$K$9)^2)</f>
        <v/>
      </c>
      <c r="AD55" s="10" t="n"/>
      <c r="AE55" s="9">
        <f>A55</f>
        <v/>
      </c>
      <c r="AF55" s="9">
        <f>(((SQRT((Inputs!$C$52+((Inputs!$H$6+Inputs!$L$6*(((Inputs!$I$6+(((A55)+1)/2)*(Inputs!$J$6-Inputs!$I$6)))/Inputs!$K$6)^2)))^2+Inputs!$C$52^2-2*(Inputs!$C$52+((Inputs!$H$6+Inputs!$L$6*(((Inputs!$I$6+(((A55)+1)/2)*(Inputs!$J$6-Inputs!$I$6)))/Inputs!$K$6)^2)))*Inputs!$C$52*COS(SQRT(((Inputs!$I$6+(((A55)+1)/2)*(Inputs!$J$6-Inputs!$I$6)))^2+Inputs!$C$6^2)/Inputs!$C$52)))-((Inputs!$H$6+Inputs!$L$6*(((Inputs!$I$6+(((A55)+1)/2)*(Inputs!$J$6-Inputs!$I$6)))/Inputs!$K$6)^2)))*1000/Inputs!$C$12)</f>
        <v/>
      </c>
      <c r="AG55" s="9">
        <f>(((SQRT((Inputs!$C$52+((Inputs!$H$7+Inputs!$L$7*(((Inputs!$I$7+(((A55)+1)/2)*(Inputs!$J$7-Inputs!$I$7)))/Inputs!$K$7)^2)))^2+Inputs!$C$52^2-2*(Inputs!$C$52+((Inputs!$H$7+Inputs!$L$7*(((Inputs!$I$7+(((A55)+1)/2)*(Inputs!$J$7-Inputs!$I$7)))/Inputs!$K$7)^2)))*Inputs!$C$52*COS(SQRT(((Inputs!$I$7+(((A55)+1)/2)*(Inputs!$J$7-Inputs!$I$7)))^2+Inputs!$C$6^2)/Inputs!$C$52)))-((Inputs!$H$7+Inputs!$L$7*(((Inputs!$I$7+(((A55)+1)/2)*(Inputs!$J$7-Inputs!$I$7)))/Inputs!$K$7)^2)))*1000/Inputs!$C$12)</f>
        <v/>
      </c>
      <c r="AH55" s="9">
        <f>(((SQRT((Inputs!$C$52+((Inputs!$H$8+Inputs!$L$8*(((Inputs!$I$8+(((A55)+1)/2)*(Inputs!$J$8-Inputs!$I$8)))/Inputs!$K$8)^2)))^2+Inputs!$C$52^2-2*(Inputs!$C$52+((Inputs!$H$8+Inputs!$L$8*(((Inputs!$I$8+(((A55)+1)/2)*(Inputs!$J$8-Inputs!$I$8)))/Inputs!$K$8)^2)))*Inputs!$C$52*COS(SQRT(((Inputs!$I$8+(((A55)+1)/2)*(Inputs!$J$8-Inputs!$I$8)))^2+Inputs!$C$6^2)/Inputs!$C$52)))-((Inputs!$H$8+Inputs!$L$8*(((Inputs!$I$8+(((A55)+1)/2)*(Inputs!$J$8-Inputs!$I$8)))/Inputs!$K$8)^2)))*1000/Inputs!$C$12)</f>
        <v/>
      </c>
      <c r="AI55" s="9">
        <f>(((SQRT((Inputs!$C$52+((Inputs!$H$9+Inputs!$L$9*(((Inputs!$I$9+(((A55)+1)/2)*(Inputs!$J$9-Inputs!$I$9)))/Inputs!$K$9)^2)))^2+Inputs!$C$52^2-2*(Inputs!$C$52+((Inputs!$H$9+Inputs!$L$9*(((Inputs!$I$9+(((A55)+1)/2)*(Inputs!$J$9-Inputs!$I$9)))/Inputs!$K$9)^2)))*Inputs!$C$52*COS(SQRT(((Inputs!$I$9+(((A55)+1)/2)*(Inputs!$J$9-Inputs!$I$9)))^2+Inputs!$C$6^2)/Inputs!$C$52)))-((Inputs!$H$9+Inputs!$L$9*(((Inputs!$I$9+(((A55)+1)/2)*(Inputs!$J$9-Inputs!$I$9)))/Inputs!$K$9)^2)))*1000/Inputs!$C$12)</f>
        <v/>
      </c>
      <c r="AJ55" s="10" t="n"/>
      <c r="AK55" s="9">
        <f>A55</f>
        <v/>
      </c>
      <c r="AL55" s="9">
        <f>(-2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f>
        <v/>
      </c>
      <c r="AM55" s="9">
        <f>(-2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f>
        <v/>
      </c>
      <c r="AN55" s="9">
        <f>(-2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f>
        <v/>
      </c>
      <c r="AO55" s="9">
        <f>(-2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f>
        <v/>
      </c>
      <c r="AP55" s="10" t="n"/>
      <c r="AQ55" s="9">
        <f>A55</f>
        <v/>
      </c>
      <c r="AR55" s="9">
        <f>0</f>
        <v/>
      </c>
      <c r="AS55" s="9">
        <f>IF(OR(Inputs!$F$6=TRUE,Inputs!$F$6="TRUE",Inputs!$F$6=1),IF(OR(Inputs!$C$27=TRUE,Inputs!$C$27="TRUE",Inputs!$C$27=1),1,0)*(Inputs!$C$51*(115*EXP(-(((Inputs!$C$6)-25)^2)/(4.5^2))+70*EXP(-(((Inputs!$C$6)+38)^2)/(7^2))*(0.55+0.45*SIN(2*PI()*((Inputs!$I$6+(((A55)+1)/2)*(Inputs!$J$6-Inputs!$I$6)))/45))+24*SIN(2*PI()*(Inputs!$C$6)/9+((Inputs!$I$6+(((A55)+1)/2)*(Inputs!$J$6-Inputs!$I$6)))/18)*EXP(-(((Inputs!$C$6)+5)^2)/(22^2))+18*SIN(2*PI()*((Inputs!$I$6+(((A55)+1)/2)*(Inputs!$J$6-Inputs!$I$6)))/70))+Inputs!$C$28*EXP(-((((Inputs!$I$6+(((A55)+1)/2)*(Inputs!$J$6-Inputs!$I$6)))-Inputs!$C$29)^2)/(2*Inputs!$C$31^2))*EXP(-(((Inputs!$C$6)-Inputs!$C$30)^2)/(2*Inputs!$C$32^2))+-Inputs!$C$33*EXP(-((((((Inputs!$I$6+(((A55)+1)/2)*(Inputs!$J$6-Inputs!$I$6)))-Inputs!$C$34)^2)+(((Inputs!$C$6)-Inputs!$C$35)^2))/(2*Inputs!$C$36^2)))+Inputs!$C$37*(0.55*SIN(2*PI()*((Inputs!$I$6+(((A55)+1)/2)*(Inputs!$J$6-Inputs!$I$6)))/Inputs!$C$39)+0.35*COS(2*PI()*(Inputs!$C$6)/Inputs!$C$40)+0.2*SIN(2*PI()*(((Inputs!$I$6+(((A55)+1)/2)*(Inputs!$J$6-Inputs!$I$6)))+(Inputs!$C$6))/(0.5*(Inputs!$C$39+Inputs!$C$40))))+Inputs!$C$38*SIN(2*PI()*((Inputs!$I$6+(((A55)+1)/2)*(Inputs!$J$6-Inputs!$I$6)))/Inputs!$C$39)*SIN(2*PI()*(Inputs!$C$6)/Inputs!$C$40)+-Inputs!$C$41*EXP(-(((Inputs!$C$6)-Inputs!$C$43)^2)/(2*Inputs!$C$44^2))*EXP(-((((Inputs!$I$6+(((A55)+1)/2)*(Inputs!$J$6-Inputs!$I$6)))-Inputs!$C$42)^2)/(2*Inputs!$C$45^2))+Inputs!$C$48*(0.7*(0.45*SIN(2*PI()*((((Inputs!$I$6+(((A55)+1)/2)*(Inputs!$J$6-Inputs!$I$6)))/Inputs!$C$49)+Inputs!$C$47*0.137))+0.35*COS(2*PI()*(((Inputs!$C$6)/Inputs!$C$50)+Inputs!$C$47*0.173))+0.2*SIN(2*PI()*((((Inputs!$I$6+(((A55)+1)/2)*(Inputs!$J$6-Inputs!$I$6)))+(Inputs!$C$6))/(0.5*(Inputs!$C$49+Inputs!$C$50))+Inputs!$C$47*0.097)))+0.3*(2*((SIN((((Inputs!$I$6+(((A55)+1)/2)*(Inputs!$J$6-Inputs!$I$6)))*12.9898+(Inputs!$C$6)*78.233+Inputs!$C$47*37.719))*43758.5453)-INT((SIN((((Inputs!$I$6+(((A55)+1)/2)*(Inputs!$J$6-Inputs!$I$6)))*12.9898+(Inputs!$C$6)*78.233+Inputs!$C$47*37.719))*43758.5453)))-1))),NA())</f>
        <v/>
      </c>
      <c r="AT55" s="9">
        <f>IF(OR(Inputs!$F$7=TRUE,Inputs!$F$7="TRUE",Inputs!$F$7=1),IF(OR(Inputs!$C$27=TRUE,Inputs!$C$27="TRUE",Inputs!$C$27=1),1,0)*(Inputs!$C$51*(115*EXP(-(((Inputs!$C$6)-25)^2)/(4.5^2))+70*EXP(-(((Inputs!$C$6)+38)^2)/(7^2))*(0.55+0.45*SIN(2*PI()*((Inputs!$I$7+(((A55)+1)/2)*(Inputs!$J$7-Inputs!$I$7)))/45))+24*SIN(2*PI()*(Inputs!$C$6)/9+((Inputs!$I$7+(((A55)+1)/2)*(Inputs!$J$7-Inputs!$I$7)))/18)*EXP(-(((Inputs!$C$6)+5)^2)/(22^2))+18*SIN(2*PI()*((Inputs!$I$7+(((A55)+1)/2)*(Inputs!$J$7-Inputs!$I$7)))/70))+Inputs!$C$28*EXP(-((((Inputs!$I$7+(((A55)+1)/2)*(Inputs!$J$7-Inputs!$I$7)))-Inputs!$C$29)^2)/(2*Inputs!$C$31^2))*EXP(-(((Inputs!$C$6)-Inputs!$C$30)^2)/(2*Inputs!$C$32^2))+-Inputs!$C$33*EXP(-((((((Inputs!$I$7+(((A55)+1)/2)*(Inputs!$J$7-Inputs!$I$7)))-Inputs!$C$34)^2)+(((Inputs!$C$6)-Inputs!$C$35)^2))/(2*Inputs!$C$36^2)))+Inputs!$C$37*(0.55*SIN(2*PI()*((Inputs!$I$7+(((A55)+1)/2)*(Inputs!$J$7-Inputs!$I$7)))/Inputs!$C$39)+0.35*COS(2*PI()*(Inputs!$C$6)/Inputs!$C$40)+0.2*SIN(2*PI()*(((Inputs!$I$7+(((A55)+1)/2)*(Inputs!$J$7-Inputs!$I$7)))+(Inputs!$C$6))/(0.5*(Inputs!$C$39+Inputs!$C$40))))+Inputs!$C$38*SIN(2*PI()*((Inputs!$I$7+(((A55)+1)/2)*(Inputs!$J$7-Inputs!$I$7)))/Inputs!$C$39)*SIN(2*PI()*(Inputs!$C$6)/Inputs!$C$40)+-Inputs!$C$41*EXP(-(((Inputs!$C$6)-Inputs!$C$43)^2)/(2*Inputs!$C$44^2))*EXP(-((((Inputs!$I$7+(((A55)+1)/2)*(Inputs!$J$7-Inputs!$I$7)))-Inputs!$C$42)^2)/(2*Inputs!$C$45^2))+Inputs!$C$48*(0.7*(0.45*SIN(2*PI()*((((Inputs!$I$7+(((A55)+1)/2)*(Inputs!$J$7-Inputs!$I$7)))/Inputs!$C$49)+Inputs!$C$47*0.137))+0.35*COS(2*PI()*(((Inputs!$C$6)/Inputs!$C$50)+Inputs!$C$47*0.173))+0.2*SIN(2*PI()*((((Inputs!$I$7+(((A55)+1)/2)*(Inputs!$J$7-Inputs!$I$7)))+(Inputs!$C$6))/(0.5*(Inputs!$C$49+Inputs!$C$50))+Inputs!$C$47*0.097)))+0.3*(2*((SIN((((Inputs!$I$7+(((A55)+1)/2)*(Inputs!$J$7-Inputs!$I$7)))*12.9898+(Inputs!$C$6)*78.233+Inputs!$C$47*37.719))*43758.5453)-INT((SIN((((Inputs!$I$7+(((A55)+1)/2)*(Inputs!$J$7-Inputs!$I$7)))*12.9898+(Inputs!$C$6)*78.233+Inputs!$C$47*37.719))*43758.5453)))-1))),NA())</f>
        <v/>
      </c>
      <c r="AU55" s="9">
        <f>IF(OR(Inputs!$F$8=TRUE,Inputs!$F$8="TRUE",Inputs!$F$8=1),IF(OR(Inputs!$C$27=TRUE,Inputs!$C$27="TRUE",Inputs!$C$27=1),1,0)*(Inputs!$C$51*(115*EXP(-(((Inputs!$C$6)-25)^2)/(4.5^2))+70*EXP(-(((Inputs!$C$6)+38)^2)/(7^2))*(0.55+0.45*SIN(2*PI()*((Inputs!$I$8+(((A55)+1)/2)*(Inputs!$J$8-Inputs!$I$8)))/45))+24*SIN(2*PI()*(Inputs!$C$6)/9+((Inputs!$I$8+(((A55)+1)/2)*(Inputs!$J$8-Inputs!$I$8)))/18)*EXP(-(((Inputs!$C$6)+5)^2)/(22^2))+18*SIN(2*PI()*((Inputs!$I$8+(((A55)+1)/2)*(Inputs!$J$8-Inputs!$I$8)))/70))+Inputs!$C$28*EXP(-((((Inputs!$I$8+(((A55)+1)/2)*(Inputs!$J$8-Inputs!$I$8)))-Inputs!$C$29)^2)/(2*Inputs!$C$31^2))*EXP(-(((Inputs!$C$6)-Inputs!$C$30)^2)/(2*Inputs!$C$32^2))+-Inputs!$C$33*EXP(-((((((Inputs!$I$8+(((A55)+1)/2)*(Inputs!$J$8-Inputs!$I$8)))-Inputs!$C$34)^2)+(((Inputs!$C$6)-Inputs!$C$35)^2))/(2*Inputs!$C$36^2)))+Inputs!$C$37*(0.55*SIN(2*PI()*((Inputs!$I$8+(((A55)+1)/2)*(Inputs!$J$8-Inputs!$I$8)))/Inputs!$C$39)+0.35*COS(2*PI()*(Inputs!$C$6)/Inputs!$C$40)+0.2*SIN(2*PI()*(((Inputs!$I$8+(((A55)+1)/2)*(Inputs!$J$8-Inputs!$I$8)))+(Inputs!$C$6))/(0.5*(Inputs!$C$39+Inputs!$C$40))))+Inputs!$C$38*SIN(2*PI()*((Inputs!$I$8+(((A55)+1)/2)*(Inputs!$J$8-Inputs!$I$8)))/Inputs!$C$39)*SIN(2*PI()*(Inputs!$C$6)/Inputs!$C$40)+-Inputs!$C$41*EXP(-(((Inputs!$C$6)-Inputs!$C$43)^2)/(2*Inputs!$C$44^2))*EXP(-((((Inputs!$I$8+(((A55)+1)/2)*(Inputs!$J$8-Inputs!$I$8)))-Inputs!$C$42)^2)/(2*Inputs!$C$45^2))+Inputs!$C$48*(0.7*(0.45*SIN(2*PI()*((((Inputs!$I$8+(((A55)+1)/2)*(Inputs!$J$8-Inputs!$I$8)))/Inputs!$C$49)+Inputs!$C$47*0.137))+0.35*COS(2*PI()*(((Inputs!$C$6)/Inputs!$C$50)+Inputs!$C$47*0.173))+0.2*SIN(2*PI()*((((Inputs!$I$8+(((A55)+1)/2)*(Inputs!$J$8-Inputs!$I$8)))+(Inputs!$C$6))/(0.5*(Inputs!$C$49+Inputs!$C$50))+Inputs!$C$47*0.097)))+0.3*(2*((SIN((((Inputs!$I$8+(((A55)+1)/2)*(Inputs!$J$8-Inputs!$I$8)))*12.9898+(Inputs!$C$6)*78.233+Inputs!$C$47*37.719))*43758.5453)-INT((SIN((((Inputs!$I$8+(((A55)+1)/2)*(Inputs!$J$8-Inputs!$I$8)))*12.9898+(Inputs!$C$6)*78.233+Inputs!$C$47*37.719))*43758.5453)))-1))),NA())</f>
        <v/>
      </c>
      <c r="AV55" s="9">
        <f>IF(OR(Inputs!$F$9=TRUE,Inputs!$F$9="TRUE",Inputs!$F$9=1),IF(OR(Inputs!$C$27=TRUE,Inputs!$C$27="TRUE",Inputs!$C$27=1),1,0)*(Inputs!$C$51*(115*EXP(-(((Inputs!$C$6)-25)^2)/(4.5^2))+70*EXP(-(((Inputs!$C$6)+38)^2)/(7^2))*(0.55+0.45*SIN(2*PI()*((Inputs!$I$9+(((A55)+1)/2)*(Inputs!$J$9-Inputs!$I$9)))/45))+24*SIN(2*PI()*(Inputs!$C$6)/9+((Inputs!$I$9+(((A55)+1)/2)*(Inputs!$J$9-Inputs!$I$9)))/18)*EXP(-(((Inputs!$C$6)+5)^2)/(22^2))+18*SIN(2*PI()*((Inputs!$I$9+(((A55)+1)/2)*(Inputs!$J$9-Inputs!$I$9)))/70))+Inputs!$C$28*EXP(-((((Inputs!$I$9+(((A55)+1)/2)*(Inputs!$J$9-Inputs!$I$9)))-Inputs!$C$29)^2)/(2*Inputs!$C$31^2))*EXP(-(((Inputs!$C$6)-Inputs!$C$30)^2)/(2*Inputs!$C$32^2))+-Inputs!$C$33*EXP(-((((((Inputs!$I$9+(((A55)+1)/2)*(Inputs!$J$9-Inputs!$I$9)))-Inputs!$C$34)^2)+(((Inputs!$C$6)-Inputs!$C$35)^2))/(2*Inputs!$C$36^2)))+Inputs!$C$37*(0.55*SIN(2*PI()*((Inputs!$I$9+(((A55)+1)/2)*(Inputs!$J$9-Inputs!$I$9)))/Inputs!$C$39)+0.35*COS(2*PI()*(Inputs!$C$6)/Inputs!$C$40)+0.2*SIN(2*PI()*(((Inputs!$I$9+(((A55)+1)/2)*(Inputs!$J$9-Inputs!$I$9)))+(Inputs!$C$6))/(0.5*(Inputs!$C$39+Inputs!$C$40))))+Inputs!$C$38*SIN(2*PI()*((Inputs!$I$9+(((A55)+1)/2)*(Inputs!$J$9-Inputs!$I$9)))/Inputs!$C$39)*SIN(2*PI()*(Inputs!$C$6)/Inputs!$C$40)+-Inputs!$C$41*EXP(-(((Inputs!$C$6)-Inputs!$C$43)^2)/(2*Inputs!$C$44^2))*EXP(-((((Inputs!$I$9+(((A55)+1)/2)*(Inputs!$J$9-Inputs!$I$9)))-Inputs!$C$42)^2)/(2*Inputs!$C$45^2))+Inputs!$C$48*(0.7*(0.45*SIN(2*PI()*((((Inputs!$I$9+(((A55)+1)/2)*(Inputs!$J$9-Inputs!$I$9)))/Inputs!$C$49)+Inputs!$C$47*0.137))+0.35*COS(2*PI()*(((Inputs!$C$6)/Inputs!$C$50)+Inputs!$C$47*0.173))+0.2*SIN(2*PI()*((((Inputs!$I$9+(((A55)+1)/2)*(Inputs!$J$9-Inputs!$I$9)))+(Inputs!$C$6))/(0.5*(Inputs!$C$49+Inputs!$C$50))+Inputs!$C$47*0.097)))+0.3*(2*((SIN((((Inputs!$I$9+(((A55)+1)/2)*(Inputs!$J$9-Inputs!$I$9)))*12.9898+(Inputs!$C$6)*78.233+Inputs!$C$47*37.719))*43758.5453)-INT((SIN((((Inputs!$I$9+(((A55)+1)/2)*(Inputs!$J$9-Inputs!$I$9)))*12.9898+(Inputs!$C$6)*78.233+Inputs!$C$47*37.719))*43758.5453)))-1))),NA())</f>
        <v/>
      </c>
      <c r="AW55" s="10" t="n"/>
      <c r="AX55" s="9">
        <f>A55</f>
        <v/>
      </c>
      <c r="AY55" s="9">
        <f>0</f>
        <v/>
      </c>
      <c r="AZ55" s="9">
        <f>IF(OR(Inputs!$F$6=TRUE,Inputs!$F$6="TRUE",Inputs!$F$6=1),(Inputs!$H$6+Inputs!$L$6*(((Inputs!$I$6+(((A55)+1)/2)*(Inputs!$J$6-Inputs!$I$6)))/Inputs!$K$6)^2),NA())</f>
        <v/>
      </c>
      <c r="BA55" s="9">
        <f>IF(OR(Inputs!$F$7=TRUE,Inputs!$F$7="TRUE",Inputs!$F$7=1),(Inputs!$H$7+Inputs!$L$7*(((Inputs!$I$7+(((A55)+1)/2)*(Inputs!$J$7-Inputs!$I$7)))/Inputs!$K$7)^2),NA())</f>
        <v/>
      </c>
      <c r="BB55" s="9">
        <f>IF(OR(Inputs!$F$8=TRUE,Inputs!$F$8="TRUE",Inputs!$F$8=1),(Inputs!$H$8+Inputs!$L$8*(((Inputs!$I$8+(((A55)+1)/2)*(Inputs!$J$8-Inputs!$I$8)))/Inputs!$K$8)^2),NA())</f>
        <v/>
      </c>
      <c r="BC55" s="9">
        <f>IF(OR(Inputs!$F$9=TRUE,Inputs!$F$9="TRUE",Inputs!$F$9=1),(Inputs!$H$9+Inputs!$L$9*(((Inputs!$I$9+(((A55)+1)/2)*(Inputs!$J$9-Inputs!$I$9)))/Inputs!$K$9)^2),NA())</f>
        <v/>
      </c>
      <c r="BD55" s="10" t="n"/>
      <c r="BE55" s="9">
        <f>A55</f>
        <v/>
      </c>
      <c r="BF55" s="9">
        <f>0</f>
        <v/>
      </c>
      <c r="BG55" s="9">
        <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f>
        <v/>
      </c>
      <c r="BH55" s="9">
        <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f>
        <v/>
      </c>
      <c r="BI55" s="9">
        <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f>
        <v/>
      </c>
      <c r="BJ55" s="9">
        <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f>
        <v/>
      </c>
    </row>
    <row r="56">
      <c r="A56" s="9">
        <f>ROUND(-1+54*2/240,3)</f>
        <v/>
      </c>
      <c r="B56" s="9">
        <f>IF(OR(Inputs!$F$6=TRUE,Inputs!$F$6="TRUE",Inputs!$F$6=1),(Inputs!$H$6+Inputs!$L$6*(((Inputs!$I$6+(((A56)+1)/2)*(Inputs!$J$6-Inputs!$I$6)))/Inputs!$K$6)^2),NA())</f>
        <v/>
      </c>
      <c r="C56" s="9">
        <f>IF(OR(Inputs!$F$7=TRUE,Inputs!$F$7="TRUE",Inputs!$F$7=1),(Inputs!$H$7+Inputs!$L$7*(((Inputs!$I$7+(((A56)+1)/2)*(Inputs!$J$7-Inputs!$I$7)))/Inputs!$K$7)^2),NA())</f>
        <v/>
      </c>
      <c r="D56" s="9">
        <f>IF(OR(Inputs!$F$8=TRUE,Inputs!$F$8="TRUE",Inputs!$F$8=1),(Inputs!$H$8+Inputs!$L$8*(((Inputs!$I$8+(((A56)+1)/2)*(Inputs!$J$8-Inputs!$I$8)))/Inputs!$K$8)^2),NA())</f>
        <v/>
      </c>
      <c r="E56" s="9">
        <f>IF(OR(Inputs!$F$9=TRUE,Inputs!$F$9="TRUE",Inputs!$F$9=1),(Inputs!$H$9+Inputs!$L$9*(((Inputs!$I$9+(((A56)+1)/2)*(Inputs!$J$9-Inputs!$I$9)))/Inputs!$K$9)^2),NA())</f>
        <v/>
      </c>
      <c r="F56" s="10" t="n"/>
      <c r="G56" s="9">
        <f>A56</f>
        <v/>
      </c>
      <c r="H56" s="9">
        <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f>
        <v/>
      </c>
      <c r="I56" s="9">
        <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f>
        <v/>
      </c>
      <c r="J56" s="9">
        <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f>
        <v/>
      </c>
      <c r="K56" s="9">
        <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f>
        <v/>
      </c>
      <c r="L56" s="10" t="n"/>
      <c r="M56" s="9">
        <f>A56</f>
        <v/>
      </c>
      <c r="N56" s="9">
        <f>IF(OR(Inputs!$F$6=TRUE,Inputs!$F$6="TRUE",Inputs!$F$6=1),(-2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NA())</f>
        <v/>
      </c>
      <c r="O56" s="9">
        <f>IF(OR(Inputs!$F$7=TRUE,Inputs!$F$7="TRUE",Inputs!$F$7=1),(-2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NA())</f>
        <v/>
      </c>
      <c r="P56" s="9">
        <f>IF(OR(Inputs!$F$8=TRUE,Inputs!$F$8="TRUE",Inputs!$F$8=1),(-2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NA())</f>
        <v/>
      </c>
      <c r="Q56" s="9">
        <f>IF(OR(Inputs!$F$9=TRUE,Inputs!$F$9="TRUE",Inputs!$F$9=1),(-2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NA())</f>
        <v/>
      </c>
      <c r="R56" s="10" t="n"/>
      <c r="S56" s="9">
        <f>A56</f>
        <v/>
      </c>
      <c r="T56" s="9">
        <f>(Inputs!$I$6+(((A56)+1)/2)*(Inputs!$J$6-Inputs!$I$6))</f>
        <v/>
      </c>
      <c r="U56" s="9">
        <f>(Inputs!$I$7+(((A56)+1)/2)*(Inputs!$J$7-Inputs!$I$7))</f>
        <v/>
      </c>
      <c r="V56" s="9">
        <f>(Inputs!$I$8+(((A56)+1)/2)*(Inputs!$J$8-Inputs!$I$8))</f>
        <v/>
      </c>
      <c r="W56" s="9">
        <f>(Inputs!$I$9+(((A56)+1)/2)*(Inputs!$J$9-Inputs!$I$9))</f>
        <v/>
      </c>
      <c r="X56" s="10" t="n"/>
      <c r="Y56" s="9">
        <f>A56</f>
        <v/>
      </c>
      <c r="Z56" s="9">
        <f>(Inputs!$H$6+Inputs!$L$6*(((Inputs!$I$6+(((A56)+1)/2)*(Inputs!$J$6-Inputs!$I$6)))/Inputs!$K$6)^2)</f>
        <v/>
      </c>
      <c r="AA56" s="9">
        <f>(Inputs!$H$7+Inputs!$L$7*(((Inputs!$I$7+(((A56)+1)/2)*(Inputs!$J$7-Inputs!$I$7)))/Inputs!$K$7)^2)</f>
        <v/>
      </c>
      <c r="AB56" s="9">
        <f>(Inputs!$H$8+Inputs!$L$8*(((Inputs!$I$8+(((A56)+1)/2)*(Inputs!$J$8-Inputs!$I$8)))/Inputs!$K$8)^2)</f>
        <v/>
      </c>
      <c r="AC56" s="9">
        <f>(Inputs!$H$9+Inputs!$L$9*(((Inputs!$I$9+(((A56)+1)/2)*(Inputs!$J$9-Inputs!$I$9)))/Inputs!$K$9)^2)</f>
        <v/>
      </c>
      <c r="AD56" s="10" t="n"/>
      <c r="AE56" s="9">
        <f>A56</f>
        <v/>
      </c>
      <c r="AF56" s="9">
        <f>(((SQRT((Inputs!$C$52+((Inputs!$H$6+Inputs!$L$6*(((Inputs!$I$6+(((A56)+1)/2)*(Inputs!$J$6-Inputs!$I$6)))/Inputs!$K$6)^2)))^2+Inputs!$C$52^2-2*(Inputs!$C$52+((Inputs!$H$6+Inputs!$L$6*(((Inputs!$I$6+(((A56)+1)/2)*(Inputs!$J$6-Inputs!$I$6)))/Inputs!$K$6)^2)))*Inputs!$C$52*COS(SQRT(((Inputs!$I$6+(((A56)+1)/2)*(Inputs!$J$6-Inputs!$I$6)))^2+Inputs!$C$6^2)/Inputs!$C$52)))-((Inputs!$H$6+Inputs!$L$6*(((Inputs!$I$6+(((A56)+1)/2)*(Inputs!$J$6-Inputs!$I$6)))/Inputs!$K$6)^2)))*1000/Inputs!$C$12)</f>
        <v/>
      </c>
      <c r="AG56" s="9">
        <f>(((SQRT((Inputs!$C$52+((Inputs!$H$7+Inputs!$L$7*(((Inputs!$I$7+(((A56)+1)/2)*(Inputs!$J$7-Inputs!$I$7)))/Inputs!$K$7)^2)))^2+Inputs!$C$52^2-2*(Inputs!$C$52+((Inputs!$H$7+Inputs!$L$7*(((Inputs!$I$7+(((A56)+1)/2)*(Inputs!$J$7-Inputs!$I$7)))/Inputs!$K$7)^2)))*Inputs!$C$52*COS(SQRT(((Inputs!$I$7+(((A56)+1)/2)*(Inputs!$J$7-Inputs!$I$7)))^2+Inputs!$C$6^2)/Inputs!$C$52)))-((Inputs!$H$7+Inputs!$L$7*(((Inputs!$I$7+(((A56)+1)/2)*(Inputs!$J$7-Inputs!$I$7)))/Inputs!$K$7)^2)))*1000/Inputs!$C$12)</f>
        <v/>
      </c>
      <c r="AH56" s="9">
        <f>(((SQRT((Inputs!$C$52+((Inputs!$H$8+Inputs!$L$8*(((Inputs!$I$8+(((A56)+1)/2)*(Inputs!$J$8-Inputs!$I$8)))/Inputs!$K$8)^2)))^2+Inputs!$C$52^2-2*(Inputs!$C$52+((Inputs!$H$8+Inputs!$L$8*(((Inputs!$I$8+(((A56)+1)/2)*(Inputs!$J$8-Inputs!$I$8)))/Inputs!$K$8)^2)))*Inputs!$C$52*COS(SQRT(((Inputs!$I$8+(((A56)+1)/2)*(Inputs!$J$8-Inputs!$I$8)))^2+Inputs!$C$6^2)/Inputs!$C$52)))-((Inputs!$H$8+Inputs!$L$8*(((Inputs!$I$8+(((A56)+1)/2)*(Inputs!$J$8-Inputs!$I$8)))/Inputs!$K$8)^2)))*1000/Inputs!$C$12)</f>
        <v/>
      </c>
      <c r="AI56" s="9">
        <f>(((SQRT((Inputs!$C$52+((Inputs!$H$9+Inputs!$L$9*(((Inputs!$I$9+(((A56)+1)/2)*(Inputs!$J$9-Inputs!$I$9)))/Inputs!$K$9)^2)))^2+Inputs!$C$52^2-2*(Inputs!$C$52+((Inputs!$H$9+Inputs!$L$9*(((Inputs!$I$9+(((A56)+1)/2)*(Inputs!$J$9-Inputs!$I$9)))/Inputs!$K$9)^2)))*Inputs!$C$52*COS(SQRT(((Inputs!$I$9+(((A56)+1)/2)*(Inputs!$J$9-Inputs!$I$9)))^2+Inputs!$C$6^2)/Inputs!$C$52)))-((Inputs!$H$9+Inputs!$L$9*(((Inputs!$I$9+(((A56)+1)/2)*(Inputs!$J$9-Inputs!$I$9)))/Inputs!$K$9)^2)))*1000/Inputs!$C$12)</f>
        <v/>
      </c>
      <c r="AJ56" s="10" t="n"/>
      <c r="AK56" s="9">
        <f>A56</f>
        <v/>
      </c>
      <c r="AL56" s="9">
        <f>(-2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f>
        <v/>
      </c>
      <c r="AM56" s="9">
        <f>(-2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f>
        <v/>
      </c>
      <c r="AN56" s="9">
        <f>(-2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f>
        <v/>
      </c>
      <c r="AO56" s="9">
        <f>(-2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f>
        <v/>
      </c>
      <c r="AP56" s="10" t="n"/>
      <c r="AQ56" s="9">
        <f>A56</f>
        <v/>
      </c>
      <c r="AR56" s="9">
        <f>0</f>
        <v/>
      </c>
      <c r="AS56" s="9">
        <f>IF(OR(Inputs!$F$6=TRUE,Inputs!$F$6="TRUE",Inputs!$F$6=1),IF(OR(Inputs!$C$27=TRUE,Inputs!$C$27="TRUE",Inputs!$C$27=1),1,0)*(Inputs!$C$51*(115*EXP(-(((Inputs!$C$6)-25)^2)/(4.5^2))+70*EXP(-(((Inputs!$C$6)+38)^2)/(7^2))*(0.55+0.45*SIN(2*PI()*((Inputs!$I$6+(((A56)+1)/2)*(Inputs!$J$6-Inputs!$I$6)))/45))+24*SIN(2*PI()*(Inputs!$C$6)/9+((Inputs!$I$6+(((A56)+1)/2)*(Inputs!$J$6-Inputs!$I$6)))/18)*EXP(-(((Inputs!$C$6)+5)^2)/(22^2))+18*SIN(2*PI()*((Inputs!$I$6+(((A56)+1)/2)*(Inputs!$J$6-Inputs!$I$6)))/70))+Inputs!$C$28*EXP(-((((Inputs!$I$6+(((A56)+1)/2)*(Inputs!$J$6-Inputs!$I$6)))-Inputs!$C$29)^2)/(2*Inputs!$C$31^2))*EXP(-(((Inputs!$C$6)-Inputs!$C$30)^2)/(2*Inputs!$C$32^2))+-Inputs!$C$33*EXP(-((((((Inputs!$I$6+(((A56)+1)/2)*(Inputs!$J$6-Inputs!$I$6)))-Inputs!$C$34)^2)+(((Inputs!$C$6)-Inputs!$C$35)^2))/(2*Inputs!$C$36^2)))+Inputs!$C$37*(0.55*SIN(2*PI()*((Inputs!$I$6+(((A56)+1)/2)*(Inputs!$J$6-Inputs!$I$6)))/Inputs!$C$39)+0.35*COS(2*PI()*(Inputs!$C$6)/Inputs!$C$40)+0.2*SIN(2*PI()*(((Inputs!$I$6+(((A56)+1)/2)*(Inputs!$J$6-Inputs!$I$6)))+(Inputs!$C$6))/(0.5*(Inputs!$C$39+Inputs!$C$40))))+Inputs!$C$38*SIN(2*PI()*((Inputs!$I$6+(((A56)+1)/2)*(Inputs!$J$6-Inputs!$I$6)))/Inputs!$C$39)*SIN(2*PI()*(Inputs!$C$6)/Inputs!$C$40)+-Inputs!$C$41*EXP(-(((Inputs!$C$6)-Inputs!$C$43)^2)/(2*Inputs!$C$44^2))*EXP(-((((Inputs!$I$6+(((A56)+1)/2)*(Inputs!$J$6-Inputs!$I$6)))-Inputs!$C$42)^2)/(2*Inputs!$C$45^2))+Inputs!$C$48*(0.7*(0.45*SIN(2*PI()*((((Inputs!$I$6+(((A56)+1)/2)*(Inputs!$J$6-Inputs!$I$6)))/Inputs!$C$49)+Inputs!$C$47*0.137))+0.35*COS(2*PI()*(((Inputs!$C$6)/Inputs!$C$50)+Inputs!$C$47*0.173))+0.2*SIN(2*PI()*((((Inputs!$I$6+(((A56)+1)/2)*(Inputs!$J$6-Inputs!$I$6)))+(Inputs!$C$6))/(0.5*(Inputs!$C$49+Inputs!$C$50))+Inputs!$C$47*0.097)))+0.3*(2*((SIN((((Inputs!$I$6+(((A56)+1)/2)*(Inputs!$J$6-Inputs!$I$6)))*12.9898+(Inputs!$C$6)*78.233+Inputs!$C$47*37.719))*43758.5453)-INT((SIN((((Inputs!$I$6+(((A56)+1)/2)*(Inputs!$J$6-Inputs!$I$6)))*12.9898+(Inputs!$C$6)*78.233+Inputs!$C$47*37.719))*43758.5453)))-1))),NA())</f>
        <v/>
      </c>
      <c r="AT56" s="9">
        <f>IF(OR(Inputs!$F$7=TRUE,Inputs!$F$7="TRUE",Inputs!$F$7=1),IF(OR(Inputs!$C$27=TRUE,Inputs!$C$27="TRUE",Inputs!$C$27=1),1,0)*(Inputs!$C$51*(115*EXP(-(((Inputs!$C$6)-25)^2)/(4.5^2))+70*EXP(-(((Inputs!$C$6)+38)^2)/(7^2))*(0.55+0.45*SIN(2*PI()*((Inputs!$I$7+(((A56)+1)/2)*(Inputs!$J$7-Inputs!$I$7)))/45))+24*SIN(2*PI()*(Inputs!$C$6)/9+((Inputs!$I$7+(((A56)+1)/2)*(Inputs!$J$7-Inputs!$I$7)))/18)*EXP(-(((Inputs!$C$6)+5)^2)/(22^2))+18*SIN(2*PI()*((Inputs!$I$7+(((A56)+1)/2)*(Inputs!$J$7-Inputs!$I$7)))/70))+Inputs!$C$28*EXP(-((((Inputs!$I$7+(((A56)+1)/2)*(Inputs!$J$7-Inputs!$I$7)))-Inputs!$C$29)^2)/(2*Inputs!$C$31^2))*EXP(-(((Inputs!$C$6)-Inputs!$C$30)^2)/(2*Inputs!$C$32^2))+-Inputs!$C$33*EXP(-((((((Inputs!$I$7+(((A56)+1)/2)*(Inputs!$J$7-Inputs!$I$7)))-Inputs!$C$34)^2)+(((Inputs!$C$6)-Inputs!$C$35)^2))/(2*Inputs!$C$36^2)))+Inputs!$C$37*(0.55*SIN(2*PI()*((Inputs!$I$7+(((A56)+1)/2)*(Inputs!$J$7-Inputs!$I$7)))/Inputs!$C$39)+0.35*COS(2*PI()*(Inputs!$C$6)/Inputs!$C$40)+0.2*SIN(2*PI()*(((Inputs!$I$7+(((A56)+1)/2)*(Inputs!$J$7-Inputs!$I$7)))+(Inputs!$C$6))/(0.5*(Inputs!$C$39+Inputs!$C$40))))+Inputs!$C$38*SIN(2*PI()*((Inputs!$I$7+(((A56)+1)/2)*(Inputs!$J$7-Inputs!$I$7)))/Inputs!$C$39)*SIN(2*PI()*(Inputs!$C$6)/Inputs!$C$40)+-Inputs!$C$41*EXP(-(((Inputs!$C$6)-Inputs!$C$43)^2)/(2*Inputs!$C$44^2))*EXP(-((((Inputs!$I$7+(((A56)+1)/2)*(Inputs!$J$7-Inputs!$I$7)))-Inputs!$C$42)^2)/(2*Inputs!$C$45^2))+Inputs!$C$48*(0.7*(0.45*SIN(2*PI()*((((Inputs!$I$7+(((A56)+1)/2)*(Inputs!$J$7-Inputs!$I$7)))/Inputs!$C$49)+Inputs!$C$47*0.137))+0.35*COS(2*PI()*(((Inputs!$C$6)/Inputs!$C$50)+Inputs!$C$47*0.173))+0.2*SIN(2*PI()*((((Inputs!$I$7+(((A56)+1)/2)*(Inputs!$J$7-Inputs!$I$7)))+(Inputs!$C$6))/(0.5*(Inputs!$C$49+Inputs!$C$50))+Inputs!$C$47*0.097)))+0.3*(2*((SIN((((Inputs!$I$7+(((A56)+1)/2)*(Inputs!$J$7-Inputs!$I$7)))*12.9898+(Inputs!$C$6)*78.233+Inputs!$C$47*37.719))*43758.5453)-INT((SIN((((Inputs!$I$7+(((A56)+1)/2)*(Inputs!$J$7-Inputs!$I$7)))*12.9898+(Inputs!$C$6)*78.233+Inputs!$C$47*37.719))*43758.5453)))-1))),NA())</f>
        <v/>
      </c>
      <c r="AU56" s="9">
        <f>IF(OR(Inputs!$F$8=TRUE,Inputs!$F$8="TRUE",Inputs!$F$8=1),IF(OR(Inputs!$C$27=TRUE,Inputs!$C$27="TRUE",Inputs!$C$27=1),1,0)*(Inputs!$C$51*(115*EXP(-(((Inputs!$C$6)-25)^2)/(4.5^2))+70*EXP(-(((Inputs!$C$6)+38)^2)/(7^2))*(0.55+0.45*SIN(2*PI()*((Inputs!$I$8+(((A56)+1)/2)*(Inputs!$J$8-Inputs!$I$8)))/45))+24*SIN(2*PI()*(Inputs!$C$6)/9+((Inputs!$I$8+(((A56)+1)/2)*(Inputs!$J$8-Inputs!$I$8)))/18)*EXP(-(((Inputs!$C$6)+5)^2)/(22^2))+18*SIN(2*PI()*((Inputs!$I$8+(((A56)+1)/2)*(Inputs!$J$8-Inputs!$I$8)))/70))+Inputs!$C$28*EXP(-((((Inputs!$I$8+(((A56)+1)/2)*(Inputs!$J$8-Inputs!$I$8)))-Inputs!$C$29)^2)/(2*Inputs!$C$31^2))*EXP(-(((Inputs!$C$6)-Inputs!$C$30)^2)/(2*Inputs!$C$32^2))+-Inputs!$C$33*EXP(-((((((Inputs!$I$8+(((A56)+1)/2)*(Inputs!$J$8-Inputs!$I$8)))-Inputs!$C$34)^2)+(((Inputs!$C$6)-Inputs!$C$35)^2))/(2*Inputs!$C$36^2)))+Inputs!$C$37*(0.55*SIN(2*PI()*((Inputs!$I$8+(((A56)+1)/2)*(Inputs!$J$8-Inputs!$I$8)))/Inputs!$C$39)+0.35*COS(2*PI()*(Inputs!$C$6)/Inputs!$C$40)+0.2*SIN(2*PI()*(((Inputs!$I$8+(((A56)+1)/2)*(Inputs!$J$8-Inputs!$I$8)))+(Inputs!$C$6))/(0.5*(Inputs!$C$39+Inputs!$C$40))))+Inputs!$C$38*SIN(2*PI()*((Inputs!$I$8+(((A56)+1)/2)*(Inputs!$J$8-Inputs!$I$8)))/Inputs!$C$39)*SIN(2*PI()*(Inputs!$C$6)/Inputs!$C$40)+-Inputs!$C$41*EXP(-(((Inputs!$C$6)-Inputs!$C$43)^2)/(2*Inputs!$C$44^2))*EXP(-((((Inputs!$I$8+(((A56)+1)/2)*(Inputs!$J$8-Inputs!$I$8)))-Inputs!$C$42)^2)/(2*Inputs!$C$45^2))+Inputs!$C$48*(0.7*(0.45*SIN(2*PI()*((((Inputs!$I$8+(((A56)+1)/2)*(Inputs!$J$8-Inputs!$I$8)))/Inputs!$C$49)+Inputs!$C$47*0.137))+0.35*COS(2*PI()*(((Inputs!$C$6)/Inputs!$C$50)+Inputs!$C$47*0.173))+0.2*SIN(2*PI()*((((Inputs!$I$8+(((A56)+1)/2)*(Inputs!$J$8-Inputs!$I$8)))+(Inputs!$C$6))/(0.5*(Inputs!$C$49+Inputs!$C$50))+Inputs!$C$47*0.097)))+0.3*(2*((SIN((((Inputs!$I$8+(((A56)+1)/2)*(Inputs!$J$8-Inputs!$I$8)))*12.9898+(Inputs!$C$6)*78.233+Inputs!$C$47*37.719))*43758.5453)-INT((SIN((((Inputs!$I$8+(((A56)+1)/2)*(Inputs!$J$8-Inputs!$I$8)))*12.9898+(Inputs!$C$6)*78.233+Inputs!$C$47*37.719))*43758.5453)))-1))),NA())</f>
        <v/>
      </c>
      <c r="AV56" s="9">
        <f>IF(OR(Inputs!$F$9=TRUE,Inputs!$F$9="TRUE",Inputs!$F$9=1),IF(OR(Inputs!$C$27=TRUE,Inputs!$C$27="TRUE",Inputs!$C$27=1),1,0)*(Inputs!$C$51*(115*EXP(-(((Inputs!$C$6)-25)^2)/(4.5^2))+70*EXP(-(((Inputs!$C$6)+38)^2)/(7^2))*(0.55+0.45*SIN(2*PI()*((Inputs!$I$9+(((A56)+1)/2)*(Inputs!$J$9-Inputs!$I$9)))/45))+24*SIN(2*PI()*(Inputs!$C$6)/9+((Inputs!$I$9+(((A56)+1)/2)*(Inputs!$J$9-Inputs!$I$9)))/18)*EXP(-(((Inputs!$C$6)+5)^2)/(22^2))+18*SIN(2*PI()*((Inputs!$I$9+(((A56)+1)/2)*(Inputs!$J$9-Inputs!$I$9)))/70))+Inputs!$C$28*EXP(-((((Inputs!$I$9+(((A56)+1)/2)*(Inputs!$J$9-Inputs!$I$9)))-Inputs!$C$29)^2)/(2*Inputs!$C$31^2))*EXP(-(((Inputs!$C$6)-Inputs!$C$30)^2)/(2*Inputs!$C$32^2))+-Inputs!$C$33*EXP(-((((((Inputs!$I$9+(((A56)+1)/2)*(Inputs!$J$9-Inputs!$I$9)))-Inputs!$C$34)^2)+(((Inputs!$C$6)-Inputs!$C$35)^2))/(2*Inputs!$C$36^2)))+Inputs!$C$37*(0.55*SIN(2*PI()*((Inputs!$I$9+(((A56)+1)/2)*(Inputs!$J$9-Inputs!$I$9)))/Inputs!$C$39)+0.35*COS(2*PI()*(Inputs!$C$6)/Inputs!$C$40)+0.2*SIN(2*PI()*(((Inputs!$I$9+(((A56)+1)/2)*(Inputs!$J$9-Inputs!$I$9)))+(Inputs!$C$6))/(0.5*(Inputs!$C$39+Inputs!$C$40))))+Inputs!$C$38*SIN(2*PI()*((Inputs!$I$9+(((A56)+1)/2)*(Inputs!$J$9-Inputs!$I$9)))/Inputs!$C$39)*SIN(2*PI()*(Inputs!$C$6)/Inputs!$C$40)+-Inputs!$C$41*EXP(-(((Inputs!$C$6)-Inputs!$C$43)^2)/(2*Inputs!$C$44^2))*EXP(-((((Inputs!$I$9+(((A56)+1)/2)*(Inputs!$J$9-Inputs!$I$9)))-Inputs!$C$42)^2)/(2*Inputs!$C$45^2))+Inputs!$C$48*(0.7*(0.45*SIN(2*PI()*((((Inputs!$I$9+(((A56)+1)/2)*(Inputs!$J$9-Inputs!$I$9)))/Inputs!$C$49)+Inputs!$C$47*0.137))+0.35*COS(2*PI()*(((Inputs!$C$6)/Inputs!$C$50)+Inputs!$C$47*0.173))+0.2*SIN(2*PI()*((((Inputs!$I$9+(((A56)+1)/2)*(Inputs!$J$9-Inputs!$I$9)))+(Inputs!$C$6))/(0.5*(Inputs!$C$49+Inputs!$C$50))+Inputs!$C$47*0.097)))+0.3*(2*((SIN((((Inputs!$I$9+(((A56)+1)/2)*(Inputs!$J$9-Inputs!$I$9)))*12.9898+(Inputs!$C$6)*78.233+Inputs!$C$47*37.719))*43758.5453)-INT((SIN((((Inputs!$I$9+(((A56)+1)/2)*(Inputs!$J$9-Inputs!$I$9)))*12.9898+(Inputs!$C$6)*78.233+Inputs!$C$47*37.719))*43758.5453)))-1))),NA())</f>
        <v/>
      </c>
      <c r="AW56" s="10" t="n"/>
      <c r="AX56" s="9">
        <f>A56</f>
        <v/>
      </c>
      <c r="AY56" s="9">
        <f>0</f>
        <v/>
      </c>
      <c r="AZ56" s="9">
        <f>IF(OR(Inputs!$F$6=TRUE,Inputs!$F$6="TRUE",Inputs!$F$6=1),(Inputs!$H$6+Inputs!$L$6*(((Inputs!$I$6+(((A56)+1)/2)*(Inputs!$J$6-Inputs!$I$6)))/Inputs!$K$6)^2),NA())</f>
        <v/>
      </c>
      <c r="BA56" s="9">
        <f>IF(OR(Inputs!$F$7=TRUE,Inputs!$F$7="TRUE",Inputs!$F$7=1),(Inputs!$H$7+Inputs!$L$7*(((Inputs!$I$7+(((A56)+1)/2)*(Inputs!$J$7-Inputs!$I$7)))/Inputs!$K$7)^2),NA())</f>
        <v/>
      </c>
      <c r="BB56" s="9">
        <f>IF(OR(Inputs!$F$8=TRUE,Inputs!$F$8="TRUE",Inputs!$F$8=1),(Inputs!$H$8+Inputs!$L$8*(((Inputs!$I$8+(((A56)+1)/2)*(Inputs!$J$8-Inputs!$I$8)))/Inputs!$K$8)^2),NA())</f>
        <v/>
      </c>
      <c r="BC56" s="9">
        <f>IF(OR(Inputs!$F$9=TRUE,Inputs!$F$9="TRUE",Inputs!$F$9=1),(Inputs!$H$9+Inputs!$L$9*(((Inputs!$I$9+(((A56)+1)/2)*(Inputs!$J$9-Inputs!$I$9)))/Inputs!$K$9)^2),NA())</f>
        <v/>
      </c>
      <c r="BD56" s="10" t="n"/>
      <c r="BE56" s="9">
        <f>A56</f>
        <v/>
      </c>
      <c r="BF56" s="9">
        <f>0</f>
        <v/>
      </c>
      <c r="BG56" s="9">
        <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f>
        <v/>
      </c>
      <c r="BH56" s="9">
        <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f>
        <v/>
      </c>
      <c r="BI56" s="9">
        <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f>
        <v/>
      </c>
      <c r="BJ56" s="9">
        <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f>
        <v/>
      </c>
    </row>
    <row r="57">
      <c r="A57" s="9">
        <f>ROUND(-1+55*2/240,3)</f>
        <v/>
      </c>
      <c r="B57" s="9">
        <f>IF(OR(Inputs!$F$6=TRUE,Inputs!$F$6="TRUE",Inputs!$F$6=1),(Inputs!$H$6+Inputs!$L$6*(((Inputs!$I$6+(((A57)+1)/2)*(Inputs!$J$6-Inputs!$I$6)))/Inputs!$K$6)^2),NA())</f>
        <v/>
      </c>
      <c r="C57" s="9">
        <f>IF(OR(Inputs!$F$7=TRUE,Inputs!$F$7="TRUE",Inputs!$F$7=1),(Inputs!$H$7+Inputs!$L$7*(((Inputs!$I$7+(((A57)+1)/2)*(Inputs!$J$7-Inputs!$I$7)))/Inputs!$K$7)^2),NA())</f>
        <v/>
      </c>
      <c r="D57" s="9">
        <f>IF(OR(Inputs!$F$8=TRUE,Inputs!$F$8="TRUE",Inputs!$F$8=1),(Inputs!$H$8+Inputs!$L$8*(((Inputs!$I$8+(((A57)+1)/2)*(Inputs!$J$8-Inputs!$I$8)))/Inputs!$K$8)^2),NA())</f>
        <v/>
      </c>
      <c r="E57" s="9">
        <f>IF(OR(Inputs!$F$9=TRUE,Inputs!$F$9="TRUE",Inputs!$F$9=1),(Inputs!$H$9+Inputs!$L$9*(((Inputs!$I$9+(((A57)+1)/2)*(Inputs!$J$9-Inputs!$I$9)))/Inputs!$K$9)^2),NA())</f>
        <v/>
      </c>
      <c r="F57" s="10" t="n"/>
      <c r="G57" s="9">
        <f>A57</f>
        <v/>
      </c>
      <c r="H57" s="9">
        <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f>
        <v/>
      </c>
      <c r="I57" s="9">
        <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f>
        <v/>
      </c>
      <c r="J57" s="9">
        <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f>
        <v/>
      </c>
      <c r="K57" s="9">
        <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f>
        <v/>
      </c>
      <c r="L57" s="10" t="n"/>
      <c r="M57" s="9">
        <f>A57</f>
        <v/>
      </c>
      <c r="N57" s="9">
        <f>IF(OR(Inputs!$F$6=TRUE,Inputs!$F$6="TRUE",Inputs!$F$6=1),(-2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NA())</f>
        <v/>
      </c>
      <c r="O57" s="9">
        <f>IF(OR(Inputs!$F$7=TRUE,Inputs!$F$7="TRUE",Inputs!$F$7=1),(-2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NA())</f>
        <v/>
      </c>
      <c r="P57" s="9">
        <f>IF(OR(Inputs!$F$8=TRUE,Inputs!$F$8="TRUE",Inputs!$F$8=1),(-2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NA())</f>
        <v/>
      </c>
      <c r="Q57" s="9">
        <f>IF(OR(Inputs!$F$9=TRUE,Inputs!$F$9="TRUE",Inputs!$F$9=1),(-2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NA())</f>
        <v/>
      </c>
      <c r="R57" s="10" t="n"/>
      <c r="S57" s="9">
        <f>A57</f>
        <v/>
      </c>
      <c r="T57" s="9">
        <f>(Inputs!$I$6+(((A57)+1)/2)*(Inputs!$J$6-Inputs!$I$6))</f>
        <v/>
      </c>
      <c r="U57" s="9">
        <f>(Inputs!$I$7+(((A57)+1)/2)*(Inputs!$J$7-Inputs!$I$7))</f>
        <v/>
      </c>
      <c r="V57" s="9">
        <f>(Inputs!$I$8+(((A57)+1)/2)*(Inputs!$J$8-Inputs!$I$8))</f>
        <v/>
      </c>
      <c r="W57" s="9">
        <f>(Inputs!$I$9+(((A57)+1)/2)*(Inputs!$J$9-Inputs!$I$9))</f>
        <v/>
      </c>
      <c r="X57" s="10" t="n"/>
      <c r="Y57" s="9">
        <f>A57</f>
        <v/>
      </c>
      <c r="Z57" s="9">
        <f>(Inputs!$H$6+Inputs!$L$6*(((Inputs!$I$6+(((A57)+1)/2)*(Inputs!$J$6-Inputs!$I$6)))/Inputs!$K$6)^2)</f>
        <v/>
      </c>
      <c r="AA57" s="9">
        <f>(Inputs!$H$7+Inputs!$L$7*(((Inputs!$I$7+(((A57)+1)/2)*(Inputs!$J$7-Inputs!$I$7)))/Inputs!$K$7)^2)</f>
        <v/>
      </c>
      <c r="AB57" s="9">
        <f>(Inputs!$H$8+Inputs!$L$8*(((Inputs!$I$8+(((A57)+1)/2)*(Inputs!$J$8-Inputs!$I$8)))/Inputs!$K$8)^2)</f>
        <v/>
      </c>
      <c r="AC57" s="9">
        <f>(Inputs!$H$9+Inputs!$L$9*(((Inputs!$I$9+(((A57)+1)/2)*(Inputs!$J$9-Inputs!$I$9)))/Inputs!$K$9)^2)</f>
        <v/>
      </c>
      <c r="AD57" s="10" t="n"/>
      <c r="AE57" s="9">
        <f>A57</f>
        <v/>
      </c>
      <c r="AF57" s="9">
        <f>(((SQRT((Inputs!$C$52+((Inputs!$H$6+Inputs!$L$6*(((Inputs!$I$6+(((A57)+1)/2)*(Inputs!$J$6-Inputs!$I$6)))/Inputs!$K$6)^2)))^2+Inputs!$C$52^2-2*(Inputs!$C$52+((Inputs!$H$6+Inputs!$L$6*(((Inputs!$I$6+(((A57)+1)/2)*(Inputs!$J$6-Inputs!$I$6)))/Inputs!$K$6)^2)))*Inputs!$C$52*COS(SQRT(((Inputs!$I$6+(((A57)+1)/2)*(Inputs!$J$6-Inputs!$I$6)))^2+Inputs!$C$6^2)/Inputs!$C$52)))-((Inputs!$H$6+Inputs!$L$6*(((Inputs!$I$6+(((A57)+1)/2)*(Inputs!$J$6-Inputs!$I$6)))/Inputs!$K$6)^2)))*1000/Inputs!$C$12)</f>
        <v/>
      </c>
      <c r="AG57" s="9">
        <f>(((SQRT((Inputs!$C$52+((Inputs!$H$7+Inputs!$L$7*(((Inputs!$I$7+(((A57)+1)/2)*(Inputs!$J$7-Inputs!$I$7)))/Inputs!$K$7)^2)))^2+Inputs!$C$52^2-2*(Inputs!$C$52+((Inputs!$H$7+Inputs!$L$7*(((Inputs!$I$7+(((A57)+1)/2)*(Inputs!$J$7-Inputs!$I$7)))/Inputs!$K$7)^2)))*Inputs!$C$52*COS(SQRT(((Inputs!$I$7+(((A57)+1)/2)*(Inputs!$J$7-Inputs!$I$7)))^2+Inputs!$C$6^2)/Inputs!$C$52)))-((Inputs!$H$7+Inputs!$L$7*(((Inputs!$I$7+(((A57)+1)/2)*(Inputs!$J$7-Inputs!$I$7)))/Inputs!$K$7)^2)))*1000/Inputs!$C$12)</f>
        <v/>
      </c>
      <c r="AH57" s="9">
        <f>(((SQRT((Inputs!$C$52+((Inputs!$H$8+Inputs!$L$8*(((Inputs!$I$8+(((A57)+1)/2)*(Inputs!$J$8-Inputs!$I$8)))/Inputs!$K$8)^2)))^2+Inputs!$C$52^2-2*(Inputs!$C$52+((Inputs!$H$8+Inputs!$L$8*(((Inputs!$I$8+(((A57)+1)/2)*(Inputs!$J$8-Inputs!$I$8)))/Inputs!$K$8)^2)))*Inputs!$C$52*COS(SQRT(((Inputs!$I$8+(((A57)+1)/2)*(Inputs!$J$8-Inputs!$I$8)))^2+Inputs!$C$6^2)/Inputs!$C$52)))-((Inputs!$H$8+Inputs!$L$8*(((Inputs!$I$8+(((A57)+1)/2)*(Inputs!$J$8-Inputs!$I$8)))/Inputs!$K$8)^2)))*1000/Inputs!$C$12)</f>
        <v/>
      </c>
      <c r="AI57" s="9">
        <f>(((SQRT((Inputs!$C$52+((Inputs!$H$9+Inputs!$L$9*(((Inputs!$I$9+(((A57)+1)/2)*(Inputs!$J$9-Inputs!$I$9)))/Inputs!$K$9)^2)))^2+Inputs!$C$52^2-2*(Inputs!$C$52+((Inputs!$H$9+Inputs!$L$9*(((Inputs!$I$9+(((A57)+1)/2)*(Inputs!$J$9-Inputs!$I$9)))/Inputs!$K$9)^2)))*Inputs!$C$52*COS(SQRT(((Inputs!$I$9+(((A57)+1)/2)*(Inputs!$J$9-Inputs!$I$9)))^2+Inputs!$C$6^2)/Inputs!$C$52)))-((Inputs!$H$9+Inputs!$L$9*(((Inputs!$I$9+(((A57)+1)/2)*(Inputs!$J$9-Inputs!$I$9)))/Inputs!$K$9)^2)))*1000/Inputs!$C$12)</f>
        <v/>
      </c>
      <c r="AJ57" s="10" t="n"/>
      <c r="AK57" s="9">
        <f>A57</f>
        <v/>
      </c>
      <c r="AL57" s="9">
        <f>(-2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f>
        <v/>
      </c>
      <c r="AM57" s="9">
        <f>(-2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f>
        <v/>
      </c>
      <c r="AN57" s="9">
        <f>(-2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f>
        <v/>
      </c>
      <c r="AO57" s="9">
        <f>(-2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f>
        <v/>
      </c>
      <c r="AP57" s="10" t="n"/>
      <c r="AQ57" s="9">
        <f>A57</f>
        <v/>
      </c>
      <c r="AR57" s="9">
        <f>0</f>
        <v/>
      </c>
      <c r="AS57" s="9">
        <f>IF(OR(Inputs!$F$6=TRUE,Inputs!$F$6="TRUE",Inputs!$F$6=1),IF(OR(Inputs!$C$27=TRUE,Inputs!$C$27="TRUE",Inputs!$C$27=1),1,0)*(Inputs!$C$51*(115*EXP(-(((Inputs!$C$6)-25)^2)/(4.5^2))+70*EXP(-(((Inputs!$C$6)+38)^2)/(7^2))*(0.55+0.45*SIN(2*PI()*((Inputs!$I$6+(((A57)+1)/2)*(Inputs!$J$6-Inputs!$I$6)))/45))+24*SIN(2*PI()*(Inputs!$C$6)/9+((Inputs!$I$6+(((A57)+1)/2)*(Inputs!$J$6-Inputs!$I$6)))/18)*EXP(-(((Inputs!$C$6)+5)^2)/(22^2))+18*SIN(2*PI()*((Inputs!$I$6+(((A57)+1)/2)*(Inputs!$J$6-Inputs!$I$6)))/70))+Inputs!$C$28*EXP(-((((Inputs!$I$6+(((A57)+1)/2)*(Inputs!$J$6-Inputs!$I$6)))-Inputs!$C$29)^2)/(2*Inputs!$C$31^2))*EXP(-(((Inputs!$C$6)-Inputs!$C$30)^2)/(2*Inputs!$C$32^2))+-Inputs!$C$33*EXP(-((((((Inputs!$I$6+(((A57)+1)/2)*(Inputs!$J$6-Inputs!$I$6)))-Inputs!$C$34)^2)+(((Inputs!$C$6)-Inputs!$C$35)^2))/(2*Inputs!$C$36^2)))+Inputs!$C$37*(0.55*SIN(2*PI()*((Inputs!$I$6+(((A57)+1)/2)*(Inputs!$J$6-Inputs!$I$6)))/Inputs!$C$39)+0.35*COS(2*PI()*(Inputs!$C$6)/Inputs!$C$40)+0.2*SIN(2*PI()*(((Inputs!$I$6+(((A57)+1)/2)*(Inputs!$J$6-Inputs!$I$6)))+(Inputs!$C$6))/(0.5*(Inputs!$C$39+Inputs!$C$40))))+Inputs!$C$38*SIN(2*PI()*((Inputs!$I$6+(((A57)+1)/2)*(Inputs!$J$6-Inputs!$I$6)))/Inputs!$C$39)*SIN(2*PI()*(Inputs!$C$6)/Inputs!$C$40)+-Inputs!$C$41*EXP(-(((Inputs!$C$6)-Inputs!$C$43)^2)/(2*Inputs!$C$44^2))*EXP(-((((Inputs!$I$6+(((A57)+1)/2)*(Inputs!$J$6-Inputs!$I$6)))-Inputs!$C$42)^2)/(2*Inputs!$C$45^2))+Inputs!$C$48*(0.7*(0.45*SIN(2*PI()*((((Inputs!$I$6+(((A57)+1)/2)*(Inputs!$J$6-Inputs!$I$6)))/Inputs!$C$49)+Inputs!$C$47*0.137))+0.35*COS(2*PI()*(((Inputs!$C$6)/Inputs!$C$50)+Inputs!$C$47*0.173))+0.2*SIN(2*PI()*((((Inputs!$I$6+(((A57)+1)/2)*(Inputs!$J$6-Inputs!$I$6)))+(Inputs!$C$6))/(0.5*(Inputs!$C$49+Inputs!$C$50))+Inputs!$C$47*0.097)))+0.3*(2*((SIN((((Inputs!$I$6+(((A57)+1)/2)*(Inputs!$J$6-Inputs!$I$6)))*12.9898+(Inputs!$C$6)*78.233+Inputs!$C$47*37.719))*43758.5453)-INT((SIN((((Inputs!$I$6+(((A57)+1)/2)*(Inputs!$J$6-Inputs!$I$6)))*12.9898+(Inputs!$C$6)*78.233+Inputs!$C$47*37.719))*43758.5453)))-1))),NA())</f>
        <v/>
      </c>
      <c r="AT57" s="9">
        <f>IF(OR(Inputs!$F$7=TRUE,Inputs!$F$7="TRUE",Inputs!$F$7=1),IF(OR(Inputs!$C$27=TRUE,Inputs!$C$27="TRUE",Inputs!$C$27=1),1,0)*(Inputs!$C$51*(115*EXP(-(((Inputs!$C$6)-25)^2)/(4.5^2))+70*EXP(-(((Inputs!$C$6)+38)^2)/(7^2))*(0.55+0.45*SIN(2*PI()*((Inputs!$I$7+(((A57)+1)/2)*(Inputs!$J$7-Inputs!$I$7)))/45))+24*SIN(2*PI()*(Inputs!$C$6)/9+((Inputs!$I$7+(((A57)+1)/2)*(Inputs!$J$7-Inputs!$I$7)))/18)*EXP(-(((Inputs!$C$6)+5)^2)/(22^2))+18*SIN(2*PI()*((Inputs!$I$7+(((A57)+1)/2)*(Inputs!$J$7-Inputs!$I$7)))/70))+Inputs!$C$28*EXP(-((((Inputs!$I$7+(((A57)+1)/2)*(Inputs!$J$7-Inputs!$I$7)))-Inputs!$C$29)^2)/(2*Inputs!$C$31^2))*EXP(-(((Inputs!$C$6)-Inputs!$C$30)^2)/(2*Inputs!$C$32^2))+-Inputs!$C$33*EXP(-((((((Inputs!$I$7+(((A57)+1)/2)*(Inputs!$J$7-Inputs!$I$7)))-Inputs!$C$34)^2)+(((Inputs!$C$6)-Inputs!$C$35)^2))/(2*Inputs!$C$36^2)))+Inputs!$C$37*(0.55*SIN(2*PI()*((Inputs!$I$7+(((A57)+1)/2)*(Inputs!$J$7-Inputs!$I$7)))/Inputs!$C$39)+0.35*COS(2*PI()*(Inputs!$C$6)/Inputs!$C$40)+0.2*SIN(2*PI()*(((Inputs!$I$7+(((A57)+1)/2)*(Inputs!$J$7-Inputs!$I$7)))+(Inputs!$C$6))/(0.5*(Inputs!$C$39+Inputs!$C$40))))+Inputs!$C$38*SIN(2*PI()*((Inputs!$I$7+(((A57)+1)/2)*(Inputs!$J$7-Inputs!$I$7)))/Inputs!$C$39)*SIN(2*PI()*(Inputs!$C$6)/Inputs!$C$40)+-Inputs!$C$41*EXP(-(((Inputs!$C$6)-Inputs!$C$43)^2)/(2*Inputs!$C$44^2))*EXP(-((((Inputs!$I$7+(((A57)+1)/2)*(Inputs!$J$7-Inputs!$I$7)))-Inputs!$C$42)^2)/(2*Inputs!$C$45^2))+Inputs!$C$48*(0.7*(0.45*SIN(2*PI()*((((Inputs!$I$7+(((A57)+1)/2)*(Inputs!$J$7-Inputs!$I$7)))/Inputs!$C$49)+Inputs!$C$47*0.137))+0.35*COS(2*PI()*(((Inputs!$C$6)/Inputs!$C$50)+Inputs!$C$47*0.173))+0.2*SIN(2*PI()*((((Inputs!$I$7+(((A57)+1)/2)*(Inputs!$J$7-Inputs!$I$7)))+(Inputs!$C$6))/(0.5*(Inputs!$C$49+Inputs!$C$50))+Inputs!$C$47*0.097)))+0.3*(2*((SIN((((Inputs!$I$7+(((A57)+1)/2)*(Inputs!$J$7-Inputs!$I$7)))*12.9898+(Inputs!$C$6)*78.233+Inputs!$C$47*37.719))*43758.5453)-INT((SIN((((Inputs!$I$7+(((A57)+1)/2)*(Inputs!$J$7-Inputs!$I$7)))*12.9898+(Inputs!$C$6)*78.233+Inputs!$C$47*37.719))*43758.5453)))-1))),NA())</f>
        <v/>
      </c>
      <c r="AU57" s="9">
        <f>IF(OR(Inputs!$F$8=TRUE,Inputs!$F$8="TRUE",Inputs!$F$8=1),IF(OR(Inputs!$C$27=TRUE,Inputs!$C$27="TRUE",Inputs!$C$27=1),1,0)*(Inputs!$C$51*(115*EXP(-(((Inputs!$C$6)-25)^2)/(4.5^2))+70*EXP(-(((Inputs!$C$6)+38)^2)/(7^2))*(0.55+0.45*SIN(2*PI()*((Inputs!$I$8+(((A57)+1)/2)*(Inputs!$J$8-Inputs!$I$8)))/45))+24*SIN(2*PI()*(Inputs!$C$6)/9+((Inputs!$I$8+(((A57)+1)/2)*(Inputs!$J$8-Inputs!$I$8)))/18)*EXP(-(((Inputs!$C$6)+5)^2)/(22^2))+18*SIN(2*PI()*((Inputs!$I$8+(((A57)+1)/2)*(Inputs!$J$8-Inputs!$I$8)))/70))+Inputs!$C$28*EXP(-((((Inputs!$I$8+(((A57)+1)/2)*(Inputs!$J$8-Inputs!$I$8)))-Inputs!$C$29)^2)/(2*Inputs!$C$31^2))*EXP(-(((Inputs!$C$6)-Inputs!$C$30)^2)/(2*Inputs!$C$32^2))+-Inputs!$C$33*EXP(-((((((Inputs!$I$8+(((A57)+1)/2)*(Inputs!$J$8-Inputs!$I$8)))-Inputs!$C$34)^2)+(((Inputs!$C$6)-Inputs!$C$35)^2))/(2*Inputs!$C$36^2)))+Inputs!$C$37*(0.55*SIN(2*PI()*((Inputs!$I$8+(((A57)+1)/2)*(Inputs!$J$8-Inputs!$I$8)))/Inputs!$C$39)+0.35*COS(2*PI()*(Inputs!$C$6)/Inputs!$C$40)+0.2*SIN(2*PI()*(((Inputs!$I$8+(((A57)+1)/2)*(Inputs!$J$8-Inputs!$I$8)))+(Inputs!$C$6))/(0.5*(Inputs!$C$39+Inputs!$C$40))))+Inputs!$C$38*SIN(2*PI()*((Inputs!$I$8+(((A57)+1)/2)*(Inputs!$J$8-Inputs!$I$8)))/Inputs!$C$39)*SIN(2*PI()*(Inputs!$C$6)/Inputs!$C$40)+-Inputs!$C$41*EXP(-(((Inputs!$C$6)-Inputs!$C$43)^2)/(2*Inputs!$C$44^2))*EXP(-((((Inputs!$I$8+(((A57)+1)/2)*(Inputs!$J$8-Inputs!$I$8)))-Inputs!$C$42)^2)/(2*Inputs!$C$45^2))+Inputs!$C$48*(0.7*(0.45*SIN(2*PI()*((((Inputs!$I$8+(((A57)+1)/2)*(Inputs!$J$8-Inputs!$I$8)))/Inputs!$C$49)+Inputs!$C$47*0.137))+0.35*COS(2*PI()*(((Inputs!$C$6)/Inputs!$C$50)+Inputs!$C$47*0.173))+0.2*SIN(2*PI()*((((Inputs!$I$8+(((A57)+1)/2)*(Inputs!$J$8-Inputs!$I$8)))+(Inputs!$C$6))/(0.5*(Inputs!$C$49+Inputs!$C$50))+Inputs!$C$47*0.097)))+0.3*(2*((SIN((((Inputs!$I$8+(((A57)+1)/2)*(Inputs!$J$8-Inputs!$I$8)))*12.9898+(Inputs!$C$6)*78.233+Inputs!$C$47*37.719))*43758.5453)-INT((SIN((((Inputs!$I$8+(((A57)+1)/2)*(Inputs!$J$8-Inputs!$I$8)))*12.9898+(Inputs!$C$6)*78.233+Inputs!$C$47*37.719))*43758.5453)))-1))),NA())</f>
        <v/>
      </c>
      <c r="AV57" s="9">
        <f>IF(OR(Inputs!$F$9=TRUE,Inputs!$F$9="TRUE",Inputs!$F$9=1),IF(OR(Inputs!$C$27=TRUE,Inputs!$C$27="TRUE",Inputs!$C$27=1),1,0)*(Inputs!$C$51*(115*EXP(-(((Inputs!$C$6)-25)^2)/(4.5^2))+70*EXP(-(((Inputs!$C$6)+38)^2)/(7^2))*(0.55+0.45*SIN(2*PI()*((Inputs!$I$9+(((A57)+1)/2)*(Inputs!$J$9-Inputs!$I$9)))/45))+24*SIN(2*PI()*(Inputs!$C$6)/9+((Inputs!$I$9+(((A57)+1)/2)*(Inputs!$J$9-Inputs!$I$9)))/18)*EXP(-(((Inputs!$C$6)+5)^2)/(22^2))+18*SIN(2*PI()*((Inputs!$I$9+(((A57)+1)/2)*(Inputs!$J$9-Inputs!$I$9)))/70))+Inputs!$C$28*EXP(-((((Inputs!$I$9+(((A57)+1)/2)*(Inputs!$J$9-Inputs!$I$9)))-Inputs!$C$29)^2)/(2*Inputs!$C$31^2))*EXP(-(((Inputs!$C$6)-Inputs!$C$30)^2)/(2*Inputs!$C$32^2))+-Inputs!$C$33*EXP(-((((((Inputs!$I$9+(((A57)+1)/2)*(Inputs!$J$9-Inputs!$I$9)))-Inputs!$C$34)^2)+(((Inputs!$C$6)-Inputs!$C$35)^2))/(2*Inputs!$C$36^2)))+Inputs!$C$37*(0.55*SIN(2*PI()*((Inputs!$I$9+(((A57)+1)/2)*(Inputs!$J$9-Inputs!$I$9)))/Inputs!$C$39)+0.35*COS(2*PI()*(Inputs!$C$6)/Inputs!$C$40)+0.2*SIN(2*PI()*(((Inputs!$I$9+(((A57)+1)/2)*(Inputs!$J$9-Inputs!$I$9)))+(Inputs!$C$6))/(0.5*(Inputs!$C$39+Inputs!$C$40))))+Inputs!$C$38*SIN(2*PI()*((Inputs!$I$9+(((A57)+1)/2)*(Inputs!$J$9-Inputs!$I$9)))/Inputs!$C$39)*SIN(2*PI()*(Inputs!$C$6)/Inputs!$C$40)+-Inputs!$C$41*EXP(-(((Inputs!$C$6)-Inputs!$C$43)^2)/(2*Inputs!$C$44^2))*EXP(-((((Inputs!$I$9+(((A57)+1)/2)*(Inputs!$J$9-Inputs!$I$9)))-Inputs!$C$42)^2)/(2*Inputs!$C$45^2))+Inputs!$C$48*(0.7*(0.45*SIN(2*PI()*((((Inputs!$I$9+(((A57)+1)/2)*(Inputs!$J$9-Inputs!$I$9)))/Inputs!$C$49)+Inputs!$C$47*0.137))+0.35*COS(2*PI()*(((Inputs!$C$6)/Inputs!$C$50)+Inputs!$C$47*0.173))+0.2*SIN(2*PI()*((((Inputs!$I$9+(((A57)+1)/2)*(Inputs!$J$9-Inputs!$I$9)))+(Inputs!$C$6))/(0.5*(Inputs!$C$49+Inputs!$C$50))+Inputs!$C$47*0.097)))+0.3*(2*((SIN((((Inputs!$I$9+(((A57)+1)/2)*(Inputs!$J$9-Inputs!$I$9)))*12.9898+(Inputs!$C$6)*78.233+Inputs!$C$47*37.719))*43758.5453)-INT((SIN((((Inputs!$I$9+(((A57)+1)/2)*(Inputs!$J$9-Inputs!$I$9)))*12.9898+(Inputs!$C$6)*78.233+Inputs!$C$47*37.719))*43758.5453)))-1))),NA())</f>
        <v/>
      </c>
      <c r="AW57" s="10" t="n"/>
      <c r="AX57" s="9">
        <f>A57</f>
        <v/>
      </c>
      <c r="AY57" s="9">
        <f>0</f>
        <v/>
      </c>
      <c r="AZ57" s="9">
        <f>IF(OR(Inputs!$F$6=TRUE,Inputs!$F$6="TRUE",Inputs!$F$6=1),(Inputs!$H$6+Inputs!$L$6*(((Inputs!$I$6+(((A57)+1)/2)*(Inputs!$J$6-Inputs!$I$6)))/Inputs!$K$6)^2),NA())</f>
        <v/>
      </c>
      <c r="BA57" s="9">
        <f>IF(OR(Inputs!$F$7=TRUE,Inputs!$F$7="TRUE",Inputs!$F$7=1),(Inputs!$H$7+Inputs!$L$7*(((Inputs!$I$7+(((A57)+1)/2)*(Inputs!$J$7-Inputs!$I$7)))/Inputs!$K$7)^2),NA())</f>
        <v/>
      </c>
      <c r="BB57" s="9">
        <f>IF(OR(Inputs!$F$8=TRUE,Inputs!$F$8="TRUE",Inputs!$F$8=1),(Inputs!$H$8+Inputs!$L$8*(((Inputs!$I$8+(((A57)+1)/2)*(Inputs!$J$8-Inputs!$I$8)))/Inputs!$K$8)^2),NA())</f>
        <v/>
      </c>
      <c r="BC57" s="9">
        <f>IF(OR(Inputs!$F$9=TRUE,Inputs!$F$9="TRUE",Inputs!$F$9=1),(Inputs!$H$9+Inputs!$L$9*(((Inputs!$I$9+(((A57)+1)/2)*(Inputs!$J$9-Inputs!$I$9)))/Inputs!$K$9)^2),NA())</f>
        <v/>
      </c>
      <c r="BD57" s="10" t="n"/>
      <c r="BE57" s="9">
        <f>A57</f>
        <v/>
      </c>
      <c r="BF57" s="9">
        <f>0</f>
        <v/>
      </c>
      <c r="BG57" s="9">
        <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f>
        <v/>
      </c>
      <c r="BH57" s="9">
        <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f>
        <v/>
      </c>
      <c r="BI57" s="9">
        <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f>
        <v/>
      </c>
      <c r="BJ57" s="9">
        <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f>
        <v/>
      </c>
    </row>
    <row r="58">
      <c r="A58" s="9">
        <f>ROUND(-1+56*2/240,3)</f>
        <v/>
      </c>
      <c r="B58" s="9">
        <f>IF(OR(Inputs!$F$6=TRUE,Inputs!$F$6="TRUE",Inputs!$F$6=1),(Inputs!$H$6+Inputs!$L$6*(((Inputs!$I$6+(((A58)+1)/2)*(Inputs!$J$6-Inputs!$I$6)))/Inputs!$K$6)^2),NA())</f>
        <v/>
      </c>
      <c r="C58" s="9">
        <f>IF(OR(Inputs!$F$7=TRUE,Inputs!$F$7="TRUE",Inputs!$F$7=1),(Inputs!$H$7+Inputs!$L$7*(((Inputs!$I$7+(((A58)+1)/2)*(Inputs!$J$7-Inputs!$I$7)))/Inputs!$K$7)^2),NA())</f>
        <v/>
      </c>
      <c r="D58" s="9">
        <f>IF(OR(Inputs!$F$8=TRUE,Inputs!$F$8="TRUE",Inputs!$F$8=1),(Inputs!$H$8+Inputs!$L$8*(((Inputs!$I$8+(((A58)+1)/2)*(Inputs!$J$8-Inputs!$I$8)))/Inputs!$K$8)^2),NA())</f>
        <v/>
      </c>
      <c r="E58" s="9">
        <f>IF(OR(Inputs!$F$9=TRUE,Inputs!$F$9="TRUE",Inputs!$F$9=1),(Inputs!$H$9+Inputs!$L$9*(((Inputs!$I$9+(((A58)+1)/2)*(Inputs!$J$9-Inputs!$I$9)))/Inputs!$K$9)^2),NA())</f>
        <v/>
      </c>
      <c r="F58" s="10" t="n"/>
      <c r="G58" s="9">
        <f>A58</f>
        <v/>
      </c>
      <c r="H58" s="9">
        <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f>
        <v/>
      </c>
      <c r="I58" s="9">
        <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f>
        <v/>
      </c>
      <c r="J58" s="9">
        <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f>
        <v/>
      </c>
      <c r="K58" s="9">
        <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f>
        <v/>
      </c>
      <c r="L58" s="10" t="n"/>
      <c r="M58" s="9">
        <f>A58</f>
        <v/>
      </c>
      <c r="N58" s="9">
        <f>IF(OR(Inputs!$F$6=TRUE,Inputs!$F$6="TRUE",Inputs!$F$6=1),(-2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NA())</f>
        <v/>
      </c>
      <c r="O58" s="9">
        <f>IF(OR(Inputs!$F$7=TRUE,Inputs!$F$7="TRUE",Inputs!$F$7=1),(-2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NA())</f>
        <v/>
      </c>
      <c r="P58" s="9">
        <f>IF(OR(Inputs!$F$8=TRUE,Inputs!$F$8="TRUE",Inputs!$F$8=1),(-2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NA())</f>
        <v/>
      </c>
      <c r="Q58" s="9">
        <f>IF(OR(Inputs!$F$9=TRUE,Inputs!$F$9="TRUE",Inputs!$F$9=1),(-2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NA())</f>
        <v/>
      </c>
      <c r="R58" s="10" t="n"/>
      <c r="S58" s="9">
        <f>A58</f>
        <v/>
      </c>
      <c r="T58" s="9">
        <f>(Inputs!$I$6+(((A58)+1)/2)*(Inputs!$J$6-Inputs!$I$6))</f>
        <v/>
      </c>
      <c r="U58" s="9">
        <f>(Inputs!$I$7+(((A58)+1)/2)*(Inputs!$J$7-Inputs!$I$7))</f>
        <v/>
      </c>
      <c r="V58" s="9">
        <f>(Inputs!$I$8+(((A58)+1)/2)*(Inputs!$J$8-Inputs!$I$8))</f>
        <v/>
      </c>
      <c r="W58" s="9">
        <f>(Inputs!$I$9+(((A58)+1)/2)*(Inputs!$J$9-Inputs!$I$9))</f>
        <v/>
      </c>
      <c r="X58" s="10" t="n"/>
      <c r="Y58" s="9">
        <f>A58</f>
        <v/>
      </c>
      <c r="Z58" s="9">
        <f>(Inputs!$H$6+Inputs!$L$6*(((Inputs!$I$6+(((A58)+1)/2)*(Inputs!$J$6-Inputs!$I$6)))/Inputs!$K$6)^2)</f>
        <v/>
      </c>
      <c r="AA58" s="9">
        <f>(Inputs!$H$7+Inputs!$L$7*(((Inputs!$I$7+(((A58)+1)/2)*(Inputs!$J$7-Inputs!$I$7)))/Inputs!$K$7)^2)</f>
        <v/>
      </c>
      <c r="AB58" s="9">
        <f>(Inputs!$H$8+Inputs!$L$8*(((Inputs!$I$8+(((A58)+1)/2)*(Inputs!$J$8-Inputs!$I$8)))/Inputs!$K$8)^2)</f>
        <v/>
      </c>
      <c r="AC58" s="9">
        <f>(Inputs!$H$9+Inputs!$L$9*(((Inputs!$I$9+(((A58)+1)/2)*(Inputs!$J$9-Inputs!$I$9)))/Inputs!$K$9)^2)</f>
        <v/>
      </c>
      <c r="AD58" s="10" t="n"/>
      <c r="AE58" s="9">
        <f>A58</f>
        <v/>
      </c>
      <c r="AF58" s="9">
        <f>(((SQRT((Inputs!$C$52+((Inputs!$H$6+Inputs!$L$6*(((Inputs!$I$6+(((A58)+1)/2)*(Inputs!$J$6-Inputs!$I$6)))/Inputs!$K$6)^2)))^2+Inputs!$C$52^2-2*(Inputs!$C$52+((Inputs!$H$6+Inputs!$L$6*(((Inputs!$I$6+(((A58)+1)/2)*(Inputs!$J$6-Inputs!$I$6)))/Inputs!$K$6)^2)))*Inputs!$C$52*COS(SQRT(((Inputs!$I$6+(((A58)+1)/2)*(Inputs!$J$6-Inputs!$I$6)))^2+Inputs!$C$6^2)/Inputs!$C$52)))-((Inputs!$H$6+Inputs!$L$6*(((Inputs!$I$6+(((A58)+1)/2)*(Inputs!$J$6-Inputs!$I$6)))/Inputs!$K$6)^2)))*1000/Inputs!$C$12)</f>
        <v/>
      </c>
      <c r="AG58" s="9">
        <f>(((SQRT((Inputs!$C$52+((Inputs!$H$7+Inputs!$L$7*(((Inputs!$I$7+(((A58)+1)/2)*(Inputs!$J$7-Inputs!$I$7)))/Inputs!$K$7)^2)))^2+Inputs!$C$52^2-2*(Inputs!$C$52+((Inputs!$H$7+Inputs!$L$7*(((Inputs!$I$7+(((A58)+1)/2)*(Inputs!$J$7-Inputs!$I$7)))/Inputs!$K$7)^2)))*Inputs!$C$52*COS(SQRT(((Inputs!$I$7+(((A58)+1)/2)*(Inputs!$J$7-Inputs!$I$7)))^2+Inputs!$C$6^2)/Inputs!$C$52)))-((Inputs!$H$7+Inputs!$L$7*(((Inputs!$I$7+(((A58)+1)/2)*(Inputs!$J$7-Inputs!$I$7)))/Inputs!$K$7)^2)))*1000/Inputs!$C$12)</f>
        <v/>
      </c>
      <c r="AH58" s="9">
        <f>(((SQRT((Inputs!$C$52+((Inputs!$H$8+Inputs!$L$8*(((Inputs!$I$8+(((A58)+1)/2)*(Inputs!$J$8-Inputs!$I$8)))/Inputs!$K$8)^2)))^2+Inputs!$C$52^2-2*(Inputs!$C$52+((Inputs!$H$8+Inputs!$L$8*(((Inputs!$I$8+(((A58)+1)/2)*(Inputs!$J$8-Inputs!$I$8)))/Inputs!$K$8)^2)))*Inputs!$C$52*COS(SQRT(((Inputs!$I$8+(((A58)+1)/2)*(Inputs!$J$8-Inputs!$I$8)))^2+Inputs!$C$6^2)/Inputs!$C$52)))-((Inputs!$H$8+Inputs!$L$8*(((Inputs!$I$8+(((A58)+1)/2)*(Inputs!$J$8-Inputs!$I$8)))/Inputs!$K$8)^2)))*1000/Inputs!$C$12)</f>
        <v/>
      </c>
      <c r="AI58" s="9">
        <f>(((SQRT((Inputs!$C$52+((Inputs!$H$9+Inputs!$L$9*(((Inputs!$I$9+(((A58)+1)/2)*(Inputs!$J$9-Inputs!$I$9)))/Inputs!$K$9)^2)))^2+Inputs!$C$52^2-2*(Inputs!$C$52+((Inputs!$H$9+Inputs!$L$9*(((Inputs!$I$9+(((A58)+1)/2)*(Inputs!$J$9-Inputs!$I$9)))/Inputs!$K$9)^2)))*Inputs!$C$52*COS(SQRT(((Inputs!$I$9+(((A58)+1)/2)*(Inputs!$J$9-Inputs!$I$9)))^2+Inputs!$C$6^2)/Inputs!$C$52)))-((Inputs!$H$9+Inputs!$L$9*(((Inputs!$I$9+(((A58)+1)/2)*(Inputs!$J$9-Inputs!$I$9)))/Inputs!$K$9)^2)))*1000/Inputs!$C$12)</f>
        <v/>
      </c>
      <c r="AJ58" s="10" t="n"/>
      <c r="AK58" s="9">
        <f>A58</f>
        <v/>
      </c>
      <c r="AL58" s="9">
        <f>(-2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f>
        <v/>
      </c>
      <c r="AM58" s="9">
        <f>(-2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f>
        <v/>
      </c>
      <c r="AN58" s="9">
        <f>(-2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f>
        <v/>
      </c>
      <c r="AO58" s="9">
        <f>(-2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f>
        <v/>
      </c>
      <c r="AP58" s="10" t="n"/>
      <c r="AQ58" s="9">
        <f>A58</f>
        <v/>
      </c>
      <c r="AR58" s="9">
        <f>0</f>
        <v/>
      </c>
      <c r="AS58" s="9">
        <f>IF(OR(Inputs!$F$6=TRUE,Inputs!$F$6="TRUE",Inputs!$F$6=1),IF(OR(Inputs!$C$27=TRUE,Inputs!$C$27="TRUE",Inputs!$C$27=1),1,0)*(Inputs!$C$51*(115*EXP(-(((Inputs!$C$6)-25)^2)/(4.5^2))+70*EXP(-(((Inputs!$C$6)+38)^2)/(7^2))*(0.55+0.45*SIN(2*PI()*((Inputs!$I$6+(((A58)+1)/2)*(Inputs!$J$6-Inputs!$I$6)))/45))+24*SIN(2*PI()*(Inputs!$C$6)/9+((Inputs!$I$6+(((A58)+1)/2)*(Inputs!$J$6-Inputs!$I$6)))/18)*EXP(-(((Inputs!$C$6)+5)^2)/(22^2))+18*SIN(2*PI()*((Inputs!$I$6+(((A58)+1)/2)*(Inputs!$J$6-Inputs!$I$6)))/70))+Inputs!$C$28*EXP(-((((Inputs!$I$6+(((A58)+1)/2)*(Inputs!$J$6-Inputs!$I$6)))-Inputs!$C$29)^2)/(2*Inputs!$C$31^2))*EXP(-(((Inputs!$C$6)-Inputs!$C$30)^2)/(2*Inputs!$C$32^2))+-Inputs!$C$33*EXP(-((((((Inputs!$I$6+(((A58)+1)/2)*(Inputs!$J$6-Inputs!$I$6)))-Inputs!$C$34)^2)+(((Inputs!$C$6)-Inputs!$C$35)^2))/(2*Inputs!$C$36^2)))+Inputs!$C$37*(0.55*SIN(2*PI()*((Inputs!$I$6+(((A58)+1)/2)*(Inputs!$J$6-Inputs!$I$6)))/Inputs!$C$39)+0.35*COS(2*PI()*(Inputs!$C$6)/Inputs!$C$40)+0.2*SIN(2*PI()*(((Inputs!$I$6+(((A58)+1)/2)*(Inputs!$J$6-Inputs!$I$6)))+(Inputs!$C$6))/(0.5*(Inputs!$C$39+Inputs!$C$40))))+Inputs!$C$38*SIN(2*PI()*((Inputs!$I$6+(((A58)+1)/2)*(Inputs!$J$6-Inputs!$I$6)))/Inputs!$C$39)*SIN(2*PI()*(Inputs!$C$6)/Inputs!$C$40)+-Inputs!$C$41*EXP(-(((Inputs!$C$6)-Inputs!$C$43)^2)/(2*Inputs!$C$44^2))*EXP(-((((Inputs!$I$6+(((A58)+1)/2)*(Inputs!$J$6-Inputs!$I$6)))-Inputs!$C$42)^2)/(2*Inputs!$C$45^2))+Inputs!$C$48*(0.7*(0.45*SIN(2*PI()*((((Inputs!$I$6+(((A58)+1)/2)*(Inputs!$J$6-Inputs!$I$6)))/Inputs!$C$49)+Inputs!$C$47*0.137))+0.35*COS(2*PI()*(((Inputs!$C$6)/Inputs!$C$50)+Inputs!$C$47*0.173))+0.2*SIN(2*PI()*((((Inputs!$I$6+(((A58)+1)/2)*(Inputs!$J$6-Inputs!$I$6)))+(Inputs!$C$6))/(0.5*(Inputs!$C$49+Inputs!$C$50))+Inputs!$C$47*0.097)))+0.3*(2*((SIN((((Inputs!$I$6+(((A58)+1)/2)*(Inputs!$J$6-Inputs!$I$6)))*12.9898+(Inputs!$C$6)*78.233+Inputs!$C$47*37.719))*43758.5453)-INT((SIN((((Inputs!$I$6+(((A58)+1)/2)*(Inputs!$J$6-Inputs!$I$6)))*12.9898+(Inputs!$C$6)*78.233+Inputs!$C$47*37.719))*43758.5453)))-1))),NA())</f>
        <v/>
      </c>
      <c r="AT58" s="9">
        <f>IF(OR(Inputs!$F$7=TRUE,Inputs!$F$7="TRUE",Inputs!$F$7=1),IF(OR(Inputs!$C$27=TRUE,Inputs!$C$27="TRUE",Inputs!$C$27=1),1,0)*(Inputs!$C$51*(115*EXP(-(((Inputs!$C$6)-25)^2)/(4.5^2))+70*EXP(-(((Inputs!$C$6)+38)^2)/(7^2))*(0.55+0.45*SIN(2*PI()*((Inputs!$I$7+(((A58)+1)/2)*(Inputs!$J$7-Inputs!$I$7)))/45))+24*SIN(2*PI()*(Inputs!$C$6)/9+((Inputs!$I$7+(((A58)+1)/2)*(Inputs!$J$7-Inputs!$I$7)))/18)*EXP(-(((Inputs!$C$6)+5)^2)/(22^2))+18*SIN(2*PI()*((Inputs!$I$7+(((A58)+1)/2)*(Inputs!$J$7-Inputs!$I$7)))/70))+Inputs!$C$28*EXP(-((((Inputs!$I$7+(((A58)+1)/2)*(Inputs!$J$7-Inputs!$I$7)))-Inputs!$C$29)^2)/(2*Inputs!$C$31^2))*EXP(-(((Inputs!$C$6)-Inputs!$C$30)^2)/(2*Inputs!$C$32^2))+-Inputs!$C$33*EXP(-((((((Inputs!$I$7+(((A58)+1)/2)*(Inputs!$J$7-Inputs!$I$7)))-Inputs!$C$34)^2)+(((Inputs!$C$6)-Inputs!$C$35)^2))/(2*Inputs!$C$36^2)))+Inputs!$C$37*(0.55*SIN(2*PI()*((Inputs!$I$7+(((A58)+1)/2)*(Inputs!$J$7-Inputs!$I$7)))/Inputs!$C$39)+0.35*COS(2*PI()*(Inputs!$C$6)/Inputs!$C$40)+0.2*SIN(2*PI()*(((Inputs!$I$7+(((A58)+1)/2)*(Inputs!$J$7-Inputs!$I$7)))+(Inputs!$C$6))/(0.5*(Inputs!$C$39+Inputs!$C$40))))+Inputs!$C$38*SIN(2*PI()*((Inputs!$I$7+(((A58)+1)/2)*(Inputs!$J$7-Inputs!$I$7)))/Inputs!$C$39)*SIN(2*PI()*(Inputs!$C$6)/Inputs!$C$40)+-Inputs!$C$41*EXP(-(((Inputs!$C$6)-Inputs!$C$43)^2)/(2*Inputs!$C$44^2))*EXP(-((((Inputs!$I$7+(((A58)+1)/2)*(Inputs!$J$7-Inputs!$I$7)))-Inputs!$C$42)^2)/(2*Inputs!$C$45^2))+Inputs!$C$48*(0.7*(0.45*SIN(2*PI()*((((Inputs!$I$7+(((A58)+1)/2)*(Inputs!$J$7-Inputs!$I$7)))/Inputs!$C$49)+Inputs!$C$47*0.137))+0.35*COS(2*PI()*(((Inputs!$C$6)/Inputs!$C$50)+Inputs!$C$47*0.173))+0.2*SIN(2*PI()*((((Inputs!$I$7+(((A58)+1)/2)*(Inputs!$J$7-Inputs!$I$7)))+(Inputs!$C$6))/(0.5*(Inputs!$C$49+Inputs!$C$50))+Inputs!$C$47*0.097)))+0.3*(2*((SIN((((Inputs!$I$7+(((A58)+1)/2)*(Inputs!$J$7-Inputs!$I$7)))*12.9898+(Inputs!$C$6)*78.233+Inputs!$C$47*37.719))*43758.5453)-INT((SIN((((Inputs!$I$7+(((A58)+1)/2)*(Inputs!$J$7-Inputs!$I$7)))*12.9898+(Inputs!$C$6)*78.233+Inputs!$C$47*37.719))*43758.5453)))-1))),NA())</f>
        <v/>
      </c>
      <c r="AU58" s="9">
        <f>IF(OR(Inputs!$F$8=TRUE,Inputs!$F$8="TRUE",Inputs!$F$8=1),IF(OR(Inputs!$C$27=TRUE,Inputs!$C$27="TRUE",Inputs!$C$27=1),1,0)*(Inputs!$C$51*(115*EXP(-(((Inputs!$C$6)-25)^2)/(4.5^2))+70*EXP(-(((Inputs!$C$6)+38)^2)/(7^2))*(0.55+0.45*SIN(2*PI()*((Inputs!$I$8+(((A58)+1)/2)*(Inputs!$J$8-Inputs!$I$8)))/45))+24*SIN(2*PI()*(Inputs!$C$6)/9+((Inputs!$I$8+(((A58)+1)/2)*(Inputs!$J$8-Inputs!$I$8)))/18)*EXP(-(((Inputs!$C$6)+5)^2)/(22^2))+18*SIN(2*PI()*((Inputs!$I$8+(((A58)+1)/2)*(Inputs!$J$8-Inputs!$I$8)))/70))+Inputs!$C$28*EXP(-((((Inputs!$I$8+(((A58)+1)/2)*(Inputs!$J$8-Inputs!$I$8)))-Inputs!$C$29)^2)/(2*Inputs!$C$31^2))*EXP(-(((Inputs!$C$6)-Inputs!$C$30)^2)/(2*Inputs!$C$32^2))+-Inputs!$C$33*EXP(-((((((Inputs!$I$8+(((A58)+1)/2)*(Inputs!$J$8-Inputs!$I$8)))-Inputs!$C$34)^2)+(((Inputs!$C$6)-Inputs!$C$35)^2))/(2*Inputs!$C$36^2)))+Inputs!$C$37*(0.55*SIN(2*PI()*((Inputs!$I$8+(((A58)+1)/2)*(Inputs!$J$8-Inputs!$I$8)))/Inputs!$C$39)+0.35*COS(2*PI()*(Inputs!$C$6)/Inputs!$C$40)+0.2*SIN(2*PI()*(((Inputs!$I$8+(((A58)+1)/2)*(Inputs!$J$8-Inputs!$I$8)))+(Inputs!$C$6))/(0.5*(Inputs!$C$39+Inputs!$C$40))))+Inputs!$C$38*SIN(2*PI()*((Inputs!$I$8+(((A58)+1)/2)*(Inputs!$J$8-Inputs!$I$8)))/Inputs!$C$39)*SIN(2*PI()*(Inputs!$C$6)/Inputs!$C$40)+-Inputs!$C$41*EXP(-(((Inputs!$C$6)-Inputs!$C$43)^2)/(2*Inputs!$C$44^2))*EXP(-((((Inputs!$I$8+(((A58)+1)/2)*(Inputs!$J$8-Inputs!$I$8)))-Inputs!$C$42)^2)/(2*Inputs!$C$45^2))+Inputs!$C$48*(0.7*(0.45*SIN(2*PI()*((((Inputs!$I$8+(((A58)+1)/2)*(Inputs!$J$8-Inputs!$I$8)))/Inputs!$C$49)+Inputs!$C$47*0.137))+0.35*COS(2*PI()*(((Inputs!$C$6)/Inputs!$C$50)+Inputs!$C$47*0.173))+0.2*SIN(2*PI()*((((Inputs!$I$8+(((A58)+1)/2)*(Inputs!$J$8-Inputs!$I$8)))+(Inputs!$C$6))/(0.5*(Inputs!$C$49+Inputs!$C$50))+Inputs!$C$47*0.097)))+0.3*(2*((SIN((((Inputs!$I$8+(((A58)+1)/2)*(Inputs!$J$8-Inputs!$I$8)))*12.9898+(Inputs!$C$6)*78.233+Inputs!$C$47*37.719))*43758.5453)-INT((SIN((((Inputs!$I$8+(((A58)+1)/2)*(Inputs!$J$8-Inputs!$I$8)))*12.9898+(Inputs!$C$6)*78.233+Inputs!$C$47*37.719))*43758.5453)))-1))),NA())</f>
        <v/>
      </c>
      <c r="AV58" s="9">
        <f>IF(OR(Inputs!$F$9=TRUE,Inputs!$F$9="TRUE",Inputs!$F$9=1),IF(OR(Inputs!$C$27=TRUE,Inputs!$C$27="TRUE",Inputs!$C$27=1),1,0)*(Inputs!$C$51*(115*EXP(-(((Inputs!$C$6)-25)^2)/(4.5^2))+70*EXP(-(((Inputs!$C$6)+38)^2)/(7^2))*(0.55+0.45*SIN(2*PI()*((Inputs!$I$9+(((A58)+1)/2)*(Inputs!$J$9-Inputs!$I$9)))/45))+24*SIN(2*PI()*(Inputs!$C$6)/9+((Inputs!$I$9+(((A58)+1)/2)*(Inputs!$J$9-Inputs!$I$9)))/18)*EXP(-(((Inputs!$C$6)+5)^2)/(22^2))+18*SIN(2*PI()*((Inputs!$I$9+(((A58)+1)/2)*(Inputs!$J$9-Inputs!$I$9)))/70))+Inputs!$C$28*EXP(-((((Inputs!$I$9+(((A58)+1)/2)*(Inputs!$J$9-Inputs!$I$9)))-Inputs!$C$29)^2)/(2*Inputs!$C$31^2))*EXP(-(((Inputs!$C$6)-Inputs!$C$30)^2)/(2*Inputs!$C$32^2))+-Inputs!$C$33*EXP(-((((((Inputs!$I$9+(((A58)+1)/2)*(Inputs!$J$9-Inputs!$I$9)))-Inputs!$C$34)^2)+(((Inputs!$C$6)-Inputs!$C$35)^2))/(2*Inputs!$C$36^2)))+Inputs!$C$37*(0.55*SIN(2*PI()*((Inputs!$I$9+(((A58)+1)/2)*(Inputs!$J$9-Inputs!$I$9)))/Inputs!$C$39)+0.35*COS(2*PI()*(Inputs!$C$6)/Inputs!$C$40)+0.2*SIN(2*PI()*(((Inputs!$I$9+(((A58)+1)/2)*(Inputs!$J$9-Inputs!$I$9)))+(Inputs!$C$6))/(0.5*(Inputs!$C$39+Inputs!$C$40))))+Inputs!$C$38*SIN(2*PI()*((Inputs!$I$9+(((A58)+1)/2)*(Inputs!$J$9-Inputs!$I$9)))/Inputs!$C$39)*SIN(2*PI()*(Inputs!$C$6)/Inputs!$C$40)+-Inputs!$C$41*EXP(-(((Inputs!$C$6)-Inputs!$C$43)^2)/(2*Inputs!$C$44^2))*EXP(-((((Inputs!$I$9+(((A58)+1)/2)*(Inputs!$J$9-Inputs!$I$9)))-Inputs!$C$42)^2)/(2*Inputs!$C$45^2))+Inputs!$C$48*(0.7*(0.45*SIN(2*PI()*((((Inputs!$I$9+(((A58)+1)/2)*(Inputs!$J$9-Inputs!$I$9)))/Inputs!$C$49)+Inputs!$C$47*0.137))+0.35*COS(2*PI()*(((Inputs!$C$6)/Inputs!$C$50)+Inputs!$C$47*0.173))+0.2*SIN(2*PI()*((((Inputs!$I$9+(((A58)+1)/2)*(Inputs!$J$9-Inputs!$I$9)))+(Inputs!$C$6))/(0.5*(Inputs!$C$49+Inputs!$C$50))+Inputs!$C$47*0.097)))+0.3*(2*((SIN((((Inputs!$I$9+(((A58)+1)/2)*(Inputs!$J$9-Inputs!$I$9)))*12.9898+(Inputs!$C$6)*78.233+Inputs!$C$47*37.719))*43758.5453)-INT((SIN((((Inputs!$I$9+(((A58)+1)/2)*(Inputs!$J$9-Inputs!$I$9)))*12.9898+(Inputs!$C$6)*78.233+Inputs!$C$47*37.719))*43758.5453)))-1))),NA())</f>
        <v/>
      </c>
      <c r="AW58" s="10" t="n"/>
      <c r="AX58" s="9">
        <f>A58</f>
        <v/>
      </c>
      <c r="AY58" s="9">
        <f>0</f>
        <v/>
      </c>
      <c r="AZ58" s="9">
        <f>IF(OR(Inputs!$F$6=TRUE,Inputs!$F$6="TRUE",Inputs!$F$6=1),(Inputs!$H$6+Inputs!$L$6*(((Inputs!$I$6+(((A58)+1)/2)*(Inputs!$J$6-Inputs!$I$6)))/Inputs!$K$6)^2),NA())</f>
        <v/>
      </c>
      <c r="BA58" s="9">
        <f>IF(OR(Inputs!$F$7=TRUE,Inputs!$F$7="TRUE",Inputs!$F$7=1),(Inputs!$H$7+Inputs!$L$7*(((Inputs!$I$7+(((A58)+1)/2)*(Inputs!$J$7-Inputs!$I$7)))/Inputs!$K$7)^2),NA())</f>
        <v/>
      </c>
      <c r="BB58" s="9">
        <f>IF(OR(Inputs!$F$8=TRUE,Inputs!$F$8="TRUE",Inputs!$F$8=1),(Inputs!$H$8+Inputs!$L$8*(((Inputs!$I$8+(((A58)+1)/2)*(Inputs!$J$8-Inputs!$I$8)))/Inputs!$K$8)^2),NA())</f>
        <v/>
      </c>
      <c r="BC58" s="9">
        <f>IF(OR(Inputs!$F$9=TRUE,Inputs!$F$9="TRUE",Inputs!$F$9=1),(Inputs!$H$9+Inputs!$L$9*(((Inputs!$I$9+(((A58)+1)/2)*(Inputs!$J$9-Inputs!$I$9)))/Inputs!$K$9)^2),NA())</f>
        <v/>
      </c>
      <c r="BD58" s="10" t="n"/>
      <c r="BE58" s="9">
        <f>A58</f>
        <v/>
      </c>
      <c r="BF58" s="9">
        <f>0</f>
        <v/>
      </c>
      <c r="BG58" s="9">
        <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f>
        <v/>
      </c>
      <c r="BH58" s="9">
        <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f>
        <v/>
      </c>
      <c r="BI58" s="9">
        <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f>
        <v/>
      </c>
      <c r="BJ58" s="9">
        <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f>
        <v/>
      </c>
    </row>
    <row r="59">
      <c r="A59" s="9">
        <f>ROUND(-1+57*2/240,3)</f>
        <v/>
      </c>
      <c r="B59" s="9">
        <f>IF(OR(Inputs!$F$6=TRUE,Inputs!$F$6="TRUE",Inputs!$F$6=1),(Inputs!$H$6+Inputs!$L$6*(((Inputs!$I$6+(((A59)+1)/2)*(Inputs!$J$6-Inputs!$I$6)))/Inputs!$K$6)^2),NA())</f>
        <v/>
      </c>
      <c r="C59" s="9">
        <f>IF(OR(Inputs!$F$7=TRUE,Inputs!$F$7="TRUE",Inputs!$F$7=1),(Inputs!$H$7+Inputs!$L$7*(((Inputs!$I$7+(((A59)+1)/2)*(Inputs!$J$7-Inputs!$I$7)))/Inputs!$K$7)^2),NA())</f>
        <v/>
      </c>
      <c r="D59" s="9">
        <f>IF(OR(Inputs!$F$8=TRUE,Inputs!$F$8="TRUE",Inputs!$F$8=1),(Inputs!$H$8+Inputs!$L$8*(((Inputs!$I$8+(((A59)+1)/2)*(Inputs!$J$8-Inputs!$I$8)))/Inputs!$K$8)^2),NA())</f>
        <v/>
      </c>
      <c r="E59" s="9">
        <f>IF(OR(Inputs!$F$9=TRUE,Inputs!$F$9="TRUE",Inputs!$F$9=1),(Inputs!$H$9+Inputs!$L$9*(((Inputs!$I$9+(((A59)+1)/2)*(Inputs!$J$9-Inputs!$I$9)))/Inputs!$K$9)^2),NA())</f>
        <v/>
      </c>
      <c r="F59" s="10" t="n"/>
      <c r="G59" s="9">
        <f>A59</f>
        <v/>
      </c>
      <c r="H59" s="9">
        <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f>
        <v/>
      </c>
      <c r="I59" s="9">
        <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f>
        <v/>
      </c>
      <c r="J59" s="9">
        <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f>
        <v/>
      </c>
      <c r="K59" s="9">
        <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f>
        <v/>
      </c>
      <c r="L59" s="10" t="n"/>
      <c r="M59" s="9">
        <f>A59</f>
        <v/>
      </c>
      <c r="N59" s="9">
        <f>IF(OR(Inputs!$F$6=TRUE,Inputs!$F$6="TRUE",Inputs!$F$6=1),(-2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NA())</f>
        <v/>
      </c>
      <c r="O59" s="9">
        <f>IF(OR(Inputs!$F$7=TRUE,Inputs!$F$7="TRUE",Inputs!$F$7=1),(-2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NA())</f>
        <v/>
      </c>
      <c r="P59" s="9">
        <f>IF(OR(Inputs!$F$8=TRUE,Inputs!$F$8="TRUE",Inputs!$F$8=1),(-2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NA())</f>
        <v/>
      </c>
      <c r="Q59" s="9">
        <f>IF(OR(Inputs!$F$9=TRUE,Inputs!$F$9="TRUE",Inputs!$F$9=1),(-2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NA())</f>
        <v/>
      </c>
      <c r="R59" s="10" t="n"/>
      <c r="S59" s="9">
        <f>A59</f>
        <v/>
      </c>
      <c r="T59" s="9">
        <f>(Inputs!$I$6+(((A59)+1)/2)*(Inputs!$J$6-Inputs!$I$6))</f>
        <v/>
      </c>
      <c r="U59" s="9">
        <f>(Inputs!$I$7+(((A59)+1)/2)*(Inputs!$J$7-Inputs!$I$7))</f>
        <v/>
      </c>
      <c r="V59" s="9">
        <f>(Inputs!$I$8+(((A59)+1)/2)*(Inputs!$J$8-Inputs!$I$8))</f>
        <v/>
      </c>
      <c r="W59" s="9">
        <f>(Inputs!$I$9+(((A59)+1)/2)*(Inputs!$J$9-Inputs!$I$9))</f>
        <v/>
      </c>
      <c r="X59" s="10" t="n"/>
      <c r="Y59" s="9">
        <f>A59</f>
        <v/>
      </c>
      <c r="Z59" s="9">
        <f>(Inputs!$H$6+Inputs!$L$6*(((Inputs!$I$6+(((A59)+1)/2)*(Inputs!$J$6-Inputs!$I$6)))/Inputs!$K$6)^2)</f>
        <v/>
      </c>
      <c r="AA59" s="9">
        <f>(Inputs!$H$7+Inputs!$L$7*(((Inputs!$I$7+(((A59)+1)/2)*(Inputs!$J$7-Inputs!$I$7)))/Inputs!$K$7)^2)</f>
        <v/>
      </c>
      <c r="AB59" s="9">
        <f>(Inputs!$H$8+Inputs!$L$8*(((Inputs!$I$8+(((A59)+1)/2)*(Inputs!$J$8-Inputs!$I$8)))/Inputs!$K$8)^2)</f>
        <v/>
      </c>
      <c r="AC59" s="9">
        <f>(Inputs!$H$9+Inputs!$L$9*(((Inputs!$I$9+(((A59)+1)/2)*(Inputs!$J$9-Inputs!$I$9)))/Inputs!$K$9)^2)</f>
        <v/>
      </c>
      <c r="AD59" s="10" t="n"/>
      <c r="AE59" s="9">
        <f>A59</f>
        <v/>
      </c>
      <c r="AF59" s="9">
        <f>(((SQRT((Inputs!$C$52+((Inputs!$H$6+Inputs!$L$6*(((Inputs!$I$6+(((A59)+1)/2)*(Inputs!$J$6-Inputs!$I$6)))/Inputs!$K$6)^2)))^2+Inputs!$C$52^2-2*(Inputs!$C$52+((Inputs!$H$6+Inputs!$L$6*(((Inputs!$I$6+(((A59)+1)/2)*(Inputs!$J$6-Inputs!$I$6)))/Inputs!$K$6)^2)))*Inputs!$C$52*COS(SQRT(((Inputs!$I$6+(((A59)+1)/2)*(Inputs!$J$6-Inputs!$I$6)))^2+Inputs!$C$6^2)/Inputs!$C$52)))-((Inputs!$H$6+Inputs!$L$6*(((Inputs!$I$6+(((A59)+1)/2)*(Inputs!$J$6-Inputs!$I$6)))/Inputs!$K$6)^2)))*1000/Inputs!$C$12)</f>
        <v/>
      </c>
      <c r="AG59" s="9">
        <f>(((SQRT((Inputs!$C$52+((Inputs!$H$7+Inputs!$L$7*(((Inputs!$I$7+(((A59)+1)/2)*(Inputs!$J$7-Inputs!$I$7)))/Inputs!$K$7)^2)))^2+Inputs!$C$52^2-2*(Inputs!$C$52+((Inputs!$H$7+Inputs!$L$7*(((Inputs!$I$7+(((A59)+1)/2)*(Inputs!$J$7-Inputs!$I$7)))/Inputs!$K$7)^2)))*Inputs!$C$52*COS(SQRT(((Inputs!$I$7+(((A59)+1)/2)*(Inputs!$J$7-Inputs!$I$7)))^2+Inputs!$C$6^2)/Inputs!$C$52)))-((Inputs!$H$7+Inputs!$L$7*(((Inputs!$I$7+(((A59)+1)/2)*(Inputs!$J$7-Inputs!$I$7)))/Inputs!$K$7)^2)))*1000/Inputs!$C$12)</f>
        <v/>
      </c>
      <c r="AH59" s="9">
        <f>(((SQRT((Inputs!$C$52+((Inputs!$H$8+Inputs!$L$8*(((Inputs!$I$8+(((A59)+1)/2)*(Inputs!$J$8-Inputs!$I$8)))/Inputs!$K$8)^2)))^2+Inputs!$C$52^2-2*(Inputs!$C$52+((Inputs!$H$8+Inputs!$L$8*(((Inputs!$I$8+(((A59)+1)/2)*(Inputs!$J$8-Inputs!$I$8)))/Inputs!$K$8)^2)))*Inputs!$C$52*COS(SQRT(((Inputs!$I$8+(((A59)+1)/2)*(Inputs!$J$8-Inputs!$I$8)))^2+Inputs!$C$6^2)/Inputs!$C$52)))-((Inputs!$H$8+Inputs!$L$8*(((Inputs!$I$8+(((A59)+1)/2)*(Inputs!$J$8-Inputs!$I$8)))/Inputs!$K$8)^2)))*1000/Inputs!$C$12)</f>
        <v/>
      </c>
      <c r="AI59" s="9">
        <f>(((SQRT((Inputs!$C$52+((Inputs!$H$9+Inputs!$L$9*(((Inputs!$I$9+(((A59)+1)/2)*(Inputs!$J$9-Inputs!$I$9)))/Inputs!$K$9)^2)))^2+Inputs!$C$52^2-2*(Inputs!$C$52+((Inputs!$H$9+Inputs!$L$9*(((Inputs!$I$9+(((A59)+1)/2)*(Inputs!$J$9-Inputs!$I$9)))/Inputs!$K$9)^2)))*Inputs!$C$52*COS(SQRT(((Inputs!$I$9+(((A59)+1)/2)*(Inputs!$J$9-Inputs!$I$9)))^2+Inputs!$C$6^2)/Inputs!$C$52)))-((Inputs!$H$9+Inputs!$L$9*(((Inputs!$I$9+(((A59)+1)/2)*(Inputs!$J$9-Inputs!$I$9)))/Inputs!$K$9)^2)))*1000/Inputs!$C$12)</f>
        <v/>
      </c>
      <c r="AJ59" s="10" t="n"/>
      <c r="AK59" s="9">
        <f>A59</f>
        <v/>
      </c>
      <c r="AL59" s="9">
        <f>(-2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f>
        <v/>
      </c>
      <c r="AM59" s="9">
        <f>(-2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f>
        <v/>
      </c>
      <c r="AN59" s="9">
        <f>(-2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f>
        <v/>
      </c>
      <c r="AO59" s="9">
        <f>(-2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f>
        <v/>
      </c>
      <c r="AP59" s="10" t="n"/>
      <c r="AQ59" s="9">
        <f>A59</f>
        <v/>
      </c>
      <c r="AR59" s="9">
        <f>0</f>
        <v/>
      </c>
      <c r="AS59" s="9">
        <f>IF(OR(Inputs!$F$6=TRUE,Inputs!$F$6="TRUE",Inputs!$F$6=1),IF(OR(Inputs!$C$27=TRUE,Inputs!$C$27="TRUE",Inputs!$C$27=1),1,0)*(Inputs!$C$51*(115*EXP(-(((Inputs!$C$6)-25)^2)/(4.5^2))+70*EXP(-(((Inputs!$C$6)+38)^2)/(7^2))*(0.55+0.45*SIN(2*PI()*((Inputs!$I$6+(((A59)+1)/2)*(Inputs!$J$6-Inputs!$I$6)))/45))+24*SIN(2*PI()*(Inputs!$C$6)/9+((Inputs!$I$6+(((A59)+1)/2)*(Inputs!$J$6-Inputs!$I$6)))/18)*EXP(-(((Inputs!$C$6)+5)^2)/(22^2))+18*SIN(2*PI()*((Inputs!$I$6+(((A59)+1)/2)*(Inputs!$J$6-Inputs!$I$6)))/70))+Inputs!$C$28*EXP(-((((Inputs!$I$6+(((A59)+1)/2)*(Inputs!$J$6-Inputs!$I$6)))-Inputs!$C$29)^2)/(2*Inputs!$C$31^2))*EXP(-(((Inputs!$C$6)-Inputs!$C$30)^2)/(2*Inputs!$C$32^2))+-Inputs!$C$33*EXP(-((((((Inputs!$I$6+(((A59)+1)/2)*(Inputs!$J$6-Inputs!$I$6)))-Inputs!$C$34)^2)+(((Inputs!$C$6)-Inputs!$C$35)^2))/(2*Inputs!$C$36^2)))+Inputs!$C$37*(0.55*SIN(2*PI()*((Inputs!$I$6+(((A59)+1)/2)*(Inputs!$J$6-Inputs!$I$6)))/Inputs!$C$39)+0.35*COS(2*PI()*(Inputs!$C$6)/Inputs!$C$40)+0.2*SIN(2*PI()*(((Inputs!$I$6+(((A59)+1)/2)*(Inputs!$J$6-Inputs!$I$6)))+(Inputs!$C$6))/(0.5*(Inputs!$C$39+Inputs!$C$40))))+Inputs!$C$38*SIN(2*PI()*((Inputs!$I$6+(((A59)+1)/2)*(Inputs!$J$6-Inputs!$I$6)))/Inputs!$C$39)*SIN(2*PI()*(Inputs!$C$6)/Inputs!$C$40)+-Inputs!$C$41*EXP(-(((Inputs!$C$6)-Inputs!$C$43)^2)/(2*Inputs!$C$44^2))*EXP(-((((Inputs!$I$6+(((A59)+1)/2)*(Inputs!$J$6-Inputs!$I$6)))-Inputs!$C$42)^2)/(2*Inputs!$C$45^2))+Inputs!$C$48*(0.7*(0.45*SIN(2*PI()*((((Inputs!$I$6+(((A59)+1)/2)*(Inputs!$J$6-Inputs!$I$6)))/Inputs!$C$49)+Inputs!$C$47*0.137))+0.35*COS(2*PI()*(((Inputs!$C$6)/Inputs!$C$50)+Inputs!$C$47*0.173))+0.2*SIN(2*PI()*((((Inputs!$I$6+(((A59)+1)/2)*(Inputs!$J$6-Inputs!$I$6)))+(Inputs!$C$6))/(0.5*(Inputs!$C$49+Inputs!$C$50))+Inputs!$C$47*0.097)))+0.3*(2*((SIN((((Inputs!$I$6+(((A59)+1)/2)*(Inputs!$J$6-Inputs!$I$6)))*12.9898+(Inputs!$C$6)*78.233+Inputs!$C$47*37.719))*43758.5453)-INT((SIN((((Inputs!$I$6+(((A59)+1)/2)*(Inputs!$J$6-Inputs!$I$6)))*12.9898+(Inputs!$C$6)*78.233+Inputs!$C$47*37.719))*43758.5453)))-1))),NA())</f>
        <v/>
      </c>
      <c r="AT59" s="9">
        <f>IF(OR(Inputs!$F$7=TRUE,Inputs!$F$7="TRUE",Inputs!$F$7=1),IF(OR(Inputs!$C$27=TRUE,Inputs!$C$27="TRUE",Inputs!$C$27=1),1,0)*(Inputs!$C$51*(115*EXP(-(((Inputs!$C$6)-25)^2)/(4.5^2))+70*EXP(-(((Inputs!$C$6)+38)^2)/(7^2))*(0.55+0.45*SIN(2*PI()*((Inputs!$I$7+(((A59)+1)/2)*(Inputs!$J$7-Inputs!$I$7)))/45))+24*SIN(2*PI()*(Inputs!$C$6)/9+((Inputs!$I$7+(((A59)+1)/2)*(Inputs!$J$7-Inputs!$I$7)))/18)*EXP(-(((Inputs!$C$6)+5)^2)/(22^2))+18*SIN(2*PI()*((Inputs!$I$7+(((A59)+1)/2)*(Inputs!$J$7-Inputs!$I$7)))/70))+Inputs!$C$28*EXP(-((((Inputs!$I$7+(((A59)+1)/2)*(Inputs!$J$7-Inputs!$I$7)))-Inputs!$C$29)^2)/(2*Inputs!$C$31^2))*EXP(-(((Inputs!$C$6)-Inputs!$C$30)^2)/(2*Inputs!$C$32^2))+-Inputs!$C$33*EXP(-((((((Inputs!$I$7+(((A59)+1)/2)*(Inputs!$J$7-Inputs!$I$7)))-Inputs!$C$34)^2)+(((Inputs!$C$6)-Inputs!$C$35)^2))/(2*Inputs!$C$36^2)))+Inputs!$C$37*(0.55*SIN(2*PI()*((Inputs!$I$7+(((A59)+1)/2)*(Inputs!$J$7-Inputs!$I$7)))/Inputs!$C$39)+0.35*COS(2*PI()*(Inputs!$C$6)/Inputs!$C$40)+0.2*SIN(2*PI()*(((Inputs!$I$7+(((A59)+1)/2)*(Inputs!$J$7-Inputs!$I$7)))+(Inputs!$C$6))/(0.5*(Inputs!$C$39+Inputs!$C$40))))+Inputs!$C$38*SIN(2*PI()*((Inputs!$I$7+(((A59)+1)/2)*(Inputs!$J$7-Inputs!$I$7)))/Inputs!$C$39)*SIN(2*PI()*(Inputs!$C$6)/Inputs!$C$40)+-Inputs!$C$41*EXP(-(((Inputs!$C$6)-Inputs!$C$43)^2)/(2*Inputs!$C$44^2))*EXP(-((((Inputs!$I$7+(((A59)+1)/2)*(Inputs!$J$7-Inputs!$I$7)))-Inputs!$C$42)^2)/(2*Inputs!$C$45^2))+Inputs!$C$48*(0.7*(0.45*SIN(2*PI()*((((Inputs!$I$7+(((A59)+1)/2)*(Inputs!$J$7-Inputs!$I$7)))/Inputs!$C$49)+Inputs!$C$47*0.137))+0.35*COS(2*PI()*(((Inputs!$C$6)/Inputs!$C$50)+Inputs!$C$47*0.173))+0.2*SIN(2*PI()*((((Inputs!$I$7+(((A59)+1)/2)*(Inputs!$J$7-Inputs!$I$7)))+(Inputs!$C$6))/(0.5*(Inputs!$C$49+Inputs!$C$50))+Inputs!$C$47*0.097)))+0.3*(2*((SIN((((Inputs!$I$7+(((A59)+1)/2)*(Inputs!$J$7-Inputs!$I$7)))*12.9898+(Inputs!$C$6)*78.233+Inputs!$C$47*37.719))*43758.5453)-INT((SIN((((Inputs!$I$7+(((A59)+1)/2)*(Inputs!$J$7-Inputs!$I$7)))*12.9898+(Inputs!$C$6)*78.233+Inputs!$C$47*37.719))*43758.5453)))-1))),NA())</f>
        <v/>
      </c>
      <c r="AU59" s="9">
        <f>IF(OR(Inputs!$F$8=TRUE,Inputs!$F$8="TRUE",Inputs!$F$8=1),IF(OR(Inputs!$C$27=TRUE,Inputs!$C$27="TRUE",Inputs!$C$27=1),1,0)*(Inputs!$C$51*(115*EXP(-(((Inputs!$C$6)-25)^2)/(4.5^2))+70*EXP(-(((Inputs!$C$6)+38)^2)/(7^2))*(0.55+0.45*SIN(2*PI()*((Inputs!$I$8+(((A59)+1)/2)*(Inputs!$J$8-Inputs!$I$8)))/45))+24*SIN(2*PI()*(Inputs!$C$6)/9+((Inputs!$I$8+(((A59)+1)/2)*(Inputs!$J$8-Inputs!$I$8)))/18)*EXP(-(((Inputs!$C$6)+5)^2)/(22^2))+18*SIN(2*PI()*((Inputs!$I$8+(((A59)+1)/2)*(Inputs!$J$8-Inputs!$I$8)))/70))+Inputs!$C$28*EXP(-((((Inputs!$I$8+(((A59)+1)/2)*(Inputs!$J$8-Inputs!$I$8)))-Inputs!$C$29)^2)/(2*Inputs!$C$31^2))*EXP(-(((Inputs!$C$6)-Inputs!$C$30)^2)/(2*Inputs!$C$32^2))+-Inputs!$C$33*EXP(-((((((Inputs!$I$8+(((A59)+1)/2)*(Inputs!$J$8-Inputs!$I$8)))-Inputs!$C$34)^2)+(((Inputs!$C$6)-Inputs!$C$35)^2))/(2*Inputs!$C$36^2)))+Inputs!$C$37*(0.55*SIN(2*PI()*((Inputs!$I$8+(((A59)+1)/2)*(Inputs!$J$8-Inputs!$I$8)))/Inputs!$C$39)+0.35*COS(2*PI()*(Inputs!$C$6)/Inputs!$C$40)+0.2*SIN(2*PI()*(((Inputs!$I$8+(((A59)+1)/2)*(Inputs!$J$8-Inputs!$I$8)))+(Inputs!$C$6))/(0.5*(Inputs!$C$39+Inputs!$C$40))))+Inputs!$C$38*SIN(2*PI()*((Inputs!$I$8+(((A59)+1)/2)*(Inputs!$J$8-Inputs!$I$8)))/Inputs!$C$39)*SIN(2*PI()*(Inputs!$C$6)/Inputs!$C$40)+-Inputs!$C$41*EXP(-(((Inputs!$C$6)-Inputs!$C$43)^2)/(2*Inputs!$C$44^2))*EXP(-((((Inputs!$I$8+(((A59)+1)/2)*(Inputs!$J$8-Inputs!$I$8)))-Inputs!$C$42)^2)/(2*Inputs!$C$45^2))+Inputs!$C$48*(0.7*(0.45*SIN(2*PI()*((((Inputs!$I$8+(((A59)+1)/2)*(Inputs!$J$8-Inputs!$I$8)))/Inputs!$C$49)+Inputs!$C$47*0.137))+0.35*COS(2*PI()*(((Inputs!$C$6)/Inputs!$C$50)+Inputs!$C$47*0.173))+0.2*SIN(2*PI()*((((Inputs!$I$8+(((A59)+1)/2)*(Inputs!$J$8-Inputs!$I$8)))+(Inputs!$C$6))/(0.5*(Inputs!$C$49+Inputs!$C$50))+Inputs!$C$47*0.097)))+0.3*(2*((SIN((((Inputs!$I$8+(((A59)+1)/2)*(Inputs!$J$8-Inputs!$I$8)))*12.9898+(Inputs!$C$6)*78.233+Inputs!$C$47*37.719))*43758.5453)-INT((SIN((((Inputs!$I$8+(((A59)+1)/2)*(Inputs!$J$8-Inputs!$I$8)))*12.9898+(Inputs!$C$6)*78.233+Inputs!$C$47*37.719))*43758.5453)))-1))),NA())</f>
        <v/>
      </c>
      <c r="AV59" s="9">
        <f>IF(OR(Inputs!$F$9=TRUE,Inputs!$F$9="TRUE",Inputs!$F$9=1),IF(OR(Inputs!$C$27=TRUE,Inputs!$C$27="TRUE",Inputs!$C$27=1),1,0)*(Inputs!$C$51*(115*EXP(-(((Inputs!$C$6)-25)^2)/(4.5^2))+70*EXP(-(((Inputs!$C$6)+38)^2)/(7^2))*(0.55+0.45*SIN(2*PI()*((Inputs!$I$9+(((A59)+1)/2)*(Inputs!$J$9-Inputs!$I$9)))/45))+24*SIN(2*PI()*(Inputs!$C$6)/9+((Inputs!$I$9+(((A59)+1)/2)*(Inputs!$J$9-Inputs!$I$9)))/18)*EXP(-(((Inputs!$C$6)+5)^2)/(22^2))+18*SIN(2*PI()*((Inputs!$I$9+(((A59)+1)/2)*(Inputs!$J$9-Inputs!$I$9)))/70))+Inputs!$C$28*EXP(-((((Inputs!$I$9+(((A59)+1)/2)*(Inputs!$J$9-Inputs!$I$9)))-Inputs!$C$29)^2)/(2*Inputs!$C$31^2))*EXP(-(((Inputs!$C$6)-Inputs!$C$30)^2)/(2*Inputs!$C$32^2))+-Inputs!$C$33*EXP(-((((((Inputs!$I$9+(((A59)+1)/2)*(Inputs!$J$9-Inputs!$I$9)))-Inputs!$C$34)^2)+(((Inputs!$C$6)-Inputs!$C$35)^2))/(2*Inputs!$C$36^2)))+Inputs!$C$37*(0.55*SIN(2*PI()*((Inputs!$I$9+(((A59)+1)/2)*(Inputs!$J$9-Inputs!$I$9)))/Inputs!$C$39)+0.35*COS(2*PI()*(Inputs!$C$6)/Inputs!$C$40)+0.2*SIN(2*PI()*(((Inputs!$I$9+(((A59)+1)/2)*(Inputs!$J$9-Inputs!$I$9)))+(Inputs!$C$6))/(0.5*(Inputs!$C$39+Inputs!$C$40))))+Inputs!$C$38*SIN(2*PI()*((Inputs!$I$9+(((A59)+1)/2)*(Inputs!$J$9-Inputs!$I$9)))/Inputs!$C$39)*SIN(2*PI()*(Inputs!$C$6)/Inputs!$C$40)+-Inputs!$C$41*EXP(-(((Inputs!$C$6)-Inputs!$C$43)^2)/(2*Inputs!$C$44^2))*EXP(-((((Inputs!$I$9+(((A59)+1)/2)*(Inputs!$J$9-Inputs!$I$9)))-Inputs!$C$42)^2)/(2*Inputs!$C$45^2))+Inputs!$C$48*(0.7*(0.45*SIN(2*PI()*((((Inputs!$I$9+(((A59)+1)/2)*(Inputs!$J$9-Inputs!$I$9)))/Inputs!$C$49)+Inputs!$C$47*0.137))+0.35*COS(2*PI()*(((Inputs!$C$6)/Inputs!$C$50)+Inputs!$C$47*0.173))+0.2*SIN(2*PI()*((((Inputs!$I$9+(((A59)+1)/2)*(Inputs!$J$9-Inputs!$I$9)))+(Inputs!$C$6))/(0.5*(Inputs!$C$49+Inputs!$C$50))+Inputs!$C$47*0.097)))+0.3*(2*((SIN((((Inputs!$I$9+(((A59)+1)/2)*(Inputs!$J$9-Inputs!$I$9)))*12.9898+(Inputs!$C$6)*78.233+Inputs!$C$47*37.719))*43758.5453)-INT((SIN((((Inputs!$I$9+(((A59)+1)/2)*(Inputs!$J$9-Inputs!$I$9)))*12.9898+(Inputs!$C$6)*78.233+Inputs!$C$47*37.719))*43758.5453)))-1))),NA())</f>
        <v/>
      </c>
      <c r="AW59" s="10" t="n"/>
      <c r="AX59" s="9">
        <f>A59</f>
        <v/>
      </c>
      <c r="AY59" s="9">
        <f>0</f>
        <v/>
      </c>
      <c r="AZ59" s="9">
        <f>IF(OR(Inputs!$F$6=TRUE,Inputs!$F$6="TRUE",Inputs!$F$6=1),(Inputs!$H$6+Inputs!$L$6*(((Inputs!$I$6+(((A59)+1)/2)*(Inputs!$J$6-Inputs!$I$6)))/Inputs!$K$6)^2),NA())</f>
        <v/>
      </c>
      <c r="BA59" s="9">
        <f>IF(OR(Inputs!$F$7=TRUE,Inputs!$F$7="TRUE",Inputs!$F$7=1),(Inputs!$H$7+Inputs!$L$7*(((Inputs!$I$7+(((A59)+1)/2)*(Inputs!$J$7-Inputs!$I$7)))/Inputs!$K$7)^2),NA())</f>
        <v/>
      </c>
      <c r="BB59" s="9">
        <f>IF(OR(Inputs!$F$8=TRUE,Inputs!$F$8="TRUE",Inputs!$F$8=1),(Inputs!$H$8+Inputs!$L$8*(((Inputs!$I$8+(((A59)+1)/2)*(Inputs!$J$8-Inputs!$I$8)))/Inputs!$K$8)^2),NA())</f>
        <v/>
      </c>
      <c r="BC59" s="9">
        <f>IF(OR(Inputs!$F$9=TRUE,Inputs!$F$9="TRUE",Inputs!$F$9=1),(Inputs!$H$9+Inputs!$L$9*(((Inputs!$I$9+(((A59)+1)/2)*(Inputs!$J$9-Inputs!$I$9)))/Inputs!$K$9)^2),NA())</f>
        <v/>
      </c>
      <c r="BD59" s="10" t="n"/>
      <c r="BE59" s="9">
        <f>A59</f>
        <v/>
      </c>
      <c r="BF59" s="9">
        <f>0</f>
        <v/>
      </c>
      <c r="BG59" s="9">
        <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f>
        <v/>
      </c>
      <c r="BH59" s="9">
        <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f>
        <v/>
      </c>
      <c r="BI59" s="9">
        <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f>
        <v/>
      </c>
      <c r="BJ59" s="9">
        <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f>
        <v/>
      </c>
    </row>
    <row r="60">
      <c r="A60" s="9">
        <f>ROUND(-1+58*2/240,3)</f>
        <v/>
      </c>
      <c r="B60" s="9">
        <f>IF(OR(Inputs!$F$6=TRUE,Inputs!$F$6="TRUE",Inputs!$F$6=1),(Inputs!$H$6+Inputs!$L$6*(((Inputs!$I$6+(((A60)+1)/2)*(Inputs!$J$6-Inputs!$I$6)))/Inputs!$K$6)^2),NA())</f>
        <v/>
      </c>
      <c r="C60" s="9">
        <f>IF(OR(Inputs!$F$7=TRUE,Inputs!$F$7="TRUE",Inputs!$F$7=1),(Inputs!$H$7+Inputs!$L$7*(((Inputs!$I$7+(((A60)+1)/2)*(Inputs!$J$7-Inputs!$I$7)))/Inputs!$K$7)^2),NA())</f>
        <v/>
      </c>
      <c r="D60" s="9">
        <f>IF(OR(Inputs!$F$8=TRUE,Inputs!$F$8="TRUE",Inputs!$F$8=1),(Inputs!$H$8+Inputs!$L$8*(((Inputs!$I$8+(((A60)+1)/2)*(Inputs!$J$8-Inputs!$I$8)))/Inputs!$K$8)^2),NA())</f>
        <v/>
      </c>
      <c r="E60" s="9">
        <f>IF(OR(Inputs!$F$9=TRUE,Inputs!$F$9="TRUE",Inputs!$F$9=1),(Inputs!$H$9+Inputs!$L$9*(((Inputs!$I$9+(((A60)+1)/2)*(Inputs!$J$9-Inputs!$I$9)))/Inputs!$K$9)^2),NA())</f>
        <v/>
      </c>
      <c r="F60" s="10" t="n"/>
      <c r="G60" s="9">
        <f>A60</f>
        <v/>
      </c>
      <c r="H60" s="9">
        <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f>
        <v/>
      </c>
      <c r="I60" s="9">
        <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f>
        <v/>
      </c>
      <c r="J60" s="9">
        <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f>
        <v/>
      </c>
      <c r="K60" s="9">
        <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f>
        <v/>
      </c>
      <c r="L60" s="10" t="n"/>
      <c r="M60" s="9">
        <f>A60</f>
        <v/>
      </c>
      <c r="N60" s="9">
        <f>IF(OR(Inputs!$F$6=TRUE,Inputs!$F$6="TRUE",Inputs!$F$6=1),(-2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NA())</f>
        <v/>
      </c>
      <c r="O60" s="9">
        <f>IF(OR(Inputs!$F$7=TRUE,Inputs!$F$7="TRUE",Inputs!$F$7=1),(-2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NA())</f>
        <v/>
      </c>
      <c r="P60" s="9">
        <f>IF(OR(Inputs!$F$8=TRUE,Inputs!$F$8="TRUE",Inputs!$F$8=1),(-2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NA())</f>
        <v/>
      </c>
      <c r="Q60" s="9">
        <f>IF(OR(Inputs!$F$9=TRUE,Inputs!$F$9="TRUE",Inputs!$F$9=1),(-2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NA())</f>
        <v/>
      </c>
      <c r="R60" s="10" t="n"/>
      <c r="S60" s="9">
        <f>A60</f>
        <v/>
      </c>
      <c r="T60" s="9">
        <f>(Inputs!$I$6+(((A60)+1)/2)*(Inputs!$J$6-Inputs!$I$6))</f>
        <v/>
      </c>
      <c r="U60" s="9">
        <f>(Inputs!$I$7+(((A60)+1)/2)*(Inputs!$J$7-Inputs!$I$7))</f>
        <v/>
      </c>
      <c r="V60" s="9">
        <f>(Inputs!$I$8+(((A60)+1)/2)*(Inputs!$J$8-Inputs!$I$8))</f>
        <v/>
      </c>
      <c r="W60" s="9">
        <f>(Inputs!$I$9+(((A60)+1)/2)*(Inputs!$J$9-Inputs!$I$9))</f>
        <v/>
      </c>
      <c r="X60" s="10" t="n"/>
      <c r="Y60" s="9">
        <f>A60</f>
        <v/>
      </c>
      <c r="Z60" s="9">
        <f>(Inputs!$H$6+Inputs!$L$6*(((Inputs!$I$6+(((A60)+1)/2)*(Inputs!$J$6-Inputs!$I$6)))/Inputs!$K$6)^2)</f>
        <v/>
      </c>
      <c r="AA60" s="9">
        <f>(Inputs!$H$7+Inputs!$L$7*(((Inputs!$I$7+(((A60)+1)/2)*(Inputs!$J$7-Inputs!$I$7)))/Inputs!$K$7)^2)</f>
        <v/>
      </c>
      <c r="AB60" s="9">
        <f>(Inputs!$H$8+Inputs!$L$8*(((Inputs!$I$8+(((A60)+1)/2)*(Inputs!$J$8-Inputs!$I$8)))/Inputs!$K$8)^2)</f>
        <v/>
      </c>
      <c r="AC60" s="9">
        <f>(Inputs!$H$9+Inputs!$L$9*(((Inputs!$I$9+(((A60)+1)/2)*(Inputs!$J$9-Inputs!$I$9)))/Inputs!$K$9)^2)</f>
        <v/>
      </c>
      <c r="AD60" s="10" t="n"/>
      <c r="AE60" s="9">
        <f>A60</f>
        <v/>
      </c>
      <c r="AF60" s="9">
        <f>(((SQRT((Inputs!$C$52+((Inputs!$H$6+Inputs!$L$6*(((Inputs!$I$6+(((A60)+1)/2)*(Inputs!$J$6-Inputs!$I$6)))/Inputs!$K$6)^2)))^2+Inputs!$C$52^2-2*(Inputs!$C$52+((Inputs!$H$6+Inputs!$L$6*(((Inputs!$I$6+(((A60)+1)/2)*(Inputs!$J$6-Inputs!$I$6)))/Inputs!$K$6)^2)))*Inputs!$C$52*COS(SQRT(((Inputs!$I$6+(((A60)+1)/2)*(Inputs!$J$6-Inputs!$I$6)))^2+Inputs!$C$6^2)/Inputs!$C$52)))-((Inputs!$H$6+Inputs!$L$6*(((Inputs!$I$6+(((A60)+1)/2)*(Inputs!$J$6-Inputs!$I$6)))/Inputs!$K$6)^2)))*1000/Inputs!$C$12)</f>
        <v/>
      </c>
      <c r="AG60" s="9">
        <f>(((SQRT((Inputs!$C$52+((Inputs!$H$7+Inputs!$L$7*(((Inputs!$I$7+(((A60)+1)/2)*(Inputs!$J$7-Inputs!$I$7)))/Inputs!$K$7)^2)))^2+Inputs!$C$52^2-2*(Inputs!$C$52+((Inputs!$H$7+Inputs!$L$7*(((Inputs!$I$7+(((A60)+1)/2)*(Inputs!$J$7-Inputs!$I$7)))/Inputs!$K$7)^2)))*Inputs!$C$52*COS(SQRT(((Inputs!$I$7+(((A60)+1)/2)*(Inputs!$J$7-Inputs!$I$7)))^2+Inputs!$C$6^2)/Inputs!$C$52)))-((Inputs!$H$7+Inputs!$L$7*(((Inputs!$I$7+(((A60)+1)/2)*(Inputs!$J$7-Inputs!$I$7)))/Inputs!$K$7)^2)))*1000/Inputs!$C$12)</f>
        <v/>
      </c>
      <c r="AH60" s="9">
        <f>(((SQRT((Inputs!$C$52+((Inputs!$H$8+Inputs!$L$8*(((Inputs!$I$8+(((A60)+1)/2)*(Inputs!$J$8-Inputs!$I$8)))/Inputs!$K$8)^2)))^2+Inputs!$C$52^2-2*(Inputs!$C$52+((Inputs!$H$8+Inputs!$L$8*(((Inputs!$I$8+(((A60)+1)/2)*(Inputs!$J$8-Inputs!$I$8)))/Inputs!$K$8)^2)))*Inputs!$C$52*COS(SQRT(((Inputs!$I$8+(((A60)+1)/2)*(Inputs!$J$8-Inputs!$I$8)))^2+Inputs!$C$6^2)/Inputs!$C$52)))-((Inputs!$H$8+Inputs!$L$8*(((Inputs!$I$8+(((A60)+1)/2)*(Inputs!$J$8-Inputs!$I$8)))/Inputs!$K$8)^2)))*1000/Inputs!$C$12)</f>
        <v/>
      </c>
      <c r="AI60" s="9">
        <f>(((SQRT((Inputs!$C$52+((Inputs!$H$9+Inputs!$L$9*(((Inputs!$I$9+(((A60)+1)/2)*(Inputs!$J$9-Inputs!$I$9)))/Inputs!$K$9)^2)))^2+Inputs!$C$52^2-2*(Inputs!$C$52+((Inputs!$H$9+Inputs!$L$9*(((Inputs!$I$9+(((A60)+1)/2)*(Inputs!$J$9-Inputs!$I$9)))/Inputs!$K$9)^2)))*Inputs!$C$52*COS(SQRT(((Inputs!$I$9+(((A60)+1)/2)*(Inputs!$J$9-Inputs!$I$9)))^2+Inputs!$C$6^2)/Inputs!$C$52)))-((Inputs!$H$9+Inputs!$L$9*(((Inputs!$I$9+(((A60)+1)/2)*(Inputs!$J$9-Inputs!$I$9)))/Inputs!$K$9)^2)))*1000/Inputs!$C$12)</f>
        <v/>
      </c>
      <c r="AJ60" s="10" t="n"/>
      <c r="AK60" s="9">
        <f>A60</f>
        <v/>
      </c>
      <c r="AL60" s="9">
        <f>(-2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f>
        <v/>
      </c>
      <c r="AM60" s="9">
        <f>(-2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f>
        <v/>
      </c>
      <c r="AN60" s="9">
        <f>(-2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f>
        <v/>
      </c>
      <c r="AO60" s="9">
        <f>(-2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f>
        <v/>
      </c>
      <c r="AP60" s="10" t="n"/>
      <c r="AQ60" s="9">
        <f>A60</f>
        <v/>
      </c>
      <c r="AR60" s="9">
        <f>0</f>
        <v/>
      </c>
      <c r="AS60" s="9">
        <f>IF(OR(Inputs!$F$6=TRUE,Inputs!$F$6="TRUE",Inputs!$F$6=1),IF(OR(Inputs!$C$27=TRUE,Inputs!$C$27="TRUE",Inputs!$C$27=1),1,0)*(Inputs!$C$51*(115*EXP(-(((Inputs!$C$6)-25)^2)/(4.5^2))+70*EXP(-(((Inputs!$C$6)+38)^2)/(7^2))*(0.55+0.45*SIN(2*PI()*((Inputs!$I$6+(((A60)+1)/2)*(Inputs!$J$6-Inputs!$I$6)))/45))+24*SIN(2*PI()*(Inputs!$C$6)/9+((Inputs!$I$6+(((A60)+1)/2)*(Inputs!$J$6-Inputs!$I$6)))/18)*EXP(-(((Inputs!$C$6)+5)^2)/(22^2))+18*SIN(2*PI()*((Inputs!$I$6+(((A60)+1)/2)*(Inputs!$J$6-Inputs!$I$6)))/70))+Inputs!$C$28*EXP(-((((Inputs!$I$6+(((A60)+1)/2)*(Inputs!$J$6-Inputs!$I$6)))-Inputs!$C$29)^2)/(2*Inputs!$C$31^2))*EXP(-(((Inputs!$C$6)-Inputs!$C$30)^2)/(2*Inputs!$C$32^2))+-Inputs!$C$33*EXP(-((((((Inputs!$I$6+(((A60)+1)/2)*(Inputs!$J$6-Inputs!$I$6)))-Inputs!$C$34)^2)+(((Inputs!$C$6)-Inputs!$C$35)^2))/(2*Inputs!$C$36^2)))+Inputs!$C$37*(0.55*SIN(2*PI()*((Inputs!$I$6+(((A60)+1)/2)*(Inputs!$J$6-Inputs!$I$6)))/Inputs!$C$39)+0.35*COS(2*PI()*(Inputs!$C$6)/Inputs!$C$40)+0.2*SIN(2*PI()*(((Inputs!$I$6+(((A60)+1)/2)*(Inputs!$J$6-Inputs!$I$6)))+(Inputs!$C$6))/(0.5*(Inputs!$C$39+Inputs!$C$40))))+Inputs!$C$38*SIN(2*PI()*((Inputs!$I$6+(((A60)+1)/2)*(Inputs!$J$6-Inputs!$I$6)))/Inputs!$C$39)*SIN(2*PI()*(Inputs!$C$6)/Inputs!$C$40)+-Inputs!$C$41*EXP(-(((Inputs!$C$6)-Inputs!$C$43)^2)/(2*Inputs!$C$44^2))*EXP(-((((Inputs!$I$6+(((A60)+1)/2)*(Inputs!$J$6-Inputs!$I$6)))-Inputs!$C$42)^2)/(2*Inputs!$C$45^2))+Inputs!$C$48*(0.7*(0.45*SIN(2*PI()*((((Inputs!$I$6+(((A60)+1)/2)*(Inputs!$J$6-Inputs!$I$6)))/Inputs!$C$49)+Inputs!$C$47*0.137))+0.35*COS(2*PI()*(((Inputs!$C$6)/Inputs!$C$50)+Inputs!$C$47*0.173))+0.2*SIN(2*PI()*((((Inputs!$I$6+(((A60)+1)/2)*(Inputs!$J$6-Inputs!$I$6)))+(Inputs!$C$6))/(0.5*(Inputs!$C$49+Inputs!$C$50))+Inputs!$C$47*0.097)))+0.3*(2*((SIN((((Inputs!$I$6+(((A60)+1)/2)*(Inputs!$J$6-Inputs!$I$6)))*12.9898+(Inputs!$C$6)*78.233+Inputs!$C$47*37.719))*43758.5453)-INT((SIN((((Inputs!$I$6+(((A60)+1)/2)*(Inputs!$J$6-Inputs!$I$6)))*12.9898+(Inputs!$C$6)*78.233+Inputs!$C$47*37.719))*43758.5453)))-1))),NA())</f>
        <v/>
      </c>
      <c r="AT60" s="9">
        <f>IF(OR(Inputs!$F$7=TRUE,Inputs!$F$7="TRUE",Inputs!$F$7=1),IF(OR(Inputs!$C$27=TRUE,Inputs!$C$27="TRUE",Inputs!$C$27=1),1,0)*(Inputs!$C$51*(115*EXP(-(((Inputs!$C$6)-25)^2)/(4.5^2))+70*EXP(-(((Inputs!$C$6)+38)^2)/(7^2))*(0.55+0.45*SIN(2*PI()*((Inputs!$I$7+(((A60)+1)/2)*(Inputs!$J$7-Inputs!$I$7)))/45))+24*SIN(2*PI()*(Inputs!$C$6)/9+((Inputs!$I$7+(((A60)+1)/2)*(Inputs!$J$7-Inputs!$I$7)))/18)*EXP(-(((Inputs!$C$6)+5)^2)/(22^2))+18*SIN(2*PI()*((Inputs!$I$7+(((A60)+1)/2)*(Inputs!$J$7-Inputs!$I$7)))/70))+Inputs!$C$28*EXP(-((((Inputs!$I$7+(((A60)+1)/2)*(Inputs!$J$7-Inputs!$I$7)))-Inputs!$C$29)^2)/(2*Inputs!$C$31^2))*EXP(-(((Inputs!$C$6)-Inputs!$C$30)^2)/(2*Inputs!$C$32^2))+-Inputs!$C$33*EXP(-((((((Inputs!$I$7+(((A60)+1)/2)*(Inputs!$J$7-Inputs!$I$7)))-Inputs!$C$34)^2)+(((Inputs!$C$6)-Inputs!$C$35)^2))/(2*Inputs!$C$36^2)))+Inputs!$C$37*(0.55*SIN(2*PI()*((Inputs!$I$7+(((A60)+1)/2)*(Inputs!$J$7-Inputs!$I$7)))/Inputs!$C$39)+0.35*COS(2*PI()*(Inputs!$C$6)/Inputs!$C$40)+0.2*SIN(2*PI()*(((Inputs!$I$7+(((A60)+1)/2)*(Inputs!$J$7-Inputs!$I$7)))+(Inputs!$C$6))/(0.5*(Inputs!$C$39+Inputs!$C$40))))+Inputs!$C$38*SIN(2*PI()*((Inputs!$I$7+(((A60)+1)/2)*(Inputs!$J$7-Inputs!$I$7)))/Inputs!$C$39)*SIN(2*PI()*(Inputs!$C$6)/Inputs!$C$40)+-Inputs!$C$41*EXP(-(((Inputs!$C$6)-Inputs!$C$43)^2)/(2*Inputs!$C$44^2))*EXP(-((((Inputs!$I$7+(((A60)+1)/2)*(Inputs!$J$7-Inputs!$I$7)))-Inputs!$C$42)^2)/(2*Inputs!$C$45^2))+Inputs!$C$48*(0.7*(0.45*SIN(2*PI()*((((Inputs!$I$7+(((A60)+1)/2)*(Inputs!$J$7-Inputs!$I$7)))/Inputs!$C$49)+Inputs!$C$47*0.137))+0.35*COS(2*PI()*(((Inputs!$C$6)/Inputs!$C$50)+Inputs!$C$47*0.173))+0.2*SIN(2*PI()*((((Inputs!$I$7+(((A60)+1)/2)*(Inputs!$J$7-Inputs!$I$7)))+(Inputs!$C$6))/(0.5*(Inputs!$C$49+Inputs!$C$50))+Inputs!$C$47*0.097)))+0.3*(2*((SIN((((Inputs!$I$7+(((A60)+1)/2)*(Inputs!$J$7-Inputs!$I$7)))*12.9898+(Inputs!$C$6)*78.233+Inputs!$C$47*37.719))*43758.5453)-INT((SIN((((Inputs!$I$7+(((A60)+1)/2)*(Inputs!$J$7-Inputs!$I$7)))*12.9898+(Inputs!$C$6)*78.233+Inputs!$C$47*37.719))*43758.5453)))-1))),NA())</f>
        <v/>
      </c>
      <c r="AU60" s="9">
        <f>IF(OR(Inputs!$F$8=TRUE,Inputs!$F$8="TRUE",Inputs!$F$8=1),IF(OR(Inputs!$C$27=TRUE,Inputs!$C$27="TRUE",Inputs!$C$27=1),1,0)*(Inputs!$C$51*(115*EXP(-(((Inputs!$C$6)-25)^2)/(4.5^2))+70*EXP(-(((Inputs!$C$6)+38)^2)/(7^2))*(0.55+0.45*SIN(2*PI()*((Inputs!$I$8+(((A60)+1)/2)*(Inputs!$J$8-Inputs!$I$8)))/45))+24*SIN(2*PI()*(Inputs!$C$6)/9+((Inputs!$I$8+(((A60)+1)/2)*(Inputs!$J$8-Inputs!$I$8)))/18)*EXP(-(((Inputs!$C$6)+5)^2)/(22^2))+18*SIN(2*PI()*((Inputs!$I$8+(((A60)+1)/2)*(Inputs!$J$8-Inputs!$I$8)))/70))+Inputs!$C$28*EXP(-((((Inputs!$I$8+(((A60)+1)/2)*(Inputs!$J$8-Inputs!$I$8)))-Inputs!$C$29)^2)/(2*Inputs!$C$31^2))*EXP(-(((Inputs!$C$6)-Inputs!$C$30)^2)/(2*Inputs!$C$32^2))+-Inputs!$C$33*EXP(-((((((Inputs!$I$8+(((A60)+1)/2)*(Inputs!$J$8-Inputs!$I$8)))-Inputs!$C$34)^2)+(((Inputs!$C$6)-Inputs!$C$35)^2))/(2*Inputs!$C$36^2)))+Inputs!$C$37*(0.55*SIN(2*PI()*((Inputs!$I$8+(((A60)+1)/2)*(Inputs!$J$8-Inputs!$I$8)))/Inputs!$C$39)+0.35*COS(2*PI()*(Inputs!$C$6)/Inputs!$C$40)+0.2*SIN(2*PI()*(((Inputs!$I$8+(((A60)+1)/2)*(Inputs!$J$8-Inputs!$I$8)))+(Inputs!$C$6))/(0.5*(Inputs!$C$39+Inputs!$C$40))))+Inputs!$C$38*SIN(2*PI()*((Inputs!$I$8+(((A60)+1)/2)*(Inputs!$J$8-Inputs!$I$8)))/Inputs!$C$39)*SIN(2*PI()*(Inputs!$C$6)/Inputs!$C$40)+-Inputs!$C$41*EXP(-(((Inputs!$C$6)-Inputs!$C$43)^2)/(2*Inputs!$C$44^2))*EXP(-((((Inputs!$I$8+(((A60)+1)/2)*(Inputs!$J$8-Inputs!$I$8)))-Inputs!$C$42)^2)/(2*Inputs!$C$45^2))+Inputs!$C$48*(0.7*(0.45*SIN(2*PI()*((((Inputs!$I$8+(((A60)+1)/2)*(Inputs!$J$8-Inputs!$I$8)))/Inputs!$C$49)+Inputs!$C$47*0.137))+0.35*COS(2*PI()*(((Inputs!$C$6)/Inputs!$C$50)+Inputs!$C$47*0.173))+0.2*SIN(2*PI()*((((Inputs!$I$8+(((A60)+1)/2)*(Inputs!$J$8-Inputs!$I$8)))+(Inputs!$C$6))/(0.5*(Inputs!$C$49+Inputs!$C$50))+Inputs!$C$47*0.097)))+0.3*(2*((SIN((((Inputs!$I$8+(((A60)+1)/2)*(Inputs!$J$8-Inputs!$I$8)))*12.9898+(Inputs!$C$6)*78.233+Inputs!$C$47*37.719))*43758.5453)-INT((SIN((((Inputs!$I$8+(((A60)+1)/2)*(Inputs!$J$8-Inputs!$I$8)))*12.9898+(Inputs!$C$6)*78.233+Inputs!$C$47*37.719))*43758.5453)))-1))),NA())</f>
        <v/>
      </c>
      <c r="AV60" s="9">
        <f>IF(OR(Inputs!$F$9=TRUE,Inputs!$F$9="TRUE",Inputs!$F$9=1),IF(OR(Inputs!$C$27=TRUE,Inputs!$C$27="TRUE",Inputs!$C$27=1),1,0)*(Inputs!$C$51*(115*EXP(-(((Inputs!$C$6)-25)^2)/(4.5^2))+70*EXP(-(((Inputs!$C$6)+38)^2)/(7^2))*(0.55+0.45*SIN(2*PI()*((Inputs!$I$9+(((A60)+1)/2)*(Inputs!$J$9-Inputs!$I$9)))/45))+24*SIN(2*PI()*(Inputs!$C$6)/9+((Inputs!$I$9+(((A60)+1)/2)*(Inputs!$J$9-Inputs!$I$9)))/18)*EXP(-(((Inputs!$C$6)+5)^2)/(22^2))+18*SIN(2*PI()*((Inputs!$I$9+(((A60)+1)/2)*(Inputs!$J$9-Inputs!$I$9)))/70))+Inputs!$C$28*EXP(-((((Inputs!$I$9+(((A60)+1)/2)*(Inputs!$J$9-Inputs!$I$9)))-Inputs!$C$29)^2)/(2*Inputs!$C$31^2))*EXP(-(((Inputs!$C$6)-Inputs!$C$30)^2)/(2*Inputs!$C$32^2))+-Inputs!$C$33*EXP(-((((((Inputs!$I$9+(((A60)+1)/2)*(Inputs!$J$9-Inputs!$I$9)))-Inputs!$C$34)^2)+(((Inputs!$C$6)-Inputs!$C$35)^2))/(2*Inputs!$C$36^2)))+Inputs!$C$37*(0.55*SIN(2*PI()*((Inputs!$I$9+(((A60)+1)/2)*(Inputs!$J$9-Inputs!$I$9)))/Inputs!$C$39)+0.35*COS(2*PI()*(Inputs!$C$6)/Inputs!$C$40)+0.2*SIN(2*PI()*(((Inputs!$I$9+(((A60)+1)/2)*(Inputs!$J$9-Inputs!$I$9)))+(Inputs!$C$6))/(0.5*(Inputs!$C$39+Inputs!$C$40))))+Inputs!$C$38*SIN(2*PI()*((Inputs!$I$9+(((A60)+1)/2)*(Inputs!$J$9-Inputs!$I$9)))/Inputs!$C$39)*SIN(2*PI()*(Inputs!$C$6)/Inputs!$C$40)+-Inputs!$C$41*EXP(-(((Inputs!$C$6)-Inputs!$C$43)^2)/(2*Inputs!$C$44^2))*EXP(-((((Inputs!$I$9+(((A60)+1)/2)*(Inputs!$J$9-Inputs!$I$9)))-Inputs!$C$42)^2)/(2*Inputs!$C$45^2))+Inputs!$C$48*(0.7*(0.45*SIN(2*PI()*((((Inputs!$I$9+(((A60)+1)/2)*(Inputs!$J$9-Inputs!$I$9)))/Inputs!$C$49)+Inputs!$C$47*0.137))+0.35*COS(2*PI()*(((Inputs!$C$6)/Inputs!$C$50)+Inputs!$C$47*0.173))+0.2*SIN(2*PI()*((((Inputs!$I$9+(((A60)+1)/2)*(Inputs!$J$9-Inputs!$I$9)))+(Inputs!$C$6))/(0.5*(Inputs!$C$49+Inputs!$C$50))+Inputs!$C$47*0.097)))+0.3*(2*((SIN((((Inputs!$I$9+(((A60)+1)/2)*(Inputs!$J$9-Inputs!$I$9)))*12.9898+(Inputs!$C$6)*78.233+Inputs!$C$47*37.719))*43758.5453)-INT((SIN((((Inputs!$I$9+(((A60)+1)/2)*(Inputs!$J$9-Inputs!$I$9)))*12.9898+(Inputs!$C$6)*78.233+Inputs!$C$47*37.719))*43758.5453)))-1))),NA())</f>
        <v/>
      </c>
      <c r="AW60" s="10" t="n"/>
      <c r="AX60" s="9">
        <f>A60</f>
        <v/>
      </c>
      <c r="AY60" s="9">
        <f>0</f>
        <v/>
      </c>
      <c r="AZ60" s="9">
        <f>IF(OR(Inputs!$F$6=TRUE,Inputs!$F$6="TRUE",Inputs!$F$6=1),(Inputs!$H$6+Inputs!$L$6*(((Inputs!$I$6+(((A60)+1)/2)*(Inputs!$J$6-Inputs!$I$6)))/Inputs!$K$6)^2),NA())</f>
        <v/>
      </c>
      <c r="BA60" s="9">
        <f>IF(OR(Inputs!$F$7=TRUE,Inputs!$F$7="TRUE",Inputs!$F$7=1),(Inputs!$H$7+Inputs!$L$7*(((Inputs!$I$7+(((A60)+1)/2)*(Inputs!$J$7-Inputs!$I$7)))/Inputs!$K$7)^2),NA())</f>
        <v/>
      </c>
      <c r="BB60" s="9">
        <f>IF(OR(Inputs!$F$8=TRUE,Inputs!$F$8="TRUE",Inputs!$F$8=1),(Inputs!$H$8+Inputs!$L$8*(((Inputs!$I$8+(((A60)+1)/2)*(Inputs!$J$8-Inputs!$I$8)))/Inputs!$K$8)^2),NA())</f>
        <v/>
      </c>
      <c r="BC60" s="9">
        <f>IF(OR(Inputs!$F$9=TRUE,Inputs!$F$9="TRUE",Inputs!$F$9=1),(Inputs!$H$9+Inputs!$L$9*(((Inputs!$I$9+(((A60)+1)/2)*(Inputs!$J$9-Inputs!$I$9)))/Inputs!$K$9)^2),NA())</f>
        <v/>
      </c>
      <c r="BD60" s="10" t="n"/>
      <c r="BE60" s="9">
        <f>A60</f>
        <v/>
      </c>
      <c r="BF60" s="9">
        <f>0</f>
        <v/>
      </c>
      <c r="BG60" s="9">
        <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f>
        <v/>
      </c>
      <c r="BH60" s="9">
        <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f>
        <v/>
      </c>
      <c r="BI60" s="9">
        <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f>
        <v/>
      </c>
      <c r="BJ60" s="9">
        <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f>
        <v/>
      </c>
    </row>
    <row r="61">
      <c r="A61" s="9">
        <f>ROUND(-1+59*2/240,3)</f>
        <v/>
      </c>
      <c r="B61" s="9">
        <f>IF(OR(Inputs!$F$6=TRUE,Inputs!$F$6="TRUE",Inputs!$F$6=1),(Inputs!$H$6+Inputs!$L$6*(((Inputs!$I$6+(((A61)+1)/2)*(Inputs!$J$6-Inputs!$I$6)))/Inputs!$K$6)^2),NA())</f>
        <v/>
      </c>
      <c r="C61" s="9">
        <f>IF(OR(Inputs!$F$7=TRUE,Inputs!$F$7="TRUE",Inputs!$F$7=1),(Inputs!$H$7+Inputs!$L$7*(((Inputs!$I$7+(((A61)+1)/2)*(Inputs!$J$7-Inputs!$I$7)))/Inputs!$K$7)^2),NA())</f>
        <v/>
      </c>
      <c r="D61" s="9">
        <f>IF(OR(Inputs!$F$8=TRUE,Inputs!$F$8="TRUE",Inputs!$F$8=1),(Inputs!$H$8+Inputs!$L$8*(((Inputs!$I$8+(((A61)+1)/2)*(Inputs!$J$8-Inputs!$I$8)))/Inputs!$K$8)^2),NA())</f>
        <v/>
      </c>
      <c r="E61" s="9">
        <f>IF(OR(Inputs!$F$9=TRUE,Inputs!$F$9="TRUE",Inputs!$F$9=1),(Inputs!$H$9+Inputs!$L$9*(((Inputs!$I$9+(((A61)+1)/2)*(Inputs!$J$9-Inputs!$I$9)))/Inputs!$K$9)^2),NA())</f>
        <v/>
      </c>
      <c r="F61" s="10" t="n"/>
      <c r="G61" s="9">
        <f>A61</f>
        <v/>
      </c>
      <c r="H61" s="9">
        <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f>
        <v/>
      </c>
      <c r="I61" s="9">
        <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f>
        <v/>
      </c>
      <c r="J61" s="9">
        <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f>
        <v/>
      </c>
      <c r="K61" s="9">
        <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f>
        <v/>
      </c>
      <c r="L61" s="10" t="n"/>
      <c r="M61" s="9">
        <f>A61</f>
        <v/>
      </c>
      <c r="N61" s="9">
        <f>IF(OR(Inputs!$F$6=TRUE,Inputs!$F$6="TRUE",Inputs!$F$6=1),(-2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NA())</f>
        <v/>
      </c>
      <c r="O61" s="9">
        <f>IF(OR(Inputs!$F$7=TRUE,Inputs!$F$7="TRUE",Inputs!$F$7=1),(-2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NA())</f>
        <v/>
      </c>
      <c r="P61" s="9">
        <f>IF(OR(Inputs!$F$8=TRUE,Inputs!$F$8="TRUE",Inputs!$F$8=1),(-2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NA())</f>
        <v/>
      </c>
      <c r="Q61" s="9">
        <f>IF(OR(Inputs!$F$9=TRUE,Inputs!$F$9="TRUE",Inputs!$F$9=1),(-2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NA())</f>
        <v/>
      </c>
      <c r="R61" s="10" t="n"/>
      <c r="S61" s="9">
        <f>A61</f>
        <v/>
      </c>
      <c r="T61" s="9">
        <f>(Inputs!$I$6+(((A61)+1)/2)*(Inputs!$J$6-Inputs!$I$6))</f>
        <v/>
      </c>
      <c r="U61" s="9">
        <f>(Inputs!$I$7+(((A61)+1)/2)*(Inputs!$J$7-Inputs!$I$7))</f>
        <v/>
      </c>
      <c r="V61" s="9">
        <f>(Inputs!$I$8+(((A61)+1)/2)*(Inputs!$J$8-Inputs!$I$8))</f>
        <v/>
      </c>
      <c r="W61" s="9">
        <f>(Inputs!$I$9+(((A61)+1)/2)*(Inputs!$J$9-Inputs!$I$9))</f>
        <v/>
      </c>
      <c r="X61" s="10" t="n"/>
      <c r="Y61" s="9">
        <f>A61</f>
        <v/>
      </c>
      <c r="Z61" s="9">
        <f>(Inputs!$H$6+Inputs!$L$6*(((Inputs!$I$6+(((A61)+1)/2)*(Inputs!$J$6-Inputs!$I$6)))/Inputs!$K$6)^2)</f>
        <v/>
      </c>
      <c r="AA61" s="9">
        <f>(Inputs!$H$7+Inputs!$L$7*(((Inputs!$I$7+(((A61)+1)/2)*(Inputs!$J$7-Inputs!$I$7)))/Inputs!$K$7)^2)</f>
        <v/>
      </c>
      <c r="AB61" s="9">
        <f>(Inputs!$H$8+Inputs!$L$8*(((Inputs!$I$8+(((A61)+1)/2)*(Inputs!$J$8-Inputs!$I$8)))/Inputs!$K$8)^2)</f>
        <v/>
      </c>
      <c r="AC61" s="9">
        <f>(Inputs!$H$9+Inputs!$L$9*(((Inputs!$I$9+(((A61)+1)/2)*(Inputs!$J$9-Inputs!$I$9)))/Inputs!$K$9)^2)</f>
        <v/>
      </c>
      <c r="AD61" s="10" t="n"/>
      <c r="AE61" s="9">
        <f>A61</f>
        <v/>
      </c>
      <c r="AF61" s="9">
        <f>(((SQRT((Inputs!$C$52+((Inputs!$H$6+Inputs!$L$6*(((Inputs!$I$6+(((A61)+1)/2)*(Inputs!$J$6-Inputs!$I$6)))/Inputs!$K$6)^2)))^2+Inputs!$C$52^2-2*(Inputs!$C$52+((Inputs!$H$6+Inputs!$L$6*(((Inputs!$I$6+(((A61)+1)/2)*(Inputs!$J$6-Inputs!$I$6)))/Inputs!$K$6)^2)))*Inputs!$C$52*COS(SQRT(((Inputs!$I$6+(((A61)+1)/2)*(Inputs!$J$6-Inputs!$I$6)))^2+Inputs!$C$6^2)/Inputs!$C$52)))-((Inputs!$H$6+Inputs!$L$6*(((Inputs!$I$6+(((A61)+1)/2)*(Inputs!$J$6-Inputs!$I$6)))/Inputs!$K$6)^2)))*1000/Inputs!$C$12)</f>
        <v/>
      </c>
      <c r="AG61" s="9">
        <f>(((SQRT((Inputs!$C$52+((Inputs!$H$7+Inputs!$L$7*(((Inputs!$I$7+(((A61)+1)/2)*(Inputs!$J$7-Inputs!$I$7)))/Inputs!$K$7)^2)))^2+Inputs!$C$52^2-2*(Inputs!$C$52+((Inputs!$H$7+Inputs!$L$7*(((Inputs!$I$7+(((A61)+1)/2)*(Inputs!$J$7-Inputs!$I$7)))/Inputs!$K$7)^2)))*Inputs!$C$52*COS(SQRT(((Inputs!$I$7+(((A61)+1)/2)*(Inputs!$J$7-Inputs!$I$7)))^2+Inputs!$C$6^2)/Inputs!$C$52)))-((Inputs!$H$7+Inputs!$L$7*(((Inputs!$I$7+(((A61)+1)/2)*(Inputs!$J$7-Inputs!$I$7)))/Inputs!$K$7)^2)))*1000/Inputs!$C$12)</f>
        <v/>
      </c>
      <c r="AH61" s="9">
        <f>(((SQRT((Inputs!$C$52+((Inputs!$H$8+Inputs!$L$8*(((Inputs!$I$8+(((A61)+1)/2)*(Inputs!$J$8-Inputs!$I$8)))/Inputs!$K$8)^2)))^2+Inputs!$C$52^2-2*(Inputs!$C$52+((Inputs!$H$8+Inputs!$L$8*(((Inputs!$I$8+(((A61)+1)/2)*(Inputs!$J$8-Inputs!$I$8)))/Inputs!$K$8)^2)))*Inputs!$C$52*COS(SQRT(((Inputs!$I$8+(((A61)+1)/2)*(Inputs!$J$8-Inputs!$I$8)))^2+Inputs!$C$6^2)/Inputs!$C$52)))-((Inputs!$H$8+Inputs!$L$8*(((Inputs!$I$8+(((A61)+1)/2)*(Inputs!$J$8-Inputs!$I$8)))/Inputs!$K$8)^2)))*1000/Inputs!$C$12)</f>
        <v/>
      </c>
      <c r="AI61" s="9">
        <f>(((SQRT((Inputs!$C$52+((Inputs!$H$9+Inputs!$L$9*(((Inputs!$I$9+(((A61)+1)/2)*(Inputs!$J$9-Inputs!$I$9)))/Inputs!$K$9)^2)))^2+Inputs!$C$52^2-2*(Inputs!$C$52+((Inputs!$H$9+Inputs!$L$9*(((Inputs!$I$9+(((A61)+1)/2)*(Inputs!$J$9-Inputs!$I$9)))/Inputs!$K$9)^2)))*Inputs!$C$52*COS(SQRT(((Inputs!$I$9+(((A61)+1)/2)*(Inputs!$J$9-Inputs!$I$9)))^2+Inputs!$C$6^2)/Inputs!$C$52)))-((Inputs!$H$9+Inputs!$L$9*(((Inputs!$I$9+(((A61)+1)/2)*(Inputs!$J$9-Inputs!$I$9)))/Inputs!$K$9)^2)))*1000/Inputs!$C$12)</f>
        <v/>
      </c>
      <c r="AJ61" s="10" t="n"/>
      <c r="AK61" s="9">
        <f>A61</f>
        <v/>
      </c>
      <c r="AL61" s="9">
        <f>(-2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f>
        <v/>
      </c>
      <c r="AM61" s="9">
        <f>(-2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f>
        <v/>
      </c>
      <c r="AN61" s="9">
        <f>(-2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f>
        <v/>
      </c>
      <c r="AO61" s="9">
        <f>(-2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f>
        <v/>
      </c>
      <c r="AP61" s="10" t="n"/>
      <c r="AQ61" s="9">
        <f>A61</f>
        <v/>
      </c>
      <c r="AR61" s="9">
        <f>0</f>
        <v/>
      </c>
      <c r="AS61" s="9">
        <f>IF(OR(Inputs!$F$6=TRUE,Inputs!$F$6="TRUE",Inputs!$F$6=1),IF(OR(Inputs!$C$27=TRUE,Inputs!$C$27="TRUE",Inputs!$C$27=1),1,0)*(Inputs!$C$51*(115*EXP(-(((Inputs!$C$6)-25)^2)/(4.5^2))+70*EXP(-(((Inputs!$C$6)+38)^2)/(7^2))*(0.55+0.45*SIN(2*PI()*((Inputs!$I$6+(((A61)+1)/2)*(Inputs!$J$6-Inputs!$I$6)))/45))+24*SIN(2*PI()*(Inputs!$C$6)/9+((Inputs!$I$6+(((A61)+1)/2)*(Inputs!$J$6-Inputs!$I$6)))/18)*EXP(-(((Inputs!$C$6)+5)^2)/(22^2))+18*SIN(2*PI()*((Inputs!$I$6+(((A61)+1)/2)*(Inputs!$J$6-Inputs!$I$6)))/70))+Inputs!$C$28*EXP(-((((Inputs!$I$6+(((A61)+1)/2)*(Inputs!$J$6-Inputs!$I$6)))-Inputs!$C$29)^2)/(2*Inputs!$C$31^2))*EXP(-(((Inputs!$C$6)-Inputs!$C$30)^2)/(2*Inputs!$C$32^2))+-Inputs!$C$33*EXP(-((((((Inputs!$I$6+(((A61)+1)/2)*(Inputs!$J$6-Inputs!$I$6)))-Inputs!$C$34)^2)+(((Inputs!$C$6)-Inputs!$C$35)^2))/(2*Inputs!$C$36^2)))+Inputs!$C$37*(0.55*SIN(2*PI()*((Inputs!$I$6+(((A61)+1)/2)*(Inputs!$J$6-Inputs!$I$6)))/Inputs!$C$39)+0.35*COS(2*PI()*(Inputs!$C$6)/Inputs!$C$40)+0.2*SIN(2*PI()*(((Inputs!$I$6+(((A61)+1)/2)*(Inputs!$J$6-Inputs!$I$6)))+(Inputs!$C$6))/(0.5*(Inputs!$C$39+Inputs!$C$40))))+Inputs!$C$38*SIN(2*PI()*((Inputs!$I$6+(((A61)+1)/2)*(Inputs!$J$6-Inputs!$I$6)))/Inputs!$C$39)*SIN(2*PI()*(Inputs!$C$6)/Inputs!$C$40)+-Inputs!$C$41*EXP(-(((Inputs!$C$6)-Inputs!$C$43)^2)/(2*Inputs!$C$44^2))*EXP(-((((Inputs!$I$6+(((A61)+1)/2)*(Inputs!$J$6-Inputs!$I$6)))-Inputs!$C$42)^2)/(2*Inputs!$C$45^2))+Inputs!$C$48*(0.7*(0.45*SIN(2*PI()*((((Inputs!$I$6+(((A61)+1)/2)*(Inputs!$J$6-Inputs!$I$6)))/Inputs!$C$49)+Inputs!$C$47*0.137))+0.35*COS(2*PI()*(((Inputs!$C$6)/Inputs!$C$50)+Inputs!$C$47*0.173))+0.2*SIN(2*PI()*((((Inputs!$I$6+(((A61)+1)/2)*(Inputs!$J$6-Inputs!$I$6)))+(Inputs!$C$6))/(0.5*(Inputs!$C$49+Inputs!$C$50))+Inputs!$C$47*0.097)))+0.3*(2*((SIN((((Inputs!$I$6+(((A61)+1)/2)*(Inputs!$J$6-Inputs!$I$6)))*12.9898+(Inputs!$C$6)*78.233+Inputs!$C$47*37.719))*43758.5453)-INT((SIN((((Inputs!$I$6+(((A61)+1)/2)*(Inputs!$J$6-Inputs!$I$6)))*12.9898+(Inputs!$C$6)*78.233+Inputs!$C$47*37.719))*43758.5453)))-1))),NA())</f>
        <v/>
      </c>
      <c r="AT61" s="9">
        <f>IF(OR(Inputs!$F$7=TRUE,Inputs!$F$7="TRUE",Inputs!$F$7=1),IF(OR(Inputs!$C$27=TRUE,Inputs!$C$27="TRUE",Inputs!$C$27=1),1,0)*(Inputs!$C$51*(115*EXP(-(((Inputs!$C$6)-25)^2)/(4.5^2))+70*EXP(-(((Inputs!$C$6)+38)^2)/(7^2))*(0.55+0.45*SIN(2*PI()*((Inputs!$I$7+(((A61)+1)/2)*(Inputs!$J$7-Inputs!$I$7)))/45))+24*SIN(2*PI()*(Inputs!$C$6)/9+((Inputs!$I$7+(((A61)+1)/2)*(Inputs!$J$7-Inputs!$I$7)))/18)*EXP(-(((Inputs!$C$6)+5)^2)/(22^2))+18*SIN(2*PI()*((Inputs!$I$7+(((A61)+1)/2)*(Inputs!$J$7-Inputs!$I$7)))/70))+Inputs!$C$28*EXP(-((((Inputs!$I$7+(((A61)+1)/2)*(Inputs!$J$7-Inputs!$I$7)))-Inputs!$C$29)^2)/(2*Inputs!$C$31^2))*EXP(-(((Inputs!$C$6)-Inputs!$C$30)^2)/(2*Inputs!$C$32^2))+-Inputs!$C$33*EXP(-((((((Inputs!$I$7+(((A61)+1)/2)*(Inputs!$J$7-Inputs!$I$7)))-Inputs!$C$34)^2)+(((Inputs!$C$6)-Inputs!$C$35)^2))/(2*Inputs!$C$36^2)))+Inputs!$C$37*(0.55*SIN(2*PI()*((Inputs!$I$7+(((A61)+1)/2)*(Inputs!$J$7-Inputs!$I$7)))/Inputs!$C$39)+0.35*COS(2*PI()*(Inputs!$C$6)/Inputs!$C$40)+0.2*SIN(2*PI()*(((Inputs!$I$7+(((A61)+1)/2)*(Inputs!$J$7-Inputs!$I$7)))+(Inputs!$C$6))/(0.5*(Inputs!$C$39+Inputs!$C$40))))+Inputs!$C$38*SIN(2*PI()*((Inputs!$I$7+(((A61)+1)/2)*(Inputs!$J$7-Inputs!$I$7)))/Inputs!$C$39)*SIN(2*PI()*(Inputs!$C$6)/Inputs!$C$40)+-Inputs!$C$41*EXP(-(((Inputs!$C$6)-Inputs!$C$43)^2)/(2*Inputs!$C$44^2))*EXP(-((((Inputs!$I$7+(((A61)+1)/2)*(Inputs!$J$7-Inputs!$I$7)))-Inputs!$C$42)^2)/(2*Inputs!$C$45^2))+Inputs!$C$48*(0.7*(0.45*SIN(2*PI()*((((Inputs!$I$7+(((A61)+1)/2)*(Inputs!$J$7-Inputs!$I$7)))/Inputs!$C$49)+Inputs!$C$47*0.137))+0.35*COS(2*PI()*(((Inputs!$C$6)/Inputs!$C$50)+Inputs!$C$47*0.173))+0.2*SIN(2*PI()*((((Inputs!$I$7+(((A61)+1)/2)*(Inputs!$J$7-Inputs!$I$7)))+(Inputs!$C$6))/(0.5*(Inputs!$C$49+Inputs!$C$50))+Inputs!$C$47*0.097)))+0.3*(2*((SIN((((Inputs!$I$7+(((A61)+1)/2)*(Inputs!$J$7-Inputs!$I$7)))*12.9898+(Inputs!$C$6)*78.233+Inputs!$C$47*37.719))*43758.5453)-INT((SIN((((Inputs!$I$7+(((A61)+1)/2)*(Inputs!$J$7-Inputs!$I$7)))*12.9898+(Inputs!$C$6)*78.233+Inputs!$C$47*37.719))*43758.5453)))-1))),NA())</f>
        <v/>
      </c>
      <c r="AU61" s="9">
        <f>IF(OR(Inputs!$F$8=TRUE,Inputs!$F$8="TRUE",Inputs!$F$8=1),IF(OR(Inputs!$C$27=TRUE,Inputs!$C$27="TRUE",Inputs!$C$27=1),1,0)*(Inputs!$C$51*(115*EXP(-(((Inputs!$C$6)-25)^2)/(4.5^2))+70*EXP(-(((Inputs!$C$6)+38)^2)/(7^2))*(0.55+0.45*SIN(2*PI()*((Inputs!$I$8+(((A61)+1)/2)*(Inputs!$J$8-Inputs!$I$8)))/45))+24*SIN(2*PI()*(Inputs!$C$6)/9+((Inputs!$I$8+(((A61)+1)/2)*(Inputs!$J$8-Inputs!$I$8)))/18)*EXP(-(((Inputs!$C$6)+5)^2)/(22^2))+18*SIN(2*PI()*((Inputs!$I$8+(((A61)+1)/2)*(Inputs!$J$8-Inputs!$I$8)))/70))+Inputs!$C$28*EXP(-((((Inputs!$I$8+(((A61)+1)/2)*(Inputs!$J$8-Inputs!$I$8)))-Inputs!$C$29)^2)/(2*Inputs!$C$31^2))*EXP(-(((Inputs!$C$6)-Inputs!$C$30)^2)/(2*Inputs!$C$32^2))+-Inputs!$C$33*EXP(-((((((Inputs!$I$8+(((A61)+1)/2)*(Inputs!$J$8-Inputs!$I$8)))-Inputs!$C$34)^2)+(((Inputs!$C$6)-Inputs!$C$35)^2))/(2*Inputs!$C$36^2)))+Inputs!$C$37*(0.55*SIN(2*PI()*((Inputs!$I$8+(((A61)+1)/2)*(Inputs!$J$8-Inputs!$I$8)))/Inputs!$C$39)+0.35*COS(2*PI()*(Inputs!$C$6)/Inputs!$C$40)+0.2*SIN(2*PI()*(((Inputs!$I$8+(((A61)+1)/2)*(Inputs!$J$8-Inputs!$I$8)))+(Inputs!$C$6))/(0.5*(Inputs!$C$39+Inputs!$C$40))))+Inputs!$C$38*SIN(2*PI()*((Inputs!$I$8+(((A61)+1)/2)*(Inputs!$J$8-Inputs!$I$8)))/Inputs!$C$39)*SIN(2*PI()*(Inputs!$C$6)/Inputs!$C$40)+-Inputs!$C$41*EXP(-(((Inputs!$C$6)-Inputs!$C$43)^2)/(2*Inputs!$C$44^2))*EXP(-((((Inputs!$I$8+(((A61)+1)/2)*(Inputs!$J$8-Inputs!$I$8)))-Inputs!$C$42)^2)/(2*Inputs!$C$45^2))+Inputs!$C$48*(0.7*(0.45*SIN(2*PI()*((((Inputs!$I$8+(((A61)+1)/2)*(Inputs!$J$8-Inputs!$I$8)))/Inputs!$C$49)+Inputs!$C$47*0.137))+0.35*COS(2*PI()*(((Inputs!$C$6)/Inputs!$C$50)+Inputs!$C$47*0.173))+0.2*SIN(2*PI()*((((Inputs!$I$8+(((A61)+1)/2)*(Inputs!$J$8-Inputs!$I$8)))+(Inputs!$C$6))/(0.5*(Inputs!$C$49+Inputs!$C$50))+Inputs!$C$47*0.097)))+0.3*(2*((SIN((((Inputs!$I$8+(((A61)+1)/2)*(Inputs!$J$8-Inputs!$I$8)))*12.9898+(Inputs!$C$6)*78.233+Inputs!$C$47*37.719))*43758.5453)-INT((SIN((((Inputs!$I$8+(((A61)+1)/2)*(Inputs!$J$8-Inputs!$I$8)))*12.9898+(Inputs!$C$6)*78.233+Inputs!$C$47*37.719))*43758.5453)))-1))),NA())</f>
        <v/>
      </c>
      <c r="AV61" s="9">
        <f>IF(OR(Inputs!$F$9=TRUE,Inputs!$F$9="TRUE",Inputs!$F$9=1),IF(OR(Inputs!$C$27=TRUE,Inputs!$C$27="TRUE",Inputs!$C$27=1),1,0)*(Inputs!$C$51*(115*EXP(-(((Inputs!$C$6)-25)^2)/(4.5^2))+70*EXP(-(((Inputs!$C$6)+38)^2)/(7^2))*(0.55+0.45*SIN(2*PI()*((Inputs!$I$9+(((A61)+1)/2)*(Inputs!$J$9-Inputs!$I$9)))/45))+24*SIN(2*PI()*(Inputs!$C$6)/9+((Inputs!$I$9+(((A61)+1)/2)*(Inputs!$J$9-Inputs!$I$9)))/18)*EXP(-(((Inputs!$C$6)+5)^2)/(22^2))+18*SIN(2*PI()*((Inputs!$I$9+(((A61)+1)/2)*(Inputs!$J$9-Inputs!$I$9)))/70))+Inputs!$C$28*EXP(-((((Inputs!$I$9+(((A61)+1)/2)*(Inputs!$J$9-Inputs!$I$9)))-Inputs!$C$29)^2)/(2*Inputs!$C$31^2))*EXP(-(((Inputs!$C$6)-Inputs!$C$30)^2)/(2*Inputs!$C$32^2))+-Inputs!$C$33*EXP(-((((((Inputs!$I$9+(((A61)+1)/2)*(Inputs!$J$9-Inputs!$I$9)))-Inputs!$C$34)^2)+(((Inputs!$C$6)-Inputs!$C$35)^2))/(2*Inputs!$C$36^2)))+Inputs!$C$37*(0.55*SIN(2*PI()*((Inputs!$I$9+(((A61)+1)/2)*(Inputs!$J$9-Inputs!$I$9)))/Inputs!$C$39)+0.35*COS(2*PI()*(Inputs!$C$6)/Inputs!$C$40)+0.2*SIN(2*PI()*(((Inputs!$I$9+(((A61)+1)/2)*(Inputs!$J$9-Inputs!$I$9)))+(Inputs!$C$6))/(0.5*(Inputs!$C$39+Inputs!$C$40))))+Inputs!$C$38*SIN(2*PI()*((Inputs!$I$9+(((A61)+1)/2)*(Inputs!$J$9-Inputs!$I$9)))/Inputs!$C$39)*SIN(2*PI()*(Inputs!$C$6)/Inputs!$C$40)+-Inputs!$C$41*EXP(-(((Inputs!$C$6)-Inputs!$C$43)^2)/(2*Inputs!$C$44^2))*EXP(-((((Inputs!$I$9+(((A61)+1)/2)*(Inputs!$J$9-Inputs!$I$9)))-Inputs!$C$42)^2)/(2*Inputs!$C$45^2))+Inputs!$C$48*(0.7*(0.45*SIN(2*PI()*((((Inputs!$I$9+(((A61)+1)/2)*(Inputs!$J$9-Inputs!$I$9)))/Inputs!$C$49)+Inputs!$C$47*0.137))+0.35*COS(2*PI()*(((Inputs!$C$6)/Inputs!$C$50)+Inputs!$C$47*0.173))+0.2*SIN(2*PI()*((((Inputs!$I$9+(((A61)+1)/2)*(Inputs!$J$9-Inputs!$I$9)))+(Inputs!$C$6))/(0.5*(Inputs!$C$49+Inputs!$C$50))+Inputs!$C$47*0.097)))+0.3*(2*((SIN((((Inputs!$I$9+(((A61)+1)/2)*(Inputs!$J$9-Inputs!$I$9)))*12.9898+(Inputs!$C$6)*78.233+Inputs!$C$47*37.719))*43758.5453)-INT((SIN((((Inputs!$I$9+(((A61)+1)/2)*(Inputs!$J$9-Inputs!$I$9)))*12.9898+(Inputs!$C$6)*78.233+Inputs!$C$47*37.719))*43758.5453)))-1))),NA())</f>
        <v/>
      </c>
      <c r="AW61" s="10" t="n"/>
      <c r="AX61" s="9">
        <f>A61</f>
        <v/>
      </c>
      <c r="AY61" s="9">
        <f>0</f>
        <v/>
      </c>
      <c r="AZ61" s="9">
        <f>IF(OR(Inputs!$F$6=TRUE,Inputs!$F$6="TRUE",Inputs!$F$6=1),(Inputs!$H$6+Inputs!$L$6*(((Inputs!$I$6+(((A61)+1)/2)*(Inputs!$J$6-Inputs!$I$6)))/Inputs!$K$6)^2),NA())</f>
        <v/>
      </c>
      <c r="BA61" s="9">
        <f>IF(OR(Inputs!$F$7=TRUE,Inputs!$F$7="TRUE",Inputs!$F$7=1),(Inputs!$H$7+Inputs!$L$7*(((Inputs!$I$7+(((A61)+1)/2)*(Inputs!$J$7-Inputs!$I$7)))/Inputs!$K$7)^2),NA())</f>
        <v/>
      </c>
      <c r="BB61" s="9">
        <f>IF(OR(Inputs!$F$8=TRUE,Inputs!$F$8="TRUE",Inputs!$F$8=1),(Inputs!$H$8+Inputs!$L$8*(((Inputs!$I$8+(((A61)+1)/2)*(Inputs!$J$8-Inputs!$I$8)))/Inputs!$K$8)^2),NA())</f>
        <v/>
      </c>
      <c r="BC61" s="9">
        <f>IF(OR(Inputs!$F$9=TRUE,Inputs!$F$9="TRUE",Inputs!$F$9=1),(Inputs!$H$9+Inputs!$L$9*(((Inputs!$I$9+(((A61)+1)/2)*(Inputs!$J$9-Inputs!$I$9)))/Inputs!$K$9)^2),NA())</f>
        <v/>
      </c>
      <c r="BD61" s="10" t="n"/>
      <c r="BE61" s="9">
        <f>A61</f>
        <v/>
      </c>
      <c r="BF61" s="9">
        <f>0</f>
        <v/>
      </c>
      <c r="BG61" s="9">
        <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f>
        <v/>
      </c>
      <c r="BH61" s="9">
        <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f>
        <v/>
      </c>
      <c r="BI61" s="9">
        <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f>
        <v/>
      </c>
      <c r="BJ61" s="9">
        <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f>
        <v/>
      </c>
    </row>
    <row r="62">
      <c r="A62" s="9">
        <f>ROUND(-1+60*2/240,3)</f>
        <v/>
      </c>
      <c r="B62" s="9">
        <f>IF(OR(Inputs!$F$6=TRUE,Inputs!$F$6="TRUE",Inputs!$F$6=1),(Inputs!$H$6+Inputs!$L$6*(((Inputs!$I$6+(((A62)+1)/2)*(Inputs!$J$6-Inputs!$I$6)))/Inputs!$K$6)^2),NA())</f>
        <v/>
      </c>
      <c r="C62" s="9">
        <f>IF(OR(Inputs!$F$7=TRUE,Inputs!$F$7="TRUE",Inputs!$F$7=1),(Inputs!$H$7+Inputs!$L$7*(((Inputs!$I$7+(((A62)+1)/2)*(Inputs!$J$7-Inputs!$I$7)))/Inputs!$K$7)^2),NA())</f>
        <v/>
      </c>
      <c r="D62" s="9">
        <f>IF(OR(Inputs!$F$8=TRUE,Inputs!$F$8="TRUE",Inputs!$F$8=1),(Inputs!$H$8+Inputs!$L$8*(((Inputs!$I$8+(((A62)+1)/2)*(Inputs!$J$8-Inputs!$I$8)))/Inputs!$K$8)^2),NA())</f>
        <v/>
      </c>
      <c r="E62" s="9">
        <f>IF(OR(Inputs!$F$9=TRUE,Inputs!$F$9="TRUE",Inputs!$F$9=1),(Inputs!$H$9+Inputs!$L$9*(((Inputs!$I$9+(((A62)+1)/2)*(Inputs!$J$9-Inputs!$I$9)))/Inputs!$K$9)^2),NA())</f>
        <v/>
      </c>
      <c r="F62" s="10" t="n"/>
      <c r="G62" s="9">
        <f>A62</f>
        <v/>
      </c>
      <c r="H62" s="9">
        <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f>
        <v/>
      </c>
      <c r="I62" s="9">
        <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f>
        <v/>
      </c>
      <c r="J62" s="9">
        <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f>
        <v/>
      </c>
      <c r="K62" s="9">
        <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f>
        <v/>
      </c>
      <c r="L62" s="10" t="n"/>
      <c r="M62" s="9">
        <f>A62</f>
        <v/>
      </c>
      <c r="N62" s="9">
        <f>IF(OR(Inputs!$F$6=TRUE,Inputs!$F$6="TRUE",Inputs!$F$6=1),(-2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NA())</f>
        <v/>
      </c>
      <c r="O62" s="9">
        <f>IF(OR(Inputs!$F$7=TRUE,Inputs!$F$7="TRUE",Inputs!$F$7=1),(-2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NA())</f>
        <v/>
      </c>
      <c r="P62" s="9">
        <f>IF(OR(Inputs!$F$8=TRUE,Inputs!$F$8="TRUE",Inputs!$F$8=1),(-2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NA())</f>
        <v/>
      </c>
      <c r="Q62" s="9">
        <f>IF(OR(Inputs!$F$9=TRUE,Inputs!$F$9="TRUE",Inputs!$F$9=1),(-2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NA())</f>
        <v/>
      </c>
      <c r="R62" s="10" t="n"/>
      <c r="S62" s="9">
        <f>A62</f>
        <v/>
      </c>
      <c r="T62" s="9">
        <f>(Inputs!$I$6+(((A62)+1)/2)*(Inputs!$J$6-Inputs!$I$6))</f>
        <v/>
      </c>
      <c r="U62" s="9">
        <f>(Inputs!$I$7+(((A62)+1)/2)*(Inputs!$J$7-Inputs!$I$7))</f>
        <v/>
      </c>
      <c r="V62" s="9">
        <f>(Inputs!$I$8+(((A62)+1)/2)*(Inputs!$J$8-Inputs!$I$8))</f>
        <v/>
      </c>
      <c r="W62" s="9">
        <f>(Inputs!$I$9+(((A62)+1)/2)*(Inputs!$J$9-Inputs!$I$9))</f>
        <v/>
      </c>
      <c r="X62" s="10" t="n"/>
      <c r="Y62" s="9">
        <f>A62</f>
        <v/>
      </c>
      <c r="Z62" s="9">
        <f>(Inputs!$H$6+Inputs!$L$6*(((Inputs!$I$6+(((A62)+1)/2)*(Inputs!$J$6-Inputs!$I$6)))/Inputs!$K$6)^2)</f>
        <v/>
      </c>
      <c r="AA62" s="9">
        <f>(Inputs!$H$7+Inputs!$L$7*(((Inputs!$I$7+(((A62)+1)/2)*(Inputs!$J$7-Inputs!$I$7)))/Inputs!$K$7)^2)</f>
        <v/>
      </c>
      <c r="AB62" s="9">
        <f>(Inputs!$H$8+Inputs!$L$8*(((Inputs!$I$8+(((A62)+1)/2)*(Inputs!$J$8-Inputs!$I$8)))/Inputs!$K$8)^2)</f>
        <v/>
      </c>
      <c r="AC62" s="9">
        <f>(Inputs!$H$9+Inputs!$L$9*(((Inputs!$I$9+(((A62)+1)/2)*(Inputs!$J$9-Inputs!$I$9)))/Inputs!$K$9)^2)</f>
        <v/>
      </c>
      <c r="AD62" s="10" t="n"/>
      <c r="AE62" s="9">
        <f>A62</f>
        <v/>
      </c>
      <c r="AF62" s="9">
        <f>(((SQRT((Inputs!$C$52+((Inputs!$H$6+Inputs!$L$6*(((Inputs!$I$6+(((A62)+1)/2)*(Inputs!$J$6-Inputs!$I$6)))/Inputs!$K$6)^2)))^2+Inputs!$C$52^2-2*(Inputs!$C$52+((Inputs!$H$6+Inputs!$L$6*(((Inputs!$I$6+(((A62)+1)/2)*(Inputs!$J$6-Inputs!$I$6)))/Inputs!$K$6)^2)))*Inputs!$C$52*COS(SQRT(((Inputs!$I$6+(((A62)+1)/2)*(Inputs!$J$6-Inputs!$I$6)))^2+Inputs!$C$6^2)/Inputs!$C$52)))-((Inputs!$H$6+Inputs!$L$6*(((Inputs!$I$6+(((A62)+1)/2)*(Inputs!$J$6-Inputs!$I$6)))/Inputs!$K$6)^2)))*1000/Inputs!$C$12)</f>
        <v/>
      </c>
      <c r="AG62" s="9">
        <f>(((SQRT((Inputs!$C$52+((Inputs!$H$7+Inputs!$L$7*(((Inputs!$I$7+(((A62)+1)/2)*(Inputs!$J$7-Inputs!$I$7)))/Inputs!$K$7)^2)))^2+Inputs!$C$52^2-2*(Inputs!$C$52+((Inputs!$H$7+Inputs!$L$7*(((Inputs!$I$7+(((A62)+1)/2)*(Inputs!$J$7-Inputs!$I$7)))/Inputs!$K$7)^2)))*Inputs!$C$52*COS(SQRT(((Inputs!$I$7+(((A62)+1)/2)*(Inputs!$J$7-Inputs!$I$7)))^2+Inputs!$C$6^2)/Inputs!$C$52)))-((Inputs!$H$7+Inputs!$L$7*(((Inputs!$I$7+(((A62)+1)/2)*(Inputs!$J$7-Inputs!$I$7)))/Inputs!$K$7)^2)))*1000/Inputs!$C$12)</f>
        <v/>
      </c>
      <c r="AH62" s="9">
        <f>(((SQRT((Inputs!$C$52+((Inputs!$H$8+Inputs!$L$8*(((Inputs!$I$8+(((A62)+1)/2)*(Inputs!$J$8-Inputs!$I$8)))/Inputs!$K$8)^2)))^2+Inputs!$C$52^2-2*(Inputs!$C$52+((Inputs!$H$8+Inputs!$L$8*(((Inputs!$I$8+(((A62)+1)/2)*(Inputs!$J$8-Inputs!$I$8)))/Inputs!$K$8)^2)))*Inputs!$C$52*COS(SQRT(((Inputs!$I$8+(((A62)+1)/2)*(Inputs!$J$8-Inputs!$I$8)))^2+Inputs!$C$6^2)/Inputs!$C$52)))-((Inputs!$H$8+Inputs!$L$8*(((Inputs!$I$8+(((A62)+1)/2)*(Inputs!$J$8-Inputs!$I$8)))/Inputs!$K$8)^2)))*1000/Inputs!$C$12)</f>
        <v/>
      </c>
      <c r="AI62" s="9">
        <f>(((SQRT((Inputs!$C$52+((Inputs!$H$9+Inputs!$L$9*(((Inputs!$I$9+(((A62)+1)/2)*(Inputs!$J$9-Inputs!$I$9)))/Inputs!$K$9)^2)))^2+Inputs!$C$52^2-2*(Inputs!$C$52+((Inputs!$H$9+Inputs!$L$9*(((Inputs!$I$9+(((A62)+1)/2)*(Inputs!$J$9-Inputs!$I$9)))/Inputs!$K$9)^2)))*Inputs!$C$52*COS(SQRT(((Inputs!$I$9+(((A62)+1)/2)*(Inputs!$J$9-Inputs!$I$9)))^2+Inputs!$C$6^2)/Inputs!$C$52)))-((Inputs!$H$9+Inputs!$L$9*(((Inputs!$I$9+(((A62)+1)/2)*(Inputs!$J$9-Inputs!$I$9)))/Inputs!$K$9)^2)))*1000/Inputs!$C$12)</f>
        <v/>
      </c>
      <c r="AJ62" s="10" t="n"/>
      <c r="AK62" s="9">
        <f>A62</f>
        <v/>
      </c>
      <c r="AL62" s="9">
        <f>(-2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f>
        <v/>
      </c>
      <c r="AM62" s="9">
        <f>(-2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f>
        <v/>
      </c>
      <c r="AN62" s="9">
        <f>(-2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f>
        <v/>
      </c>
      <c r="AO62" s="9">
        <f>(-2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f>
        <v/>
      </c>
      <c r="AP62" s="10" t="n"/>
      <c r="AQ62" s="9">
        <f>A62</f>
        <v/>
      </c>
      <c r="AR62" s="9">
        <f>0</f>
        <v/>
      </c>
      <c r="AS62" s="9">
        <f>IF(OR(Inputs!$F$6=TRUE,Inputs!$F$6="TRUE",Inputs!$F$6=1),IF(OR(Inputs!$C$27=TRUE,Inputs!$C$27="TRUE",Inputs!$C$27=1),1,0)*(Inputs!$C$51*(115*EXP(-(((Inputs!$C$6)-25)^2)/(4.5^2))+70*EXP(-(((Inputs!$C$6)+38)^2)/(7^2))*(0.55+0.45*SIN(2*PI()*((Inputs!$I$6+(((A62)+1)/2)*(Inputs!$J$6-Inputs!$I$6)))/45))+24*SIN(2*PI()*(Inputs!$C$6)/9+((Inputs!$I$6+(((A62)+1)/2)*(Inputs!$J$6-Inputs!$I$6)))/18)*EXP(-(((Inputs!$C$6)+5)^2)/(22^2))+18*SIN(2*PI()*((Inputs!$I$6+(((A62)+1)/2)*(Inputs!$J$6-Inputs!$I$6)))/70))+Inputs!$C$28*EXP(-((((Inputs!$I$6+(((A62)+1)/2)*(Inputs!$J$6-Inputs!$I$6)))-Inputs!$C$29)^2)/(2*Inputs!$C$31^2))*EXP(-(((Inputs!$C$6)-Inputs!$C$30)^2)/(2*Inputs!$C$32^2))+-Inputs!$C$33*EXP(-((((((Inputs!$I$6+(((A62)+1)/2)*(Inputs!$J$6-Inputs!$I$6)))-Inputs!$C$34)^2)+(((Inputs!$C$6)-Inputs!$C$35)^2))/(2*Inputs!$C$36^2)))+Inputs!$C$37*(0.55*SIN(2*PI()*((Inputs!$I$6+(((A62)+1)/2)*(Inputs!$J$6-Inputs!$I$6)))/Inputs!$C$39)+0.35*COS(2*PI()*(Inputs!$C$6)/Inputs!$C$40)+0.2*SIN(2*PI()*(((Inputs!$I$6+(((A62)+1)/2)*(Inputs!$J$6-Inputs!$I$6)))+(Inputs!$C$6))/(0.5*(Inputs!$C$39+Inputs!$C$40))))+Inputs!$C$38*SIN(2*PI()*((Inputs!$I$6+(((A62)+1)/2)*(Inputs!$J$6-Inputs!$I$6)))/Inputs!$C$39)*SIN(2*PI()*(Inputs!$C$6)/Inputs!$C$40)+-Inputs!$C$41*EXP(-(((Inputs!$C$6)-Inputs!$C$43)^2)/(2*Inputs!$C$44^2))*EXP(-((((Inputs!$I$6+(((A62)+1)/2)*(Inputs!$J$6-Inputs!$I$6)))-Inputs!$C$42)^2)/(2*Inputs!$C$45^2))+Inputs!$C$48*(0.7*(0.45*SIN(2*PI()*((((Inputs!$I$6+(((A62)+1)/2)*(Inputs!$J$6-Inputs!$I$6)))/Inputs!$C$49)+Inputs!$C$47*0.137))+0.35*COS(2*PI()*(((Inputs!$C$6)/Inputs!$C$50)+Inputs!$C$47*0.173))+0.2*SIN(2*PI()*((((Inputs!$I$6+(((A62)+1)/2)*(Inputs!$J$6-Inputs!$I$6)))+(Inputs!$C$6))/(0.5*(Inputs!$C$49+Inputs!$C$50))+Inputs!$C$47*0.097)))+0.3*(2*((SIN((((Inputs!$I$6+(((A62)+1)/2)*(Inputs!$J$6-Inputs!$I$6)))*12.9898+(Inputs!$C$6)*78.233+Inputs!$C$47*37.719))*43758.5453)-INT((SIN((((Inputs!$I$6+(((A62)+1)/2)*(Inputs!$J$6-Inputs!$I$6)))*12.9898+(Inputs!$C$6)*78.233+Inputs!$C$47*37.719))*43758.5453)))-1))),NA())</f>
        <v/>
      </c>
      <c r="AT62" s="9">
        <f>IF(OR(Inputs!$F$7=TRUE,Inputs!$F$7="TRUE",Inputs!$F$7=1),IF(OR(Inputs!$C$27=TRUE,Inputs!$C$27="TRUE",Inputs!$C$27=1),1,0)*(Inputs!$C$51*(115*EXP(-(((Inputs!$C$6)-25)^2)/(4.5^2))+70*EXP(-(((Inputs!$C$6)+38)^2)/(7^2))*(0.55+0.45*SIN(2*PI()*((Inputs!$I$7+(((A62)+1)/2)*(Inputs!$J$7-Inputs!$I$7)))/45))+24*SIN(2*PI()*(Inputs!$C$6)/9+((Inputs!$I$7+(((A62)+1)/2)*(Inputs!$J$7-Inputs!$I$7)))/18)*EXP(-(((Inputs!$C$6)+5)^2)/(22^2))+18*SIN(2*PI()*((Inputs!$I$7+(((A62)+1)/2)*(Inputs!$J$7-Inputs!$I$7)))/70))+Inputs!$C$28*EXP(-((((Inputs!$I$7+(((A62)+1)/2)*(Inputs!$J$7-Inputs!$I$7)))-Inputs!$C$29)^2)/(2*Inputs!$C$31^2))*EXP(-(((Inputs!$C$6)-Inputs!$C$30)^2)/(2*Inputs!$C$32^2))+-Inputs!$C$33*EXP(-((((((Inputs!$I$7+(((A62)+1)/2)*(Inputs!$J$7-Inputs!$I$7)))-Inputs!$C$34)^2)+(((Inputs!$C$6)-Inputs!$C$35)^2))/(2*Inputs!$C$36^2)))+Inputs!$C$37*(0.55*SIN(2*PI()*((Inputs!$I$7+(((A62)+1)/2)*(Inputs!$J$7-Inputs!$I$7)))/Inputs!$C$39)+0.35*COS(2*PI()*(Inputs!$C$6)/Inputs!$C$40)+0.2*SIN(2*PI()*(((Inputs!$I$7+(((A62)+1)/2)*(Inputs!$J$7-Inputs!$I$7)))+(Inputs!$C$6))/(0.5*(Inputs!$C$39+Inputs!$C$40))))+Inputs!$C$38*SIN(2*PI()*((Inputs!$I$7+(((A62)+1)/2)*(Inputs!$J$7-Inputs!$I$7)))/Inputs!$C$39)*SIN(2*PI()*(Inputs!$C$6)/Inputs!$C$40)+-Inputs!$C$41*EXP(-(((Inputs!$C$6)-Inputs!$C$43)^2)/(2*Inputs!$C$44^2))*EXP(-((((Inputs!$I$7+(((A62)+1)/2)*(Inputs!$J$7-Inputs!$I$7)))-Inputs!$C$42)^2)/(2*Inputs!$C$45^2))+Inputs!$C$48*(0.7*(0.45*SIN(2*PI()*((((Inputs!$I$7+(((A62)+1)/2)*(Inputs!$J$7-Inputs!$I$7)))/Inputs!$C$49)+Inputs!$C$47*0.137))+0.35*COS(2*PI()*(((Inputs!$C$6)/Inputs!$C$50)+Inputs!$C$47*0.173))+0.2*SIN(2*PI()*((((Inputs!$I$7+(((A62)+1)/2)*(Inputs!$J$7-Inputs!$I$7)))+(Inputs!$C$6))/(0.5*(Inputs!$C$49+Inputs!$C$50))+Inputs!$C$47*0.097)))+0.3*(2*((SIN((((Inputs!$I$7+(((A62)+1)/2)*(Inputs!$J$7-Inputs!$I$7)))*12.9898+(Inputs!$C$6)*78.233+Inputs!$C$47*37.719))*43758.5453)-INT((SIN((((Inputs!$I$7+(((A62)+1)/2)*(Inputs!$J$7-Inputs!$I$7)))*12.9898+(Inputs!$C$6)*78.233+Inputs!$C$47*37.719))*43758.5453)))-1))),NA())</f>
        <v/>
      </c>
      <c r="AU62" s="9">
        <f>IF(OR(Inputs!$F$8=TRUE,Inputs!$F$8="TRUE",Inputs!$F$8=1),IF(OR(Inputs!$C$27=TRUE,Inputs!$C$27="TRUE",Inputs!$C$27=1),1,0)*(Inputs!$C$51*(115*EXP(-(((Inputs!$C$6)-25)^2)/(4.5^2))+70*EXP(-(((Inputs!$C$6)+38)^2)/(7^2))*(0.55+0.45*SIN(2*PI()*((Inputs!$I$8+(((A62)+1)/2)*(Inputs!$J$8-Inputs!$I$8)))/45))+24*SIN(2*PI()*(Inputs!$C$6)/9+((Inputs!$I$8+(((A62)+1)/2)*(Inputs!$J$8-Inputs!$I$8)))/18)*EXP(-(((Inputs!$C$6)+5)^2)/(22^2))+18*SIN(2*PI()*((Inputs!$I$8+(((A62)+1)/2)*(Inputs!$J$8-Inputs!$I$8)))/70))+Inputs!$C$28*EXP(-((((Inputs!$I$8+(((A62)+1)/2)*(Inputs!$J$8-Inputs!$I$8)))-Inputs!$C$29)^2)/(2*Inputs!$C$31^2))*EXP(-(((Inputs!$C$6)-Inputs!$C$30)^2)/(2*Inputs!$C$32^2))+-Inputs!$C$33*EXP(-((((((Inputs!$I$8+(((A62)+1)/2)*(Inputs!$J$8-Inputs!$I$8)))-Inputs!$C$34)^2)+(((Inputs!$C$6)-Inputs!$C$35)^2))/(2*Inputs!$C$36^2)))+Inputs!$C$37*(0.55*SIN(2*PI()*((Inputs!$I$8+(((A62)+1)/2)*(Inputs!$J$8-Inputs!$I$8)))/Inputs!$C$39)+0.35*COS(2*PI()*(Inputs!$C$6)/Inputs!$C$40)+0.2*SIN(2*PI()*(((Inputs!$I$8+(((A62)+1)/2)*(Inputs!$J$8-Inputs!$I$8)))+(Inputs!$C$6))/(0.5*(Inputs!$C$39+Inputs!$C$40))))+Inputs!$C$38*SIN(2*PI()*((Inputs!$I$8+(((A62)+1)/2)*(Inputs!$J$8-Inputs!$I$8)))/Inputs!$C$39)*SIN(2*PI()*(Inputs!$C$6)/Inputs!$C$40)+-Inputs!$C$41*EXP(-(((Inputs!$C$6)-Inputs!$C$43)^2)/(2*Inputs!$C$44^2))*EXP(-((((Inputs!$I$8+(((A62)+1)/2)*(Inputs!$J$8-Inputs!$I$8)))-Inputs!$C$42)^2)/(2*Inputs!$C$45^2))+Inputs!$C$48*(0.7*(0.45*SIN(2*PI()*((((Inputs!$I$8+(((A62)+1)/2)*(Inputs!$J$8-Inputs!$I$8)))/Inputs!$C$49)+Inputs!$C$47*0.137))+0.35*COS(2*PI()*(((Inputs!$C$6)/Inputs!$C$50)+Inputs!$C$47*0.173))+0.2*SIN(2*PI()*((((Inputs!$I$8+(((A62)+1)/2)*(Inputs!$J$8-Inputs!$I$8)))+(Inputs!$C$6))/(0.5*(Inputs!$C$49+Inputs!$C$50))+Inputs!$C$47*0.097)))+0.3*(2*((SIN((((Inputs!$I$8+(((A62)+1)/2)*(Inputs!$J$8-Inputs!$I$8)))*12.9898+(Inputs!$C$6)*78.233+Inputs!$C$47*37.719))*43758.5453)-INT((SIN((((Inputs!$I$8+(((A62)+1)/2)*(Inputs!$J$8-Inputs!$I$8)))*12.9898+(Inputs!$C$6)*78.233+Inputs!$C$47*37.719))*43758.5453)))-1))),NA())</f>
        <v/>
      </c>
      <c r="AV62" s="9">
        <f>IF(OR(Inputs!$F$9=TRUE,Inputs!$F$9="TRUE",Inputs!$F$9=1),IF(OR(Inputs!$C$27=TRUE,Inputs!$C$27="TRUE",Inputs!$C$27=1),1,0)*(Inputs!$C$51*(115*EXP(-(((Inputs!$C$6)-25)^2)/(4.5^2))+70*EXP(-(((Inputs!$C$6)+38)^2)/(7^2))*(0.55+0.45*SIN(2*PI()*((Inputs!$I$9+(((A62)+1)/2)*(Inputs!$J$9-Inputs!$I$9)))/45))+24*SIN(2*PI()*(Inputs!$C$6)/9+((Inputs!$I$9+(((A62)+1)/2)*(Inputs!$J$9-Inputs!$I$9)))/18)*EXP(-(((Inputs!$C$6)+5)^2)/(22^2))+18*SIN(2*PI()*((Inputs!$I$9+(((A62)+1)/2)*(Inputs!$J$9-Inputs!$I$9)))/70))+Inputs!$C$28*EXP(-((((Inputs!$I$9+(((A62)+1)/2)*(Inputs!$J$9-Inputs!$I$9)))-Inputs!$C$29)^2)/(2*Inputs!$C$31^2))*EXP(-(((Inputs!$C$6)-Inputs!$C$30)^2)/(2*Inputs!$C$32^2))+-Inputs!$C$33*EXP(-((((((Inputs!$I$9+(((A62)+1)/2)*(Inputs!$J$9-Inputs!$I$9)))-Inputs!$C$34)^2)+(((Inputs!$C$6)-Inputs!$C$35)^2))/(2*Inputs!$C$36^2)))+Inputs!$C$37*(0.55*SIN(2*PI()*((Inputs!$I$9+(((A62)+1)/2)*(Inputs!$J$9-Inputs!$I$9)))/Inputs!$C$39)+0.35*COS(2*PI()*(Inputs!$C$6)/Inputs!$C$40)+0.2*SIN(2*PI()*(((Inputs!$I$9+(((A62)+1)/2)*(Inputs!$J$9-Inputs!$I$9)))+(Inputs!$C$6))/(0.5*(Inputs!$C$39+Inputs!$C$40))))+Inputs!$C$38*SIN(2*PI()*((Inputs!$I$9+(((A62)+1)/2)*(Inputs!$J$9-Inputs!$I$9)))/Inputs!$C$39)*SIN(2*PI()*(Inputs!$C$6)/Inputs!$C$40)+-Inputs!$C$41*EXP(-(((Inputs!$C$6)-Inputs!$C$43)^2)/(2*Inputs!$C$44^2))*EXP(-((((Inputs!$I$9+(((A62)+1)/2)*(Inputs!$J$9-Inputs!$I$9)))-Inputs!$C$42)^2)/(2*Inputs!$C$45^2))+Inputs!$C$48*(0.7*(0.45*SIN(2*PI()*((((Inputs!$I$9+(((A62)+1)/2)*(Inputs!$J$9-Inputs!$I$9)))/Inputs!$C$49)+Inputs!$C$47*0.137))+0.35*COS(2*PI()*(((Inputs!$C$6)/Inputs!$C$50)+Inputs!$C$47*0.173))+0.2*SIN(2*PI()*((((Inputs!$I$9+(((A62)+1)/2)*(Inputs!$J$9-Inputs!$I$9)))+(Inputs!$C$6))/(0.5*(Inputs!$C$49+Inputs!$C$50))+Inputs!$C$47*0.097)))+0.3*(2*((SIN((((Inputs!$I$9+(((A62)+1)/2)*(Inputs!$J$9-Inputs!$I$9)))*12.9898+(Inputs!$C$6)*78.233+Inputs!$C$47*37.719))*43758.5453)-INT((SIN((((Inputs!$I$9+(((A62)+1)/2)*(Inputs!$J$9-Inputs!$I$9)))*12.9898+(Inputs!$C$6)*78.233+Inputs!$C$47*37.719))*43758.5453)))-1))),NA())</f>
        <v/>
      </c>
      <c r="AW62" s="10" t="n"/>
      <c r="AX62" s="9">
        <f>A62</f>
        <v/>
      </c>
      <c r="AY62" s="9">
        <f>0</f>
        <v/>
      </c>
      <c r="AZ62" s="9">
        <f>IF(OR(Inputs!$F$6=TRUE,Inputs!$F$6="TRUE",Inputs!$F$6=1),(Inputs!$H$6+Inputs!$L$6*(((Inputs!$I$6+(((A62)+1)/2)*(Inputs!$J$6-Inputs!$I$6)))/Inputs!$K$6)^2),NA())</f>
        <v/>
      </c>
      <c r="BA62" s="9">
        <f>IF(OR(Inputs!$F$7=TRUE,Inputs!$F$7="TRUE",Inputs!$F$7=1),(Inputs!$H$7+Inputs!$L$7*(((Inputs!$I$7+(((A62)+1)/2)*(Inputs!$J$7-Inputs!$I$7)))/Inputs!$K$7)^2),NA())</f>
        <v/>
      </c>
      <c r="BB62" s="9">
        <f>IF(OR(Inputs!$F$8=TRUE,Inputs!$F$8="TRUE",Inputs!$F$8=1),(Inputs!$H$8+Inputs!$L$8*(((Inputs!$I$8+(((A62)+1)/2)*(Inputs!$J$8-Inputs!$I$8)))/Inputs!$K$8)^2),NA())</f>
        <v/>
      </c>
      <c r="BC62" s="9">
        <f>IF(OR(Inputs!$F$9=TRUE,Inputs!$F$9="TRUE",Inputs!$F$9=1),(Inputs!$H$9+Inputs!$L$9*(((Inputs!$I$9+(((A62)+1)/2)*(Inputs!$J$9-Inputs!$I$9)))/Inputs!$K$9)^2),NA())</f>
        <v/>
      </c>
      <c r="BD62" s="10" t="n"/>
      <c r="BE62" s="9">
        <f>A62</f>
        <v/>
      </c>
      <c r="BF62" s="9">
        <f>0</f>
        <v/>
      </c>
      <c r="BG62" s="9">
        <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f>
        <v/>
      </c>
      <c r="BH62" s="9">
        <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f>
        <v/>
      </c>
      <c r="BI62" s="9">
        <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f>
        <v/>
      </c>
      <c r="BJ62" s="9">
        <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f>
        <v/>
      </c>
    </row>
    <row r="63">
      <c r="A63" s="9">
        <f>ROUND(-1+61*2/240,3)</f>
        <v/>
      </c>
      <c r="B63" s="9">
        <f>IF(OR(Inputs!$F$6=TRUE,Inputs!$F$6="TRUE",Inputs!$F$6=1),(Inputs!$H$6+Inputs!$L$6*(((Inputs!$I$6+(((A63)+1)/2)*(Inputs!$J$6-Inputs!$I$6)))/Inputs!$K$6)^2),NA())</f>
        <v/>
      </c>
      <c r="C63" s="9">
        <f>IF(OR(Inputs!$F$7=TRUE,Inputs!$F$7="TRUE",Inputs!$F$7=1),(Inputs!$H$7+Inputs!$L$7*(((Inputs!$I$7+(((A63)+1)/2)*(Inputs!$J$7-Inputs!$I$7)))/Inputs!$K$7)^2),NA())</f>
        <v/>
      </c>
      <c r="D63" s="9">
        <f>IF(OR(Inputs!$F$8=TRUE,Inputs!$F$8="TRUE",Inputs!$F$8=1),(Inputs!$H$8+Inputs!$L$8*(((Inputs!$I$8+(((A63)+1)/2)*(Inputs!$J$8-Inputs!$I$8)))/Inputs!$K$8)^2),NA())</f>
        <v/>
      </c>
      <c r="E63" s="9">
        <f>IF(OR(Inputs!$F$9=TRUE,Inputs!$F$9="TRUE",Inputs!$F$9=1),(Inputs!$H$9+Inputs!$L$9*(((Inputs!$I$9+(((A63)+1)/2)*(Inputs!$J$9-Inputs!$I$9)))/Inputs!$K$9)^2),NA())</f>
        <v/>
      </c>
      <c r="F63" s="10" t="n"/>
      <c r="G63" s="9">
        <f>A63</f>
        <v/>
      </c>
      <c r="H63" s="9">
        <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f>
        <v/>
      </c>
      <c r="I63" s="9">
        <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f>
        <v/>
      </c>
      <c r="J63" s="9">
        <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f>
        <v/>
      </c>
      <c r="K63" s="9">
        <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f>
        <v/>
      </c>
      <c r="L63" s="10" t="n"/>
      <c r="M63" s="9">
        <f>A63</f>
        <v/>
      </c>
      <c r="N63" s="9">
        <f>IF(OR(Inputs!$F$6=TRUE,Inputs!$F$6="TRUE",Inputs!$F$6=1),(-2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NA())</f>
        <v/>
      </c>
      <c r="O63" s="9">
        <f>IF(OR(Inputs!$F$7=TRUE,Inputs!$F$7="TRUE",Inputs!$F$7=1),(-2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NA())</f>
        <v/>
      </c>
      <c r="P63" s="9">
        <f>IF(OR(Inputs!$F$8=TRUE,Inputs!$F$8="TRUE",Inputs!$F$8=1),(-2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NA())</f>
        <v/>
      </c>
      <c r="Q63" s="9">
        <f>IF(OR(Inputs!$F$9=TRUE,Inputs!$F$9="TRUE",Inputs!$F$9=1),(-2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NA())</f>
        <v/>
      </c>
      <c r="R63" s="10" t="n"/>
      <c r="S63" s="9">
        <f>A63</f>
        <v/>
      </c>
      <c r="T63" s="9">
        <f>(Inputs!$I$6+(((A63)+1)/2)*(Inputs!$J$6-Inputs!$I$6))</f>
        <v/>
      </c>
      <c r="U63" s="9">
        <f>(Inputs!$I$7+(((A63)+1)/2)*(Inputs!$J$7-Inputs!$I$7))</f>
        <v/>
      </c>
      <c r="V63" s="9">
        <f>(Inputs!$I$8+(((A63)+1)/2)*(Inputs!$J$8-Inputs!$I$8))</f>
        <v/>
      </c>
      <c r="W63" s="9">
        <f>(Inputs!$I$9+(((A63)+1)/2)*(Inputs!$J$9-Inputs!$I$9))</f>
        <v/>
      </c>
      <c r="X63" s="10" t="n"/>
      <c r="Y63" s="9">
        <f>A63</f>
        <v/>
      </c>
      <c r="Z63" s="9">
        <f>(Inputs!$H$6+Inputs!$L$6*(((Inputs!$I$6+(((A63)+1)/2)*(Inputs!$J$6-Inputs!$I$6)))/Inputs!$K$6)^2)</f>
        <v/>
      </c>
      <c r="AA63" s="9">
        <f>(Inputs!$H$7+Inputs!$L$7*(((Inputs!$I$7+(((A63)+1)/2)*(Inputs!$J$7-Inputs!$I$7)))/Inputs!$K$7)^2)</f>
        <v/>
      </c>
      <c r="AB63" s="9">
        <f>(Inputs!$H$8+Inputs!$L$8*(((Inputs!$I$8+(((A63)+1)/2)*(Inputs!$J$8-Inputs!$I$8)))/Inputs!$K$8)^2)</f>
        <v/>
      </c>
      <c r="AC63" s="9">
        <f>(Inputs!$H$9+Inputs!$L$9*(((Inputs!$I$9+(((A63)+1)/2)*(Inputs!$J$9-Inputs!$I$9)))/Inputs!$K$9)^2)</f>
        <v/>
      </c>
      <c r="AD63" s="10" t="n"/>
      <c r="AE63" s="9">
        <f>A63</f>
        <v/>
      </c>
      <c r="AF63" s="9">
        <f>(((SQRT((Inputs!$C$52+((Inputs!$H$6+Inputs!$L$6*(((Inputs!$I$6+(((A63)+1)/2)*(Inputs!$J$6-Inputs!$I$6)))/Inputs!$K$6)^2)))^2+Inputs!$C$52^2-2*(Inputs!$C$52+((Inputs!$H$6+Inputs!$L$6*(((Inputs!$I$6+(((A63)+1)/2)*(Inputs!$J$6-Inputs!$I$6)))/Inputs!$K$6)^2)))*Inputs!$C$52*COS(SQRT(((Inputs!$I$6+(((A63)+1)/2)*(Inputs!$J$6-Inputs!$I$6)))^2+Inputs!$C$6^2)/Inputs!$C$52)))-((Inputs!$H$6+Inputs!$L$6*(((Inputs!$I$6+(((A63)+1)/2)*(Inputs!$J$6-Inputs!$I$6)))/Inputs!$K$6)^2)))*1000/Inputs!$C$12)</f>
        <v/>
      </c>
      <c r="AG63" s="9">
        <f>(((SQRT((Inputs!$C$52+((Inputs!$H$7+Inputs!$L$7*(((Inputs!$I$7+(((A63)+1)/2)*(Inputs!$J$7-Inputs!$I$7)))/Inputs!$K$7)^2)))^2+Inputs!$C$52^2-2*(Inputs!$C$52+((Inputs!$H$7+Inputs!$L$7*(((Inputs!$I$7+(((A63)+1)/2)*(Inputs!$J$7-Inputs!$I$7)))/Inputs!$K$7)^2)))*Inputs!$C$52*COS(SQRT(((Inputs!$I$7+(((A63)+1)/2)*(Inputs!$J$7-Inputs!$I$7)))^2+Inputs!$C$6^2)/Inputs!$C$52)))-((Inputs!$H$7+Inputs!$L$7*(((Inputs!$I$7+(((A63)+1)/2)*(Inputs!$J$7-Inputs!$I$7)))/Inputs!$K$7)^2)))*1000/Inputs!$C$12)</f>
        <v/>
      </c>
      <c r="AH63" s="9">
        <f>(((SQRT((Inputs!$C$52+((Inputs!$H$8+Inputs!$L$8*(((Inputs!$I$8+(((A63)+1)/2)*(Inputs!$J$8-Inputs!$I$8)))/Inputs!$K$8)^2)))^2+Inputs!$C$52^2-2*(Inputs!$C$52+((Inputs!$H$8+Inputs!$L$8*(((Inputs!$I$8+(((A63)+1)/2)*(Inputs!$J$8-Inputs!$I$8)))/Inputs!$K$8)^2)))*Inputs!$C$52*COS(SQRT(((Inputs!$I$8+(((A63)+1)/2)*(Inputs!$J$8-Inputs!$I$8)))^2+Inputs!$C$6^2)/Inputs!$C$52)))-((Inputs!$H$8+Inputs!$L$8*(((Inputs!$I$8+(((A63)+1)/2)*(Inputs!$J$8-Inputs!$I$8)))/Inputs!$K$8)^2)))*1000/Inputs!$C$12)</f>
        <v/>
      </c>
      <c r="AI63" s="9">
        <f>(((SQRT((Inputs!$C$52+((Inputs!$H$9+Inputs!$L$9*(((Inputs!$I$9+(((A63)+1)/2)*(Inputs!$J$9-Inputs!$I$9)))/Inputs!$K$9)^2)))^2+Inputs!$C$52^2-2*(Inputs!$C$52+((Inputs!$H$9+Inputs!$L$9*(((Inputs!$I$9+(((A63)+1)/2)*(Inputs!$J$9-Inputs!$I$9)))/Inputs!$K$9)^2)))*Inputs!$C$52*COS(SQRT(((Inputs!$I$9+(((A63)+1)/2)*(Inputs!$J$9-Inputs!$I$9)))^2+Inputs!$C$6^2)/Inputs!$C$52)))-((Inputs!$H$9+Inputs!$L$9*(((Inputs!$I$9+(((A63)+1)/2)*(Inputs!$J$9-Inputs!$I$9)))/Inputs!$K$9)^2)))*1000/Inputs!$C$12)</f>
        <v/>
      </c>
      <c r="AJ63" s="10" t="n"/>
      <c r="AK63" s="9">
        <f>A63</f>
        <v/>
      </c>
      <c r="AL63" s="9">
        <f>(-2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f>
        <v/>
      </c>
      <c r="AM63" s="9">
        <f>(-2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f>
        <v/>
      </c>
      <c r="AN63" s="9">
        <f>(-2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f>
        <v/>
      </c>
      <c r="AO63" s="9">
        <f>(-2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f>
        <v/>
      </c>
      <c r="AP63" s="10" t="n"/>
      <c r="AQ63" s="9">
        <f>A63</f>
        <v/>
      </c>
      <c r="AR63" s="9">
        <f>0</f>
        <v/>
      </c>
      <c r="AS63" s="9">
        <f>IF(OR(Inputs!$F$6=TRUE,Inputs!$F$6="TRUE",Inputs!$F$6=1),IF(OR(Inputs!$C$27=TRUE,Inputs!$C$27="TRUE",Inputs!$C$27=1),1,0)*(Inputs!$C$51*(115*EXP(-(((Inputs!$C$6)-25)^2)/(4.5^2))+70*EXP(-(((Inputs!$C$6)+38)^2)/(7^2))*(0.55+0.45*SIN(2*PI()*((Inputs!$I$6+(((A63)+1)/2)*(Inputs!$J$6-Inputs!$I$6)))/45))+24*SIN(2*PI()*(Inputs!$C$6)/9+((Inputs!$I$6+(((A63)+1)/2)*(Inputs!$J$6-Inputs!$I$6)))/18)*EXP(-(((Inputs!$C$6)+5)^2)/(22^2))+18*SIN(2*PI()*((Inputs!$I$6+(((A63)+1)/2)*(Inputs!$J$6-Inputs!$I$6)))/70))+Inputs!$C$28*EXP(-((((Inputs!$I$6+(((A63)+1)/2)*(Inputs!$J$6-Inputs!$I$6)))-Inputs!$C$29)^2)/(2*Inputs!$C$31^2))*EXP(-(((Inputs!$C$6)-Inputs!$C$30)^2)/(2*Inputs!$C$32^2))+-Inputs!$C$33*EXP(-((((((Inputs!$I$6+(((A63)+1)/2)*(Inputs!$J$6-Inputs!$I$6)))-Inputs!$C$34)^2)+(((Inputs!$C$6)-Inputs!$C$35)^2))/(2*Inputs!$C$36^2)))+Inputs!$C$37*(0.55*SIN(2*PI()*((Inputs!$I$6+(((A63)+1)/2)*(Inputs!$J$6-Inputs!$I$6)))/Inputs!$C$39)+0.35*COS(2*PI()*(Inputs!$C$6)/Inputs!$C$40)+0.2*SIN(2*PI()*(((Inputs!$I$6+(((A63)+1)/2)*(Inputs!$J$6-Inputs!$I$6)))+(Inputs!$C$6))/(0.5*(Inputs!$C$39+Inputs!$C$40))))+Inputs!$C$38*SIN(2*PI()*((Inputs!$I$6+(((A63)+1)/2)*(Inputs!$J$6-Inputs!$I$6)))/Inputs!$C$39)*SIN(2*PI()*(Inputs!$C$6)/Inputs!$C$40)+-Inputs!$C$41*EXP(-(((Inputs!$C$6)-Inputs!$C$43)^2)/(2*Inputs!$C$44^2))*EXP(-((((Inputs!$I$6+(((A63)+1)/2)*(Inputs!$J$6-Inputs!$I$6)))-Inputs!$C$42)^2)/(2*Inputs!$C$45^2))+Inputs!$C$48*(0.7*(0.45*SIN(2*PI()*((((Inputs!$I$6+(((A63)+1)/2)*(Inputs!$J$6-Inputs!$I$6)))/Inputs!$C$49)+Inputs!$C$47*0.137))+0.35*COS(2*PI()*(((Inputs!$C$6)/Inputs!$C$50)+Inputs!$C$47*0.173))+0.2*SIN(2*PI()*((((Inputs!$I$6+(((A63)+1)/2)*(Inputs!$J$6-Inputs!$I$6)))+(Inputs!$C$6))/(0.5*(Inputs!$C$49+Inputs!$C$50))+Inputs!$C$47*0.097)))+0.3*(2*((SIN((((Inputs!$I$6+(((A63)+1)/2)*(Inputs!$J$6-Inputs!$I$6)))*12.9898+(Inputs!$C$6)*78.233+Inputs!$C$47*37.719))*43758.5453)-INT((SIN((((Inputs!$I$6+(((A63)+1)/2)*(Inputs!$J$6-Inputs!$I$6)))*12.9898+(Inputs!$C$6)*78.233+Inputs!$C$47*37.719))*43758.5453)))-1))),NA())</f>
        <v/>
      </c>
      <c r="AT63" s="9">
        <f>IF(OR(Inputs!$F$7=TRUE,Inputs!$F$7="TRUE",Inputs!$F$7=1),IF(OR(Inputs!$C$27=TRUE,Inputs!$C$27="TRUE",Inputs!$C$27=1),1,0)*(Inputs!$C$51*(115*EXP(-(((Inputs!$C$6)-25)^2)/(4.5^2))+70*EXP(-(((Inputs!$C$6)+38)^2)/(7^2))*(0.55+0.45*SIN(2*PI()*((Inputs!$I$7+(((A63)+1)/2)*(Inputs!$J$7-Inputs!$I$7)))/45))+24*SIN(2*PI()*(Inputs!$C$6)/9+((Inputs!$I$7+(((A63)+1)/2)*(Inputs!$J$7-Inputs!$I$7)))/18)*EXP(-(((Inputs!$C$6)+5)^2)/(22^2))+18*SIN(2*PI()*((Inputs!$I$7+(((A63)+1)/2)*(Inputs!$J$7-Inputs!$I$7)))/70))+Inputs!$C$28*EXP(-((((Inputs!$I$7+(((A63)+1)/2)*(Inputs!$J$7-Inputs!$I$7)))-Inputs!$C$29)^2)/(2*Inputs!$C$31^2))*EXP(-(((Inputs!$C$6)-Inputs!$C$30)^2)/(2*Inputs!$C$32^2))+-Inputs!$C$33*EXP(-((((((Inputs!$I$7+(((A63)+1)/2)*(Inputs!$J$7-Inputs!$I$7)))-Inputs!$C$34)^2)+(((Inputs!$C$6)-Inputs!$C$35)^2))/(2*Inputs!$C$36^2)))+Inputs!$C$37*(0.55*SIN(2*PI()*((Inputs!$I$7+(((A63)+1)/2)*(Inputs!$J$7-Inputs!$I$7)))/Inputs!$C$39)+0.35*COS(2*PI()*(Inputs!$C$6)/Inputs!$C$40)+0.2*SIN(2*PI()*(((Inputs!$I$7+(((A63)+1)/2)*(Inputs!$J$7-Inputs!$I$7)))+(Inputs!$C$6))/(0.5*(Inputs!$C$39+Inputs!$C$40))))+Inputs!$C$38*SIN(2*PI()*((Inputs!$I$7+(((A63)+1)/2)*(Inputs!$J$7-Inputs!$I$7)))/Inputs!$C$39)*SIN(2*PI()*(Inputs!$C$6)/Inputs!$C$40)+-Inputs!$C$41*EXP(-(((Inputs!$C$6)-Inputs!$C$43)^2)/(2*Inputs!$C$44^2))*EXP(-((((Inputs!$I$7+(((A63)+1)/2)*(Inputs!$J$7-Inputs!$I$7)))-Inputs!$C$42)^2)/(2*Inputs!$C$45^2))+Inputs!$C$48*(0.7*(0.45*SIN(2*PI()*((((Inputs!$I$7+(((A63)+1)/2)*(Inputs!$J$7-Inputs!$I$7)))/Inputs!$C$49)+Inputs!$C$47*0.137))+0.35*COS(2*PI()*(((Inputs!$C$6)/Inputs!$C$50)+Inputs!$C$47*0.173))+0.2*SIN(2*PI()*((((Inputs!$I$7+(((A63)+1)/2)*(Inputs!$J$7-Inputs!$I$7)))+(Inputs!$C$6))/(0.5*(Inputs!$C$49+Inputs!$C$50))+Inputs!$C$47*0.097)))+0.3*(2*((SIN((((Inputs!$I$7+(((A63)+1)/2)*(Inputs!$J$7-Inputs!$I$7)))*12.9898+(Inputs!$C$6)*78.233+Inputs!$C$47*37.719))*43758.5453)-INT((SIN((((Inputs!$I$7+(((A63)+1)/2)*(Inputs!$J$7-Inputs!$I$7)))*12.9898+(Inputs!$C$6)*78.233+Inputs!$C$47*37.719))*43758.5453)))-1))),NA())</f>
        <v/>
      </c>
      <c r="AU63" s="9">
        <f>IF(OR(Inputs!$F$8=TRUE,Inputs!$F$8="TRUE",Inputs!$F$8=1),IF(OR(Inputs!$C$27=TRUE,Inputs!$C$27="TRUE",Inputs!$C$27=1),1,0)*(Inputs!$C$51*(115*EXP(-(((Inputs!$C$6)-25)^2)/(4.5^2))+70*EXP(-(((Inputs!$C$6)+38)^2)/(7^2))*(0.55+0.45*SIN(2*PI()*((Inputs!$I$8+(((A63)+1)/2)*(Inputs!$J$8-Inputs!$I$8)))/45))+24*SIN(2*PI()*(Inputs!$C$6)/9+((Inputs!$I$8+(((A63)+1)/2)*(Inputs!$J$8-Inputs!$I$8)))/18)*EXP(-(((Inputs!$C$6)+5)^2)/(22^2))+18*SIN(2*PI()*((Inputs!$I$8+(((A63)+1)/2)*(Inputs!$J$8-Inputs!$I$8)))/70))+Inputs!$C$28*EXP(-((((Inputs!$I$8+(((A63)+1)/2)*(Inputs!$J$8-Inputs!$I$8)))-Inputs!$C$29)^2)/(2*Inputs!$C$31^2))*EXP(-(((Inputs!$C$6)-Inputs!$C$30)^2)/(2*Inputs!$C$32^2))+-Inputs!$C$33*EXP(-((((((Inputs!$I$8+(((A63)+1)/2)*(Inputs!$J$8-Inputs!$I$8)))-Inputs!$C$34)^2)+(((Inputs!$C$6)-Inputs!$C$35)^2))/(2*Inputs!$C$36^2)))+Inputs!$C$37*(0.55*SIN(2*PI()*((Inputs!$I$8+(((A63)+1)/2)*(Inputs!$J$8-Inputs!$I$8)))/Inputs!$C$39)+0.35*COS(2*PI()*(Inputs!$C$6)/Inputs!$C$40)+0.2*SIN(2*PI()*(((Inputs!$I$8+(((A63)+1)/2)*(Inputs!$J$8-Inputs!$I$8)))+(Inputs!$C$6))/(0.5*(Inputs!$C$39+Inputs!$C$40))))+Inputs!$C$38*SIN(2*PI()*((Inputs!$I$8+(((A63)+1)/2)*(Inputs!$J$8-Inputs!$I$8)))/Inputs!$C$39)*SIN(2*PI()*(Inputs!$C$6)/Inputs!$C$40)+-Inputs!$C$41*EXP(-(((Inputs!$C$6)-Inputs!$C$43)^2)/(2*Inputs!$C$44^2))*EXP(-((((Inputs!$I$8+(((A63)+1)/2)*(Inputs!$J$8-Inputs!$I$8)))-Inputs!$C$42)^2)/(2*Inputs!$C$45^2))+Inputs!$C$48*(0.7*(0.45*SIN(2*PI()*((((Inputs!$I$8+(((A63)+1)/2)*(Inputs!$J$8-Inputs!$I$8)))/Inputs!$C$49)+Inputs!$C$47*0.137))+0.35*COS(2*PI()*(((Inputs!$C$6)/Inputs!$C$50)+Inputs!$C$47*0.173))+0.2*SIN(2*PI()*((((Inputs!$I$8+(((A63)+1)/2)*(Inputs!$J$8-Inputs!$I$8)))+(Inputs!$C$6))/(0.5*(Inputs!$C$49+Inputs!$C$50))+Inputs!$C$47*0.097)))+0.3*(2*((SIN((((Inputs!$I$8+(((A63)+1)/2)*(Inputs!$J$8-Inputs!$I$8)))*12.9898+(Inputs!$C$6)*78.233+Inputs!$C$47*37.719))*43758.5453)-INT((SIN((((Inputs!$I$8+(((A63)+1)/2)*(Inputs!$J$8-Inputs!$I$8)))*12.9898+(Inputs!$C$6)*78.233+Inputs!$C$47*37.719))*43758.5453)))-1))),NA())</f>
        <v/>
      </c>
      <c r="AV63" s="9">
        <f>IF(OR(Inputs!$F$9=TRUE,Inputs!$F$9="TRUE",Inputs!$F$9=1),IF(OR(Inputs!$C$27=TRUE,Inputs!$C$27="TRUE",Inputs!$C$27=1),1,0)*(Inputs!$C$51*(115*EXP(-(((Inputs!$C$6)-25)^2)/(4.5^2))+70*EXP(-(((Inputs!$C$6)+38)^2)/(7^2))*(0.55+0.45*SIN(2*PI()*((Inputs!$I$9+(((A63)+1)/2)*(Inputs!$J$9-Inputs!$I$9)))/45))+24*SIN(2*PI()*(Inputs!$C$6)/9+((Inputs!$I$9+(((A63)+1)/2)*(Inputs!$J$9-Inputs!$I$9)))/18)*EXP(-(((Inputs!$C$6)+5)^2)/(22^2))+18*SIN(2*PI()*((Inputs!$I$9+(((A63)+1)/2)*(Inputs!$J$9-Inputs!$I$9)))/70))+Inputs!$C$28*EXP(-((((Inputs!$I$9+(((A63)+1)/2)*(Inputs!$J$9-Inputs!$I$9)))-Inputs!$C$29)^2)/(2*Inputs!$C$31^2))*EXP(-(((Inputs!$C$6)-Inputs!$C$30)^2)/(2*Inputs!$C$32^2))+-Inputs!$C$33*EXP(-((((((Inputs!$I$9+(((A63)+1)/2)*(Inputs!$J$9-Inputs!$I$9)))-Inputs!$C$34)^2)+(((Inputs!$C$6)-Inputs!$C$35)^2))/(2*Inputs!$C$36^2)))+Inputs!$C$37*(0.55*SIN(2*PI()*((Inputs!$I$9+(((A63)+1)/2)*(Inputs!$J$9-Inputs!$I$9)))/Inputs!$C$39)+0.35*COS(2*PI()*(Inputs!$C$6)/Inputs!$C$40)+0.2*SIN(2*PI()*(((Inputs!$I$9+(((A63)+1)/2)*(Inputs!$J$9-Inputs!$I$9)))+(Inputs!$C$6))/(0.5*(Inputs!$C$39+Inputs!$C$40))))+Inputs!$C$38*SIN(2*PI()*((Inputs!$I$9+(((A63)+1)/2)*(Inputs!$J$9-Inputs!$I$9)))/Inputs!$C$39)*SIN(2*PI()*(Inputs!$C$6)/Inputs!$C$40)+-Inputs!$C$41*EXP(-(((Inputs!$C$6)-Inputs!$C$43)^2)/(2*Inputs!$C$44^2))*EXP(-((((Inputs!$I$9+(((A63)+1)/2)*(Inputs!$J$9-Inputs!$I$9)))-Inputs!$C$42)^2)/(2*Inputs!$C$45^2))+Inputs!$C$48*(0.7*(0.45*SIN(2*PI()*((((Inputs!$I$9+(((A63)+1)/2)*(Inputs!$J$9-Inputs!$I$9)))/Inputs!$C$49)+Inputs!$C$47*0.137))+0.35*COS(2*PI()*(((Inputs!$C$6)/Inputs!$C$50)+Inputs!$C$47*0.173))+0.2*SIN(2*PI()*((((Inputs!$I$9+(((A63)+1)/2)*(Inputs!$J$9-Inputs!$I$9)))+(Inputs!$C$6))/(0.5*(Inputs!$C$49+Inputs!$C$50))+Inputs!$C$47*0.097)))+0.3*(2*((SIN((((Inputs!$I$9+(((A63)+1)/2)*(Inputs!$J$9-Inputs!$I$9)))*12.9898+(Inputs!$C$6)*78.233+Inputs!$C$47*37.719))*43758.5453)-INT((SIN((((Inputs!$I$9+(((A63)+1)/2)*(Inputs!$J$9-Inputs!$I$9)))*12.9898+(Inputs!$C$6)*78.233+Inputs!$C$47*37.719))*43758.5453)))-1))),NA())</f>
        <v/>
      </c>
      <c r="AW63" s="10" t="n"/>
      <c r="AX63" s="9">
        <f>A63</f>
        <v/>
      </c>
      <c r="AY63" s="9">
        <f>0</f>
        <v/>
      </c>
      <c r="AZ63" s="9">
        <f>IF(OR(Inputs!$F$6=TRUE,Inputs!$F$6="TRUE",Inputs!$F$6=1),(Inputs!$H$6+Inputs!$L$6*(((Inputs!$I$6+(((A63)+1)/2)*(Inputs!$J$6-Inputs!$I$6)))/Inputs!$K$6)^2),NA())</f>
        <v/>
      </c>
      <c r="BA63" s="9">
        <f>IF(OR(Inputs!$F$7=TRUE,Inputs!$F$7="TRUE",Inputs!$F$7=1),(Inputs!$H$7+Inputs!$L$7*(((Inputs!$I$7+(((A63)+1)/2)*(Inputs!$J$7-Inputs!$I$7)))/Inputs!$K$7)^2),NA())</f>
        <v/>
      </c>
      <c r="BB63" s="9">
        <f>IF(OR(Inputs!$F$8=TRUE,Inputs!$F$8="TRUE",Inputs!$F$8=1),(Inputs!$H$8+Inputs!$L$8*(((Inputs!$I$8+(((A63)+1)/2)*(Inputs!$J$8-Inputs!$I$8)))/Inputs!$K$8)^2),NA())</f>
        <v/>
      </c>
      <c r="BC63" s="9">
        <f>IF(OR(Inputs!$F$9=TRUE,Inputs!$F$9="TRUE",Inputs!$F$9=1),(Inputs!$H$9+Inputs!$L$9*(((Inputs!$I$9+(((A63)+1)/2)*(Inputs!$J$9-Inputs!$I$9)))/Inputs!$K$9)^2),NA())</f>
        <v/>
      </c>
      <c r="BD63" s="10" t="n"/>
      <c r="BE63" s="9">
        <f>A63</f>
        <v/>
      </c>
      <c r="BF63" s="9">
        <f>0</f>
        <v/>
      </c>
      <c r="BG63" s="9">
        <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f>
        <v/>
      </c>
      <c r="BH63" s="9">
        <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f>
        <v/>
      </c>
      <c r="BI63" s="9">
        <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f>
        <v/>
      </c>
      <c r="BJ63" s="9">
        <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f>
        <v/>
      </c>
    </row>
    <row r="64">
      <c r="A64" s="9">
        <f>ROUND(-1+62*2/240,3)</f>
        <v/>
      </c>
      <c r="B64" s="9">
        <f>IF(OR(Inputs!$F$6=TRUE,Inputs!$F$6="TRUE",Inputs!$F$6=1),(Inputs!$H$6+Inputs!$L$6*(((Inputs!$I$6+(((A64)+1)/2)*(Inputs!$J$6-Inputs!$I$6)))/Inputs!$K$6)^2),NA())</f>
        <v/>
      </c>
      <c r="C64" s="9">
        <f>IF(OR(Inputs!$F$7=TRUE,Inputs!$F$7="TRUE",Inputs!$F$7=1),(Inputs!$H$7+Inputs!$L$7*(((Inputs!$I$7+(((A64)+1)/2)*(Inputs!$J$7-Inputs!$I$7)))/Inputs!$K$7)^2),NA())</f>
        <v/>
      </c>
      <c r="D64" s="9">
        <f>IF(OR(Inputs!$F$8=TRUE,Inputs!$F$8="TRUE",Inputs!$F$8=1),(Inputs!$H$8+Inputs!$L$8*(((Inputs!$I$8+(((A64)+1)/2)*(Inputs!$J$8-Inputs!$I$8)))/Inputs!$K$8)^2),NA())</f>
        <v/>
      </c>
      <c r="E64" s="9">
        <f>IF(OR(Inputs!$F$9=TRUE,Inputs!$F$9="TRUE",Inputs!$F$9=1),(Inputs!$H$9+Inputs!$L$9*(((Inputs!$I$9+(((A64)+1)/2)*(Inputs!$J$9-Inputs!$I$9)))/Inputs!$K$9)^2),NA())</f>
        <v/>
      </c>
      <c r="F64" s="10" t="n"/>
      <c r="G64" s="9">
        <f>A64</f>
        <v/>
      </c>
      <c r="H64" s="9">
        <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f>
        <v/>
      </c>
      <c r="I64" s="9">
        <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f>
        <v/>
      </c>
      <c r="J64" s="9">
        <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f>
        <v/>
      </c>
      <c r="K64" s="9">
        <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f>
        <v/>
      </c>
      <c r="L64" s="10" t="n"/>
      <c r="M64" s="9">
        <f>A64</f>
        <v/>
      </c>
      <c r="N64" s="9">
        <f>IF(OR(Inputs!$F$6=TRUE,Inputs!$F$6="TRUE",Inputs!$F$6=1),(-2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NA())</f>
        <v/>
      </c>
      <c r="O64" s="9">
        <f>IF(OR(Inputs!$F$7=TRUE,Inputs!$F$7="TRUE",Inputs!$F$7=1),(-2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NA())</f>
        <v/>
      </c>
      <c r="P64" s="9">
        <f>IF(OR(Inputs!$F$8=TRUE,Inputs!$F$8="TRUE",Inputs!$F$8=1),(-2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NA())</f>
        <v/>
      </c>
      <c r="Q64" s="9">
        <f>IF(OR(Inputs!$F$9=TRUE,Inputs!$F$9="TRUE",Inputs!$F$9=1),(-2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NA())</f>
        <v/>
      </c>
      <c r="R64" s="10" t="n"/>
      <c r="S64" s="9">
        <f>A64</f>
        <v/>
      </c>
      <c r="T64" s="9">
        <f>(Inputs!$I$6+(((A64)+1)/2)*(Inputs!$J$6-Inputs!$I$6))</f>
        <v/>
      </c>
      <c r="U64" s="9">
        <f>(Inputs!$I$7+(((A64)+1)/2)*(Inputs!$J$7-Inputs!$I$7))</f>
        <v/>
      </c>
      <c r="V64" s="9">
        <f>(Inputs!$I$8+(((A64)+1)/2)*(Inputs!$J$8-Inputs!$I$8))</f>
        <v/>
      </c>
      <c r="W64" s="9">
        <f>(Inputs!$I$9+(((A64)+1)/2)*(Inputs!$J$9-Inputs!$I$9))</f>
        <v/>
      </c>
      <c r="X64" s="10" t="n"/>
      <c r="Y64" s="9">
        <f>A64</f>
        <v/>
      </c>
      <c r="Z64" s="9">
        <f>(Inputs!$H$6+Inputs!$L$6*(((Inputs!$I$6+(((A64)+1)/2)*(Inputs!$J$6-Inputs!$I$6)))/Inputs!$K$6)^2)</f>
        <v/>
      </c>
      <c r="AA64" s="9">
        <f>(Inputs!$H$7+Inputs!$L$7*(((Inputs!$I$7+(((A64)+1)/2)*(Inputs!$J$7-Inputs!$I$7)))/Inputs!$K$7)^2)</f>
        <v/>
      </c>
      <c r="AB64" s="9">
        <f>(Inputs!$H$8+Inputs!$L$8*(((Inputs!$I$8+(((A64)+1)/2)*(Inputs!$J$8-Inputs!$I$8)))/Inputs!$K$8)^2)</f>
        <v/>
      </c>
      <c r="AC64" s="9">
        <f>(Inputs!$H$9+Inputs!$L$9*(((Inputs!$I$9+(((A64)+1)/2)*(Inputs!$J$9-Inputs!$I$9)))/Inputs!$K$9)^2)</f>
        <v/>
      </c>
      <c r="AD64" s="10" t="n"/>
      <c r="AE64" s="9">
        <f>A64</f>
        <v/>
      </c>
      <c r="AF64" s="9">
        <f>(((SQRT((Inputs!$C$52+((Inputs!$H$6+Inputs!$L$6*(((Inputs!$I$6+(((A64)+1)/2)*(Inputs!$J$6-Inputs!$I$6)))/Inputs!$K$6)^2)))^2+Inputs!$C$52^2-2*(Inputs!$C$52+((Inputs!$H$6+Inputs!$L$6*(((Inputs!$I$6+(((A64)+1)/2)*(Inputs!$J$6-Inputs!$I$6)))/Inputs!$K$6)^2)))*Inputs!$C$52*COS(SQRT(((Inputs!$I$6+(((A64)+1)/2)*(Inputs!$J$6-Inputs!$I$6)))^2+Inputs!$C$6^2)/Inputs!$C$52)))-((Inputs!$H$6+Inputs!$L$6*(((Inputs!$I$6+(((A64)+1)/2)*(Inputs!$J$6-Inputs!$I$6)))/Inputs!$K$6)^2)))*1000/Inputs!$C$12)</f>
        <v/>
      </c>
      <c r="AG64" s="9">
        <f>(((SQRT((Inputs!$C$52+((Inputs!$H$7+Inputs!$L$7*(((Inputs!$I$7+(((A64)+1)/2)*(Inputs!$J$7-Inputs!$I$7)))/Inputs!$K$7)^2)))^2+Inputs!$C$52^2-2*(Inputs!$C$52+((Inputs!$H$7+Inputs!$L$7*(((Inputs!$I$7+(((A64)+1)/2)*(Inputs!$J$7-Inputs!$I$7)))/Inputs!$K$7)^2)))*Inputs!$C$52*COS(SQRT(((Inputs!$I$7+(((A64)+1)/2)*(Inputs!$J$7-Inputs!$I$7)))^2+Inputs!$C$6^2)/Inputs!$C$52)))-((Inputs!$H$7+Inputs!$L$7*(((Inputs!$I$7+(((A64)+1)/2)*(Inputs!$J$7-Inputs!$I$7)))/Inputs!$K$7)^2)))*1000/Inputs!$C$12)</f>
        <v/>
      </c>
      <c r="AH64" s="9">
        <f>(((SQRT((Inputs!$C$52+((Inputs!$H$8+Inputs!$L$8*(((Inputs!$I$8+(((A64)+1)/2)*(Inputs!$J$8-Inputs!$I$8)))/Inputs!$K$8)^2)))^2+Inputs!$C$52^2-2*(Inputs!$C$52+((Inputs!$H$8+Inputs!$L$8*(((Inputs!$I$8+(((A64)+1)/2)*(Inputs!$J$8-Inputs!$I$8)))/Inputs!$K$8)^2)))*Inputs!$C$52*COS(SQRT(((Inputs!$I$8+(((A64)+1)/2)*(Inputs!$J$8-Inputs!$I$8)))^2+Inputs!$C$6^2)/Inputs!$C$52)))-((Inputs!$H$8+Inputs!$L$8*(((Inputs!$I$8+(((A64)+1)/2)*(Inputs!$J$8-Inputs!$I$8)))/Inputs!$K$8)^2)))*1000/Inputs!$C$12)</f>
        <v/>
      </c>
      <c r="AI64" s="9">
        <f>(((SQRT((Inputs!$C$52+((Inputs!$H$9+Inputs!$L$9*(((Inputs!$I$9+(((A64)+1)/2)*(Inputs!$J$9-Inputs!$I$9)))/Inputs!$K$9)^2)))^2+Inputs!$C$52^2-2*(Inputs!$C$52+((Inputs!$H$9+Inputs!$L$9*(((Inputs!$I$9+(((A64)+1)/2)*(Inputs!$J$9-Inputs!$I$9)))/Inputs!$K$9)^2)))*Inputs!$C$52*COS(SQRT(((Inputs!$I$9+(((A64)+1)/2)*(Inputs!$J$9-Inputs!$I$9)))^2+Inputs!$C$6^2)/Inputs!$C$52)))-((Inputs!$H$9+Inputs!$L$9*(((Inputs!$I$9+(((A64)+1)/2)*(Inputs!$J$9-Inputs!$I$9)))/Inputs!$K$9)^2)))*1000/Inputs!$C$12)</f>
        <v/>
      </c>
      <c r="AJ64" s="10" t="n"/>
      <c r="AK64" s="9">
        <f>A64</f>
        <v/>
      </c>
      <c r="AL64" s="9">
        <f>(-2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f>
        <v/>
      </c>
      <c r="AM64" s="9">
        <f>(-2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f>
        <v/>
      </c>
      <c r="AN64" s="9">
        <f>(-2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f>
        <v/>
      </c>
      <c r="AO64" s="9">
        <f>(-2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f>
        <v/>
      </c>
      <c r="AP64" s="10" t="n"/>
      <c r="AQ64" s="9">
        <f>A64</f>
        <v/>
      </c>
      <c r="AR64" s="9">
        <f>0</f>
        <v/>
      </c>
      <c r="AS64" s="9">
        <f>IF(OR(Inputs!$F$6=TRUE,Inputs!$F$6="TRUE",Inputs!$F$6=1),IF(OR(Inputs!$C$27=TRUE,Inputs!$C$27="TRUE",Inputs!$C$27=1),1,0)*(Inputs!$C$51*(115*EXP(-(((Inputs!$C$6)-25)^2)/(4.5^2))+70*EXP(-(((Inputs!$C$6)+38)^2)/(7^2))*(0.55+0.45*SIN(2*PI()*((Inputs!$I$6+(((A64)+1)/2)*(Inputs!$J$6-Inputs!$I$6)))/45))+24*SIN(2*PI()*(Inputs!$C$6)/9+((Inputs!$I$6+(((A64)+1)/2)*(Inputs!$J$6-Inputs!$I$6)))/18)*EXP(-(((Inputs!$C$6)+5)^2)/(22^2))+18*SIN(2*PI()*((Inputs!$I$6+(((A64)+1)/2)*(Inputs!$J$6-Inputs!$I$6)))/70))+Inputs!$C$28*EXP(-((((Inputs!$I$6+(((A64)+1)/2)*(Inputs!$J$6-Inputs!$I$6)))-Inputs!$C$29)^2)/(2*Inputs!$C$31^2))*EXP(-(((Inputs!$C$6)-Inputs!$C$30)^2)/(2*Inputs!$C$32^2))+-Inputs!$C$33*EXP(-((((((Inputs!$I$6+(((A64)+1)/2)*(Inputs!$J$6-Inputs!$I$6)))-Inputs!$C$34)^2)+(((Inputs!$C$6)-Inputs!$C$35)^2))/(2*Inputs!$C$36^2)))+Inputs!$C$37*(0.55*SIN(2*PI()*((Inputs!$I$6+(((A64)+1)/2)*(Inputs!$J$6-Inputs!$I$6)))/Inputs!$C$39)+0.35*COS(2*PI()*(Inputs!$C$6)/Inputs!$C$40)+0.2*SIN(2*PI()*(((Inputs!$I$6+(((A64)+1)/2)*(Inputs!$J$6-Inputs!$I$6)))+(Inputs!$C$6))/(0.5*(Inputs!$C$39+Inputs!$C$40))))+Inputs!$C$38*SIN(2*PI()*((Inputs!$I$6+(((A64)+1)/2)*(Inputs!$J$6-Inputs!$I$6)))/Inputs!$C$39)*SIN(2*PI()*(Inputs!$C$6)/Inputs!$C$40)+-Inputs!$C$41*EXP(-(((Inputs!$C$6)-Inputs!$C$43)^2)/(2*Inputs!$C$44^2))*EXP(-((((Inputs!$I$6+(((A64)+1)/2)*(Inputs!$J$6-Inputs!$I$6)))-Inputs!$C$42)^2)/(2*Inputs!$C$45^2))+Inputs!$C$48*(0.7*(0.45*SIN(2*PI()*((((Inputs!$I$6+(((A64)+1)/2)*(Inputs!$J$6-Inputs!$I$6)))/Inputs!$C$49)+Inputs!$C$47*0.137))+0.35*COS(2*PI()*(((Inputs!$C$6)/Inputs!$C$50)+Inputs!$C$47*0.173))+0.2*SIN(2*PI()*((((Inputs!$I$6+(((A64)+1)/2)*(Inputs!$J$6-Inputs!$I$6)))+(Inputs!$C$6))/(0.5*(Inputs!$C$49+Inputs!$C$50))+Inputs!$C$47*0.097)))+0.3*(2*((SIN((((Inputs!$I$6+(((A64)+1)/2)*(Inputs!$J$6-Inputs!$I$6)))*12.9898+(Inputs!$C$6)*78.233+Inputs!$C$47*37.719))*43758.5453)-INT((SIN((((Inputs!$I$6+(((A64)+1)/2)*(Inputs!$J$6-Inputs!$I$6)))*12.9898+(Inputs!$C$6)*78.233+Inputs!$C$47*37.719))*43758.5453)))-1))),NA())</f>
        <v/>
      </c>
      <c r="AT64" s="9">
        <f>IF(OR(Inputs!$F$7=TRUE,Inputs!$F$7="TRUE",Inputs!$F$7=1),IF(OR(Inputs!$C$27=TRUE,Inputs!$C$27="TRUE",Inputs!$C$27=1),1,0)*(Inputs!$C$51*(115*EXP(-(((Inputs!$C$6)-25)^2)/(4.5^2))+70*EXP(-(((Inputs!$C$6)+38)^2)/(7^2))*(0.55+0.45*SIN(2*PI()*((Inputs!$I$7+(((A64)+1)/2)*(Inputs!$J$7-Inputs!$I$7)))/45))+24*SIN(2*PI()*(Inputs!$C$6)/9+((Inputs!$I$7+(((A64)+1)/2)*(Inputs!$J$7-Inputs!$I$7)))/18)*EXP(-(((Inputs!$C$6)+5)^2)/(22^2))+18*SIN(2*PI()*((Inputs!$I$7+(((A64)+1)/2)*(Inputs!$J$7-Inputs!$I$7)))/70))+Inputs!$C$28*EXP(-((((Inputs!$I$7+(((A64)+1)/2)*(Inputs!$J$7-Inputs!$I$7)))-Inputs!$C$29)^2)/(2*Inputs!$C$31^2))*EXP(-(((Inputs!$C$6)-Inputs!$C$30)^2)/(2*Inputs!$C$32^2))+-Inputs!$C$33*EXP(-((((((Inputs!$I$7+(((A64)+1)/2)*(Inputs!$J$7-Inputs!$I$7)))-Inputs!$C$34)^2)+(((Inputs!$C$6)-Inputs!$C$35)^2))/(2*Inputs!$C$36^2)))+Inputs!$C$37*(0.55*SIN(2*PI()*((Inputs!$I$7+(((A64)+1)/2)*(Inputs!$J$7-Inputs!$I$7)))/Inputs!$C$39)+0.35*COS(2*PI()*(Inputs!$C$6)/Inputs!$C$40)+0.2*SIN(2*PI()*(((Inputs!$I$7+(((A64)+1)/2)*(Inputs!$J$7-Inputs!$I$7)))+(Inputs!$C$6))/(0.5*(Inputs!$C$39+Inputs!$C$40))))+Inputs!$C$38*SIN(2*PI()*((Inputs!$I$7+(((A64)+1)/2)*(Inputs!$J$7-Inputs!$I$7)))/Inputs!$C$39)*SIN(2*PI()*(Inputs!$C$6)/Inputs!$C$40)+-Inputs!$C$41*EXP(-(((Inputs!$C$6)-Inputs!$C$43)^2)/(2*Inputs!$C$44^2))*EXP(-((((Inputs!$I$7+(((A64)+1)/2)*(Inputs!$J$7-Inputs!$I$7)))-Inputs!$C$42)^2)/(2*Inputs!$C$45^2))+Inputs!$C$48*(0.7*(0.45*SIN(2*PI()*((((Inputs!$I$7+(((A64)+1)/2)*(Inputs!$J$7-Inputs!$I$7)))/Inputs!$C$49)+Inputs!$C$47*0.137))+0.35*COS(2*PI()*(((Inputs!$C$6)/Inputs!$C$50)+Inputs!$C$47*0.173))+0.2*SIN(2*PI()*((((Inputs!$I$7+(((A64)+1)/2)*(Inputs!$J$7-Inputs!$I$7)))+(Inputs!$C$6))/(0.5*(Inputs!$C$49+Inputs!$C$50))+Inputs!$C$47*0.097)))+0.3*(2*((SIN((((Inputs!$I$7+(((A64)+1)/2)*(Inputs!$J$7-Inputs!$I$7)))*12.9898+(Inputs!$C$6)*78.233+Inputs!$C$47*37.719))*43758.5453)-INT((SIN((((Inputs!$I$7+(((A64)+1)/2)*(Inputs!$J$7-Inputs!$I$7)))*12.9898+(Inputs!$C$6)*78.233+Inputs!$C$47*37.719))*43758.5453)))-1))),NA())</f>
        <v/>
      </c>
      <c r="AU64" s="9">
        <f>IF(OR(Inputs!$F$8=TRUE,Inputs!$F$8="TRUE",Inputs!$F$8=1),IF(OR(Inputs!$C$27=TRUE,Inputs!$C$27="TRUE",Inputs!$C$27=1),1,0)*(Inputs!$C$51*(115*EXP(-(((Inputs!$C$6)-25)^2)/(4.5^2))+70*EXP(-(((Inputs!$C$6)+38)^2)/(7^2))*(0.55+0.45*SIN(2*PI()*((Inputs!$I$8+(((A64)+1)/2)*(Inputs!$J$8-Inputs!$I$8)))/45))+24*SIN(2*PI()*(Inputs!$C$6)/9+((Inputs!$I$8+(((A64)+1)/2)*(Inputs!$J$8-Inputs!$I$8)))/18)*EXP(-(((Inputs!$C$6)+5)^2)/(22^2))+18*SIN(2*PI()*((Inputs!$I$8+(((A64)+1)/2)*(Inputs!$J$8-Inputs!$I$8)))/70))+Inputs!$C$28*EXP(-((((Inputs!$I$8+(((A64)+1)/2)*(Inputs!$J$8-Inputs!$I$8)))-Inputs!$C$29)^2)/(2*Inputs!$C$31^2))*EXP(-(((Inputs!$C$6)-Inputs!$C$30)^2)/(2*Inputs!$C$32^2))+-Inputs!$C$33*EXP(-((((((Inputs!$I$8+(((A64)+1)/2)*(Inputs!$J$8-Inputs!$I$8)))-Inputs!$C$34)^2)+(((Inputs!$C$6)-Inputs!$C$35)^2))/(2*Inputs!$C$36^2)))+Inputs!$C$37*(0.55*SIN(2*PI()*((Inputs!$I$8+(((A64)+1)/2)*(Inputs!$J$8-Inputs!$I$8)))/Inputs!$C$39)+0.35*COS(2*PI()*(Inputs!$C$6)/Inputs!$C$40)+0.2*SIN(2*PI()*(((Inputs!$I$8+(((A64)+1)/2)*(Inputs!$J$8-Inputs!$I$8)))+(Inputs!$C$6))/(0.5*(Inputs!$C$39+Inputs!$C$40))))+Inputs!$C$38*SIN(2*PI()*((Inputs!$I$8+(((A64)+1)/2)*(Inputs!$J$8-Inputs!$I$8)))/Inputs!$C$39)*SIN(2*PI()*(Inputs!$C$6)/Inputs!$C$40)+-Inputs!$C$41*EXP(-(((Inputs!$C$6)-Inputs!$C$43)^2)/(2*Inputs!$C$44^2))*EXP(-((((Inputs!$I$8+(((A64)+1)/2)*(Inputs!$J$8-Inputs!$I$8)))-Inputs!$C$42)^2)/(2*Inputs!$C$45^2))+Inputs!$C$48*(0.7*(0.45*SIN(2*PI()*((((Inputs!$I$8+(((A64)+1)/2)*(Inputs!$J$8-Inputs!$I$8)))/Inputs!$C$49)+Inputs!$C$47*0.137))+0.35*COS(2*PI()*(((Inputs!$C$6)/Inputs!$C$50)+Inputs!$C$47*0.173))+0.2*SIN(2*PI()*((((Inputs!$I$8+(((A64)+1)/2)*(Inputs!$J$8-Inputs!$I$8)))+(Inputs!$C$6))/(0.5*(Inputs!$C$49+Inputs!$C$50))+Inputs!$C$47*0.097)))+0.3*(2*((SIN((((Inputs!$I$8+(((A64)+1)/2)*(Inputs!$J$8-Inputs!$I$8)))*12.9898+(Inputs!$C$6)*78.233+Inputs!$C$47*37.719))*43758.5453)-INT((SIN((((Inputs!$I$8+(((A64)+1)/2)*(Inputs!$J$8-Inputs!$I$8)))*12.9898+(Inputs!$C$6)*78.233+Inputs!$C$47*37.719))*43758.5453)))-1))),NA())</f>
        <v/>
      </c>
      <c r="AV64" s="9">
        <f>IF(OR(Inputs!$F$9=TRUE,Inputs!$F$9="TRUE",Inputs!$F$9=1),IF(OR(Inputs!$C$27=TRUE,Inputs!$C$27="TRUE",Inputs!$C$27=1),1,0)*(Inputs!$C$51*(115*EXP(-(((Inputs!$C$6)-25)^2)/(4.5^2))+70*EXP(-(((Inputs!$C$6)+38)^2)/(7^2))*(0.55+0.45*SIN(2*PI()*((Inputs!$I$9+(((A64)+1)/2)*(Inputs!$J$9-Inputs!$I$9)))/45))+24*SIN(2*PI()*(Inputs!$C$6)/9+((Inputs!$I$9+(((A64)+1)/2)*(Inputs!$J$9-Inputs!$I$9)))/18)*EXP(-(((Inputs!$C$6)+5)^2)/(22^2))+18*SIN(2*PI()*((Inputs!$I$9+(((A64)+1)/2)*(Inputs!$J$9-Inputs!$I$9)))/70))+Inputs!$C$28*EXP(-((((Inputs!$I$9+(((A64)+1)/2)*(Inputs!$J$9-Inputs!$I$9)))-Inputs!$C$29)^2)/(2*Inputs!$C$31^2))*EXP(-(((Inputs!$C$6)-Inputs!$C$30)^2)/(2*Inputs!$C$32^2))+-Inputs!$C$33*EXP(-((((((Inputs!$I$9+(((A64)+1)/2)*(Inputs!$J$9-Inputs!$I$9)))-Inputs!$C$34)^2)+(((Inputs!$C$6)-Inputs!$C$35)^2))/(2*Inputs!$C$36^2)))+Inputs!$C$37*(0.55*SIN(2*PI()*((Inputs!$I$9+(((A64)+1)/2)*(Inputs!$J$9-Inputs!$I$9)))/Inputs!$C$39)+0.35*COS(2*PI()*(Inputs!$C$6)/Inputs!$C$40)+0.2*SIN(2*PI()*(((Inputs!$I$9+(((A64)+1)/2)*(Inputs!$J$9-Inputs!$I$9)))+(Inputs!$C$6))/(0.5*(Inputs!$C$39+Inputs!$C$40))))+Inputs!$C$38*SIN(2*PI()*((Inputs!$I$9+(((A64)+1)/2)*(Inputs!$J$9-Inputs!$I$9)))/Inputs!$C$39)*SIN(2*PI()*(Inputs!$C$6)/Inputs!$C$40)+-Inputs!$C$41*EXP(-(((Inputs!$C$6)-Inputs!$C$43)^2)/(2*Inputs!$C$44^2))*EXP(-((((Inputs!$I$9+(((A64)+1)/2)*(Inputs!$J$9-Inputs!$I$9)))-Inputs!$C$42)^2)/(2*Inputs!$C$45^2))+Inputs!$C$48*(0.7*(0.45*SIN(2*PI()*((((Inputs!$I$9+(((A64)+1)/2)*(Inputs!$J$9-Inputs!$I$9)))/Inputs!$C$49)+Inputs!$C$47*0.137))+0.35*COS(2*PI()*(((Inputs!$C$6)/Inputs!$C$50)+Inputs!$C$47*0.173))+0.2*SIN(2*PI()*((((Inputs!$I$9+(((A64)+1)/2)*(Inputs!$J$9-Inputs!$I$9)))+(Inputs!$C$6))/(0.5*(Inputs!$C$49+Inputs!$C$50))+Inputs!$C$47*0.097)))+0.3*(2*((SIN((((Inputs!$I$9+(((A64)+1)/2)*(Inputs!$J$9-Inputs!$I$9)))*12.9898+(Inputs!$C$6)*78.233+Inputs!$C$47*37.719))*43758.5453)-INT((SIN((((Inputs!$I$9+(((A64)+1)/2)*(Inputs!$J$9-Inputs!$I$9)))*12.9898+(Inputs!$C$6)*78.233+Inputs!$C$47*37.719))*43758.5453)))-1))),NA())</f>
        <v/>
      </c>
      <c r="AW64" s="10" t="n"/>
      <c r="AX64" s="9">
        <f>A64</f>
        <v/>
      </c>
      <c r="AY64" s="9">
        <f>0</f>
        <v/>
      </c>
      <c r="AZ64" s="9">
        <f>IF(OR(Inputs!$F$6=TRUE,Inputs!$F$6="TRUE",Inputs!$F$6=1),(Inputs!$H$6+Inputs!$L$6*(((Inputs!$I$6+(((A64)+1)/2)*(Inputs!$J$6-Inputs!$I$6)))/Inputs!$K$6)^2),NA())</f>
        <v/>
      </c>
      <c r="BA64" s="9">
        <f>IF(OR(Inputs!$F$7=TRUE,Inputs!$F$7="TRUE",Inputs!$F$7=1),(Inputs!$H$7+Inputs!$L$7*(((Inputs!$I$7+(((A64)+1)/2)*(Inputs!$J$7-Inputs!$I$7)))/Inputs!$K$7)^2),NA())</f>
        <v/>
      </c>
      <c r="BB64" s="9">
        <f>IF(OR(Inputs!$F$8=TRUE,Inputs!$F$8="TRUE",Inputs!$F$8=1),(Inputs!$H$8+Inputs!$L$8*(((Inputs!$I$8+(((A64)+1)/2)*(Inputs!$J$8-Inputs!$I$8)))/Inputs!$K$8)^2),NA())</f>
        <v/>
      </c>
      <c r="BC64" s="9">
        <f>IF(OR(Inputs!$F$9=TRUE,Inputs!$F$9="TRUE",Inputs!$F$9=1),(Inputs!$H$9+Inputs!$L$9*(((Inputs!$I$9+(((A64)+1)/2)*(Inputs!$J$9-Inputs!$I$9)))/Inputs!$K$9)^2),NA())</f>
        <v/>
      </c>
      <c r="BD64" s="10" t="n"/>
      <c r="BE64" s="9">
        <f>A64</f>
        <v/>
      </c>
      <c r="BF64" s="9">
        <f>0</f>
        <v/>
      </c>
      <c r="BG64" s="9">
        <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f>
        <v/>
      </c>
      <c r="BH64" s="9">
        <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f>
        <v/>
      </c>
      <c r="BI64" s="9">
        <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f>
        <v/>
      </c>
      <c r="BJ64" s="9">
        <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f>
        <v/>
      </c>
    </row>
    <row r="65">
      <c r="A65" s="9">
        <f>ROUND(-1+63*2/240,3)</f>
        <v/>
      </c>
      <c r="B65" s="9">
        <f>IF(OR(Inputs!$F$6=TRUE,Inputs!$F$6="TRUE",Inputs!$F$6=1),(Inputs!$H$6+Inputs!$L$6*(((Inputs!$I$6+(((A65)+1)/2)*(Inputs!$J$6-Inputs!$I$6)))/Inputs!$K$6)^2),NA())</f>
        <v/>
      </c>
      <c r="C65" s="9">
        <f>IF(OR(Inputs!$F$7=TRUE,Inputs!$F$7="TRUE",Inputs!$F$7=1),(Inputs!$H$7+Inputs!$L$7*(((Inputs!$I$7+(((A65)+1)/2)*(Inputs!$J$7-Inputs!$I$7)))/Inputs!$K$7)^2),NA())</f>
        <v/>
      </c>
      <c r="D65" s="9">
        <f>IF(OR(Inputs!$F$8=TRUE,Inputs!$F$8="TRUE",Inputs!$F$8=1),(Inputs!$H$8+Inputs!$L$8*(((Inputs!$I$8+(((A65)+1)/2)*(Inputs!$J$8-Inputs!$I$8)))/Inputs!$K$8)^2),NA())</f>
        <v/>
      </c>
      <c r="E65" s="9">
        <f>IF(OR(Inputs!$F$9=TRUE,Inputs!$F$9="TRUE",Inputs!$F$9=1),(Inputs!$H$9+Inputs!$L$9*(((Inputs!$I$9+(((A65)+1)/2)*(Inputs!$J$9-Inputs!$I$9)))/Inputs!$K$9)^2),NA())</f>
        <v/>
      </c>
      <c r="F65" s="10" t="n"/>
      <c r="G65" s="9">
        <f>A65</f>
        <v/>
      </c>
      <c r="H65" s="9">
        <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f>
        <v/>
      </c>
      <c r="I65" s="9">
        <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f>
        <v/>
      </c>
      <c r="J65" s="9">
        <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f>
        <v/>
      </c>
      <c r="K65" s="9">
        <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f>
        <v/>
      </c>
      <c r="L65" s="10" t="n"/>
      <c r="M65" s="9">
        <f>A65</f>
        <v/>
      </c>
      <c r="N65" s="9">
        <f>IF(OR(Inputs!$F$6=TRUE,Inputs!$F$6="TRUE",Inputs!$F$6=1),(-2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NA())</f>
        <v/>
      </c>
      <c r="O65" s="9">
        <f>IF(OR(Inputs!$F$7=TRUE,Inputs!$F$7="TRUE",Inputs!$F$7=1),(-2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NA())</f>
        <v/>
      </c>
      <c r="P65" s="9">
        <f>IF(OR(Inputs!$F$8=TRUE,Inputs!$F$8="TRUE",Inputs!$F$8=1),(-2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NA())</f>
        <v/>
      </c>
      <c r="Q65" s="9">
        <f>IF(OR(Inputs!$F$9=TRUE,Inputs!$F$9="TRUE",Inputs!$F$9=1),(-2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NA())</f>
        <v/>
      </c>
      <c r="R65" s="10" t="n"/>
      <c r="S65" s="9">
        <f>A65</f>
        <v/>
      </c>
      <c r="T65" s="9">
        <f>(Inputs!$I$6+(((A65)+1)/2)*(Inputs!$J$6-Inputs!$I$6))</f>
        <v/>
      </c>
      <c r="U65" s="9">
        <f>(Inputs!$I$7+(((A65)+1)/2)*(Inputs!$J$7-Inputs!$I$7))</f>
        <v/>
      </c>
      <c r="V65" s="9">
        <f>(Inputs!$I$8+(((A65)+1)/2)*(Inputs!$J$8-Inputs!$I$8))</f>
        <v/>
      </c>
      <c r="W65" s="9">
        <f>(Inputs!$I$9+(((A65)+1)/2)*(Inputs!$J$9-Inputs!$I$9))</f>
        <v/>
      </c>
      <c r="X65" s="10" t="n"/>
      <c r="Y65" s="9">
        <f>A65</f>
        <v/>
      </c>
      <c r="Z65" s="9">
        <f>(Inputs!$H$6+Inputs!$L$6*(((Inputs!$I$6+(((A65)+1)/2)*(Inputs!$J$6-Inputs!$I$6)))/Inputs!$K$6)^2)</f>
        <v/>
      </c>
      <c r="AA65" s="9">
        <f>(Inputs!$H$7+Inputs!$L$7*(((Inputs!$I$7+(((A65)+1)/2)*(Inputs!$J$7-Inputs!$I$7)))/Inputs!$K$7)^2)</f>
        <v/>
      </c>
      <c r="AB65" s="9">
        <f>(Inputs!$H$8+Inputs!$L$8*(((Inputs!$I$8+(((A65)+1)/2)*(Inputs!$J$8-Inputs!$I$8)))/Inputs!$K$8)^2)</f>
        <v/>
      </c>
      <c r="AC65" s="9">
        <f>(Inputs!$H$9+Inputs!$L$9*(((Inputs!$I$9+(((A65)+1)/2)*(Inputs!$J$9-Inputs!$I$9)))/Inputs!$K$9)^2)</f>
        <v/>
      </c>
      <c r="AD65" s="10" t="n"/>
      <c r="AE65" s="9">
        <f>A65</f>
        <v/>
      </c>
      <c r="AF65" s="9">
        <f>(((SQRT((Inputs!$C$52+((Inputs!$H$6+Inputs!$L$6*(((Inputs!$I$6+(((A65)+1)/2)*(Inputs!$J$6-Inputs!$I$6)))/Inputs!$K$6)^2)))^2+Inputs!$C$52^2-2*(Inputs!$C$52+((Inputs!$H$6+Inputs!$L$6*(((Inputs!$I$6+(((A65)+1)/2)*(Inputs!$J$6-Inputs!$I$6)))/Inputs!$K$6)^2)))*Inputs!$C$52*COS(SQRT(((Inputs!$I$6+(((A65)+1)/2)*(Inputs!$J$6-Inputs!$I$6)))^2+Inputs!$C$6^2)/Inputs!$C$52)))-((Inputs!$H$6+Inputs!$L$6*(((Inputs!$I$6+(((A65)+1)/2)*(Inputs!$J$6-Inputs!$I$6)))/Inputs!$K$6)^2)))*1000/Inputs!$C$12)</f>
        <v/>
      </c>
      <c r="AG65" s="9">
        <f>(((SQRT((Inputs!$C$52+((Inputs!$H$7+Inputs!$L$7*(((Inputs!$I$7+(((A65)+1)/2)*(Inputs!$J$7-Inputs!$I$7)))/Inputs!$K$7)^2)))^2+Inputs!$C$52^2-2*(Inputs!$C$52+((Inputs!$H$7+Inputs!$L$7*(((Inputs!$I$7+(((A65)+1)/2)*(Inputs!$J$7-Inputs!$I$7)))/Inputs!$K$7)^2)))*Inputs!$C$52*COS(SQRT(((Inputs!$I$7+(((A65)+1)/2)*(Inputs!$J$7-Inputs!$I$7)))^2+Inputs!$C$6^2)/Inputs!$C$52)))-((Inputs!$H$7+Inputs!$L$7*(((Inputs!$I$7+(((A65)+1)/2)*(Inputs!$J$7-Inputs!$I$7)))/Inputs!$K$7)^2)))*1000/Inputs!$C$12)</f>
        <v/>
      </c>
      <c r="AH65" s="9">
        <f>(((SQRT((Inputs!$C$52+((Inputs!$H$8+Inputs!$L$8*(((Inputs!$I$8+(((A65)+1)/2)*(Inputs!$J$8-Inputs!$I$8)))/Inputs!$K$8)^2)))^2+Inputs!$C$52^2-2*(Inputs!$C$52+((Inputs!$H$8+Inputs!$L$8*(((Inputs!$I$8+(((A65)+1)/2)*(Inputs!$J$8-Inputs!$I$8)))/Inputs!$K$8)^2)))*Inputs!$C$52*COS(SQRT(((Inputs!$I$8+(((A65)+1)/2)*(Inputs!$J$8-Inputs!$I$8)))^2+Inputs!$C$6^2)/Inputs!$C$52)))-((Inputs!$H$8+Inputs!$L$8*(((Inputs!$I$8+(((A65)+1)/2)*(Inputs!$J$8-Inputs!$I$8)))/Inputs!$K$8)^2)))*1000/Inputs!$C$12)</f>
        <v/>
      </c>
      <c r="AI65" s="9">
        <f>(((SQRT((Inputs!$C$52+((Inputs!$H$9+Inputs!$L$9*(((Inputs!$I$9+(((A65)+1)/2)*(Inputs!$J$9-Inputs!$I$9)))/Inputs!$K$9)^2)))^2+Inputs!$C$52^2-2*(Inputs!$C$52+((Inputs!$H$9+Inputs!$L$9*(((Inputs!$I$9+(((A65)+1)/2)*(Inputs!$J$9-Inputs!$I$9)))/Inputs!$K$9)^2)))*Inputs!$C$52*COS(SQRT(((Inputs!$I$9+(((A65)+1)/2)*(Inputs!$J$9-Inputs!$I$9)))^2+Inputs!$C$6^2)/Inputs!$C$52)))-((Inputs!$H$9+Inputs!$L$9*(((Inputs!$I$9+(((A65)+1)/2)*(Inputs!$J$9-Inputs!$I$9)))/Inputs!$K$9)^2)))*1000/Inputs!$C$12)</f>
        <v/>
      </c>
      <c r="AJ65" s="10" t="n"/>
      <c r="AK65" s="9">
        <f>A65</f>
        <v/>
      </c>
      <c r="AL65" s="9">
        <f>(-2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f>
        <v/>
      </c>
      <c r="AM65" s="9">
        <f>(-2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f>
        <v/>
      </c>
      <c r="AN65" s="9">
        <f>(-2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f>
        <v/>
      </c>
      <c r="AO65" s="9">
        <f>(-2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f>
        <v/>
      </c>
      <c r="AP65" s="10" t="n"/>
      <c r="AQ65" s="9">
        <f>A65</f>
        <v/>
      </c>
      <c r="AR65" s="9">
        <f>0</f>
        <v/>
      </c>
      <c r="AS65" s="9">
        <f>IF(OR(Inputs!$F$6=TRUE,Inputs!$F$6="TRUE",Inputs!$F$6=1),IF(OR(Inputs!$C$27=TRUE,Inputs!$C$27="TRUE",Inputs!$C$27=1),1,0)*(Inputs!$C$51*(115*EXP(-(((Inputs!$C$6)-25)^2)/(4.5^2))+70*EXP(-(((Inputs!$C$6)+38)^2)/(7^2))*(0.55+0.45*SIN(2*PI()*((Inputs!$I$6+(((A65)+1)/2)*(Inputs!$J$6-Inputs!$I$6)))/45))+24*SIN(2*PI()*(Inputs!$C$6)/9+((Inputs!$I$6+(((A65)+1)/2)*(Inputs!$J$6-Inputs!$I$6)))/18)*EXP(-(((Inputs!$C$6)+5)^2)/(22^2))+18*SIN(2*PI()*((Inputs!$I$6+(((A65)+1)/2)*(Inputs!$J$6-Inputs!$I$6)))/70))+Inputs!$C$28*EXP(-((((Inputs!$I$6+(((A65)+1)/2)*(Inputs!$J$6-Inputs!$I$6)))-Inputs!$C$29)^2)/(2*Inputs!$C$31^2))*EXP(-(((Inputs!$C$6)-Inputs!$C$30)^2)/(2*Inputs!$C$32^2))+-Inputs!$C$33*EXP(-((((((Inputs!$I$6+(((A65)+1)/2)*(Inputs!$J$6-Inputs!$I$6)))-Inputs!$C$34)^2)+(((Inputs!$C$6)-Inputs!$C$35)^2))/(2*Inputs!$C$36^2)))+Inputs!$C$37*(0.55*SIN(2*PI()*((Inputs!$I$6+(((A65)+1)/2)*(Inputs!$J$6-Inputs!$I$6)))/Inputs!$C$39)+0.35*COS(2*PI()*(Inputs!$C$6)/Inputs!$C$40)+0.2*SIN(2*PI()*(((Inputs!$I$6+(((A65)+1)/2)*(Inputs!$J$6-Inputs!$I$6)))+(Inputs!$C$6))/(0.5*(Inputs!$C$39+Inputs!$C$40))))+Inputs!$C$38*SIN(2*PI()*((Inputs!$I$6+(((A65)+1)/2)*(Inputs!$J$6-Inputs!$I$6)))/Inputs!$C$39)*SIN(2*PI()*(Inputs!$C$6)/Inputs!$C$40)+-Inputs!$C$41*EXP(-(((Inputs!$C$6)-Inputs!$C$43)^2)/(2*Inputs!$C$44^2))*EXP(-((((Inputs!$I$6+(((A65)+1)/2)*(Inputs!$J$6-Inputs!$I$6)))-Inputs!$C$42)^2)/(2*Inputs!$C$45^2))+Inputs!$C$48*(0.7*(0.45*SIN(2*PI()*((((Inputs!$I$6+(((A65)+1)/2)*(Inputs!$J$6-Inputs!$I$6)))/Inputs!$C$49)+Inputs!$C$47*0.137))+0.35*COS(2*PI()*(((Inputs!$C$6)/Inputs!$C$50)+Inputs!$C$47*0.173))+0.2*SIN(2*PI()*((((Inputs!$I$6+(((A65)+1)/2)*(Inputs!$J$6-Inputs!$I$6)))+(Inputs!$C$6))/(0.5*(Inputs!$C$49+Inputs!$C$50))+Inputs!$C$47*0.097)))+0.3*(2*((SIN((((Inputs!$I$6+(((A65)+1)/2)*(Inputs!$J$6-Inputs!$I$6)))*12.9898+(Inputs!$C$6)*78.233+Inputs!$C$47*37.719))*43758.5453)-INT((SIN((((Inputs!$I$6+(((A65)+1)/2)*(Inputs!$J$6-Inputs!$I$6)))*12.9898+(Inputs!$C$6)*78.233+Inputs!$C$47*37.719))*43758.5453)))-1))),NA())</f>
        <v/>
      </c>
      <c r="AT65" s="9">
        <f>IF(OR(Inputs!$F$7=TRUE,Inputs!$F$7="TRUE",Inputs!$F$7=1),IF(OR(Inputs!$C$27=TRUE,Inputs!$C$27="TRUE",Inputs!$C$27=1),1,0)*(Inputs!$C$51*(115*EXP(-(((Inputs!$C$6)-25)^2)/(4.5^2))+70*EXP(-(((Inputs!$C$6)+38)^2)/(7^2))*(0.55+0.45*SIN(2*PI()*((Inputs!$I$7+(((A65)+1)/2)*(Inputs!$J$7-Inputs!$I$7)))/45))+24*SIN(2*PI()*(Inputs!$C$6)/9+((Inputs!$I$7+(((A65)+1)/2)*(Inputs!$J$7-Inputs!$I$7)))/18)*EXP(-(((Inputs!$C$6)+5)^2)/(22^2))+18*SIN(2*PI()*((Inputs!$I$7+(((A65)+1)/2)*(Inputs!$J$7-Inputs!$I$7)))/70))+Inputs!$C$28*EXP(-((((Inputs!$I$7+(((A65)+1)/2)*(Inputs!$J$7-Inputs!$I$7)))-Inputs!$C$29)^2)/(2*Inputs!$C$31^2))*EXP(-(((Inputs!$C$6)-Inputs!$C$30)^2)/(2*Inputs!$C$32^2))+-Inputs!$C$33*EXP(-((((((Inputs!$I$7+(((A65)+1)/2)*(Inputs!$J$7-Inputs!$I$7)))-Inputs!$C$34)^2)+(((Inputs!$C$6)-Inputs!$C$35)^2))/(2*Inputs!$C$36^2)))+Inputs!$C$37*(0.55*SIN(2*PI()*((Inputs!$I$7+(((A65)+1)/2)*(Inputs!$J$7-Inputs!$I$7)))/Inputs!$C$39)+0.35*COS(2*PI()*(Inputs!$C$6)/Inputs!$C$40)+0.2*SIN(2*PI()*(((Inputs!$I$7+(((A65)+1)/2)*(Inputs!$J$7-Inputs!$I$7)))+(Inputs!$C$6))/(0.5*(Inputs!$C$39+Inputs!$C$40))))+Inputs!$C$38*SIN(2*PI()*((Inputs!$I$7+(((A65)+1)/2)*(Inputs!$J$7-Inputs!$I$7)))/Inputs!$C$39)*SIN(2*PI()*(Inputs!$C$6)/Inputs!$C$40)+-Inputs!$C$41*EXP(-(((Inputs!$C$6)-Inputs!$C$43)^2)/(2*Inputs!$C$44^2))*EXP(-((((Inputs!$I$7+(((A65)+1)/2)*(Inputs!$J$7-Inputs!$I$7)))-Inputs!$C$42)^2)/(2*Inputs!$C$45^2))+Inputs!$C$48*(0.7*(0.45*SIN(2*PI()*((((Inputs!$I$7+(((A65)+1)/2)*(Inputs!$J$7-Inputs!$I$7)))/Inputs!$C$49)+Inputs!$C$47*0.137))+0.35*COS(2*PI()*(((Inputs!$C$6)/Inputs!$C$50)+Inputs!$C$47*0.173))+0.2*SIN(2*PI()*((((Inputs!$I$7+(((A65)+1)/2)*(Inputs!$J$7-Inputs!$I$7)))+(Inputs!$C$6))/(0.5*(Inputs!$C$49+Inputs!$C$50))+Inputs!$C$47*0.097)))+0.3*(2*((SIN((((Inputs!$I$7+(((A65)+1)/2)*(Inputs!$J$7-Inputs!$I$7)))*12.9898+(Inputs!$C$6)*78.233+Inputs!$C$47*37.719))*43758.5453)-INT((SIN((((Inputs!$I$7+(((A65)+1)/2)*(Inputs!$J$7-Inputs!$I$7)))*12.9898+(Inputs!$C$6)*78.233+Inputs!$C$47*37.719))*43758.5453)))-1))),NA())</f>
        <v/>
      </c>
      <c r="AU65" s="9">
        <f>IF(OR(Inputs!$F$8=TRUE,Inputs!$F$8="TRUE",Inputs!$F$8=1),IF(OR(Inputs!$C$27=TRUE,Inputs!$C$27="TRUE",Inputs!$C$27=1),1,0)*(Inputs!$C$51*(115*EXP(-(((Inputs!$C$6)-25)^2)/(4.5^2))+70*EXP(-(((Inputs!$C$6)+38)^2)/(7^2))*(0.55+0.45*SIN(2*PI()*((Inputs!$I$8+(((A65)+1)/2)*(Inputs!$J$8-Inputs!$I$8)))/45))+24*SIN(2*PI()*(Inputs!$C$6)/9+((Inputs!$I$8+(((A65)+1)/2)*(Inputs!$J$8-Inputs!$I$8)))/18)*EXP(-(((Inputs!$C$6)+5)^2)/(22^2))+18*SIN(2*PI()*((Inputs!$I$8+(((A65)+1)/2)*(Inputs!$J$8-Inputs!$I$8)))/70))+Inputs!$C$28*EXP(-((((Inputs!$I$8+(((A65)+1)/2)*(Inputs!$J$8-Inputs!$I$8)))-Inputs!$C$29)^2)/(2*Inputs!$C$31^2))*EXP(-(((Inputs!$C$6)-Inputs!$C$30)^2)/(2*Inputs!$C$32^2))+-Inputs!$C$33*EXP(-((((((Inputs!$I$8+(((A65)+1)/2)*(Inputs!$J$8-Inputs!$I$8)))-Inputs!$C$34)^2)+(((Inputs!$C$6)-Inputs!$C$35)^2))/(2*Inputs!$C$36^2)))+Inputs!$C$37*(0.55*SIN(2*PI()*((Inputs!$I$8+(((A65)+1)/2)*(Inputs!$J$8-Inputs!$I$8)))/Inputs!$C$39)+0.35*COS(2*PI()*(Inputs!$C$6)/Inputs!$C$40)+0.2*SIN(2*PI()*(((Inputs!$I$8+(((A65)+1)/2)*(Inputs!$J$8-Inputs!$I$8)))+(Inputs!$C$6))/(0.5*(Inputs!$C$39+Inputs!$C$40))))+Inputs!$C$38*SIN(2*PI()*((Inputs!$I$8+(((A65)+1)/2)*(Inputs!$J$8-Inputs!$I$8)))/Inputs!$C$39)*SIN(2*PI()*(Inputs!$C$6)/Inputs!$C$40)+-Inputs!$C$41*EXP(-(((Inputs!$C$6)-Inputs!$C$43)^2)/(2*Inputs!$C$44^2))*EXP(-((((Inputs!$I$8+(((A65)+1)/2)*(Inputs!$J$8-Inputs!$I$8)))-Inputs!$C$42)^2)/(2*Inputs!$C$45^2))+Inputs!$C$48*(0.7*(0.45*SIN(2*PI()*((((Inputs!$I$8+(((A65)+1)/2)*(Inputs!$J$8-Inputs!$I$8)))/Inputs!$C$49)+Inputs!$C$47*0.137))+0.35*COS(2*PI()*(((Inputs!$C$6)/Inputs!$C$50)+Inputs!$C$47*0.173))+0.2*SIN(2*PI()*((((Inputs!$I$8+(((A65)+1)/2)*(Inputs!$J$8-Inputs!$I$8)))+(Inputs!$C$6))/(0.5*(Inputs!$C$49+Inputs!$C$50))+Inputs!$C$47*0.097)))+0.3*(2*((SIN((((Inputs!$I$8+(((A65)+1)/2)*(Inputs!$J$8-Inputs!$I$8)))*12.9898+(Inputs!$C$6)*78.233+Inputs!$C$47*37.719))*43758.5453)-INT((SIN((((Inputs!$I$8+(((A65)+1)/2)*(Inputs!$J$8-Inputs!$I$8)))*12.9898+(Inputs!$C$6)*78.233+Inputs!$C$47*37.719))*43758.5453)))-1))),NA())</f>
        <v/>
      </c>
      <c r="AV65" s="9">
        <f>IF(OR(Inputs!$F$9=TRUE,Inputs!$F$9="TRUE",Inputs!$F$9=1),IF(OR(Inputs!$C$27=TRUE,Inputs!$C$27="TRUE",Inputs!$C$27=1),1,0)*(Inputs!$C$51*(115*EXP(-(((Inputs!$C$6)-25)^2)/(4.5^2))+70*EXP(-(((Inputs!$C$6)+38)^2)/(7^2))*(0.55+0.45*SIN(2*PI()*((Inputs!$I$9+(((A65)+1)/2)*(Inputs!$J$9-Inputs!$I$9)))/45))+24*SIN(2*PI()*(Inputs!$C$6)/9+((Inputs!$I$9+(((A65)+1)/2)*(Inputs!$J$9-Inputs!$I$9)))/18)*EXP(-(((Inputs!$C$6)+5)^2)/(22^2))+18*SIN(2*PI()*((Inputs!$I$9+(((A65)+1)/2)*(Inputs!$J$9-Inputs!$I$9)))/70))+Inputs!$C$28*EXP(-((((Inputs!$I$9+(((A65)+1)/2)*(Inputs!$J$9-Inputs!$I$9)))-Inputs!$C$29)^2)/(2*Inputs!$C$31^2))*EXP(-(((Inputs!$C$6)-Inputs!$C$30)^2)/(2*Inputs!$C$32^2))+-Inputs!$C$33*EXP(-((((((Inputs!$I$9+(((A65)+1)/2)*(Inputs!$J$9-Inputs!$I$9)))-Inputs!$C$34)^2)+(((Inputs!$C$6)-Inputs!$C$35)^2))/(2*Inputs!$C$36^2)))+Inputs!$C$37*(0.55*SIN(2*PI()*((Inputs!$I$9+(((A65)+1)/2)*(Inputs!$J$9-Inputs!$I$9)))/Inputs!$C$39)+0.35*COS(2*PI()*(Inputs!$C$6)/Inputs!$C$40)+0.2*SIN(2*PI()*(((Inputs!$I$9+(((A65)+1)/2)*(Inputs!$J$9-Inputs!$I$9)))+(Inputs!$C$6))/(0.5*(Inputs!$C$39+Inputs!$C$40))))+Inputs!$C$38*SIN(2*PI()*((Inputs!$I$9+(((A65)+1)/2)*(Inputs!$J$9-Inputs!$I$9)))/Inputs!$C$39)*SIN(2*PI()*(Inputs!$C$6)/Inputs!$C$40)+-Inputs!$C$41*EXP(-(((Inputs!$C$6)-Inputs!$C$43)^2)/(2*Inputs!$C$44^2))*EXP(-((((Inputs!$I$9+(((A65)+1)/2)*(Inputs!$J$9-Inputs!$I$9)))-Inputs!$C$42)^2)/(2*Inputs!$C$45^2))+Inputs!$C$48*(0.7*(0.45*SIN(2*PI()*((((Inputs!$I$9+(((A65)+1)/2)*(Inputs!$J$9-Inputs!$I$9)))/Inputs!$C$49)+Inputs!$C$47*0.137))+0.35*COS(2*PI()*(((Inputs!$C$6)/Inputs!$C$50)+Inputs!$C$47*0.173))+0.2*SIN(2*PI()*((((Inputs!$I$9+(((A65)+1)/2)*(Inputs!$J$9-Inputs!$I$9)))+(Inputs!$C$6))/(0.5*(Inputs!$C$49+Inputs!$C$50))+Inputs!$C$47*0.097)))+0.3*(2*((SIN((((Inputs!$I$9+(((A65)+1)/2)*(Inputs!$J$9-Inputs!$I$9)))*12.9898+(Inputs!$C$6)*78.233+Inputs!$C$47*37.719))*43758.5453)-INT((SIN((((Inputs!$I$9+(((A65)+1)/2)*(Inputs!$J$9-Inputs!$I$9)))*12.9898+(Inputs!$C$6)*78.233+Inputs!$C$47*37.719))*43758.5453)))-1))),NA())</f>
        <v/>
      </c>
      <c r="AW65" s="10" t="n"/>
      <c r="AX65" s="9">
        <f>A65</f>
        <v/>
      </c>
      <c r="AY65" s="9">
        <f>0</f>
        <v/>
      </c>
      <c r="AZ65" s="9">
        <f>IF(OR(Inputs!$F$6=TRUE,Inputs!$F$6="TRUE",Inputs!$F$6=1),(Inputs!$H$6+Inputs!$L$6*(((Inputs!$I$6+(((A65)+1)/2)*(Inputs!$J$6-Inputs!$I$6)))/Inputs!$K$6)^2),NA())</f>
        <v/>
      </c>
      <c r="BA65" s="9">
        <f>IF(OR(Inputs!$F$7=TRUE,Inputs!$F$7="TRUE",Inputs!$F$7=1),(Inputs!$H$7+Inputs!$L$7*(((Inputs!$I$7+(((A65)+1)/2)*(Inputs!$J$7-Inputs!$I$7)))/Inputs!$K$7)^2),NA())</f>
        <v/>
      </c>
      <c r="BB65" s="9">
        <f>IF(OR(Inputs!$F$8=TRUE,Inputs!$F$8="TRUE",Inputs!$F$8=1),(Inputs!$H$8+Inputs!$L$8*(((Inputs!$I$8+(((A65)+1)/2)*(Inputs!$J$8-Inputs!$I$8)))/Inputs!$K$8)^2),NA())</f>
        <v/>
      </c>
      <c r="BC65" s="9">
        <f>IF(OR(Inputs!$F$9=TRUE,Inputs!$F$9="TRUE",Inputs!$F$9=1),(Inputs!$H$9+Inputs!$L$9*(((Inputs!$I$9+(((A65)+1)/2)*(Inputs!$J$9-Inputs!$I$9)))/Inputs!$K$9)^2),NA())</f>
        <v/>
      </c>
      <c r="BD65" s="10" t="n"/>
      <c r="BE65" s="9">
        <f>A65</f>
        <v/>
      </c>
      <c r="BF65" s="9">
        <f>0</f>
        <v/>
      </c>
      <c r="BG65" s="9">
        <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f>
        <v/>
      </c>
      <c r="BH65" s="9">
        <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f>
        <v/>
      </c>
      <c r="BI65" s="9">
        <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f>
        <v/>
      </c>
      <c r="BJ65" s="9">
        <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f>
        <v/>
      </c>
    </row>
    <row r="66">
      <c r="A66" s="9">
        <f>ROUND(-1+64*2/240,3)</f>
        <v/>
      </c>
      <c r="B66" s="9">
        <f>IF(OR(Inputs!$F$6=TRUE,Inputs!$F$6="TRUE",Inputs!$F$6=1),(Inputs!$H$6+Inputs!$L$6*(((Inputs!$I$6+(((A66)+1)/2)*(Inputs!$J$6-Inputs!$I$6)))/Inputs!$K$6)^2),NA())</f>
        <v/>
      </c>
      <c r="C66" s="9">
        <f>IF(OR(Inputs!$F$7=TRUE,Inputs!$F$7="TRUE",Inputs!$F$7=1),(Inputs!$H$7+Inputs!$L$7*(((Inputs!$I$7+(((A66)+1)/2)*(Inputs!$J$7-Inputs!$I$7)))/Inputs!$K$7)^2),NA())</f>
        <v/>
      </c>
      <c r="D66" s="9">
        <f>IF(OR(Inputs!$F$8=TRUE,Inputs!$F$8="TRUE",Inputs!$F$8=1),(Inputs!$H$8+Inputs!$L$8*(((Inputs!$I$8+(((A66)+1)/2)*(Inputs!$J$8-Inputs!$I$8)))/Inputs!$K$8)^2),NA())</f>
        <v/>
      </c>
      <c r="E66" s="9">
        <f>IF(OR(Inputs!$F$9=TRUE,Inputs!$F$9="TRUE",Inputs!$F$9=1),(Inputs!$H$9+Inputs!$L$9*(((Inputs!$I$9+(((A66)+1)/2)*(Inputs!$J$9-Inputs!$I$9)))/Inputs!$K$9)^2),NA())</f>
        <v/>
      </c>
      <c r="F66" s="10" t="n"/>
      <c r="G66" s="9">
        <f>A66</f>
        <v/>
      </c>
      <c r="H66" s="9">
        <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f>
        <v/>
      </c>
      <c r="I66" s="9">
        <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f>
        <v/>
      </c>
      <c r="J66" s="9">
        <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f>
        <v/>
      </c>
      <c r="K66" s="9">
        <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f>
        <v/>
      </c>
      <c r="L66" s="10" t="n"/>
      <c r="M66" s="9">
        <f>A66</f>
        <v/>
      </c>
      <c r="N66" s="9">
        <f>IF(OR(Inputs!$F$6=TRUE,Inputs!$F$6="TRUE",Inputs!$F$6=1),(-2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NA())</f>
        <v/>
      </c>
      <c r="O66" s="9">
        <f>IF(OR(Inputs!$F$7=TRUE,Inputs!$F$7="TRUE",Inputs!$F$7=1),(-2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NA())</f>
        <v/>
      </c>
      <c r="P66" s="9">
        <f>IF(OR(Inputs!$F$8=TRUE,Inputs!$F$8="TRUE",Inputs!$F$8=1),(-2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NA())</f>
        <v/>
      </c>
      <c r="Q66" s="9">
        <f>IF(OR(Inputs!$F$9=TRUE,Inputs!$F$9="TRUE",Inputs!$F$9=1),(-2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NA())</f>
        <v/>
      </c>
      <c r="R66" s="10" t="n"/>
      <c r="S66" s="9">
        <f>A66</f>
        <v/>
      </c>
      <c r="T66" s="9">
        <f>(Inputs!$I$6+(((A66)+1)/2)*(Inputs!$J$6-Inputs!$I$6))</f>
        <v/>
      </c>
      <c r="U66" s="9">
        <f>(Inputs!$I$7+(((A66)+1)/2)*(Inputs!$J$7-Inputs!$I$7))</f>
        <v/>
      </c>
      <c r="V66" s="9">
        <f>(Inputs!$I$8+(((A66)+1)/2)*(Inputs!$J$8-Inputs!$I$8))</f>
        <v/>
      </c>
      <c r="W66" s="9">
        <f>(Inputs!$I$9+(((A66)+1)/2)*(Inputs!$J$9-Inputs!$I$9))</f>
        <v/>
      </c>
      <c r="X66" s="10" t="n"/>
      <c r="Y66" s="9">
        <f>A66</f>
        <v/>
      </c>
      <c r="Z66" s="9">
        <f>(Inputs!$H$6+Inputs!$L$6*(((Inputs!$I$6+(((A66)+1)/2)*(Inputs!$J$6-Inputs!$I$6)))/Inputs!$K$6)^2)</f>
        <v/>
      </c>
      <c r="AA66" s="9">
        <f>(Inputs!$H$7+Inputs!$L$7*(((Inputs!$I$7+(((A66)+1)/2)*(Inputs!$J$7-Inputs!$I$7)))/Inputs!$K$7)^2)</f>
        <v/>
      </c>
      <c r="AB66" s="9">
        <f>(Inputs!$H$8+Inputs!$L$8*(((Inputs!$I$8+(((A66)+1)/2)*(Inputs!$J$8-Inputs!$I$8)))/Inputs!$K$8)^2)</f>
        <v/>
      </c>
      <c r="AC66" s="9">
        <f>(Inputs!$H$9+Inputs!$L$9*(((Inputs!$I$9+(((A66)+1)/2)*(Inputs!$J$9-Inputs!$I$9)))/Inputs!$K$9)^2)</f>
        <v/>
      </c>
      <c r="AD66" s="10" t="n"/>
      <c r="AE66" s="9">
        <f>A66</f>
        <v/>
      </c>
      <c r="AF66" s="9">
        <f>(((SQRT((Inputs!$C$52+((Inputs!$H$6+Inputs!$L$6*(((Inputs!$I$6+(((A66)+1)/2)*(Inputs!$J$6-Inputs!$I$6)))/Inputs!$K$6)^2)))^2+Inputs!$C$52^2-2*(Inputs!$C$52+((Inputs!$H$6+Inputs!$L$6*(((Inputs!$I$6+(((A66)+1)/2)*(Inputs!$J$6-Inputs!$I$6)))/Inputs!$K$6)^2)))*Inputs!$C$52*COS(SQRT(((Inputs!$I$6+(((A66)+1)/2)*(Inputs!$J$6-Inputs!$I$6)))^2+Inputs!$C$6^2)/Inputs!$C$52)))-((Inputs!$H$6+Inputs!$L$6*(((Inputs!$I$6+(((A66)+1)/2)*(Inputs!$J$6-Inputs!$I$6)))/Inputs!$K$6)^2)))*1000/Inputs!$C$12)</f>
        <v/>
      </c>
      <c r="AG66" s="9">
        <f>(((SQRT((Inputs!$C$52+((Inputs!$H$7+Inputs!$L$7*(((Inputs!$I$7+(((A66)+1)/2)*(Inputs!$J$7-Inputs!$I$7)))/Inputs!$K$7)^2)))^2+Inputs!$C$52^2-2*(Inputs!$C$52+((Inputs!$H$7+Inputs!$L$7*(((Inputs!$I$7+(((A66)+1)/2)*(Inputs!$J$7-Inputs!$I$7)))/Inputs!$K$7)^2)))*Inputs!$C$52*COS(SQRT(((Inputs!$I$7+(((A66)+1)/2)*(Inputs!$J$7-Inputs!$I$7)))^2+Inputs!$C$6^2)/Inputs!$C$52)))-((Inputs!$H$7+Inputs!$L$7*(((Inputs!$I$7+(((A66)+1)/2)*(Inputs!$J$7-Inputs!$I$7)))/Inputs!$K$7)^2)))*1000/Inputs!$C$12)</f>
        <v/>
      </c>
      <c r="AH66" s="9">
        <f>(((SQRT((Inputs!$C$52+((Inputs!$H$8+Inputs!$L$8*(((Inputs!$I$8+(((A66)+1)/2)*(Inputs!$J$8-Inputs!$I$8)))/Inputs!$K$8)^2)))^2+Inputs!$C$52^2-2*(Inputs!$C$52+((Inputs!$H$8+Inputs!$L$8*(((Inputs!$I$8+(((A66)+1)/2)*(Inputs!$J$8-Inputs!$I$8)))/Inputs!$K$8)^2)))*Inputs!$C$52*COS(SQRT(((Inputs!$I$8+(((A66)+1)/2)*(Inputs!$J$8-Inputs!$I$8)))^2+Inputs!$C$6^2)/Inputs!$C$52)))-((Inputs!$H$8+Inputs!$L$8*(((Inputs!$I$8+(((A66)+1)/2)*(Inputs!$J$8-Inputs!$I$8)))/Inputs!$K$8)^2)))*1000/Inputs!$C$12)</f>
        <v/>
      </c>
      <c r="AI66" s="9">
        <f>(((SQRT((Inputs!$C$52+((Inputs!$H$9+Inputs!$L$9*(((Inputs!$I$9+(((A66)+1)/2)*(Inputs!$J$9-Inputs!$I$9)))/Inputs!$K$9)^2)))^2+Inputs!$C$52^2-2*(Inputs!$C$52+((Inputs!$H$9+Inputs!$L$9*(((Inputs!$I$9+(((A66)+1)/2)*(Inputs!$J$9-Inputs!$I$9)))/Inputs!$K$9)^2)))*Inputs!$C$52*COS(SQRT(((Inputs!$I$9+(((A66)+1)/2)*(Inputs!$J$9-Inputs!$I$9)))^2+Inputs!$C$6^2)/Inputs!$C$52)))-((Inputs!$H$9+Inputs!$L$9*(((Inputs!$I$9+(((A66)+1)/2)*(Inputs!$J$9-Inputs!$I$9)))/Inputs!$K$9)^2)))*1000/Inputs!$C$12)</f>
        <v/>
      </c>
      <c r="AJ66" s="10" t="n"/>
      <c r="AK66" s="9">
        <f>A66</f>
        <v/>
      </c>
      <c r="AL66" s="9">
        <f>(-2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f>
        <v/>
      </c>
      <c r="AM66" s="9">
        <f>(-2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f>
        <v/>
      </c>
      <c r="AN66" s="9">
        <f>(-2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f>
        <v/>
      </c>
      <c r="AO66" s="9">
        <f>(-2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f>
        <v/>
      </c>
      <c r="AP66" s="10" t="n"/>
      <c r="AQ66" s="9">
        <f>A66</f>
        <v/>
      </c>
      <c r="AR66" s="9">
        <f>0</f>
        <v/>
      </c>
      <c r="AS66" s="9">
        <f>IF(OR(Inputs!$F$6=TRUE,Inputs!$F$6="TRUE",Inputs!$F$6=1),IF(OR(Inputs!$C$27=TRUE,Inputs!$C$27="TRUE",Inputs!$C$27=1),1,0)*(Inputs!$C$51*(115*EXP(-(((Inputs!$C$6)-25)^2)/(4.5^2))+70*EXP(-(((Inputs!$C$6)+38)^2)/(7^2))*(0.55+0.45*SIN(2*PI()*((Inputs!$I$6+(((A66)+1)/2)*(Inputs!$J$6-Inputs!$I$6)))/45))+24*SIN(2*PI()*(Inputs!$C$6)/9+((Inputs!$I$6+(((A66)+1)/2)*(Inputs!$J$6-Inputs!$I$6)))/18)*EXP(-(((Inputs!$C$6)+5)^2)/(22^2))+18*SIN(2*PI()*((Inputs!$I$6+(((A66)+1)/2)*(Inputs!$J$6-Inputs!$I$6)))/70))+Inputs!$C$28*EXP(-((((Inputs!$I$6+(((A66)+1)/2)*(Inputs!$J$6-Inputs!$I$6)))-Inputs!$C$29)^2)/(2*Inputs!$C$31^2))*EXP(-(((Inputs!$C$6)-Inputs!$C$30)^2)/(2*Inputs!$C$32^2))+-Inputs!$C$33*EXP(-((((((Inputs!$I$6+(((A66)+1)/2)*(Inputs!$J$6-Inputs!$I$6)))-Inputs!$C$34)^2)+(((Inputs!$C$6)-Inputs!$C$35)^2))/(2*Inputs!$C$36^2)))+Inputs!$C$37*(0.55*SIN(2*PI()*((Inputs!$I$6+(((A66)+1)/2)*(Inputs!$J$6-Inputs!$I$6)))/Inputs!$C$39)+0.35*COS(2*PI()*(Inputs!$C$6)/Inputs!$C$40)+0.2*SIN(2*PI()*(((Inputs!$I$6+(((A66)+1)/2)*(Inputs!$J$6-Inputs!$I$6)))+(Inputs!$C$6))/(0.5*(Inputs!$C$39+Inputs!$C$40))))+Inputs!$C$38*SIN(2*PI()*((Inputs!$I$6+(((A66)+1)/2)*(Inputs!$J$6-Inputs!$I$6)))/Inputs!$C$39)*SIN(2*PI()*(Inputs!$C$6)/Inputs!$C$40)+-Inputs!$C$41*EXP(-(((Inputs!$C$6)-Inputs!$C$43)^2)/(2*Inputs!$C$44^2))*EXP(-((((Inputs!$I$6+(((A66)+1)/2)*(Inputs!$J$6-Inputs!$I$6)))-Inputs!$C$42)^2)/(2*Inputs!$C$45^2))+Inputs!$C$48*(0.7*(0.45*SIN(2*PI()*((((Inputs!$I$6+(((A66)+1)/2)*(Inputs!$J$6-Inputs!$I$6)))/Inputs!$C$49)+Inputs!$C$47*0.137))+0.35*COS(2*PI()*(((Inputs!$C$6)/Inputs!$C$50)+Inputs!$C$47*0.173))+0.2*SIN(2*PI()*((((Inputs!$I$6+(((A66)+1)/2)*(Inputs!$J$6-Inputs!$I$6)))+(Inputs!$C$6))/(0.5*(Inputs!$C$49+Inputs!$C$50))+Inputs!$C$47*0.097)))+0.3*(2*((SIN((((Inputs!$I$6+(((A66)+1)/2)*(Inputs!$J$6-Inputs!$I$6)))*12.9898+(Inputs!$C$6)*78.233+Inputs!$C$47*37.719))*43758.5453)-INT((SIN((((Inputs!$I$6+(((A66)+1)/2)*(Inputs!$J$6-Inputs!$I$6)))*12.9898+(Inputs!$C$6)*78.233+Inputs!$C$47*37.719))*43758.5453)))-1))),NA())</f>
        <v/>
      </c>
      <c r="AT66" s="9">
        <f>IF(OR(Inputs!$F$7=TRUE,Inputs!$F$7="TRUE",Inputs!$F$7=1),IF(OR(Inputs!$C$27=TRUE,Inputs!$C$27="TRUE",Inputs!$C$27=1),1,0)*(Inputs!$C$51*(115*EXP(-(((Inputs!$C$6)-25)^2)/(4.5^2))+70*EXP(-(((Inputs!$C$6)+38)^2)/(7^2))*(0.55+0.45*SIN(2*PI()*((Inputs!$I$7+(((A66)+1)/2)*(Inputs!$J$7-Inputs!$I$7)))/45))+24*SIN(2*PI()*(Inputs!$C$6)/9+((Inputs!$I$7+(((A66)+1)/2)*(Inputs!$J$7-Inputs!$I$7)))/18)*EXP(-(((Inputs!$C$6)+5)^2)/(22^2))+18*SIN(2*PI()*((Inputs!$I$7+(((A66)+1)/2)*(Inputs!$J$7-Inputs!$I$7)))/70))+Inputs!$C$28*EXP(-((((Inputs!$I$7+(((A66)+1)/2)*(Inputs!$J$7-Inputs!$I$7)))-Inputs!$C$29)^2)/(2*Inputs!$C$31^2))*EXP(-(((Inputs!$C$6)-Inputs!$C$30)^2)/(2*Inputs!$C$32^2))+-Inputs!$C$33*EXP(-((((((Inputs!$I$7+(((A66)+1)/2)*(Inputs!$J$7-Inputs!$I$7)))-Inputs!$C$34)^2)+(((Inputs!$C$6)-Inputs!$C$35)^2))/(2*Inputs!$C$36^2)))+Inputs!$C$37*(0.55*SIN(2*PI()*((Inputs!$I$7+(((A66)+1)/2)*(Inputs!$J$7-Inputs!$I$7)))/Inputs!$C$39)+0.35*COS(2*PI()*(Inputs!$C$6)/Inputs!$C$40)+0.2*SIN(2*PI()*(((Inputs!$I$7+(((A66)+1)/2)*(Inputs!$J$7-Inputs!$I$7)))+(Inputs!$C$6))/(0.5*(Inputs!$C$39+Inputs!$C$40))))+Inputs!$C$38*SIN(2*PI()*((Inputs!$I$7+(((A66)+1)/2)*(Inputs!$J$7-Inputs!$I$7)))/Inputs!$C$39)*SIN(2*PI()*(Inputs!$C$6)/Inputs!$C$40)+-Inputs!$C$41*EXP(-(((Inputs!$C$6)-Inputs!$C$43)^2)/(2*Inputs!$C$44^2))*EXP(-((((Inputs!$I$7+(((A66)+1)/2)*(Inputs!$J$7-Inputs!$I$7)))-Inputs!$C$42)^2)/(2*Inputs!$C$45^2))+Inputs!$C$48*(0.7*(0.45*SIN(2*PI()*((((Inputs!$I$7+(((A66)+1)/2)*(Inputs!$J$7-Inputs!$I$7)))/Inputs!$C$49)+Inputs!$C$47*0.137))+0.35*COS(2*PI()*(((Inputs!$C$6)/Inputs!$C$50)+Inputs!$C$47*0.173))+0.2*SIN(2*PI()*((((Inputs!$I$7+(((A66)+1)/2)*(Inputs!$J$7-Inputs!$I$7)))+(Inputs!$C$6))/(0.5*(Inputs!$C$49+Inputs!$C$50))+Inputs!$C$47*0.097)))+0.3*(2*((SIN((((Inputs!$I$7+(((A66)+1)/2)*(Inputs!$J$7-Inputs!$I$7)))*12.9898+(Inputs!$C$6)*78.233+Inputs!$C$47*37.719))*43758.5453)-INT((SIN((((Inputs!$I$7+(((A66)+1)/2)*(Inputs!$J$7-Inputs!$I$7)))*12.9898+(Inputs!$C$6)*78.233+Inputs!$C$47*37.719))*43758.5453)))-1))),NA())</f>
        <v/>
      </c>
      <c r="AU66" s="9">
        <f>IF(OR(Inputs!$F$8=TRUE,Inputs!$F$8="TRUE",Inputs!$F$8=1),IF(OR(Inputs!$C$27=TRUE,Inputs!$C$27="TRUE",Inputs!$C$27=1),1,0)*(Inputs!$C$51*(115*EXP(-(((Inputs!$C$6)-25)^2)/(4.5^2))+70*EXP(-(((Inputs!$C$6)+38)^2)/(7^2))*(0.55+0.45*SIN(2*PI()*((Inputs!$I$8+(((A66)+1)/2)*(Inputs!$J$8-Inputs!$I$8)))/45))+24*SIN(2*PI()*(Inputs!$C$6)/9+((Inputs!$I$8+(((A66)+1)/2)*(Inputs!$J$8-Inputs!$I$8)))/18)*EXP(-(((Inputs!$C$6)+5)^2)/(22^2))+18*SIN(2*PI()*((Inputs!$I$8+(((A66)+1)/2)*(Inputs!$J$8-Inputs!$I$8)))/70))+Inputs!$C$28*EXP(-((((Inputs!$I$8+(((A66)+1)/2)*(Inputs!$J$8-Inputs!$I$8)))-Inputs!$C$29)^2)/(2*Inputs!$C$31^2))*EXP(-(((Inputs!$C$6)-Inputs!$C$30)^2)/(2*Inputs!$C$32^2))+-Inputs!$C$33*EXP(-((((((Inputs!$I$8+(((A66)+1)/2)*(Inputs!$J$8-Inputs!$I$8)))-Inputs!$C$34)^2)+(((Inputs!$C$6)-Inputs!$C$35)^2))/(2*Inputs!$C$36^2)))+Inputs!$C$37*(0.55*SIN(2*PI()*((Inputs!$I$8+(((A66)+1)/2)*(Inputs!$J$8-Inputs!$I$8)))/Inputs!$C$39)+0.35*COS(2*PI()*(Inputs!$C$6)/Inputs!$C$40)+0.2*SIN(2*PI()*(((Inputs!$I$8+(((A66)+1)/2)*(Inputs!$J$8-Inputs!$I$8)))+(Inputs!$C$6))/(0.5*(Inputs!$C$39+Inputs!$C$40))))+Inputs!$C$38*SIN(2*PI()*((Inputs!$I$8+(((A66)+1)/2)*(Inputs!$J$8-Inputs!$I$8)))/Inputs!$C$39)*SIN(2*PI()*(Inputs!$C$6)/Inputs!$C$40)+-Inputs!$C$41*EXP(-(((Inputs!$C$6)-Inputs!$C$43)^2)/(2*Inputs!$C$44^2))*EXP(-((((Inputs!$I$8+(((A66)+1)/2)*(Inputs!$J$8-Inputs!$I$8)))-Inputs!$C$42)^2)/(2*Inputs!$C$45^2))+Inputs!$C$48*(0.7*(0.45*SIN(2*PI()*((((Inputs!$I$8+(((A66)+1)/2)*(Inputs!$J$8-Inputs!$I$8)))/Inputs!$C$49)+Inputs!$C$47*0.137))+0.35*COS(2*PI()*(((Inputs!$C$6)/Inputs!$C$50)+Inputs!$C$47*0.173))+0.2*SIN(2*PI()*((((Inputs!$I$8+(((A66)+1)/2)*(Inputs!$J$8-Inputs!$I$8)))+(Inputs!$C$6))/(0.5*(Inputs!$C$49+Inputs!$C$50))+Inputs!$C$47*0.097)))+0.3*(2*((SIN((((Inputs!$I$8+(((A66)+1)/2)*(Inputs!$J$8-Inputs!$I$8)))*12.9898+(Inputs!$C$6)*78.233+Inputs!$C$47*37.719))*43758.5453)-INT((SIN((((Inputs!$I$8+(((A66)+1)/2)*(Inputs!$J$8-Inputs!$I$8)))*12.9898+(Inputs!$C$6)*78.233+Inputs!$C$47*37.719))*43758.5453)))-1))),NA())</f>
        <v/>
      </c>
      <c r="AV66" s="9">
        <f>IF(OR(Inputs!$F$9=TRUE,Inputs!$F$9="TRUE",Inputs!$F$9=1),IF(OR(Inputs!$C$27=TRUE,Inputs!$C$27="TRUE",Inputs!$C$27=1),1,0)*(Inputs!$C$51*(115*EXP(-(((Inputs!$C$6)-25)^2)/(4.5^2))+70*EXP(-(((Inputs!$C$6)+38)^2)/(7^2))*(0.55+0.45*SIN(2*PI()*((Inputs!$I$9+(((A66)+1)/2)*(Inputs!$J$9-Inputs!$I$9)))/45))+24*SIN(2*PI()*(Inputs!$C$6)/9+((Inputs!$I$9+(((A66)+1)/2)*(Inputs!$J$9-Inputs!$I$9)))/18)*EXP(-(((Inputs!$C$6)+5)^2)/(22^2))+18*SIN(2*PI()*((Inputs!$I$9+(((A66)+1)/2)*(Inputs!$J$9-Inputs!$I$9)))/70))+Inputs!$C$28*EXP(-((((Inputs!$I$9+(((A66)+1)/2)*(Inputs!$J$9-Inputs!$I$9)))-Inputs!$C$29)^2)/(2*Inputs!$C$31^2))*EXP(-(((Inputs!$C$6)-Inputs!$C$30)^2)/(2*Inputs!$C$32^2))+-Inputs!$C$33*EXP(-((((((Inputs!$I$9+(((A66)+1)/2)*(Inputs!$J$9-Inputs!$I$9)))-Inputs!$C$34)^2)+(((Inputs!$C$6)-Inputs!$C$35)^2))/(2*Inputs!$C$36^2)))+Inputs!$C$37*(0.55*SIN(2*PI()*((Inputs!$I$9+(((A66)+1)/2)*(Inputs!$J$9-Inputs!$I$9)))/Inputs!$C$39)+0.35*COS(2*PI()*(Inputs!$C$6)/Inputs!$C$40)+0.2*SIN(2*PI()*(((Inputs!$I$9+(((A66)+1)/2)*(Inputs!$J$9-Inputs!$I$9)))+(Inputs!$C$6))/(0.5*(Inputs!$C$39+Inputs!$C$40))))+Inputs!$C$38*SIN(2*PI()*((Inputs!$I$9+(((A66)+1)/2)*(Inputs!$J$9-Inputs!$I$9)))/Inputs!$C$39)*SIN(2*PI()*(Inputs!$C$6)/Inputs!$C$40)+-Inputs!$C$41*EXP(-(((Inputs!$C$6)-Inputs!$C$43)^2)/(2*Inputs!$C$44^2))*EXP(-((((Inputs!$I$9+(((A66)+1)/2)*(Inputs!$J$9-Inputs!$I$9)))-Inputs!$C$42)^2)/(2*Inputs!$C$45^2))+Inputs!$C$48*(0.7*(0.45*SIN(2*PI()*((((Inputs!$I$9+(((A66)+1)/2)*(Inputs!$J$9-Inputs!$I$9)))/Inputs!$C$49)+Inputs!$C$47*0.137))+0.35*COS(2*PI()*(((Inputs!$C$6)/Inputs!$C$50)+Inputs!$C$47*0.173))+0.2*SIN(2*PI()*((((Inputs!$I$9+(((A66)+1)/2)*(Inputs!$J$9-Inputs!$I$9)))+(Inputs!$C$6))/(0.5*(Inputs!$C$49+Inputs!$C$50))+Inputs!$C$47*0.097)))+0.3*(2*((SIN((((Inputs!$I$9+(((A66)+1)/2)*(Inputs!$J$9-Inputs!$I$9)))*12.9898+(Inputs!$C$6)*78.233+Inputs!$C$47*37.719))*43758.5453)-INT((SIN((((Inputs!$I$9+(((A66)+1)/2)*(Inputs!$J$9-Inputs!$I$9)))*12.9898+(Inputs!$C$6)*78.233+Inputs!$C$47*37.719))*43758.5453)))-1))),NA())</f>
        <v/>
      </c>
      <c r="AW66" s="10" t="n"/>
      <c r="AX66" s="9">
        <f>A66</f>
        <v/>
      </c>
      <c r="AY66" s="9">
        <f>0</f>
        <v/>
      </c>
      <c r="AZ66" s="9">
        <f>IF(OR(Inputs!$F$6=TRUE,Inputs!$F$6="TRUE",Inputs!$F$6=1),(Inputs!$H$6+Inputs!$L$6*(((Inputs!$I$6+(((A66)+1)/2)*(Inputs!$J$6-Inputs!$I$6)))/Inputs!$K$6)^2),NA())</f>
        <v/>
      </c>
      <c r="BA66" s="9">
        <f>IF(OR(Inputs!$F$7=TRUE,Inputs!$F$7="TRUE",Inputs!$F$7=1),(Inputs!$H$7+Inputs!$L$7*(((Inputs!$I$7+(((A66)+1)/2)*(Inputs!$J$7-Inputs!$I$7)))/Inputs!$K$7)^2),NA())</f>
        <v/>
      </c>
      <c r="BB66" s="9">
        <f>IF(OR(Inputs!$F$8=TRUE,Inputs!$F$8="TRUE",Inputs!$F$8=1),(Inputs!$H$8+Inputs!$L$8*(((Inputs!$I$8+(((A66)+1)/2)*(Inputs!$J$8-Inputs!$I$8)))/Inputs!$K$8)^2),NA())</f>
        <v/>
      </c>
      <c r="BC66" s="9">
        <f>IF(OR(Inputs!$F$9=TRUE,Inputs!$F$9="TRUE",Inputs!$F$9=1),(Inputs!$H$9+Inputs!$L$9*(((Inputs!$I$9+(((A66)+1)/2)*(Inputs!$J$9-Inputs!$I$9)))/Inputs!$K$9)^2),NA())</f>
        <v/>
      </c>
      <c r="BD66" s="10" t="n"/>
      <c r="BE66" s="9">
        <f>A66</f>
        <v/>
      </c>
      <c r="BF66" s="9">
        <f>0</f>
        <v/>
      </c>
      <c r="BG66" s="9">
        <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f>
        <v/>
      </c>
      <c r="BH66" s="9">
        <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f>
        <v/>
      </c>
      <c r="BI66" s="9">
        <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f>
        <v/>
      </c>
      <c r="BJ66" s="9">
        <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f>
        <v/>
      </c>
    </row>
    <row r="67">
      <c r="A67" s="9">
        <f>ROUND(-1+65*2/240,3)</f>
        <v/>
      </c>
      <c r="B67" s="9">
        <f>IF(OR(Inputs!$F$6=TRUE,Inputs!$F$6="TRUE",Inputs!$F$6=1),(Inputs!$H$6+Inputs!$L$6*(((Inputs!$I$6+(((A67)+1)/2)*(Inputs!$J$6-Inputs!$I$6)))/Inputs!$K$6)^2),NA())</f>
        <v/>
      </c>
      <c r="C67" s="9">
        <f>IF(OR(Inputs!$F$7=TRUE,Inputs!$F$7="TRUE",Inputs!$F$7=1),(Inputs!$H$7+Inputs!$L$7*(((Inputs!$I$7+(((A67)+1)/2)*(Inputs!$J$7-Inputs!$I$7)))/Inputs!$K$7)^2),NA())</f>
        <v/>
      </c>
      <c r="D67" s="9">
        <f>IF(OR(Inputs!$F$8=TRUE,Inputs!$F$8="TRUE",Inputs!$F$8=1),(Inputs!$H$8+Inputs!$L$8*(((Inputs!$I$8+(((A67)+1)/2)*(Inputs!$J$8-Inputs!$I$8)))/Inputs!$K$8)^2),NA())</f>
        <v/>
      </c>
      <c r="E67" s="9">
        <f>IF(OR(Inputs!$F$9=TRUE,Inputs!$F$9="TRUE",Inputs!$F$9=1),(Inputs!$H$9+Inputs!$L$9*(((Inputs!$I$9+(((A67)+1)/2)*(Inputs!$J$9-Inputs!$I$9)))/Inputs!$K$9)^2),NA())</f>
        <v/>
      </c>
      <c r="F67" s="10" t="n"/>
      <c r="G67" s="9">
        <f>A67</f>
        <v/>
      </c>
      <c r="H67" s="9">
        <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f>
        <v/>
      </c>
      <c r="I67" s="9">
        <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f>
        <v/>
      </c>
      <c r="J67" s="9">
        <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f>
        <v/>
      </c>
      <c r="K67" s="9">
        <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f>
        <v/>
      </c>
      <c r="L67" s="10" t="n"/>
      <c r="M67" s="9">
        <f>A67</f>
        <v/>
      </c>
      <c r="N67" s="9">
        <f>IF(OR(Inputs!$F$6=TRUE,Inputs!$F$6="TRUE",Inputs!$F$6=1),(-2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NA())</f>
        <v/>
      </c>
      <c r="O67" s="9">
        <f>IF(OR(Inputs!$F$7=TRUE,Inputs!$F$7="TRUE",Inputs!$F$7=1),(-2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NA())</f>
        <v/>
      </c>
      <c r="P67" s="9">
        <f>IF(OR(Inputs!$F$8=TRUE,Inputs!$F$8="TRUE",Inputs!$F$8=1),(-2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NA())</f>
        <v/>
      </c>
      <c r="Q67" s="9">
        <f>IF(OR(Inputs!$F$9=TRUE,Inputs!$F$9="TRUE",Inputs!$F$9=1),(-2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NA())</f>
        <v/>
      </c>
      <c r="R67" s="10" t="n"/>
      <c r="S67" s="9">
        <f>A67</f>
        <v/>
      </c>
      <c r="T67" s="9">
        <f>(Inputs!$I$6+(((A67)+1)/2)*(Inputs!$J$6-Inputs!$I$6))</f>
        <v/>
      </c>
      <c r="U67" s="9">
        <f>(Inputs!$I$7+(((A67)+1)/2)*(Inputs!$J$7-Inputs!$I$7))</f>
        <v/>
      </c>
      <c r="V67" s="9">
        <f>(Inputs!$I$8+(((A67)+1)/2)*(Inputs!$J$8-Inputs!$I$8))</f>
        <v/>
      </c>
      <c r="W67" s="9">
        <f>(Inputs!$I$9+(((A67)+1)/2)*(Inputs!$J$9-Inputs!$I$9))</f>
        <v/>
      </c>
      <c r="X67" s="10" t="n"/>
      <c r="Y67" s="9">
        <f>A67</f>
        <v/>
      </c>
      <c r="Z67" s="9">
        <f>(Inputs!$H$6+Inputs!$L$6*(((Inputs!$I$6+(((A67)+1)/2)*(Inputs!$J$6-Inputs!$I$6)))/Inputs!$K$6)^2)</f>
        <v/>
      </c>
      <c r="AA67" s="9">
        <f>(Inputs!$H$7+Inputs!$L$7*(((Inputs!$I$7+(((A67)+1)/2)*(Inputs!$J$7-Inputs!$I$7)))/Inputs!$K$7)^2)</f>
        <v/>
      </c>
      <c r="AB67" s="9">
        <f>(Inputs!$H$8+Inputs!$L$8*(((Inputs!$I$8+(((A67)+1)/2)*(Inputs!$J$8-Inputs!$I$8)))/Inputs!$K$8)^2)</f>
        <v/>
      </c>
      <c r="AC67" s="9">
        <f>(Inputs!$H$9+Inputs!$L$9*(((Inputs!$I$9+(((A67)+1)/2)*(Inputs!$J$9-Inputs!$I$9)))/Inputs!$K$9)^2)</f>
        <v/>
      </c>
      <c r="AD67" s="10" t="n"/>
      <c r="AE67" s="9">
        <f>A67</f>
        <v/>
      </c>
      <c r="AF67" s="9">
        <f>(((SQRT((Inputs!$C$52+((Inputs!$H$6+Inputs!$L$6*(((Inputs!$I$6+(((A67)+1)/2)*(Inputs!$J$6-Inputs!$I$6)))/Inputs!$K$6)^2)))^2+Inputs!$C$52^2-2*(Inputs!$C$52+((Inputs!$H$6+Inputs!$L$6*(((Inputs!$I$6+(((A67)+1)/2)*(Inputs!$J$6-Inputs!$I$6)))/Inputs!$K$6)^2)))*Inputs!$C$52*COS(SQRT(((Inputs!$I$6+(((A67)+1)/2)*(Inputs!$J$6-Inputs!$I$6)))^2+Inputs!$C$6^2)/Inputs!$C$52)))-((Inputs!$H$6+Inputs!$L$6*(((Inputs!$I$6+(((A67)+1)/2)*(Inputs!$J$6-Inputs!$I$6)))/Inputs!$K$6)^2)))*1000/Inputs!$C$12)</f>
        <v/>
      </c>
      <c r="AG67" s="9">
        <f>(((SQRT((Inputs!$C$52+((Inputs!$H$7+Inputs!$L$7*(((Inputs!$I$7+(((A67)+1)/2)*(Inputs!$J$7-Inputs!$I$7)))/Inputs!$K$7)^2)))^2+Inputs!$C$52^2-2*(Inputs!$C$52+((Inputs!$H$7+Inputs!$L$7*(((Inputs!$I$7+(((A67)+1)/2)*(Inputs!$J$7-Inputs!$I$7)))/Inputs!$K$7)^2)))*Inputs!$C$52*COS(SQRT(((Inputs!$I$7+(((A67)+1)/2)*(Inputs!$J$7-Inputs!$I$7)))^2+Inputs!$C$6^2)/Inputs!$C$52)))-((Inputs!$H$7+Inputs!$L$7*(((Inputs!$I$7+(((A67)+1)/2)*(Inputs!$J$7-Inputs!$I$7)))/Inputs!$K$7)^2)))*1000/Inputs!$C$12)</f>
        <v/>
      </c>
      <c r="AH67" s="9">
        <f>(((SQRT((Inputs!$C$52+((Inputs!$H$8+Inputs!$L$8*(((Inputs!$I$8+(((A67)+1)/2)*(Inputs!$J$8-Inputs!$I$8)))/Inputs!$K$8)^2)))^2+Inputs!$C$52^2-2*(Inputs!$C$52+((Inputs!$H$8+Inputs!$L$8*(((Inputs!$I$8+(((A67)+1)/2)*(Inputs!$J$8-Inputs!$I$8)))/Inputs!$K$8)^2)))*Inputs!$C$52*COS(SQRT(((Inputs!$I$8+(((A67)+1)/2)*(Inputs!$J$8-Inputs!$I$8)))^2+Inputs!$C$6^2)/Inputs!$C$52)))-((Inputs!$H$8+Inputs!$L$8*(((Inputs!$I$8+(((A67)+1)/2)*(Inputs!$J$8-Inputs!$I$8)))/Inputs!$K$8)^2)))*1000/Inputs!$C$12)</f>
        <v/>
      </c>
      <c r="AI67" s="9">
        <f>(((SQRT((Inputs!$C$52+((Inputs!$H$9+Inputs!$L$9*(((Inputs!$I$9+(((A67)+1)/2)*(Inputs!$J$9-Inputs!$I$9)))/Inputs!$K$9)^2)))^2+Inputs!$C$52^2-2*(Inputs!$C$52+((Inputs!$H$9+Inputs!$L$9*(((Inputs!$I$9+(((A67)+1)/2)*(Inputs!$J$9-Inputs!$I$9)))/Inputs!$K$9)^2)))*Inputs!$C$52*COS(SQRT(((Inputs!$I$9+(((A67)+1)/2)*(Inputs!$J$9-Inputs!$I$9)))^2+Inputs!$C$6^2)/Inputs!$C$52)))-((Inputs!$H$9+Inputs!$L$9*(((Inputs!$I$9+(((A67)+1)/2)*(Inputs!$J$9-Inputs!$I$9)))/Inputs!$K$9)^2)))*1000/Inputs!$C$12)</f>
        <v/>
      </c>
      <c r="AJ67" s="10" t="n"/>
      <c r="AK67" s="9">
        <f>A67</f>
        <v/>
      </c>
      <c r="AL67" s="9">
        <f>(-2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f>
        <v/>
      </c>
      <c r="AM67" s="9">
        <f>(-2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f>
        <v/>
      </c>
      <c r="AN67" s="9">
        <f>(-2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f>
        <v/>
      </c>
      <c r="AO67" s="9">
        <f>(-2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f>
        <v/>
      </c>
      <c r="AP67" s="10" t="n"/>
      <c r="AQ67" s="9">
        <f>A67</f>
        <v/>
      </c>
      <c r="AR67" s="9">
        <f>0</f>
        <v/>
      </c>
      <c r="AS67" s="9">
        <f>IF(OR(Inputs!$F$6=TRUE,Inputs!$F$6="TRUE",Inputs!$F$6=1),IF(OR(Inputs!$C$27=TRUE,Inputs!$C$27="TRUE",Inputs!$C$27=1),1,0)*(Inputs!$C$51*(115*EXP(-(((Inputs!$C$6)-25)^2)/(4.5^2))+70*EXP(-(((Inputs!$C$6)+38)^2)/(7^2))*(0.55+0.45*SIN(2*PI()*((Inputs!$I$6+(((A67)+1)/2)*(Inputs!$J$6-Inputs!$I$6)))/45))+24*SIN(2*PI()*(Inputs!$C$6)/9+((Inputs!$I$6+(((A67)+1)/2)*(Inputs!$J$6-Inputs!$I$6)))/18)*EXP(-(((Inputs!$C$6)+5)^2)/(22^2))+18*SIN(2*PI()*((Inputs!$I$6+(((A67)+1)/2)*(Inputs!$J$6-Inputs!$I$6)))/70))+Inputs!$C$28*EXP(-((((Inputs!$I$6+(((A67)+1)/2)*(Inputs!$J$6-Inputs!$I$6)))-Inputs!$C$29)^2)/(2*Inputs!$C$31^2))*EXP(-(((Inputs!$C$6)-Inputs!$C$30)^2)/(2*Inputs!$C$32^2))+-Inputs!$C$33*EXP(-((((((Inputs!$I$6+(((A67)+1)/2)*(Inputs!$J$6-Inputs!$I$6)))-Inputs!$C$34)^2)+(((Inputs!$C$6)-Inputs!$C$35)^2))/(2*Inputs!$C$36^2)))+Inputs!$C$37*(0.55*SIN(2*PI()*((Inputs!$I$6+(((A67)+1)/2)*(Inputs!$J$6-Inputs!$I$6)))/Inputs!$C$39)+0.35*COS(2*PI()*(Inputs!$C$6)/Inputs!$C$40)+0.2*SIN(2*PI()*(((Inputs!$I$6+(((A67)+1)/2)*(Inputs!$J$6-Inputs!$I$6)))+(Inputs!$C$6))/(0.5*(Inputs!$C$39+Inputs!$C$40))))+Inputs!$C$38*SIN(2*PI()*((Inputs!$I$6+(((A67)+1)/2)*(Inputs!$J$6-Inputs!$I$6)))/Inputs!$C$39)*SIN(2*PI()*(Inputs!$C$6)/Inputs!$C$40)+-Inputs!$C$41*EXP(-(((Inputs!$C$6)-Inputs!$C$43)^2)/(2*Inputs!$C$44^2))*EXP(-((((Inputs!$I$6+(((A67)+1)/2)*(Inputs!$J$6-Inputs!$I$6)))-Inputs!$C$42)^2)/(2*Inputs!$C$45^2))+Inputs!$C$48*(0.7*(0.45*SIN(2*PI()*((((Inputs!$I$6+(((A67)+1)/2)*(Inputs!$J$6-Inputs!$I$6)))/Inputs!$C$49)+Inputs!$C$47*0.137))+0.35*COS(2*PI()*(((Inputs!$C$6)/Inputs!$C$50)+Inputs!$C$47*0.173))+0.2*SIN(2*PI()*((((Inputs!$I$6+(((A67)+1)/2)*(Inputs!$J$6-Inputs!$I$6)))+(Inputs!$C$6))/(0.5*(Inputs!$C$49+Inputs!$C$50))+Inputs!$C$47*0.097)))+0.3*(2*((SIN((((Inputs!$I$6+(((A67)+1)/2)*(Inputs!$J$6-Inputs!$I$6)))*12.9898+(Inputs!$C$6)*78.233+Inputs!$C$47*37.719))*43758.5453)-INT((SIN((((Inputs!$I$6+(((A67)+1)/2)*(Inputs!$J$6-Inputs!$I$6)))*12.9898+(Inputs!$C$6)*78.233+Inputs!$C$47*37.719))*43758.5453)))-1))),NA())</f>
        <v/>
      </c>
      <c r="AT67" s="9">
        <f>IF(OR(Inputs!$F$7=TRUE,Inputs!$F$7="TRUE",Inputs!$F$7=1),IF(OR(Inputs!$C$27=TRUE,Inputs!$C$27="TRUE",Inputs!$C$27=1),1,0)*(Inputs!$C$51*(115*EXP(-(((Inputs!$C$6)-25)^2)/(4.5^2))+70*EXP(-(((Inputs!$C$6)+38)^2)/(7^2))*(0.55+0.45*SIN(2*PI()*((Inputs!$I$7+(((A67)+1)/2)*(Inputs!$J$7-Inputs!$I$7)))/45))+24*SIN(2*PI()*(Inputs!$C$6)/9+((Inputs!$I$7+(((A67)+1)/2)*(Inputs!$J$7-Inputs!$I$7)))/18)*EXP(-(((Inputs!$C$6)+5)^2)/(22^2))+18*SIN(2*PI()*((Inputs!$I$7+(((A67)+1)/2)*(Inputs!$J$7-Inputs!$I$7)))/70))+Inputs!$C$28*EXP(-((((Inputs!$I$7+(((A67)+1)/2)*(Inputs!$J$7-Inputs!$I$7)))-Inputs!$C$29)^2)/(2*Inputs!$C$31^2))*EXP(-(((Inputs!$C$6)-Inputs!$C$30)^2)/(2*Inputs!$C$32^2))+-Inputs!$C$33*EXP(-((((((Inputs!$I$7+(((A67)+1)/2)*(Inputs!$J$7-Inputs!$I$7)))-Inputs!$C$34)^2)+(((Inputs!$C$6)-Inputs!$C$35)^2))/(2*Inputs!$C$36^2)))+Inputs!$C$37*(0.55*SIN(2*PI()*((Inputs!$I$7+(((A67)+1)/2)*(Inputs!$J$7-Inputs!$I$7)))/Inputs!$C$39)+0.35*COS(2*PI()*(Inputs!$C$6)/Inputs!$C$40)+0.2*SIN(2*PI()*(((Inputs!$I$7+(((A67)+1)/2)*(Inputs!$J$7-Inputs!$I$7)))+(Inputs!$C$6))/(0.5*(Inputs!$C$39+Inputs!$C$40))))+Inputs!$C$38*SIN(2*PI()*((Inputs!$I$7+(((A67)+1)/2)*(Inputs!$J$7-Inputs!$I$7)))/Inputs!$C$39)*SIN(2*PI()*(Inputs!$C$6)/Inputs!$C$40)+-Inputs!$C$41*EXP(-(((Inputs!$C$6)-Inputs!$C$43)^2)/(2*Inputs!$C$44^2))*EXP(-((((Inputs!$I$7+(((A67)+1)/2)*(Inputs!$J$7-Inputs!$I$7)))-Inputs!$C$42)^2)/(2*Inputs!$C$45^2))+Inputs!$C$48*(0.7*(0.45*SIN(2*PI()*((((Inputs!$I$7+(((A67)+1)/2)*(Inputs!$J$7-Inputs!$I$7)))/Inputs!$C$49)+Inputs!$C$47*0.137))+0.35*COS(2*PI()*(((Inputs!$C$6)/Inputs!$C$50)+Inputs!$C$47*0.173))+0.2*SIN(2*PI()*((((Inputs!$I$7+(((A67)+1)/2)*(Inputs!$J$7-Inputs!$I$7)))+(Inputs!$C$6))/(0.5*(Inputs!$C$49+Inputs!$C$50))+Inputs!$C$47*0.097)))+0.3*(2*((SIN((((Inputs!$I$7+(((A67)+1)/2)*(Inputs!$J$7-Inputs!$I$7)))*12.9898+(Inputs!$C$6)*78.233+Inputs!$C$47*37.719))*43758.5453)-INT((SIN((((Inputs!$I$7+(((A67)+1)/2)*(Inputs!$J$7-Inputs!$I$7)))*12.9898+(Inputs!$C$6)*78.233+Inputs!$C$47*37.719))*43758.5453)))-1))),NA())</f>
        <v/>
      </c>
      <c r="AU67" s="9">
        <f>IF(OR(Inputs!$F$8=TRUE,Inputs!$F$8="TRUE",Inputs!$F$8=1),IF(OR(Inputs!$C$27=TRUE,Inputs!$C$27="TRUE",Inputs!$C$27=1),1,0)*(Inputs!$C$51*(115*EXP(-(((Inputs!$C$6)-25)^2)/(4.5^2))+70*EXP(-(((Inputs!$C$6)+38)^2)/(7^2))*(0.55+0.45*SIN(2*PI()*((Inputs!$I$8+(((A67)+1)/2)*(Inputs!$J$8-Inputs!$I$8)))/45))+24*SIN(2*PI()*(Inputs!$C$6)/9+((Inputs!$I$8+(((A67)+1)/2)*(Inputs!$J$8-Inputs!$I$8)))/18)*EXP(-(((Inputs!$C$6)+5)^2)/(22^2))+18*SIN(2*PI()*((Inputs!$I$8+(((A67)+1)/2)*(Inputs!$J$8-Inputs!$I$8)))/70))+Inputs!$C$28*EXP(-((((Inputs!$I$8+(((A67)+1)/2)*(Inputs!$J$8-Inputs!$I$8)))-Inputs!$C$29)^2)/(2*Inputs!$C$31^2))*EXP(-(((Inputs!$C$6)-Inputs!$C$30)^2)/(2*Inputs!$C$32^2))+-Inputs!$C$33*EXP(-((((((Inputs!$I$8+(((A67)+1)/2)*(Inputs!$J$8-Inputs!$I$8)))-Inputs!$C$34)^2)+(((Inputs!$C$6)-Inputs!$C$35)^2))/(2*Inputs!$C$36^2)))+Inputs!$C$37*(0.55*SIN(2*PI()*((Inputs!$I$8+(((A67)+1)/2)*(Inputs!$J$8-Inputs!$I$8)))/Inputs!$C$39)+0.35*COS(2*PI()*(Inputs!$C$6)/Inputs!$C$40)+0.2*SIN(2*PI()*(((Inputs!$I$8+(((A67)+1)/2)*(Inputs!$J$8-Inputs!$I$8)))+(Inputs!$C$6))/(0.5*(Inputs!$C$39+Inputs!$C$40))))+Inputs!$C$38*SIN(2*PI()*((Inputs!$I$8+(((A67)+1)/2)*(Inputs!$J$8-Inputs!$I$8)))/Inputs!$C$39)*SIN(2*PI()*(Inputs!$C$6)/Inputs!$C$40)+-Inputs!$C$41*EXP(-(((Inputs!$C$6)-Inputs!$C$43)^2)/(2*Inputs!$C$44^2))*EXP(-((((Inputs!$I$8+(((A67)+1)/2)*(Inputs!$J$8-Inputs!$I$8)))-Inputs!$C$42)^2)/(2*Inputs!$C$45^2))+Inputs!$C$48*(0.7*(0.45*SIN(2*PI()*((((Inputs!$I$8+(((A67)+1)/2)*(Inputs!$J$8-Inputs!$I$8)))/Inputs!$C$49)+Inputs!$C$47*0.137))+0.35*COS(2*PI()*(((Inputs!$C$6)/Inputs!$C$50)+Inputs!$C$47*0.173))+0.2*SIN(2*PI()*((((Inputs!$I$8+(((A67)+1)/2)*(Inputs!$J$8-Inputs!$I$8)))+(Inputs!$C$6))/(0.5*(Inputs!$C$49+Inputs!$C$50))+Inputs!$C$47*0.097)))+0.3*(2*((SIN((((Inputs!$I$8+(((A67)+1)/2)*(Inputs!$J$8-Inputs!$I$8)))*12.9898+(Inputs!$C$6)*78.233+Inputs!$C$47*37.719))*43758.5453)-INT((SIN((((Inputs!$I$8+(((A67)+1)/2)*(Inputs!$J$8-Inputs!$I$8)))*12.9898+(Inputs!$C$6)*78.233+Inputs!$C$47*37.719))*43758.5453)))-1))),NA())</f>
        <v/>
      </c>
      <c r="AV67" s="9">
        <f>IF(OR(Inputs!$F$9=TRUE,Inputs!$F$9="TRUE",Inputs!$F$9=1),IF(OR(Inputs!$C$27=TRUE,Inputs!$C$27="TRUE",Inputs!$C$27=1),1,0)*(Inputs!$C$51*(115*EXP(-(((Inputs!$C$6)-25)^2)/(4.5^2))+70*EXP(-(((Inputs!$C$6)+38)^2)/(7^2))*(0.55+0.45*SIN(2*PI()*((Inputs!$I$9+(((A67)+1)/2)*(Inputs!$J$9-Inputs!$I$9)))/45))+24*SIN(2*PI()*(Inputs!$C$6)/9+((Inputs!$I$9+(((A67)+1)/2)*(Inputs!$J$9-Inputs!$I$9)))/18)*EXP(-(((Inputs!$C$6)+5)^2)/(22^2))+18*SIN(2*PI()*((Inputs!$I$9+(((A67)+1)/2)*(Inputs!$J$9-Inputs!$I$9)))/70))+Inputs!$C$28*EXP(-((((Inputs!$I$9+(((A67)+1)/2)*(Inputs!$J$9-Inputs!$I$9)))-Inputs!$C$29)^2)/(2*Inputs!$C$31^2))*EXP(-(((Inputs!$C$6)-Inputs!$C$30)^2)/(2*Inputs!$C$32^2))+-Inputs!$C$33*EXP(-((((((Inputs!$I$9+(((A67)+1)/2)*(Inputs!$J$9-Inputs!$I$9)))-Inputs!$C$34)^2)+(((Inputs!$C$6)-Inputs!$C$35)^2))/(2*Inputs!$C$36^2)))+Inputs!$C$37*(0.55*SIN(2*PI()*((Inputs!$I$9+(((A67)+1)/2)*(Inputs!$J$9-Inputs!$I$9)))/Inputs!$C$39)+0.35*COS(2*PI()*(Inputs!$C$6)/Inputs!$C$40)+0.2*SIN(2*PI()*(((Inputs!$I$9+(((A67)+1)/2)*(Inputs!$J$9-Inputs!$I$9)))+(Inputs!$C$6))/(0.5*(Inputs!$C$39+Inputs!$C$40))))+Inputs!$C$38*SIN(2*PI()*((Inputs!$I$9+(((A67)+1)/2)*(Inputs!$J$9-Inputs!$I$9)))/Inputs!$C$39)*SIN(2*PI()*(Inputs!$C$6)/Inputs!$C$40)+-Inputs!$C$41*EXP(-(((Inputs!$C$6)-Inputs!$C$43)^2)/(2*Inputs!$C$44^2))*EXP(-((((Inputs!$I$9+(((A67)+1)/2)*(Inputs!$J$9-Inputs!$I$9)))-Inputs!$C$42)^2)/(2*Inputs!$C$45^2))+Inputs!$C$48*(0.7*(0.45*SIN(2*PI()*((((Inputs!$I$9+(((A67)+1)/2)*(Inputs!$J$9-Inputs!$I$9)))/Inputs!$C$49)+Inputs!$C$47*0.137))+0.35*COS(2*PI()*(((Inputs!$C$6)/Inputs!$C$50)+Inputs!$C$47*0.173))+0.2*SIN(2*PI()*((((Inputs!$I$9+(((A67)+1)/2)*(Inputs!$J$9-Inputs!$I$9)))+(Inputs!$C$6))/(0.5*(Inputs!$C$49+Inputs!$C$50))+Inputs!$C$47*0.097)))+0.3*(2*((SIN((((Inputs!$I$9+(((A67)+1)/2)*(Inputs!$J$9-Inputs!$I$9)))*12.9898+(Inputs!$C$6)*78.233+Inputs!$C$47*37.719))*43758.5453)-INT((SIN((((Inputs!$I$9+(((A67)+1)/2)*(Inputs!$J$9-Inputs!$I$9)))*12.9898+(Inputs!$C$6)*78.233+Inputs!$C$47*37.719))*43758.5453)))-1))),NA())</f>
        <v/>
      </c>
      <c r="AW67" s="10" t="n"/>
      <c r="AX67" s="9">
        <f>A67</f>
        <v/>
      </c>
      <c r="AY67" s="9">
        <f>0</f>
        <v/>
      </c>
      <c r="AZ67" s="9">
        <f>IF(OR(Inputs!$F$6=TRUE,Inputs!$F$6="TRUE",Inputs!$F$6=1),(Inputs!$H$6+Inputs!$L$6*(((Inputs!$I$6+(((A67)+1)/2)*(Inputs!$J$6-Inputs!$I$6)))/Inputs!$K$6)^2),NA())</f>
        <v/>
      </c>
      <c r="BA67" s="9">
        <f>IF(OR(Inputs!$F$7=TRUE,Inputs!$F$7="TRUE",Inputs!$F$7=1),(Inputs!$H$7+Inputs!$L$7*(((Inputs!$I$7+(((A67)+1)/2)*(Inputs!$J$7-Inputs!$I$7)))/Inputs!$K$7)^2),NA())</f>
        <v/>
      </c>
      <c r="BB67" s="9">
        <f>IF(OR(Inputs!$F$8=TRUE,Inputs!$F$8="TRUE",Inputs!$F$8=1),(Inputs!$H$8+Inputs!$L$8*(((Inputs!$I$8+(((A67)+1)/2)*(Inputs!$J$8-Inputs!$I$8)))/Inputs!$K$8)^2),NA())</f>
        <v/>
      </c>
      <c r="BC67" s="9">
        <f>IF(OR(Inputs!$F$9=TRUE,Inputs!$F$9="TRUE",Inputs!$F$9=1),(Inputs!$H$9+Inputs!$L$9*(((Inputs!$I$9+(((A67)+1)/2)*(Inputs!$J$9-Inputs!$I$9)))/Inputs!$K$9)^2),NA())</f>
        <v/>
      </c>
      <c r="BD67" s="10" t="n"/>
      <c r="BE67" s="9">
        <f>A67</f>
        <v/>
      </c>
      <c r="BF67" s="9">
        <f>0</f>
        <v/>
      </c>
      <c r="BG67" s="9">
        <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f>
        <v/>
      </c>
      <c r="BH67" s="9">
        <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f>
        <v/>
      </c>
      <c r="BI67" s="9">
        <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f>
        <v/>
      </c>
      <c r="BJ67" s="9">
        <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f>
        <v/>
      </c>
    </row>
    <row r="68">
      <c r="A68" s="9">
        <f>ROUND(-1+66*2/240,3)</f>
        <v/>
      </c>
      <c r="B68" s="9">
        <f>IF(OR(Inputs!$F$6=TRUE,Inputs!$F$6="TRUE",Inputs!$F$6=1),(Inputs!$H$6+Inputs!$L$6*(((Inputs!$I$6+(((A68)+1)/2)*(Inputs!$J$6-Inputs!$I$6)))/Inputs!$K$6)^2),NA())</f>
        <v/>
      </c>
      <c r="C68" s="9">
        <f>IF(OR(Inputs!$F$7=TRUE,Inputs!$F$7="TRUE",Inputs!$F$7=1),(Inputs!$H$7+Inputs!$L$7*(((Inputs!$I$7+(((A68)+1)/2)*(Inputs!$J$7-Inputs!$I$7)))/Inputs!$K$7)^2),NA())</f>
        <v/>
      </c>
      <c r="D68" s="9">
        <f>IF(OR(Inputs!$F$8=TRUE,Inputs!$F$8="TRUE",Inputs!$F$8=1),(Inputs!$H$8+Inputs!$L$8*(((Inputs!$I$8+(((A68)+1)/2)*(Inputs!$J$8-Inputs!$I$8)))/Inputs!$K$8)^2),NA())</f>
        <v/>
      </c>
      <c r="E68" s="9">
        <f>IF(OR(Inputs!$F$9=TRUE,Inputs!$F$9="TRUE",Inputs!$F$9=1),(Inputs!$H$9+Inputs!$L$9*(((Inputs!$I$9+(((A68)+1)/2)*(Inputs!$J$9-Inputs!$I$9)))/Inputs!$K$9)^2),NA())</f>
        <v/>
      </c>
      <c r="F68" s="10" t="n"/>
      <c r="G68" s="9">
        <f>A68</f>
        <v/>
      </c>
      <c r="H68" s="9">
        <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f>
        <v/>
      </c>
      <c r="I68" s="9">
        <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f>
        <v/>
      </c>
      <c r="J68" s="9">
        <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f>
        <v/>
      </c>
      <c r="K68" s="9">
        <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f>
        <v/>
      </c>
      <c r="L68" s="10" t="n"/>
      <c r="M68" s="9">
        <f>A68</f>
        <v/>
      </c>
      <c r="N68" s="9">
        <f>IF(OR(Inputs!$F$6=TRUE,Inputs!$F$6="TRUE",Inputs!$F$6=1),(-2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NA())</f>
        <v/>
      </c>
      <c r="O68" s="9">
        <f>IF(OR(Inputs!$F$7=TRUE,Inputs!$F$7="TRUE",Inputs!$F$7=1),(-2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NA())</f>
        <v/>
      </c>
      <c r="P68" s="9">
        <f>IF(OR(Inputs!$F$8=TRUE,Inputs!$F$8="TRUE",Inputs!$F$8=1),(-2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NA())</f>
        <v/>
      </c>
      <c r="Q68" s="9">
        <f>IF(OR(Inputs!$F$9=TRUE,Inputs!$F$9="TRUE",Inputs!$F$9=1),(-2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NA())</f>
        <v/>
      </c>
      <c r="R68" s="10" t="n"/>
      <c r="S68" s="9">
        <f>A68</f>
        <v/>
      </c>
      <c r="T68" s="9">
        <f>(Inputs!$I$6+(((A68)+1)/2)*(Inputs!$J$6-Inputs!$I$6))</f>
        <v/>
      </c>
      <c r="U68" s="9">
        <f>(Inputs!$I$7+(((A68)+1)/2)*(Inputs!$J$7-Inputs!$I$7))</f>
        <v/>
      </c>
      <c r="V68" s="9">
        <f>(Inputs!$I$8+(((A68)+1)/2)*(Inputs!$J$8-Inputs!$I$8))</f>
        <v/>
      </c>
      <c r="W68" s="9">
        <f>(Inputs!$I$9+(((A68)+1)/2)*(Inputs!$J$9-Inputs!$I$9))</f>
        <v/>
      </c>
      <c r="X68" s="10" t="n"/>
      <c r="Y68" s="9">
        <f>A68</f>
        <v/>
      </c>
      <c r="Z68" s="9">
        <f>(Inputs!$H$6+Inputs!$L$6*(((Inputs!$I$6+(((A68)+1)/2)*(Inputs!$J$6-Inputs!$I$6)))/Inputs!$K$6)^2)</f>
        <v/>
      </c>
      <c r="AA68" s="9">
        <f>(Inputs!$H$7+Inputs!$L$7*(((Inputs!$I$7+(((A68)+1)/2)*(Inputs!$J$7-Inputs!$I$7)))/Inputs!$K$7)^2)</f>
        <v/>
      </c>
      <c r="AB68" s="9">
        <f>(Inputs!$H$8+Inputs!$L$8*(((Inputs!$I$8+(((A68)+1)/2)*(Inputs!$J$8-Inputs!$I$8)))/Inputs!$K$8)^2)</f>
        <v/>
      </c>
      <c r="AC68" s="9">
        <f>(Inputs!$H$9+Inputs!$L$9*(((Inputs!$I$9+(((A68)+1)/2)*(Inputs!$J$9-Inputs!$I$9)))/Inputs!$K$9)^2)</f>
        <v/>
      </c>
      <c r="AD68" s="10" t="n"/>
      <c r="AE68" s="9">
        <f>A68</f>
        <v/>
      </c>
      <c r="AF68" s="9">
        <f>(((SQRT((Inputs!$C$52+((Inputs!$H$6+Inputs!$L$6*(((Inputs!$I$6+(((A68)+1)/2)*(Inputs!$J$6-Inputs!$I$6)))/Inputs!$K$6)^2)))^2+Inputs!$C$52^2-2*(Inputs!$C$52+((Inputs!$H$6+Inputs!$L$6*(((Inputs!$I$6+(((A68)+1)/2)*(Inputs!$J$6-Inputs!$I$6)))/Inputs!$K$6)^2)))*Inputs!$C$52*COS(SQRT(((Inputs!$I$6+(((A68)+1)/2)*(Inputs!$J$6-Inputs!$I$6)))^2+Inputs!$C$6^2)/Inputs!$C$52)))-((Inputs!$H$6+Inputs!$L$6*(((Inputs!$I$6+(((A68)+1)/2)*(Inputs!$J$6-Inputs!$I$6)))/Inputs!$K$6)^2)))*1000/Inputs!$C$12)</f>
        <v/>
      </c>
      <c r="AG68" s="9">
        <f>(((SQRT((Inputs!$C$52+((Inputs!$H$7+Inputs!$L$7*(((Inputs!$I$7+(((A68)+1)/2)*(Inputs!$J$7-Inputs!$I$7)))/Inputs!$K$7)^2)))^2+Inputs!$C$52^2-2*(Inputs!$C$52+((Inputs!$H$7+Inputs!$L$7*(((Inputs!$I$7+(((A68)+1)/2)*(Inputs!$J$7-Inputs!$I$7)))/Inputs!$K$7)^2)))*Inputs!$C$52*COS(SQRT(((Inputs!$I$7+(((A68)+1)/2)*(Inputs!$J$7-Inputs!$I$7)))^2+Inputs!$C$6^2)/Inputs!$C$52)))-((Inputs!$H$7+Inputs!$L$7*(((Inputs!$I$7+(((A68)+1)/2)*(Inputs!$J$7-Inputs!$I$7)))/Inputs!$K$7)^2)))*1000/Inputs!$C$12)</f>
        <v/>
      </c>
      <c r="AH68" s="9">
        <f>(((SQRT((Inputs!$C$52+((Inputs!$H$8+Inputs!$L$8*(((Inputs!$I$8+(((A68)+1)/2)*(Inputs!$J$8-Inputs!$I$8)))/Inputs!$K$8)^2)))^2+Inputs!$C$52^2-2*(Inputs!$C$52+((Inputs!$H$8+Inputs!$L$8*(((Inputs!$I$8+(((A68)+1)/2)*(Inputs!$J$8-Inputs!$I$8)))/Inputs!$K$8)^2)))*Inputs!$C$52*COS(SQRT(((Inputs!$I$8+(((A68)+1)/2)*(Inputs!$J$8-Inputs!$I$8)))^2+Inputs!$C$6^2)/Inputs!$C$52)))-((Inputs!$H$8+Inputs!$L$8*(((Inputs!$I$8+(((A68)+1)/2)*(Inputs!$J$8-Inputs!$I$8)))/Inputs!$K$8)^2)))*1000/Inputs!$C$12)</f>
        <v/>
      </c>
      <c r="AI68" s="9">
        <f>(((SQRT((Inputs!$C$52+((Inputs!$H$9+Inputs!$L$9*(((Inputs!$I$9+(((A68)+1)/2)*(Inputs!$J$9-Inputs!$I$9)))/Inputs!$K$9)^2)))^2+Inputs!$C$52^2-2*(Inputs!$C$52+((Inputs!$H$9+Inputs!$L$9*(((Inputs!$I$9+(((A68)+1)/2)*(Inputs!$J$9-Inputs!$I$9)))/Inputs!$K$9)^2)))*Inputs!$C$52*COS(SQRT(((Inputs!$I$9+(((A68)+1)/2)*(Inputs!$J$9-Inputs!$I$9)))^2+Inputs!$C$6^2)/Inputs!$C$52)))-((Inputs!$H$9+Inputs!$L$9*(((Inputs!$I$9+(((A68)+1)/2)*(Inputs!$J$9-Inputs!$I$9)))/Inputs!$K$9)^2)))*1000/Inputs!$C$12)</f>
        <v/>
      </c>
      <c r="AJ68" s="10" t="n"/>
      <c r="AK68" s="9">
        <f>A68</f>
        <v/>
      </c>
      <c r="AL68" s="9">
        <f>(-2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f>
        <v/>
      </c>
      <c r="AM68" s="9">
        <f>(-2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f>
        <v/>
      </c>
      <c r="AN68" s="9">
        <f>(-2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f>
        <v/>
      </c>
      <c r="AO68" s="9">
        <f>(-2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f>
        <v/>
      </c>
      <c r="AP68" s="10" t="n"/>
      <c r="AQ68" s="9">
        <f>A68</f>
        <v/>
      </c>
      <c r="AR68" s="9">
        <f>0</f>
        <v/>
      </c>
      <c r="AS68" s="9">
        <f>IF(OR(Inputs!$F$6=TRUE,Inputs!$F$6="TRUE",Inputs!$F$6=1),IF(OR(Inputs!$C$27=TRUE,Inputs!$C$27="TRUE",Inputs!$C$27=1),1,0)*(Inputs!$C$51*(115*EXP(-(((Inputs!$C$6)-25)^2)/(4.5^2))+70*EXP(-(((Inputs!$C$6)+38)^2)/(7^2))*(0.55+0.45*SIN(2*PI()*((Inputs!$I$6+(((A68)+1)/2)*(Inputs!$J$6-Inputs!$I$6)))/45))+24*SIN(2*PI()*(Inputs!$C$6)/9+((Inputs!$I$6+(((A68)+1)/2)*(Inputs!$J$6-Inputs!$I$6)))/18)*EXP(-(((Inputs!$C$6)+5)^2)/(22^2))+18*SIN(2*PI()*((Inputs!$I$6+(((A68)+1)/2)*(Inputs!$J$6-Inputs!$I$6)))/70))+Inputs!$C$28*EXP(-((((Inputs!$I$6+(((A68)+1)/2)*(Inputs!$J$6-Inputs!$I$6)))-Inputs!$C$29)^2)/(2*Inputs!$C$31^2))*EXP(-(((Inputs!$C$6)-Inputs!$C$30)^2)/(2*Inputs!$C$32^2))+-Inputs!$C$33*EXP(-((((((Inputs!$I$6+(((A68)+1)/2)*(Inputs!$J$6-Inputs!$I$6)))-Inputs!$C$34)^2)+(((Inputs!$C$6)-Inputs!$C$35)^2))/(2*Inputs!$C$36^2)))+Inputs!$C$37*(0.55*SIN(2*PI()*((Inputs!$I$6+(((A68)+1)/2)*(Inputs!$J$6-Inputs!$I$6)))/Inputs!$C$39)+0.35*COS(2*PI()*(Inputs!$C$6)/Inputs!$C$40)+0.2*SIN(2*PI()*(((Inputs!$I$6+(((A68)+1)/2)*(Inputs!$J$6-Inputs!$I$6)))+(Inputs!$C$6))/(0.5*(Inputs!$C$39+Inputs!$C$40))))+Inputs!$C$38*SIN(2*PI()*((Inputs!$I$6+(((A68)+1)/2)*(Inputs!$J$6-Inputs!$I$6)))/Inputs!$C$39)*SIN(2*PI()*(Inputs!$C$6)/Inputs!$C$40)+-Inputs!$C$41*EXP(-(((Inputs!$C$6)-Inputs!$C$43)^2)/(2*Inputs!$C$44^2))*EXP(-((((Inputs!$I$6+(((A68)+1)/2)*(Inputs!$J$6-Inputs!$I$6)))-Inputs!$C$42)^2)/(2*Inputs!$C$45^2))+Inputs!$C$48*(0.7*(0.45*SIN(2*PI()*((((Inputs!$I$6+(((A68)+1)/2)*(Inputs!$J$6-Inputs!$I$6)))/Inputs!$C$49)+Inputs!$C$47*0.137))+0.35*COS(2*PI()*(((Inputs!$C$6)/Inputs!$C$50)+Inputs!$C$47*0.173))+0.2*SIN(2*PI()*((((Inputs!$I$6+(((A68)+1)/2)*(Inputs!$J$6-Inputs!$I$6)))+(Inputs!$C$6))/(0.5*(Inputs!$C$49+Inputs!$C$50))+Inputs!$C$47*0.097)))+0.3*(2*((SIN((((Inputs!$I$6+(((A68)+1)/2)*(Inputs!$J$6-Inputs!$I$6)))*12.9898+(Inputs!$C$6)*78.233+Inputs!$C$47*37.719))*43758.5453)-INT((SIN((((Inputs!$I$6+(((A68)+1)/2)*(Inputs!$J$6-Inputs!$I$6)))*12.9898+(Inputs!$C$6)*78.233+Inputs!$C$47*37.719))*43758.5453)))-1))),NA())</f>
        <v/>
      </c>
      <c r="AT68" s="9">
        <f>IF(OR(Inputs!$F$7=TRUE,Inputs!$F$7="TRUE",Inputs!$F$7=1),IF(OR(Inputs!$C$27=TRUE,Inputs!$C$27="TRUE",Inputs!$C$27=1),1,0)*(Inputs!$C$51*(115*EXP(-(((Inputs!$C$6)-25)^2)/(4.5^2))+70*EXP(-(((Inputs!$C$6)+38)^2)/(7^2))*(0.55+0.45*SIN(2*PI()*((Inputs!$I$7+(((A68)+1)/2)*(Inputs!$J$7-Inputs!$I$7)))/45))+24*SIN(2*PI()*(Inputs!$C$6)/9+((Inputs!$I$7+(((A68)+1)/2)*(Inputs!$J$7-Inputs!$I$7)))/18)*EXP(-(((Inputs!$C$6)+5)^2)/(22^2))+18*SIN(2*PI()*((Inputs!$I$7+(((A68)+1)/2)*(Inputs!$J$7-Inputs!$I$7)))/70))+Inputs!$C$28*EXP(-((((Inputs!$I$7+(((A68)+1)/2)*(Inputs!$J$7-Inputs!$I$7)))-Inputs!$C$29)^2)/(2*Inputs!$C$31^2))*EXP(-(((Inputs!$C$6)-Inputs!$C$30)^2)/(2*Inputs!$C$32^2))+-Inputs!$C$33*EXP(-((((((Inputs!$I$7+(((A68)+1)/2)*(Inputs!$J$7-Inputs!$I$7)))-Inputs!$C$34)^2)+(((Inputs!$C$6)-Inputs!$C$35)^2))/(2*Inputs!$C$36^2)))+Inputs!$C$37*(0.55*SIN(2*PI()*((Inputs!$I$7+(((A68)+1)/2)*(Inputs!$J$7-Inputs!$I$7)))/Inputs!$C$39)+0.35*COS(2*PI()*(Inputs!$C$6)/Inputs!$C$40)+0.2*SIN(2*PI()*(((Inputs!$I$7+(((A68)+1)/2)*(Inputs!$J$7-Inputs!$I$7)))+(Inputs!$C$6))/(0.5*(Inputs!$C$39+Inputs!$C$40))))+Inputs!$C$38*SIN(2*PI()*((Inputs!$I$7+(((A68)+1)/2)*(Inputs!$J$7-Inputs!$I$7)))/Inputs!$C$39)*SIN(2*PI()*(Inputs!$C$6)/Inputs!$C$40)+-Inputs!$C$41*EXP(-(((Inputs!$C$6)-Inputs!$C$43)^2)/(2*Inputs!$C$44^2))*EXP(-((((Inputs!$I$7+(((A68)+1)/2)*(Inputs!$J$7-Inputs!$I$7)))-Inputs!$C$42)^2)/(2*Inputs!$C$45^2))+Inputs!$C$48*(0.7*(0.45*SIN(2*PI()*((((Inputs!$I$7+(((A68)+1)/2)*(Inputs!$J$7-Inputs!$I$7)))/Inputs!$C$49)+Inputs!$C$47*0.137))+0.35*COS(2*PI()*(((Inputs!$C$6)/Inputs!$C$50)+Inputs!$C$47*0.173))+0.2*SIN(2*PI()*((((Inputs!$I$7+(((A68)+1)/2)*(Inputs!$J$7-Inputs!$I$7)))+(Inputs!$C$6))/(0.5*(Inputs!$C$49+Inputs!$C$50))+Inputs!$C$47*0.097)))+0.3*(2*((SIN((((Inputs!$I$7+(((A68)+1)/2)*(Inputs!$J$7-Inputs!$I$7)))*12.9898+(Inputs!$C$6)*78.233+Inputs!$C$47*37.719))*43758.5453)-INT((SIN((((Inputs!$I$7+(((A68)+1)/2)*(Inputs!$J$7-Inputs!$I$7)))*12.9898+(Inputs!$C$6)*78.233+Inputs!$C$47*37.719))*43758.5453)))-1))),NA())</f>
        <v/>
      </c>
      <c r="AU68" s="9">
        <f>IF(OR(Inputs!$F$8=TRUE,Inputs!$F$8="TRUE",Inputs!$F$8=1),IF(OR(Inputs!$C$27=TRUE,Inputs!$C$27="TRUE",Inputs!$C$27=1),1,0)*(Inputs!$C$51*(115*EXP(-(((Inputs!$C$6)-25)^2)/(4.5^2))+70*EXP(-(((Inputs!$C$6)+38)^2)/(7^2))*(0.55+0.45*SIN(2*PI()*((Inputs!$I$8+(((A68)+1)/2)*(Inputs!$J$8-Inputs!$I$8)))/45))+24*SIN(2*PI()*(Inputs!$C$6)/9+((Inputs!$I$8+(((A68)+1)/2)*(Inputs!$J$8-Inputs!$I$8)))/18)*EXP(-(((Inputs!$C$6)+5)^2)/(22^2))+18*SIN(2*PI()*((Inputs!$I$8+(((A68)+1)/2)*(Inputs!$J$8-Inputs!$I$8)))/70))+Inputs!$C$28*EXP(-((((Inputs!$I$8+(((A68)+1)/2)*(Inputs!$J$8-Inputs!$I$8)))-Inputs!$C$29)^2)/(2*Inputs!$C$31^2))*EXP(-(((Inputs!$C$6)-Inputs!$C$30)^2)/(2*Inputs!$C$32^2))+-Inputs!$C$33*EXP(-((((((Inputs!$I$8+(((A68)+1)/2)*(Inputs!$J$8-Inputs!$I$8)))-Inputs!$C$34)^2)+(((Inputs!$C$6)-Inputs!$C$35)^2))/(2*Inputs!$C$36^2)))+Inputs!$C$37*(0.55*SIN(2*PI()*((Inputs!$I$8+(((A68)+1)/2)*(Inputs!$J$8-Inputs!$I$8)))/Inputs!$C$39)+0.35*COS(2*PI()*(Inputs!$C$6)/Inputs!$C$40)+0.2*SIN(2*PI()*(((Inputs!$I$8+(((A68)+1)/2)*(Inputs!$J$8-Inputs!$I$8)))+(Inputs!$C$6))/(0.5*(Inputs!$C$39+Inputs!$C$40))))+Inputs!$C$38*SIN(2*PI()*((Inputs!$I$8+(((A68)+1)/2)*(Inputs!$J$8-Inputs!$I$8)))/Inputs!$C$39)*SIN(2*PI()*(Inputs!$C$6)/Inputs!$C$40)+-Inputs!$C$41*EXP(-(((Inputs!$C$6)-Inputs!$C$43)^2)/(2*Inputs!$C$44^2))*EXP(-((((Inputs!$I$8+(((A68)+1)/2)*(Inputs!$J$8-Inputs!$I$8)))-Inputs!$C$42)^2)/(2*Inputs!$C$45^2))+Inputs!$C$48*(0.7*(0.45*SIN(2*PI()*((((Inputs!$I$8+(((A68)+1)/2)*(Inputs!$J$8-Inputs!$I$8)))/Inputs!$C$49)+Inputs!$C$47*0.137))+0.35*COS(2*PI()*(((Inputs!$C$6)/Inputs!$C$50)+Inputs!$C$47*0.173))+0.2*SIN(2*PI()*((((Inputs!$I$8+(((A68)+1)/2)*(Inputs!$J$8-Inputs!$I$8)))+(Inputs!$C$6))/(0.5*(Inputs!$C$49+Inputs!$C$50))+Inputs!$C$47*0.097)))+0.3*(2*((SIN((((Inputs!$I$8+(((A68)+1)/2)*(Inputs!$J$8-Inputs!$I$8)))*12.9898+(Inputs!$C$6)*78.233+Inputs!$C$47*37.719))*43758.5453)-INT((SIN((((Inputs!$I$8+(((A68)+1)/2)*(Inputs!$J$8-Inputs!$I$8)))*12.9898+(Inputs!$C$6)*78.233+Inputs!$C$47*37.719))*43758.5453)))-1))),NA())</f>
        <v/>
      </c>
      <c r="AV68" s="9">
        <f>IF(OR(Inputs!$F$9=TRUE,Inputs!$F$9="TRUE",Inputs!$F$9=1),IF(OR(Inputs!$C$27=TRUE,Inputs!$C$27="TRUE",Inputs!$C$27=1),1,0)*(Inputs!$C$51*(115*EXP(-(((Inputs!$C$6)-25)^2)/(4.5^2))+70*EXP(-(((Inputs!$C$6)+38)^2)/(7^2))*(0.55+0.45*SIN(2*PI()*((Inputs!$I$9+(((A68)+1)/2)*(Inputs!$J$9-Inputs!$I$9)))/45))+24*SIN(2*PI()*(Inputs!$C$6)/9+((Inputs!$I$9+(((A68)+1)/2)*(Inputs!$J$9-Inputs!$I$9)))/18)*EXP(-(((Inputs!$C$6)+5)^2)/(22^2))+18*SIN(2*PI()*((Inputs!$I$9+(((A68)+1)/2)*(Inputs!$J$9-Inputs!$I$9)))/70))+Inputs!$C$28*EXP(-((((Inputs!$I$9+(((A68)+1)/2)*(Inputs!$J$9-Inputs!$I$9)))-Inputs!$C$29)^2)/(2*Inputs!$C$31^2))*EXP(-(((Inputs!$C$6)-Inputs!$C$30)^2)/(2*Inputs!$C$32^2))+-Inputs!$C$33*EXP(-((((((Inputs!$I$9+(((A68)+1)/2)*(Inputs!$J$9-Inputs!$I$9)))-Inputs!$C$34)^2)+(((Inputs!$C$6)-Inputs!$C$35)^2))/(2*Inputs!$C$36^2)))+Inputs!$C$37*(0.55*SIN(2*PI()*((Inputs!$I$9+(((A68)+1)/2)*(Inputs!$J$9-Inputs!$I$9)))/Inputs!$C$39)+0.35*COS(2*PI()*(Inputs!$C$6)/Inputs!$C$40)+0.2*SIN(2*PI()*(((Inputs!$I$9+(((A68)+1)/2)*(Inputs!$J$9-Inputs!$I$9)))+(Inputs!$C$6))/(0.5*(Inputs!$C$39+Inputs!$C$40))))+Inputs!$C$38*SIN(2*PI()*((Inputs!$I$9+(((A68)+1)/2)*(Inputs!$J$9-Inputs!$I$9)))/Inputs!$C$39)*SIN(2*PI()*(Inputs!$C$6)/Inputs!$C$40)+-Inputs!$C$41*EXP(-(((Inputs!$C$6)-Inputs!$C$43)^2)/(2*Inputs!$C$44^2))*EXP(-((((Inputs!$I$9+(((A68)+1)/2)*(Inputs!$J$9-Inputs!$I$9)))-Inputs!$C$42)^2)/(2*Inputs!$C$45^2))+Inputs!$C$48*(0.7*(0.45*SIN(2*PI()*((((Inputs!$I$9+(((A68)+1)/2)*(Inputs!$J$9-Inputs!$I$9)))/Inputs!$C$49)+Inputs!$C$47*0.137))+0.35*COS(2*PI()*(((Inputs!$C$6)/Inputs!$C$50)+Inputs!$C$47*0.173))+0.2*SIN(2*PI()*((((Inputs!$I$9+(((A68)+1)/2)*(Inputs!$J$9-Inputs!$I$9)))+(Inputs!$C$6))/(0.5*(Inputs!$C$49+Inputs!$C$50))+Inputs!$C$47*0.097)))+0.3*(2*((SIN((((Inputs!$I$9+(((A68)+1)/2)*(Inputs!$J$9-Inputs!$I$9)))*12.9898+(Inputs!$C$6)*78.233+Inputs!$C$47*37.719))*43758.5453)-INT((SIN((((Inputs!$I$9+(((A68)+1)/2)*(Inputs!$J$9-Inputs!$I$9)))*12.9898+(Inputs!$C$6)*78.233+Inputs!$C$47*37.719))*43758.5453)))-1))),NA())</f>
        <v/>
      </c>
      <c r="AW68" s="10" t="n"/>
      <c r="AX68" s="9">
        <f>A68</f>
        <v/>
      </c>
      <c r="AY68" s="9">
        <f>0</f>
        <v/>
      </c>
      <c r="AZ68" s="9">
        <f>IF(OR(Inputs!$F$6=TRUE,Inputs!$F$6="TRUE",Inputs!$F$6=1),(Inputs!$H$6+Inputs!$L$6*(((Inputs!$I$6+(((A68)+1)/2)*(Inputs!$J$6-Inputs!$I$6)))/Inputs!$K$6)^2),NA())</f>
        <v/>
      </c>
      <c r="BA68" s="9">
        <f>IF(OR(Inputs!$F$7=TRUE,Inputs!$F$7="TRUE",Inputs!$F$7=1),(Inputs!$H$7+Inputs!$L$7*(((Inputs!$I$7+(((A68)+1)/2)*(Inputs!$J$7-Inputs!$I$7)))/Inputs!$K$7)^2),NA())</f>
        <v/>
      </c>
      <c r="BB68" s="9">
        <f>IF(OR(Inputs!$F$8=TRUE,Inputs!$F$8="TRUE",Inputs!$F$8=1),(Inputs!$H$8+Inputs!$L$8*(((Inputs!$I$8+(((A68)+1)/2)*(Inputs!$J$8-Inputs!$I$8)))/Inputs!$K$8)^2),NA())</f>
        <v/>
      </c>
      <c r="BC68" s="9">
        <f>IF(OR(Inputs!$F$9=TRUE,Inputs!$F$9="TRUE",Inputs!$F$9=1),(Inputs!$H$9+Inputs!$L$9*(((Inputs!$I$9+(((A68)+1)/2)*(Inputs!$J$9-Inputs!$I$9)))/Inputs!$K$9)^2),NA())</f>
        <v/>
      </c>
      <c r="BD68" s="10" t="n"/>
      <c r="BE68" s="9">
        <f>A68</f>
        <v/>
      </c>
      <c r="BF68" s="9">
        <f>0</f>
        <v/>
      </c>
      <c r="BG68" s="9">
        <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f>
        <v/>
      </c>
      <c r="BH68" s="9">
        <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f>
        <v/>
      </c>
      <c r="BI68" s="9">
        <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f>
        <v/>
      </c>
      <c r="BJ68" s="9">
        <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f>
        <v/>
      </c>
    </row>
    <row r="69">
      <c r="A69" s="9">
        <f>ROUND(-1+67*2/240,3)</f>
        <v/>
      </c>
      <c r="B69" s="9">
        <f>IF(OR(Inputs!$F$6=TRUE,Inputs!$F$6="TRUE",Inputs!$F$6=1),(Inputs!$H$6+Inputs!$L$6*(((Inputs!$I$6+(((A69)+1)/2)*(Inputs!$J$6-Inputs!$I$6)))/Inputs!$K$6)^2),NA())</f>
        <v/>
      </c>
      <c r="C69" s="9">
        <f>IF(OR(Inputs!$F$7=TRUE,Inputs!$F$7="TRUE",Inputs!$F$7=1),(Inputs!$H$7+Inputs!$L$7*(((Inputs!$I$7+(((A69)+1)/2)*(Inputs!$J$7-Inputs!$I$7)))/Inputs!$K$7)^2),NA())</f>
        <v/>
      </c>
      <c r="D69" s="9">
        <f>IF(OR(Inputs!$F$8=TRUE,Inputs!$F$8="TRUE",Inputs!$F$8=1),(Inputs!$H$8+Inputs!$L$8*(((Inputs!$I$8+(((A69)+1)/2)*(Inputs!$J$8-Inputs!$I$8)))/Inputs!$K$8)^2),NA())</f>
        <v/>
      </c>
      <c r="E69" s="9">
        <f>IF(OR(Inputs!$F$9=TRUE,Inputs!$F$9="TRUE",Inputs!$F$9=1),(Inputs!$H$9+Inputs!$L$9*(((Inputs!$I$9+(((A69)+1)/2)*(Inputs!$J$9-Inputs!$I$9)))/Inputs!$K$9)^2),NA())</f>
        <v/>
      </c>
      <c r="F69" s="10" t="n"/>
      <c r="G69" s="9">
        <f>A69</f>
        <v/>
      </c>
      <c r="H69" s="9">
        <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f>
        <v/>
      </c>
      <c r="I69" s="9">
        <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f>
        <v/>
      </c>
      <c r="J69" s="9">
        <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f>
        <v/>
      </c>
      <c r="K69" s="9">
        <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f>
        <v/>
      </c>
      <c r="L69" s="10" t="n"/>
      <c r="M69" s="9">
        <f>A69</f>
        <v/>
      </c>
      <c r="N69" s="9">
        <f>IF(OR(Inputs!$F$6=TRUE,Inputs!$F$6="TRUE",Inputs!$F$6=1),(-2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NA())</f>
        <v/>
      </c>
      <c r="O69" s="9">
        <f>IF(OR(Inputs!$F$7=TRUE,Inputs!$F$7="TRUE",Inputs!$F$7=1),(-2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NA())</f>
        <v/>
      </c>
      <c r="P69" s="9">
        <f>IF(OR(Inputs!$F$8=TRUE,Inputs!$F$8="TRUE",Inputs!$F$8=1),(-2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NA())</f>
        <v/>
      </c>
      <c r="Q69" s="9">
        <f>IF(OR(Inputs!$F$9=TRUE,Inputs!$F$9="TRUE",Inputs!$F$9=1),(-2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NA())</f>
        <v/>
      </c>
      <c r="R69" s="10" t="n"/>
      <c r="S69" s="9">
        <f>A69</f>
        <v/>
      </c>
      <c r="T69" s="9">
        <f>(Inputs!$I$6+(((A69)+1)/2)*(Inputs!$J$6-Inputs!$I$6))</f>
        <v/>
      </c>
      <c r="U69" s="9">
        <f>(Inputs!$I$7+(((A69)+1)/2)*(Inputs!$J$7-Inputs!$I$7))</f>
        <v/>
      </c>
      <c r="V69" s="9">
        <f>(Inputs!$I$8+(((A69)+1)/2)*(Inputs!$J$8-Inputs!$I$8))</f>
        <v/>
      </c>
      <c r="W69" s="9">
        <f>(Inputs!$I$9+(((A69)+1)/2)*(Inputs!$J$9-Inputs!$I$9))</f>
        <v/>
      </c>
      <c r="X69" s="10" t="n"/>
      <c r="Y69" s="9">
        <f>A69</f>
        <v/>
      </c>
      <c r="Z69" s="9">
        <f>(Inputs!$H$6+Inputs!$L$6*(((Inputs!$I$6+(((A69)+1)/2)*(Inputs!$J$6-Inputs!$I$6)))/Inputs!$K$6)^2)</f>
        <v/>
      </c>
      <c r="AA69" s="9">
        <f>(Inputs!$H$7+Inputs!$L$7*(((Inputs!$I$7+(((A69)+1)/2)*(Inputs!$J$7-Inputs!$I$7)))/Inputs!$K$7)^2)</f>
        <v/>
      </c>
      <c r="AB69" s="9">
        <f>(Inputs!$H$8+Inputs!$L$8*(((Inputs!$I$8+(((A69)+1)/2)*(Inputs!$J$8-Inputs!$I$8)))/Inputs!$K$8)^2)</f>
        <v/>
      </c>
      <c r="AC69" s="9">
        <f>(Inputs!$H$9+Inputs!$L$9*(((Inputs!$I$9+(((A69)+1)/2)*(Inputs!$J$9-Inputs!$I$9)))/Inputs!$K$9)^2)</f>
        <v/>
      </c>
      <c r="AD69" s="10" t="n"/>
      <c r="AE69" s="9">
        <f>A69</f>
        <v/>
      </c>
      <c r="AF69" s="9">
        <f>(((SQRT((Inputs!$C$52+((Inputs!$H$6+Inputs!$L$6*(((Inputs!$I$6+(((A69)+1)/2)*(Inputs!$J$6-Inputs!$I$6)))/Inputs!$K$6)^2)))^2+Inputs!$C$52^2-2*(Inputs!$C$52+((Inputs!$H$6+Inputs!$L$6*(((Inputs!$I$6+(((A69)+1)/2)*(Inputs!$J$6-Inputs!$I$6)))/Inputs!$K$6)^2)))*Inputs!$C$52*COS(SQRT(((Inputs!$I$6+(((A69)+1)/2)*(Inputs!$J$6-Inputs!$I$6)))^2+Inputs!$C$6^2)/Inputs!$C$52)))-((Inputs!$H$6+Inputs!$L$6*(((Inputs!$I$6+(((A69)+1)/2)*(Inputs!$J$6-Inputs!$I$6)))/Inputs!$K$6)^2)))*1000/Inputs!$C$12)</f>
        <v/>
      </c>
      <c r="AG69" s="9">
        <f>(((SQRT((Inputs!$C$52+((Inputs!$H$7+Inputs!$L$7*(((Inputs!$I$7+(((A69)+1)/2)*(Inputs!$J$7-Inputs!$I$7)))/Inputs!$K$7)^2)))^2+Inputs!$C$52^2-2*(Inputs!$C$52+((Inputs!$H$7+Inputs!$L$7*(((Inputs!$I$7+(((A69)+1)/2)*(Inputs!$J$7-Inputs!$I$7)))/Inputs!$K$7)^2)))*Inputs!$C$52*COS(SQRT(((Inputs!$I$7+(((A69)+1)/2)*(Inputs!$J$7-Inputs!$I$7)))^2+Inputs!$C$6^2)/Inputs!$C$52)))-((Inputs!$H$7+Inputs!$L$7*(((Inputs!$I$7+(((A69)+1)/2)*(Inputs!$J$7-Inputs!$I$7)))/Inputs!$K$7)^2)))*1000/Inputs!$C$12)</f>
        <v/>
      </c>
      <c r="AH69" s="9">
        <f>(((SQRT((Inputs!$C$52+((Inputs!$H$8+Inputs!$L$8*(((Inputs!$I$8+(((A69)+1)/2)*(Inputs!$J$8-Inputs!$I$8)))/Inputs!$K$8)^2)))^2+Inputs!$C$52^2-2*(Inputs!$C$52+((Inputs!$H$8+Inputs!$L$8*(((Inputs!$I$8+(((A69)+1)/2)*(Inputs!$J$8-Inputs!$I$8)))/Inputs!$K$8)^2)))*Inputs!$C$52*COS(SQRT(((Inputs!$I$8+(((A69)+1)/2)*(Inputs!$J$8-Inputs!$I$8)))^2+Inputs!$C$6^2)/Inputs!$C$52)))-((Inputs!$H$8+Inputs!$L$8*(((Inputs!$I$8+(((A69)+1)/2)*(Inputs!$J$8-Inputs!$I$8)))/Inputs!$K$8)^2)))*1000/Inputs!$C$12)</f>
        <v/>
      </c>
      <c r="AI69" s="9">
        <f>(((SQRT((Inputs!$C$52+((Inputs!$H$9+Inputs!$L$9*(((Inputs!$I$9+(((A69)+1)/2)*(Inputs!$J$9-Inputs!$I$9)))/Inputs!$K$9)^2)))^2+Inputs!$C$52^2-2*(Inputs!$C$52+((Inputs!$H$9+Inputs!$L$9*(((Inputs!$I$9+(((A69)+1)/2)*(Inputs!$J$9-Inputs!$I$9)))/Inputs!$K$9)^2)))*Inputs!$C$52*COS(SQRT(((Inputs!$I$9+(((A69)+1)/2)*(Inputs!$J$9-Inputs!$I$9)))^2+Inputs!$C$6^2)/Inputs!$C$52)))-((Inputs!$H$9+Inputs!$L$9*(((Inputs!$I$9+(((A69)+1)/2)*(Inputs!$J$9-Inputs!$I$9)))/Inputs!$K$9)^2)))*1000/Inputs!$C$12)</f>
        <v/>
      </c>
      <c r="AJ69" s="10" t="n"/>
      <c r="AK69" s="9">
        <f>A69</f>
        <v/>
      </c>
      <c r="AL69" s="9">
        <f>(-2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f>
        <v/>
      </c>
      <c r="AM69" s="9">
        <f>(-2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f>
        <v/>
      </c>
      <c r="AN69" s="9">
        <f>(-2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f>
        <v/>
      </c>
      <c r="AO69" s="9">
        <f>(-2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f>
        <v/>
      </c>
      <c r="AP69" s="10" t="n"/>
      <c r="AQ69" s="9">
        <f>A69</f>
        <v/>
      </c>
      <c r="AR69" s="9">
        <f>0</f>
        <v/>
      </c>
      <c r="AS69" s="9">
        <f>IF(OR(Inputs!$F$6=TRUE,Inputs!$F$6="TRUE",Inputs!$F$6=1),IF(OR(Inputs!$C$27=TRUE,Inputs!$C$27="TRUE",Inputs!$C$27=1),1,0)*(Inputs!$C$51*(115*EXP(-(((Inputs!$C$6)-25)^2)/(4.5^2))+70*EXP(-(((Inputs!$C$6)+38)^2)/(7^2))*(0.55+0.45*SIN(2*PI()*((Inputs!$I$6+(((A69)+1)/2)*(Inputs!$J$6-Inputs!$I$6)))/45))+24*SIN(2*PI()*(Inputs!$C$6)/9+((Inputs!$I$6+(((A69)+1)/2)*(Inputs!$J$6-Inputs!$I$6)))/18)*EXP(-(((Inputs!$C$6)+5)^2)/(22^2))+18*SIN(2*PI()*((Inputs!$I$6+(((A69)+1)/2)*(Inputs!$J$6-Inputs!$I$6)))/70))+Inputs!$C$28*EXP(-((((Inputs!$I$6+(((A69)+1)/2)*(Inputs!$J$6-Inputs!$I$6)))-Inputs!$C$29)^2)/(2*Inputs!$C$31^2))*EXP(-(((Inputs!$C$6)-Inputs!$C$30)^2)/(2*Inputs!$C$32^2))+-Inputs!$C$33*EXP(-((((((Inputs!$I$6+(((A69)+1)/2)*(Inputs!$J$6-Inputs!$I$6)))-Inputs!$C$34)^2)+(((Inputs!$C$6)-Inputs!$C$35)^2))/(2*Inputs!$C$36^2)))+Inputs!$C$37*(0.55*SIN(2*PI()*((Inputs!$I$6+(((A69)+1)/2)*(Inputs!$J$6-Inputs!$I$6)))/Inputs!$C$39)+0.35*COS(2*PI()*(Inputs!$C$6)/Inputs!$C$40)+0.2*SIN(2*PI()*(((Inputs!$I$6+(((A69)+1)/2)*(Inputs!$J$6-Inputs!$I$6)))+(Inputs!$C$6))/(0.5*(Inputs!$C$39+Inputs!$C$40))))+Inputs!$C$38*SIN(2*PI()*((Inputs!$I$6+(((A69)+1)/2)*(Inputs!$J$6-Inputs!$I$6)))/Inputs!$C$39)*SIN(2*PI()*(Inputs!$C$6)/Inputs!$C$40)+-Inputs!$C$41*EXP(-(((Inputs!$C$6)-Inputs!$C$43)^2)/(2*Inputs!$C$44^2))*EXP(-((((Inputs!$I$6+(((A69)+1)/2)*(Inputs!$J$6-Inputs!$I$6)))-Inputs!$C$42)^2)/(2*Inputs!$C$45^2))+Inputs!$C$48*(0.7*(0.45*SIN(2*PI()*((((Inputs!$I$6+(((A69)+1)/2)*(Inputs!$J$6-Inputs!$I$6)))/Inputs!$C$49)+Inputs!$C$47*0.137))+0.35*COS(2*PI()*(((Inputs!$C$6)/Inputs!$C$50)+Inputs!$C$47*0.173))+0.2*SIN(2*PI()*((((Inputs!$I$6+(((A69)+1)/2)*(Inputs!$J$6-Inputs!$I$6)))+(Inputs!$C$6))/(0.5*(Inputs!$C$49+Inputs!$C$50))+Inputs!$C$47*0.097)))+0.3*(2*((SIN((((Inputs!$I$6+(((A69)+1)/2)*(Inputs!$J$6-Inputs!$I$6)))*12.9898+(Inputs!$C$6)*78.233+Inputs!$C$47*37.719))*43758.5453)-INT((SIN((((Inputs!$I$6+(((A69)+1)/2)*(Inputs!$J$6-Inputs!$I$6)))*12.9898+(Inputs!$C$6)*78.233+Inputs!$C$47*37.719))*43758.5453)))-1))),NA())</f>
        <v/>
      </c>
      <c r="AT69" s="9">
        <f>IF(OR(Inputs!$F$7=TRUE,Inputs!$F$7="TRUE",Inputs!$F$7=1),IF(OR(Inputs!$C$27=TRUE,Inputs!$C$27="TRUE",Inputs!$C$27=1),1,0)*(Inputs!$C$51*(115*EXP(-(((Inputs!$C$6)-25)^2)/(4.5^2))+70*EXP(-(((Inputs!$C$6)+38)^2)/(7^2))*(0.55+0.45*SIN(2*PI()*((Inputs!$I$7+(((A69)+1)/2)*(Inputs!$J$7-Inputs!$I$7)))/45))+24*SIN(2*PI()*(Inputs!$C$6)/9+((Inputs!$I$7+(((A69)+1)/2)*(Inputs!$J$7-Inputs!$I$7)))/18)*EXP(-(((Inputs!$C$6)+5)^2)/(22^2))+18*SIN(2*PI()*((Inputs!$I$7+(((A69)+1)/2)*(Inputs!$J$7-Inputs!$I$7)))/70))+Inputs!$C$28*EXP(-((((Inputs!$I$7+(((A69)+1)/2)*(Inputs!$J$7-Inputs!$I$7)))-Inputs!$C$29)^2)/(2*Inputs!$C$31^2))*EXP(-(((Inputs!$C$6)-Inputs!$C$30)^2)/(2*Inputs!$C$32^2))+-Inputs!$C$33*EXP(-((((((Inputs!$I$7+(((A69)+1)/2)*(Inputs!$J$7-Inputs!$I$7)))-Inputs!$C$34)^2)+(((Inputs!$C$6)-Inputs!$C$35)^2))/(2*Inputs!$C$36^2)))+Inputs!$C$37*(0.55*SIN(2*PI()*((Inputs!$I$7+(((A69)+1)/2)*(Inputs!$J$7-Inputs!$I$7)))/Inputs!$C$39)+0.35*COS(2*PI()*(Inputs!$C$6)/Inputs!$C$40)+0.2*SIN(2*PI()*(((Inputs!$I$7+(((A69)+1)/2)*(Inputs!$J$7-Inputs!$I$7)))+(Inputs!$C$6))/(0.5*(Inputs!$C$39+Inputs!$C$40))))+Inputs!$C$38*SIN(2*PI()*((Inputs!$I$7+(((A69)+1)/2)*(Inputs!$J$7-Inputs!$I$7)))/Inputs!$C$39)*SIN(2*PI()*(Inputs!$C$6)/Inputs!$C$40)+-Inputs!$C$41*EXP(-(((Inputs!$C$6)-Inputs!$C$43)^2)/(2*Inputs!$C$44^2))*EXP(-((((Inputs!$I$7+(((A69)+1)/2)*(Inputs!$J$7-Inputs!$I$7)))-Inputs!$C$42)^2)/(2*Inputs!$C$45^2))+Inputs!$C$48*(0.7*(0.45*SIN(2*PI()*((((Inputs!$I$7+(((A69)+1)/2)*(Inputs!$J$7-Inputs!$I$7)))/Inputs!$C$49)+Inputs!$C$47*0.137))+0.35*COS(2*PI()*(((Inputs!$C$6)/Inputs!$C$50)+Inputs!$C$47*0.173))+0.2*SIN(2*PI()*((((Inputs!$I$7+(((A69)+1)/2)*(Inputs!$J$7-Inputs!$I$7)))+(Inputs!$C$6))/(0.5*(Inputs!$C$49+Inputs!$C$50))+Inputs!$C$47*0.097)))+0.3*(2*((SIN((((Inputs!$I$7+(((A69)+1)/2)*(Inputs!$J$7-Inputs!$I$7)))*12.9898+(Inputs!$C$6)*78.233+Inputs!$C$47*37.719))*43758.5453)-INT((SIN((((Inputs!$I$7+(((A69)+1)/2)*(Inputs!$J$7-Inputs!$I$7)))*12.9898+(Inputs!$C$6)*78.233+Inputs!$C$47*37.719))*43758.5453)))-1))),NA())</f>
        <v/>
      </c>
      <c r="AU69" s="9">
        <f>IF(OR(Inputs!$F$8=TRUE,Inputs!$F$8="TRUE",Inputs!$F$8=1),IF(OR(Inputs!$C$27=TRUE,Inputs!$C$27="TRUE",Inputs!$C$27=1),1,0)*(Inputs!$C$51*(115*EXP(-(((Inputs!$C$6)-25)^2)/(4.5^2))+70*EXP(-(((Inputs!$C$6)+38)^2)/(7^2))*(0.55+0.45*SIN(2*PI()*((Inputs!$I$8+(((A69)+1)/2)*(Inputs!$J$8-Inputs!$I$8)))/45))+24*SIN(2*PI()*(Inputs!$C$6)/9+((Inputs!$I$8+(((A69)+1)/2)*(Inputs!$J$8-Inputs!$I$8)))/18)*EXP(-(((Inputs!$C$6)+5)^2)/(22^2))+18*SIN(2*PI()*((Inputs!$I$8+(((A69)+1)/2)*(Inputs!$J$8-Inputs!$I$8)))/70))+Inputs!$C$28*EXP(-((((Inputs!$I$8+(((A69)+1)/2)*(Inputs!$J$8-Inputs!$I$8)))-Inputs!$C$29)^2)/(2*Inputs!$C$31^2))*EXP(-(((Inputs!$C$6)-Inputs!$C$30)^2)/(2*Inputs!$C$32^2))+-Inputs!$C$33*EXP(-((((((Inputs!$I$8+(((A69)+1)/2)*(Inputs!$J$8-Inputs!$I$8)))-Inputs!$C$34)^2)+(((Inputs!$C$6)-Inputs!$C$35)^2))/(2*Inputs!$C$36^2)))+Inputs!$C$37*(0.55*SIN(2*PI()*((Inputs!$I$8+(((A69)+1)/2)*(Inputs!$J$8-Inputs!$I$8)))/Inputs!$C$39)+0.35*COS(2*PI()*(Inputs!$C$6)/Inputs!$C$40)+0.2*SIN(2*PI()*(((Inputs!$I$8+(((A69)+1)/2)*(Inputs!$J$8-Inputs!$I$8)))+(Inputs!$C$6))/(0.5*(Inputs!$C$39+Inputs!$C$40))))+Inputs!$C$38*SIN(2*PI()*((Inputs!$I$8+(((A69)+1)/2)*(Inputs!$J$8-Inputs!$I$8)))/Inputs!$C$39)*SIN(2*PI()*(Inputs!$C$6)/Inputs!$C$40)+-Inputs!$C$41*EXP(-(((Inputs!$C$6)-Inputs!$C$43)^2)/(2*Inputs!$C$44^2))*EXP(-((((Inputs!$I$8+(((A69)+1)/2)*(Inputs!$J$8-Inputs!$I$8)))-Inputs!$C$42)^2)/(2*Inputs!$C$45^2))+Inputs!$C$48*(0.7*(0.45*SIN(2*PI()*((((Inputs!$I$8+(((A69)+1)/2)*(Inputs!$J$8-Inputs!$I$8)))/Inputs!$C$49)+Inputs!$C$47*0.137))+0.35*COS(2*PI()*(((Inputs!$C$6)/Inputs!$C$50)+Inputs!$C$47*0.173))+0.2*SIN(2*PI()*((((Inputs!$I$8+(((A69)+1)/2)*(Inputs!$J$8-Inputs!$I$8)))+(Inputs!$C$6))/(0.5*(Inputs!$C$49+Inputs!$C$50))+Inputs!$C$47*0.097)))+0.3*(2*((SIN((((Inputs!$I$8+(((A69)+1)/2)*(Inputs!$J$8-Inputs!$I$8)))*12.9898+(Inputs!$C$6)*78.233+Inputs!$C$47*37.719))*43758.5453)-INT((SIN((((Inputs!$I$8+(((A69)+1)/2)*(Inputs!$J$8-Inputs!$I$8)))*12.9898+(Inputs!$C$6)*78.233+Inputs!$C$47*37.719))*43758.5453)))-1))),NA())</f>
        <v/>
      </c>
      <c r="AV69" s="9">
        <f>IF(OR(Inputs!$F$9=TRUE,Inputs!$F$9="TRUE",Inputs!$F$9=1),IF(OR(Inputs!$C$27=TRUE,Inputs!$C$27="TRUE",Inputs!$C$27=1),1,0)*(Inputs!$C$51*(115*EXP(-(((Inputs!$C$6)-25)^2)/(4.5^2))+70*EXP(-(((Inputs!$C$6)+38)^2)/(7^2))*(0.55+0.45*SIN(2*PI()*((Inputs!$I$9+(((A69)+1)/2)*(Inputs!$J$9-Inputs!$I$9)))/45))+24*SIN(2*PI()*(Inputs!$C$6)/9+((Inputs!$I$9+(((A69)+1)/2)*(Inputs!$J$9-Inputs!$I$9)))/18)*EXP(-(((Inputs!$C$6)+5)^2)/(22^2))+18*SIN(2*PI()*((Inputs!$I$9+(((A69)+1)/2)*(Inputs!$J$9-Inputs!$I$9)))/70))+Inputs!$C$28*EXP(-((((Inputs!$I$9+(((A69)+1)/2)*(Inputs!$J$9-Inputs!$I$9)))-Inputs!$C$29)^2)/(2*Inputs!$C$31^2))*EXP(-(((Inputs!$C$6)-Inputs!$C$30)^2)/(2*Inputs!$C$32^2))+-Inputs!$C$33*EXP(-((((((Inputs!$I$9+(((A69)+1)/2)*(Inputs!$J$9-Inputs!$I$9)))-Inputs!$C$34)^2)+(((Inputs!$C$6)-Inputs!$C$35)^2))/(2*Inputs!$C$36^2)))+Inputs!$C$37*(0.55*SIN(2*PI()*((Inputs!$I$9+(((A69)+1)/2)*(Inputs!$J$9-Inputs!$I$9)))/Inputs!$C$39)+0.35*COS(2*PI()*(Inputs!$C$6)/Inputs!$C$40)+0.2*SIN(2*PI()*(((Inputs!$I$9+(((A69)+1)/2)*(Inputs!$J$9-Inputs!$I$9)))+(Inputs!$C$6))/(0.5*(Inputs!$C$39+Inputs!$C$40))))+Inputs!$C$38*SIN(2*PI()*((Inputs!$I$9+(((A69)+1)/2)*(Inputs!$J$9-Inputs!$I$9)))/Inputs!$C$39)*SIN(2*PI()*(Inputs!$C$6)/Inputs!$C$40)+-Inputs!$C$41*EXP(-(((Inputs!$C$6)-Inputs!$C$43)^2)/(2*Inputs!$C$44^2))*EXP(-((((Inputs!$I$9+(((A69)+1)/2)*(Inputs!$J$9-Inputs!$I$9)))-Inputs!$C$42)^2)/(2*Inputs!$C$45^2))+Inputs!$C$48*(0.7*(0.45*SIN(2*PI()*((((Inputs!$I$9+(((A69)+1)/2)*(Inputs!$J$9-Inputs!$I$9)))/Inputs!$C$49)+Inputs!$C$47*0.137))+0.35*COS(2*PI()*(((Inputs!$C$6)/Inputs!$C$50)+Inputs!$C$47*0.173))+0.2*SIN(2*PI()*((((Inputs!$I$9+(((A69)+1)/2)*(Inputs!$J$9-Inputs!$I$9)))+(Inputs!$C$6))/(0.5*(Inputs!$C$49+Inputs!$C$50))+Inputs!$C$47*0.097)))+0.3*(2*((SIN((((Inputs!$I$9+(((A69)+1)/2)*(Inputs!$J$9-Inputs!$I$9)))*12.9898+(Inputs!$C$6)*78.233+Inputs!$C$47*37.719))*43758.5453)-INT((SIN((((Inputs!$I$9+(((A69)+1)/2)*(Inputs!$J$9-Inputs!$I$9)))*12.9898+(Inputs!$C$6)*78.233+Inputs!$C$47*37.719))*43758.5453)))-1))),NA())</f>
        <v/>
      </c>
      <c r="AW69" s="10" t="n"/>
      <c r="AX69" s="9">
        <f>A69</f>
        <v/>
      </c>
      <c r="AY69" s="9">
        <f>0</f>
        <v/>
      </c>
      <c r="AZ69" s="9">
        <f>IF(OR(Inputs!$F$6=TRUE,Inputs!$F$6="TRUE",Inputs!$F$6=1),(Inputs!$H$6+Inputs!$L$6*(((Inputs!$I$6+(((A69)+1)/2)*(Inputs!$J$6-Inputs!$I$6)))/Inputs!$K$6)^2),NA())</f>
        <v/>
      </c>
      <c r="BA69" s="9">
        <f>IF(OR(Inputs!$F$7=TRUE,Inputs!$F$7="TRUE",Inputs!$F$7=1),(Inputs!$H$7+Inputs!$L$7*(((Inputs!$I$7+(((A69)+1)/2)*(Inputs!$J$7-Inputs!$I$7)))/Inputs!$K$7)^2),NA())</f>
        <v/>
      </c>
      <c r="BB69" s="9">
        <f>IF(OR(Inputs!$F$8=TRUE,Inputs!$F$8="TRUE",Inputs!$F$8=1),(Inputs!$H$8+Inputs!$L$8*(((Inputs!$I$8+(((A69)+1)/2)*(Inputs!$J$8-Inputs!$I$8)))/Inputs!$K$8)^2),NA())</f>
        <v/>
      </c>
      <c r="BC69" s="9">
        <f>IF(OR(Inputs!$F$9=TRUE,Inputs!$F$9="TRUE",Inputs!$F$9=1),(Inputs!$H$9+Inputs!$L$9*(((Inputs!$I$9+(((A69)+1)/2)*(Inputs!$J$9-Inputs!$I$9)))/Inputs!$K$9)^2),NA())</f>
        <v/>
      </c>
      <c r="BD69" s="10" t="n"/>
      <c r="BE69" s="9">
        <f>A69</f>
        <v/>
      </c>
      <c r="BF69" s="9">
        <f>0</f>
        <v/>
      </c>
      <c r="BG69" s="9">
        <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f>
        <v/>
      </c>
      <c r="BH69" s="9">
        <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f>
        <v/>
      </c>
      <c r="BI69" s="9">
        <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f>
        <v/>
      </c>
      <c r="BJ69" s="9">
        <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f>
        <v/>
      </c>
    </row>
    <row r="70">
      <c r="A70" s="9">
        <f>ROUND(-1+68*2/240,3)</f>
        <v/>
      </c>
      <c r="B70" s="9">
        <f>IF(OR(Inputs!$F$6=TRUE,Inputs!$F$6="TRUE",Inputs!$F$6=1),(Inputs!$H$6+Inputs!$L$6*(((Inputs!$I$6+(((A70)+1)/2)*(Inputs!$J$6-Inputs!$I$6)))/Inputs!$K$6)^2),NA())</f>
        <v/>
      </c>
      <c r="C70" s="9">
        <f>IF(OR(Inputs!$F$7=TRUE,Inputs!$F$7="TRUE",Inputs!$F$7=1),(Inputs!$H$7+Inputs!$L$7*(((Inputs!$I$7+(((A70)+1)/2)*(Inputs!$J$7-Inputs!$I$7)))/Inputs!$K$7)^2),NA())</f>
        <v/>
      </c>
      <c r="D70" s="9">
        <f>IF(OR(Inputs!$F$8=TRUE,Inputs!$F$8="TRUE",Inputs!$F$8=1),(Inputs!$H$8+Inputs!$L$8*(((Inputs!$I$8+(((A70)+1)/2)*(Inputs!$J$8-Inputs!$I$8)))/Inputs!$K$8)^2),NA())</f>
        <v/>
      </c>
      <c r="E70" s="9">
        <f>IF(OR(Inputs!$F$9=TRUE,Inputs!$F$9="TRUE",Inputs!$F$9=1),(Inputs!$H$9+Inputs!$L$9*(((Inputs!$I$9+(((A70)+1)/2)*(Inputs!$J$9-Inputs!$I$9)))/Inputs!$K$9)^2),NA())</f>
        <v/>
      </c>
      <c r="F70" s="10" t="n"/>
      <c r="G70" s="9">
        <f>A70</f>
        <v/>
      </c>
      <c r="H70" s="9">
        <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f>
        <v/>
      </c>
      <c r="I70" s="9">
        <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f>
        <v/>
      </c>
      <c r="J70" s="9">
        <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f>
        <v/>
      </c>
      <c r="K70" s="9">
        <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f>
        <v/>
      </c>
      <c r="L70" s="10" t="n"/>
      <c r="M70" s="9">
        <f>A70</f>
        <v/>
      </c>
      <c r="N70" s="9">
        <f>IF(OR(Inputs!$F$6=TRUE,Inputs!$F$6="TRUE",Inputs!$F$6=1),(-2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NA())</f>
        <v/>
      </c>
      <c r="O70" s="9">
        <f>IF(OR(Inputs!$F$7=TRUE,Inputs!$F$7="TRUE",Inputs!$F$7=1),(-2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NA())</f>
        <v/>
      </c>
      <c r="P70" s="9">
        <f>IF(OR(Inputs!$F$8=TRUE,Inputs!$F$8="TRUE",Inputs!$F$8=1),(-2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NA())</f>
        <v/>
      </c>
      <c r="Q70" s="9">
        <f>IF(OR(Inputs!$F$9=TRUE,Inputs!$F$9="TRUE",Inputs!$F$9=1),(-2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NA())</f>
        <v/>
      </c>
      <c r="R70" s="10" t="n"/>
      <c r="S70" s="9">
        <f>A70</f>
        <v/>
      </c>
      <c r="T70" s="9">
        <f>(Inputs!$I$6+(((A70)+1)/2)*(Inputs!$J$6-Inputs!$I$6))</f>
        <v/>
      </c>
      <c r="U70" s="9">
        <f>(Inputs!$I$7+(((A70)+1)/2)*(Inputs!$J$7-Inputs!$I$7))</f>
        <v/>
      </c>
      <c r="V70" s="9">
        <f>(Inputs!$I$8+(((A70)+1)/2)*(Inputs!$J$8-Inputs!$I$8))</f>
        <v/>
      </c>
      <c r="W70" s="9">
        <f>(Inputs!$I$9+(((A70)+1)/2)*(Inputs!$J$9-Inputs!$I$9))</f>
        <v/>
      </c>
      <c r="X70" s="10" t="n"/>
      <c r="Y70" s="9">
        <f>A70</f>
        <v/>
      </c>
      <c r="Z70" s="9">
        <f>(Inputs!$H$6+Inputs!$L$6*(((Inputs!$I$6+(((A70)+1)/2)*(Inputs!$J$6-Inputs!$I$6)))/Inputs!$K$6)^2)</f>
        <v/>
      </c>
      <c r="AA70" s="9">
        <f>(Inputs!$H$7+Inputs!$L$7*(((Inputs!$I$7+(((A70)+1)/2)*(Inputs!$J$7-Inputs!$I$7)))/Inputs!$K$7)^2)</f>
        <v/>
      </c>
      <c r="AB70" s="9">
        <f>(Inputs!$H$8+Inputs!$L$8*(((Inputs!$I$8+(((A70)+1)/2)*(Inputs!$J$8-Inputs!$I$8)))/Inputs!$K$8)^2)</f>
        <v/>
      </c>
      <c r="AC70" s="9">
        <f>(Inputs!$H$9+Inputs!$L$9*(((Inputs!$I$9+(((A70)+1)/2)*(Inputs!$J$9-Inputs!$I$9)))/Inputs!$K$9)^2)</f>
        <v/>
      </c>
      <c r="AD70" s="10" t="n"/>
      <c r="AE70" s="9">
        <f>A70</f>
        <v/>
      </c>
      <c r="AF70" s="9">
        <f>(((SQRT((Inputs!$C$52+((Inputs!$H$6+Inputs!$L$6*(((Inputs!$I$6+(((A70)+1)/2)*(Inputs!$J$6-Inputs!$I$6)))/Inputs!$K$6)^2)))^2+Inputs!$C$52^2-2*(Inputs!$C$52+((Inputs!$H$6+Inputs!$L$6*(((Inputs!$I$6+(((A70)+1)/2)*(Inputs!$J$6-Inputs!$I$6)))/Inputs!$K$6)^2)))*Inputs!$C$52*COS(SQRT(((Inputs!$I$6+(((A70)+1)/2)*(Inputs!$J$6-Inputs!$I$6)))^2+Inputs!$C$6^2)/Inputs!$C$52)))-((Inputs!$H$6+Inputs!$L$6*(((Inputs!$I$6+(((A70)+1)/2)*(Inputs!$J$6-Inputs!$I$6)))/Inputs!$K$6)^2)))*1000/Inputs!$C$12)</f>
        <v/>
      </c>
      <c r="AG70" s="9">
        <f>(((SQRT((Inputs!$C$52+((Inputs!$H$7+Inputs!$L$7*(((Inputs!$I$7+(((A70)+1)/2)*(Inputs!$J$7-Inputs!$I$7)))/Inputs!$K$7)^2)))^2+Inputs!$C$52^2-2*(Inputs!$C$52+((Inputs!$H$7+Inputs!$L$7*(((Inputs!$I$7+(((A70)+1)/2)*(Inputs!$J$7-Inputs!$I$7)))/Inputs!$K$7)^2)))*Inputs!$C$52*COS(SQRT(((Inputs!$I$7+(((A70)+1)/2)*(Inputs!$J$7-Inputs!$I$7)))^2+Inputs!$C$6^2)/Inputs!$C$52)))-((Inputs!$H$7+Inputs!$L$7*(((Inputs!$I$7+(((A70)+1)/2)*(Inputs!$J$7-Inputs!$I$7)))/Inputs!$K$7)^2)))*1000/Inputs!$C$12)</f>
        <v/>
      </c>
      <c r="AH70" s="9">
        <f>(((SQRT((Inputs!$C$52+((Inputs!$H$8+Inputs!$L$8*(((Inputs!$I$8+(((A70)+1)/2)*(Inputs!$J$8-Inputs!$I$8)))/Inputs!$K$8)^2)))^2+Inputs!$C$52^2-2*(Inputs!$C$52+((Inputs!$H$8+Inputs!$L$8*(((Inputs!$I$8+(((A70)+1)/2)*(Inputs!$J$8-Inputs!$I$8)))/Inputs!$K$8)^2)))*Inputs!$C$52*COS(SQRT(((Inputs!$I$8+(((A70)+1)/2)*(Inputs!$J$8-Inputs!$I$8)))^2+Inputs!$C$6^2)/Inputs!$C$52)))-((Inputs!$H$8+Inputs!$L$8*(((Inputs!$I$8+(((A70)+1)/2)*(Inputs!$J$8-Inputs!$I$8)))/Inputs!$K$8)^2)))*1000/Inputs!$C$12)</f>
        <v/>
      </c>
      <c r="AI70" s="9">
        <f>(((SQRT((Inputs!$C$52+((Inputs!$H$9+Inputs!$L$9*(((Inputs!$I$9+(((A70)+1)/2)*(Inputs!$J$9-Inputs!$I$9)))/Inputs!$K$9)^2)))^2+Inputs!$C$52^2-2*(Inputs!$C$52+((Inputs!$H$9+Inputs!$L$9*(((Inputs!$I$9+(((A70)+1)/2)*(Inputs!$J$9-Inputs!$I$9)))/Inputs!$K$9)^2)))*Inputs!$C$52*COS(SQRT(((Inputs!$I$9+(((A70)+1)/2)*(Inputs!$J$9-Inputs!$I$9)))^2+Inputs!$C$6^2)/Inputs!$C$52)))-((Inputs!$H$9+Inputs!$L$9*(((Inputs!$I$9+(((A70)+1)/2)*(Inputs!$J$9-Inputs!$I$9)))/Inputs!$K$9)^2)))*1000/Inputs!$C$12)</f>
        <v/>
      </c>
      <c r="AJ70" s="10" t="n"/>
      <c r="AK70" s="9">
        <f>A70</f>
        <v/>
      </c>
      <c r="AL70" s="9">
        <f>(-2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f>
        <v/>
      </c>
      <c r="AM70" s="9">
        <f>(-2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f>
        <v/>
      </c>
      <c r="AN70" s="9">
        <f>(-2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f>
        <v/>
      </c>
      <c r="AO70" s="9">
        <f>(-2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f>
        <v/>
      </c>
      <c r="AP70" s="10" t="n"/>
      <c r="AQ70" s="9">
        <f>A70</f>
        <v/>
      </c>
      <c r="AR70" s="9">
        <f>0</f>
        <v/>
      </c>
      <c r="AS70" s="9">
        <f>IF(OR(Inputs!$F$6=TRUE,Inputs!$F$6="TRUE",Inputs!$F$6=1),IF(OR(Inputs!$C$27=TRUE,Inputs!$C$27="TRUE",Inputs!$C$27=1),1,0)*(Inputs!$C$51*(115*EXP(-(((Inputs!$C$6)-25)^2)/(4.5^2))+70*EXP(-(((Inputs!$C$6)+38)^2)/(7^2))*(0.55+0.45*SIN(2*PI()*((Inputs!$I$6+(((A70)+1)/2)*(Inputs!$J$6-Inputs!$I$6)))/45))+24*SIN(2*PI()*(Inputs!$C$6)/9+((Inputs!$I$6+(((A70)+1)/2)*(Inputs!$J$6-Inputs!$I$6)))/18)*EXP(-(((Inputs!$C$6)+5)^2)/(22^2))+18*SIN(2*PI()*((Inputs!$I$6+(((A70)+1)/2)*(Inputs!$J$6-Inputs!$I$6)))/70))+Inputs!$C$28*EXP(-((((Inputs!$I$6+(((A70)+1)/2)*(Inputs!$J$6-Inputs!$I$6)))-Inputs!$C$29)^2)/(2*Inputs!$C$31^2))*EXP(-(((Inputs!$C$6)-Inputs!$C$30)^2)/(2*Inputs!$C$32^2))+-Inputs!$C$33*EXP(-((((((Inputs!$I$6+(((A70)+1)/2)*(Inputs!$J$6-Inputs!$I$6)))-Inputs!$C$34)^2)+(((Inputs!$C$6)-Inputs!$C$35)^2))/(2*Inputs!$C$36^2)))+Inputs!$C$37*(0.55*SIN(2*PI()*((Inputs!$I$6+(((A70)+1)/2)*(Inputs!$J$6-Inputs!$I$6)))/Inputs!$C$39)+0.35*COS(2*PI()*(Inputs!$C$6)/Inputs!$C$40)+0.2*SIN(2*PI()*(((Inputs!$I$6+(((A70)+1)/2)*(Inputs!$J$6-Inputs!$I$6)))+(Inputs!$C$6))/(0.5*(Inputs!$C$39+Inputs!$C$40))))+Inputs!$C$38*SIN(2*PI()*((Inputs!$I$6+(((A70)+1)/2)*(Inputs!$J$6-Inputs!$I$6)))/Inputs!$C$39)*SIN(2*PI()*(Inputs!$C$6)/Inputs!$C$40)+-Inputs!$C$41*EXP(-(((Inputs!$C$6)-Inputs!$C$43)^2)/(2*Inputs!$C$44^2))*EXP(-((((Inputs!$I$6+(((A70)+1)/2)*(Inputs!$J$6-Inputs!$I$6)))-Inputs!$C$42)^2)/(2*Inputs!$C$45^2))+Inputs!$C$48*(0.7*(0.45*SIN(2*PI()*((((Inputs!$I$6+(((A70)+1)/2)*(Inputs!$J$6-Inputs!$I$6)))/Inputs!$C$49)+Inputs!$C$47*0.137))+0.35*COS(2*PI()*(((Inputs!$C$6)/Inputs!$C$50)+Inputs!$C$47*0.173))+0.2*SIN(2*PI()*((((Inputs!$I$6+(((A70)+1)/2)*(Inputs!$J$6-Inputs!$I$6)))+(Inputs!$C$6))/(0.5*(Inputs!$C$49+Inputs!$C$50))+Inputs!$C$47*0.097)))+0.3*(2*((SIN((((Inputs!$I$6+(((A70)+1)/2)*(Inputs!$J$6-Inputs!$I$6)))*12.9898+(Inputs!$C$6)*78.233+Inputs!$C$47*37.719))*43758.5453)-INT((SIN((((Inputs!$I$6+(((A70)+1)/2)*(Inputs!$J$6-Inputs!$I$6)))*12.9898+(Inputs!$C$6)*78.233+Inputs!$C$47*37.719))*43758.5453)))-1))),NA())</f>
        <v/>
      </c>
      <c r="AT70" s="9">
        <f>IF(OR(Inputs!$F$7=TRUE,Inputs!$F$7="TRUE",Inputs!$F$7=1),IF(OR(Inputs!$C$27=TRUE,Inputs!$C$27="TRUE",Inputs!$C$27=1),1,0)*(Inputs!$C$51*(115*EXP(-(((Inputs!$C$6)-25)^2)/(4.5^2))+70*EXP(-(((Inputs!$C$6)+38)^2)/(7^2))*(0.55+0.45*SIN(2*PI()*((Inputs!$I$7+(((A70)+1)/2)*(Inputs!$J$7-Inputs!$I$7)))/45))+24*SIN(2*PI()*(Inputs!$C$6)/9+((Inputs!$I$7+(((A70)+1)/2)*(Inputs!$J$7-Inputs!$I$7)))/18)*EXP(-(((Inputs!$C$6)+5)^2)/(22^2))+18*SIN(2*PI()*((Inputs!$I$7+(((A70)+1)/2)*(Inputs!$J$7-Inputs!$I$7)))/70))+Inputs!$C$28*EXP(-((((Inputs!$I$7+(((A70)+1)/2)*(Inputs!$J$7-Inputs!$I$7)))-Inputs!$C$29)^2)/(2*Inputs!$C$31^2))*EXP(-(((Inputs!$C$6)-Inputs!$C$30)^2)/(2*Inputs!$C$32^2))+-Inputs!$C$33*EXP(-((((((Inputs!$I$7+(((A70)+1)/2)*(Inputs!$J$7-Inputs!$I$7)))-Inputs!$C$34)^2)+(((Inputs!$C$6)-Inputs!$C$35)^2))/(2*Inputs!$C$36^2)))+Inputs!$C$37*(0.55*SIN(2*PI()*((Inputs!$I$7+(((A70)+1)/2)*(Inputs!$J$7-Inputs!$I$7)))/Inputs!$C$39)+0.35*COS(2*PI()*(Inputs!$C$6)/Inputs!$C$40)+0.2*SIN(2*PI()*(((Inputs!$I$7+(((A70)+1)/2)*(Inputs!$J$7-Inputs!$I$7)))+(Inputs!$C$6))/(0.5*(Inputs!$C$39+Inputs!$C$40))))+Inputs!$C$38*SIN(2*PI()*((Inputs!$I$7+(((A70)+1)/2)*(Inputs!$J$7-Inputs!$I$7)))/Inputs!$C$39)*SIN(2*PI()*(Inputs!$C$6)/Inputs!$C$40)+-Inputs!$C$41*EXP(-(((Inputs!$C$6)-Inputs!$C$43)^2)/(2*Inputs!$C$44^2))*EXP(-((((Inputs!$I$7+(((A70)+1)/2)*(Inputs!$J$7-Inputs!$I$7)))-Inputs!$C$42)^2)/(2*Inputs!$C$45^2))+Inputs!$C$48*(0.7*(0.45*SIN(2*PI()*((((Inputs!$I$7+(((A70)+1)/2)*(Inputs!$J$7-Inputs!$I$7)))/Inputs!$C$49)+Inputs!$C$47*0.137))+0.35*COS(2*PI()*(((Inputs!$C$6)/Inputs!$C$50)+Inputs!$C$47*0.173))+0.2*SIN(2*PI()*((((Inputs!$I$7+(((A70)+1)/2)*(Inputs!$J$7-Inputs!$I$7)))+(Inputs!$C$6))/(0.5*(Inputs!$C$49+Inputs!$C$50))+Inputs!$C$47*0.097)))+0.3*(2*((SIN((((Inputs!$I$7+(((A70)+1)/2)*(Inputs!$J$7-Inputs!$I$7)))*12.9898+(Inputs!$C$6)*78.233+Inputs!$C$47*37.719))*43758.5453)-INT((SIN((((Inputs!$I$7+(((A70)+1)/2)*(Inputs!$J$7-Inputs!$I$7)))*12.9898+(Inputs!$C$6)*78.233+Inputs!$C$47*37.719))*43758.5453)))-1))),NA())</f>
        <v/>
      </c>
      <c r="AU70" s="9">
        <f>IF(OR(Inputs!$F$8=TRUE,Inputs!$F$8="TRUE",Inputs!$F$8=1),IF(OR(Inputs!$C$27=TRUE,Inputs!$C$27="TRUE",Inputs!$C$27=1),1,0)*(Inputs!$C$51*(115*EXP(-(((Inputs!$C$6)-25)^2)/(4.5^2))+70*EXP(-(((Inputs!$C$6)+38)^2)/(7^2))*(0.55+0.45*SIN(2*PI()*((Inputs!$I$8+(((A70)+1)/2)*(Inputs!$J$8-Inputs!$I$8)))/45))+24*SIN(2*PI()*(Inputs!$C$6)/9+((Inputs!$I$8+(((A70)+1)/2)*(Inputs!$J$8-Inputs!$I$8)))/18)*EXP(-(((Inputs!$C$6)+5)^2)/(22^2))+18*SIN(2*PI()*((Inputs!$I$8+(((A70)+1)/2)*(Inputs!$J$8-Inputs!$I$8)))/70))+Inputs!$C$28*EXP(-((((Inputs!$I$8+(((A70)+1)/2)*(Inputs!$J$8-Inputs!$I$8)))-Inputs!$C$29)^2)/(2*Inputs!$C$31^2))*EXP(-(((Inputs!$C$6)-Inputs!$C$30)^2)/(2*Inputs!$C$32^2))+-Inputs!$C$33*EXP(-((((((Inputs!$I$8+(((A70)+1)/2)*(Inputs!$J$8-Inputs!$I$8)))-Inputs!$C$34)^2)+(((Inputs!$C$6)-Inputs!$C$35)^2))/(2*Inputs!$C$36^2)))+Inputs!$C$37*(0.55*SIN(2*PI()*((Inputs!$I$8+(((A70)+1)/2)*(Inputs!$J$8-Inputs!$I$8)))/Inputs!$C$39)+0.35*COS(2*PI()*(Inputs!$C$6)/Inputs!$C$40)+0.2*SIN(2*PI()*(((Inputs!$I$8+(((A70)+1)/2)*(Inputs!$J$8-Inputs!$I$8)))+(Inputs!$C$6))/(0.5*(Inputs!$C$39+Inputs!$C$40))))+Inputs!$C$38*SIN(2*PI()*((Inputs!$I$8+(((A70)+1)/2)*(Inputs!$J$8-Inputs!$I$8)))/Inputs!$C$39)*SIN(2*PI()*(Inputs!$C$6)/Inputs!$C$40)+-Inputs!$C$41*EXP(-(((Inputs!$C$6)-Inputs!$C$43)^2)/(2*Inputs!$C$44^2))*EXP(-((((Inputs!$I$8+(((A70)+1)/2)*(Inputs!$J$8-Inputs!$I$8)))-Inputs!$C$42)^2)/(2*Inputs!$C$45^2))+Inputs!$C$48*(0.7*(0.45*SIN(2*PI()*((((Inputs!$I$8+(((A70)+1)/2)*(Inputs!$J$8-Inputs!$I$8)))/Inputs!$C$49)+Inputs!$C$47*0.137))+0.35*COS(2*PI()*(((Inputs!$C$6)/Inputs!$C$50)+Inputs!$C$47*0.173))+0.2*SIN(2*PI()*((((Inputs!$I$8+(((A70)+1)/2)*(Inputs!$J$8-Inputs!$I$8)))+(Inputs!$C$6))/(0.5*(Inputs!$C$49+Inputs!$C$50))+Inputs!$C$47*0.097)))+0.3*(2*((SIN((((Inputs!$I$8+(((A70)+1)/2)*(Inputs!$J$8-Inputs!$I$8)))*12.9898+(Inputs!$C$6)*78.233+Inputs!$C$47*37.719))*43758.5453)-INT((SIN((((Inputs!$I$8+(((A70)+1)/2)*(Inputs!$J$8-Inputs!$I$8)))*12.9898+(Inputs!$C$6)*78.233+Inputs!$C$47*37.719))*43758.5453)))-1))),NA())</f>
        <v/>
      </c>
      <c r="AV70" s="9">
        <f>IF(OR(Inputs!$F$9=TRUE,Inputs!$F$9="TRUE",Inputs!$F$9=1),IF(OR(Inputs!$C$27=TRUE,Inputs!$C$27="TRUE",Inputs!$C$27=1),1,0)*(Inputs!$C$51*(115*EXP(-(((Inputs!$C$6)-25)^2)/(4.5^2))+70*EXP(-(((Inputs!$C$6)+38)^2)/(7^2))*(0.55+0.45*SIN(2*PI()*((Inputs!$I$9+(((A70)+1)/2)*(Inputs!$J$9-Inputs!$I$9)))/45))+24*SIN(2*PI()*(Inputs!$C$6)/9+((Inputs!$I$9+(((A70)+1)/2)*(Inputs!$J$9-Inputs!$I$9)))/18)*EXP(-(((Inputs!$C$6)+5)^2)/(22^2))+18*SIN(2*PI()*((Inputs!$I$9+(((A70)+1)/2)*(Inputs!$J$9-Inputs!$I$9)))/70))+Inputs!$C$28*EXP(-((((Inputs!$I$9+(((A70)+1)/2)*(Inputs!$J$9-Inputs!$I$9)))-Inputs!$C$29)^2)/(2*Inputs!$C$31^2))*EXP(-(((Inputs!$C$6)-Inputs!$C$30)^2)/(2*Inputs!$C$32^2))+-Inputs!$C$33*EXP(-((((((Inputs!$I$9+(((A70)+1)/2)*(Inputs!$J$9-Inputs!$I$9)))-Inputs!$C$34)^2)+(((Inputs!$C$6)-Inputs!$C$35)^2))/(2*Inputs!$C$36^2)))+Inputs!$C$37*(0.55*SIN(2*PI()*((Inputs!$I$9+(((A70)+1)/2)*(Inputs!$J$9-Inputs!$I$9)))/Inputs!$C$39)+0.35*COS(2*PI()*(Inputs!$C$6)/Inputs!$C$40)+0.2*SIN(2*PI()*(((Inputs!$I$9+(((A70)+1)/2)*(Inputs!$J$9-Inputs!$I$9)))+(Inputs!$C$6))/(0.5*(Inputs!$C$39+Inputs!$C$40))))+Inputs!$C$38*SIN(2*PI()*((Inputs!$I$9+(((A70)+1)/2)*(Inputs!$J$9-Inputs!$I$9)))/Inputs!$C$39)*SIN(2*PI()*(Inputs!$C$6)/Inputs!$C$40)+-Inputs!$C$41*EXP(-(((Inputs!$C$6)-Inputs!$C$43)^2)/(2*Inputs!$C$44^2))*EXP(-((((Inputs!$I$9+(((A70)+1)/2)*(Inputs!$J$9-Inputs!$I$9)))-Inputs!$C$42)^2)/(2*Inputs!$C$45^2))+Inputs!$C$48*(0.7*(0.45*SIN(2*PI()*((((Inputs!$I$9+(((A70)+1)/2)*(Inputs!$J$9-Inputs!$I$9)))/Inputs!$C$49)+Inputs!$C$47*0.137))+0.35*COS(2*PI()*(((Inputs!$C$6)/Inputs!$C$50)+Inputs!$C$47*0.173))+0.2*SIN(2*PI()*((((Inputs!$I$9+(((A70)+1)/2)*(Inputs!$J$9-Inputs!$I$9)))+(Inputs!$C$6))/(0.5*(Inputs!$C$49+Inputs!$C$50))+Inputs!$C$47*0.097)))+0.3*(2*((SIN((((Inputs!$I$9+(((A70)+1)/2)*(Inputs!$J$9-Inputs!$I$9)))*12.9898+(Inputs!$C$6)*78.233+Inputs!$C$47*37.719))*43758.5453)-INT((SIN((((Inputs!$I$9+(((A70)+1)/2)*(Inputs!$J$9-Inputs!$I$9)))*12.9898+(Inputs!$C$6)*78.233+Inputs!$C$47*37.719))*43758.5453)))-1))),NA())</f>
        <v/>
      </c>
      <c r="AW70" s="10" t="n"/>
      <c r="AX70" s="9">
        <f>A70</f>
        <v/>
      </c>
      <c r="AY70" s="9">
        <f>0</f>
        <v/>
      </c>
      <c r="AZ70" s="9">
        <f>IF(OR(Inputs!$F$6=TRUE,Inputs!$F$6="TRUE",Inputs!$F$6=1),(Inputs!$H$6+Inputs!$L$6*(((Inputs!$I$6+(((A70)+1)/2)*(Inputs!$J$6-Inputs!$I$6)))/Inputs!$K$6)^2),NA())</f>
        <v/>
      </c>
      <c r="BA70" s="9">
        <f>IF(OR(Inputs!$F$7=TRUE,Inputs!$F$7="TRUE",Inputs!$F$7=1),(Inputs!$H$7+Inputs!$L$7*(((Inputs!$I$7+(((A70)+1)/2)*(Inputs!$J$7-Inputs!$I$7)))/Inputs!$K$7)^2),NA())</f>
        <v/>
      </c>
      <c r="BB70" s="9">
        <f>IF(OR(Inputs!$F$8=TRUE,Inputs!$F$8="TRUE",Inputs!$F$8=1),(Inputs!$H$8+Inputs!$L$8*(((Inputs!$I$8+(((A70)+1)/2)*(Inputs!$J$8-Inputs!$I$8)))/Inputs!$K$8)^2),NA())</f>
        <v/>
      </c>
      <c r="BC70" s="9">
        <f>IF(OR(Inputs!$F$9=TRUE,Inputs!$F$9="TRUE",Inputs!$F$9=1),(Inputs!$H$9+Inputs!$L$9*(((Inputs!$I$9+(((A70)+1)/2)*(Inputs!$J$9-Inputs!$I$9)))/Inputs!$K$9)^2),NA())</f>
        <v/>
      </c>
      <c r="BD70" s="10" t="n"/>
      <c r="BE70" s="9">
        <f>A70</f>
        <v/>
      </c>
      <c r="BF70" s="9">
        <f>0</f>
        <v/>
      </c>
      <c r="BG70" s="9">
        <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f>
        <v/>
      </c>
      <c r="BH70" s="9">
        <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f>
        <v/>
      </c>
      <c r="BI70" s="9">
        <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f>
        <v/>
      </c>
      <c r="BJ70" s="9">
        <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f>
        <v/>
      </c>
    </row>
    <row r="71">
      <c r="A71" s="9">
        <f>ROUND(-1+69*2/240,3)</f>
        <v/>
      </c>
      <c r="B71" s="9">
        <f>IF(OR(Inputs!$F$6=TRUE,Inputs!$F$6="TRUE",Inputs!$F$6=1),(Inputs!$H$6+Inputs!$L$6*(((Inputs!$I$6+(((A71)+1)/2)*(Inputs!$J$6-Inputs!$I$6)))/Inputs!$K$6)^2),NA())</f>
        <v/>
      </c>
      <c r="C71" s="9">
        <f>IF(OR(Inputs!$F$7=TRUE,Inputs!$F$7="TRUE",Inputs!$F$7=1),(Inputs!$H$7+Inputs!$L$7*(((Inputs!$I$7+(((A71)+1)/2)*(Inputs!$J$7-Inputs!$I$7)))/Inputs!$K$7)^2),NA())</f>
        <v/>
      </c>
      <c r="D71" s="9">
        <f>IF(OR(Inputs!$F$8=TRUE,Inputs!$F$8="TRUE",Inputs!$F$8=1),(Inputs!$H$8+Inputs!$L$8*(((Inputs!$I$8+(((A71)+1)/2)*(Inputs!$J$8-Inputs!$I$8)))/Inputs!$K$8)^2),NA())</f>
        <v/>
      </c>
      <c r="E71" s="9">
        <f>IF(OR(Inputs!$F$9=TRUE,Inputs!$F$9="TRUE",Inputs!$F$9=1),(Inputs!$H$9+Inputs!$L$9*(((Inputs!$I$9+(((A71)+1)/2)*(Inputs!$J$9-Inputs!$I$9)))/Inputs!$K$9)^2),NA())</f>
        <v/>
      </c>
      <c r="F71" s="10" t="n"/>
      <c r="G71" s="9">
        <f>A71</f>
        <v/>
      </c>
      <c r="H71" s="9">
        <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f>
        <v/>
      </c>
      <c r="I71" s="9">
        <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f>
        <v/>
      </c>
      <c r="J71" s="9">
        <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f>
        <v/>
      </c>
      <c r="K71" s="9">
        <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f>
        <v/>
      </c>
      <c r="L71" s="10" t="n"/>
      <c r="M71" s="9">
        <f>A71</f>
        <v/>
      </c>
      <c r="N71" s="9">
        <f>IF(OR(Inputs!$F$6=TRUE,Inputs!$F$6="TRUE",Inputs!$F$6=1),(-2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NA())</f>
        <v/>
      </c>
      <c r="O71" s="9">
        <f>IF(OR(Inputs!$F$7=TRUE,Inputs!$F$7="TRUE",Inputs!$F$7=1),(-2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NA())</f>
        <v/>
      </c>
      <c r="P71" s="9">
        <f>IF(OR(Inputs!$F$8=TRUE,Inputs!$F$8="TRUE",Inputs!$F$8=1),(-2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NA())</f>
        <v/>
      </c>
      <c r="Q71" s="9">
        <f>IF(OR(Inputs!$F$9=TRUE,Inputs!$F$9="TRUE",Inputs!$F$9=1),(-2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NA())</f>
        <v/>
      </c>
      <c r="R71" s="10" t="n"/>
      <c r="S71" s="9">
        <f>A71</f>
        <v/>
      </c>
      <c r="T71" s="9">
        <f>(Inputs!$I$6+(((A71)+1)/2)*(Inputs!$J$6-Inputs!$I$6))</f>
        <v/>
      </c>
      <c r="U71" s="9">
        <f>(Inputs!$I$7+(((A71)+1)/2)*(Inputs!$J$7-Inputs!$I$7))</f>
        <v/>
      </c>
      <c r="V71" s="9">
        <f>(Inputs!$I$8+(((A71)+1)/2)*(Inputs!$J$8-Inputs!$I$8))</f>
        <v/>
      </c>
      <c r="W71" s="9">
        <f>(Inputs!$I$9+(((A71)+1)/2)*(Inputs!$J$9-Inputs!$I$9))</f>
        <v/>
      </c>
      <c r="X71" s="10" t="n"/>
      <c r="Y71" s="9">
        <f>A71</f>
        <v/>
      </c>
      <c r="Z71" s="9">
        <f>(Inputs!$H$6+Inputs!$L$6*(((Inputs!$I$6+(((A71)+1)/2)*(Inputs!$J$6-Inputs!$I$6)))/Inputs!$K$6)^2)</f>
        <v/>
      </c>
      <c r="AA71" s="9">
        <f>(Inputs!$H$7+Inputs!$L$7*(((Inputs!$I$7+(((A71)+1)/2)*(Inputs!$J$7-Inputs!$I$7)))/Inputs!$K$7)^2)</f>
        <v/>
      </c>
      <c r="AB71" s="9">
        <f>(Inputs!$H$8+Inputs!$L$8*(((Inputs!$I$8+(((A71)+1)/2)*(Inputs!$J$8-Inputs!$I$8)))/Inputs!$K$8)^2)</f>
        <v/>
      </c>
      <c r="AC71" s="9">
        <f>(Inputs!$H$9+Inputs!$L$9*(((Inputs!$I$9+(((A71)+1)/2)*(Inputs!$J$9-Inputs!$I$9)))/Inputs!$K$9)^2)</f>
        <v/>
      </c>
      <c r="AD71" s="10" t="n"/>
      <c r="AE71" s="9">
        <f>A71</f>
        <v/>
      </c>
      <c r="AF71" s="9">
        <f>(((SQRT((Inputs!$C$52+((Inputs!$H$6+Inputs!$L$6*(((Inputs!$I$6+(((A71)+1)/2)*(Inputs!$J$6-Inputs!$I$6)))/Inputs!$K$6)^2)))^2+Inputs!$C$52^2-2*(Inputs!$C$52+((Inputs!$H$6+Inputs!$L$6*(((Inputs!$I$6+(((A71)+1)/2)*(Inputs!$J$6-Inputs!$I$6)))/Inputs!$K$6)^2)))*Inputs!$C$52*COS(SQRT(((Inputs!$I$6+(((A71)+1)/2)*(Inputs!$J$6-Inputs!$I$6)))^2+Inputs!$C$6^2)/Inputs!$C$52)))-((Inputs!$H$6+Inputs!$L$6*(((Inputs!$I$6+(((A71)+1)/2)*(Inputs!$J$6-Inputs!$I$6)))/Inputs!$K$6)^2)))*1000/Inputs!$C$12)</f>
        <v/>
      </c>
      <c r="AG71" s="9">
        <f>(((SQRT((Inputs!$C$52+((Inputs!$H$7+Inputs!$L$7*(((Inputs!$I$7+(((A71)+1)/2)*(Inputs!$J$7-Inputs!$I$7)))/Inputs!$K$7)^2)))^2+Inputs!$C$52^2-2*(Inputs!$C$52+((Inputs!$H$7+Inputs!$L$7*(((Inputs!$I$7+(((A71)+1)/2)*(Inputs!$J$7-Inputs!$I$7)))/Inputs!$K$7)^2)))*Inputs!$C$52*COS(SQRT(((Inputs!$I$7+(((A71)+1)/2)*(Inputs!$J$7-Inputs!$I$7)))^2+Inputs!$C$6^2)/Inputs!$C$52)))-((Inputs!$H$7+Inputs!$L$7*(((Inputs!$I$7+(((A71)+1)/2)*(Inputs!$J$7-Inputs!$I$7)))/Inputs!$K$7)^2)))*1000/Inputs!$C$12)</f>
        <v/>
      </c>
      <c r="AH71" s="9">
        <f>(((SQRT((Inputs!$C$52+((Inputs!$H$8+Inputs!$L$8*(((Inputs!$I$8+(((A71)+1)/2)*(Inputs!$J$8-Inputs!$I$8)))/Inputs!$K$8)^2)))^2+Inputs!$C$52^2-2*(Inputs!$C$52+((Inputs!$H$8+Inputs!$L$8*(((Inputs!$I$8+(((A71)+1)/2)*(Inputs!$J$8-Inputs!$I$8)))/Inputs!$K$8)^2)))*Inputs!$C$52*COS(SQRT(((Inputs!$I$8+(((A71)+1)/2)*(Inputs!$J$8-Inputs!$I$8)))^2+Inputs!$C$6^2)/Inputs!$C$52)))-((Inputs!$H$8+Inputs!$L$8*(((Inputs!$I$8+(((A71)+1)/2)*(Inputs!$J$8-Inputs!$I$8)))/Inputs!$K$8)^2)))*1000/Inputs!$C$12)</f>
        <v/>
      </c>
      <c r="AI71" s="9">
        <f>(((SQRT((Inputs!$C$52+((Inputs!$H$9+Inputs!$L$9*(((Inputs!$I$9+(((A71)+1)/2)*(Inputs!$J$9-Inputs!$I$9)))/Inputs!$K$9)^2)))^2+Inputs!$C$52^2-2*(Inputs!$C$52+((Inputs!$H$9+Inputs!$L$9*(((Inputs!$I$9+(((A71)+1)/2)*(Inputs!$J$9-Inputs!$I$9)))/Inputs!$K$9)^2)))*Inputs!$C$52*COS(SQRT(((Inputs!$I$9+(((A71)+1)/2)*(Inputs!$J$9-Inputs!$I$9)))^2+Inputs!$C$6^2)/Inputs!$C$52)))-((Inputs!$H$9+Inputs!$L$9*(((Inputs!$I$9+(((A71)+1)/2)*(Inputs!$J$9-Inputs!$I$9)))/Inputs!$K$9)^2)))*1000/Inputs!$C$12)</f>
        <v/>
      </c>
      <c r="AJ71" s="10" t="n"/>
      <c r="AK71" s="9">
        <f>A71</f>
        <v/>
      </c>
      <c r="AL71" s="9">
        <f>(-2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f>
        <v/>
      </c>
      <c r="AM71" s="9">
        <f>(-2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f>
        <v/>
      </c>
      <c r="AN71" s="9">
        <f>(-2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f>
        <v/>
      </c>
      <c r="AO71" s="9">
        <f>(-2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f>
        <v/>
      </c>
      <c r="AP71" s="10" t="n"/>
      <c r="AQ71" s="9">
        <f>A71</f>
        <v/>
      </c>
      <c r="AR71" s="9">
        <f>0</f>
        <v/>
      </c>
      <c r="AS71" s="9">
        <f>IF(OR(Inputs!$F$6=TRUE,Inputs!$F$6="TRUE",Inputs!$F$6=1),IF(OR(Inputs!$C$27=TRUE,Inputs!$C$27="TRUE",Inputs!$C$27=1),1,0)*(Inputs!$C$51*(115*EXP(-(((Inputs!$C$6)-25)^2)/(4.5^2))+70*EXP(-(((Inputs!$C$6)+38)^2)/(7^2))*(0.55+0.45*SIN(2*PI()*((Inputs!$I$6+(((A71)+1)/2)*(Inputs!$J$6-Inputs!$I$6)))/45))+24*SIN(2*PI()*(Inputs!$C$6)/9+((Inputs!$I$6+(((A71)+1)/2)*(Inputs!$J$6-Inputs!$I$6)))/18)*EXP(-(((Inputs!$C$6)+5)^2)/(22^2))+18*SIN(2*PI()*((Inputs!$I$6+(((A71)+1)/2)*(Inputs!$J$6-Inputs!$I$6)))/70))+Inputs!$C$28*EXP(-((((Inputs!$I$6+(((A71)+1)/2)*(Inputs!$J$6-Inputs!$I$6)))-Inputs!$C$29)^2)/(2*Inputs!$C$31^2))*EXP(-(((Inputs!$C$6)-Inputs!$C$30)^2)/(2*Inputs!$C$32^2))+-Inputs!$C$33*EXP(-((((((Inputs!$I$6+(((A71)+1)/2)*(Inputs!$J$6-Inputs!$I$6)))-Inputs!$C$34)^2)+(((Inputs!$C$6)-Inputs!$C$35)^2))/(2*Inputs!$C$36^2)))+Inputs!$C$37*(0.55*SIN(2*PI()*((Inputs!$I$6+(((A71)+1)/2)*(Inputs!$J$6-Inputs!$I$6)))/Inputs!$C$39)+0.35*COS(2*PI()*(Inputs!$C$6)/Inputs!$C$40)+0.2*SIN(2*PI()*(((Inputs!$I$6+(((A71)+1)/2)*(Inputs!$J$6-Inputs!$I$6)))+(Inputs!$C$6))/(0.5*(Inputs!$C$39+Inputs!$C$40))))+Inputs!$C$38*SIN(2*PI()*((Inputs!$I$6+(((A71)+1)/2)*(Inputs!$J$6-Inputs!$I$6)))/Inputs!$C$39)*SIN(2*PI()*(Inputs!$C$6)/Inputs!$C$40)+-Inputs!$C$41*EXP(-(((Inputs!$C$6)-Inputs!$C$43)^2)/(2*Inputs!$C$44^2))*EXP(-((((Inputs!$I$6+(((A71)+1)/2)*(Inputs!$J$6-Inputs!$I$6)))-Inputs!$C$42)^2)/(2*Inputs!$C$45^2))+Inputs!$C$48*(0.7*(0.45*SIN(2*PI()*((((Inputs!$I$6+(((A71)+1)/2)*(Inputs!$J$6-Inputs!$I$6)))/Inputs!$C$49)+Inputs!$C$47*0.137))+0.35*COS(2*PI()*(((Inputs!$C$6)/Inputs!$C$50)+Inputs!$C$47*0.173))+0.2*SIN(2*PI()*((((Inputs!$I$6+(((A71)+1)/2)*(Inputs!$J$6-Inputs!$I$6)))+(Inputs!$C$6))/(0.5*(Inputs!$C$49+Inputs!$C$50))+Inputs!$C$47*0.097)))+0.3*(2*((SIN((((Inputs!$I$6+(((A71)+1)/2)*(Inputs!$J$6-Inputs!$I$6)))*12.9898+(Inputs!$C$6)*78.233+Inputs!$C$47*37.719))*43758.5453)-INT((SIN((((Inputs!$I$6+(((A71)+1)/2)*(Inputs!$J$6-Inputs!$I$6)))*12.9898+(Inputs!$C$6)*78.233+Inputs!$C$47*37.719))*43758.5453)))-1))),NA())</f>
        <v/>
      </c>
      <c r="AT71" s="9">
        <f>IF(OR(Inputs!$F$7=TRUE,Inputs!$F$7="TRUE",Inputs!$F$7=1),IF(OR(Inputs!$C$27=TRUE,Inputs!$C$27="TRUE",Inputs!$C$27=1),1,0)*(Inputs!$C$51*(115*EXP(-(((Inputs!$C$6)-25)^2)/(4.5^2))+70*EXP(-(((Inputs!$C$6)+38)^2)/(7^2))*(0.55+0.45*SIN(2*PI()*((Inputs!$I$7+(((A71)+1)/2)*(Inputs!$J$7-Inputs!$I$7)))/45))+24*SIN(2*PI()*(Inputs!$C$6)/9+((Inputs!$I$7+(((A71)+1)/2)*(Inputs!$J$7-Inputs!$I$7)))/18)*EXP(-(((Inputs!$C$6)+5)^2)/(22^2))+18*SIN(2*PI()*((Inputs!$I$7+(((A71)+1)/2)*(Inputs!$J$7-Inputs!$I$7)))/70))+Inputs!$C$28*EXP(-((((Inputs!$I$7+(((A71)+1)/2)*(Inputs!$J$7-Inputs!$I$7)))-Inputs!$C$29)^2)/(2*Inputs!$C$31^2))*EXP(-(((Inputs!$C$6)-Inputs!$C$30)^2)/(2*Inputs!$C$32^2))+-Inputs!$C$33*EXP(-((((((Inputs!$I$7+(((A71)+1)/2)*(Inputs!$J$7-Inputs!$I$7)))-Inputs!$C$34)^2)+(((Inputs!$C$6)-Inputs!$C$35)^2))/(2*Inputs!$C$36^2)))+Inputs!$C$37*(0.55*SIN(2*PI()*((Inputs!$I$7+(((A71)+1)/2)*(Inputs!$J$7-Inputs!$I$7)))/Inputs!$C$39)+0.35*COS(2*PI()*(Inputs!$C$6)/Inputs!$C$40)+0.2*SIN(2*PI()*(((Inputs!$I$7+(((A71)+1)/2)*(Inputs!$J$7-Inputs!$I$7)))+(Inputs!$C$6))/(0.5*(Inputs!$C$39+Inputs!$C$40))))+Inputs!$C$38*SIN(2*PI()*((Inputs!$I$7+(((A71)+1)/2)*(Inputs!$J$7-Inputs!$I$7)))/Inputs!$C$39)*SIN(2*PI()*(Inputs!$C$6)/Inputs!$C$40)+-Inputs!$C$41*EXP(-(((Inputs!$C$6)-Inputs!$C$43)^2)/(2*Inputs!$C$44^2))*EXP(-((((Inputs!$I$7+(((A71)+1)/2)*(Inputs!$J$7-Inputs!$I$7)))-Inputs!$C$42)^2)/(2*Inputs!$C$45^2))+Inputs!$C$48*(0.7*(0.45*SIN(2*PI()*((((Inputs!$I$7+(((A71)+1)/2)*(Inputs!$J$7-Inputs!$I$7)))/Inputs!$C$49)+Inputs!$C$47*0.137))+0.35*COS(2*PI()*(((Inputs!$C$6)/Inputs!$C$50)+Inputs!$C$47*0.173))+0.2*SIN(2*PI()*((((Inputs!$I$7+(((A71)+1)/2)*(Inputs!$J$7-Inputs!$I$7)))+(Inputs!$C$6))/(0.5*(Inputs!$C$49+Inputs!$C$50))+Inputs!$C$47*0.097)))+0.3*(2*((SIN((((Inputs!$I$7+(((A71)+1)/2)*(Inputs!$J$7-Inputs!$I$7)))*12.9898+(Inputs!$C$6)*78.233+Inputs!$C$47*37.719))*43758.5453)-INT((SIN((((Inputs!$I$7+(((A71)+1)/2)*(Inputs!$J$7-Inputs!$I$7)))*12.9898+(Inputs!$C$6)*78.233+Inputs!$C$47*37.719))*43758.5453)))-1))),NA())</f>
        <v/>
      </c>
      <c r="AU71" s="9">
        <f>IF(OR(Inputs!$F$8=TRUE,Inputs!$F$8="TRUE",Inputs!$F$8=1),IF(OR(Inputs!$C$27=TRUE,Inputs!$C$27="TRUE",Inputs!$C$27=1),1,0)*(Inputs!$C$51*(115*EXP(-(((Inputs!$C$6)-25)^2)/(4.5^2))+70*EXP(-(((Inputs!$C$6)+38)^2)/(7^2))*(0.55+0.45*SIN(2*PI()*((Inputs!$I$8+(((A71)+1)/2)*(Inputs!$J$8-Inputs!$I$8)))/45))+24*SIN(2*PI()*(Inputs!$C$6)/9+((Inputs!$I$8+(((A71)+1)/2)*(Inputs!$J$8-Inputs!$I$8)))/18)*EXP(-(((Inputs!$C$6)+5)^2)/(22^2))+18*SIN(2*PI()*((Inputs!$I$8+(((A71)+1)/2)*(Inputs!$J$8-Inputs!$I$8)))/70))+Inputs!$C$28*EXP(-((((Inputs!$I$8+(((A71)+1)/2)*(Inputs!$J$8-Inputs!$I$8)))-Inputs!$C$29)^2)/(2*Inputs!$C$31^2))*EXP(-(((Inputs!$C$6)-Inputs!$C$30)^2)/(2*Inputs!$C$32^2))+-Inputs!$C$33*EXP(-((((((Inputs!$I$8+(((A71)+1)/2)*(Inputs!$J$8-Inputs!$I$8)))-Inputs!$C$34)^2)+(((Inputs!$C$6)-Inputs!$C$35)^2))/(2*Inputs!$C$36^2)))+Inputs!$C$37*(0.55*SIN(2*PI()*((Inputs!$I$8+(((A71)+1)/2)*(Inputs!$J$8-Inputs!$I$8)))/Inputs!$C$39)+0.35*COS(2*PI()*(Inputs!$C$6)/Inputs!$C$40)+0.2*SIN(2*PI()*(((Inputs!$I$8+(((A71)+1)/2)*(Inputs!$J$8-Inputs!$I$8)))+(Inputs!$C$6))/(0.5*(Inputs!$C$39+Inputs!$C$40))))+Inputs!$C$38*SIN(2*PI()*((Inputs!$I$8+(((A71)+1)/2)*(Inputs!$J$8-Inputs!$I$8)))/Inputs!$C$39)*SIN(2*PI()*(Inputs!$C$6)/Inputs!$C$40)+-Inputs!$C$41*EXP(-(((Inputs!$C$6)-Inputs!$C$43)^2)/(2*Inputs!$C$44^2))*EXP(-((((Inputs!$I$8+(((A71)+1)/2)*(Inputs!$J$8-Inputs!$I$8)))-Inputs!$C$42)^2)/(2*Inputs!$C$45^2))+Inputs!$C$48*(0.7*(0.45*SIN(2*PI()*((((Inputs!$I$8+(((A71)+1)/2)*(Inputs!$J$8-Inputs!$I$8)))/Inputs!$C$49)+Inputs!$C$47*0.137))+0.35*COS(2*PI()*(((Inputs!$C$6)/Inputs!$C$50)+Inputs!$C$47*0.173))+0.2*SIN(2*PI()*((((Inputs!$I$8+(((A71)+1)/2)*(Inputs!$J$8-Inputs!$I$8)))+(Inputs!$C$6))/(0.5*(Inputs!$C$49+Inputs!$C$50))+Inputs!$C$47*0.097)))+0.3*(2*((SIN((((Inputs!$I$8+(((A71)+1)/2)*(Inputs!$J$8-Inputs!$I$8)))*12.9898+(Inputs!$C$6)*78.233+Inputs!$C$47*37.719))*43758.5453)-INT((SIN((((Inputs!$I$8+(((A71)+1)/2)*(Inputs!$J$8-Inputs!$I$8)))*12.9898+(Inputs!$C$6)*78.233+Inputs!$C$47*37.719))*43758.5453)))-1))),NA())</f>
        <v/>
      </c>
      <c r="AV71" s="9">
        <f>IF(OR(Inputs!$F$9=TRUE,Inputs!$F$9="TRUE",Inputs!$F$9=1),IF(OR(Inputs!$C$27=TRUE,Inputs!$C$27="TRUE",Inputs!$C$27=1),1,0)*(Inputs!$C$51*(115*EXP(-(((Inputs!$C$6)-25)^2)/(4.5^2))+70*EXP(-(((Inputs!$C$6)+38)^2)/(7^2))*(0.55+0.45*SIN(2*PI()*((Inputs!$I$9+(((A71)+1)/2)*(Inputs!$J$9-Inputs!$I$9)))/45))+24*SIN(2*PI()*(Inputs!$C$6)/9+((Inputs!$I$9+(((A71)+1)/2)*(Inputs!$J$9-Inputs!$I$9)))/18)*EXP(-(((Inputs!$C$6)+5)^2)/(22^2))+18*SIN(2*PI()*((Inputs!$I$9+(((A71)+1)/2)*(Inputs!$J$9-Inputs!$I$9)))/70))+Inputs!$C$28*EXP(-((((Inputs!$I$9+(((A71)+1)/2)*(Inputs!$J$9-Inputs!$I$9)))-Inputs!$C$29)^2)/(2*Inputs!$C$31^2))*EXP(-(((Inputs!$C$6)-Inputs!$C$30)^2)/(2*Inputs!$C$32^2))+-Inputs!$C$33*EXP(-((((((Inputs!$I$9+(((A71)+1)/2)*(Inputs!$J$9-Inputs!$I$9)))-Inputs!$C$34)^2)+(((Inputs!$C$6)-Inputs!$C$35)^2))/(2*Inputs!$C$36^2)))+Inputs!$C$37*(0.55*SIN(2*PI()*((Inputs!$I$9+(((A71)+1)/2)*(Inputs!$J$9-Inputs!$I$9)))/Inputs!$C$39)+0.35*COS(2*PI()*(Inputs!$C$6)/Inputs!$C$40)+0.2*SIN(2*PI()*(((Inputs!$I$9+(((A71)+1)/2)*(Inputs!$J$9-Inputs!$I$9)))+(Inputs!$C$6))/(0.5*(Inputs!$C$39+Inputs!$C$40))))+Inputs!$C$38*SIN(2*PI()*((Inputs!$I$9+(((A71)+1)/2)*(Inputs!$J$9-Inputs!$I$9)))/Inputs!$C$39)*SIN(2*PI()*(Inputs!$C$6)/Inputs!$C$40)+-Inputs!$C$41*EXP(-(((Inputs!$C$6)-Inputs!$C$43)^2)/(2*Inputs!$C$44^2))*EXP(-((((Inputs!$I$9+(((A71)+1)/2)*(Inputs!$J$9-Inputs!$I$9)))-Inputs!$C$42)^2)/(2*Inputs!$C$45^2))+Inputs!$C$48*(0.7*(0.45*SIN(2*PI()*((((Inputs!$I$9+(((A71)+1)/2)*(Inputs!$J$9-Inputs!$I$9)))/Inputs!$C$49)+Inputs!$C$47*0.137))+0.35*COS(2*PI()*(((Inputs!$C$6)/Inputs!$C$50)+Inputs!$C$47*0.173))+0.2*SIN(2*PI()*((((Inputs!$I$9+(((A71)+1)/2)*(Inputs!$J$9-Inputs!$I$9)))+(Inputs!$C$6))/(0.5*(Inputs!$C$49+Inputs!$C$50))+Inputs!$C$47*0.097)))+0.3*(2*((SIN((((Inputs!$I$9+(((A71)+1)/2)*(Inputs!$J$9-Inputs!$I$9)))*12.9898+(Inputs!$C$6)*78.233+Inputs!$C$47*37.719))*43758.5453)-INT((SIN((((Inputs!$I$9+(((A71)+1)/2)*(Inputs!$J$9-Inputs!$I$9)))*12.9898+(Inputs!$C$6)*78.233+Inputs!$C$47*37.719))*43758.5453)))-1))),NA())</f>
        <v/>
      </c>
      <c r="AW71" s="10" t="n"/>
      <c r="AX71" s="9">
        <f>A71</f>
        <v/>
      </c>
      <c r="AY71" s="9">
        <f>0</f>
        <v/>
      </c>
      <c r="AZ71" s="9">
        <f>IF(OR(Inputs!$F$6=TRUE,Inputs!$F$6="TRUE",Inputs!$F$6=1),(Inputs!$H$6+Inputs!$L$6*(((Inputs!$I$6+(((A71)+1)/2)*(Inputs!$J$6-Inputs!$I$6)))/Inputs!$K$6)^2),NA())</f>
        <v/>
      </c>
      <c r="BA71" s="9">
        <f>IF(OR(Inputs!$F$7=TRUE,Inputs!$F$7="TRUE",Inputs!$F$7=1),(Inputs!$H$7+Inputs!$L$7*(((Inputs!$I$7+(((A71)+1)/2)*(Inputs!$J$7-Inputs!$I$7)))/Inputs!$K$7)^2),NA())</f>
        <v/>
      </c>
      <c r="BB71" s="9">
        <f>IF(OR(Inputs!$F$8=TRUE,Inputs!$F$8="TRUE",Inputs!$F$8=1),(Inputs!$H$8+Inputs!$L$8*(((Inputs!$I$8+(((A71)+1)/2)*(Inputs!$J$8-Inputs!$I$8)))/Inputs!$K$8)^2),NA())</f>
        <v/>
      </c>
      <c r="BC71" s="9">
        <f>IF(OR(Inputs!$F$9=TRUE,Inputs!$F$9="TRUE",Inputs!$F$9=1),(Inputs!$H$9+Inputs!$L$9*(((Inputs!$I$9+(((A71)+1)/2)*(Inputs!$J$9-Inputs!$I$9)))/Inputs!$K$9)^2),NA())</f>
        <v/>
      </c>
      <c r="BD71" s="10" t="n"/>
      <c r="BE71" s="9">
        <f>A71</f>
        <v/>
      </c>
      <c r="BF71" s="9">
        <f>0</f>
        <v/>
      </c>
      <c r="BG71" s="9">
        <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f>
        <v/>
      </c>
      <c r="BH71" s="9">
        <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f>
        <v/>
      </c>
      <c r="BI71" s="9">
        <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f>
        <v/>
      </c>
      <c r="BJ71" s="9">
        <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f>
        <v/>
      </c>
    </row>
    <row r="72">
      <c r="A72" s="9">
        <f>ROUND(-1+70*2/240,3)</f>
        <v/>
      </c>
      <c r="B72" s="9">
        <f>IF(OR(Inputs!$F$6=TRUE,Inputs!$F$6="TRUE",Inputs!$F$6=1),(Inputs!$H$6+Inputs!$L$6*(((Inputs!$I$6+(((A72)+1)/2)*(Inputs!$J$6-Inputs!$I$6)))/Inputs!$K$6)^2),NA())</f>
        <v/>
      </c>
      <c r="C72" s="9">
        <f>IF(OR(Inputs!$F$7=TRUE,Inputs!$F$7="TRUE",Inputs!$F$7=1),(Inputs!$H$7+Inputs!$L$7*(((Inputs!$I$7+(((A72)+1)/2)*(Inputs!$J$7-Inputs!$I$7)))/Inputs!$K$7)^2),NA())</f>
        <v/>
      </c>
      <c r="D72" s="9">
        <f>IF(OR(Inputs!$F$8=TRUE,Inputs!$F$8="TRUE",Inputs!$F$8=1),(Inputs!$H$8+Inputs!$L$8*(((Inputs!$I$8+(((A72)+1)/2)*(Inputs!$J$8-Inputs!$I$8)))/Inputs!$K$8)^2),NA())</f>
        <v/>
      </c>
      <c r="E72" s="9">
        <f>IF(OR(Inputs!$F$9=TRUE,Inputs!$F$9="TRUE",Inputs!$F$9=1),(Inputs!$H$9+Inputs!$L$9*(((Inputs!$I$9+(((A72)+1)/2)*(Inputs!$J$9-Inputs!$I$9)))/Inputs!$K$9)^2),NA())</f>
        <v/>
      </c>
      <c r="F72" s="10" t="n"/>
      <c r="G72" s="9">
        <f>A72</f>
        <v/>
      </c>
      <c r="H72" s="9">
        <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f>
        <v/>
      </c>
      <c r="I72" s="9">
        <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f>
        <v/>
      </c>
      <c r="J72" s="9">
        <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f>
        <v/>
      </c>
      <c r="K72" s="9">
        <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f>
        <v/>
      </c>
      <c r="L72" s="10" t="n"/>
      <c r="M72" s="9">
        <f>A72</f>
        <v/>
      </c>
      <c r="N72" s="9">
        <f>IF(OR(Inputs!$F$6=TRUE,Inputs!$F$6="TRUE",Inputs!$F$6=1),(-2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NA())</f>
        <v/>
      </c>
      <c r="O72" s="9">
        <f>IF(OR(Inputs!$F$7=TRUE,Inputs!$F$7="TRUE",Inputs!$F$7=1),(-2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NA())</f>
        <v/>
      </c>
      <c r="P72" s="9">
        <f>IF(OR(Inputs!$F$8=TRUE,Inputs!$F$8="TRUE",Inputs!$F$8=1),(-2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NA())</f>
        <v/>
      </c>
      <c r="Q72" s="9">
        <f>IF(OR(Inputs!$F$9=TRUE,Inputs!$F$9="TRUE",Inputs!$F$9=1),(-2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NA())</f>
        <v/>
      </c>
      <c r="R72" s="10" t="n"/>
      <c r="S72" s="9">
        <f>A72</f>
        <v/>
      </c>
      <c r="T72" s="9">
        <f>(Inputs!$I$6+(((A72)+1)/2)*(Inputs!$J$6-Inputs!$I$6))</f>
        <v/>
      </c>
      <c r="U72" s="9">
        <f>(Inputs!$I$7+(((A72)+1)/2)*(Inputs!$J$7-Inputs!$I$7))</f>
        <v/>
      </c>
      <c r="V72" s="9">
        <f>(Inputs!$I$8+(((A72)+1)/2)*(Inputs!$J$8-Inputs!$I$8))</f>
        <v/>
      </c>
      <c r="W72" s="9">
        <f>(Inputs!$I$9+(((A72)+1)/2)*(Inputs!$J$9-Inputs!$I$9))</f>
        <v/>
      </c>
      <c r="X72" s="10" t="n"/>
      <c r="Y72" s="9">
        <f>A72</f>
        <v/>
      </c>
      <c r="Z72" s="9">
        <f>(Inputs!$H$6+Inputs!$L$6*(((Inputs!$I$6+(((A72)+1)/2)*(Inputs!$J$6-Inputs!$I$6)))/Inputs!$K$6)^2)</f>
        <v/>
      </c>
      <c r="AA72" s="9">
        <f>(Inputs!$H$7+Inputs!$L$7*(((Inputs!$I$7+(((A72)+1)/2)*(Inputs!$J$7-Inputs!$I$7)))/Inputs!$K$7)^2)</f>
        <v/>
      </c>
      <c r="AB72" s="9">
        <f>(Inputs!$H$8+Inputs!$L$8*(((Inputs!$I$8+(((A72)+1)/2)*(Inputs!$J$8-Inputs!$I$8)))/Inputs!$K$8)^2)</f>
        <v/>
      </c>
      <c r="AC72" s="9">
        <f>(Inputs!$H$9+Inputs!$L$9*(((Inputs!$I$9+(((A72)+1)/2)*(Inputs!$J$9-Inputs!$I$9)))/Inputs!$K$9)^2)</f>
        <v/>
      </c>
      <c r="AD72" s="10" t="n"/>
      <c r="AE72" s="9">
        <f>A72</f>
        <v/>
      </c>
      <c r="AF72" s="9">
        <f>(((SQRT((Inputs!$C$52+((Inputs!$H$6+Inputs!$L$6*(((Inputs!$I$6+(((A72)+1)/2)*(Inputs!$J$6-Inputs!$I$6)))/Inputs!$K$6)^2)))^2+Inputs!$C$52^2-2*(Inputs!$C$52+((Inputs!$H$6+Inputs!$L$6*(((Inputs!$I$6+(((A72)+1)/2)*(Inputs!$J$6-Inputs!$I$6)))/Inputs!$K$6)^2)))*Inputs!$C$52*COS(SQRT(((Inputs!$I$6+(((A72)+1)/2)*(Inputs!$J$6-Inputs!$I$6)))^2+Inputs!$C$6^2)/Inputs!$C$52)))-((Inputs!$H$6+Inputs!$L$6*(((Inputs!$I$6+(((A72)+1)/2)*(Inputs!$J$6-Inputs!$I$6)))/Inputs!$K$6)^2)))*1000/Inputs!$C$12)</f>
        <v/>
      </c>
      <c r="AG72" s="9">
        <f>(((SQRT((Inputs!$C$52+((Inputs!$H$7+Inputs!$L$7*(((Inputs!$I$7+(((A72)+1)/2)*(Inputs!$J$7-Inputs!$I$7)))/Inputs!$K$7)^2)))^2+Inputs!$C$52^2-2*(Inputs!$C$52+((Inputs!$H$7+Inputs!$L$7*(((Inputs!$I$7+(((A72)+1)/2)*(Inputs!$J$7-Inputs!$I$7)))/Inputs!$K$7)^2)))*Inputs!$C$52*COS(SQRT(((Inputs!$I$7+(((A72)+1)/2)*(Inputs!$J$7-Inputs!$I$7)))^2+Inputs!$C$6^2)/Inputs!$C$52)))-((Inputs!$H$7+Inputs!$L$7*(((Inputs!$I$7+(((A72)+1)/2)*(Inputs!$J$7-Inputs!$I$7)))/Inputs!$K$7)^2)))*1000/Inputs!$C$12)</f>
        <v/>
      </c>
      <c r="AH72" s="9">
        <f>(((SQRT((Inputs!$C$52+((Inputs!$H$8+Inputs!$L$8*(((Inputs!$I$8+(((A72)+1)/2)*(Inputs!$J$8-Inputs!$I$8)))/Inputs!$K$8)^2)))^2+Inputs!$C$52^2-2*(Inputs!$C$52+((Inputs!$H$8+Inputs!$L$8*(((Inputs!$I$8+(((A72)+1)/2)*(Inputs!$J$8-Inputs!$I$8)))/Inputs!$K$8)^2)))*Inputs!$C$52*COS(SQRT(((Inputs!$I$8+(((A72)+1)/2)*(Inputs!$J$8-Inputs!$I$8)))^2+Inputs!$C$6^2)/Inputs!$C$52)))-((Inputs!$H$8+Inputs!$L$8*(((Inputs!$I$8+(((A72)+1)/2)*(Inputs!$J$8-Inputs!$I$8)))/Inputs!$K$8)^2)))*1000/Inputs!$C$12)</f>
        <v/>
      </c>
      <c r="AI72" s="9">
        <f>(((SQRT((Inputs!$C$52+((Inputs!$H$9+Inputs!$L$9*(((Inputs!$I$9+(((A72)+1)/2)*(Inputs!$J$9-Inputs!$I$9)))/Inputs!$K$9)^2)))^2+Inputs!$C$52^2-2*(Inputs!$C$52+((Inputs!$H$9+Inputs!$L$9*(((Inputs!$I$9+(((A72)+1)/2)*(Inputs!$J$9-Inputs!$I$9)))/Inputs!$K$9)^2)))*Inputs!$C$52*COS(SQRT(((Inputs!$I$9+(((A72)+1)/2)*(Inputs!$J$9-Inputs!$I$9)))^2+Inputs!$C$6^2)/Inputs!$C$52)))-((Inputs!$H$9+Inputs!$L$9*(((Inputs!$I$9+(((A72)+1)/2)*(Inputs!$J$9-Inputs!$I$9)))/Inputs!$K$9)^2)))*1000/Inputs!$C$12)</f>
        <v/>
      </c>
      <c r="AJ72" s="10" t="n"/>
      <c r="AK72" s="9">
        <f>A72</f>
        <v/>
      </c>
      <c r="AL72" s="9">
        <f>(-2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f>
        <v/>
      </c>
      <c r="AM72" s="9">
        <f>(-2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f>
        <v/>
      </c>
      <c r="AN72" s="9">
        <f>(-2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f>
        <v/>
      </c>
      <c r="AO72" s="9">
        <f>(-2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f>
        <v/>
      </c>
      <c r="AP72" s="10" t="n"/>
      <c r="AQ72" s="9">
        <f>A72</f>
        <v/>
      </c>
      <c r="AR72" s="9">
        <f>0</f>
        <v/>
      </c>
      <c r="AS72" s="9">
        <f>IF(OR(Inputs!$F$6=TRUE,Inputs!$F$6="TRUE",Inputs!$F$6=1),IF(OR(Inputs!$C$27=TRUE,Inputs!$C$27="TRUE",Inputs!$C$27=1),1,0)*(Inputs!$C$51*(115*EXP(-(((Inputs!$C$6)-25)^2)/(4.5^2))+70*EXP(-(((Inputs!$C$6)+38)^2)/(7^2))*(0.55+0.45*SIN(2*PI()*((Inputs!$I$6+(((A72)+1)/2)*(Inputs!$J$6-Inputs!$I$6)))/45))+24*SIN(2*PI()*(Inputs!$C$6)/9+((Inputs!$I$6+(((A72)+1)/2)*(Inputs!$J$6-Inputs!$I$6)))/18)*EXP(-(((Inputs!$C$6)+5)^2)/(22^2))+18*SIN(2*PI()*((Inputs!$I$6+(((A72)+1)/2)*(Inputs!$J$6-Inputs!$I$6)))/70))+Inputs!$C$28*EXP(-((((Inputs!$I$6+(((A72)+1)/2)*(Inputs!$J$6-Inputs!$I$6)))-Inputs!$C$29)^2)/(2*Inputs!$C$31^2))*EXP(-(((Inputs!$C$6)-Inputs!$C$30)^2)/(2*Inputs!$C$32^2))+-Inputs!$C$33*EXP(-((((((Inputs!$I$6+(((A72)+1)/2)*(Inputs!$J$6-Inputs!$I$6)))-Inputs!$C$34)^2)+(((Inputs!$C$6)-Inputs!$C$35)^2))/(2*Inputs!$C$36^2)))+Inputs!$C$37*(0.55*SIN(2*PI()*((Inputs!$I$6+(((A72)+1)/2)*(Inputs!$J$6-Inputs!$I$6)))/Inputs!$C$39)+0.35*COS(2*PI()*(Inputs!$C$6)/Inputs!$C$40)+0.2*SIN(2*PI()*(((Inputs!$I$6+(((A72)+1)/2)*(Inputs!$J$6-Inputs!$I$6)))+(Inputs!$C$6))/(0.5*(Inputs!$C$39+Inputs!$C$40))))+Inputs!$C$38*SIN(2*PI()*((Inputs!$I$6+(((A72)+1)/2)*(Inputs!$J$6-Inputs!$I$6)))/Inputs!$C$39)*SIN(2*PI()*(Inputs!$C$6)/Inputs!$C$40)+-Inputs!$C$41*EXP(-(((Inputs!$C$6)-Inputs!$C$43)^2)/(2*Inputs!$C$44^2))*EXP(-((((Inputs!$I$6+(((A72)+1)/2)*(Inputs!$J$6-Inputs!$I$6)))-Inputs!$C$42)^2)/(2*Inputs!$C$45^2))+Inputs!$C$48*(0.7*(0.45*SIN(2*PI()*((((Inputs!$I$6+(((A72)+1)/2)*(Inputs!$J$6-Inputs!$I$6)))/Inputs!$C$49)+Inputs!$C$47*0.137))+0.35*COS(2*PI()*(((Inputs!$C$6)/Inputs!$C$50)+Inputs!$C$47*0.173))+0.2*SIN(2*PI()*((((Inputs!$I$6+(((A72)+1)/2)*(Inputs!$J$6-Inputs!$I$6)))+(Inputs!$C$6))/(0.5*(Inputs!$C$49+Inputs!$C$50))+Inputs!$C$47*0.097)))+0.3*(2*((SIN((((Inputs!$I$6+(((A72)+1)/2)*(Inputs!$J$6-Inputs!$I$6)))*12.9898+(Inputs!$C$6)*78.233+Inputs!$C$47*37.719))*43758.5453)-INT((SIN((((Inputs!$I$6+(((A72)+1)/2)*(Inputs!$J$6-Inputs!$I$6)))*12.9898+(Inputs!$C$6)*78.233+Inputs!$C$47*37.719))*43758.5453)))-1))),NA())</f>
        <v/>
      </c>
      <c r="AT72" s="9">
        <f>IF(OR(Inputs!$F$7=TRUE,Inputs!$F$7="TRUE",Inputs!$F$7=1),IF(OR(Inputs!$C$27=TRUE,Inputs!$C$27="TRUE",Inputs!$C$27=1),1,0)*(Inputs!$C$51*(115*EXP(-(((Inputs!$C$6)-25)^2)/(4.5^2))+70*EXP(-(((Inputs!$C$6)+38)^2)/(7^2))*(0.55+0.45*SIN(2*PI()*((Inputs!$I$7+(((A72)+1)/2)*(Inputs!$J$7-Inputs!$I$7)))/45))+24*SIN(2*PI()*(Inputs!$C$6)/9+((Inputs!$I$7+(((A72)+1)/2)*(Inputs!$J$7-Inputs!$I$7)))/18)*EXP(-(((Inputs!$C$6)+5)^2)/(22^2))+18*SIN(2*PI()*((Inputs!$I$7+(((A72)+1)/2)*(Inputs!$J$7-Inputs!$I$7)))/70))+Inputs!$C$28*EXP(-((((Inputs!$I$7+(((A72)+1)/2)*(Inputs!$J$7-Inputs!$I$7)))-Inputs!$C$29)^2)/(2*Inputs!$C$31^2))*EXP(-(((Inputs!$C$6)-Inputs!$C$30)^2)/(2*Inputs!$C$32^2))+-Inputs!$C$33*EXP(-((((((Inputs!$I$7+(((A72)+1)/2)*(Inputs!$J$7-Inputs!$I$7)))-Inputs!$C$34)^2)+(((Inputs!$C$6)-Inputs!$C$35)^2))/(2*Inputs!$C$36^2)))+Inputs!$C$37*(0.55*SIN(2*PI()*((Inputs!$I$7+(((A72)+1)/2)*(Inputs!$J$7-Inputs!$I$7)))/Inputs!$C$39)+0.35*COS(2*PI()*(Inputs!$C$6)/Inputs!$C$40)+0.2*SIN(2*PI()*(((Inputs!$I$7+(((A72)+1)/2)*(Inputs!$J$7-Inputs!$I$7)))+(Inputs!$C$6))/(0.5*(Inputs!$C$39+Inputs!$C$40))))+Inputs!$C$38*SIN(2*PI()*((Inputs!$I$7+(((A72)+1)/2)*(Inputs!$J$7-Inputs!$I$7)))/Inputs!$C$39)*SIN(2*PI()*(Inputs!$C$6)/Inputs!$C$40)+-Inputs!$C$41*EXP(-(((Inputs!$C$6)-Inputs!$C$43)^2)/(2*Inputs!$C$44^2))*EXP(-((((Inputs!$I$7+(((A72)+1)/2)*(Inputs!$J$7-Inputs!$I$7)))-Inputs!$C$42)^2)/(2*Inputs!$C$45^2))+Inputs!$C$48*(0.7*(0.45*SIN(2*PI()*((((Inputs!$I$7+(((A72)+1)/2)*(Inputs!$J$7-Inputs!$I$7)))/Inputs!$C$49)+Inputs!$C$47*0.137))+0.35*COS(2*PI()*(((Inputs!$C$6)/Inputs!$C$50)+Inputs!$C$47*0.173))+0.2*SIN(2*PI()*((((Inputs!$I$7+(((A72)+1)/2)*(Inputs!$J$7-Inputs!$I$7)))+(Inputs!$C$6))/(0.5*(Inputs!$C$49+Inputs!$C$50))+Inputs!$C$47*0.097)))+0.3*(2*((SIN((((Inputs!$I$7+(((A72)+1)/2)*(Inputs!$J$7-Inputs!$I$7)))*12.9898+(Inputs!$C$6)*78.233+Inputs!$C$47*37.719))*43758.5453)-INT((SIN((((Inputs!$I$7+(((A72)+1)/2)*(Inputs!$J$7-Inputs!$I$7)))*12.9898+(Inputs!$C$6)*78.233+Inputs!$C$47*37.719))*43758.5453)))-1))),NA())</f>
        <v/>
      </c>
      <c r="AU72" s="9">
        <f>IF(OR(Inputs!$F$8=TRUE,Inputs!$F$8="TRUE",Inputs!$F$8=1),IF(OR(Inputs!$C$27=TRUE,Inputs!$C$27="TRUE",Inputs!$C$27=1),1,0)*(Inputs!$C$51*(115*EXP(-(((Inputs!$C$6)-25)^2)/(4.5^2))+70*EXP(-(((Inputs!$C$6)+38)^2)/(7^2))*(0.55+0.45*SIN(2*PI()*((Inputs!$I$8+(((A72)+1)/2)*(Inputs!$J$8-Inputs!$I$8)))/45))+24*SIN(2*PI()*(Inputs!$C$6)/9+((Inputs!$I$8+(((A72)+1)/2)*(Inputs!$J$8-Inputs!$I$8)))/18)*EXP(-(((Inputs!$C$6)+5)^2)/(22^2))+18*SIN(2*PI()*((Inputs!$I$8+(((A72)+1)/2)*(Inputs!$J$8-Inputs!$I$8)))/70))+Inputs!$C$28*EXP(-((((Inputs!$I$8+(((A72)+1)/2)*(Inputs!$J$8-Inputs!$I$8)))-Inputs!$C$29)^2)/(2*Inputs!$C$31^2))*EXP(-(((Inputs!$C$6)-Inputs!$C$30)^2)/(2*Inputs!$C$32^2))+-Inputs!$C$33*EXP(-((((((Inputs!$I$8+(((A72)+1)/2)*(Inputs!$J$8-Inputs!$I$8)))-Inputs!$C$34)^2)+(((Inputs!$C$6)-Inputs!$C$35)^2))/(2*Inputs!$C$36^2)))+Inputs!$C$37*(0.55*SIN(2*PI()*((Inputs!$I$8+(((A72)+1)/2)*(Inputs!$J$8-Inputs!$I$8)))/Inputs!$C$39)+0.35*COS(2*PI()*(Inputs!$C$6)/Inputs!$C$40)+0.2*SIN(2*PI()*(((Inputs!$I$8+(((A72)+1)/2)*(Inputs!$J$8-Inputs!$I$8)))+(Inputs!$C$6))/(0.5*(Inputs!$C$39+Inputs!$C$40))))+Inputs!$C$38*SIN(2*PI()*((Inputs!$I$8+(((A72)+1)/2)*(Inputs!$J$8-Inputs!$I$8)))/Inputs!$C$39)*SIN(2*PI()*(Inputs!$C$6)/Inputs!$C$40)+-Inputs!$C$41*EXP(-(((Inputs!$C$6)-Inputs!$C$43)^2)/(2*Inputs!$C$44^2))*EXP(-((((Inputs!$I$8+(((A72)+1)/2)*(Inputs!$J$8-Inputs!$I$8)))-Inputs!$C$42)^2)/(2*Inputs!$C$45^2))+Inputs!$C$48*(0.7*(0.45*SIN(2*PI()*((((Inputs!$I$8+(((A72)+1)/2)*(Inputs!$J$8-Inputs!$I$8)))/Inputs!$C$49)+Inputs!$C$47*0.137))+0.35*COS(2*PI()*(((Inputs!$C$6)/Inputs!$C$50)+Inputs!$C$47*0.173))+0.2*SIN(2*PI()*((((Inputs!$I$8+(((A72)+1)/2)*(Inputs!$J$8-Inputs!$I$8)))+(Inputs!$C$6))/(0.5*(Inputs!$C$49+Inputs!$C$50))+Inputs!$C$47*0.097)))+0.3*(2*((SIN((((Inputs!$I$8+(((A72)+1)/2)*(Inputs!$J$8-Inputs!$I$8)))*12.9898+(Inputs!$C$6)*78.233+Inputs!$C$47*37.719))*43758.5453)-INT((SIN((((Inputs!$I$8+(((A72)+1)/2)*(Inputs!$J$8-Inputs!$I$8)))*12.9898+(Inputs!$C$6)*78.233+Inputs!$C$47*37.719))*43758.5453)))-1))),NA())</f>
        <v/>
      </c>
      <c r="AV72" s="9">
        <f>IF(OR(Inputs!$F$9=TRUE,Inputs!$F$9="TRUE",Inputs!$F$9=1),IF(OR(Inputs!$C$27=TRUE,Inputs!$C$27="TRUE",Inputs!$C$27=1),1,0)*(Inputs!$C$51*(115*EXP(-(((Inputs!$C$6)-25)^2)/(4.5^2))+70*EXP(-(((Inputs!$C$6)+38)^2)/(7^2))*(0.55+0.45*SIN(2*PI()*((Inputs!$I$9+(((A72)+1)/2)*(Inputs!$J$9-Inputs!$I$9)))/45))+24*SIN(2*PI()*(Inputs!$C$6)/9+((Inputs!$I$9+(((A72)+1)/2)*(Inputs!$J$9-Inputs!$I$9)))/18)*EXP(-(((Inputs!$C$6)+5)^2)/(22^2))+18*SIN(2*PI()*((Inputs!$I$9+(((A72)+1)/2)*(Inputs!$J$9-Inputs!$I$9)))/70))+Inputs!$C$28*EXP(-((((Inputs!$I$9+(((A72)+1)/2)*(Inputs!$J$9-Inputs!$I$9)))-Inputs!$C$29)^2)/(2*Inputs!$C$31^2))*EXP(-(((Inputs!$C$6)-Inputs!$C$30)^2)/(2*Inputs!$C$32^2))+-Inputs!$C$33*EXP(-((((((Inputs!$I$9+(((A72)+1)/2)*(Inputs!$J$9-Inputs!$I$9)))-Inputs!$C$34)^2)+(((Inputs!$C$6)-Inputs!$C$35)^2))/(2*Inputs!$C$36^2)))+Inputs!$C$37*(0.55*SIN(2*PI()*((Inputs!$I$9+(((A72)+1)/2)*(Inputs!$J$9-Inputs!$I$9)))/Inputs!$C$39)+0.35*COS(2*PI()*(Inputs!$C$6)/Inputs!$C$40)+0.2*SIN(2*PI()*(((Inputs!$I$9+(((A72)+1)/2)*(Inputs!$J$9-Inputs!$I$9)))+(Inputs!$C$6))/(0.5*(Inputs!$C$39+Inputs!$C$40))))+Inputs!$C$38*SIN(2*PI()*((Inputs!$I$9+(((A72)+1)/2)*(Inputs!$J$9-Inputs!$I$9)))/Inputs!$C$39)*SIN(2*PI()*(Inputs!$C$6)/Inputs!$C$40)+-Inputs!$C$41*EXP(-(((Inputs!$C$6)-Inputs!$C$43)^2)/(2*Inputs!$C$44^2))*EXP(-((((Inputs!$I$9+(((A72)+1)/2)*(Inputs!$J$9-Inputs!$I$9)))-Inputs!$C$42)^2)/(2*Inputs!$C$45^2))+Inputs!$C$48*(0.7*(0.45*SIN(2*PI()*((((Inputs!$I$9+(((A72)+1)/2)*(Inputs!$J$9-Inputs!$I$9)))/Inputs!$C$49)+Inputs!$C$47*0.137))+0.35*COS(2*PI()*(((Inputs!$C$6)/Inputs!$C$50)+Inputs!$C$47*0.173))+0.2*SIN(2*PI()*((((Inputs!$I$9+(((A72)+1)/2)*(Inputs!$J$9-Inputs!$I$9)))+(Inputs!$C$6))/(0.5*(Inputs!$C$49+Inputs!$C$50))+Inputs!$C$47*0.097)))+0.3*(2*((SIN((((Inputs!$I$9+(((A72)+1)/2)*(Inputs!$J$9-Inputs!$I$9)))*12.9898+(Inputs!$C$6)*78.233+Inputs!$C$47*37.719))*43758.5453)-INT((SIN((((Inputs!$I$9+(((A72)+1)/2)*(Inputs!$J$9-Inputs!$I$9)))*12.9898+(Inputs!$C$6)*78.233+Inputs!$C$47*37.719))*43758.5453)))-1))),NA())</f>
        <v/>
      </c>
      <c r="AW72" s="10" t="n"/>
      <c r="AX72" s="9">
        <f>A72</f>
        <v/>
      </c>
      <c r="AY72" s="9">
        <f>0</f>
        <v/>
      </c>
      <c r="AZ72" s="9">
        <f>IF(OR(Inputs!$F$6=TRUE,Inputs!$F$6="TRUE",Inputs!$F$6=1),(Inputs!$H$6+Inputs!$L$6*(((Inputs!$I$6+(((A72)+1)/2)*(Inputs!$J$6-Inputs!$I$6)))/Inputs!$K$6)^2),NA())</f>
        <v/>
      </c>
      <c r="BA72" s="9">
        <f>IF(OR(Inputs!$F$7=TRUE,Inputs!$F$7="TRUE",Inputs!$F$7=1),(Inputs!$H$7+Inputs!$L$7*(((Inputs!$I$7+(((A72)+1)/2)*(Inputs!$J$7-Inputs!$I$7)))/Inputs!$K$7)^2),NA())</f>
        <v/>
      </c>
      <c r="BB72" s="9">
        <f>IF(OR(Inputs!$F$8=TRUE,Inputs!$F$8="TRUE",Inputs!$F$8=1),(Inputs!$H$8+Inputs!$L$8*(((Inputs!$I$8+(((A72)+1)/2)*(Inputs!$J$8-Inputs!$I$8)))/Inputs!$K$8)^2),NA())</f>
        <v/>
      </c>
      <c r="BC72" s="9">
        <f>IF(OR(Inputs!$F$9=TRUE,Inputs!$F$9="TRUE",Inputs!$F$9=1),(Inputs!$H$9+Inputs!$L$9*(((Inputs!$I$9+(((A72)+1)/2)*(Inputs!$J$9-Inputs!$I$9)))/Inputs!$K$9)^2),NA())</f>
        <v/>
      </c>
      <c r="BD72" s="10" t="n"/>
      <c r="BE72" s="9">
        <f>A72</f>
        <v/>
      </c>
      <c r="BF72" s="9">
        <f>0</f>
        <v/>
      </c>
      <c r="BG72" s="9">
        <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f>
        <v/>
      </c>
      <c r="BH72" s="9">
        <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f>
        <v/>
      </c>
      <c r="BI72" s="9">
        <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f>
        <v/>
      </c>
      <c r="BJ72" s="9">
        <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f>
        <v/>
      </c>
    </row>
    <row r="73">
      <c r="A73" s="9">
        <f>ROUND(-1+71*2/240,3)</f>
        <v/>
      </c>
      <c r="B73" s="9">
        <f>IF(OR(Inputs!$F$6=TRUE,Inputs!$F$6="TRUE",Inputs!$F$6=1),(Inputs!$H$6+Inputs!$L$6*(((Inputs!$I$6+(((A73)+1)/2)*(Inputs!$J$6-Inputs!$I$6)))/Inputs!$K$6)^2),NA())</f>
        <v/>
      </c>
      <c r="C73" s="9">
        <f>IF(OR(Inputs!$F$7=TRUE,Inputs!$F$7="TRUE",Inputs!$F$7=1),(Inputs!$H$7+Inputs!$L$7*(((Inputs!$I$7+(((A73)+1)/2)*(Inputs!$J$7-Inputs!$I$7)))/Inputs!$K$7)^2),NA())</f>
        <v/>
      </c>
      <c r="D73" s="9">
        <f>IF(OR(Inputs!$F$8=TRUE,Inputs!$F$8="TRUE",Inputs!$F$8=1),(Inputs!$H$8+Inputs!$L$8*(((Inputs!$I$8+(((A73)+1)/2)*(Inputs!$J$8-Inputs!$I$8)))/Inputs!$K$8)^2),NA())</f>
        <v/>
      </c>
      <c r="E73" s="9">
        <f>IF(OR(Inputs!$F$9=TRUE,Inputs!$F$9="TRUE",Inputs!$F$9=1),(Inputs!$H$9+Inputs!$L$9*(((Inputs!$I$9+(((A73)+1)/2)*(Inputs!$J$9-Inputs!$I$9)))/Inputs!$K$9)^2),NA())</f>
        <v/>
      </c>
      <c r="F73" s="10" t="n"/>
      <c r="G73" s="9">
        <f>A73</f>
        <v/>
      </c>
      <c r="H73" s="9">
        <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f>
        <v/>
      </c>
      <c r="I73" s="9">
        <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f>
        <v/>
      </c>
      <c r="J73" s="9">
        <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f>
        <v/>
      </c>
      <c r="K73" s="9">
        <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f>
        <v/>
      </c>
      <c r="L73" s="10" t="n"/>
      <c r="M73" s="9">
        <f>A73</f>
        <v/>
      </c>
      <c r="N73" s="9">
        <f>IF(OR(Inputs!$F$6=TRUE,Inputs!$F$6="TRUE",Inputs!$F$6=1),(-2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NA())</f>
        <v/>
      </c>
      <c r="O73" s="9">
        <f>IF(OR(Inputs!$F$7=TRUE,Inputs!$F$7="TRUE",Inputs!$F$7=1),(-2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NA())</f>
        <v/>
      </c>
      <c r="P73" s="9">
        <f>IF(OR(Inputs!$F$8=TRUE,Inputs!$F$8="TRUE",Inputs!$F$8=1),(-2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NA())</f>
        <v/>
      </c>
      <c r="Q73" s="9">
        <f>IF(OR(Inputs!$F$9=TRUE,Inputs!$F$9="TRUE",Inputs!$F$9=1),(-2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NA())</f>
        <v/>
      </c>
      <c r="R73" s="10" t="n"/>
      <c r="S73" s="9">
        <f>A73</f>
        <v/>
      </c>
      <c r="T73" s="9">
        <f>(Inputs!$I$6+(((A73)+1)/2)*(Inputs!$J$6-Inputs!$I$6))</f>
        <v/>
      </c>
      <c r="U73" s="9">
        <f>(Inputs!$I$7+(((A73)+1)/2)*(Inputs!$J$7-Inputs!$I$7))</f>
        <v/>
      </c>
      <c r="V73" s="9">
        <f>(Inputs!$I$8+(((A73)+1)/2)*(Inputs!$J$8-Inputs!$I$8))</f>
        <v/>
      </c>
      <c r="W73" s="9">
        <f>(Inputs!$I$9+(((A73)+1)/2)*(Inputs!$J$9-Inputs!$I$9))</f>
        <v/>
      </c>
      <c r="X73" s="10" t="n"/>
      <c r="Y73" s="9">
        <f>A73</f>
        <v/>
      </c>
      <c r="Z73" s="9">
        <f>(Inputs!$H$6+Inputs!$L$6*(((Inputs!$I$6+(((A73)+1)/2)*(Inputs!$J$6-Inputs!$I$6)))/Inputs!$K$6)^2)</f>
        <v/>
      </c>
      <c r="AA73" s="9">
        <f>(Inputs!$H$7+Inputs!$L$7*(((Inputs!$I$7+(((A73)+1)/2)*(Inputs!$J$7-Inputs!$I$7)))/Inputs!$K$7)^2)</f>
        <v/>
      </c>
      <c r="AB73" s="9">
        <f>(Inputs!$H$8+Inputs!$L$8*(((Inputs!$I$8+(((A73)+1)/2)*(Inputs!$J$8-Inputs!$I$8)))/Inputs!$K$8)^2)</f>
        <v/>
      </c>
      <c r="AC73" s="9">
        <f>(Inputs!$H$9+Inputs!$L$9*(((Inputs!$I$9+(((A73)+1)/2)*(Inputs!$J$9-Inputs!$I$9)))/Inputs!$K$9)^2)</f>
        <v/>
      </c>
      <c r="AD73" s="10" t="n"/>
      <c r="AE73" s="9">
        <f>A73</f>
        <v/>
      </c>
      <c r="AF73" s="9">
        <f>(((SQRT((Inputs!$C$52+((Inputs!$H$6+Inputs!$L$6*(((Inputs!$I$6+(((A73)+1)/2)*(Inputs!$J$6-Inputs!$I$6)))/Inputs!$K$6)^2)))^2+Inputs!$C$52^2-2*(Inputs!$C$52+((Inputs!$H$6+Inputs!$L$6*(((Inputs!$I$6+(((A73)+1)/2)*(Inputs!$J$6-Inputs!$I$6)))/Inputs!$K$6)^2)))*Inputs!$C$52*COS(SQRT(((Inputs!$I$6+(((A73)+1)/2)*(Inputs!$J$6-Inputs!$I$6)))^2+Inputs!$C$6^2)/Inputs!$C$52)))-((Inputs!$H$6+Inputs!$L$6*(((Inputs!$I$6+(((A73)+1)/2)*(Inputs!$J$6-Inputs!$I$6)))/Inputs!$K$6)^2)))*1000/Inputs!$C$12)</f>
        <v/>
      </c>
      <c r="AG73" s="9">
        <f>(((SQRT((Inputs!$C$52+((Inputs!$H$7+Inputs!$L$7*(((Inputs!$I$7+(((A73)+1)/2)*(Inputs!$J$7-Inputs!$I$7)))/Inputs!$K$7)^2)))^2+Inputs!$C$52^2-2*(Inputs!$C$52+((Inputs!$H$7+Inputs!$L$7*(((Inputs!$I$7+(((A73)+1)/2)*(Inputs!$J$7-Inputs!$I$7)))/Inputs!$K$7)^2)))*Inputs!$C$52*COS(SQRT(((Inputs!$I$7+(((A73)+1)/2)*(Inputs!$J$7-Inputs!$I$7)))^2+Inputs!$C$6^2)/Inputs!$C$52)))-((Inputs!$H$7+Inputs!$L$7*(((Inputs!$I$7+(((A73)+1)/2)*(Inputs!$J$7-Inputs!$I$7)))/Inputs!$K$7)^2)))*1000/Inputs!$C$12)</f>
        <v/>
      </c>
      <c r="AH73" s="9">
        <f>(((SQRT((Inputs!$C$52+((Inputs!$H$8+Inputs!$L$8*(((Inputs!$I$8+(((A73)+1)/2)*(Inputs!$J$8-Inputs!$I$8)))/Inputs!$K$8)^2)))^2+Inputs!$C$52^2-2*(Inputs!$C$52+((Inputs!$H$8+Inputs!$L$8*(((Inputs!$I$8+(((A73)+1)/2)*(Inputs!$J$8-Inputs!$I$8)))/Inputs!$K$8)^2)))*Inputs!$C$52*COS(SQRT(((Inputs!$I$8+(((A73)+1)/2)*(Inputs!$J$8-Inputs!$I$8)))^2+Inputs!$C$6^2)/Inputs!$C$52)))-((Inputs!$H$8+Inputs!$L$8*(((Inputs!$I$8+(((A73)+1)/2)*(Inputs!$J$8-Inputs!$I$8)))/Inputs!$K$8)^2)))*1000/Inputs!$C$12)</f>
        <v/>
      </c>
      <c r="AI73" s="9">
        <f>(((SQRT((Inputs!$C$52+((Inputs!$H$9+Inputs!$L$9*(((Inputs!$I$9+(((A73)+1)/2)*(Inputs!$J$9-Inputs!$I$9)))/Inputs!$K$9)^2)))^2+Inputs!$C$52^2-2*(Inputs!$C$52+((Inputs!$H$9+Inputs!$L$9*(((Inputs!$I$9+(((A73)+1)/2)*(Inputs!$J$9-Inputs!$I$9)))/Inputs!$K$9)^2)))*Inputs!$C$52*COS(SQRT(((Inputs!$I$9+(((A73)+1)/2)*(Inputs!$J$9-Inputs!$I$9)))^2+Inputs!$C$6^2)/Inputs!$C$52)))-((Inputs!$H$9+Inputs!$L$9*(((Inputs!$I$9+(((A73)+1)/2)*(Inputs!$J$9-Inputs!$I$9)))/Inputs!$K$9)^2)))*1000/Inputs!$C$12)</f>
        <v/>
      </c>
      <c r="AJ73" s="10" t="n"/>
      <c r="AK73" s="9">
        <f>A73</f>
        <v/>
      </c>
      <c r="AL73" s="9">
        <f>(-2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f>
        <v/>
      </c>
      <c r="AM73" s="9">
        <f>(-2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f>
        <v/>
      </c>
      <c r="AN73" s="9">
        <f>(-2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f>
        <v/>
      </c>
      <c r="AO73" s="9">
        <f>(-2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f>
        <v/>
      </c>
      <c r="AP73" s="10" t="n"/>
      <c r="AQ73" s="9">
        <f>A73</f>
        <v/>
      </c>
      <c r="AR73" s="9">
        <f>0</f>
        <v/>
      </c>
      <c r="AS73" s="9">
        <f>IF(OR(Inputs!$F$6=TRUE,Inputs!$F$6="TRUE",Inputs!$F$6=1),IF(OR(Inputs!$C$27=TRUE,Inputs!$C$27="TRUE",Inputs!$C$27=1),1,0)*(Inputs!$C$51*(115*EXP(-(((Inputs!$C$6)-25)^2)/(4.5^2))+70*EXP(-(((Inputs!$C$6)+38)^2)/(7^2))*(0.55+0.45*SIN(2*PI()*((Inputs!$I$6+(((A73)+1)/2)*(Inputs!$J$6-Inputs!$I$6)))/45))+24*SIN(2*PI()*(Inputs!$C$6)/9+((Inputs!$I$6+(((A73)+1)/2)*(Inputs!$J$6-Inputs!$I$6)))/18)*EXP(-(((Inputs!$C$6)+5)^2)/(22^2))+18*SIN(2*PI()*((Inputs!$I$6+(((A73)+1)/2)*(Inputs!$J$6-Inputs!$I$6)))/70))+Inputs!$C$28*EXP(-((((Inputs!$I$6+(((A73)+1)/2)*(Inputs!$J$6-Inputs!$I$6)))-Inputs!$C$29)^2)/(2*Inputs!$C$31^2))*EXP(-(((Inputs!$C$6)-Inputs!$C$30)^2)/(2*Inputs!$C$32^2))+-Inputs!$C$33*EXP(-((((((Inputs!$I$6+(((A73)+1)/2)*(Inputs!$J$6-Inputs!$I$6)))-Inputs!$C$34)^2)+(((Inputs!$C$6)-Inputs!$C$35)^2))/(2*Inputs!$C$36^2)))+Inputs!$C$37*(0.55*SIN(2*PI()*((Inputs!$I$6+(((A73)+1)/2)*(Inputs!$J$6-Inputs!$I$6)))/Inputs!$C$39)+0.35*COS(2*PI()*(Inputs!$C$6)/Inputs!$C$40)+0.2*SIN(2*PI()*(((Inputs!$I$6+(((A73)+1)/2)*(Inputs!$J$6-Inputs!$I$6)))+(Inputs!$C$6))/(0.5*(Inputs!$C$39+Inputs!$C$40))))+Inputs!$C$38*SIN(2*PI()*((Inputs!$I$6+(((A73)+1)/2)*(Inputs!$J$6-Inputs!$I$6)))/Inputs!$C$39)*SIN(2*PI()*(Inputs!$C$6)/Inputs!$C$40)+-Inputs!$C$41*EXP(-(((Inputs!$C$6)-Inputs!$C$43)^2)/(2*Inputs!$C$44^2))*EXP(-((((Inputs!$I$6+(((A73)+1)/2)*(Inputs!$J$6-Inputs!$I$6)))-Inputs!$C$42)^2)/(2*Inputs!$C$45^2))+Inputs!$C$48*(0.7*(0.45*SIN(2*PI()*((((Inputs!$I$6+(((A73)+1)/2)*(Inputs!$J$6-Inputs!$I$6)))/Inputs!$C$49)+Inputs!$C$47*0.137))+0.35*COS(2*PI()*(((Inputs!$C$6)/Inputs!$C$50)+Inputs!$C$47*0.173))+0.2*SIN(2*PI()*((((Inputs!$I$6+(((A73)+1)/2)*(Inputs!$J$6-Inputs!$I$6)))+(Inputs!$C$6))/(0.5*(Inputs!$C$49+Inputs!$C$50))+Inputs!$C$47*0.097)))+0.3*(2*((SIN((((Inputs!$I$6+(((A73)+1)/2)*(Inputs!$J$6-Inputs!$I$6)))*12.9898+(Inputs!$C$6)*78.233+Inputs!$C$47*37.719))*43758.5453)-INT((SIN((((Inputs!$I$6+(((A73)+1)/2)*(Inputs!$J$6-Inputs!$I$6)))*12.9898+(Inputs!$C$6)*78.233+Inputs!$C$47*37.719))*43758.5453)))-1))),NA())</f>
        <v/>
      </c>
      <c r="AT73" s="9">
        <f>IF(OR(Inputs!$F$7=TRUE,Inputs!$F$7="TRUE",Inputs!$F$7=1),IF(OR(Inputs!$C$27=TRUE,Inputs!$C$27="TRUE",Inputs!$C$27=1),1,0)*(Inputs!$C$51*(115*EXP(-(((Inputs!$C$6)-25)^2)/(4.5^2))+70*EXP(-(((Inputs!$C$6)+38)^2)/(7^2))*(0.55+0.45*SIN(2*PI()*((Inputs!$I$7+(((A73)+1)/2)*(Inputs!$J$7-Inputs!$I$7)))/45))+24*SIN(2*PI()*(Inputs!$C$6)/9+((Inputs!$I$7+(((A73)+1)/2)*(Inputs!$J$7-Inputs!$I$7)))/18)*EXP(-(((Inputs!$C$6)+5)^2)/(22^2))+18*SIN(2*PI()*((Inputs!$I$7+(((A73)+1)/2)*(Inputs!$J$7-Inputs!$I$7)))/70))+Inputs!$C$28*EXP(-((((Inputs!$I$7+(((A73)+1)/2)*(Inputs!$J$7-Inputs!$I$7)))-Inputs!$C$29)^2)/(2*Inputs!$C$31^2))*EXP(-(((Inputs!$C$6)-Inputs!$C$30)^2)/(2*Inputs!$C$32^2))+-Inputs!$C$33*EXP(-((((((Inputs!$I$7+(((A73)+1)/2)*(Inputs!$J$7-Inputs!$I$7)))-Inputs!$C$34)^2)+(((Inputs!$C$6)-Inputs!$C$35)^2))/(2*Inputs!$C$36^2)))+Inputs!$C$37*(0.55*SIN(2*PI()*((Inputs!$I$7+(((A73)+1)/2)*(Inputs!$J$7-Inputs!$I$7)))/Inputs!$C$39)+0.35*COS(2*PI()*(Inputs!$C$6)/Inputs!$C$40)+0.2*SIN(2*PI()*(((Inputs!$I$7+(((A73)+1)/2)*(Inputs!$J$7-Inputs!$I$7)))+(Inputs!$C$6))/(0.5*(Inputs!$C$39+Inputs!$C$40))))+Inputs!$C$38*SIN(2*PI()*((Inputs!$I$7+(((A73)+1)/2)*(Inputs!$J$7-Inputs!$I$7)))/Inputs!$C$39)*SIN(2*PI()*(Inputs!$C$6)/Inputs!$C$40)+-Inputs!$C$41*EXP(-(((Inputs!$C$6)-Inputs!$C$43)^2)/(2*Inputs!$C$44^2))*EXP(-((((Inputs!$I$7+(((A73)+1)/2)*(Inputs!$J$7-Inputs!$I$7)))-Inputs!$C$42)^2)/(2*Inputs!$C$45^2))+Inputs!$C$48*(0.7*(0.45*SIN(2*PI()*((((Inputs!$I$7+(((A73)+1)/2)*(Inputs!$J$7-Inputs!$I$7)))/Inputs!$C$49)+Inputs!$C$47*0.137))+0.35*COS(2*PI()*(((Inputs!$C$6)/Inputs!$C$50)+Inputs!$C$47*0.173))+0.2*SIN(2*PI()*((((Inputs!$I$7+(((A73)+1)/2)*(Inputs!$J$7-Inputs!$I$7)))+(Inputs!$C$6))/(0.5*(Inputs!$C$49+Inputs!$C$50))+Inputs!$C$47*0.097)))+0.3*(2*((SIN((((Inputs!$I$7+(((A73)+1)/2)*(Inputs!$J$7-Inputs!$I$7)))*12.9898+(Inputs!$C$6)*78.233+Inputs!$C$47*37.719))*43758.5453)-INT((SIN((((Inputs!$I$7+(((A73)+1)/2)*(Inputs!$J$7-Inputs!$I$7)))*12.9898+(Inputs!$C$6)*78.233+Inputs!$C$47*37.719))*43758.5453)))-1))),NA())</f>
        <v/>
      </c>
      <c r="AU73" s="9">
        <f>IF(OR(Inputs!$F$8=TRUE,Inputs!$F$8="TRUE",Inputs!$F$8=1),IF(OR(Inputs!$C$27=TRUE,Inputs!$C$27="TRUE",Inputs!$C$27=1),1,0)*(Inputs!$C$51*(115*EXP(-(((Inputs!$C$6)-25)^2)/(4.5^2))+70*EXP(-(((Inputs!$C$6)+38)^2)/(7^2))*(0.55+0.45*SIN(2*PI()*((Inputs!$I$8+(((A73)+1)/2)*(Inputs!$J$8-Inputs!$I$8)))/45))+24*SIN(2*PI()*(Inputs!$C$6)/9+((Inputs!$I$8+(((A73)+1)/2)*(Inputs!$J$8-Inputs!$I$8)))/18)*EXP(-(((Inputs!$C$6)+5)^2)/(22^2))+18*SIN(2*PI()*((Inputs!$I$8+(((A73)+1)/2)*(Inputs!$J$8-Inputs!$I$8)))/70))+Inputs!$C$28*EXP(-((((Inputs!$I$8+(((A73)+1)/2)*(Inputs!$J$8-Inputs!$I$8)))-Inputs!$C$29)^2)/(2*Inputs!$C$31^2))*EXP(-(((Inputs!$C$6)-Inputs!$C$30)^2)/(2*Inputs!$C$32^2))+-Inputs!$C$33*EXP(-((((((Inputs!$I$8+(((A73)+1)/2)*(Inputs!$J$8-Inputs!$I$8)))-Inputs!$C$34)^2)+(((Inputs!$C$6)-Inputs!$C$35)^2))/(2*Inputs!$C$36^2)))+Inputs!$C$37*(0.55*SIN(2*PI()*((Inputs!$I$8+(((A73)+1)/2)*(Inputs!$J$8-Inputs!$I$8)))/Inputs!$C$39)+0.35*COS(2*PI()*(Inputs!$C$6)/Inputs!$C$40)+0.2*SIN(2*PI()*(((Inputs!$I$8+(((A73)+1)/2)*(Inputs!$J$8-Inputs!$I$8)))+(Inputs!$C$6))/(0.5*(Inputs!$C$39+Inputs!$C$40))))+Inputs!$C$38*SIN(2*PI()*((Inputs!$I$8+(((A73)+1)/2)*(Inputs!$J$8-Inputs!$I$8)))/Inputs!$C$39)*SIN(2*PI()*(Inputs!$C$6)/Inputs!$C$40)+-Inputs!$C$41*EXP(-(((Inputs!$C$6)-Inputs!$C$43)^2)/(2*Inputs!$C$44^2))*EXP(-((((Inputs!$I$8+(((A73)+1)/2)*(Inputs!$J$8-Inputs!$I$8)))-Inputs!$C$42)^2)/(2*Inputs!$C$45^2))+Inputs!$C$48*(0.7*(0.45*SIN(2*PI()*((((Inputs!$I$8+(((A73)+1)/2)*(Inputs!$J$8-Inputs!$I$8)))/Inputs!$C$49)+Inputs!$C$47*0.137))+0.35*COS(2*PI()*(((Inputs!$C$6)/Inputs!$C$50)+Inputs!$C$47*0.173))+0.2*SIN(2*PI()*((((Inputs!$I$8+(((A73)+1)/2)*(Inputs!$J$8-Inputs!$I$8)))+(Inputs!$C$6))/(0.5*(Inputs!$C$49+Inputs!$C$50))+Inputs!$C$47*0.097)))+0.3*(2*((SIN((((Inputs!$I$8+(((A73)+1)/2)*(Inputs!$J$8-Inputs!$I$8)))*12.9898+(Inputs!$C$6)*78.233+Inputs!$C$47*37.719))*43758.5453)-INT((SIN((((Inputs!$I$8+(((A73)+1)/2)*(Inputs!$J$8-Inputs!$I$8)))*12.9898+(Inputs!$C$6)*78.233+Inputs!$C$47*37.719))*43758.5453)))-1))),NA())</f>
        <v/>
      </c>
      <c r="AV73" s="9">
        <f>IF(OR(Inputs!$F$9=TRUE,Inputs!$F$9="TRUE",Inputs!$F$9=1),IF(OR(Inputs!$C$27=TRUE,Inputs!$C$27="TRUE",Inputs!$C$27=1),1,0)*(Inputs!$C$51*(115*EXP(-(((Inputs!$C$6)-25)^2)/(4.5^2))+70*EXP(-(((Inputs!$C$6)+38)^2)/(7^2))*(0.55+0.45*SIN(2*PI()*((Inputs!$I$9+(((A73)+1)/2)*(Inputs!$J$9-Inputs!$I$9)))/45))+24*SIN(2*PI()*(Inputs!$C$6)/9+((Inputs!$I$9+(((A73)+1)/2)*(Inputs!$J$9-Inputs!$I$9)))/18)*EXP(-(((Inputs!$C$6)+5)^2)/(22^2))+18*SIN(2*PI()*((Inputs!$I$9+(((A73)+1)/2)*(Inputs!$J$9-Inputs!$I$9)))/70))+Inputs!$C$28*EXP(-((((Inputs!$I$9+(((A73)+1)/2)*(Inputs!$J$9-Inputs!$I$9)))-Inputs!$C$29)^2)/(2*Inputs!$C$31^2))*EXP(-(((Inputs!$C$6)-Inputs!$C$30)^2)/(2*Inputs!$C$32^2))+-Inputs!$C$33*EXP(-((((((Inputs!$I$9+(((A73)+1)/2)*(Inputs!$J$9-Inputs!$I$9)))-Inputs!$C$34)^2)+(((Inputs!$C$6)-Inputs!$C$35)^2))/(2*Inputs!$C$36^2)))+Inputs!$C$37*(0.55*SIN(2*PI()*((Inputs!$I$9+(((A73)+1)/2)*(Inputs!$J$9-Inputs!$I$9)))/Inputs!$C$39)+0.35*COS(2*PI()*(Inputs!$C$6)/Inputs!$C$40)+0.2*SIN(2*PI()*(((Inputs!$I$9+(((A73)+1)/2)*(Inputs!$J$9-Inputs!$I$9)))+(Inputs!$C$6))/(0.5*(Inputs!$C$39+Inputs!$C$40))))+Inputs!$C$38*SIN(2*PI()*((Inputs!$I$9+(((A73)+1)/2)*(Inputs!$J$9-Inputs!$I$9)))/Inputs!$C$39)*SIN(2*PI()*(Inputs!$C$6)/Inputs!$C$40)+-Inputs!$C$41*EXP(-(((Inputs!$C$6)-Inputs!$C$43)^2)/(2*Inputs!$C$44^2))*EXP(-((((Inputs!$I$9+(((A73)+1)/2)*(Inputs!$J$9-Inputs!$I$9)))-Inputs!$C$42)^2)/(2*Inputs!$C$45^2))+Inputs!$C$48*(0.7*(0.45*SIN(2*PI()*((((Inputs!$I$9+(((A73)+1)/2)*(Inputs!$J$9-Inputs!$I$9)))/Inputs!$C$49)+Inputs!$C$47*0.137))+0.35*COS(2*PI()*(((Inputs!$C$6)/Inputs!$C$50)+Inputs!$C$47*0.173))+0.2*SIN(2*PI()*((((Inputs!$I$9+(((A73)+1)/2)*(Inputs!$J$9-Inputs!$I$9)))+(Inputs!$C$6))/(0.5*(Inputs!$C$49+Inputs!$C$50))+Inputs!$C$47*0.097)))+0.3*(2*((SIN((((Inputs!$I$9+(((A73)+1)/2)*(Inputs!$J$9-Inputs!$I$9)))*12.9898+(Inputs!$C$6)*78.233+Inputs!$C$47*37.719))*43758.5453)-INT((SIN((((Inputs!$I$9+(((A73)+1)/2)*(Inputs!$J$9-Inputs!$I$9)))*12.9898+(Inputs!$C$6)*78.233+Inputs!$C$47*37.719))*43758.5453)))-1))),NA())</f>
        <v/>
      </c>
      <c r="AW73" s="10" t="n"/>
      <c r="AX73" s="9">
        <f>A73</f>
        <v/>
      </c>
      <c r="AY73" s="9">
        <f>0</f>
        <v/>
      </c>
      <c r="AZ73" s="9">
        <f>IF(OR(Inputs!$F$6=TRUE,Inputs!$F$6="TRUE",Inputs!$F$6=1),(Inputs!$H$6+Inputs!$L$6*(((Inputs!$I$6+(((A73)+1)/2)*(Inputs!$J$6-Inputs!$I$6)))/Inputs!$K$6)^2),NA())</f>
        <v/>
      </c>
      <c r="BA73" s="9">
        <f>IF(OR(Inputs!$F$7=TRUE,Inputs!$F$7="TRUE",Inputs!$F$7=1),(Inputs!$H$7+Inputs!$L$7*(((Inputs!$I$7+(((A73)+1)/2)*(Inputs!$J$7-Inputs!$I$7)))/Inputs!$K$7)^2),NA())</f>
        <v/>
      </c>
      <c r="BB73" s="9">
        <f>IF(OR(Inputs!$F$8=TRUE,Inputs!$F$8="TRUE",Inputs!$F$8=1),(Inputs!$H$8+Inputs!$L$8*(((Inputs!$I$8+(((A73)+1)/2)*(Inputs!$J$8-Inputs!$I$8)))/Inputs!$K$8)^2),NA())</f>
        <v/>
      </c>
      <c r="BC73" s="9">
        <f>IF(OR(Inputs!$F$9=TRUE,Inputs!$F$9="TRUE",Inputs!$F$9=1),(Inputs!$H$9+Inputs!$L$9*(((Inputs!$I$9+(((A73)+1)/2)*(Inputs!$J$9-Inputs!$I$9)))/Inputs!$K$9)^2),NA())</f>
        <v/>
      </c>
      <c r="BD73" s="10" t="n"/>
      <c r="BE73" s="9">
        <f>A73</f>
        <v/>
      </c>
      <c r="BF73" s="9">
        <f>0</f>
        <v/>
      </c>
      <c r="BG73" s="9">
        <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f>
        <v/>
      </c>
      <c r="BH73" s="9">
        <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f>
        <v/>
      </c>
      <c r="BI73" s="9">
        <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f>
        <v/>
      </c>
      <c r="BJ73" s="9">
        <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f>
        <v/>
      </c>
    </row>
    <row r="74">
      <c r="A74" s="9">
        <f>ROUND(-1+72*2/240,3)</f>
        <v/>
      </c>
      <c r="B74" s="9">
        <f>IF(OR(Inputs!$F$6=TRUE,Inputs!$F$6="TRUE",Inputs!$F$6=1),(Inputs!$H$6+Inputs!$L$6*(((Inputs!$I$6+(((A74)+1)/2)*(Inputs!$J$6-Inputs!$I$6)))/Inputs!$K$6)^2),NA())</f>
        <v/>
      </c>
      <c r="C74" s="9">
        <f>IF(OR(Inputs!$F$7=TRUE,Inputs!$F$7="TRUE",Inputs!$F$7=1),(Inputs!$H$7+Inputs!$L$7*(((Inputs!$I$7+(((A74)+1)/2)*(Inputs!$J$7-Inputs!$I$7)))/Inputs!$K$7)^2),NA())</f>
        <v/>
      </c>
      <c r="D74" s="9">
        <f>IF(OR(Inputs!$F$8=TRUE,Inputs!$F$8="TRUE",Inputs!$F$8=1),(Inputs!$H$8+Inputs!$L$8*(((Inputs!$I$8+(((A74)+1)/2)*(Inputs!$J$8-Inputs!$I$8)))/Inputs!$K$8)^2),NA())</f>
        <v/>
      </c>
      <c r="E74" s="9">
        <f>IF(OR(Inputs!$F$9=TRUE,Inputs!$F$9="TRUE",Inputs!$F$9=1),(Inputs!$H$9+Inputs!$L$9*(((Inputs!$I$9+(((A74)+1)/2)*(Inputs!$J$9-Inputs!$I$9)))/Inputs!$K$9)^2),NA())</f>
        <v/>
      </c>
      <c r="F74" s="10" t="n"/>
      <c r="G74" s="9">
        <f>A74</f>
        <v/>
      </c>
      <c r="H74" s="9">
        <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f>
        <v/>
      </c>
      <c r="I74" s="9">
        <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f>
        <v/>
      </c>
      <c r="J74" s="9">
        <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f>
        <v/>
      </c>
      <c r="K74" s="9">
        <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f>
        <v/>
      </c>
      <c r="L74" s="10" t="n"/>
      <c r="M74" s="9">
        <f>A74</f>
        <v/>
      </c>
      <c r="N74" s="9">
        <f>IF(OR(Inputs!$F$6=TRUE,Inputs!$F$6="TRUE",Inputs!$F$6=1),(-2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NA())</f>
        <v/>
      </c>
      <c r="O74" s="9">
        <f>IF(OR(Inputs!$F$7=TRUE,Inputs!$F$7="TRUE",Inputs!$F$7=1),(-2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NA())</f>
        <v/>
      </c>
      <c r="P74" s="9">
        <f>IF(OR(Inputs!$F$8=TRUE,Inputs!$F$8="TRUE",Inputs!$F$8=1),(-2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NA())</f>
        <v/>
      </c>
      <c r="Q74" s="9">
        <f>IF(OR(Inputs!$F$9=TRUE,Inputs!$F$9="TRUE",Inputs!$F$9=1),(-2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NA())</f>
        <v/>
      </c>
      <c r="R74" s="10" t="n"/>
      <c r="S74" s="9">
        <f>A74</f>
        <v/>
      </c>
      <c r="T74" s="9">
        <f>(Inputs!$I$6+(((A74)+1)/2)*(Inputs!$J$6-Inputs!$I$6))</f>
        <v/>
      </c>
      <c r="U74" s="9">
        <f>(Inputs!$I$7+(((A74)+1)/2)*(Inputs!$J$7-Inputs!$I$7))</f>
        <v/>
      </c>
      <c r="V74" s="9">
        <f>(Inputs!$I$8+(((A74)+1)/2)*(Inputs!$J$8-Inputs!$I$8))</f>
        <v/>
      </c>
      <c r="W74" s="9">
        <f>(Inputs!$I$9+(((A74)+1)/2)*(Inputs!$J$9-Inputs!$I$9))</f>
        <v/>
      </c>
      <c r="X74" s="10" t="n"/>
      <c r="Y74" s="9">
        <f>A74</f>
        <v/>
      </c>
      <c r="Z74" s="9">
        <f>(Inputs!$H$6+Inputs!$L$6*(((Inputs!$I$6+(((A74)+1)/2)*(Inputs!$J$6-Inputs!$I$6)))/Inputs!$K$6)^2)</f>
        <v/>
      </c>
      <c r="AA74" s="9">
        <f>(Inputs!$H$7+Inputs!$L$7*(((Inputs!$I$7+(((A74)+1)/2)*(Inputs!$J$7-Inputs!$I$7)))/Inputs!$K$7)^2)</f>
        <v/>
      </c>
      <c r="AB74" s="9">
        <f>(Inputs!$H$8+Inputs!$L$8*(((Inputs!$I$8+(((A74)+1)/2)*(Inputs!$J$8-Inputs!$I$8)))/Inputs!$K$8)^2)</f>
        <v/>
      </c>
      <c r="AC74" s="9">
        <f>(Inputs!$H$9+Inputs!$L$9*(((Inputs!$I$9+(((A74)+1)/2)*(Inputs!$J$9-Inputs!$I$9)))/Inputs!$K$9)^2)</f>
        <v/>
      </c>
      <c r="AD74" s="10" t="n"/>
      <c r="AE74" s="9">
        <f>A74</f>
        <v/>
      </c>
      <c r="AF74" s="9">
        <f>(((SQRT((Inputs!$C$52+((Inputs!$H$6+Inputs!$L$6*(((Inputs!$I$6+(((A74)+1)/2)*(Inputs!$J$6-Inputs!$I$6)))/Inputs!$K$6)^2)))^2+Inputs!$C$52^2-2*(Inputs!$C$52+((Inputs!$H$6+Inputs!$L$6*(((Inputs!$I$6+(((A74)+1)/2)*(Inputs!$J$6-Inputs!$I$6)))/Inputs!$K$6)^2)))*Inputs!$C$52*COS(SQRT(((Inputs!$I$6+(((A74)+1)/2)*(Inputs!$J$6-Inputs!$I$6)))^2+Inputs!$C$6^2)/Inputs!$C$52)))-((Inputs!$H$6+Inputs!$L$6*(((Inputs!$I$6+(((A74)+1)/2)*(Inputs!$J$6-Inputs!$I$6)))/Inputs!$K$6)^2)))*1000/Inputs!$C$12)</f>
        <v/>
      </c>
      <c r="AG74" s="9">
        <f>(((SQRT((Inputs!$C$52+((Inputs!$H$7+Inputs!$L$7*(((Inputs!$I$7+(((A74)+1)/2)*(Inputs!$J$7-Inputs!$I$7)))/Inputs!$K$7)^2)))^2+Inputs!$C$52^2-2*(Inputs!$C$52+((Inputs!$H$7+Inputs!$L$7*(((Inputs!$I$7+(((A74)+1)/2)*(Inputs!$J$7-Inputs!$I$7)))/Inputs!$K$7)^2)))*Inputs!$C$52*COS(SQRT(((Inputs!$I$7+(((A74)+1)/2)*(Inputs!$J$7-Inputs!$I$7)))^2+Inputs!$C$6^2)/Inputs!$C$52)))-((Inputs!$H$7+Inputs!$L$7*(((Inputs!$I$7+(((A74)+1)/2)*(Inputs!$J$7-Inputs!$I$7)))/Inputs!$K$7)^2)))*1000/Inputs!$C$12)</f>
        <v/>
      </c>
      <c r="AH74" s="9">
        <f>(((SQRT((Inputs!$C$52+((Inputs!$H$8+Inputs!$L$8*(((Inputs!$I$8+(((A74)+1)/2)*(Inputs!$J$8-Inputs!$I$8)))/Inputs!$K$8)^2)))^2+Inputs!$C$52^2-2*(Inputs!$C$52+((Inputs!$H$8+Inputs!$L$8*(((Inputs!$I$8+(((A74)+1)/2)*(Inputs!$J$8-Inputs!$I$8)))/Inputs!$K$8)^2)))*Inputs!$C$52*COS(SQRT(((Inputs!$I$8+(((A74)+1)/2)*(Inputs!$J$8-Inputs!$I$8)))^2+Inputs!$C$6^2)/Inputs!$C$52)))-((Inputs!$H$8+Inputs!$L$8*(((Inputs!$I$8+(((A74)+1)/2)*(Inputs!$J$8-Inputs!$I$8)))/Inputs!$K$8)^2)))*1000/Inputs!$C$12)</f>
        <v/>
      </c>
      <c r="AI74" s="9">
        <f>(((SQRT((Inputs!$C$52+((Inputs!$H$9+Inputs!$L$9*(((Inputs!$I$9+(((A74)+1)/2)*(Inputs!$J$9-Inputs!$I$9)))/Inputs!$K$9)^2)))^2+Inputs!$C$52^2-2*(Inputs!$C$52+((Inputs!$H$9+Inputs!$L$9*(((Inputs!$I$9+(((A74)+1)/2)*(Inputs!$J$9-Inputs!$I$9)))/Inputs!$K$9)^2)))*Inputs!$C$52*COS(SQRT(((Inputs!$I$9+(((A74)+1)/2)*(Inputs!$J$9-Inputs!$I$9)))^2+Inputs!$C$6^2)/Inputs!$C$52)))-((Inputs!$H$9+Inputs!$L$9*(((Inputs!$I$9+(((A74)+1)/2)*(Inputs!$J$9-Inputs!$I$9)))/Inputs!$K$9)^2)))*1000/Inputs!$C$12)</f>
        <v/>
      </c>
      <c r="AJ74" s="10" t="n"/>
      <c r="AK74" s="9">
        <f>A74</f>
        <v/>
      </c>
      <c r="AL74" s="9">
        <f>(-2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f>
        <v/>
      </c>
      <c r="AM74" s="9">
        <f>(-2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f>
        <v/>
      </c>
      <c r="AN74" s="9">
        <f>(-2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f>
        <v/>
      </c>
      <c r="AO74" s="9">
        <f>(-2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f>
        <v/>
      </c>
      <c r="AP74" s="10" t="n"/>
      <c r="AQ74" s="9">
        <f>A74</f>
        <v/>
      </c>
      <c r="AR74" s="9">
        <f>0</f>
        <v/>
      </c>
      <c r="AS74" s="9">
        <f>IF(OR(Inputs!$F$6=TRUE,Inputs!$F$6="TRUE",Inputs!$F$6=1),IF(OR(Inputs!$C$27=TRUE,Inputs!$C$27="TRUE",Inputs!$C$27=1),1,0)*(Inputs!$C$51*(115*EXP(-(((Inputs!$C$6)-25)^2)/(4.5^2))+70*EXP(-(((Inputs!$C$6)+38)^2)/(7^2))*(0.55+0.45*SIN(2*PI()*((Inputs!$I$6+(((A74)+1)/2)*(Inputs!$J$6-Inputs!$I$6)))/45))+24*SIN(2*PI()*(Inputs!$C$6)/9+((Inputs!$I$6+(((A74)+1)/2)*(Inputs!$J$6-Inputs!$I$6)))/18)*EXP(-(((Inputs!$C$6)+5)^2)/(22^2))+18*SIN(2*PI()*((Inputs!$I$6+(((A74)+1)/2)*(Inputs!$J$6-Inputs!$I$6)))/70))+Inputs!$C$28*EXP(-((((Inputs!$I$6+(((A74)+1)/2)*(Inputs!$J$6-Inputs!$I$6)))-Inputs!$C$29)^2)/(2*Inputs!$C$31^2))*EXP(-(((Inputs!$C$6)-Inputs!$C$30)^2)/(2*Inputs!$C$32^2))+-Inputs!$C$33*EXP(-((((((Inputs!$I$6+(((A74)+1)/2)*(Inputs!$J$6-Inputs!$I$6)))-Inputs!$C$34)^2)+(((Inputs!$C$6)-Inputs!$C$35)^2))/(2*Inputs!$C$36^2)))+Inputs!$C$37*(0.55*SIN(2*PI()*((Inputs!$I$6+(((A74)+1)/2)*(Inputs!$J$6-Inputs!$I$6)))/Inputs!$C$39)+0.35*COS(2*PI()*(Inputs!$C$6)/Inputs!$C$40)+0.2*SIN(2*PI()*(((Inputs!$I$6+(((A74)+1)/2)*(Inputs!$J$6-Inputs!$I$6)))+(Inputs!$C$6))/(0.5*(Inputs!$C$39+Inputs!$C$40))))+Inputs!$C$38*SIN(2*PI()*((Inputs!$I$6+(((A74)+1)/2)*(Inputs!$J$6-Inputs!$I$6)))/Inputs!$C$39)*SIN(2*PI()*(Inputs!$C$6)/Inputs!$C$40)+-Inputs!$C$41*EXP(-(((Inputs!$C$6)-Inputs!$C$43)^2)/(2*Inputs!$C$44^2))*EXP(-((((Inputs!$I$6+(((A74)+1)/2)*(Inputs!$J$6-Inputs!$I$6)))-Inputs!$C$42)^2)/(2*Inputs!$C$45^2))+Inputs!$C$48*(0.7*(0.45*SIN(2*PI()*((((Inputs!$I$6+(((A74)+1)/2)*(Inputs!$J$6-Inputs!$I$6)))/Inputs!$C$49)+Inputs!$C$47*0.137))+0.35*COS(2*PI()*(((Inputs!$C$6)/Inputs!$C$50)+Inputs!$C$47*0.173))+0.2*SIN(2*PI()*((((Inputs!$I$6+(((A74)+1)/2)*(Inputs!$J$6-Inputs!$I$6)))+(Inputs!$C$6))/(0.5*(Inputs!$C$49+Inputs!$C$50))+Inputs!$C$47*0.097)))+0.3*(2*((SIN((((Inputs!$I$6+(((A74)+1)/2)*(Inputs!$J$6-Inputs!$I$6)))*12.9898+(Inputs!$C$6)*78.233+Inputs!$C$47*37.719))*43758.5453)-INT((SIN((((Inputs!$I$6+(((A74)+1)/2)*(Inputs!$J$6-Inputs!$I$6)))*12.9898+(Inputs!$C$6)*78.233+Inputs!$C$47*37.719))*43758.5453)))-1))),NA())</f>
        <v/>
      </c>
      <c r="AT74" s="9">
        <f>IF(OR(Inputs!$F$7=TRUE,Inputs!$F$7="TRUE",Inputs!$F$7=1),IF(OR(Inputs!$C$27=TRUE,Inputs!$C$27="TRUE",Inputs!$C$27=1),1,0)*(Inputs!$C$51*(115*EXP(-(((Inputs!$C$6)-25)^2)/(4.5^2))+70*EXP(-(((Inputs!$C$6)+38)^2)/(7^2))*(0.55+0.45*SIN(2*PI()*((Inputs!$I$7+(((A74)+1)/2)*(Inputs!$J$7-Inputs!$I$7)))/45))+24*SIN(2*PI()*(Inputs!$C$6)/9+((Inputs!$I$7+(((A74)+1)/2)*(Inputs!$J$7-Inputs!$I$7)))/18)*EXP(-(((Inputs!$C$6)+5)^2)/(22^2))+18*SIN(2*PI()*((Inputs!$I$7+(((A74)+1)/2)*(Inputs!$J$7-Inputs!$I$7)))/70))+Inputs!$C$28*EXP(-((((Inputs!$I$7+(((A74)+1)/2)*(Inputs!$J$7-Inputs!$I$7)))-Inputs!$C$29)^2)/(2*Inputs!$C$31^2))*EXP(-(((Inputs!$C$6)-Inputs!$C$30)^2)/(2*Inputs!$C$32^2))+-Inputs!$C$33*EXP(-((((((Inputs!$I$7+(((A74)+1)/2)*(Inputs!$J$7-Inputs!$I$7)))-Inputs!$C$34)^2)+(((Inputs!$C$6)-Inputs!$C$35)^2))/(2*Inputs!$C$36^2)))+Inputs!$C$37*(0.55*SIN(2*PI()*((Inputs!$I$7+(((A74)+1)/2)*(Inputs!$J$7-Inputs!$I$7)))/Inputs!$C$39)+0.35*COS(2*PI()*(Inputs!$C$6)/Inputs!$C$40)+0.2*SIN(2*PI()*(((Inputs!$I$7+(((A74)+1)/2)*(Inputs!$J$7-Inputs!$I$7)))+(Inputs!$C$6))/(0.5*(Inputs!$C$39+Inputs!$C$40))))+Inputs!$C$38*SIN(2*PI()*((Inputs!$I$7+(((A74)+1)/2)*(Inputs!$J$7-Inputs!$I$7)))/Inputs!$C$39)*SIN(2*PI()*(Inputs!$C$6)/Inputs!$C$40)+-Inputs!$C$41*EXP(-(((Inputs!$C$6)-Inputs!$C$43)^2)/(2*Inputs!$C$44^2))*EXP(-((((Inputs!$I$7+(((A74)+1)/2)*(Inputs!$J$7-Inputs!$I$7)))-Inputs!$C$42)^2)/(2*Inputs!$C$45^2))+Inputs!$C$48*(0.7*(0.45*SIN(2*PI()*((((Inputs!$I$7+(((A74)+1)/2)*(Inputs!$J$7-Inputs!$I$7)))/Inputs!$C$49)+Inputs!$C$47*0.137))+0.35*COS(2*PI()*(((Inputs!$C$6)/Inputs!$C$50)+Inputs!$C$47*0.173))+0.2*SIN(2*PI()*((((Inputs!$I$7+(((A74)+1)/2)*(Inputs!$J$7-Inputs!$I$7)))+(Inputs!$C$6))/(0.5*(Inputs!$C$49+Inputs!$C$50))+Inputs!$C$47*0.097)))+0.3*(2*((SIN((((Inputs!$I$7+(((A74)+1)/2)*(Inputs!$J$7-Inputs!$I$7)))*12.9898+(Inputs!$C$6)*78.233+Inputs!$C$47*37.719))*43758.5453)-INT((SIN((((Inputs!$I$7+(((A74)+1)/2)*(Inputs!$J$7-Inputs!$I$7)))*12.9898+(Inputs!$C$6)*78.233+Inputs!$C$47*37.719))*43758.5453)))-1))),NA())</f>
        <v/>
      </c>
      <c r="AU74" s="9">
        <f>IF(OR(Inputs!$F$8=TRUE,Inputs!$F$8="TRUE",Inputs!$F$8=1),IF(OR(Inputs!$C$27=TRUE,Inputs!$C$27="TRUE",Inputs!$C$27=1),1,0)*(Inputs!$C$51*(115*EXP(-(((Inputs!$C$6)-25)^2)/(4.5^2))+70*EXP(-(((Inputs!$C$6)+38)^2)/(7^2))*(0.55+0.45*SIN(2*PI()*((Inputs!$I$8+(((A74)+1)/2)*(Inputs!$J$8-Inputs!$I$8)))/45))+24*SIN(2*PI()*(Inputs!$C$6)/9+((Inputs!$I$8+(((A74)+1)/2)*(Inputs!$J$8-Inputs!$I$8)))/18)*EXP(-(((Inputs!$C$6)+5)^2)/(22^2))+18*SIN(2*PI()*((Inputs!$I$8+(((A74)+1)/2)*(Inputs!$J$8-Inputs!$I$8)))/70))+Inputs!$C$28*EXP(-((((Inputs!$I$8+(((A74)+1)/2)*(Inputs!$J$8-Inputs!$I$8)))-Inputs!$C$29)^2)/(2*Inputs!$C$31^2))*EXP(-(((Inputs!$C$6)-Inputs!$C$30)^2)/(2*Inputs!$C$32^2))+-Inputs!$C$33*EXP(-((((((Inputs!$I$8+(((A74)+1)/2)*(Inputs!$J$8-Inputs!$I$8)))-Inputs!$C$34)^2)+(((Inputs!$C$6)-Inputs!$C$35)^2))/(2*Inputs!$C$36^2)))+Inputs!$C$37*(0.55*SIN(2*PI()*((Inputs!$I$8+(((A74)+1)/2)*(Inputs!$J$8-Inputs!$I$8)))/Inputs!$C$39)+0.35*COS(2*PI()*(Inputs!$C$6)/Inputs!$C$40)+0.2*SIN(2*PI()*(((Inputs!$I$8+(((A74)+1)/2)*(Inputs!$J$8-Inputs!$I$8)))+(Inputs!$C$6))/(0.5*(Inputs!$C$39+Inputs!$C$40))))+Inputs!$C$38*SIN(2*PI()*((Inputs!$I$8+(((A74)+1)/2)*(Inputs!$J$8-Inputs!$I$8)))/Inputs!$C$39)*SIN(2*PI()*(Inputs!$C$6)/Inputs!$C$40)+-Inputs!$C$41*EXP(-(((Inputs!$C$6)-Inputs!$C$43)^2)/(2*Inputs!$C$44^2))*EXP(-((((Inputs!$I$8+(((A74)+1)/2)*(Inputs!$J$8-Inputs!$I$8)))-Inputs!$C$42)^2)/(2*Inputs!$C$45^2))+Inputs!$C$48*(0.7*(0.45*SIN(2*PI()*((((Inputs!$I$8+(((A74)+1)/2)*(Inputs!$J$8-Inputs!$I$8)))/Inputs!$C$49)+Inputs!$C$47*0.137))+0.35*COS(2*PI()*(((Inputs!$C$6)/Inputs!$C$50)+Inputs!$C$47*0.173))+0.2*SIN(2*PI()*((((Inputs!$I$8+(((A74)+1)/2)*(Inputs!$J$8-Inputs!$I$8)))+(Inputs!$C$6))/(0.5*(Inputs!$C$49+Inputs!$C$50))+Inputs!$C$47*0.097)))+0.3*(2*((SIN((((Inputs!$I$8+(((A74)+1)/2)*(Inputs!$J$8-Inputs!$I$8)))*12.9898+(Inputs!$C$6)*78.233+Inputs!$C$47*37.719))*43758.5453)-INT((SIN((((Inputs!$I$8+(((A74)+1)/2)*(Inputs!$J$8-Inputs!$I$8)))*12.9898+(Inputs!$C$6)*78.233+Inputs!$C$47*37.719))*43758.5453)))-1))),NA())</f>
        <v/>
      </c>
      <c r="AV74" s="9">
        <f>IF(OR(Inputs!$F$9=TRUE,Inputs!$F$9="TRUE",Inputs!$F$9=1),IF(OR(Inputs!$C$27=TRUE,Inputs!$C$27="TRUE",Inputs!$C$27=1),1,0)*(Inputs!$C$51*(115*EXP(-(((Inputs!$C$6)-25)^2)/(4.5^2))+70*EXP(-(((Inputs!$C$6)+38)^2)/(7^2))*(0.55+0.45*SIN(2*PI()*((Inputs!$I$9+(((A74)+1)/2)*(Inputs!$J$9-Inputs!$I$9)))/45))+24*SIN(2*PI()*(Inputs!$C$6)/9+((Inputs!$I$9+(((A74)+1)/2)*(Inputs!$J$9-Inputs!$I$9)))/18)*EXP(-(((Inputs!$C$6)+5)^2)/(22^2))+18*SIN(2*PI()*((Inputs!$I$9+(((A74)+1)/2)*(Inputs!$J$9-Inputs!$I$9)))/70))+Inputs!$C$28*EXP(-((((Inputs!$I$9+(((A74)+1)/2)*(Inputs!$J$9-Inputs!$I$9)))-Inputs!$C$29)^2)/(2*Inputs!$C$31^2))*EXP(-(((Inputs!$C$6)-Inputs!$C$30)^2)/(2*Inputs!$C$32^2))+-Inputs!$C$33*EXP(-((((((Inputs!$I$9+(((A74)+1)/2)*(Inputs!$J$9-Inputs!$I$9)))-Inputs!$C$34)^2)+(((Inputs!$C$6)-Inputs!$C$35)^2))/(2*Inputs!$C$36^2)))+Inputs!$C$37*(0.55*SIN(2*PI()*((Inputs!$I$9+(((A74)+1)/2)*(Inputs!$J$9-Inputs!$I$9)))/Inputs!$C$39)+0.35*COS(2*PI()*(Inputs!$C$6)/Inputs!$C$40)+0.2*SIN(2*PI()*(((Inputs!$I$9+(((A74)+1)/2)*(Inputs!$J$9-Inputs!$I$9)))+(Inputs!$C$6))/(0.5*(Inputs!$C$39+Inputs!$C$40))))+Inputs!$C$38*SIN(2*PI()*((Inputs!$I$9+(((A74)+1)/2)*(Inputs!$J$9-Inputs!$I$9)))/Inputs!$C$39)*SIN(2*PI()*(Inputs!$C$6)/Inputs!$C$40)+-Inputs!$C$41*EXP(-(((Inputs!$C$6)-Inputs!$C$43)^2)/(2*Inputs!$C$44^2))*EXP(-((((Inputs!$I$9+(((A74)+1)/2)*(Inputs!$J$9-Inputs!$I$9)))-Inputs!$C$42)^2)/(2*Inputs!$C$45^2))+Inputs!$C$48*(0.7*(0.45*SIN(2*PI()*((((Inputs!$I$9+(((A74)+1)/2)*(Inputs!$J$9-Inputs!$I$9)))/Inputs!$C$49)+Inputs!$C$47*0.137))+0.35*COS(2*PI()*(((Inputs!$C$6)/Inputs!$C$50)+Inputs!$C$47*0.173))+0.2*SIN(2*PI()*((((Inputs!$I$9+(((A74)+1)/2)*(Inputs!$J$9-Inputs!$I$9)))+(Inputs!$C$6))/(0.5*(Inputs!$C$49+Inputs!$C$50))+Inputs!$C$47*0.097)))+0.3*(2*((SIN((((Inputs!$I$9+(((A74)+1)/2)*(Inputs!$J$9-Inputs!$I$9)))*12.9898+(Inputs!$C$6)*78.233+Inputs!$C$47*37.719))*43758.5453)-INT((SIN((((Inputs!$I$9+(((A74)+1)/2)*(Inputs!$J$9-Inputs!$I$9)))*12.9898+(Inputs!$C$6)*78.233+Inputs!$C$47*37.719))*43758.5453)))-1))),NA())</f>
        <v/>
      </c>
      <c r="AW74" s="10" t="n"/>
      <c r="AX74" s="9">
        <f>A74</f>
        <v/>
      </c>
      <c r="AY74" s="9">
        <f>0</f>
        <v/>
      </c>
      <c r="AZ74" s="9">
        <f>IF(OR(Inputs!$F$6=TRUE,Inputs!$F$6="TRUE",Inputs!$F$6=1),(Inputs!$H$6+Inputs!$L$6*(((Inputs!$I$6+(((A74)+1)/2)*(Inputs!$J$6-Inputs!$I$6)))/Inputs!$K$6)^2),NA())</f>
        <v/>
      </c>
      <c r="BA74" s="9">
        <f>IF(OR(Inputs!$F$7=TRUE,Inputs!$F$7="TRUE",Inputs!$F$7=1),(Inputs!$H$7+Inputs!$L$7*(((Inputs!$I$7+(((A74)+1)/2)*(Inputs!$J$7-Inputs!$I$7)))/Inputs!$K$7)^2),NA())</f>
        <v/>
      </c>
      <c r="BB74" s="9">
        <f>IF(OR(Inputs!$F$8=TRUE,Inputs!$F$8="TRUE",Inputs!$F$8=1),(Inputs!$H$8+Inputs!$L$8*(((Inputs!$I$8+(((A74)+1)/2)*(Inputs!$J$8-Inputs!$I$8)))/Inputs!$K$8)^2),NA())</f>
        <v/>
      </c>
      <c r="BC74" s="9">
        <f>IF(OR(Inputs!$F$9=TRUE,Inputs!$F$9="TRUE",Inputs!$F$9=1),(Inputs!$H$9+Inputs!$L$9*(((Inputs!$I$9+(((A74)+1)/2)*(Inputs!$J$9-Inputs!$I$9)))/Inputs!$K$9)^2),NA())</f>
        <v/>
      </c>
      <c r="BD74" s="10" t="n"/>
      <c r="BE74" s="9">
        <f>A74</f>
        <v/>
      </c>
      <c r="BF74" s="9">
        <f>0</f>
        <v/>
      </c>
      <c r="BG74" s="9">
        <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f>
        <v/>
      </c>
      <c r="BH74" s="9">
        <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f>
        <v/>
      </c>
      <c r="BI74" s="9">
        <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f>
        <v/>
      </c>
      <c r="BJ74" s="9">
        <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f>
        <v/>
      </c>
    </row>
    <row r="75">
      <c r="A75" s="9">
        <f>ROUND(-1+73*2/240,3)</f>
        <v/>
      </c>
      <c r="B75" s="9">
        <f>IF(OR(Inputs!$F$6=TRUE,Inputs!$F$6="TRUE",Inputs!$F$6=1),(Inputs!$H$6+Inputs!$L$6*(((Inputs!$I$6+(((A75)+1)/2)*(Inputs!$J$6-Inputs!$I$6)))/Inputs!$K$6)^2),NA())</f>
        <v/>
      </c>
      <c r="C75" s="9">
        <f>IF(OR(Inputs!$F$7=TRUE,Inputs!$F$7="TRUE",Inputs!$F$7=1),(Inputs!$H$7+Inputs!$L$7*(((Inputs!$I$7+(((A75)+1)/2)*(Inputs!$J$7-Inputs!$I$7)))/Inputs!$K$7)^2),NA())</f>
        <v/>
      </c>
      <c r="D75" s="9">
        <f>IF(OR(Inputs!$F$8=TRUE,Inputs!$F$8="TRUE",Inputs!$F$8=1),(Inputs!$H$8+Inputs!$L$8*(((Inputs!$I$8+(((A75)+1)/2)*(Inputs!$J$8-Inputs!$I$8)))/Inputs!$K$8)^2),NA())</f>
        <v/>
      </c>
      <c r="E75" s="9">
        <f>IF(OR(Inputs!$F$9=TRUE,Inputs!$F$9="TRUE",Inputs!$F$9=1),(Inputs!$H$9+Inputs!$L$9*(((Inputs!$I$9+(((A75)+1)/2)*(Inputs!$J$9-Inputs!$I$9)))/Inputs!$K$9)^2),NA())</f>
        <v/>
      </c>
      <c r="F75" s="10" t="n"/>
      <c r="G75" s="9">
        <f>A75</f>
        <v/>
      </c>
      <c r="H75" s="9">
        <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f>
        <v/>
      </c>
      <c r="I75" s="9">
        <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f>
        <v/>
      </c>
      <c r="J75" s="9">
        <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f>
        <v/>
      </c>
      <c r="K75" s="9">
        <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f>
        <v/>
      </c>
      <c r="L75" s="10" t="n"/>
      <c r="M75" s="9">
        <f>A75</f>
        <v/>
      </c>
      <c r="N75" s="9">
        <f>IF(OR(Inputs!$F$6=TRUE,Inputs!$F$6="TRUE",Inputs!$F$6=1),(-2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NA())</f>
        <v/>
      </c>
      <c r="O75" s="9">
        <f>IF(OR(Inputs!$F$7=TRUE,Inputs!$F$7="TRUE",Inputs!$F$7=1),(-2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NA())</f>
        <v/>
      </c>
      <c r="P75" s="9">
        <f>IF(OR(Inputs!$F$8=TRUE,Inputs!$F$8="TRUE",Inputs!$F$8=1),(-2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NA())</f>
        <v/>
      </c>
      <c r="Q75" s="9">
        <f>IF(OR(Inputs!$F$9=TRUE,Inputs!$F$9="TRUE",Inputs!$F$9=1),(-2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NA())</f>
        <v/>
      </c>
      <c r="R75" s="10" t="n"/>
      <c r="S75" s="9">
        <f>A75</f>
        <v/>
      </c>
      <c r="T75" s="9">
        <f>(Inputs!$I$6+(((A75)+1)/2)*(Inputs!$J$6-Inputs!$I$6))</f>
        <v/>
      </c>
      <c r="U75" s="9">
        <f>(Inputs!$I$7+(((A75)+1)/2)*(Inputs!$J$7-Inputs!$I$7))</f>
        <v/>
      </c>
      <c r="V75" s="9">
        <f>(Inputs!$I$8+(((A75)+1)/2)*(Inputs!$J$8-Inputs!$I$8))</f>
        <v/>
      </c>
      <c r="W75" s="9">
        <f>(Inputs!$I$9+(((A75)+1)/2)*(Inputs!$J$9-Inputs!$I$9))</f>
        <v/>
      </c>
      <c r="X75" s="10" t="n"/>
      <c r="Y75" s="9">
        <f>A75</f>
        <v/>
      </c>
      <c r="Z75" s="9">
        <f>(Inputs!$H$6+Inputs!$L$6*(((Inputs!$I$6+(((A75)+1)/2)*(Inputs!$J$6-Inputs!$I$6)))/Inputs!$K$6)^2)</f>
        <v/>
      </c>
      <c r="AA75" s="9">
        <f>(Inputs!$H$7+Inputs!$L$7*(((Inputs!$I$7+(((A75)+1)/2)*(Inputs!$J$7-Inputs!$I$7)))/Inputs!$K$7)^2)</f>
        <v/>
      </c>
      <c r="AB75" s="9">
        <f>(Inputs!$H$8+Inputs!$L$8*(((Inputs!$I$8+(((A75)+1)/2)*(Inputs!$J$8-Inputs!$I$8)))/Inputs!$K$8)^2)</f>
        <v/>
      </c>
      <c r="AC75" s="9">
        <f>(Inputs!$H$9+Inputs!$L$9*(((Inputs!$I$9+(((A75)+1)/2)*(Inputs!$J$9-Inputs!$I$9)))/Inputs!$K$9)^2)</f>
        <v/>
      </c>
      <c r="AD75" s="10" t="n"/>
      <c r="AE75" s="9">
        <f>A75</f>
        <v/>
      </c>
      <c r="AF75" s="9">
        <f>(((SQRT((Inputs!$C$52+((Inputs!$H$6+Inputs!$L$6*(((Inputs!$I$6+(((A75)+1)/2)*(Inputs!$J$6-Inputs!$I$6)))/Inputs!$K$6)^2)))^2+Inputs!$C$52^2-2*(Inputs!$C$52+((Inputs!$H$6+Inputs!$L$6*(((Inputs!$I$6+(((A75)+1)/2)*(Inputs!$J$6-Inputs!$I$6)))/Inputs!$K$6)^2)))*Inputs!$C$52*COS(SQRT(((Inputs!$I$6+(((A75)+1)/2)*(Inputs!$J$6-Inputs!$I$6)))^2+Inputs!$C$6^2)/Inputs!$C$52)))-((Inputs!$H$6+Inputs!$L$6*(((Inputs!$I$6+(((A75)+1)/2)*(Inputs!$J$6-Inputs!$I$6)))/Inputs!$K$6)^2)))*1000/Inputs!$C$12)</f>
        <v/>
      </c>
      <c r="AG75" s="9">
        <f>(((SQRT((Inputs!$C$52+((Inputs!$H$7+Inputs!$L$7*(((Inputs!$I$7+(((A75)+1)/2)*(Inputs!$J$7-Inputs!$I$7)))/Inputs!$K$7)^2)))^2+Inputs!$C$52^2-2*(Inputs!$C$52+((Inputs!$H$7+Inputs!$L$7*(((Inputs!$I$7+(((A75)+1)/2)*(Inputs!$J$7-Inputs!$I$7)))/Inputs!$K$7)^2)))*Inputs!$C$52*COS(SQRT(((Inputs!$I$7+(((A75)+1)/2)*(Inputs!$J$7-Inputs!$I$7)))^2+Inputs!$C$6^2)/Inputs!$C$52)))-((Inputs!$H$7+Inputs!$L$7*(((Inputs!$I$7+(((A75)+1)/2)*(Inputs!$J$7-Inputs!$I$7)))/Inputs!$K$7)^2)))*1000/Inputs!$C$12)</f>
        <v/>
      </c>
      <c r="AH75" s="9">
        <f>(((SQRT((Inputs!$C$52+((Inputs!$H$8+Inputs!$L$8*(((Inputs!$I$8+(((A75)+1)/2)*(Inputs!$J$8-Inputs!$I$8)))/Inputs!$K$8)^2)))^2+Inputs!$C$52^2-2*(Inputs!$C$52+((Inputs!$H$8+Inputs!$L$8*(((Inputs!$I$8+(((A75)+1)/2)*(Inputs!$J$8-Inputs!$I$8)))/Inputs!$K$8)^2)))*Inputs!$C$52*COS(SQRT(((Inputs!$I$8+(((A75)+1)/2)*(Inputs!$J$8-Inputs!$I$8)))^2+Inputs!$C$6^2)/Inputs!$C$52)))-((Inputs!$H$8+Inputs!$L$8*(((Inputs!$I$8+(((A75)+1)/2)*(Inputs!$J$8-Inputs!$I$8)))/Inputs!$K$8)^2)))*1000/Inputs!$C$12)</f>
        <v/>
      </c>
      <c r="AI75" s="9">
        <f>(((SQRT((Inputs!$C$52+((Inputs!$H$9+Inputs!$L$9*(((Inputs!$I$9+(((A75)+1)/2)*(Inputs!$J$9-Inputs!$I$9)))/Inputs!$K$9)^2)))^2+Inputs!$C$52^2-2*(Inputs!$C$52+((Inputs!$H$9+Inputs!$L$9*(((Inputs!$I$9+(((A75)+1)/2)*(Inputs!$J$9-Inputs!$I$9)))/Inputs!$K$9)^2)))*Inputs!$C$52*COS(SQRT(((Inputs!$I$9+(((A75)+1)/2)*(Inputs!$J$9-Inputs!$I$9)))^2+Inputs!$C$6^2)/Inputs!$C$52)))-((Inputs!$H$9+Inputs!$L$9*(((Inputs!$I$9+(((A75)+1)/2)*(Inputs!$J$9-Inputs!$I$9)))/Inputs!$K$9)^2)))*1000/Inputs!$C$12)</f>
        <v/>
      </c>
      <c r="AJ75" s="10" t="n"/>
      <c r="AK75" s="9">
        <f>A75</f>
        <v/>
      </c>
      <c r="AL75" s="9">
        <f>(-2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f>
        <v/>
      </c>
      <c r="AM75" s="9">
        <f>(-2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f>
        <v/>
      </c>
      <c r="AN75" s="9">
        <f>(-2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f>
        <v/>
      </c>
      <c r="AO75" s="9">
        <f>(-2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f>
        <v/>
      </c>
      <c r="AP75" s="10" t="n"/>
      <c r="AQ75" s="9">
        <f>A75</f>
        <v/>
      </c>
      <c r="AR75" s="9">
        <f>0</f>
        <v/>
      </c>
      <c r="AS75" s="9">
        <f>IF(OR(Inputs!$F$6=TRUE,Inputs!$F$6="TRUE",Inputs!$F$6=1),IF(OR(Inputs!$C$27=TRUE,Inputs!$C$27="TRUE",Inputs!$C$27=1),1,0)*(Inputs!$C$51*(115*EXP(-(((Inputs!$C$6)-25)^2)/(4.5^2))+70*EXP(-(((Inputs!$C$6)+38)^2)/(7^2))*(0.55+0.45*SIN(2*PI()*((Inputs!$I$6+(((A75)+1)/2)*(Inputs!$J$6-Inputs!$I$6)))/45))+24*SIN(2*PI()*(Inputs!$C$6)/9+((Inputs!$I$6+(((A75)+1)/2)*(Inputs!$J$6-Inputs!$I$6)))/18)*EXP(-(((Inputs!$C$6)+5)^2)/(22^2))+18*SIN(2*PI()*((Inputs!$I$6+(((A75)+1)/2)*(Inputs!$J$6-Inputs!$I$6)))/70))+Inputs!$C$28*EXP(-((((Inputs!$I$6+(((A75)+1)/2)*(Inputs!$J$6-Inputs!$I$6)))-Inputs!$C$29)^2)/(2*Inputs!$C$31^2))*EXP(-(((Inputs!$C$6)-Inputs!$C$30)^2)/(2*Inputs!$C$32^2))+-Inputs!$C$33*EXP(-((((((Inputs!$I$6+(((A75)+1)/2)*(Inputs!$J$6-Inputs!$I$6)))-Inputs!$C$34)^2)+(((Inputs!$C$6)-Inputs!$C$35)^2))/(2*Inputs!$C$36^2)))+Inputs!$C$37*(0.55*SIN(2*PI()*((Inputs!$I$6+(((A75)+1)/2)*(Inputs!$J$6-Inputs!$I$6)))/Inputs!$C$39)+0.35*COS(2*PI()*(Inputs!$C$6)/Inputs!$C$40)+0.2*SIN(2*PI()*(((Inputs!$I$6+(((A75)+1)/2)*(Inputs!$J$6-Inputs!$I$6)))+(Inputs!$C$6))/(0.5*(Inputs!$C$39+Inputs!$C$40))))+Inputs!$C$38*SIN(2*PI()*((Inputs!$I$6+(((A75)+1)/2)*(Inputs!$J$6-Inputs!$I$6)))/Inputs!$C$39)*SIN(2*PI()*(Inputs!$C$6)/Inputs!$C$40)+-Inputs!$C$41*EXP(-(((Inputs!$C$6)-Inputs!$C$43)^2)/(2*Inputs!$C$44^2))*EXP(-((((Inputs!$I$6+(((A75)+1)/2)*(Inputs!$J$6-Inputs!$I$6)))-Inputs!$C$42)^2)/(2*Inputs!$C$45^2))+Inputs!$C$48*(0.7*(0.45*SIN(2*PI()*((((Inputs!$I$6+(((A75)+1)/2)*(Inputs!$J$6-Inputs!$I$6)))/Inputs!$C$49)+Inputs!$C$47*0.137))+0.35*COS(2*PI()*(((Inputs!$C$6)/Inputs!$C$50)+Inputs!$C$47*0.173))+0.2*SIN(2*PI()*((((Inputs!$I$6+(((A75)+1)/2)*(Inputs!$J$6-Inputs!$I$6)))+(Inputs!$C$6))/(0.5*(Inputs!$C$49+Inputs!$C$50))+Inputs!$C$47*0.097)))+0.3*(2*((SIN((((Inputs!$I$6+(((A75)+1)/2)*(Inputs!$J$6-Inputs!$I$6)))*12.9898+(Inputs!$C$6)*78.233+Inputs!$C$47*37.719))*43758.5453)-INT((SIN((((Inputs!$I$6+(((A75)+1)/2)*(Inputs!$J$6-Inputs!$I$6)))*12.9898+(Inputs!$C$6)*78.233+Inputs!$C$47*37.719))*43758.5453)))-1))),NA())</f>
        <v/>
      </c>
      <c r="AT75" s="9">
        <f>IF(OR(Inputs!$F$7=TRUE,Inputs!$F$7="TRUE",Inputs!$F$7=1),IF(OR(Inputs!$C$27=TRUE,Inputs!$C$27="TRUE",Inputs!$C$27=1),1,0)*(Inputs!$C$51*(115*EXP(-(((Inputs!$C$6)-25)^2)/(4.5^2))+70*EXP(-(((Inputs!$C$6)+38)^2)/(7^2))*(0.55+0.45*SIN(2*PI()*((Inputs!$I$7+(((A75)+1)/2)*(Inputs!$J$7-Inputs!$I$7)))/45))+24*SIN(2*PI()*(Inputs!$C$6)/9+((Inputs!$I$7+(((A75)+1)/2)*(Inputs!$J$7-Inputs!$I$7)))/18)*EXP(-(((Inputs!$C$6)+5)^2)/(22^2))+18*SIN(2*PI()*((Inputs!$I$7+(((A75)+1)/2)*(Inputs!$J$7-Inputs!$I$7)))/70))+Inputs!$C$28*EXP(-((((Inputs!$I$7+(((A75)+1)/2)*(Inputs!$J$7-Inputs!$I$7)))-Inputs!$C$29)^2)/(2*Inputs!$C$31^2))*EXP(-(((Inputs!$C$6)-Inputs!$C$30)^2)/(2*Inputs!$C$32^2))+-Inputs!$C$33*EXP(-((((((Inputs!$I$7+(((A75)+1)/2)*(Inputs!$J$7-Inputs!$I$7)))-Inputs!$C$34)^2)+(((Inputs!$C$6)-Inputs!$C$35)^2))/(2*Inputs!$C$36^2)))+Inputs!$C$37*(0.55*SIN(2*PI()*((Inputs!$I$7+(((A75)+1)/2)*(Inputs!$J$7-Inputs!$I$7)))/Inputs!$C$39)+0.35*COS(2*PI()*(Inputs!$C$6)/Inputs!$C$40)+0.2*SIN(2*PI()*(((Inputs!$I$7+(((A75)+1)/2)*(Inputs!$J$7-Inputs!$I$7)))+(Inputs!$C$6))/(0.5*(Inputs!$C$39+Inputs!$C$40))))+Inputs!$C$38*SIN(2*PI()*((Inputs!$I$7+(((A75)+1)/2)*(Inputs!$J$7-Inputs!$I$7)))/Inputs!$C$39)*SIN(2*PI()*(Inputs!$C$6)/Inputs!$C$40)+-Inputs!$C$41*EXP(-(((Inputs!$C$6)-Inputs!$C$43)^2)/(2*Inputs!$C$44^2))*EXP(-((((Inputs!$I$7+(((A75)+1)/2)*(Inputs!$J$7-Inputs!$I$7)))-Inputs!$C$42)^2)/(2*Inputs!$C$45^2))+Inputs!$C$48*(0.7*(0.45*SIN(2*PI()*((((Inputs!$I$7+(((A75)+1)/2)*(Inputs!$J$7-Inputs!$I$7)))/Inputs!$C$49)+Inputs!$C$47*0.137))+0.35*COS(2*PI()*(((Inputs!$C$6)/Inputs!$C$50)+Inputs!$C$47*0.173))+0.2*SIN(2*PI()*((((Inputs!$I$7+(((A75)+1)/2)*(Inputs!$J$7-Inputs!$I$7)))+(Inputs!$C$6))/(0.5*(Inputs!$C$49+Inputs!$C$50))+Inputs!$C$47*0.097)))+0.3*(2*((SIN((((Inputs!$I$7+(((A75)+1)/2)*(Inputs!$J$7-Inputs!$I$7)))*12.9898+(Inputs!$C$6)*78.233+Inputs!$C$47*37.719))*43758.5453)-INT((SIN((((Inputs!$I$7+(((A75)+1)/2)*(Inputs!$J$7-Inputs!$I$7)))*12.9898+(Inputs!$C$6)*78.233+Inputs!$C$47*37.719))*43758.5453)))-1))),NA())</f>
        <v/>
      </c>
      <c r="AU75" s="9">
        <f>IF(OR(Inputs!$F$8=TRUE,Inputs!$F$8="TRUE",Inputs!$F$8=1),IF(OR(Inputs!$C$27=TRUE,Inputs!$C$27="TRUE",Inputs!$C$27=1),1,0)*(Inputs!$C$51*(115*EXP(-(((Inputs!$C$6)-25)^2)/(4.5^2))+70*EXP(-(((Inputs!$C$6)+38)^2)/(7^2))*(0.55+0.45*SIN(2*PI()*((Inputs!$I$8+(((A75)+1)/2)*(Inputs!$J$8-Inputs!$I$8)))/45))+24*SIN(2*PI()*(Inputs!$C$6)/9+((Inputs!$I$8+(((A75)+1)/2)*(Inputs!$J$8-Inputs!$I$8)))/18)*EXP(-(((Inputs!$C$6)+5)^2)/(22^2))+18*SIN(2*PI()*((Inputs!$I$8+(((A75)+1)/2)*(Inputs!$J$8-Inputs!$I$8)))/70))+Inputs!$C$28*EXP(-((((Inputs!$I$8+(((A75)+1)/2)*(Inputs!$J$8-Inputs!$I$8)))-Inputs!$C$29)^2)/(2*Inputs!$C$31^2))*EXP(-(((Inputs!$C$6)-Inputs!$C$30)^2)/(2*Inputs!$C$32^2))+-Inputs!$C$33*EXP(-((((((Inputs!$I$8+(((A75)+1)/2)*(Inputs!$J$8-Inputs!$I$8)))-Inputs!$C$34)^2)+(((Inputs!$C$6)-Inputs!$C$35)^2))/(2*Inputs!$C$36^2)))+Inputs!$C$37*(0.55*SIN(2*PI()*((Inputs!$I$8+(((A75)+1)/2)*(Inputs!$J$8-Inputs!$I$8)))/Inputs!$C$39)+0.35*COS(2*PI()*(Inputs!$C$6)/Inputs!$C$40)+0.2*SIN(2*PI()*(((Inputs!$I$8+(((A75)+1)/2)*(Inputs!$J$8-Inputs!$I$8)))+(Inputs!$C$6))/(0.5*(Inputs!$C$39+Inputs!$C$40))))+Inputs!$C$38*SIN(2*PI()*((Inputs!$I$8+(((A75)+1)/2)*(Inputs!$J$8-Inputs!$I$8)))/Inputs!$C$39)*SIN(2*PI()*(Inputs!$C$6)/Inputs!$C$40)+-Inputs!$C$41*EXP(-(((Inputs!$C$6)-Inputs!$C$43)^2)/(2*Inputs!$C$44^2))*EXP(-((((Inputs!$I$8+(((A75)+1)/2)*(Inputs!$J$8-Inputs!$I$8)))-Inputs!$C$42)^2)/(2*Inputs!$C$45^2))+Inputs!$C$48*(0.7*(0.45*SIN(2*PI()*((((Inputs!$I$8+(((A75)+1)/2)*(Inputs!$J$8-Inputs!$I$8)))/Inputs!$C$49)+Inputs!$C$47*0.137))+0.35*COS(2*PI()*(((Inputs!$C$6)/Inputs!$C$50)+Inputs!$C$47*0.173))+0.2*SIN(2*PI()*((((Inputs!$I$8+(((A75)+1)/2)*(Inputs!$J$8-Inputs!$I$8)))+(Inputs!$C$6))/(0.5*(Inputs!$C$49+Inputs!$C$50))+Inputs!$C$47*0.097)))+0.3*(2*((SIN((((Inputs!$I$8+(((A75)+1)/2)*(Inputs!$J$8-Inputs!$I$8)))*12.9898+(Inputs!$C$6)*78.233+Inputs!$C$47*37.719))*43758.5453)-INT((SIN((((Inputs!$I$8+(((A75)+1)/2)*(Inputs!$J$8-Inputs!$I$8)))*12.9898+(Inputs!$C$6)*78.233+Inputs!$C$47*37.719))*43758.5453)))-1))),NA())</f>
        <v/>
      </c>
      <c r="AV75" s="9">
        <f>IF(OR(Inputs!$F$9=TRUE,Inputs!$F$9="TRUE",Inputs!$F$9=1),IF(OR(Inputs!$C$27=TRUE,Inputs!$C$27="TRUE",Inputs!$C$27=1),1,0)*(Inputs!$C$51*(115*EXP(-(((Inputs!$C$6)-25)^2)/(4.5^2))+70*EXP(-(((Inputs!$C$6)+38)^2)/(7^2))*(0.55+0.45*SIN(2*PI()*((Inputs!$I$9+(((A75)+1)/2)*(Inputs!$J$9-Inputs!$I$9)))/45))+24*SIN(2*PI()*(Inputs!$C$6)/9+((Inputs!$I$9+(((A75)+1)/2)*(Inputs!$J$9-Inputs!$I$9)))/18)*EXP(-(((Inputs!$C$6)+5)^2)/(22^2))+18*SIN(2*PI()*((Inputs!$I$9+(((A75)+1)/2)*(Inputs!$J$9-Inputs!$I$9)))/70))+Inputs!$C$28*EXP(-((((Inputs!$I$9+(((A75)+1)/2)*(Inputs!$J$9-Inputs!$I$9)))-Inputs!$C$29)^2)/(2*Inputs!$C$31^2))*EXP(-(((Inputs!$C$6)-Inputs!$C$30)^2)/(2*Inputs!$C$32^2))+-Inputs!$C$33*EXP(-((((((Inputs!$I$9+(((A75)+1)/2)*(Inputs!$J$9-Inputs!$I$9)))-Inputs!$C$34)^2)+(((Inputs!$C$6)-Inputs!$C$35)^2))/(2*Inputs!$C$36^2)))+Inputs!$C$37*(0.55*SIN(2*PI()*((Inputs!$I$9+(((A75)+1)/2)*(Inputs!$J$9-Inputs!$I$9)))/Inputs!$C$39)+0.35*COS(2*PI()*(Inputs!$C$6)/Inputs!$C$40)+0.2*SIN(2*PI()*(((Inputs!$I$9+(((A75)+1)/2)*(Inputs!$J$9-Inputs!$I$9)))+(Inputs!$C$6))/(0.5*(Inputs!$C$39+Inputs!$C$40))))+Inputs!$C$38*SIN(2*PI()*((Inputs!$I$9+(((A75)+1)/2)*(Inputs!$J$9-Inputs!$I$9)))/Inputs!$C$39)*SIN(2*PI()*(Inputs!$C$6)/Inputs!$C$40)+-Inputs!$C$41*EXP(-(((Inputs!$C$6)-Inputs!$C$43)^2)/(2*Inputs!$C$44^2))*EXP(-((((Inputs!$I$9+(((A75)+1)/2)*(Inputs!$J$9-Inputs!$I$9)))-Inputs!$C$42)^2)/(2*Inputs!$C$45^2))+Inputs!$C$48*(0.7*(0.45*SIN(2*PI()*((((Inputs!$I$9+(((A75)+1)/2)*(Inputs!$J$9-Inputs!$I$9)))/Inputs!$C$49)+Inputs!$C$47*0.137))+0.35*COS(2*PI()*(((Inputs!$C$6)/Inputs!$C$50)+Inputs!$C$47*0.173))+0.2*SIN(2*PI()*((((Inputs!$I$9+(((A75)+1)/2)*(Inputs!$J$9-Inputs!$I$9)))+(Inputs!$C$6))/(0.5*(Inputs!$C$49+Inputs!$C$50))+Inputs!$C$47*0.097)))+0.3*(2*((SIN((((Inputs!$I$9+(((A75)+1)/2)*(Inputs!$J$9-Inputs!$I$9)))*12.9898+(Inputs!$C$6)*78.233+Inputs!$C$47*37.719))*43758.5453)-INT((SIN((((Inputs!$I$9+(((A75)+1)/2)*(Inputs!$J$9-Inputs!$I$9)))*12.9898+(Inputs!$C$6)*78.233+Inputs!$C$47*37.719))*43758.5453)))-1))),NA())</f>
        <v/>
      </c>
      <c r="AW75" s="10" t="n"/>
      <c r="AX75" s="9">
        <f>A75</f>
        <v/>
      </c>
      <c r="AY75" s="9">
        <f>0</f>
        <v/>
      </c>
      <c r="AZ75" s="9">
        <f>IF(OR(Inputs!$F$6=TRUE,Inputs!$F$6="TRUE",Inputs!$F$6=1),(Inputs!$H$6+Inputs!$L$6*(((Inputs!$I$6+(((A75)+1)/2)*(Inputs!$J$6-Inputs!$I$6)))/Inputs!$K$6)^2),NA())</f>
        <v/>
      </c>
      <c r="BA75" s="9">
        <f>IF(OR(Inputs!$F$7=TRUE,Inputs!$F$7="TRUE",Inputs!$F$7=1),(Inputs!$H$7+Inputs!$L$7*(((Inputs!$I$7+(((A75)+1)/2)*(Inputs!$J$7-Inputs!$I$7)))/Inputs!$K$7)^2),NA())</f>
        <v/>
      </c>
      <c r="BB75" s="9">
        <f>IF(OR(Inputs!$F$8=TRUE,Inputs!$F$8="TRUE",Inputs!$F$8=1),(Inputs!$H$8+Inputs!$L$8*(((Inputs!$I$8+(((A75)+1)/2)*(Inputs!$J$8-Inputs!$I$8)))/Inputs!$K$8)^2),NA())</f>
        <v/>
      </c>
      <c r="BC75" s="9">
        <f>IF(OR(Inputs!$F$9=TRUE,Inputs!$F$9="TRUE",Inputs!$F$9=1),(Inputs!$H$9+Inputs!$L$9*(((Inputs!$I$9+(((A75)+1)/2)*(Inputs!$J$9-Inputs!$I$9)))/Inputs!$K$9)^2),NA())</f>
        <v/>
      </c>
      <c r="BD75" s="10" t="n"/>
      <c r="BE75" s="9">
        <f>A75</f>
        <v/>
      </c>
      <c r="BF75" s="9">
        <f>0</f>
        <v/>
      </c>
      <c r="BG75" s="9">
        <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f>
        <v/>
      </c>
      <c r="BH75" s="9">
        <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f>
        <v/>
      </c>
      <c r="BI75" s="9">
        <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f>
        <v/>
      </c>
      <c r="BJ75" s="9">
        <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f>
        <v/>
      </c>
    </row>
    <row r="76">
      <c r="A76" s="9">
        <f>ROUND(-1+74*2/240,3)</f>
        <v/>
      </c>
      <c r="B76" s="9">
        <f>IF(OR(Inputs!$F$6=TRUE,Inputs!$F$6="TRUE",Inputs!$F$6=1),(Inputs!$H$6+Inputs!$L$6*(((Inputs!$I$6+(((A76)+1)/2)*(Inputs!$J$6-Inputs!$I$6)))/Inputs!$K$6)^2),NA())</f>
        <v/>
      </c>
      <c r="C76" s="9">
        <f>IF(OR(Inputs!$F$7=TRUE,Inputs!$F$7="TRUE",Inputs!$F$7=1),(Inputs!$H$7+Inputs!$L$7*(((Inputs!$I$7+(((A76)+1)/2)*(Inputs!$J$7-Inputs!$I$7)))/Inputs!$K$7)^2),NA())</f>
        <v/>
      </c>
      <c r="D76" s="9">
        <f>IF(OR(Inputs!$F$8=TRUE,Inputs!$F$8="TRUE",Inputs!$F$8=1),(Inputs!$H$8+Inputs!$L$8*(((Inputs!$I$8+(((A76)+1)/2)*(Inputs!$J$8-Inputs!$I$8)))/Inputs!$K$8)^2),NA())</f>
        <v/>
      </c>
      <c r="E76" s="9">
        <f>IF(OR(Inputs!$F$9=TRUE,Inputs!$F$9="TRUE",Inputs!$F$9=1),(Inputs!$H$9+Inputs!$L$9*(((Inputs!$I$9+(((A76)+1)/2)*(Inputs!$J$9-Inputs!$I$9)))/Inputs!$K$9)^2),NA())</f>
        <v/>
      </c>
      <c r="F76" s="10" t="n"/>
      <c r="G76" s="9">
        <f>A76</f>
        <v/>
      </c>
      <c r="H76" s="9">
        <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f>
        <v/>
      </c>
      <c r="I76" s="9">
        <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f>
        <v/>
      </c>
      <c r="J76" s="9">
        <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f>
        <v/>
      </c>
      <c r="K76" s="9">
        <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f>
        <v/>
      </c>
      <c r="L76" s="10" t="n"/>
      <c r="M76" s="9">
        <f>A76</f>
        <v/>
      </c>
      <c r="N76" s="9">
        <f>IF(OR(Inputs!$F$6=TRUE,Inputs!$F$6="TRUE",Inputs!$F$6=1),(-2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NA())</f>
        <v/>
      </c>
      <c r="O76" s="9">
        <f>IF(OR(Inputs!$F$7=TRUE,Inputs!$F$7="TRUE",Inputs!$F$7=1),(-2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NA())</f>
        <v/>
      </c>
      <c r="P76" s="9">
        <f>IF(OR(Inputs!$F$8=TRUE,Inputs!$F$8="TRUE",Inputs!$F$8=1),(-2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NA())</f>
        <v/>
      </c>
      <c r="Q76" s="9">
        <f>IF(OR(Inputs!$F$9=TRUE,Inputs!$F$9="TRUE",Inputs!$F$9=1),(-2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NA())</f>
        <v/>
      </c>
      <c r="R76" s="10" t="n"/>
      <c r="S76" s="9">
        <f>A76</f>
        <v/>
      </c>
      <c r="T76" s="9">
        <f>(Inputs!$I$6+(((A76)+1)/2)*(Inputs!$J$6-Inputs!$I$6))</f>
        <v/>
      </c>
      <c r="U76" s="9">
        <f>(Inputs!$I$7+(((A76)+1)/2)*(Inputs!$J$7-Inputs!$I$7))</f>
        <v/>
      </c>
      <c r="V76" s="9">
        <f>(Inputs!$I$8+(((A76)+1)/2)*(Inputs!$J$8-Inputs!$I$8))</f>
        <v/>
      </c>
      <c r="W76" s="9">
        <f>(Inputs!$I$9+(((A76)+1)/2)*(Inputs!$J$9-Inputs!$I$9))</f>
        <v/>
      </c>
      <c r="X76" s="10" t="n"/>
      <c r="Y76" s="9">
        <f>A76</f>
        <v/>
      </c>
      <c r="Z76" s="9">
        <f>(Inputs!$H$6+Inputs!$L$6*(((Inputs!$I$6+(((A76)+1)/2)*(Inputs!$J$6-Inputs!$I$6)))/Inputs!$K$6)^2)</f>
        <v/>
      </c>
      <c r="AA76" s="9">
        <f>(Inputs!$H$7+Inputs!$L$7*(((Inputs!$I$7+(((A76)+1)/2)*(Inputs!$J$7-Inputs!$I$7)))/Inputs!$K$7)^2)</f>
        <v/>
      </c>
      <c r="AB76" s="9">
        <f>(Inputs!$H$8+Inputs!$L$8*(((Inputs!$I$8+(((A76)+1)/2)*(Inputs!$J$8-Inputs!$I$8)))/Inputs!$K$8)^2)</f>
        <v/>
      </c>
      <c r="AC76" s="9">
        <f>(Inputs!$H$9+Inputs!$L$9*(((Inputs!$I$9+(((A76)+1)/2)*(Inputs!$J$9-Inputs!$I$9)))/Inputs!$K$9)^2)</f>
        <v/>
      </c>
      <c r="AD76" s="10" t="n"/>
      <c r="AE76" s="9">
        <f>A76</f>
        <v/>
      </c>
      <c r="AF76" s="9">
        <f>(((SQRT((Inputs!$C$52+((Inputs!$H$6+Inputs!$L$6*(((Inputs!$I$6+(((A76)+1)/2)*(Inputs!$J$6-Inputs!$I$6)))/Inputs!$K$6)^2)))^2+Inputs!$C$52^2-2*(Inputs!$C$52+((Inputs!$H$6+Inputs!$L$6*(((Inputs!$I$6+(((A76)+1)/2)*(Inputs!$J$6-Inputs!$I$6)))/Inputs!$K$6)^2)))*Inputs!$C$52*COS(SQRT(((Inputs!$I$6+(((A76)+1)/2)*(Inputs!$J$6-Inputs!$I$6)))^2+Inputs!$C$6^2)/Inputs!$C$52)))-((Inputs!$H$6+Inputs!$L$6*(((Inputs!$I$6+(((A76)+1)/2)*(Inputs!$J$6-Inputs!$I$6)))/Inputs!$K$6)^2)))*1000/Inputs!$C$12)</f>
        <v/>
      </c>
      <c r="AG76" s="9">
        <f>(((SQRT((Inputs!$C$52+((Inputs!$H$7+Inputs!$L$7*(((Inputs!$I$7+(((A76)+1)/2)*(Inputs!$J$7-Inputs!$I$7)))/Inputs!$K$7)^2)))^2+Inputs!$C$52^2-2*(Inputs!$C$52+((Inputs!$H$7+Inputs!$L$7*(((Inputs!$I$7+(((A76)+1)/2)*(Inputs!$J$7-Inputs!$I$7)))/Inputs!$K$7)^2)))*Inputs!$C$52*COS(SQRT(((Inputs!$I$7+(((A76)+1)/2)*(Inputs!$J$7-Inputs!$I$7)))^2+Inputs!$C$6^2)/Inputs!$C$52)))-((Inputs!$H$7+Inputs!$L$7*(((Inputs!$I$7+(((A76)+1)/2)*(Inputs!$J$7-Inputs!$I$7)))/Inputs!$K$7)^2)))*1000/Inputs!$C$12)</f>
        <v/>
      </c>
      <c r="AH76" s="9">
        <f>(((SQRT((Inputs!$C$52+((Inputs!$H$8+Inputs!$L$8*(((Inputs!$I$8+(((A76)+1)/2)*(Inputs!$J$8-Inputs!$I$8)))/Inputs!$K$8)^2)))^2+Inputs!$C$52^2-2*(Inputs!$C$52+((Inputs!$H$8+Inputs!$L$8*(((Inputs!$I$8+(((A76)+1)/2)*(Inputs!$J$8-Inputs!$I$8)))/Inputs!$K$8)^2)))*Inputs!$C$52*COS(SQRT(((Inputs!$I$8+(((A76)+1)/2)*(Inputs!$J$8-Inputs!$I$8)))^2+Inputs!$C$6^2)/Inputs!$C$52)))-((Inputs!$H$8+Inputs!$L$8*(((Inputs!$I$8+(((A76)+1)/2)*(Inputs!$J$8-Inputs!$I$8)))/Inputs!$K$8)^2)))*1000/Inputs!$C$12)</f>
        <v/>
      </c>
      <c r="AI76" s="9">
        <f>(((SQRT((Inputs!$C$52+((Inputs!$H$9+Inputs!$L$9*(((Inputs!$I$9+(((A76)+1)/2)*(Inputs!$J$9-Inputs!$I$9)))/Inputs!$K$9)^2)))^2+Inputs!$C$52^2-2*(Inputs!$C$52+((Inputs!$H$9+Inputs!$L$9*(((Inputs!$I$9+(((A76)+1)/2)*(Inputs!$J$9-Inputs!$I$9)))/Inputs!$K$9)^2)))*Inputs!$C$52*COS(SQRT(((Inputs!$I$9+(((A76)+1)/2)*(Inputs!$J$9-Inputs!$I$9)))^2+Inputs!$C$6^2)/Inputs!$C$52)))-((Inputs!$H$9+Inputs!$L$9*(((Inputs!$I$9+(((A76)+1)/2)*(Inputs!$J$9-Inputs!$I$9)))/Inputs!$K$9)^2)))*1000/Inputs!$C$12)</f>
        <v/>
      </c>
      <c r="AJ76" s="10" t="n"/>
      <c r="AK76" s="9">
        <f>A76</f>
        <v/>
      </c>
      <c r="AL76" s="9">
        <f>(-2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f>
        <v/>
      </c>
      <c r="AM76" s="9">
        <f>(-2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f>
        <v/>
      </c>
      <c r="AN76" s="9">
        <f>(-2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f>
        <v/>
      </c>
      <c r="AO76" s="9">
        <f>(-2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f>
        <v/>
      </c>
      <c r="AP76" s="10" t="n"/>
      <c r="AQ76" s="9">
        <f>A76</f>
        <v/>
      </c>
      <c r="AR76" s="9">
        <f>0</f>
        <v/>
      </c>
      <c r="AS76" s="9">
        <f>IF(OR(Inputs!$F$6=TRUE,Inputs!$F$6="TRUE",Inputs!$F$6=1),IF(OR(Inputs!$C$27=TRUE,Inputs!$C$27="TRUE",Inputs!$C$27=1),1,0)*(Inputs!$C$51*(115*EXP(-(((Inputs!$C$6)-25)^2)/(4.5^2))+70*EXP(-(((Inputs!$C$6)+38)^2)/(7^2))*(0.55+0.45*SIN(2*PI()*((Inputs!$I$6+(((A76)+1)/2)*(Inputs!$J$6-Inputs!$I$6)))/45))+24*SIN(2*PI()*(Inputs!$C$6)/9+((Inputs!$I$6+(((A76)+1)/2)*(Inputs!$J$6-Inputs!$I$6)))/18)*EXP(-(((Inputs!$C$6)+5)^2)/(22^2))+18*SIN(2*PI()*((Inputs!$I$6+(((A76)+1)/2)*(Inputs!$J$6-Inputs!$I$6)))/70))+Inputs!$C$28*EXP(-((((Inputs!$I$6+(((A76)+1)/2)*(Inputs!$J$6-Inputs!$I$6)))-Inputs!$C$29)^2)/(2*Inputs!$C$31^2))*EXP(-(((Inputs!$C$6)-Inputs!$C$30)^2)/(2*Inputs!$C$32^2))+-Inputs!$C$33*EXP(-((((((Inputs!$I$6+(((A76)+1)/2)*(Inputs!$J$6-Inputs!$I$6)))-Inputs!$C$34)^2)+(((Inputs!$C$6)-Inputs!$C$35)^2))/(2*Inputs!$C$36^2)))+Inputs!$C$37*(0.55*SIN(2*PI()*((Inputs!$I$6+(((A76)+1)/2)*(Inputs!$J$6-Inputs!$I$6)))/Inputs!$C$39)+0.35*COS(2*PI()*(Inputs!$C$6)/Inputs!$C$40)+0.2*SIN(2*PI()*(((Inputs!$I$6+(((A76)+1)/2)*(Inputs!$J$6-Inputs!$I$6)))+(Inputs!$C$6))/(0.5*(Inputs!$C$39+Inputs!$C$40))))+Inputs!$C$38*SIN(2*PI()*((Inputs!$I$6+(((A76)+1)/2)*(Inputs!$J$6-Inputs!$I$6)))/Inputs!$C$39)*SIN(2*PI()*(Inputs!$C$6)/Inputs!$C$40)+-Inputs!$C$41*EXP(-(((Inputs!$C$6)-Inputs!$C$43)^2)/(2*Inputs!$C$44^2))*EXP(-((((Inputs!$I$6+(((A76)+1)/2)*(Inputs!$J$6-Inputs!$I$6)))-Inputs!$C$42)^2)/(2*Inputs!$C$45^2))+Inputs!$C$48*(0.7*(0.45*SIN(2*PI()*((((Inputs!$I$6+(((A76)+1)/2)*(Inputs!$J$6-Inputs!$I$6)))/Inputs!$C$49)+Inputs!$C$47*0.137))+0.35*COS(2*PI()*(((Inputs!$C$6)/Inputs!$C$50)+Inputs!$C$47*0.173))+0.2*SIN(2*PI()*((((Inputs!$I$6+(((A76)+1)/2)*(Inputs!$J$6-Inputs!$I$6)))+(Inputs!$C$6))/(0.5*(Inputs!$C$49+Inputs!$C$50))+Inputs!$C$47*0.097)))+0.3*(2*((SIN((((Inputs!$I$6+(((A76)+1)/2)*(Inputs!$J$6-Inputs!$I$6)))*12.9898+(Inputs!$C$6)*78.233+Inputs!$C$47*37.719))*43758.5453)-INT((SIN((((Inputs!$I$6+(((A76)+1)/2)*(Inputs!$J$6-Inputs!$I$6)))*12.9898+(Inputs!$C$6)*78.233+Inputs!$C$47*37.719))*43758.5453)))-1))),NA())</f>
        <v/>
      </c>
      <c r="AT76" s="9">
        <f>IF(OR(Inputs!$F$7=TRUE,Inputs!$F$7="TRUE",Inputs!$F$7=1),IF(OR(Inputs!$C$27=TRUE,Inputs!$C$27="TRUE",Inputs!$C$27=1),1,0)*(Inputs!$C$51*(115*EXP(-(((Inputs!$C$6)-25)^2)/(4.5^2))+70*EXP(-(((Inputs!$C$6)+38)^2)/(7^2))*(0.55+0.45*SIN(2*PI()*((Inputs!$I$7+(((A76)+1)/2)*(Inputs!$J$7-Inputs!$I$7)))/45))+24*SIN(2*PI()*(Inputs!$C$6)/9+((Inputs!$I$7+(((A76)+1)/2)*(Inputs!$J$7-Inputs!$I$7)))/18)*EXP(-(((Inputs!$C$6)+5)^2)/(22^2))+18*SIN(2*PI()*((Inputs!$I$7+(((A76)+1)/2)*(Inputs!$J$7-Inputs!$I$7)))/70))+Inputs!$C$28*EXP(-((((Inputs!$I$7+(((A76)+1)/2)*(Inputs!$J$7-Inputs!$I$7)))-Inputs!$C$29)^2)/(2*Inputs!$C$31^2))*EXP(-(((Inputs!$C$6)-Inputs!$C$30)^2)/(2*Inputs!$C$32^2))+-Inputs!$C$33*EXP(-((((((Inputs!$I$7+(((A76)+1)/2)*(Inputs!$J$7-Inputs!$I$7)))-Inputs!$C$34)^2)+(((Inputs!$C$6)-Inputs!$C$35)^2))/(2*Inputs!$C$36^2)))+Inputs!$C$37*(0.55*SIN(2*PI()*((Inputs!$I$7+(((A76)+1)/2)*(Inputs!$J$7-Inputs!$I$7)))/Inputs!$C$39)+0.35*COS(2*PI()*(Inputs!$C$6)/Inputs!$C$40)+0.2*SIN(2*PI()*(((Inputs!$I$7+(((A76)+1)/2)*(Inputs!$J$7-Inputs!$I$7)))+(Inputs!$C$6))/(0.5*(Inputs!$C$39+Inputs!$C$40))))+Inputs!$C$38*SIN(2*PI()*((Inputs!$I$7+(((A76)+1)/2)*(Inputs!$J$7-Inputs!$I$7)))/Inputs!$C$39)*SIN(2*PI()*(Inputs!$C$6)/Inputs!$C$40)+-Inputs!$C$41*EXP(-(((Inputs!$C$6)-Inputs!$C$43)^2)/(2*Inputs!$C$44^2))*EXP(-((((Inputs!$I$7+(((A76)+1)/2)*(Inputs!$J$7-Inputs!$I$7)))-Inputs!$C$42)^2)/(2*Inputs!$C$45^2))+Inputs!$C$48*(0.7*(0.45*SIN(2*PI()*((((Inputs!$I$7+(((A76)+1)/2)*(Inputs!$J$7-Inputs!$I$7)))/Inputs!$C$49)+Inputs!$C$47*0.137))+0.35*COS(2*PI()*(((Inputs!$C$6)/Inputs!$C$50)+Inputs!$C$47*0.173))+0.2*SIN(2*PI()*((((Inputs!$I$7+(((A76)+1)/2)*(Inputs!$J$7-Inputs!$I$7)))+(Inputs!$C$6))/(0.5*(Inputs!$C$49+Inputs!$C$50))+Inputs!$C$47*0.097)))+0.3*(2*((SIN((((Inputs!$I$7+(((A76)+1)/2)*(Inputs!$J$7-Inputs!$I$7)))*12.9898+(Inputs!$C$6)*78.233+Inputs!$C$47*37.719))*43758.5453)-INT((SIN((((Inputs!$I$7+(((A76)+1)/2)*(Inputs!$J$7-Inputs!$I$7)))*12.9898+(Inputs!$C$6)*78.233+Inputs!$C$47*37.719))*43758.5453)))-1))),NA())</f>
        <v/>
      </c>
      <c r="AU76" s="9">
        <f>IF(OR(Inputs!$F$8=TRUE,Inputs!$F$8="TRUE",Inputs!$F$8=1),IF(OR(Inputs!$C$27=TRUE,Inputs!$C$27="TRUE",Inputs!$C$27=1),1,0)*(Inputs!$C$51*(115*EXP(-(((Inputs!$C$6)-25)^2)/(4.5^2))+70*EXP(-(((Inputs!$C$6)+38)^2)/(7^2))*(0.55+0.45*SIN(2*PI()*((Inputs!$I$8+(((A76)+1)/2)*(Inputs!$J$8-Inputs!$I$8)))/45))+24*SIN(2*PI()*(Inputs!$C$6)/9+((Inputs!$I$8+(((A76)+1)/2)*(Inputs!$J$8-Inputs!$I$8)))/18)*EXP(-(((Inputs!$C$6)+5)^2)/(22^2))+18*SIN(2*PI()*((Inputs!$I$8+(((A76)+1)/2)*(Inputs!$J$8-Inputs!$I$8)))/70))+Inputs!$C$28*EXP(-((((Inputs!$I$8+(((A76)+1)/2)*(Inputs!$J$8-Inputs!$I$8)))-Inputs!$C$29)^2)/(2*Inputs!$C$31^2))*EXP(-(((Inputs!$C$6)-Inputs!$C$30)^2)/(2*Inputs!$C$32^2))+-Inputs!$C$33*EXP(-((((((Inputs!$I$8+(((A76)+1)/2)*(Inputs!$J$8-Inputs!$I$8)))-Inputs!$C$34)^2)+(((Inputs!$C$6)-Inputs!$C$35)^2))/(2*Inputs!$C$36^2)))+Inputs!$C$37*(0.55*SIN(2*PI()*((Inputs!$I$8+(((A76)+1)/2)*(Inputs!$J$8-Inputs!$I$8)))/Inputs!$C$39)+0.35*COS(2*PI()*(Inputs!$C$6)/Inputs!$C$40)+0.2*SIN(2*PI()*(((Inputs!$I$8+(((A76)+1)/2)*(Inputs!$J$8-Inputs!$I$8)))+(Inputs!$C$6))/(0.5*(Inputs!$C$39+Inputs!$C$40))))+Inputs!$C$38*SIN(2*PI()*((Inputs!$I$8+(((A76)+1)/2)*(Inputs!$J$8-Inputs!$I$8)))/Inputs!$C$39)*SIN(2*PI()*(Inputs!$C$6)/Inputs!$C$40)+-Inputs!$C$41*EXP(-(((Inputs!$C$6)-Inputs!$C$43)^2)/(2*Inputs!$C$44^2))*EXP(-((((Inputs!$I$8+(((A76)+1)/2)*(Inputs!$J$8-Inputs!$I$8)))-Inputs!$C$42)^2)/(2*Inputs!$C$45^2))+Inputs!$C$48*(0.7*(0.45*SIN(2*PI()*((((Inputs!$I$8+(((A76)+1)/2)*(Inputs!$J$8-Inputs!$I$8)))/Inputs!$C$49)+Inputs!$C$47*0.137))+0.35*COS(2*PI()*(((Inputs!$C$6)/Inputs!$C$50)+Inputs!$C$47*0.173))+0.2*SIN(2*PI()*((((Inputs!$I$8+(((A76)+1)/2)*(Inputs!$J$8-Inputs!$I$8)))+(Inputs!$C$6))/(0.5*(Inputs!$C$49+Inputs!$C$50))+Inputs!$C$47*0.097)))+0.3*(2*((SIN((((Inputs!$I$8+(((A76)+1)/2)*(Inputs!$J$8-Inputs!$I$8)))*12.9898+(Inputs!$C$6)*78.233+Inputs!$C$47*37.719))*43758.5453)-INT((SIN((((Inputs!$I$8+(((A76)+1)/2)*(Inputs!$J$8-Inputs!$I$8)))*12.9898+(Inputs!$C$6)*78.233+Inputs!$C$47*37.719))*43758.5453)))-1))),NA())</f>
        <v/>
      </c>
      <c r="AV76" s="9">
        <f>IF(OR(Inputs!$F$9=TRUE,Inputs!$F$9="TRUE",Inputs!$F$9=1),IF(OR(Inputs!$C$27=TRUE,Inputs!$C$27="TRUE",Inputs!$C$27=1),1,0)*(Inputs!$C$51*(115*EXP(-(((Inputs!$C$6)-25)^2)/(4.5^2))+70*EXP(-(((Inputs!$C$6)+38)^2)/(7^2))*(0.55+0.45*SIN(2*PI()*((Inputs!$I$9+(((A76)+1)/2)*(Inputs!$J$9-Inputs!$I$9)))/45))+24*SIN(2*PI()*(Inputs!$C$6)/9+((Inputs!$I$9+(((A76)+1)/2)*(Inputs!$J$9-Inputs!$I$9)))/18)*EXP(-(((Inputs!$C$6)+5)^2)/(22^2))+18*SIN(2*PI()*((Inputs!$I$9+(((A76)+1)/2)*(Inputs!$J$9-Inputs!$I$9)))/70))+Inputs!$C$28*EXP(-((((Inputs!$I$9+(((A76)+1)/2)*(Inputs!$J$9-Inputs!$I$9)))-Inputs!$C$29)^2)/(2*Inputs!$C$31^2))*EXP(-(((Inputs!$C$6)-Inputs!$C$30)^2)/(2*Inputs!$C$32^2))+-Inputs!$C$33*EXP(-((((((Inputs!$I$9+(((A76)+1)/2)*(Inputs!$J$9-Inputs!$I$9)))-Inputs!$C$34)^2)+(((Inputs!$C$6)-Inputs!$C$35)^2))/(2*Inputs!$C$36^2)))+Inputs!$C$37*(0.55*SIN(2*PI()*((Inputs!$I$9+(((A76)+1)/2)*(Inputs!$J$9-Inputs!$I$9)))/Inputs!$C$39)+0.35*COS(2*PI()*(Inputs!$C$6)/Inputs!$C$40)+0.2*SIN(2*PI()*(((Inputs!$I$9+(((A76)+1)/2)*(Inputs!$J$9-Inputs!$I$9)))+(Inputs!$C$6))/(0.5*(Inputs!$C$39+Inputs!$C$40))))+Inputs!$C$38*SIN(2*PI()*((Inputs!$I$9+(((A76)+1)/2)*(Inputs!$J$9-Inputs!$I$9)))/Inputs!$C$39)*SIN(2*PI()*(Inputs!$C$6)/Inputs!$C$40)+-Inputs!$C$41*EXP(-(((Inputs!$C$6)-Inputs!$C$43)^2)/(2*Inputs!$C$44^2))*EXP(-((((Inputs!$I$9+(((A76)+1)/2)*(Inputs!$J$9-Inputs!$I$9)))-Inputs!$C$42)^2)/(2*Inputs!$C$45^2))+Inputs!$C$48*(0.7*(0.45*SIN(2*PI()*((((Inputs!$I$9+(((A76)+1)/2)*(Inputs!$J$9-Inputs!$I$9)))/Inputs!$C$49)+Inputs!$C$47*0.137))+0.35*COS(2*PI()*(((Inputs!$C$6)/Inputs!$C$50)+Inputs!$C$47*0.173))+0.2*SIN(2*PI()*((((Inputs!$I$9+(((A76)+1)/2)*(Inputs!$J$9-Inputs!$I$9)))+(Inputs!$C$6))/(0.5*(Inputs!$C$49+Inputs!$C$50))+Inputs!$C$47*0.097)))+0.3*(2*((SIN((((Inputs!$I$9+(((A76)+1)/2)*(Inputs!$J$9-Inputs!$I$9)))*12.9898+(Inputs!$C$6)*78.233+Inputs!$C$47*37.719))*43758.5453)-INT((SIN((((Inputs!$I$9+(((A76)+1)/2)*(Inputs!$J$9-Inputs!$I$9)))*12.9898+(Inputs!$C$6)*78.233+Inputs!$C$47*37.719))*43758.5453)))-1))),NA())</f>
        <v/>
      </c>
      <c r="AW76" s="10" t="n"/>
      <c r="AX76" s="9">
        <f>A76</f>
        <v/>
      </c>
      <c r="AY76" s="9">
        <f>0</f>
        <v/>
      </c>
      <c r="AZ76" s="9">
        <f>IF(OR(Inputs!$F$6=TRUE,Inputs!$F$6="TRUE",Inputs!$F$6=1),(Inputs!$H$6+Inputs!$L$6*(((Inputs!$I$6+(((A76)+1)/2)*(Inputs!$J$6-Inputs!$I$6)))/Inputs!$K$6)^2),NA())</f>
        <v/>
      </c>
      <c r="BA76" s="9">
        <f>IF(OR(Inputs!$F$7=TRUE,Inputs!$F$7="TRUE",Inputs!$F$7=1),(Inputs!$H$7+Inputs!$L$7*(((Inputs!$I$7+(((A76)+1)/2)*(Inputs!$J$7-Inputs!$I$7)))/Inputs!$K$7)^2),NA())</f>
        <v/>
      </c>
      <c r="BB76" s="9">
        <f>IF(OR(Inputs!$F$8=TRUE,Inputs!$F$8="TRUE",Inputs!$F$8=1),(Inputs!$H$8+Inputs!$L$8*(((Inputs!$I$8+(((A76)+1)/2)*(Inputs!$J$8-Inputs!$I$8)))/Inputs!$K$8)^2),NA())</f>
        <v/>
      </c>
      <c r="BC76" s="9">
        <f>IF(OR(Inputs!$F$9=TRUE,Inputs!$F$9="TRUE",Inputs!$F$9=1),(Inputs!$H$9+Inputs!$L$9*(((Inputs!$I$9+(((A76)+1)/2)*(Inputs!$J$9-Inputs!$I$9)))/Inputs!$K$9)^2),NA())</f>
        <v/>
      </c>
      <c r="BD76" s="10" t="n"/>
      <c r="BE76" s="9">
        <f>A76</f>
        <v/>
      </c>
      <c r="BF76" s="9">
        <f>0</f>
        <v/>
      </c>
      <c r="BG76" s="9">
        <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f>
        <v/>
      </c>
      <c r="BH76" s="9">
        <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f>
        <v/>
      </c>
      <c r="BI76" s="9">
        <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f>
        <v/>
      </c>
      <c r="BJ76" s="9">
        <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f>
        <v/>
      </c>
    </row>
    <row r="77">
      <c r="A77" s="9">
        <f>ROUND(-1+75*2/240,3)</f>
        <v/>
      </c>
      <c r="B77" s="9">
        <f>IF(OR(Inputs!$F$6=TRUE,Inputs!$F$6="TRUE",Inputs!$F$6=1),(Inputs!$H$6+Inputs!$L$6*(((Inputs!$I$6+(((A77)+1)/2)*(Inputs!$J$6-Inputs!$I$6)))/Inputs!$K$6)^2),NA())</f>
        <v/>
      </c>
      <c r="C77" s="9">
        <f>IF(OR(Inputs!$F$7=TRUE,Inputs!$F$7="TRUE",Inputs!$F$7=1),(Inputs!$H$7+Inputs!$L$7*(((Inputs!$I$7+(((A77)+1)/2)*(Inputs!$J$7-Inputs!$I$7)))/Inputs!$K$7)^2),NA())</f>
        <v/>
      </c>
      <c r="D77" s="9">
        <f>IF(OR(Inputs!$F$8=TRUE,Inputs!$F$8="TRUE",Inputs!$F$8=1),(Inputs!$H$8+Inputs!$L$8*(((Inputs!$I$8+(((A77)+1)/2)*(Inputs!$J$8-Inputs!$I$8)))/Inputs!$K$8)^2),NA())</f>
        <v/>
      </c>
      <c r="E77" s="9">
        <f>IF(OR(Inputs!$F$9=TRUE,Inputs!$F$9="TRUE",Inputs!$F$9=1),(Inputs!$H$9+Inputs!$L$9*(((Inputs!$I$9+(((A77)+1)/2)*(Inputs!$J$9-Inputs!$I$9)))/Inputs!$K$9)^2),NA())</f>
        <v/>
      </c>
      <c r="F77" s="10" t="n"/>
      <c r="G77" s="9">
        <f>A77</f>
        <v/>
      </c>
      <c r="H77" s="9">
        <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f>
        <v/>
      </c>
      <c r="I77" s="9">
        <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f>
        <v/>
      </c>
      <c r="J77" s="9">
        <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f>
        <v/>
      </c>
      <c r="K77" s="9">
        <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f>
        <v/>
      </c>
      <c r="L77" s="10" t="n"/>
      <c r="M77" s="9">
        <f>A77</f>
        <v/>
      </c>
      <c r="N77" s="9">
        <f>IF(OR(Inputs!$F$6=TRUE,Inputs!$F$6="TRUE",Inputs!$F$6=1),(-2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NA())</f>
        <v/>
      </c>
      <c r="O77" s="9">
        <f>IF(OR(Inputs!$F$7=TRUE,Inputs!$F$7="TRUE",Inputs!$F$7=1),(-2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NA())</f>
        <v/>
      </c>
      <c r="P77" s="9">
        <f>IF(OR(Inputs!$F$8=TRUE,Inputs!$F$8="TRUE",Inputs!$F$8=1),(-2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NA())</f>
        <v/>
      </c>
      <c r="Q77" s="9">
        <f>IF(OR(Inputs!$F$9=TRUE,Inputs!$F$9="TRUE",Inputs!$F$9=1),(-2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NA())</f>
        <v/>
      </c>
      <c r="R77" s="10" t="n"/>
      <c r="S77" s="9">
        <f>A77</f>
        <v/>
      </c>
      <c r="T77" s="9">
        <f>(Inputs!$I$6+(((A77)+1)/2)*(Inputs!$J$6-Inputs!$I$6))</f>
        <v/>
      </c>
      <c r="U77" s="9">
        <f>(Inputs!$I$7+(((A77)+1)/2)*(Inputs!$J$7-Inputs!$I$7))</f>
        <v/>
      </c>
      <c r="V77" s="9">
        <f>(Inputs!$I$8+(((A77)+1)/2)*(Inputs!$J$8-Inputs!$I$8))</f>
        <v/>
      </c>
      <c r="W77" s="9">
        <f>(Inputs!$I$9+(((A77)+1)/2)*(Inputs!$J$9-Inputs!$I$9))</f>
        <v/>
      </c>
      <c r="X77" s="10" t="n"/>
      <c r="Y77" s="9">
        <f>A77</f>
        <v/>
      </c>
      <c r="Z77" s="9">
        <f>(Inputs!$H$6+Inputs!$L$6*(((Inputs!$I$6+(((A77)+1)/2)*(Inputs!$J$6-Inputs!$I$6)))/Inputs!$K$6)^2)</f>
        <v/>
      </c>
      <c r="AA77" s="9">
        <f>(Inputs!$H$7+Inputs!$L$7*(((Inputs!$I$7+(((A77)+1)/2)*(Inputs!$J$7-Inputs!$I$7)))/Inputs!$K$7)^2)</f>
        <v/>
      </c>
      <c r="AB77" s="9">
        <f>(Inputs!$H$8+Inputs!$L$8*(((Inputs!$I$8+(((A77)+1)/2)*(Inputs!$J$8-Inputs!$I$8)))/Inputs!$K$8)^2)</f>
        <v/>
      </c>
      <c r="AC77" s="9">
        <f>(Inputs!$H$9+Inputs!$L$9*(((Inputs!$I$9+(((A77)+1)/2)*(Inputs!$J$9-Inputs!$I$9)))/Inputs!$K$9)^2)</f>
        <v/>
      </c>
      <c r="AD77" s="10" t="n"/>
      <c r="AE77" s="9">
        <f>A77</f>
        <v/>
      </c>
      <c r="AF77" s="9">
        <f>(((SQRT((Inputs!$C$52+((Inputs!$H$6+Inputs!$L$6*(((Inputs!$I$6+(((A77)+1)/2)*(Inputs!$J$6-Inputs!$I$6)))/Inputs!$K$6)^2)))^2+Inputs!$C$52^2-2*(Inputs!$C$52+((Inputs!$H$6+Inputs!$L$6*(((Inputs!$I$6+(((A77)+1)/2)*(Inputs!$J$6-Inputs!$I$6)))/Inputs!$K$6)^2)))*Inputs!$C$52*COS(SQRT(((Inputs!$I$6+(((A77)+1)/2)*(Inputs!$J$6-Inputs!$I$6)))^2+Inputs!$C$6^2)/Inputs!$C$52)))-((Inputs!$H$6+Inputs!$L$6*(((Inputs!$I$6+(((A77)+1)/2)*(Inputs!$J$6-Inputs!$I$6)))/Inputs!$K$6)^2)))*1000/Inputs!$C$12)</f>
        <v/>
      </c>
      <c r="AG77" s="9">
        <f>(((SQRT((Inputs!$C$52+((Inputs!$H$7+Inputs!$L$7*(((Inputs!$I$7+(((A77)+1)/2)*(Inputs!$J$7-Inputs!$I$7)))/Inputs!$K$7)^2)))^2+Inputs!$C$52^2-2*(Inputs!$C$52+((Inputs!$H$7+Inputs!$L$7*(((Inputs!$I$7+(((A77)+1)/2)*(Inputs!$J$7-Inputs!$I$7)))/Inputs!$K$7)^2)))*Inputs!$C$52*COS(SQRT(((Inputs!$I$7+(((A77)+1)/2)*(Inputs!$J$7-Inputs!$I$7)))^2+Inputs!$C$6^2)/Inputs!$C$52)))-((Inputs!$H$7+Inputs!$L$7*(((Inputs!$I$7+(((A77)+1)/2)*(Inputs!$J$7-Inputs!$I$7)))/Inputs!$K$7)^2)))*1000/Inputs!$C$12)</f>
        <v/>
      </c>
      <c r="AH77" s="9">
        <f>(((SQRT((Inputs!$C$52+((Inputs!$H$8+Inputs!$L$8*(((Inputs!$I$8+(((A77)+1)/2)*(Inputs!$J$8-Inputs!$I$8)))/Inputs!$K$8)^2)))^2+Inputs!$C$52^2-2*(Inputs!$C$52+((Inputs!$H$8+Inputs!$L$8*(((Inputs!$I$8+(((A77)+1)/2)*(Inputs!$J$8-Inputs!$I$8)))/Inputs!$K$8)^2)))*Inputs!$C$52*COS(SQRT(((Inputs!$I$8+(((A77)+1)/2)*(Inputs!$J$8-Inputs!$I$8)))^2+Inputs!$C$6^2)/Inputs!$C$52)))-((Inputs!$H$8+Inputs!$L$8*(((Inputs!$I$8+(((A77)+1)/2)*(Inputs!$J$8-Inputs!$I$8)))/Inputs!$K$8)^2)))*1000/Inputs!$C$12)</f>
        <v/>
      </c>
      <c r="AI77" s="9">
        <f>(((SQRT((Inputs!$C$52+((Inputs!$H$9+Inputs!$L$9*(((Inputs!$I$9+(((A77)+1)/2)*(Inputs!$J$9-Inputs!$I$9)))/Inputs!$K$9)^2)))^2+Inputs!$C$52^2-2*(Inputs!$C$52+((Inputs!$H$9+Inputs!$L$9*(((Inputs!$I$9+(((A77)+1)/2)*(Inputs!$J$9-Inputs!$I$9)))/Inputs!$K$9)^2)))*Inputs!$C$52*COS(SQRT(((Inputs!$I$9+(((A77)+1)/2)*(Inputs!$J$9-Inputs!$I$9)))^2+Inputs!$C$6^2)/Inputs!$C$52)))-((Inputs!$H$9+Inputs!$L$9*(((Inputs!$I$9+(((A77)+1)/2)*(Inputs!$J$9-Inputs!$I$9)))/Inputs!$K$9)^2)))*1000/Inputs!$C$12)</f>
        <v/>
      </c>
      <c r="AJ77" s="10" t="n"/>
      <c r="AK77" s="9">
        <f>A77</f>
        <v/>
      </c>
      <c r="AL77" s="9">
        <f>(-2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f>
        <v/>
      </c>
      <c r="AM77" s="9">
        <f>(-2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f>
        <v/>
      </c>
      <c r="AN77" s="9">
        <f>(-2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f>
        <v/>
      </c>
      <c r="AO77" s="9">
        <f>(-2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f>
        <v/>
      </c>
      <c r="AP77" s="10" t="n"/>
      <c r="AQ77" s="9">
        <f>A77</f>
        <v/>
      </c>
      <c r="AR77" s="9">
        <f>0</f>
        <v/>
      </c>
      <c r="AS77" s="9">
        <f>IF(OR(Inputs!$F$6=TRUE,Inputs!$F$6="TRUE",Inputs!$F$6=1),IF(OR(Inputs!$C$27=TRUE,Inputs!$C$27="TRUE",Inputs!$C$27=1),1,0)*(Inputs!$C$51*(115*EXP(-(((Inputs!$C$6)-25)^2)/(4.5^2))+70*EXP(-(((Inputs!$C$6)+38)^2)/(7^2))*(0.55+0.45*SIN(2*PI()*((Inputs!$I$6+(((A77)+1)/2)*(Inputs!$J$6-Inputs!$I$6)))/45))+24*SIN(2*PI()*(Inputs!$C$6)/9+((Inputs!$I$6+(((A77)+1)/2)*(Inputs!$J$6-Inputs!$I$6)))/18)*EXP(-(((Inputs!$C$6)+5)^2)/(22^2))+18*SIN(2*PI()*((Inputs!$I$6+(((A77)+1)/2)*(Inputs!$J$6-Inputs!$I$6)))/70))+Inputs!$C$28*EXP(-((((Inputs!$I$6+(((A77)+1)/2)*(Inputs!$J$6-Inputs!$I$6)))-Inputs!$C$29)^2)/(2*Inputs!$C$31^2))*EXP(-(((Inputs!$C$6)-Inputs!$C$30)^2)/(2*Inputs!$C$32^2))+-Inputs!$C$33*EXP(-((((((Inputs!$I$6+(((A77)+1)/2)*(Inputs!$J$6-Inputs!$I$6)))-Inputs!$C$34)^2)+(((Inputs!$C$6)-Inputs!$C$35)^2))/(2*Inputs!$C$36^2)))+Inputs!$C$37*(0.55*SIN(2*PI()*((Inputs!$I$6+(((A77)+1)/2)*(Inputs!$J$6-Inputs!$I$6)))/Inputs!$C$39)+0.35*COS(2*PI()*(Inputs!$C$6)/Inputs!$C$40)+0.2*SIN(2*PI()*(((Inputs!$I$6+(((A77)+1)/2)*(Inputs!$J$6-Inputs!$I$6)))+(Inputs!$C$6))/(0.5*(Inputs!$C$39+Inputs!$C$40))))+Inputs!$C$38*SIN(2*PI()*((Inputs!$I$6+(((A77)+1)/2)*(Inputs!$J$6-Inputs!$I$6)))/Inputs!$C$39)*SIN(2*PI()*(Inputs!$C$6)/Inputs!$C$40)+-Inputs!$C$41*EXP(-(((Inputs!$C$6)-Inputs!$C$43)^2)/(2*Inputs!$C$44^2))*EXP(-((((Inputs!$I$6+(((A77)+1)/2)*(Inputs!$J$6-Inputs!$I$6)))-Inputs!$C$42)^2)/(2*Inputs!$C$45^2))+Inputs!$C$48*(0.7*(0.45*SIN(2*PI()*((((Inputs!$I$6+(((A77)+1)/2)*(Inputs!$J$6-Inputs!$I$6)))/Inputs!$C$49)+Inputs!$C$47*0.137))+0.35*COS(2*PI()*(((Inputs!$C$6)/Inputs!$C$50)+Inputs!$C$47*0.173))+0.2*SIN(2*PI()*((((Inputs!$I$6+(((A77)+1)/2)*(Inputs!$J$6-Inputs!$I$6)))+(Inputs!$C$6))/(0.5*(Inputs!$C$49+Inputs!$C$50))+Inputs!$C$47*0.097)))+0.3*(2*((SIN((((Inputs!$I$6+(((A77)+1)/2)*(Inputs!$J$6-Inputs!$I$6)))*12.9898+(Inputs!$C$6)*78.233+Inputs!$C$47*37.719))*43758.5453)-INT((SIN((((Inputs!$I$6+(((A77)+1)/2)*(Inputs!$J$6-Inputs!$I$6)))*12.9898+(Inputs!$C$6)*78.233+Inputs!$C$47*37.719))*43758.5453)))-1))),NA())</f>
        <v/>
      </c>
      <c r="AT77" s="9">
        <f>IF(OR(Inputs!$F$7=TRUE,Inputs!$F$7="TRUE",Inputs!$F$7=1),IF(OR(Inputs!$C$27=TRUE,Inputs!$C$27="TRUE",Inputs!$C$27=1),1,0)*(Inputs!$C$51*(115*EXP(-(((Inputs!$C$6)-25)^2)/(4.5^2))+70*EXP(-(((Inputs!$C$6)+38)^2)/(7^2))*(0.55+0.45*SIN(2*PI()*((Inputs!$I$7+(((A77)+1)/2)*(Inputs!$J$7-Inputs!$I$7)))/45))+24*SIN(2*PI()*(Inputs!$C$6)/9+((Inputs!$I$7+(((A77)+1)/2)*(Inputs!$J$7-Inputs!$I$7)))/18)*EXP(-(((Inputs!$C$6)+5)^2)/(22^2))+18*SIN(2*PI()*((Inputs!$I$7+(((A77)+1)/2)*(Inputs!$J$7-Inputs!$I$7)))/70))+Inputs!$C$28*EXP(-((((Inputs!$I$7+(((A77)+1)/2)*(Inputs!$J$7-Inputs!$I$7)))-Inputs!$C$29)^2)/(2*Inputs!$C$31^2))*EXP(-(((Inputs!$C$6)-Inputs!$C$30)^2)/(2*Inputs!$C$32^2))+-Inputs!$C$33*EXP(-((((((Inputs!$I$7+(((A77)+1)/2)*(Inputs!$J$7-Inputs!$I$7)))-Inputs!$C$34)^2)+(((Inputs!$C$6)-Inputs!$C$35)^2))/(2*Inputs!$C$36^2)))+Inputs!$C$37*(0.55*SIN(2*PI()*((Inputs!$I$7+(((A77)+1)/2)*(Inputs!$J$7-Inputs!$I$7)))/Inputs!$C$39)+0.35*COS(2*PI()*(Inputs!$C$6)/Inputs!$C$40)+0.2*SIN(2*PI()*(((Inputs!$I$7+(((A77)+1)/2)*(Inputs!$J$7-Inputs!$I$7)))+(Inputs!$C$6))/(0.5*(Inputs!$C$39+Inputs!$C$40))))+Inputs!$C$38*SIN(2*PI()*((Inputs!$I$7+(((A77)+1)/2)*(Inputs!$J$7-Inputs!$I$7)))/Inputs!$C$39)*SIN(2*PI()*(Inputs!$C$6)/Inputs!$C$40)+-Inputs!$C$41*EXP(-(((Inputs!$C$6)-Inputs!$C$43)^2)/(2*Inputs!$C$44^2))*EXP(-((((Inputs!$I$7+(((A77)+1)/2)*(Inputs!$J$7-Inputs!$I$7)))-Inputs!$C$42)^2)/(2*Inputs!$C$45^2))+Inputs!$C$48*(0.7*(0.45*SIN(2*PI()*((((Inputs!$I$7+(((A77)+1)/2)*(Inputs!$J$7-Inputs!$I$7)))/Inputs!$C$49)+Inputs!$C$47*0.137))+0.35*COS(2*PI()*(((Inputs!$C$6)/Inputs!$C$50)+Inputs!$C$47*0.173))+0.2*SIN(2*PI()*((((Inputs!$I$7+(((A77)+1)/2)*(Inputs!$J$7-Inputs!$I$7)))+(Inputs!$C$6))/(0.5*(Inputs!$C$49+Inputs!$C$50))+Inputs!$C$47*0.097)))+0.3*(2*((SIN((((Inputs!$I$7+(((A77)+1)/2)*(Inputs!$J$7-Inputs!$I$7)))*12.9898+(Inputs!$C$6)*78.233+Inputs!$C$47*37.719))*43758.5453)-INT((SIN((((Inputs!$I$7+(((A77)+1)/2)*(Inputs!$J$7-Inputs!$I$7)))*12.9898+(Inputs!$C$6)*78.233+Inputs!$C$47*37.719))*43758.5453)))-1))),NA())</f>
        <v/>
      </c>
      <c r="AU77" s="9">
        <f>IF(OR(Inputs!$F$8=TRUE,Inputs!$F$8="TRUE",Inputs!$F$8=1),IF(OR(Inputs!$C$27=TRUE,Inputs!$C$27="TRUE",Inputs!$C$27=1),1,0)*(Inputs!$C$51*(115*EXP(-(((Inputs!$C$6)-25)^2)/(4.5^2))+70*EXP(-(((Inputs!$C$6)+38)^2)/(7^2))*(0.55+0.45*SIN(2*PI()*((Inputs!$I$8+(((A77)+1)/2)*(Inputs!$J$8-Inputs!$I$8)))/45))+24*SIN(2*PI()*(Inputs!$C$6)/9+((Inputs!$I$8+(((A77)+1)/2)*(Inputs!$J$8-Inputs!$I$8)))/18)*EXP(-(((Inputs!$C$6)+5)^2)/(22^2))+18*SIN(2*PI()*((Inputs!$I$8+(((A77)+1)/2)*(Inputs!$J$8-Inputs!$I$8)))/70))+Inputs!$C$28*EXP(-((((Inputs!$I$8+(((A77)+1)/2)*(Inputs!$J$8-Inputs!$I$8)))-Inputs!$C$29)^2)/(2*Inputs!$C$31^2))*EXP(-(((Inputs!$C$6)-Inputs!$C$30)^2)/(2*Inputs!$C$32^2))+-Inputs!$C$33*EXP(-((((((Inputs!$I$8+(((A77)+1)/2)*(Inputs!$J$8-Inputs!$I$8)))-Inputs!$C$34)^2)+(((Inputs!$C$6)-Inputs!$C$35)^2))/(2*Inputs!$C$36^2)))+Inputs!$C$37*(0.55*SIN(2*PI()*((Inputs!$I$8+(((A77)+1)/2)*(Inputs!$J$8-Inputs!$I$8)))/Inputs!$C$39)+0.35*COS(2*PI()*(Inputs!$C$6)/Inputs!$C$40)+0.2*SIN(2*PI()*(((Inputs!$I$8+(((A77)+1)/2)*(Inputs!$J$8-Inputs!$I$8)))+(Inputs!$C$6))/(0.5*(Inputs!$C$39+Inputs!$C$40))))+Inputs!$C$38*SIN(2*PI()*((Inputs!$I$8+(((A77)+1)/2)*(Inputs!$J$8-Inputs!$I$8)))/Inputs!$C$39)*SIN(2*PI()*(Inputs!$C$6)/Inputs!$C$40)+-Inputs!$C$41*EXP(-(((Inputs!$C$6)-Inputs!$C$43)^2)/(2*Inputs!$C$44^2))*EXP(-((((Inputs!$I$8+(((A77)+1)/2)*(Inputs!$J$8-Inputs!$I$8)))-Inputs!$C$42)^2)/(2*Inputs!$C$45^2))+Inputs!$C$48*(0.7*(0.45*SIN(2*PI()*((((Inputs!$I$8+(((A77)+1)/2)*(Inputs!$J$8-Inputs!$I$8)))/Inputs!$C$49)+Inputs!$C$47*0.137))+0.35*COS(2*PI()*(((Inputs!$C$6)/Inputs!$C$50)+Inputs!$C$47*0.173))+0.2*SIN(2*PI()*((((Inputs!$I$8+(((A77)+1)/2)*(Inputs!$J$8-Inputs!$I$8)))+(Inputs!$C$6))/(0.5*(Inputs!$C$49+Inputs!$C$50))+Inputs!$C$47*0.097)))+0.3*(2*((SIN((((Inputs!$I$8+(((A77)+1)/2)*(Inputs!$J$8-Inputs!$I$8)))*12.9898+(Inputs!$C$6)*78.233+Inputs!$C$47*37.719))*43758.5453)-INT((SIN((((Inputs!$I$8+(((A77)+1)/2)*(Inputs!$J$8-Inputs!$I$8)))*12.9898+(Inputs!$C$6)*78.233+Inputs!$C$47*37.719))*43758.5453)))-1))),NA())</f>
        <v/>
      </c>
      <c r="AV77" s="9">
        <f>IF(OR(Inputs!$F$9=TRUE,Inputs!$F$9="TRUE",Inputs!$F$9=1),IF(OR(Inputs!$C$27=TRUE,Inputs!$C$27="TRUE",Inputs!$C$27=1),1,0)*(Inputs!$C$51*(115*EXP(-(((Inputs!$C$6)-25)^2)/(4.5^2))+70*EXP(-(((Inputs!$C$6)+38)^2)/(7^2))*(0.55+0.45*SIN(2*PI()*((Inputs!$I$9+(((A77)+1)/2)*(Inputs!$J$9-Inputs!$I$9)))/45))+24*SIN(2*PI()*(Inputs!$C$6)/9+((Inputs!$I$9+(((A77)+1)/2)*(Inputs!$J$9-Inputs!$I$9)))/18)*EXP(-(((Inputs!$C$6)+5)^2)/(22^2))+18*SIN(2*PI()*((Inputs!$I$9+(((A77)+1)/2)*(Inputs!$J$9-Inputs!$I$9)))/70))+Inputs!$C$28*EXP(-((((Inputs!$I$9+(((A77)+1)/2)*(Inputs!$J$9-Inputs!$I$9)))-Inputs!$C$29)^2)/(2*Inputs!$C$31^2))*EXP(-(((Inputs!$C$6)-Inputs!$C$30)^2)/(2*Inputs!$C$32^2))+-Inputs!$C$33*EXP(-((((((Inputs!$I$9+(((A77)+1)/2)*(Inputs!$J$9-Inputs!$I$9)))-Inputs!$C$34)^2)+(((Inputs!$C$6)-Inputs!$C$35)^2))/(2*Inputs!$C$36^2)))+Inputs!$C$37*(0.55*SIN(2*PI()*((Inputs!$I$9+(((A77)+1)/2)*(Inputs!$J$9-Inputs!$I$9)))/Inputs!$C$39)+0.35*COS(2*PI()*(Inputs!$C$6)/Inputs!$C$40)+0.2*SIN(2*PI()*(((Inputs!$I$9+(((A77)+1)/2)*(Inputs!$J$9-Inputs!$I$9)))+(Inputs!$C$6))/(0.5*(Inputs!$C$39+Inputs!$C$40))))+Inputs!$C$38*SIN(2*PI()*((Inputs!$I$9+(((A77)+1)/2)*(Inputs!$J$9-Inputs!$I$9)))/Inputs!$C$39)*SIN(2*PI()*(Inputs!$C$6)/Inputs!$C$40)+-Inputs!$C$41*EXP(-(((Inputs!$C$6)-Inputs!$C$43)^2)/(2*Inputs!$C$44^2))*EXP(-((((Inputs!$I$9+(((A77)+1)/2)*(Inputs!$J$9-Inputs!$I$9)))-Inputs!$C$42)^2)/(2*Inputs!$C$45^2))+Inputs!$C$48*(0.7*(0.45*SIN(2*PI()*((((Inputs!$I$9+(((A77)+1)/2)*(Inputs!$J$9-Inputs!$I$9)))/Inputs!$C$49)+Inputs!$C$47*0.137))+0.35*COS(2*PI()*(((Inputs!$C$6)/Inputs!$C$50)+Inputs!$C$47*0.173))+0.2*SIN(2*PI()*((((Inputs!$I$9+(((A77)+1)/2)*(Inputs!$J$9-Inputs!$I$9)))+(Inputs!$C$6))/(0.5*(Inputs!$C$49+Inputs!$C$50))+Inputs!$C$47*0.097)))+0.3*(2*((SIN((((Inputs!$I$9+(((A77)+1)/2)*(Inputs!$J$9-Inputs!$I$9)))*12.9898+(Inputs!$C$6)*78.233+Inputs!$C$47*37.719))*43758.5453)-INT((SIN((((Inputs!$I$9+(((A77)+1)/2)*(Inputs!$J$9-Inputs!$I$9)))*12.9898+(Inputs!$C$6)*78.233+Inputs!$C$47*37.719))*43758.5453)))-1))),NA())</f>
        <v/>
      </c>
      <c r="AW77" s="10" t="n"/>
      <c r="AX77" s="9">
        <f>A77</f>
        <v/>
      </c>
      <c r="AY77" s="9">
        <f>0</f>
        <v/>
      </c>
      <c r="AZ77" s="9">
        <f>IF(OR(Inputs!$F$6=TRUE,Inputs!$F$6="TRUE",Inputs!$F$6=1),(Inputs!$H$6+Inputs!$L$6*(((Inputs!$I$6+(((A77)+1)/2)*(Inputs!$J$6-Inputs!$I$6)))/Inputs!$K$6)^2),NA())</f>
        <v/>
      </c>
      <c r="BA77" s="9">
        <f>IF(OR(Inputs!$F$7=TRUE,Inputs!$F$7="TRUE",Inputs!$F$7=1),(Inputs!$H$7+Inputs!$L$7*(((Inputs!$I$7+(((A77)+1)/2)*(Inputs!$J$7-Inputs!$I$7)))/Inputs!$K$7)^2),NA())</f>
        <v/>
      </c>
      <c r="BB77" s="9">
        <f>IF(OR(Inputs!$F$8=TRUE,Inputs!$F$8="TRUE",Inputs!$F$8=1),(Inputs!$H$8+Inputs!$L$8*(((Inputs!$I$8+(((A77)+1)/2)*(Inputs!$J$8-Inputs!$I$8)))/Inputs!$K$8)^2),NA())</f>
        <v/>
      </c>
      <c r="BC77" s="9">
        <f>IF(OR(Inputs!$F$9=TRUE,Inputs!$F$9="TRUE",Inputs!$F$9=1),(Inputs!$H$9+Inputs!$L$9*(((Inputs!$I$9+(((A77)+1)/2)*(Inputs!$J$9-Inputs!$I$9)))/Inputs!$K$9)^2),NA())</f>
        <v/>
      </c>
      <c r="BD77" s="10" t="n"/>
      <c r="BE77" s="9">
        <f>A77</f>
        <v/>
      </c>
      <c r="BF77" s="9">
        <f>0</f>
        <v/>
      </c>
      <c r="BG77" s="9">
        <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f>
        <v/>
      </c>
      <c r="BH77" s="9">
        <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f>
        <v/>
      </c>
      <c r="BI77" s="9">
        <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f>
        <v/>
      </c>
      <c r="BJ77" s="9">
        <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f>
        <v/>
      </c>
    </row>
    <row r="78">
      <c r="A78" s="9">
        <f>ROUND(-1+76*2/240,3)</f>
        <v/>
      </c>
      <c r="B78" s="9">
        <f>IF(OR(Inputs!$F$6=TRUE,Inputs!$F$6="TRUE",Inputs!$F$6=1),(Inputs!$H$6+Inputs!$L$6*(((Inputs!$I$6+(((A78)+1)/2)*(Inputs!$J$6-Inputs!$I$6)))/Inputs!$K$6)^2),NA())</f>
        <v/>
      </c>
      <c r="C78" s="9">
        <f>IF(OR(Inputs!$F$7=TRUE,Inputs!$F$7="TRUE",Inputs!$F$7=1),(Inputs!$H$7+Inputs!$L$7*(((Inputs!$I$7+(((A78)+1)/2)*(Inputs!$J$7-Inputs!$I$7)))/Inputs!$K$7)^2),NA())</f>
        <v/>
      </c>
      <c r="D78" s="9">
        <f>IF(OR(Inputs!$F$8=TRUE,Inputs!$F$8="TRUE",Inputs!$F$8=1),(Inputs!$H$8+Inputs!$L$8*(((Inputs!$I$8+(((A78)+1)/2)*(Inputs!$J$8-Inputs!$I$8)))/Inputs!$K$8)^2),NA())</f>
        <v/>
      </c>
      <c r="E78" s="9">
        <f>IF(OR(Inputs!$F$9=TRUE,Inputs!$F$9="TRUE",Inputs!$F$9=1),(Inputs!$H$9+Inputs!$L$9*(((Inputs!$I$9+(((A78)+1)/2)*(Inputs!$J$9-Inputs!$I$9)))/Inputs!$K$9)^2),NA())</f>
        <v/>
      </c>
      <c r="F78" s="10" t="n"/>
      <c r="G78" s="9">
        <f>A78</f>
        <v/>
      </c>
      <c r="H78" s="9">
        <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f>
        <v/>
      </c>
      <c r="I78" s="9">
        <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f>
        <v/>
      </c>
      <c r="J78" s="9">
        <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f>
        <v/>
      </c>
      <c r="K78" s="9">
        <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f>
        <v/>
      </c>
      <c r="L78" s="10" t="n"/>
      <c r="M78" s="9">
        <f>A78</f>
        <v/>
      </c>
      <c r="N78" s="9">
        <f>IF(OR(Inputs!$F$6=TRUE,Inputs!$F$6="TRUE",Inputs!$F$6=1),(-2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NA())</f>
        <v/>
      </c>
      <c r="O78" s="9">
        <f>IF(OR(Inputs!$F$7=TRUE,Inputs!$F$7="TRUE",Inputs!$F$7=1),(-2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NA())</f>
        <v/>
      </c>
      <c r="P78" s="9">
        <f>IF(OR(Inputs!$F$8=TRUE,Inputs!$F$8="TRUE",Inputs!$F$8=1),(-2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NA())</f>
        <v/>
      </c>
      <c r="Q78" s="9">
        <f>IF(OR(Inputs!$F$9=TRUE,Inputs!$F$9="TRUE",Inputs!$F$9=1),(-2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NA())</f>
        <v/>
      </c>
      <c r="R78" s="10" t="n"/>
      <c r="S78" s="9">
        <f>A78</f>
        <v/>
      </c>
      <c r="T78" s="9">
        <f>(Inputs!$I$6+(((A78)+1)/2)*(Inputs!$J$6-Inputs!$I$6))</f>
        <v/>
      </c>
      <c r="U78" s="9">
        <f>(Inputs!$I$7+(((A78)+1)/2)*(Inputs!$J$7-Inputs!$I$7))</f>
        <v/>
      </c>
      <c r="V78" s="9">
        <f>(Inputs!$I$8+(((A78)+1)/2)*(Inputs!$J$8-Inputs!$I$8))</f>
        <v/>
      </c>
      <c r="W78" s="9">
        <f>(Inputs!$I$9+(((A78)+1)/2)*(Inputs!$J$9-Inputs!$I$9))</f>
        <v/>
      </c>
      <c r="X78" s="10" t="n"/>
      <c r="Y78" s="9">
        <f>A78</f>
        <v/>
      </c>
      <c r="Z78" s="9">
        <f>(Inputs!$H$6+Inputs!$L$6*(((Inputs!$I$6+(((A78)+1)/2)*(Inputs!$J$6-Inputs!$I$6)))/Inputs!$K$6)^2)</f>
        <v/>
      </c>
      <c r="AA78" s="9">
        <f>(Inputs!$H$7+Inputs!$L$7*(((Inputs!$I$7+(((A78)+1)/2)*(Inputs!$J$7-Inputs!$I$7)))/Inputs!$K$7)^2)</f>
        <v/>
      </c>
      <c r="AB78" s="9">
        <f>(Inputs!$H$8+Inputs!$L$8*(((Inputs!$I$8+(((A78)+1)/2)*(Inputs!$J$8-Inputs!$I$8)))/Inputs!$K$8)^2)</f>
        <v/>
      </c>
      <c r="AC78" s="9">
        <f>(Inputs!$H$9+Inputs!$L$9*(((Inputs!$I$9+(((A78)+1)/2)*(Inputs!$J$9-Inputs!$I$9)))/Inputs!$K$9)^2)</f>
        <v/>
      </c>
      <c r="AD78" s="10" t="n"/>
      <c r="AE78" s="9">
        <f>A78</f>
        <v/>
      </c>
      <c r="AF78" s="9">
        <f>(((SQRT((Inputs!$C$52+((Inputs!$H$6+Inputs!$L$6*(((Inputs!$I$6+(((A78)+1)/2)*(Inputs!$J$6-Inputs!$I$6)))/Inputs!$K$6)^2)))^2+Inputs!$C$52^2-2*(Inputs!$C$52+((Inputs!$H$6+Inputs!$L$6*(((Inputs!$I$6+(((A78)+1)/2)*(Inputs!$J$6-Inputs!$I$6)))/Inputs!$K$6)^2)))*Inputs!$C$52*COS(SQRT(((Inputs!$I$6+(((A78)+1)/2)*(Inputs!$J$6-Inputs!$I$6)))^2+Inputs!$C$6^2)/Inputs!$C$52)))-((Inputs!$H$6+Inputs!$L$6*(((Inputs!$I$6+(((A78)+1)/2)*(Inputs!$J$6-Inputs!$I$6)))/Inputs!$K$6)^2)))*1000/Inputs!$C$12)</f>
        <v/>
      </c>
      <c r="AG78" s="9">
        <f>(((SQRT((Inputs!$C$52+((Inputs!$H$7+Inputs!$L$7*(((Inputs!$I$7+(((A78)+1)/2)*(Inputs!$J$7-Inputs!$I$7)))/Inputs!$K$7)^2)))^2+Inputs!$C$52^2-2*(Inputs!$C$52+((Inputs!$H$7+Inputs!$L$7*(((Inputs!$I$7+(((A78)+1)/2)*(Inputs!$J$7-Inputs!$I$7)))/Inputs!$K$7)^2)))*Inputs!$C$52*COS(SQRT(((Inputs!$I$7+(((A78)+1)/2)*(Inputs!$J$7-Inputs!$I$7)))^2+Inputs!$C$6^2)/Inputs!$C$52)))-((Inputs!$H$7+Inputs!$L$7*(((Inputs!$I$7+(((A78)+1)/2)*(Inputs!$J$7-Inputs!$I$7)))/Inputs!$K$7)^2)))*1000/Inputs!$C$12)</f>
        <v/>
      </c>
      <c r="AH78" s="9">
        <f>(((SQRT((Inputs!$C$52+((Inputs!$H$8+Inputs!$L$8*(((Inputs!$I$8+(((A78)+1)/2)*(Inputs!$J$8-Inputs!$I$8)))/Inputs!$K$8)^2)))^2+Inputs!$C$52^2-2*(Inputs!$C$52+((Inputs!$H$8+Inputs!$L$8*(((Inputs!$I$8+(((A78)+1)/2)*(Inputs!$J$8-Inputs!$I$8)))/Inputs!$K$8)^2)))*Inputs!$C$52*COS(SQRT(((Inputs!$I$8+(((A78)+1)/2)*(Inputs!$J$8-Inputs!$I$8)))^2+Inputs!$C$6^2)/Inputs!$C$52)))-((Inputs!$H$8+Inputs!$L$8*(((Inputs!$I$8+(((A78)+1)/2)*(Inputs!$J$8-Inputs!$I$8)))/Inputs!$K$8)^2)))*1000/Inputs!$C$12)</f>
        <v/>
      </c>
      <c r="AI78" s="9">
        <f>(((SQRT((Inputs!$C$52+((Inputs!$H$9+Inputs!$L$9*(((Inputs!$I$9+(((A78)+1)/2)*(Inputs!$J$9-Inputs!$I$9)))/Inputs!$K$9)^2)))^2+Inputs!$C$52^2-2*(Inputs!$C$52+((Inputs!$H$9+Inputs!$L$9*(((Inputs!$I$9+(((A78)+1)/2)*(Inputs!$J$9-Inputs!$I$9)))/Inputs!$K$9)^2)))*Inputs!$C$52*COS(SQRT(((Inputs!$I$9+(((A78)+1)/2)*(Inputs!$J$9-Inputs!$I$9)))^2+Inputs!$C$6^2)/Inputs!$C$52)))-((Inputs!$H$9+Inputs!$L$9*(((Inputs!$I$9+(((A78)+1)/2)*(Inputs!$J$9-Inputs!$I$9)))/Inputs!$K$9)^2)))*1000/Inputs!$C$12)</f>
        <v/>
      </c>
      <c r="AJ78" s="10" t="n"/>
      <c r="AK78" s="9">
        <f>A78</f>
        <v/>
      </c>
      <c r="AL78" s="9">
        <f>(-2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f>
        <v/>
      </c>
      <c r="AM78" s="9">
        <f>(-2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f>
        <v/>
      </c>
      <c r="AN78" s="9">
        <f>(-2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f>
        <v/>
      </c>
      <c r="AO78" s="9">
        <f>(-2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f>
        <v/>
      </c>
      <c r="AP78" s="10" t="n"/>
      <c r="AQ78" s="9">
        <f>A78</f>
        <v/>
      </c>
      <c r="AR78" s="9">
        <f>0</f>
        <v/>
      </c>
      <c r="AS78" s="9">
        <f>IF(OR(Inputs!$F$6=TRUE,Inputs!$F$6="TRUE",Inputs!$F$6=1),IF(OR(Inputs!$C$27=TRUE,Inputs!$C$27="TRUE",Inputs!$C$27=1),1,0)*(Inputs!$C$51*(115*EXP(-(((Inputs!$C$6)-25)^2)/(4.5^2))+70*EXP(-(((Inputs!$C$6)+38)^2)/(7^2))*(0.55+0.45*SIN(2*PI()*((Inputs!$I$6+(((A78)+1)/2)*(Inputs!$J$6-Inputs!$I$6)))/45))+24*SIN(2*PI()*(Inputs!$C$6)/9+((Inputs!$I$6+(((A78)+1)/2)*(Inputs!$J$6-Inputs!$I$6)))/18)*EXP(-(((Inputs!$C$6)+5)^2)/(22^2))+18*SIN(2*PI()*((Inputs!$I$6+(((A78)+1)/2)*(Inputs!$J$6-Inputs!$I$6)))/70))+Inputs!$C$28*EXP(-((((Inputs!$I$6+(((A78)+1)/2)*(Inputs!$J$6-Inputs!$I$6)))-Inputs!$C$29)^2)/(2*Inputs!$C$31^2))*EXP(-(((Inputs!$C$6)-Inputs!$C$30)^2)/(2*Inputs!$C$32^2))+-Inputs!$C$33*EXP(-((((((Inputs!$I$6+(((A78)+1)/2)*(Inputs!$J$6-Inputs!$I$6)))-Inputs!$C$34)^2)+(((Inputs!$C$6)-Inputs!$C$35)^2))/(2*Inputs!$C$36^2)))+Inputs!$C$37*(0.55*SIN(2*PI()*((Inputs!$I$6+(((A78)+1)/2)*(Inputs!$J$6-Inputs!$I$6)))/Inputs!$C$39)+0.35*COS(2*PI()*(Inputs!$C$6)/Inputs!$C$40)+0.2*SIN(2*PI()*(((Inputs!$I$6+(((A78)+1)/2)*(Inputs!$J$6-Inputs!$I$6)))+(Inputs!$C$6))/(0.5*(Inputs!$C$39+Inputs!$C$40))))+Inputs!$C$38*SIN(2*PI()*((Inputs!$I$6+(((A78)+1)/2)*(Inputs!$J$6-Inputs!$I$6)))/Inputs!$C$39)*SIN(2*PI()*(Inputs!$C$6)/Inputs!$C$40)+-Inputs!$C$41*EXP(-(((Inputs!$C$6)-Inputs!$C$43)^2)/(2*Inputs!$C$44^2))*EXP(-((((Inputs!$I$6+(((A78)+1)/2)*(Inputs!$J$6-Inputs!$I$6)))-Inputs!$C$42)^2)/(2*Inputs!$C$45^2))+Inputs!$C$48*(0.7*(0.45*SIN(2*PI()*((((Inputs!$I$6+(((A78)+1)/2)*(Inputs!$J$6-Inputs!$I$6)))/Inputs!$C$49)+Inputs!$C$47*0.137))+0.35*COS(2*PI()*(((Inputs!$C$6)/Inputs!$C$50)+Inputs!$C$47*0.173))+0.2*SIN(2*PI()*((((Inputs!$I$6+(((A78)+1)/2)*(Inputs!$J$6-Inputs!$I$6)))+(Inputs!$C$6))/(0.5*(Inputs!$C$49+Inputs!$C$50))+Inputs!$C$47*0.097)))+0.3*(2*((SIN((((Inputs!$I$6+(((A78)+1)/2)*(Inputs!$J$6-Inputs!$I$6)))*12.9898+(Inputs!$C$6)*78.233+Inputs!$C$47*37.719))*43758.5453)-INT((SIN((((Inputs!$I$6+(((A78)+1)/2)*(Inputs!$J$6-Inputs!$I$6)))*12.9898+(Inputs!$C$6)*78.233+Inputs!$C$47*37.719))*43758.5453)))-1))),NA())</f>
        <v/>
      </c>
      <c r="AT78" s="9">
        <f>IF(OR(Inputs!$F$7=TRUE,Inputs!$F$7="TRUE",Inputs!$F$7=1),IF(OR(Inputs!$C$27=TRUE,Inputs!$C$27="TRUE",Inputs!$C$27=1),1,0)*(Inputs!$C$51*(115*EXP(-(((Inputs!$C$6)-25)^2)/(4.5^2))+70*EXP(-(((Inputs!$C$6)+38)^2)/(7^2))*(0.55+0.45*SIN(2*PI()*((Inputs!$I$7+(((A78)+1)/2)*(Inputs!$J$7-Inputs!$I$7)))/45))+24*SIN(2*PI()*(Inputs!$C$6)/9+((Inputs!$I$7+(((A78)+1)/2)*(Inputs!$J$7-Inputs!$I$7)))/18)*EXP(-(((Inputs!$C$6)+5)^2)/(22^2))+18*SIN(2*PI()*((Inputs!$I$7+(((A78)+1)/2)*(Inputs!$J$7-Inputs!$I$7)))/70))+Inputs!$C$28*EXP(-((((Inputs!$I$7+(((A78)+1)/2)*(Inputs!$J$7-Inputs!$I$7)))-Inputs!$C$29)^2)/(2*Inputs!$C$31^2))*EXP(-(((Inputs!$C$6)-Inputs!$C$30)^2)/(2*Inputs!$C$32^2))+-Inputs!$C$33*EXP(-((((((Inputs!$I$7+(((A78)+1)/2)*(Inputs!$J$7-Inputs!$I$7)))-Inputs!$C$34)^2)+(((Inputs!$C$6)-Inputs!$C$35)^2))/(2*Inputs!$C$36^2)))+Inputs!$C$37*(0.55*SIN(2*PI()*((Inputs!$I$7+(((A78)+1)/2)*(Inputs!$J$7-Inputs!$I$7)))/Inputs!$C$39)+0.35*COS(2*PI()*(Inputs!$C$6)/Inputs!$C$40)+0.2*SIN(2*PI()*(((Inputs!$I$7+(((A78)+1)/2)*(Inputs!$J$7-Inputs!$I$7)))+(Inputs!$C$6))/(0.5*(Inputs!$C$39+Inputs!$C$40))))+Inputs!$C$38*SIN(2*PI()*((Inputs!$I$7+(((A78)+1)/2)*(Inputs!$J$7-Inputs!$I$7)))/Inputs!$C$39)*SIN(2*PI()*(Inputs!$C$6)/Inputs!$C$40)+-Inputs!$C$41*EXP(-(((Inputs!$C$6)-Inputs!$C$43)^2)/(2*Inputs!$C$44^2))*EXP(-((((Inputs!$I$7+(((A78)+1)/2)*(Inputs!$J$7-Inputs!$I$7)))-Inputs!$C$42)^2)/(2*Inputs!$C$45^2))+Inputs!$C$48*(0.7*(0.45*SIN(2*PI()*((((Inputs!$I$7+(((A78)+1)/2)*(Inputs!$J$7-Inputs!$I$7)))/Inputs!$C$49)+Inputs!$C$47*0.137))+0.35*COS(2*PI()*(((Inputs!$C$6)/Inputs!$C$50)+Inputs!$C$47*0.173))+0.2*SIN(2*PI()*((((Inputs!$I$7+(((A78)+1)/2)*(Inputs!$J$7-Inputs!$I$7)))+(Inputs!$C$6))/(0.5*(Inputs!$C$49+Inputs!$C$50))+Inputs!$C$47*0.097)))+0.3*(2*((SIN((((Inputs!$I$7+(((A78)+1)/2)*(Inputs!$J$7-Inputs!$I$7)))*12.9898+(Inputs!$C$6)*78.233+Inputs!$C$47*37.719))*43758.5453)-INT((SIN((((Inputs!$I$7+(((A78)+1)/2)*(Inputs!$J$7-Inputs!$I$7)))*12.9898+(Inputs!$C$6)*78.233+Inputs!$C$47*37.719))*43758.5453)))-1))),NA())</f>
        <v/>
      </c>
      <c r="AU78" s="9">
        <f>IF(OR(Inputs!$F$8=TRUE,Inputs!$F$8="TRUE",Inputs!$F$8=1),IF(OR(Inputs!$C$27=TRUE,Inputs!$C$27="TRUE",Inputs!$C$27=1),1,0)*(Inputs!$C$51*(115*EXP(-(((Inputs!$C$6)-25)^2)/(4.5^2))+70*EXP(-(((Inputs!$C$6)+38)^2)/(7^2))*(0.55+0.45*SIN(2*PI()*((Inputs!$I$8+(((A78)+1)/2)*(Inputs!$J$8-Inputs!$I$8)))/45))+24*SIN(2*PI()*(Inputs!$C$6)/9+((Inputs!$I$8+(((A78)+1)/2)*(Inputs!$J$8-Inputs!$I$8)))/18)*EXP(-(((Inputs!$C$6)+5)^2)/(22^2))+18*SIN(2*PI()*((Inputs!$I$8+(((A78)+1)/2)*(Inputs!$J$8-Inputs!$I$8)))/70))+Inputs!$C$28*EXP(-((((Inputs!$I$8+(((A78)+1)/2)*(Inputs!$J$8-Inputs!$I$8)))-Inputs!$C$29)^2)/(2*Inputs!$C$31^2))*EXP(-(((Inputs!$C$6)-Inputs!$C$30)^2)/(2*Inputs!$C$32^2))+-Inputs!$C$33*EXP(-((((((Inputs!$I$8+(((A78)+1)/2)*(Inputs!$J$8-Inputs!$I$8)))-Inputs!$C$34)^2)+(((Inputs!$C$6)-Inputs!$C$35)^2))/(2*Inputs!$C$36^2)))+Inputs!$C$37*(0.55*SIN(2*PI()*((Inputs!$I$8+(((A78)+1)/2)*(Inputs!$J$8-Inputs!$I$8)))/Inputs!$C$39)+0.35*COS(2*PI()*(Inputs!$C$6)/Inputs!$C$40)+0.2*SIN(2*PI()*(((Inputs!$I$8+(((A78)+1)/2)*(Inputs!$J$8-Inputs!$I$8)))+(Inputs!$C$6))/(0.5*(Inputs!$C$39+Inputs!$C$40))))+Inputs!$C$38*SIN(2*PI()*((Inputs!$I$8+(((A78)+1)/2)*(Inputs!$J$8-Inputs!$I$8)))/Inputs!$C$39)*SIN(2*PI()*(Inputs!$C$6)/Inputs!$C$40)+-Inputs!$C$41*EXP(-(((Inputs!$C$6)-Inputs!$C$43)^2)/(2*Inputs!$C$44^2))*EXP(-((((Inputs!$I$8+(((A78)+1)/2)*(Inputs!$J$8-Inputs!$I$8)))-Inputs!$C$42)^2)/(2*Inputs!$C$45^2))+Inputs!$C$48*(0.7*(0.45*SIN(2*PI()*((((Inputs!$I$8+(((A78)+1)/2)*(Inputs!$J$8-Inputs!$I$8)))/Inputs!$C$49)+Inputs!$C$47*0.137))+0.35*COS(2*PI()*(((Inputs!$C$6)/Inputs!$C$50)+Inputs!$C$47*0.173))+0.2*SIN(2*PI()*((((Inputs!$I$8+(((A78)+1)/2)*(Inputs!$J$8-Inputs!$I$8)))+(Inputs!$C$6))/(0.5*(Inputs!$C$49+Inputs!$C$50))+Inputs!$C$47*0.097)))+0.3*(2*((SIN((((Inputs!$I$8+(((A78)+1)/2)*(Inputs!$J$8-Inputs!$I$8)))*12.9898+(Inputs!$C$6)*78.233+Inputs!$C$47*37.719))*43758.5453)-INT((SIN((((Inputs!$I$8+(((A78)+1)/2)*(Inputs!$J$8-Inputs!$I$8)))*12.9898+(Inputs!$C$6)*78.233+Inputs!$C$47*37.719))*43758.5453)))-1))),NA())</f>
        <v/>
      </c>
      <c r="AV78" s="9">
        <f>IF(OR(Inputs!$F$9=TRUE,Inputs!$F$9="TRUE",Inputs!$F$9=1),IF(OR(Inputs!$C$27=TRUE,Inputs!$C$27="TRUE",Inputs!$C$27=1),1,0)*(Inputs!$C$51*(115*EXP(-(((Inputs!$C$6)-25)^2)/(4.5^2))+70*EXP(-(((Inputs!$C$6)+38)^2)/(7^2))*(0.55+0.45*SIN(2*PI()*((Inputs!$I$9+(((A78)+1)/2)*(Inputs!$J$9-Inputs!$I$9)))/45))+24*SIN(2*PI()*(Inputs!$C$6)/9+((Inputs!$I$9+(((A78)+1)/2)*(Inputs!$J$9-Inputs!$I$9)))/18)*EXP(-(((Inputs!$C$6)+5)^2)/(22^2))+18*SIN(2*PI()*((Inputs!$I$9+(((A78)+1)/2)*(Inputs!$J$9-Inputs!$I$9)))/70))+Inputs!$C$28*EXP(-((((Inputs!$I$9+(((A78)+1)/2)*(Inputs!$J$9-Inputs!$I$9)))-Inputs!$C$29)^2)/(2*Inputs!$C$31^2))*EXP(-(((Inputs!$C$6)-Inputs!$C$30)^2)/(2*Inputs!$C$32^2))+-Inputs!$C$33*EXP(-((((((Inputs!$I$9+(((A78)+1)/2)*(Inputs!$J$9-Inputs!$I$9)))-Inputs!$C$34)^2)+(((Inputs!$C$6)-Inputs!$C$35)^2))/(2*Inputs!$C$36^2)))+Inputs!$C$37*(0.55*SIN(2*PI()*((Inputs!$I$9+(((A78)+1)/2)*(Inputs!$J$9-Inputs!$I$9)))/Inputs!$C$39)+0.35*COS(2*PI()*(Inputs!$C$6)/Inputs!$C$40)+0.2*SIN(2*PI()*(((Inputs!$I$9+(((A78)+1)/2)*(Inputs!$J$9-Inputs!$I$9)))+(Inputs!$C$6))/(0.5*(Inputs!$C$39+Inputs!$C$40))))+Inputs!$C$38*SIN(2*PI()*((Inputs!$I$9+(((A78)+1)/2)*(Inputs!$J$9-Inputs!$I$9)))/Inputs!$C$39)*SIN(2*PI()*(Inputs!$C$6)/Inputs!$C$40)+-Inputs!$C$41*EXP(-(((Inputs!$C$6)-Inputs!$C$43)^2)/(2*Inputs!$C$44^2))*EXP(-((((Inputs!$I$9+(((A78)+1)/2)*(Inputs!$J$9-Inputs!$I$9)))-Inputs!$C$42)^2)/(2*Inputs!$C$45^2))+Inputs!$C$48*(0.7*(0.45*SIN(2*PI()*((((Inputs!$I$9+(((A78)+1)/2)*(Inputs!$J$9-Inputs!$I$9)))/Inputs!$C$49)+Inputs!$C$47*0.137))+0.35*COS(2*PI()*(((Inputs!$C$6)/Inputs!$C$50)+Inputs!$C$47*0.173))+0.2*SIN(2*PI()*((((Inputs!$I$9+(((A78)+1)/2)*(Inputs!$J$9-Inputs!$I$9)))+(Inputs!$C$6))/(0.5*(Inputs!$C$49+Inputs!$C$50))+Inputs!$C$47*0.097)))+0.3*(2*((SIN((((Inputs!$I$9+(((A78)+1)/2)*(Inputs!$J$9-Inputs!$I$9)))*12.9898+(Inputs!$C$6)*78.233+Inputs!$C$47*37.719))*43758.5453)-INT((SIN((((Inputs!$I$9+(((A78)+1)/2)*(Inputs!$J$9-Inputs!$I$9)))*12.9898+(Inputs!$C$6)*78.233+Inputs!$C$47*37.719))*43758.5453)))-1))),NA())</f>
        <v/>
      </c>
      <c r="AW78" s="10" t="n"/>
      <c r="AX78" s="9">
        <f>A78</f>
        <v/>
      </c>
      <c r="AY78" s="9">
        <f>0</f>
        <v/>
      </c>
      <c r="AZ78" s="9">
        <f>IF(OR(Inputs!$F$6=TRUE,Inputs!$F$6="TRUE",Inputs!$F$6=1),(Inputs!$H$6+Inputs!$L$6*(((Inputs!$I$6+(((A78)+1)/2)*(Inputs!$J$6-Inputs!$I$6)))/Inputs!$K$6)^2),NA())</f>
        <v/>
      </c>
      <c r="BA78" s="9">
        <f>IF(OR(Inputs!$F$7=TRUE,Inputs!$F$7="TRUE",Inputs!$F$7=1),(Inputs!$H$7+Inputs!$L$7*(((Inputs!$I$7+(((A78)+1)/2)*(Inputs!$J$7-Inputs!$I$7)))/Inputs!$K$7)^2),NA())</f>
        <v/>
      </c>
      <c r="BB78" s="9">
        <f>IF(OR(Inputs!$F$8=TRUE,Inputs!$F$8="TRUE",Inputs!$F$8=1),(Inputs!$H$8+Inputs!$L$8*(((Inputs!$I$8+(((A78)+1)/2)*(Inputs!$J$8-Inputs!$I$8)))/Inputs!$K$8)^2),NA())</f>
        <v/>
      </c>
      <c r="BC78" s="9">
        <f>IF(OR(Inputs!$F$9=TRUE,Inputs!$F$9="TRUE",Inputs!$F$9=1),(Inputs!$H$9+Inputs!$L$9*(((Inputs!$I$9+(((A78)+1)/2)*(Inputs!$J$9-Inputs!$I$9)))/Inputs!$K$9)^2),NA())</f>
        <v/>
      </c>
      <c r="BD78" s="10" t="n"/>
      <c r="BE78" s="9">
        <f>A78</f>
        <v/>
      </c>
      <c r="BF78" s="9">
        <f>0</f>
        <v/>
      </c>
      <c r="BG78" s="9">
        <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f>
        <v/>
      </c>
      <c r="BH78" s="9">
        <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f>
        <v/>
      </c>
      <c r="BI78" s="9">
        <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f>
        <v/>
      </c>
      <c r="BJ78" s="9">
        <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f>
        <v/>
      </c>
    </row>
    <row r="79">
      <c r="A79" s="9">
        <f>ROUND(-1+77*2/240,3)</f>
        <v/>
      </c>
      <c r="B79" s="9">
        <f>IF(OR(Inputs!$F$6=TRUE,Inputs!$F$6="TRUE",Inputs!$F$6=1),(Inputs!$H$6+Inputs!$L$6*(((Inputs!$I$6+(((A79)+1)/2)*(Inputs!$J$6-Inputs!$I$6)))/Inputs!$K$6)^2),NA())</f>
        <v/>
      </c>
      <c r="C79" s="9">
        <f>IF(OR(Inputs!$F$7=TRUE,Inputs!$F$7="TRUE",Inputs!$F$7=1),(Inputs!$H$7+Inputs!$L$7*(((Inputs!$I$7+(((A79)+1)/2)*(Inputs!$J$7-Inputs!$I$7)))/Inputs!$K$7)^2),NA())</f>
        <v/>
      </c>
      <c r="D79" s="9">
        <f>IF(OR(Inputs!$F$8=TRUE,Inputs!$F$8="TRUE",Inputs!$F$8=1),(Inputs!$H$8+Inputs!$L$8*(((Inputs!$I$8+(((A79)+1)/2)*(Inputs!$J$8-Inputs!$I$8)))/Inputs!$K$8)^2),NA())</f>
        <v/>
      </c>
      <c r="E79" s="9">
        <f>IF(OR(Inputs!$F$9=TRUE,Inputs!$F$9="TRUE",Inputs!$F$9=1),(Inputs!$H$9+Inputs!$L$9*(((Inputs!$I$9+(((A79)+1)/2)*(Inputs!$J$9-Inputs!$I$9)))/Inputs!$K$9)^2),NA())</f>
        <v/>
      </c>
      <c r="F79" s="10" t="n"/>
      <c r="G79" s="9">
        <f>A79</f>
        <v/>
      </c>
      <c r="H79" s="9">
        <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f>
        <v/>
      </c>
      <c r="I79" s="9">
        <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f>
        <v/>
      </c>
      <c r="J79" s="9">
        <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f>
        <v/>
      </c>
      <c r="K79" s="9">
        <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f>
        <v/>
      </c>
      <c r="L79" s="10" t="n"/>
      <c r="M79" s="9">
        <f>A79</f>
        <v/>
      </c>
      <c r="N79" s="9">
        <f>IF(OR(Inputs!$F$6=TRUE,Inputs!$F$6="TRUE",Inputs!$F$6=1),(-2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NA())</f>
        <v/>
      </c>
      <c r="O79" s="9">
        <f>IF(OR(Inputs!$F$7=TRUE,Inputs!$F$7="TRUE",Inputs!$F$7=1),(-2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NA())</f>
        <v/>
      </c>
      <c r="P79" s="9">
        <f>IF(OR(Inputs!$F$8=TRUE,Inputs!$F$8="TRUE",Inputs!$F$8=1),(-2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NA())</f>
        <v/>
      </c>
      <c r="Q79" s="9">
        <f>IF(OR(Inputs!$F$9=TRUE,Inputs!$F$9="TRUE",Inputs!$F$9=1),(-2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NA())</f>
        <v/>
      </c>
      <c r="R79" s="10" t="n"/>
      <c r="S79" s="9">
        <f>A79</f>
        <v/>
      </c>
      <c r="T79" s="9">
        <f>(Inputs!$I$6+(((A79)+1)/2)*(Inputs!$J$6-Inputs!$I$6))</f>
        <v/>
      </c>
      <c r="U79" s="9">
        <f>(Inputs!$I$7+(((A79)+1)/2)*(Inputs!$J$7-Inputs!$I$7))</f>
        <v/>
      </c>
      <c r="V79" s="9">
        <f>(Inputs!$I$8+(((A79)+1)/2)*(Inputs!$J$8-Inputs!$I$8))</f>
        <v/>
      </c>
      <c r="W79" s="9">
        <f>(Inputs!$I$9+(((A79)+1)/2)*(Inputs!$J$9-Inputs!$I$9))</f>
        <v/>
      </c>
      <c r="X79" s="10" t="n"/>
      <c r="Y79" s="9">
        <f>A79</f>
        <v/>
      </c>
      <c r="Z79" s="9">
        <f>(Inputs!$H$6+Inputs!$L$6*(((Inputs!$I$6+(((A79)+1)/2)*(Inputs!$J$6-Inputs!$I$6)))/Inputs!$K$6)^2)</f>
        <v/>
      </c>
      <c r="AA79" s="9">
        <f>(Inputs!$H$7+Inputs!$L$7*(((Inputs!$I$7+(((A79)+1)/2)*(Inputs!$J$7-Inputs!$I$7)))/Inputs!$K$7)^2)</f>
        <v/>
      </c>
      <c r="AB79" s="9">
        <f>(Inputs!$H$8+Inputs!$L$8*(((Inputs!$I$8+(((A79)+1)/2)*(Inputs!$J$8-Inputs!$I$8)))/Inputs!$K$8)^2)</f>
        <v/>
      </c>
      <c r="AC79" s="9">
        <f>(Inputs!$H$9+Inputs!$L$9*(((Inputs!$I$9+(((A79)+1)/2)*(Inputs!$J$9-Inputs!$I$9)))/Inputs!$K$9)^2)</f>
        <v/>
      </c>
      <c r="AD79" s="10" t="n"/>
      <c r="AE79" s="9">
        <f>A79</f>
        <v/>
      </c>
      <c r="AF79" s="9">
        <f>(((SQRT((Inputs!$C$52+((Inputs!$H$6+Inputs!$L$6*(((Inputs!$I$6+(((A79)+1)/2)*(Inputs!$J$6-Inputs!$I$6)))/Inputs!$K$6)^2)))^2+Inputs!$C$52^2-2*(Inputs!$C$52+((Inputs!$H$6+Inputs!$L$6*(((Inputs!$I$6+(((A79)+1)/2)*(Inputs!$J$6-Inputs!$I$6)))/Inputs!$K$6)^2)))*Inputs!$C$52*COS(SQRT(((Inputs!$I$6+(((A79)+1)/2)*(Inputs!$J$6-Inputs!$I$6)))^2+Inputs!$C$6^2)/Inputs!$C$52)))-((Inputs!$H$6+Inputs!$L$6*(((Inputs!$I$6+(((A79)+1)/2)*(Inputs!$J$6-Inputs!$I$6)))/Inputs!$K$6)^2)))*1000/Inputs!$C$12)</f>
        <v/>
      </c>
      <c r="AG79" s="9">
        <f>(((SQRT((Inputs!$C$52+((Inputs!$H$7+Inputs!$L$7*(((Inputs!$I$7+(((A79)+1)/2)*(Inputs!$J$7-Inputs!$I$7)))/Inputs!$K$7)^2)))^2+Inputs!$C$52^2-2*(Inputs!$C$52+((Inputs!$H$7+Inputs!$L$7*(((Inputs!$I$7+(((A79)+1)/2)*(Inputs!$J$7-Inputs!$I$7)))/Inputs!$K$7)^2)))*Inputs!$C$52*COS(SQRT(((Inputs!$I$7+(((A79)+1)/2)*(Inputs!$J$7-Inputs!$I$7)))^2+Inputs!$C$6^2)/Inputs!$C$52)))-((Inputs!$H$7+Inputs!$L$7*(((Inputs!$I$7+(((A79)+1)/2)*(Inputs!$J$7-Inputs!$I$7)))/Inputs!$K$7)^2)))*1000/Inputs!$C$12)</f>
        <v/>
      </c>
      <c r="AH79" s="9">
        <f>(((SQRT((Inputs!$C$52+((Inputs!$H$8+Inputs!$L$8*(((Inputs!$I$8+(((A79)+1)/2)*(Inputs!$J$8-Inputs!$I$8)))/Inputs!$K$8)^2)))^2+Inputs!$C$52^2-2*(Inputs!$C$52+((Inputs!$H$8+Inputs!$L$8*(((Inputs!$I$8+(((A79)+1)/2)*(Inputs!$J$8-Inputs!$I$8)))/Inputs!$K$8)^2)))*Inputs!$C$52*COS(SQRT(((Inputs!$I$8+(((A79)+1)/2)*(Inputs!$J$8-Inputs!$I$8)))^2+Inputs!$C$6^2)/Inputs!$C$52)))-((Inputs!$H$8+Inputs!$L$8*(((Inputs!$I$8+(((A79)+1)/2)*(Inputs!$J$8-Inputs!$I$8)))/Inputs!$K$8)^2)))*1000/Inputs!$C$12)</f>
        <v/>
      </c>
      <c r="AI79" s="9">
        <f>(((SQRT((Inputs!$C$52+((Inputs!$H$9+Inputs!$L$9*(((Inputs!$I$9+(((A79)+1)/2)*(Inputs!$J$9-Inputs!$I$9)))/Inputs!$K$9)^2)))^2+Inputs!$C$52^2-2*(Inputs!$C$52+((Inputs!$H$9+Inputs!$L$9*(((Inputs!$I$9+(((A79)+1)/2)*(Inputs!$J$9-Inputs!$I$9)))/Inputs!$K$9)^2)))*Inputs!$C$52*COS(SQRT(((Inputs!$I$9+(((A79)+1)/2)*(Inputs!$J$9-Inputs!$I$9)))^2+Inputs!$C$6^2)/Inputs!$C$52)))-((Inputs!$H$9+Inputs!$L$9*(((Inputs!$I$9+(((A79)+1)/2)*(Inputs!$J$9-Inputs!$I$9)))/Inputs!$K$9)^2)))*1000/Inputs!$C$12)</f>
        <v/>
      </c>
      <c r="AJ79" s="10" t="n"/>
      <c r="AK79" s="9">
        <f>A79</f>
        <v/>
      </c>
      <c r="AL79" s="9">
        <f>(-2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f>
        <v/>
      </c>
      <c r="AM79" s="9">
        <f>(-2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f>
        <v/>
      </c>
      <c r="AN79" s="9">
        <f>(-2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f>
        <v/>
      </c>
      <c r="AO79" s="9">
        <f>(-2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f>
        <v/>
      </c>
      <c r="AP79" s="10" t="n"/>
      <c r="AQ79" s="9">
        <f>A79</f>
        <v/>
      </c>
      <c r="AR79" s="9">
        <f>0</f>
        <v/>
      </c>
      <c r="AS79" s="9">
        <f>IF(OR(Inputs!$F$6=TRUE,Inputs!$F$6="TRUE",Inputs!$F$6=1),IF(OR(Inputs!$C$27=TRUE,Inputs!$C$27="TRUE",Inputs!$C$27=1),1,0)*(Inputs!$C$51*(115*EXP(-(((Inputs!$C$6)-25)^2)/(4.5^2))+70*EXP(-(((Inputs!$C$6)+38)^2)/(7^2))*(0.55+0.45*SIN(2*PI()*((Inputs!$I$6+(((A79)+1)/2)*(Inputs!$J$6-Inputs!$I$6)))/45))+24*SIN(2*PI()*(Inputs!$C$6)/9+((Inputs!$I$6+(((A79)+1)/2)*(Inputs!$J$6-Inputs!$I$6)))/18)*EXP(-(((Inputs!$C$6)+5)^2)/(22^2))+18*SIN(2*PI()*((Inputs!$I$6+(((A79)+1)/2)*(Inputs!$J$6-Inputs!$I$6)))/70))+Inputs!$C$28*EXP(-((((Inputs!$I$6+(((A79)+1)/2)*(Inputs!$J$6-Inputs!$I$6)))-Inputs!$C$29)^2)/(2*Inputs!$C$31^2))*EXP(-(((Inputs!$C$6)-Inputs!$C$30)^2)/(2*Inputs!$C$32^2))+-Inputs!$C$33*EXP(-((((((Inputs!$I$6+(((A79)+1)/2)*(Inputs!$J$6-Inputs!$I$6)))-Inputs!$C$34)^2)+(((Inputs!$C$6)-Inputs!$C$35)^2))/(2*Inputs!$C$36^2)))+Inputs!$C$37*(0.55*SIN(2*PI()*((Inputs!$I$6+(((A79)+1)/2)*(Inputs!$J$6-Inputs!$I$6)))/Inputs!$C$39)+0.35*COS(2*PI()*(Inputs!$C$6)/Inputs!$C$40)+0.2*SIN(2*PI()*(((Inputs!$I$6+(((A79)+1)/2)*(Inputs!$J$6-Inputs!$I$6)))+(Inputs!$C$6))/(0.5*(Inputs!$C$39+Inputs!$C$40))))+Inputs!$C$38*SIN(2*PI()*((Inputs!$I$6+(((A79)+1)/2)*(Inputs!$J$6-Inputs!$I$6)))/Inputs!$C$39)*SIN(2*PI()*(Inputs!$C$6)/Inputs!$C$40)+-Inputs!$C$41*EXP(-(((Inputs!$C$6)-Inputs!$C$43)^2)/(2*Inputs!$C$44^2))*EXP(-((((Inputs!$I$6+(((A79)+1)/2)*(Inputs!$J$6-Inputs!$I$6)))-Inputs!$C$42)^2)/(2*Inputs!$C$45^2))+Inputs!$C$48*(0.7*(0.45*SIN(2*PI()*((((Inputs!$I$6+(((A79)+1)/2)*(Inputs!$J$6-Inputs!$I$6)))/Inputs!$C$49)+Inputs!$C$47*0.137))+0.35*COS(2*PI()*(((Inputs!$C$6)/Inputs!$C$50)+Inputs!$C$47*0.173))+0.2*SIN(2*PI()*((((Inputs!$I$6+(((A79)+1)/2)*(Inputs!$J$6-Inputs!$I$6)))+(Inputs!$C$6))/(0.5*(Inputs!$C$49+Inputs!$C$50))+Inputs!$C$47*0.097)))+0.3*(2*((SIN((((Inputs!$I$6+(((A79)+1)/2)*(Inputs!$J$6-Inputs!$I$6)))*12.9898+(Inputs!$C$6)*78.233+Inputs!$C$47*37.719))*43758.5453)-INT((SIN((((Inputs!$I$6+(((A79)+1)/2)*(Inputs!$J$6-Inputs!$I$6)))*12.9898+(Inputs!$C$6)*78.233+Inputs!$C$47*37.719))*43758.5453)))-1))),NA())</f>
        <v/>
      </c>
      <c r="AT79" s="9">
        <f>IF(OR(Inputs!$F$7=TRUE,Inputs!$F$7="TRUE",Inputs!$F$7=1),IF(OR(Inputs!$C$27=TRUE,Inputs!$C$27="TRUE",Inputs!$C$27=1),1,0)*(Inputs!$C$51*(115*EXP(-(((Inputs!$C$6)-25)^2)/(4.5^2))+70*EXP(-(((Inputs!$C$6)+38)^2)/(7^2))*(0.55+0.45*SIN(2*PI()*((Inputs!$I$7+(((A79)+1)/2)*(Inputs!$J$7-Inputs!$I$7)))/45))+24*SIN(2*PI()*(Inputs!$C$6)/9+((Inputs!$I$7+(((A79)+1)/2)*(Inputs!$J$7-Inputs!$I$7)))/18)*EXP(-(((Inputs!$C$6)+5)^2)/(22^2))+18*SIN(2*PI()*((Inputs!$I$7+(((A79)+1)/2)*(Inputs!$J$7-Inputs!$I$7)))/70))+Inputs!$C$28*EXP(-((((Inputs!$I$7+(((A79)+1)/2)*(Inputs!$J$7-Inputs!$I$7)))-Inputs!$C$29)^2)/(2*Inputs!$C$31^2))*EXP(-(((Inputs!$C$6)-Inputs!$C$30)^2)/(2*Inputs!$C$32^2))+-Inputs!$C$33*EXP(-((((((Inputs!$I$7+(((A79)+1)/2)*(Inputs!$J$7-Inputs!$I$7)))-Inputs!$C$34)^2)+(((Inputs!$C$6)-Inputs!$C$35)^2))/(2*Inputs!$C$36^2)))+Inputs!$C$37*(0.55*SIN(2*PI()*((Inputs!$I$7+(((A79)+1)/2)*(Inputs!$J$7-Inputs!$I$7)))/Inputs!$C$39)+0.35*COS(2*PI()*(Inputs!$C$6)/Inputs!$C$40)+0.2*SIN(2*PI()*(((Inputs!$I$7+(((A79)+1)/2)*(Inputs!$J$7-Inputs!$I$7)))+(Inputs!$C$6))/(0.5*(Inputs!$C$39+Inputs!$C$40))))+Inputs!$C$38*SIN(2*PI()*((Inputs!$I$7+(((A79)+1)/2)*(Inputs!$J$7-Inputs!$I$7)))/Inputs!$C$39)*SIN(2*PI()*(Inputs!$C$6)/Inputs!$C$40)+-Inputs!$C$41*EXP(-(((Inputs!$C$6)-Inputs!$C$43)^2)/(2*Inputs!$C$44^2))*EXP(-((((Inputs!$I$7+(((A79)+1)/2)*(Inputs!$J$7-Inputs!$I$7)))-Inputs!$C$42)^2)/(2*Inputs!$C$45^2))+Inputs!$C$48*(0.7*(0.45*SIN(2*PI()*((((Inputs!$I$7+(((A79)+1)/2)*(Inputs!$J$7-Inputs!$I$7)))/Inputs!$C$49)+Inputs!$C$47*0.137))+0.35*COS(2*PI()*(((Inputs!$C$6)/Inputs!$C$50)+Inputs!$C$47*0.173))+0.2*SIN(2*PI()*((((Inputs!$I$7+(((A79)+1)/2)*(Inputs!$J$7-Inputs!$I$7)))+(Inputs!$C$6))/(0.5*(Inputs!$C$49+Inputs!$C$50))+Inputs!$C$47*0.097)))+0.3*(2*((SIN((((Inputs!$I$7+(((A79)+1)/2)*(Inputs!$J$7-Inputs!$I$7)))*12.9898+(Inputs!$C$6)*78.233+Inputs!$C$47*37.719))*43758.5453)-INT((SIN((((Inputs!$I$7+(((A79)+1)/2)*(Inputs!$J$7-Inputs!$I$7)))*12.9898+(Inputs!$C$6)*78.233+Inputs!$C$47*37.719))*43758.5453)))-1))),NA())</f>
        <v/>
      </c>
      <c r="AU79" s="9">
        <f>IF(OR(Inputs!$F$8=TRUE,Inputs!$F$8="TRUE",Inputs!$F$8=1),IF(OR(Inputs!$C$27=TRUE,Inputs!$C$27="TRUE",Inputs!$C$27=1),1,0)*(Inputs!$C$51*(115*EXP(-(((Inputs!$C$6)-25)^2)/(4.5^2))+70*EXP(-(((Inputs!$C$6)+38)^2)/(7^2))*(0.55+0.45*SIN(2*PI()*((Inputs!$I$8+(((A79)+1)/2)*(Inputs!$J$8-Inputs!$I$8)))/45))+24*SIN(2*PI()*(Inputs!$C$6)/9+((Inputs!$I$8+(((A79)+1)/2)*(Inputs!$J$8-Inputs!$I$8)))/18)*EXP(-(((Inputs!$C$6)+5)^2)/(22^2))+18*SIN(2*PI()*((Inputs!$I$8+(((A79)+1)/2)*(Inputs!$J$8-Inputs!$I$8)))/70))+Inputs!$C$28*EXP(-((((Inputs!$I$8+(((A79)+1)/2)*(Inputs!$J$8-Inputs!$I$8)))-Inputs!$C$29)^2)/(2*Inputs!$C$31^2))*EXP(-(((Inputs!$C$6)-Inputs!$C$30)^2)/(2*Inputs!$C$32^2))+-Inputs!$C$33*EXP(-((((((Inputs!$I$8+(((A79)+1)/2)*(Inputs!$J$8-Inputs!$I$8)))-Inputs!$C$34)^2)+(((Inputs!$C$6)-Inputs!$C$35)^2))/(2*Inputs!$C$36^2)))+Inputs!$C$37*(0.55*SIN(2*PI()*((Inputs!$I$8+(((A79)+1)/2)*(Inputs!$J$8-Inputs!$I$8)))/Inputs!$C$39)+0.35*COS(2*PI()*(Inputs!$C$6)/Inputs!$C$40)+0.2*SIN(2*PI()*(((Inputs!$I$8+(((A79)+1)/2)*(Inputs!$J$8-Inputs!$I$8)))+(Inputs!$C$6))/(0.5*(Inputs!$C$39+Inputs!$C$40))))+Inputs!$C$38*SIN(2*PI()*((Inputs!$I$8+(((A79)+1)/2)*(Inputs!$J$8-Inputs!$I$8)))/Inputs!$C$39)*SIN(2*PI()*(Inputs!$C$6)/Inputs!$C$40)+-Inputs!$C$41*EXP(-(((Inputs!$C$6)-Inputs!$C$43)^2)/(2*Inputs!$C$44^2))*EXP(-((((Inputs!$I$8+(((A79)+1)/2)*(Inputs!$J$8-Inputs!$I$8)))-Inputs!$C$42)^2)/(2*Inputs!$C$45^2))+Inputs!$C$48*(0.7*(0.45*SIN(2*PI()*((((Inputs!$I$8+(((A79)+1)/2)*(Inputs!$J$8-Inputs!$I$8)))/Inputs!$C$49)+Inputs!$C$47*0.137))+0.35*COS(2*PI()*(((Inputs!$C$6)/Inputs!$C$50)+Inputs!$C$47*0.173))+0.2*SIN(2*PI()*((((Inputs!$I$8+(((A79)+1)/2)*(Inputs!$J$8-Inputs!$I$8)))+(Inputs!$C$6))/(0.5*(Inputs!$C$49+Inputs!$C$50))+Inputs!$C$47*0.097)))+0.3*(2*((SIN((((Inputs!$I$8+(((A79)+1)/2)*(Inputs!$J$8-Inputs!$I$8)))*12.9898+(Inputs!$C$6)*78.233+Inputs!$C$47*37.719))*43758.5453)-INT((SIN((((Inputs!$I$8+(((A79)+1)/2)*(Inputs!$J$8-Inputs!$I$8)))*12.9898+(Inputs!$C$6)*78.233+Inputs!$C$47*37.719))*43758.5453)))-1))),NA())</f>
        <v/>
      </c>
      <c r="AV79" s="9">
        <f>IF(OR(Inputs!$F$9=TRUE,Inputs!$F$9="TRUE",Inputs!$F$9=1),IF(OR(Inputs!$C$27=TRUE,Inputs!$C$27="TRUE",Inputs!$C$27=1),1,0)*(Inputs!$C$51*(115*EXP(-(((Inputs!$C$6)-25)^2)/(4.5^2))+70*EXP(-(((Inputs!$C$6)+38)^2)/(7^2))*(0.55+0.45*SIN(2*PI()*((Inputs!$I$9+(((A79)+1)/2)*(Inputs!$J$9-Inputs!$I$9)))/45))+24*SIN(2*PI()*(Inputs!$C$6)/9+((Inputs!$I$9+(((A79)+1)/2)*(Inputs!$J$9-Inputs!$I$9)))/18)*EXP(-(((Inputs!$C$6)+5)^2)/(22^2))+18*SIN(2*PI()*((Inputs!$I$9+(((A79)+1)/2)*(Inputs!$J$9-Inputs!$I$9)))/70))+Inputs!$C$28*EXP(-((((Inputs!$I$9+(((A79)+1)/2)*(Inputs!$J$9-Inputs!$I$9)))-Inputs!$C$29)^2)/(2*Inputs!$C$31^2))*EXP(-(((Inputs!$C$6)-Inputs!$C$30)^2)/(2*Inputs!$C$32^2))+-Inputs!$C$33*EXP(-((((((Inputs!$I$9+(((A79)+1)/2)*(Inputs!$J$9-Inputs!$I$9)))-Inputs!$C$34)^2)+(((Inputs!$C$6)-Inputs!$C$35)^2))/(2*Inputs!$C$36^2)))+Inputs!$C$37*(0.55*SIN(2*PI()*((Inputs!$I$9+(((A79)+1)/2)*(Inputs!$J$9-Inputs!$I$9)))/Inputs!$C$39)+0.35*COS(2*PI()*(Inputs!$C$6)/Inputs!$C$40)+0.2*SIN(2*PI()*(((Inputs!$I$9+(((A79)+1)/2)*(Inputs!$J$9-Inputs!$I$9)))+(Inputs!$C$6))/(0.5*(Inputs!$C$39+Inputs!$C$40))))+Inputs!$C$38*SIN(2*PI()*((Inputs!$I$9+(((A79)+1)/2)*(Inputs!$J$9-Inputs!$I$9)))/Inputs!$C$39)*SIN(2*PI()*(Inputs!$C$6)/Inputs!$C$40)+-Inputs!$C$41*EXP(-(((Inputs!$C$6)-Inputs!$C$43)^2)/(2*Inputs!$C$44^2))*EXP(-((((Inputs!$I$9+(((A79)+1)/2)*(Inputs!$J$9-Inputs!$I$9)))-Inputs!$C$42)^2)/(2*Inputs!$C$45^2))+Inputs!$C$48*(0.7*(0.45*SIN(2*PI()*((((Inputs!$I$9+(((A79)+1)/2)*(Inputs!$J$9-Inputs!$I$9)))/Inputs!$C$49)+Inputs!$C$47*0.137))+0.35*COS(2*PI()*(((Inputs!$C$6)/Inputs!$C$50)+Inputs!$C$47*0.173))+0.2*SIN(2*PI()*((((Inputs!$I$9+(((A79)+1)/2)*(Inputs!$J$9-Inputs!$I$9)))+(Inputs!$C$6))/(0.5*(Inputs!$C$49+Inputs!$C$50))+Inputs!$C$47*0.097)))+0.3*(2*((SIN((((Inputs!$I$9+(((A79)+1)/2)*(Inputs!$J$9-Inputs!$I$9)))*12.9898+(Inputs!$C$6)*78.233+Inputs!$C$47*37.719))*43758.5453)-INT((SIN((((Inputs!$I$9+(((A79)+1)/2)*(Inputs!$J$9-Inputs!$I$9)))*12.9898+(Inputs!$C$6)*78.233+Inputs!$C$47*37.719))*43758.5453)))-1))),NA())</f>
        <v/>
      </c>
      <c r="AW79" s="10" t="n"/>
      <c r="AX79" s="9">
        <f>A79</f>
        <v/>
      </c>
      <c r="AY79" s="9">
        <f>0</f>
        <v/>
      </c>
      <c r="AZ79" s="9">
        <f>IF(OR(Inputs!$F$6=TRUE,Inputs!$F$6="TRUE",Inputs!$F$6=1),(Inputs!$H$6+Inputs!$L$6*(((Inputs!$I$6+(((A79)+1)/2)*(Inputs!$J$6-Inputs!$I$6)))/Inputs!$K$6)^2),NA())</f>
        <v/>
      </c>
      <c r="BA79" s="9">
        <f>IF(OR(Inputs!$F$7=TRUE,Inputs!$F$7="TRUE",Inputs!$F$7=1),(Inputs!$H$7+Inputs!$L$7*(((Inputs!$I$7+(((A79)+1)/2)*(Inputs!$J$7-Inputs!$I$7)))/Inputs!$K$7)^2),NA())</f>
        <v/>
      </c>
      <c r="BB79" s="9">
        <f>IF(OR(Inputs!$F$8=TRUE,Inputs!$F$8="TRUE",Inputs!$F$8=1),(Inputs!$H$8+Inputs!$L$8*(((Inputs!$I$8+(((A79)+1)/2)*(Inputs!$J$8-Inputs!$I$8)))/Inputs!$K$8)^2),NA())</f>
        <v/>
      </c>
      <c r="BC79" s="9">
        <f>IF(OR(Inputs!$F$9=TRUE,Inputs!$F$9="TRUE",Inputs!$F$9=1),(Inputs!$H$9+Inputs!$L$9*(((Inputs!$I$9+(((A79)+1)/2)*(Inputs!$J$9-Inputs!$I$9)))/Inputs!$K$9)^2),NA())</f>
        <v/>
      </c>
      <c r="BD79" s="10" t="n"/>
      <c r="BE79" s="9">
        <f>A79</f>
        <v/>
      </c>
      <c r="BF79" s="9">
        <f>0</f>
        <v/>
      </c>
      <c r="BG79" s="9">
        <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f>
        <v/>
      </c>
      <c r="BH79" s="9">
        <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f>
        <v/>
      </c>
      <c r="BI79" s="9">
        <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f>
        <v/>
      </c>
      <c r="BJ79" s="9">
        <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f>
        <v/>
      </c>
    </row>
    <row r="80">
      <c r="A80" s="9">
        <f>ROUND(-1+78*2/240,3)</f>
        <v/>
      </c>
      <c r="B80" s="9">
        <f>IF(OR(Inputs!$F$6=TRUE,Inputs!$F$6="TRUE",Inputs!$F$6=1),(Inputs!$H$6+Inputs!$L$6*(((Inputs!$I$6+(((A80)+1)/2)*(Inputs!$J$6-Inputs!$I$6)))/Inputs!$K$6)^2),NA())</f>
        <v/>
      </c>
      <c r="C80" s="9">
        <f>IF(OR(Inputs!$F$7=TRUE,Inputs!$F$7="TRUE",Inputs!$F$7=1),(Inputs!$H$7+Inputs!$L$7*(((Inputs!$I$7+(((A80)+1)/2)*(Inputs!$J$7-Inputs!$I$7)))/Inputs!$K$7)^2),NA())</f>
        <v/>
      </c>
      <c r="D80" s="9">
        <f>IF(OR(Inputs!$F$8=TRUE,Inputs!$F$8="TRUE",Inputs!$F$8=1),(Inputs!$H$8+Inputs!$L$8*(((Inputs!$I$8+(((A80)+1)/2)*(Inputs!$J$8-Inputs!$I$8)))/Inputs!$K$8)^2),NA())</f>
        <v/>
      </c>
      <c r="E80" s="9">
        <f>IF(OR(Inputs!$F$9=TRUE,Inputs!$F$9="TRUE",Inputs!$F$9=1),(Inputs!$H$9+Inputs!$L$9*(((Inputs!$I$9+(((A80)+1)/2)*(Inputs!$J$9-Inputs!$I$9)))/Inputs!$K$9)^2),NA())</f>
        <v/>
      </c>
      <c r="F80" s="10" t="n"/>
      <c r="G80" s="9">
        <f>A80</f>
        <v/>
      </c>
      <c r="H80" s="9">
        <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f>
        <v/>
      </c>
      <c r="I80" s="9">
        <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f>
        <v/>
      </c>
      <c r="J80" s="9">
        <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f>
        <v/>
      </c>
      <c r="K80" s="9">
        <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f>
        <v/>
      </c>
      <c r="L80" s="10" t="n"/>
      <c r="M80" s="9">
        <f>A80</f>
        <v/>
      </c>
      <c r="N80" s="9">
        <f>IF(OR(Inputs!$F$6=TRUE,Inputs!$F$6="TRUE",Inputs!$F$6=1),(-2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NA())</f>
        <v/>
      </c>
      <c r="O80" s="9">
        <f>IF(OR(Inputs!$F$7=TRUE,Inputs!$F$7="TRUE",Inputs!$F$7=1),(-2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NA())</f>
        <v/>
      </c>
      <c r="P80" s="9">
        <f>IF(OR(Inputs!$F$8=TRUE,Inputs!$F$8="TRUE",Inputs!$F$8=1),(-2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NA())</f>
        <v/>
      </c>
      <c r="Q80" s="9">
        <f>IF(OR(Inputs!$F$9=TRUE,Inputs!$F$9="TRUE",Inputs!$F$9=1),(-2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NA())</f>
        <v/>
      </c>
      <c r="R80" s="10" t="n"/>
      <c r="S80" s="9">
        <f>A80</f>
        <v/>
      </c>
      <c r="T80" s="9">
        <f>(Inputs!$I$6+(((A80)+1)/2)*(Inputs!$J$6-Inputs!$I$6))</f>
        <v/>
      </c>
      <c r="U80" s="9">
        <f>(Inputs!$I$7+(((A80)+1)/2)*(Inputs!$J$7-Inputs!$I$7))</f>
        <v/>
      </c>
      <c r="V80" s="9">
        <f>(Inputs!$I$8+(((A80)+1)/2)*(Inputs!$J$8-Inputs!$I$8))</f>
        <v/>
      </c>
      <c r="W80" s="9">
        <f>(Inputs!$I$9+(((A80)+1)/2)*(Inputs!$J$9-Inputs!$I$9))</f>
        <v/>
      </c>
      <c r="X80" s="10" t="n"/>
      <c r="Y80" s="9">
        <f>A80</f>
        <v/>
      </c>
      <c r="Z80" s="9">
        <f>(Inputs!$H$6+Inputs!$L$6*(((Inputs!$I$6+(((A80)+1)/2)*(Inputs!$J$6-Inputs!$I$6)))/Inputs!$K$6)^2)</f>
        <v/>
      </c>
      <c r="AA80" s="9">
        <f>(Inputs!$H$7+Inputs!$L$7*(((Inputs!$I$7+(((A80)+1)/2)*(Inputs!$J$7-Inputs!$I$7)))/Inputs!$K$7)^2)</f>
        <v/>
      </c>
      <c r="AB80" s="9">
        <f>(Inputs!$H$8+Inputs!$L$8*(((Inputs!$I$8+(((A80)+1)/2)*(Inputs!$J$8-Inputs!$I$8)))/Inputs!$K$8)^2)</f>
        <v/>
      </c>
      <c r="AC80" s="9">
        <f>(Inputs!$H$9+Inputs!$L$9*(((Inputs!$I$9+(((A80)+1)/2)*(Inputs!$J$9-Inputs!$I$9)))/Inputs!$K$9)^2)</f>
        <v/>
      </c>
      <c r="AD80" s="10" t="n"/>
      <c r="AE80" s="9">
        <f>A80</f>
        <v/>
      </c>
      <c r="AF80" s="9">
        <f>(((SQRT((Inputs!$C$52+((Inputs!$H$6+Inputs!$L$6*(((Inputs!$I$6+(((A80)+1)/2)*(Inputs!$J$6-Inputs!$I$6)))/Inputs!$K$6)^2)))^2+Inputs!$C$52^2-2*(Inputs!$C$52+((Inputs!$H$6+Inputs!$L$6*(((Inputs!$I$6+(((A80)+1)/2)*(Inputs!$J$6-Inputs!$I$6)))/Inputs!$K$6)^2)))*Inputs!$C$52*COS(SQRT(((Inputs!$I$6+(((A80)+1)/2)*(Inputs!$J$6-Inputs!$I$6)))^2+Inputs!$C$6^2)/Inputs!$C$52)))-((Inputs!$H$6+Inputs!$L$6*(((Inputs!$I$6+(((A80)+1)/2)*(Inputs!$J$6-Inputs!$I$6)))/Inputs!$K$6)^2)))*1000/Inputs!$C$12)</f>
        <v/>
      </c>
      <c r="AG80" s="9">
        <f>(((SQRT((Inputs!$C$52+((Inputs!$H$7+Inputs!$L$7*(((Inputs!$I$7+(((A80)+1)/2)*(Inputs!$J$7-Inputs!$I$7)))/Inputs!$K$7)^2)))^2+Inputs!$C$52^2-2*(Inputs!$C$52+((Inputs!$H$7+Inputs!$L$7*(((Inputs!$I$7+(((A80)+1)/2)*(Inputs!$J$7-Inputs!$I$7)))/Inputs!$K$7)^2)))*Inputs!$C$52*COS(SQRT(((Inputs!$I$7+(((A80)+1)/2)*(Inputs!$J$7-Inputs!$I$7)))^2+Inputs!$C$6^2)/Inputs!$C$52)))-((Inputs!$H$7+Inputs!$L$7*(((Inputs!$I$7+(((A80)+1)/2)*(Inputs!$J$7-Inputs!$I$7)))/Inputs!$K$7)^2)))*1000/Inputs!$C$12)</f>
        <v/>
      </c>
      <c r="AH80" s="9">
        <f>(((SQRT((Inputs!$C$52+((Inputs!$H$8+Inputs!$L$8*(((Inputs!$I$8+(((A80)+1)/2)*(Inputs!$J$8-Inputs!$I$8)))/Inputs!$K$8)^2)))^2+Inputs!$C$52^2-2*(Inputs!$C$52+((Inputs!$H$8+Inputs!$L$8*(((Inputs!$I$8+(((A80)+1)/2)*(Inputs!$J$8-Inputs!$I$8)))/Inputs!$K$8)^2)))*Inputs!$C$52*COS(SQRT(((Inputs!$I$8+(((A80)+1)/2)*(Inputs!$J$8-Inputs!$I$8)))^2+Inputs!$C$6^2)/Inputs!$C$52)))-((Inputs!$H$8+Inputs!$L$8*(((Inputs!$I$8+(((A80)+1)/2)*(Inputs!$J$8-Inputs!$I$8)))/Inputs!$K$8)^2)))*1000/Inputs!$C$12)</f>
        <v/>
      </c>
      <c r="AI80" s="9">
        <f>(((SQRT((Inputs!$C$52+((Inputs!$H$9+Inputs!$L$9*(((Inputs!$I$9+(((A80)+1)/2)*(Inputs!$J$9-Inputs!$I$9)))/Inputs!$K$9)^2)))^2+Inputs!$C$52^2-2*(Inputs!$C$52+((Inputs!$H$9+Inputs!$L$9*(((Inputs!$I$9+(((A80)+1)/2)*(Inputs!$J$9-Inputs!$I$9)))/Inputs!$K$9)^2)))*Inputs!$C$52*COS(SQRT(((Inputs!$I$9+(((A80)+1)/2)*(Inputs!$J$9-Inputs!$I$9)))^2+Inputs!$C$6^2)/Inputs!$C$52)))-((Inputs!$H$9+Inputs!$L$9*(((Inputs!$I$9+(((A80)+1)/2)*(Inputs!$J$9-Inputs!$I$9)))/Inputs!$K$9)^2)))*1000/Inputs!$C$12)</f>
        <v/>
      </c>
      <c r="AJ80" s="10" t="n"/>
      <c r="AK80" s="9">
        <f>A80</f>
        <v/>
      </c>
      <c r="AL80" s="9">
        <f>(-2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f>
        <v/>
      </c>
      <c r="AM80" s="9">
        <f>(-2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f>
        <v/>
      </c>
      <c r="AN80" s="9">
        <f>(-2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f>
        <v/>
      </c>
      <c r="AO80" s="9">
        <f>(-2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f>
        <v/>
      </c>
      <c r="AP80" s="10" t="n"/>
      <c r="AQ80" s="9">
        <f>A80</f>
        <v/>
      </c>
      <c r="AR80" s="9">
        <f>0</f>
        <v/>
      </c>
      <c r="AS80" s="9">
        <f>IF(OR(Inputs!$F$6=TRUE,Inputs!$F$6="TRUE",Inputs!$F$6=1),IF(OR(Inputs!$C$27=TRUE,Inputs!$C$27="TRUE",Inputs!$C$27=1),1,0)*(Inputs!$C$51*(115*EXP(-(((Inputs!$C$6)-25)^2)/(4.5^2))+70*EXP(-(((Inputs!$C$6)+38)^2)/(7^2))*(0.55+0.45*SIN(2*PI()*((Inputs!$I$6+(((A80)+1)/2)*(Inputs!$J$6-Inputs!$I$6)))/45))+24*SIN(2*PI()*(Inputs!$C$6)/9+((Inputs!$I$6+(((A80)+1)/2)*(Inputs!$J$6-Inputs!$I$6)))/18)*EXP(-(((Inputs!$C$6)+5)^2)/(22^2))+18*SIN(2*PI()*((Inputs!$I$6+(((A80)+1)/2)*(Inputs!$J$6-Inputs!$I$6)))/70))+Inputs!$C$28*EXP(-((((Inputs!$I$6+(((A80)+1)/2)*(Inputs!$J$6-Inputs!$I$6)))-Inputs!$C$29)^2)/(2*Inputs!$C$31^2))*EXP(-(((Inputs!$C$6)-Inputs!$C$30)^2)/(2*Inputs!$C$32^2))+-Inputs!$C$33*EXP(-((((((Inputs!$I$6+(((A80)+1)/2)*(Inputs!$J$6-Inputs!$I$6)))-Inputs!$C$34)^2)+(((Inputs!$C$6)-Inputs!$C$35)^2))/(2*Inputs!$C$36^2)))+Inputs!$C$37*(0.55*SIN(2*PI()*((Inputs!$I$6+(((A80)+1)/2)*(Inputs!$J$6-Inputs!$I$6)))/Inputs!$C$39)+0.35*COS(2*PI()*(Inputs!$C$6)/Inputs!$C$40)+0.2*SIN(2*PI()*(((Inputs!$I$6+(((A80)+1)/2)*(Inputs!$J$6-Inputs!$I$6)))+(Inputs!$C$6))/(0.5*(Inputs!$C$39+Inputs!$C$40))))+Inputs!$C$38*SIN(2*PI()*((Inputs!$I$6+(((A80)+1)/2)*(Inputs!$J$6-Inputs!$I$6)))/Inputs!$C$39)*SIN(2*PI()*(Inputs!$C$6)/Inputs!$C$40)+-Inputs!$C$41*EXP(-(((Inputs!$C$6)-Inputs!$C$43)^2)/(2*Inputs!$C$44^2))*EXP(-((((Inputs!$I$6+(((A80)+1)/2)*(Inputs!$J$6-Inputs!$I$6)))-Inputs!$C$42)^2)/(2*Inputs!$C$45^2))+Inputs!$C$48*(0.7*(0.45*SIN(2*PI()*((((Inputs!$I$6+(((A80)+1)/2)*(Inputs!$J$6-Inputs!$I$6)))/Inputs!$C$49)+Inputs!$C$47*0.137))+0.35*COS(2*PI()*(((Inputs!$C$6)/Inputs!$C$50)+Inputs!$C$47*0.173))+0.2*SIN(2*PI()*((((Inputs!$I$6+(((A80)+1)/2)*(Inputs!$J$6-Inputs!$I$6)))+(Inputs!$C$6))/(0.5*(Inputs!$C$49+Inputs!$C$50))+Inputs!$C$47*0.097)))+0.3*(2*((SIN((((Inputs!$I$6+(((A80)+1)/2)*(Inputs!$J$6-Inputs!$I$6)))*12.9898+(Inputs!$C$6)*78.233+Inputs!$C$47*37.719))*43758.5453)-INT((SIN((((Inputs!$I$6+(((A80)+1)/2)*(Inputs!$J$6-Inputs!$I$6)))*12.9898+(Inputs!$C$6)*78.233+Inputs!$C$47*37.719))*43758.5453)))-1))),NA())</f>
        <v/>
      </c>
      <c r="AT80" s="9">
        <f>IF(OR(Inputs!$F$7=TRUE,Inputs!$F$7="TRUE",Inputs!$F$7=1),IF(OR(Inputs!$C$27=TRUE,Inputs!$C$27="TRUE",Inputs!$C$27=1),1,0)*(Inputs!$C$51*(115*EXP(-(((Inputs!$C$6)-25)^2)/(4.5^2))+70*EXP(-(((Inputs!$C$6)+38)^2)/(7^2))*(0.55+0.45*SIN(2*PI()*((Inputs!$I$7+(((A80)+1)/2)*(Inputs!$J$7-Inputs!$I$7)))/45))+24*SIN(2*PI()*(Inputs!$C$6)/9+((Inputs!$I$7+(((A80)+1)/2)*(Inputs!$J$7-Inputs!$I$7)))/18)*EXP(-(((Inputs!$C$6)+5)^2)/(22^2))+18*SIN(2*PI()*((Inputs!$I$7+(((A80)+1)/2)*(Inputs!$J$7-Inputs!$I$7)))/70))+Inputs!$C$28*EXP(-((((Inputs!$I$7+(((A80)+1)/2)*(Inputs!$J$7-Inputs!$I$7)))-Inputs!$C$29)^2)/(2*Inputs!$C$31^2))*EXP(-(((Inputs!$C$6)-Inputs!$C$30)^2)/(2*Inputs!$C$32^2))+-Inputs!$C$33*EXP(-((((((Inputs!$I$7+(((A80)+1)/2)*(Inputs!$J$7-Inputs!$I$7)))-Inputs!$C$34)^2)+(((Inputs!$C$6)-Inputs!$C$35)^2))/(2*Inputs!$C$36^2)))+Inputs!$C$37*(0.55*SIN(2*PI()*((Inputs!$I$7+(((A80)+1)/2)*(Inputs!$J$7-Inputs!$I$7)))/Inputs!$C$39)+0.35*COS(2*PI()*(Inputs!$C$6)/Inputs!$C$40)+0.2*SIN(2*PI()*(((Inputs!$I$7+(((A80)+1)/2)*(Inputs!$J$7-Inputs!$I$7)))+(Inputs!$C$6))/(0.5*(Inputs!$C$39+Inputs!$C$40))))+Inputs!$C$38*SIN(2*PI()*((Inputs!$I$7+(((A80)+1)/2)*(Inputs!$J$7-Inputs!$I$7)))/Inputs!$C$39)*SIN(2*PI()*(Inputs!$C$6)/Inputs!$C$40)+-Inputs!$C$41*EXP(-(((Inputs!$C$6)-Inputs!$C$43)^2)/(2*Inputs!$C$44^2))*EXP(-((((Inputs!$I$7+(((A80)+1)/2)*(Inputs!$J$7-Inputs!$I$7)))-Inputs!$C$42)^2)/(2*Inputs!$C$45^2))+Inputs!$C$48*(0.7*(0.45*SIN(2*PI()*((((Inputs!$I$7+(((A80)+1)/2)*(Inputs!$J$7-Inputs!$I$7)))/Inputs!$C$49)+Inputs!$C$47*0.137))+0.35*COS(2*PI()*(((Inputs!$C$6)/Inputs!$C$50)+Inputs!$C$47*0.173))+0.2*SIN(2*PI()*((((Inputs!$I$7+(((A80)+1)/2)*(Inputs!$J$7-Inputs!$I$7)))+(Inputs!$C$6))/(0.5*(Inputs!$C$49+Inputs!$C$50))+Inputs!$C$47*0.097)))+0.3*(2*((SIN((((Inputs!$I$7+(((A80)+1)/2)*(Inputs!$J$7-Inputs!$I$7)))*12.9898+(Inputs!$C$6)*78.233+Inputs!$C$47*37.719))*43758.5453)-INT((SIN((((Inputs!$I$7+(((A80)+1)/2)*(Inputs!$J$7-Inputs!$I$7)))*12.9898+(Inputs!$C$6)*78.233+Inputs!$C$47*37.719))*43758.5453)))-1))),NA())</f>
        <v/>
      </c>
      <c r="AU80" s="9">
        <f>IF(OR(Inputs!$F$8=TRUE,Inputs!$F$8="TRUE",Inputs!$F$8=1),IF(OR(Inputs!$C$27=TRUE,Inputs!$C$27="TRUE",Inputs!$C$27=1),1,0)*(Inputs!$C$51*(115*EXP(-(((Inputs!$C$6)-25)^2)/(4.5^2))+70*EXP(-(((Inputs!$C$6)+38)^2)/(7^2))*(0.55+0.45*SIN(2*PI()*((Inputs!$I$8+(((A80)+1)/2)*(Inputs!$J$8-Inputs!$I$8)))/45))+24*SIN(2*PI()*(Inputs!$C$6)/9+((Inputs!$I$8+(((A80)+1)/2)*(Inputs!$J$8-Inputs!$I$8)))/18)*EXP(-(((Inputs!$C$6)+5)^2)/(22^2))+18*SIN(2*PI()*((Inputs!$I$8+(((A80)+1)/2)*(Inputs!$J$8-Inputs!$I$8)))/70))+Inputs!$C$28*EXP(-((((Inputs!$I$8+(((A80)+1)/2)*(Inputs!$J$8-Inputs!$I$8)))-Inputs!$C$29)^2)/(2*Inputs!$C$31^2))*EXP(-(((Inputs!$C$6)-Inputs!$C$30)^2)/(2*Inputs!$C$32^2))+-Inputs!$C$33*EXP(-((((((Inputs!$I$8+(((A80)+1)/2)*(Inputs!$J$8-Inputs!$I$8)))-Inputs!$C$34)^2)+(((Inputs!$C$6)-Inputs!$C$35)^2))/(2*Inputs!$C$36^2)))+Inputs!$C$37*(0.55*SIN(2*PI()*((Inputs!$I$8+(((A80)+1)/2)*(Inputs!$J$8-Inputs!$I$8)))/Inputs!$C$39)+0.35*COS(2*PI()*(Inputs!$C$6)/Inputs!$C$40)+0.2*SIN(2*PI()*(((Inputs!$I$8+(((A80)+1)/2)*(Inputs!$J$8-Inputs!$I$8)))+(Inputs!$C$6))/(0.5*(Inputs!$C$39+Inputs!$C$40))))+Inputs!$C$38*SIN(2*PI()*((Inputs!$I$8+(((A80)+1)/2)*(Inputs!$J$8-Inputs!$I$8)))/Inputs!$C$39)*SIN(2*PI()*(Inputs!$C$6)/Inputs!$C$40)+-Inputs!$C$41*EXP(-(((Inputs!$C$6)-Inputs!$C$43)^2)/(2*Inputs!$C$44^2))*EXP(-((((Inputs!$I$8+(((A80)+1)/2)*(Inputs!$J$8-Inputs!$I$8)))-Inputs!$C$42)^2)/(2*Inputs!$C$45^2))+Inputs!$C$48*(0.7*(0.45*SIN(2*PI()*((((Inputs!$I$8+(((A80)+1)/2)*(Inputs!$J$8-Inputs!$I$8)))/Inputs!$C$49)+Inputs!$C$47*0.137))+0.35*COS(2*PI()*(((Inputs!$C$6)/Inputs!$C$50)+Inputs!$C$47*0.173))+0.2*SIN(2*PI()*((((Inputs!$I$8+(((A80)+1)/2)*(Inputs!$J$8-Inputs!$I$8)))+(Inputs!$C$6))/(0.5*(Inputs!$C$49+Inputs!$C$50))+Inputs!$C$47*0.097)))+0.3*(2*((SIN((((Inputs!$I$8+(((A80)+1)/2)*(Inputs!$J$8-Inputs!$I$8)))*12.9898+(Inputs!$C$6)*78.233+Inputs!$C$47*37.719))*43758.5453)-INT((SIN((((Inputs!$I$8+(((A80)+1)/2)*(Inputs!$J$8-Inputs!$I$8)))*12.9898+(Inputs!$C$6)*78.233+Inputs!$C$47*37.719))*43758.5453)))-1))),NA())</f>
        <v/>
      </c>
      <c r="AV80" s="9">
        <f>IF(OR(Inputs!$F$9=TRUE,Inputs!$F$9="TRUE",Inputs!$F$9=1),IF(OR(Inputs!$C$27=TRUE,Inputs!$C$27="TRUE",Inputs!$C$27=1),1,0)*(Inputs!$C$51*(115*EXP(-(((Inputs!$C$6)-25)^2)/(4.5^2))+70*EXP(-(((Inputs!$C$6)+38)^2)/(7^2))*(0.55+0.45*SIN(2*PI()*((Inputs!$I$9+(((A80)+1)/2)*(Inputs!$J$9-Inputs!$I$9)))/45))+24*SIN(2*PI()*(Inputs!$C$6)/9+((Inputs!$I$9+(((A80)+1)/2)*(Inputs!$J$9-Inputs!$I$9)))/18)*EXP(-(((Inputs!$C$6)+5)^2)/(22^2))+18*SIN(2*PI()*((Inputs!$I$9+(((A80)+1)/2)*(Inputs!$J$9-Inputs!$I$9)))/70))+Inputs!$C$28*EXP(-((((Inputs!$I$9+(((A80)+1)/2)*(Inputs!$J$9-Inputs!$I$9)))-Inputs!$C$29)^2)/(2*Inputs!$C$31^2))*EXP(-(((Inputs!$C$6)-Inputs!$C$30)^2)/(2*Inputs!$C$32^2))+-Inputs!$C$33*EXP(-((((((Inputs!$I$9+(((A80)+1)/2)*(Inputs!$J$9-Inputs!$I$9)))-Inputs!$C$34)^2)+(((Inputs!$C$6)-Inputs!$C$35)^2))/(2*Inputs!$C$36^2)))+Inputs!$C$37*(0.55*SIN(2*PI()*((Inputs!$I$9+(((A80)+1)/2)*(Inputs!$J$9-Inputs!$I$9)))/Inputs!$C$39)+0.35*COS(2*PI()*(Inputs!$C$6)/Inputs!$C$40)+0.2*SIN(2*PI()*(((Inputs!$I$9+(((A80)+1)/2)*(Inputs!$J$9-Inputs!$I$9)))+(Inputs!$C$6))/(0.5*(Inputs!$C$39+Inputs!$C$40))))+Inputs!$C$38*SIN(2*PI()*((Inputs!$I$9+(((A80)+1)/2)*(Inputs!$J$9-Inputs!$I$9)))/Inputs!$C$39)*SIN(2*PI()*(Inputs!$C$6)/Inputs!$C$40)+-Inputs!$C$41*EXP(-(((Inputs!$C$6)-Inputs!$C$43)^2)/(2*Inputs!$C$44^2))*EXP(-((((Inputs!$I$9+(((A80)+1)/2)*(Inputs!$J$9-Inputs!$I$9)))-Inputs!$C$42)^2)/(2*Inputs!$C$45^2))+Inputs!$C$48*(0.7*(0.45*SIN(2*PI()*((((Inputs!$I$9+(((A80)+1)/2)*(Inputs!$J$9-Inputs!$I$9)))/Inputs!$C$49)+Inputs!$C$47*0.137))+0.35*COS(2*PI()*(((Inputs!$C$6)/Inputs!$C$50)+Inputs!$C$47*0.173))+0.2*SIN(2*PI()*((((Inputs!$I$9+(((A80)+1)/2)*(Inputs!$J$9-Inputs!$I$9)))+(Inputs!$C$6))/(0.5*(Inputs!$C$49+Inputs!$C$50))+Inputs!$C$47*0.097)))+0.3*(2*((SIN((((Inputs!$I$9+(((A80)+1)/2)*(Inputs!$J$9-Inputs!$I$9)))*12.9898+(Inputs!$C$6)*78.233+Inputs!$C$47*37.719))*43758.5453)-INT((SIN((((Inputs!$I$9+(((A80)+1)/2)*(Inputs!$J$9-Inputs!$I$9)))*12.9898+(Inputs!$C$6)*78.233+Inputs!$C$47*37.719))*43758.5453)))-1))),NA())</f>
        <v/>
      </c>
      <c r="AW80" s="10" t="n"/>
      <c r="AX80" s="9">
        <f>A80</f>
        <v/>
      </c>
      <c r="AY80" s="9">
        <f>0</f>
        <v/>
      </c>
      <c r="AZ80" s="9">
        <f>IF(OR(Inputs!$F$6=TRUE,Inputs!$F$6="TRUE",Inputs!$F$6=1),(Inputs!$H$6+Inputs!$L$6*(((Inputs!$I$6+(((A80)+1)/2)*(Inputs!$J$6-Inputs!$I$6)))/Inputs!$K$6)^2),NA())</f>
        <v/>
      </c>
      <c r="BA80" s="9">
        <f>IF(OR(Inputs!$F$7=TRUE,Inputs!$F$7="TRUE",Inputs!$F$7=1),(Inputs!$H$7+Inputs!$L$7*(((Inputs!$I$7+(((A80)+1)/2)*(Inputs!$J$7-Inputs!$I$7)))/Inputs!$K$7)^2),NA())</f>
        <v/>
      </c>
      <c r="BB80" s="9">
        <f>IF(OR(Inputs!$F$8=TRUE,Inputs!$F$8="TRUE",Inputs!$F$8=1),(Inputs!$H$8+Inputs!$L$8*(((Inputs!$I$8+(((A80)+1)/2)*(Inputs!$J$8-Inputs!$I$8)))/Inputs!$K$8)^2),NA())</f>
        <v/>
      </c>
      <c r="BC80" s="9">
        <f>IF(OR(Inputs!$F$9=TRUE,Inputs!$F$9="TRUE",Inputs!$F$9=1),(Inputs!$H$9+Inputs!$L$9*(((Inputs!$I$9+(((A80)+1)/2)*(Inputs!$J$9-Inputs!$I$9)))/Inputs!$K$9)^2),NA())</f>
        <v/>
      </c>
      <c r="BD80" s="10" t="n"/>
      <c r="BE80" s="9">
        <f>A80</f>
        <v/>
      </c>
      <c r="BF80" s="9">
        <f>0</f>
        <v/>
      </c>
      <c r="BG80" s="9">
        <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f>
        <v/>
      </c>
      <c r="BH80" s="9">
        <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f>
        <v/>
      </c>
      <c r="BI80" s="9">
        <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f>
        <v/>
      </c>
      <c r="BJ80" s="9">
        <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f>
        <v/>
      </c>
    </row>
    <row r="81">
      <c r="A81" s="9">
        <f>ROUND(-1+79*2/240,3)</f>
        <v/>
      </c>
      <c r="B81" s="9">
        <f>IF(OR(Inputs!$F$6=TRUE,Inputs!$F$6="TRUE",Inputs!$F$6=1),(Inputs!$H$6+Inputs!$L$6*(((Inputs!$I$6+(((A81)+1)/2)*(Inputs!$J$6-Inputs!$I$6)))/Inputs!$K$6)^2),NA())</f>
        <v/>
      </c>
      <c r="C81" s="9">
        <f>IF(OR(Inputs!$F$7=TRUE,Inputs!$F$7="TRUE",Inputs!$F$7=1),(Inputs!$H$7+Inputs!$L$7*(((Inputs!$I$7+(((A81)+1)/2)*(Inputs!$J$7-Inputs!$I$7)))/Inputs!$K$7)^2),NA())</f>
        <v/>
      </c>
      <c r="D81" s="9">
        <f>IF(OR(Inputs!$F$8=TRUE,Inputs!$F$8="TRUE",Inputs!$F$8=1),(Inputs!$H$8+Inputs!$L$8*(((Inputs!$I$8+(((A81)+1)/2)*(Inputs!$J$8-Inputs!$I$8)))/Inputs!$K$8)^2),NA())</f>
        <v/>
      </c>
      <c r="E81" s="9">
        <f>IF(OR(Inputs!$F$9=TRUE,Inputs!$F$9="TRUE",Inputs!$F$9=1),(Inputs!$H$9+Inputs!$L$9*(((Inputs!$I$9+(((A81)+1)/2)*(Inputs!$J$9-Inputs!$I$9)))/Inputs!$K$9)^2),NA())</f>
        <v/>
      </c>
      <c r="F81" s="10" t="n"/>
      <c r="G81" s="9">
        <f>A81</f>
        <v/>
      </c>
      <c r="H81" s="9">
        <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f>
        <v/>
      </c>
      <c r="I81" s="9">
        <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f>
        <v/>
      </c>
      <c r="J81" s="9">
        <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f>
        <v/>
      </c>
      <c r="K81" s="9">
        <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f>
        <v/>
      </c>
      <c r="L81" s="10" t="n"/>
      <c r="M81" s="9">
        <f>A81</f>
        <v/>
      </c>
      <c r="N81" s="9">
        <f>IF(OR(Inputs!$F$6=TRUE,Inputs!$F$6="TRUE",Inputs!$F$6=1),(-2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NA())</f>
        <v/>
      </c>
      <c r="O81" s="9">
        <f>IF(OR(Inputs!$F$7=TRUE,Inputs!$F$7="TRUE",Inputs!$F$7=1),(-2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NA())</f>
        <v/>
      </c>
      <c r="P81" s="9">
        <f>IF(OR(Inputs!$F$8=TRUE,Inputs!$F$8="TRUE",Inputs!$F$8=1),(-2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NA())</f>
        <v/>
      </c>
      <c r="Q81" s="9">
        <f>IF(OR(Inputs!$F$9=TRUE,Inputs!$F$9="TRUE",Inputs!$F$9=1),(-2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NA())</f>
        <v/>
      </c>
      <c r="R81" s="10" t="n"/>
      <c r="S81" s="9">
        <f>A81</f>
        <v/>
      </c>
      <c r="T81" s="9">
        <f>(Inputs!$I$6+(((A81)+1)/2)*(Inputs!$J$6-Inputs!$I$6))</f>
        <v/>
      </c>
      <c r="U81" s="9">
        <f>(Inputs!$I$7+(((A81)+1)/2)*(Inputs!$J$7-Inputs!$I$7))</f>
        <v/>
      </c>
      <c r="V81" s="9">
        <f>(Inputs!$I$8+(((A81)+1)/2)*(Inputs!$J$8-Inputs!$I$8))</f>
        <v/>
      </c>
      <c r="W81" s="9">
        <f>(Inputs!$I$9+(((A81)+1)/2)*(Inputs!$J$9-Inputs!$I$9))</f>
        <v/>
      </c>
      <c r="X81" s="10" t="n"/>
      <c r="Y81" s="9">
        <f>A81</f>
        <v/>
      </c>
      <c r="Z81" s="9">
        <f>(Inputs!$H$6+Inputs!$L$6*(((Inputs!$I$6+(((A81)+1)/2)*(Inputs!$J$6-Inputs!$I$6)))/Inputs!$K$6)^2)</f>
        <v/>
      </c>
      <c r="AA81" s="9">
        <f>(Inputs!$H$7+Inputs!$L$7*(((Inputs!$I$7+(((A81)+1)/2)*(Inputs!$J$7-Inputs!$I$7)))/Inputs!$K$7)^2)</f>
        <v/>
      </c>
      <c r="AB81" s="9">
        <f>(Inputs!$H$8+Inputs!$L$8*(((Inputs!$I$8+(((A81)+1)/2)*(Inputs!$J$8-Inputs!$I$8)))/Inputs!$K$8)^2)</f>
        <v/>
      </c>
      <c r="AC81" s="9">
        <f>(Inputs!$H$9+Inputs!$L$9*(((Inputs!$I$9+(((A81)+1)/2)*(Inputs!$J$9-Inputs!$I$9)))/Inputs!$K$9)^2)</f>
        <v/>
      </c>
      <c r="AD81" s="10" t="n"/>
      <c r="AE81" s="9">
        <f>A81</f>
        <v/>
      </c>
      <c r="AF81" s="9">
        <f>(((SQRT((Inputs!$C$52+((Inputs!$H$6+Inputs!$L$6*(((Inputs!$I$6+(((A81)+1)/2)*(Inputs!$J$6-Inputs!$I$6)))/Inputs!$K$6)^2)))^2+Inputs!$C$52^2-2*(Inputs!$C$52+((Inputs!$H$6+Inputs!$L$6*(((Inputs!$I$6+(((A81)+1)/2)*(Inputs!$J$6-Inputs!$I$6)))/Inputs!$K$6)^2)))*Inputs!$C$52*COS(SQRT(((Inputs!$I$6+(((A81)+1)/2)*(Inputs!$J$6-Inputs!$I$6)))^2+Inputs!$C$6^2)/Inputs!$C$52)))-((Inputs!$H$6+Inputs!$L$6*(((Inputs!$I$6+(((A81)+1)/2)*(Inputs!$J$6-Inputs!$I$6)))/Inputs!$K$6)^2)))*1000/Inputs!$C$12)</f>
        <v/>
      </c>
      <c r="AG81" s="9">
        <f>(((SQRT((Inputs!$C$52+((Inputs!$H$7+Inputs!$L$7*(((Inputs!$I$7+(((A81)+1)/2)*(Inputs!$J$7-Inputs!$I$7)))/Inputs!$K$7)^2)))^2+Inputs!$C$52^2-2*(Inputs!$C$52+((Inputs!$H$7+Inputs!$L$7*(((Inputs!$I$7+(((A81)+1)/2)*(Inputs!$J$7-Inputs!$I$7)))/Inputs!$K$7)^2)))*Inputs!$C$52*COS(SQRT(((Inputs!$I$7+(((A81)+1)/2)*(Inputs!$J$7-Inputs!$I$7)))^2+Inputs!$C$6^2)/Inputs!$C$52)))-((Inputs!$H$7+Inputs!$L$7*(((Inputs!$I$7+(((A81)+1)/2)*(Inputs!$J$7-Inputs!$I$7)))/Inputs!$K$7)^2)))*1000/Inputs!$C$12)</f>
        <v/>
      </c>
      <c r="AH81" s="9">
        <f>(((SQRT((Inputs!$C$52+((Inputs!$H$8+Inputs!$L$8*(((Inputs!$I$8+(((A81)+1)/2)*(Inputs!$J$8-Inputs!$I$8)))/Inputs!$K$8)^2)))^2+Inputs!$C$52^2-2*(Inputs!$C$52+((Inputs!$H$8+Inputs!$L$8*(((Inputs!$I$8+(((A81)+1)/2)*(Inputs!$J$8-Inputs!$I$8)))/Inputs!$K$8)^2)))*Inputs!$C$52*COS(SQRT(((Inputs!$I$8+(((A81)+1)/2)*(Inputs!$J$8-Inputs!$I$8)))^2+Inputs!$C$6^2)/Inputs!$C$52)))-((Inputs!$H$8+Inputs!$L$8*(((Inputs!$I$8+(((A81)+1)/2)*(Inputs!$J$8-Inputs!$I$8)))/Inputs!$K$8)^2)))*1000/Inputs!$C$12)</f>
        <v/>
      </c>
      <c r="AI81" s="9">
        <f>(((SQRT((Inputs!$C$52+((Inputs!$H$9+Inputs!$L$9*(((Inputs!$I$9+(((A81)+1)/2)*(Inputs!$J$9-Inputs!$I$9)))/Inputs!$K$9)^2)))^2+Inputs!$C$52^2-2*(Inputs!$C$52+((Inputs!$H$9+Inputs!$L$9*(((Inputs!$I$9+(((A81)+1)/2)*(Inputs!$J$9-Inputs!$I$9)))/Inputs!$K$9)^2)))*Inputs!$C$52*COS(SQRT(((Inputs!$I$9+(((A81)+1)/2)*(Inputs!$J$9-Inputs!$I$9)))^2+Inputs!$C$6^2)/Inputs!$C$52)))-((Inputs!$H$9+Inputs!$L$9*(((Inputs!$I$9+(((A81)+1)/2)*(Inputs!$J$9-Inputs!$I$9)))/Inputs!$K$9)^2)))*1000/Inputs!$C$12)</f>
        <v/>
      </c>
      <c r="AJ81" s="10" t="n"/>
      <c r="AK81" s="9">
        <f>A81</f>
        <v/>
      </c>
      <c r="AL81" s="9">
        <f>(-2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f>
        <v/>
      </c>
      <c r="AM81" s="9">
        <f>(-2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f>
        <v/>
      </c>
      <c r="AN81" s="9">
        <f>(-2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f>
        <v/>
      </c>
      <c r="AO81" s="9">
        <f>(-2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f>
        <v/>
      </c>
      <c r="AP81" s="10" t="n"/>
      <c r="AQ81" s="9">
        <f>A81</f>
        <v/>
      </c>
      <c r="AR81" s="9">
        <f>0</f>
        <v/>
      </c>
      <c r="AS81" s="9">
        <f>IF(OR(Inputs!$F$6=TRUE,Inputs!$F$6="TRUE",Inputs!$F$6=1),IF(OR(Inputs!$C$27=TRUE,Inputs!$C$27="TRUE",Inputs!$C$27=1),1,0)*(Inputs!$C$51*(115*EXP(-(((Inputs!$C$6)-25)^2)/(4.5^2))+70*EXP(-(((Inputs!$C$6)+38)^2)/(7^2))*(0.55+0.45*SIN(2*PI()*((Inputs!$I$6+(((A81)+1)/2)*(Inputs!$J$6-Inputs!$I$6)))/45))+24*SIN(2*PI()*(Inputs!$C$6)/9+((Inputs!$I$6+(((A81)+1)/2)*(Inputs!$J$6-Inputs!$I$6)))/18)*EXP(-(((Inputs!$C$6)+5)^2)/(22^2))+18*SIN(2*PI()*((Inputs!$I$6+(((A81)+1)/2)*(Inputs!$J$6-Inputs!$I$6)))/70))+Inputs!$C$28*EXP(-((((Inputs!$I$6+(((A81)+1)/2)*(Inputs!$J$6-Inputs!$I$6)))-Inputs!$C$29)^2)/(2*Inputs!$C$31^2))*EXP(-(((Inputs!$C$6)-Inputs!$C$30)^2)/(2*Inputs!$C$32^2))+-Inputs!$C$33*EXP(-((((((Inputs!$I$6+(((A81)+1)/2)*(Inputs!$J$6-Inputs!$I$6)))-Inputs!$C$34)^2)+(((Inputs!$C$6)-Inputs!$C$35)^2))/(2*Inputs!$C$36^2)))+Inputs!$C$37*(0.55*SIN(2*PI()*((Inputs!$I$6+(((A81)+1)/2)*(Inputs!$J$6-Inputs!$I$6)))/Inputs!$C$39)+0.35*COS(2*PI()*(Inputs!$C$6)/Inputs!$C$40)+0.2*SIN(2*PI()*(((Inputs!$I$6+(((A81)+1)/2)*(Inputs!$J$6-Inputs!$I$6)))+(Inputs!$C$6))/(0.5*(Inputs!$C$39+Inputs!$C$40))))+Inputs!$C$38*SIN(2*PI()*((Inputs!$I$6+(((A81)+1)/2)*(Inputs!$J$6-Inputs!$I$6)))/Inputs!$C$39)*SIN(2*PI()*(Inputs!$C$6)/Inputs!$C$40)+-Inputs!$C$41*EXP(-(((Inputs!$C$6)-Inputs!$C$43)^2)/(2*Inputs!$C$44^2))*EXP(-((((Inputs!$I$6+(((A81)+1)/2)*(Inputs!$J$6-Inputs!$I$6)))-Inputs!$C$42)^2)/(2*Inputs!$C$45^2))+Inputs!$C$48*(0.7*(0.45*SIN(2*PI()*((((Inputs!$I$6+(((A81)+1)/2)*(Inputs!$J$6-Inputs!$I$6)))/Inputs!$C$49)+Inputs!$C$47*0.137))+0.35*COS(2*PI()*(((Inputs!$C$6)/Inputs!$C$50)+Inputs!$C$47*0.173))+0.2*SIN(2*PI()*((((Inputs!$I$6+(((A81)+1)/2)*(Inputs!$J$6-Inputs!$I$6)))+(Inputs!$C$6))/(0.5*(Inputs!$C$49+Inputs!$C$50))+Inputs!$C$47*0.097)))+0.3*(2*((SIN((((Inputs!$I$6+(((A81)+1)/2)*(Inputs!$J$6-Inputs!$I$6)))*12.9898+(Inputs!$C$6)*78.233+Inputs!$C$47*37.719))*43758.5453)-INT((SIN((((Inputs!$I$6+(((A81)+1)/2)*(Inputs!$J$6-Inputs!$I$6)))*12.9898+(Inputs!$C$6)*78.233+Inputs!$C$47*37.719))*43758.5453)))-1))),NA())</f>
        <v/>
      </c>
      <c r="AT81" s="9">
        <f>IF(OR(Inputs!$F$7=TRUE,Inputs!$F$7="TRUE",Inputs!$F$7=1),IF(OR(Inputs!$C$27=TRUE,Inputs!$C$27="TRUE",Inputs!$C$27=1),1,0)*(Inputs!$C$51*(115*EXP(-(((Inputs!$C$6)-25)^2)/(4.5^2))+70*EXP(-(((Inputs!$C$6)+38)^2)/(7^2))*(0.55+0.45*SIN(2*PI()*((Inputs!$I$7+(((A81)+1)/2)*(Inputs!$J$7-Inputs!$I$7)))/45))+24*SIN(2*PI()*(Inputs!$C$6)/9+((Inputs!$I$7+(((A81)+1)/2)*(Inputs!$J$7-Inputs!$I$7)))/18)*EXP(-(((Inputs!$C$6)+5)^2)/(22^2))+18*SIN(2*PI()*((Inputs!$I$7+(((A81)+1)/2)*(Inputs!$J$7-Inputs!$I$7)))/70))+Inputs!$C$28*EXP(-((((Inputs!$I$7+(((A81)+1)/2)*(Inputs!$J$7-Inputs!$I$7)))-Inputs!$C$29)^2)/(2*Inputs!$C$31^2))*EXP(-(((Inputs!$C$6)-Inputs!$C$30)^2)/(2*Inputs!$C$32^2))+-Inputs!$C$33*EXP(-((((((Inputs!$I$7+(((A81)+1)/2)*(Inputs!$J$7-Inputs!$I$7)))-Inputs!$C$34)^2)+(((Inputs!$C$6)-Inputs!$C$35)^2))/(2*Inputs!$C$36^2)))+Inputs!$C$37*(0.55*SIN(2*PI()*((Inputs!$I$7+(((A81)+1)/2)*(Inputs!$J$7-Inputs!$I$7)))/Inputs!$C$39)+0.35*COS(2*PI()*(Inputs!$C$6)/Inputs!$C$40)+0.2*SIN(2*PI()*(((Inputs!$I$7+(((A81)+1)/2)*(Inputs!$J$7-Inputs!$I$7)))+(Inputs!$C$6))/(0.5*(Inputs!$C$39+Inputs!$C$40))))+Inputs!$C$38*SIN(2*PI()*((Inputs!$I$7+(((A81)+1)/2)*(Inputs!$J$7-Inputs!$I$7)))/Inputs!$C$39)*SIN(2*PI()*(Inputs!$C$6)/Inputs!$C$40)+-Inputs!$C$41*EXP(-(((Inputs!$C$6)-Inputs!$C$43)^2)/(2*Inputs!$C$44^2))*EXP(-((((Inputs!$I$7+(((A81)+1)/2)*(Inputs!$J$7-Inputs!$I$7)))-Inputs!$C$42)^2)/(2*Inputs!$C$45^2))+Inputs!$C$48*(0.7*(0.45*SIN(2*PI()*((((Inputs!$I$7+(((A81)+1)/2)*(Inputs!$J$7-Inputs!$I$7)))/Inputs!$C$49)+Inputs!$C$47*0.137))+0.35*COS(2*PI()*(((Inputs!$C$6)/Inputs!$C$50)+Inputs!$C$47*0.173))+0.2*SIN(2*PI()*((((Inputs!$I$7+(((A81)+1)/2)*(Inputs!$J$7-Inputs!$I$7)))+(Inputs!$C$6))/(0.5*(Inputs!$C$49+Inputs!$C$50))+Inputs!$C$47*0.097)))+0.3*(2*((SIN((((Inputs!$I$7+(((A81)+1)/2)*(Inputs!$J$7-Inputs!$I$7)))*12.9898+(Inputs!$C$6)*78.233+Inputs!$C$47*37.719))*43758.5453)-INT((SIN((((Inputs!$I$7+(((A81)+1)/2)*(Inputs!$J$7-Inputs!$I$7)))*12.9898+(Inputs!$C$6)*78.233+Inputs!$C$47*37.719))*43758.5453)))-1))),NA())</f>
        <v/>
      </c>
      <c r="AU81" s="9">
        <f>IF(OR(Inputs!$F$8=TRUE,Inputs!$F$8="TRUE",Inputs!$F$8=1),IF(OR(Inputs!$C$27=TRUE,Inputs!$C$27="TRUE",Inputs!$C$27=1),1,0)*(Inputs!$C$51*(115*EXP(-(((Inputs!$C$6)-25)^2)/(4.5^2))+70*EXP(-(((Inputs!$C$6)+38)^2)/(7^2))*(0.55+0.45*SIN(2*PI()*((Inputs!$I$8+(((A81)+1)/2)*(Inputs!$J$8-Inputs!$I$8)))/45))+24*SIN(2*PI()*(Inputs!$C$6)/9+((Inputs!$I$8+(((A81)+1)/2)*(Inputs!$J$8-Inputs!$I$8)))/18)*EXP(-(((Inputs!$C$6)+5)^2)/(22^2))+18*SIN(2*PI()*((Inputs!$I$8+(((A81)+1)/2)*(Inputs!$J$8-Inputs!$I$8)))/70))+Inputs!$C$28*EXP(-((((Inputs!$I$8+(((A81)+1)/2)*(Inputs!$J$8-Inputs!$I$8)))-Inputs!$C$29)^2)/(2*Inputs!$C$31^2))*EXP(-(((Inputs!$C$6)-Inputs!$C$30)^2)/(2*Inputs!$C$32^2))+-Inputs!$C$33*EXP(-((((((Inputs!$I$8+(((A81)+1)/2)*(Inputs!$J$8-Inputs!$I$8)))-Inputs!$C$34)^2)+(((Inputs!$C$6)-Inputs!$C$35)^2))/(2*Inputs!$C$36^2)))+Inputs!$C$37*(0.55*SIN(2*PI()*((Inputs!$I$8+(((A81)+1)/2)*(Inputs!$J$8-Inputs!$I$8)))/Inputs!$C$39)+0.35*COS(2*PI()*(Inputs!$C$6)/Inputs!$C$40)+0.2*SIN(2*PI()*(((Inputs!$I$8+(((A81)+1)/2)*(Inputs!$J$8-Inputs!$I$8)))+(Inputs!$C$6))/(0.5*(Inputs!$C$39+Inputs!$C$40))))+Inputs!$C$38*SIN(2*PI()*((Inputs!$I$8+(((A81)+1)/2)*(Inputs!$J$8-Inputs!$I$8)))/Inputs!$C$39)*SIN(2*PI()*(Inputs!$C$6)/Inputs!$C$40)+-Inputs!$C$41*EXP(-(((Inputs!$C$6)-Inputs!$C$43)^2)/(2*Inputs!$C$44^2))*EXP(-((((Inputs!$I$8+(((A81)+1)/2)*(Inputs!$J$8-Inputs!$I$8)))-Inputs!$C$42)^2)/(2*Inputs!$C$45^2))+Inputs!$C$48*(0.7*(0.45*SIN(2*PI()*((((Inputs!$I$8+(((A81)+1)/2)*(Inputs!$J$8-Inputs!$I$8)))/Inputs!$C$49)+Inputs!$C$47*0.137))+0.35*COS(2*PI()*(((Inputs!$C$6)/Inputs!$C$50)+Inputs!$C$47*0.173))+0.2*SIN(2*PI()*((((Inputs!$I$8+(((A81)+1)/2)*(Inputs!$J$8-Inputs!$I$8)))+(Inputs!$C$6))/(0.5*(Inputs!$C$49+Inputs!$C$50))+Inputs!$C$47*0.097)))+0.3*(2*((SIN((((Inputs!$I$8+(((A81)+1)/2)*(Inputs!$J$8-Inputs!$I$8)))*12.9898+(Inputs!$C$6)*78.233+Inputs!$C$47*37.719))*43758.5453)-INT((SIN((((Inputs!$I$8+(((A81)+1)/2)*(Inputs!$J$8-Inputs!$I$8)))*12.9898+(Inputs!$C$6)*78.233+Inputs!$C$47*37.719))*43758.5453)))-1))),NA())</f>
        <v/>
      </c>
      <c r="AV81" s="9">
        <f>IF(OR(Inputs!$F$9=TRUE,Inputs!$F$9="TRUE",Inputs!$F$9=1),IF(OR(Inputs!$C$27=TRUE,Inputs!$C$27="TRUE",Inputs!$C$27=1),1,0)*(Inputs!$C$51*(115*EXP(-(((Inputs!$C$6)-25)^2)/(4.5^2))+70*EXP(-(((Inputs!$C$6)+38)^2)/(7^2))*(0.55+0.45*SIN(2*PI()*((Inputs!$I$9+(((A81)+1)/2)*(Inputs!$J$9-Inputs!$I$9)))/45))+24*SIN(2*PI()*(Inputs!$C$6)/9+((Inputs!$I$9+(((A81)+1)/2)*(Inputs!$J$9-Inputs!$I$9)))/18)*EXP(-(((Inputs!$C$6)+5)^2)/(22^2))+18*SIN(2*PI()*((Inputs!$I$9+(((A81)+1)/2)*(Inputs!$J$9-Inputs!$I$9)))/70))+Inputs!$C$28*EXP(-((((Inputs!$I$9+(((A81)+1)/2)*(Inputs!$J$9-Inputs!$I$9)))-Inputs!$C$29)^2)/(2*Inputs!$C$31^2))*EXP(-(((Inputs!$C$6)-Inputs!$C$30)^2)/(2*Inputs!$C$32^2))+-Inputs!$C$33*EXP(-((((((Inputs!$I$9+(((A81)+1)/2)*(Inputs!$J$9-Inputs!$I$9)))-Inputs!$C$34)^2)+(((Inputs!$C$6)-Inputs!$C$35)^2))/(2*Inputs!$C$36^2)))+Inputs!$C$37*(0.55*SIN(2*PI()*((Inputs!$I$9+(((A81)+1)/2)*(Inputs!$J$9-Inputs!$I$9)))/Inputs!$C$39)+0.35*COS(2*PI()*(Inputs!$C$6)/Inputs!$C$40)+0.2*SIN(2*PI()*(((Inputs!$I$9+(((A81)+1)/2)*(Inputs!$J$9-Inputs!$I$9)))+(Inputs!$C$6))/(0.5*(Inputs!$C$39+Inputs!$C$40))))+Inputs!$C$38*SIN(2*PI()*((Inputs!$I$9+(((A81)+1)/2)*(Inputs!$J$9-Inputs!$I$9)))/Inputs!$C$39)*SIN(2*PI()*(Inputs!$C$6)/Inputs!$C$40)+-Inputs!$C$41*EXP(-(((Inputs!$C$6)-Inputs!$C$43)^2)/(2*Inputs!$C$44^2))*EXP(-((((Inputs!$I$9+(((A81)+1)/2)*(Inputs!$J$9-Inputs!$I$9)))-Inputs!$C$42)^2)/(2*Inputs!$C$45^2))+Inputs!$C$48*(0.7*(0.45*SIN(2*PI()*((((Inputs!$I$9+(((A81)+1)/2)*(Inputs!$J$9-Inputs!$I$9)))/Inputs!$C$49)+Inputs!$C$47*0.137))+0.35*COS(2*PI()*(((Inputs!$C$6)/Inputs!$C$50)+Inputs!$C$47*0.173))+0.2*SIN(2*PI()*((((Inputs!$I$9+(((A81)+1)/2)*(Inputs!$J$9-Inputs!$I$9)))+(Inputs!$C$6))/(0.5*(Inputs!$C$49+Inputs!$C$50))+Inputs!$C$47*0.097)))+0.3*(2*((SIN((((Inputs!$I$9+(((A81)+1)/2)*(Inputs!$J$9-Inputs!$I$9)))*12.9898+(Inputs!$C$6)*78.233+Inputs!$C$47*37.719))*43758.5453)-INT((SIN((((Inputs!$I$9+(((A81)+1)/2)*(Inputs!$J$9-Inputs!$I$9)))*12.9898+(Inputs!$C$6)*78.233+Inputs!$C$47*37.719))*43758.5453)))-1))),NA())</f>
        <v/>
      </c>
      <c r="AW81" s="10" t="n"/>
      <c r="AX81" s="9">
        <f>A81</f>
        <v/>
      </c>
      <c r="AY81" s="9">
        <f>0</f>
        <v/>
      </c>
      <c r="AZ81" s="9">
        <f>IF(OR(Inputs!$F$6=TRUE,Inputs!$F$6="TRUE",Inputs!$F$6=1),(Inputs!$H$6+Inputs!$L$6*(((Inputs!$I$6+(((A81)+1)/2)*(Inputs!$J$6-Inputs!$I$6)))/Inputs!$K$6)^2),NA())</f>
        <v/>
      </c>
      <c r="BA81" s="9">
        <f>IF(OR(Inputs!$F$7=TRUE,Inputs!$F$7="TRUE",Inputs!$F$7=1),(Inputs!$H$7+Inputs!$L$7*(((Inputs!$I$7+(((A81)+1)/2)*(Inputs!$J$7-Inputs!$I$7)))/Inputs!$K$7)^2),NA())</f>
        <v/>
      </c>
      <c r="BB81" s="9">
        <f>IF(OR(Inputs!$F$8=TRUE,Inputs!$F$8="TRUE",Inputs!$F$8=1),(Inputs!$H$8+Inputs!$L$8*(((Inputs!$I$8+(((A81)+1)/2)*(Inputs!$J$8-Inputs!$I$8)))/Inputs!$K$8)^2),NA())</f>
        <v/>
      </c>
      <c r="BC81" s="9">
        <f>IF(OR(Inputs!$F$9=TRUE,Inputs!$F$9="TRUE",Inputs!$F$9=1),(Inputs!$H$9+Inputs!$L$9*(((Inputs!$I$9+(((A81)+1)/2)*(Inputs!$J$9-Inputs!$I$9)))/Inputs!$K$9)^2),NA())</f>
        <v/>
      </c>
      <c r="BD81" s="10" t="n"/>
      <c r="BE81" s="9">
        <f>A81</f>
        <v/>
      </c>
      <c r="BF81" s="9">
        <f>0</f>
        <v/>
      </c>
      <c r="BG81" s="9">
        <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f>
        <v/>
      </c>
      <c r="BH81" s="9">
        <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f>
        <v/>
      </c>
      <c r="BI81" s="9">
        <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f>
        <v/>
      </c>
      <c r="BJ81" s="9">
        <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f>
        <v/>
      </c>
    </row>
    <row r="82">
      <c r="A82" s="9">
        <f>ROUND(-1+80*2/240,3)</f>
        <v/>
      </c>
      <c r="B82" s="9">
        <f>IF(OR(Inputs!$F$6=TRUE,Inputs!$F$6="TRUE",Inputs!$F$6=1),(Inputs!$H$6+Inputs!$L$6*(((Inputs!$I$6+(((A82)+1)/2)*(Inputs!$J$6-Inputs!$I$6)))/Inputs!$K$6)^2),NA())</f>
        <v/>
      </c>
      <c r="C82" s="9">
        <f>IF(OR(Inputs!$F$7=TRUE,Inputs!$F$7="TRUE",Inputs!$F$7=1),(Inputs!$H$7+Inputs!$L$7*(((Inputs!$I$7+(((A82)+1)/2)*(Inputs!$J$7-Inputs!$I$7)))/Inputs!$K$7)^2),NA())</f>
        <v/>
      </c>
      <c r="D82" s="9">
        <f>IF(OR(Inputs!$F$8=TRUE,Inputs!$F$8="TRUE",Inputs!$F$8=1),(Inputs!$H$8+Inputs!$L$8*(((Inputs!$I$8+(((A82)+1)/2)*(Inputs!$J$8-Inputs!$I$8)))/Inputs!$K$8)^2),NA())</f>
        <v/>
      </c>
      <c r="E82" s="9">
        <f>IF(OR(Inputs!$F$9=TRUE,Inputs!$F$9="TRUE",Inputs!$F$9=1),(Inputs!$H$9+Inputs!$L$9*(((Inputs!$I$9+(((A82)+1)/2)*(Inputs!$J$9-Inputs!$I$9)))/Inputs!$K$9)^2),NA())</f>
        <v/>
      </c>
      <c r="F82" s="10" t="n"/>
      <c r="G82" s="9">
        <f>A82</f>
        <v/>
      </c>
      <c r="H82" s="9">
        <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f>
        <v/>
      </c>
      <c r="I82" s="9">
        <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f>
        <v/>
      </c>
      <c r="J82" s="9">
        <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f>
        <v/>
      </c>
      <c r="K82" s="9">
        <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f>
        <v/>
      </c>
      <c r="L82" s="10" t="n"/>
      <c r="M82" s="9">
        <f>A82</f>
        <v/>
      </c>
      <c r="N82" s="9">
        <f>IF(OR(Inputs!$F$6=TRUE,Inputs!$F$6="TRUE",Inputs!$F$6=1),(-2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NA())</f>
        <v/>
      </c>
      <c r="O82" s="9">
        <f>IF(OR(Inputs!$F$7=TRUE,Inputs!$F$7="TRUE",Inputs!$F$7=1),(-2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NA())</f>
        <v/>
      </c>
      <c r="P82" s="9">
        <f>IF(OR(Inputs!$F$8=TRUE,Inputs!$F$8="TRUE",Inputs!$F$8=1),(-2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NA())</f>
        <v/>
      </c>
      <c r="Q82" s="9">
        <f>IF(OR(Inputs!$F$9=TRUE,Inputs!$F$9="TRUE",Inputs!$F$9=1),(-2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NA())</f>
        <v/>
      </c>
      <c r="R82" s="10" t="n"/>
      <c r="S82" s="9">
        <f>A82</f>
        <v/>
      </c>
      <c r="T82" s="9">
        <f>(Inputs!$I$6+(((A82)+1)/2)*(Inputs!$J$6-Inputs!$I$6))</f>
        <v/>
      </c>
      <c r="U82" s="9">
        <f>(Inputs!$I$7+(((A82)+1)/2)*(Inputs!$J$7-Inputs!$I$7))</f>
        <v/>
      </c>
      <c r="V82" s="9">
        <f>(Inputs!$I$8+(((A82)+1)/2)*(Inputs!$J$8-Inputs!$I$8))</f>
        <v/>
      </c>
      <c r="W82" s="9">
        <f>(Inputs!$I$9+(((A82)+1)/2)*(Inputs!$J$9-Inputs!$I$9))</f>
        <v/>
      </c>
      <c r="X82" s="10" t="n"/>
      <c r="Y82" s="9">
        <f>A82</f>
        <v/>
      </c>
      <c r="Z82" s="9">
        <f>(Inputs!$H$6+Inputs!$L$6*(((Inputs!$I$6+(((A82)+1)/2)*(Inputs!$J$6-Inputs!$I$6)))/Inputs!$K$6)^2)</f>
        <v/>
      </c>
      <c r="AA82" s="9">
        <f>(Inputs!$H$7+Inputs!$L$7*(((Inputs!$I$7+(((A82)+1)/2)*(Inputs!$J$7-Inputs!$I$7)))/Inputs!$K$7)^2)</f>
        <v/>
      </c>
      <c r="AB82" s="9">
        <f>(Inputs!$H$8+Inputs!$L$8*(((Inputs!$I$8+(((A82)+1)/2)*(Inputs!$J$8-Inputs!$I$8)))/Inputs!$K$8)^2)</f>
        <v/>
      </c>
      <c r="AC82" s="9">
        <f>(Inputs!$H$9+Inputs!$L$9*(((Inputs!$I$9+(((A82)+1)/2)*(Inputs!$J$9-Inputs!$I$9)))/Inputs!$K$9)^2)</f>
        <v/>
      </c>
      <c r="AD82" s="10" t="n"/>
      <c r="AE82" s="9">
        <f>A82</f>
        <v/>
      </c>
      <c r="AF82" s="9">
        <f>(((SQRT((Inputs!$C$52+((Inputs!$H$6+Inputs!$L$6*(((Inputs!$I$6+(((A82)+1)/2)*(Inputs!$J$6-Inputs!$I$6)))/Inputs!$K$6)^2)))^2+Inputs!$C$52^2-2*(Inputs!$C$52+((Inputs!$H$6+Inputs!$L$6*(((Inputs!$I$6+(((A82)+1)/2)*(Inputs!$J$6-Inputs!$I$6)))/Inputs!$K$6)^2)))*Inputs!$C$52*COS(SQRT(((Inputs!$I$6+(((A82)+1)/2)*(Inputs!$J$6-Inputs!$I$6)))^2+Inputs!$C$6^2)/Inputs!$C$52)))-((Inputs!$H$6+Inputs!$L$6*(((Inputs!$I$6+(((A82)+1)/2)*(Inputs!$J$6-Inputs!$I$6)))/Inputs!$K$6)^2)))*1000/Inputs!$C$12)</f>
        <v/>
      </c>
      <c r="AG82" s="9">
        <f>(((SQRT((Inputs!$C$52+((Inputs!$H$7+Inputs!$L$7*(((Inputs!$I$7+(((A82)+1)/2)*(Inputs!$J$7-Inputs!$I$7)))/Inputs!$K$7)^2)))^2+Inputs!$C$52^2-2*(Inputs!$C$52+((Inputs!$H$7+Inputs!$L$7*(((Inputs!$I$7+(((A82)+1)/2)*(Inputs!$J$7-Inputs!$I$7)))/Inputs!$K$7)^2)))*Inputs!$C$52*COS(SQRT(((Inputs!$I$7+(((A82)+1)/2)*(Inputs!$J$7-Inputs!$I$7)))^2+Inputs!$C$6^2)/Inputs!$C$52)))-((Inputs!$H$7+Inputs!$L$7*(((Inputs!$I$7+(((A82)+1)/2)*(Inputs!$J$7-Inputs!$I$7)))/Inputs!$K$7)^2)))*1000/Inputs!$C$12)</f>
        <v/>
      </c>
      <c r="AH82" s="9">
        <f>(((SQRT((Inputs!$C$52+((Inputs!$H$8+Inputs!$L$8*(((Inputs!$I$8+(((A82)+1)/2)*(Inputs!$J$8-Inputs!$I$8)))/Inputs!$K$8)^2)))^2+Inputs!$C$52^2-2*(Inputs!$C$52+((Inputs!$H$8+Inputs!$L$8*(((Inputs!$I$8+(((A82)+1)/2)*(Inputs!$J$8-Inputs!$I$8)))/Inputs!$K$8)^2)))*Inputs!$C$52*COS(SQRT(((Inputs!$I$8+(((A82)+1)/2)*(Inputs!$J$8-Inputs!$I$8)))^2+Inputs!$C$6^2)/Inputs!$C$52)))-((Inputs!$H$8+Inputs!$L$8*(((Inputs!$I$8+(((A82)+1)/2)*(Inputs!$J$8-Inputs!$I$8)))/Inputs!$K$8)^2)))*1000/Inputs!$C$12)</f>
        <v/>
      </c>
      <c r="AI82" s="9">
        <f>(((SQRT((Inputs!$C$52+((Inputs!$H$9+Inputs!$L$9*(((Inputs!$I$9+(((A82)+1)/2)*(Inputs!$J$9-Inputs!$I$9)))/Inputs!$K$9)^2)))^2+Inputs!$C$52^2-2*(Inputs!$C$52+((Inputs!$H$9+Inputs!$L$9*(((Inputs!$I$9+(((A82)+1)/2)*(Inputs!$J$9-Inputs!$I$9)))/Inputs!$K$9)^2)))*Inputs!$C$52*COS(SQRT(((Inputs!$I$9+(((A82)+1)/2)*(Inputs!$J$9-Inputs!$I$9)))^2+Inputs!$C$6^2)/Inputs!$C$52)))-((Inputs!$H$9+Inputs!$L$9*(((Inputs!$I$9+(((A82)+1)/2)*(Inputs!$J$9-Inputs!$I$9)))/Inputs!$K$9)^2)))*1000/Inputs!$C$12)</f>
        <v/>
      </c>
      <c r="AJ82" s="10" t="n"/>
      <c r="AK82" s="9">
        <f>A82</f>
        <v/>
      </c>
      <c r="AL82" s="9">
        <f>(-2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f>
        <v/>
      </c>
      <c r="AM82" s="9">
        <f>(-2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f>
        <v/>
      </c>
      <c r="AN82" s="9">
        <f>(-2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f>
        <v/>
      </c>
      <c r="AO82" s="9">
        <f>(-2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f>
        <v/>
      </c>
      <c r="AP82" s="10" t="n"/>
      <c r="AQ82" s="9">
        <f>A82</f>
        <v/>
      </c>
      <c r="AR82" s="9">
        <f>0</f>
        <v/>
      </c>
      <c r="AS82" s="9">
        <f>IF(OR(Inputs!$F$6=TRUE,Inputs!$F$6="TRUE",Inputs!$F$6=1),IF(OR(Inputs!$C$27=TRUE,Inputs!$C$27="TRUE",Inputs!$C$27=1),1,0)*(Inputs!$C$51*(115*EXP(-(((Inputs!$C$6)-25)^2)/(4.5^2))+70*EXP(-(((Inputs!$C$6)+38)^2)/(7^2))*(0.55+0.45*SIN(2*PI()*((Inputs!$I$6+(((A82)+1)/2)*(Inputs!$J$6-Inputs!$I$6)))/45))+24*SIN(2*PI()*(Inputs!$C$6)/9+((Inputs!$I$6+(((A82)+1)/2)*(Inputs!$J$6-Inputs!$I$6)))/18)*EXP(-(((Inputs!$C$6)+5)^2)/(22^2))+18*SIN(2*PI()*((Inputs!$I$6+(((A82)+1)/2)*(Inputs!$J$6-Inputs!$I$6)))/70))+Inputs!$C$28*EXP(-((((Inputs!$I$6+(((A82)+1)/2)*(Inputs!$J$6-Inputs!$I$6)))-Inputs!$C$29)^2)/(2*Inputs!$C$31^2))*EXP(-(((Inputs!$C$6)-Inputs!$C$30)^2)/(2*Inputs!$C$32^2))+-Inputs!$C$33*EXP(-((((((Inputs!$I$6+(((A82)+1)/2)*(Inputs!$J$6-Inputs!$I$6)))-Inputs!$C$34)^2)+(((Inputs!$C$6)-Inputs!$C$35)^2))/(2*Inputs!$C$36^2)))+Inputs!$C$37*(0.55*SIN(2*PI()*((Inputs!$I$6+(((A82)+1)/2)*(Inputs!$J$6-Inputs!$I$6)))/Inputs!$C$39)+0.35*COS(2*PI()*(Inputs!$C$6)/Inputs!$C$40)+0.2*SIN(2*PI()*(((Inputs!$I$6+(((A82)+1)/2)*(Inputs!$J$6-Inputs!$I$6)))+(Inputs!$C$6))/(0.5*(Inputs!$C$39+Inputs!$C$40))))+Inputs!$C$38*SIN(2*PI()*((Inputs!$I$6+(((A82)+1)/2)*(Inputs!$J$6-Inputs!$I$6)))/Inputs!$C$39)*SIN(2*PI()*(Inputs!$C$6)/Inputs!$C$40)+-Inputs!$C$41*EXP(-(((Inputs!$C$6)-Inputs!$C$43)^2)/(2*Inputs!$C$44^2))*EXP(-((((Inputs!$I$6+(((A82)+1)/2)*(Inputs!$J$6-Inputs!$I$6)))-Inputs!$C$42)^2)/(2*Inputs!$C$45^2))+Inputs!$C$48*(0.7*(0.45*SIN(2*PI()*((((Inputs!$I$6+(((A82)+1)/2)*(Inputs!$J$6-Inputs!$I$6)))/Inputs!$C$49)+Inputs!$C$47*0.137))+0.35*COS(2*PI()*(((Inputs!$C$6)/Inputs!$C$50)+Inputs!$C$47*0.173))+0.2*SIN(2*PI()*((((Inputs!$I$6+(((A82)+1)/2)*(Inputs!$J$6-Inputs!$I$6)))+(Inputs!$C$6))/(0.5*(Inputs!$C$49+Inputs!$C$50))+Inputs!$C$47*0.097)))+0.3*(2*((SIN((((Inputs!$I$6+(((A82)+1)/2)*(Inputs!$J$6-Inputs!$I$6)))*12.9898+(Inputs!$C$6)*78.233+Inputs!$C$47*37.719))*43758.5453)-INT((SIN((((Inputs!$I$6+(((A82)+1)/2)*(Inputs!$J$6-Inputs!$I$6)))*12.9898+(Inputs!$C$6)*78.233+Inputs!$C$47*37.719))*43758.5453)))-1))),NA())</f>
        <v/>
      </c>
      <c r="AT82" s="9">
        <f>IF(OR(Inputs!$F$7=TRUE,Inputs!$F$7="TRUE",Inputs!$F$7=1),IF(OR(Inputs!$C$27=TRUE,Inputs!$C$27="TRUE",Inputs!$C$27=1),1,0)*(Inputs!$C$51*(115*EXP(-(((Inputs!$C$6)-25)^2)/(4.5^2))+70*EXP(-(((Inputs!$C$6)+38)^2)/(7^2))*(0.55+0.45*SIN(2*PI()*((Inputs!$I$7+(((A82)+1)/2)*(Inputs!$J$7-Inputs!$I$7)))/45))+24*SIN(2*PI()*(Inputs!$C$6)/9+((Inputs!$I$7+(((A82)+1)/2)*(Inputs!$J$7-Inputs!$I$7)))/18)*EXP(-(((Inputs!$C$6)+5)^2)/(22^2))+18*SIN(2*PI()*((Inputs!$I$7+(((A82)+1)/2)*(Inputs!$J$7-Inputs!$I$7)))/70))+Inputs!$C$28*EXP(-((((Inputs!$I$7+(((A82)+1)/2)*(Inputs!$J$7-Inputs!$I$7)))-Inputs!$C$29)^2)/(2*Inputs!$C$31^2))*EXP(-(((Inputs!$C$6)-Inputs!$C$30)^2)/(2*Inputs!$C$32^2))+-Inputs!$C$33*EXP(-((((((Inputs!$I$7+(((A82)+1)/2)*(Inputs!$J$7-Inputs!$I$7)))-Inputs!$C$34)^2)+(((Inputs!$C$6)-Inputs!$C$35)^2))/(2*Inputs!$C$36^2)))+Inputs!$C$37*(0.55*SIN(2*PI()*((Inputs!$I$7+(((A82)+1)/2)*(Inputs!$J$7-Inputs!$I$7)))/Inputs!$C$39)+0.35*COS(2*PI()*(Inputs!$C$6)/Inputs!$C$40)+0.2*SIN(2*PI()*(((Inputs!$I$7+(((A82)+1)/2)*(Inputs!$J$7-Inputs!$I$7)))+(Inputs!$C$6))/(0.5*(Inputs!$C$39+Inputs!$C$40))))+Inputs!$C$38*SIN(2*PI()*((Inputs!$I$7+(((A82)+1)/2)*(Inputs!$J$7-Inputs!$I$7)))/Inputs!$C$39)*SIN(2*PI()*(Inputs!$C$6)/Inputs!$C$40)+-Inputs!$C$41*EXP(-(((Inputs!$C$6)-Inputs!$C$43)^2)/(2*Inputs!$C$44^2))*EXP(-((((Inputs!$I$7+(((A82)+1)/2)*(Inputs!$J$7-Inputs!$I$7)))-Inputs!$C$42)^2)/(2*Inputs!$C$45^2))+Inputs!$C$48*(0.7*(0.45*SIN(2*PI()*((((Inputs!$I$7+(((A82)+1)/2)*(Inputs!$J$7-Inputs!$I$7)))/Inputs!$C$49)+Inputs!$C$47*0.137))+0.35*COS(2*PI()*(((Inputs!$C$6)/Inputs!$C$50)+Inputs!$C$47*0.173))+0.2*SIN(2*PI()*((((Inputs!$I$7+(((A82)+1)/2)*(Inputs!$J$7-Inputs!$I$7)))+(Inputs!$C$6))/(0.5*(Inputs!$C$49+Inputs!$C$50))+Inputs!$C$47*0.097)))+0.3*(2*((SIN((((Inputs!$I$7+(((A82)+1)/2)*(Inputs!$J$7-Inputs!$I$7)))*12.9898+(Inputs!$C$6)*78.233+Inputs!$C$47*37.719))*43758.5453)-INT((SIN((((Inputs!$I$7+(((A82)+1)/2)*(Inputs!$J$7-Inputs!$I$7)))*12.9898+(Inputs!$C$6)*78.233+Inputs!$C$47*37.719))*43758.5453)))-1))),NA())</f>
        <v/>
      </c>
      <c r="AU82" s="9">
        <f>IF(OR(Inputs!$F$8=TRUE,Inputs!$F$8="TRUE",Inputs!$F$8=1),IF(OR(Inputs!$C$27=TRUE,Inputs!$C$27="TRUE",Inputs!$C$27=1),1,0)*(Inputs!$C$51*(115*EXP(-(((Inputs!$C$6)-25)^2)/(4.5^2))+70*EXP(-(((Inputs!$C$6)+38)^2)/(7^2))*(0.55+0.45*SIN(2*PI()*((Inputs!$I$8+(((A82)+1)/2)*(Inputs!$J$8-Inputs!$I$8)))/45))+24*SIN(2*PI()*(Inputs!$C$6)/9+((Inputs!$I$8+(((A82)+1)/2)*(Inputs!$J$8-Inputs!$I$8)))/18)*EXP(-(((Inputs!$C$6)+5)^2)/(22^2))+18*SIN(2*PI()*((Inputs!$I$8+(((A82)+1)/2)*(Inputs!$J$8-Inputs!$I$8)))/70))+Inputs!$C$28*EXP(-((((Inputs!$I$8+(((A82)+1)/2)*(Inputs!$J$8-Inputs!$I$8)))-Inputs!$C$29)^2)/(2*Inputs!$C$31^2))*EXP(-(((Inputs!$C$6)-Inputs!$C$30)^2)/(2*Inputs!$C$32^2))+-Inputs!$C$33*EXP(-((((((Inputs!$I$8+(((A82)+1)/2)*(Inputs!$J$8-Inputs!$I$8)))-Inputs!$C$34)^2)+(((Inputs!$C$6)-Inputs!$C$35)^2))/(2*Inputs!$C$36^2)))+Inputs!$C$37*(0.55*SIN(2*PI()*((Inputs!$I$8+(((A82)+1)/2)*(Inputs!$J$8-Inputs!$I$8)))/Inputs!$C$39)+0.35*COS(2*PI()*(Inputs!$C$6)/Inputs!$C$40)+0.2*SIN(2*PI()*(((Inputs!$I$8+(((A82)+1)/2)*(Inputs!$J$8-Inputs!$I$8)))+(Inputs!$C$6))/(0.5*(Inputs!$C$39+Inputs!$C$40))))+Inputs!$C$38*SIN(2*PI()*((Inputs!$I$8+(((A82)+1)/2)*(Inputs!$J$8-Inputs!$I$8)))/Inputs!$C$39)*SIN(2*PI()*(Inputs!$C$6)/Inputs!$C$40)+-Inputs!$C$41*EXP(-(((Inputs!$C$6)-Inputs!$C$43)^2)/(2*Inputs!$C$44^2))*EXP(-((((Inputs!$I$8+(((A82)+1)/2)*(Inputs!$J$8-Inputs!$I$8)))-Inputs!$C$42)^2)/(2*Inputs!$C$45^2))+Inputs!$C$48*(0.7*(0.45*SIN(2*PI()*((((Inputs!$I$8+(((A82)+1)/2)*(Inputs!$J$8-Inputs!$I$8)))/Inputs!$C$49)+Inputs!$C$47*0.137))+0.35*COS(2*PI()*(((Inputs!$C$6)/Inputs!$C$50)+Inputs!$C$47*0.173))+0.2*SIN(2*PI()*((((Inputs!$I$8+(((A82)+1)/2)*(Inputs!$J$8-Inputs!$I$8)))+(Inputs!$C$6))/(0.5*(Inputs!$C$49+Inputs!$C$50))+Inputs!$C$47*0.097)))+0.3*(2*((SIN((((Inputs!$I$8+(((A82)+1)/2)*(Inputs!$J$8-Inputs!$I$8)))*12.9898+(Inputs!$C$6)*78.233+Inputs!$C$47*37.719))*43758.5453)-INT((SIN((((Inputs!$I$8+(((A82)+1)/2)*(Inputs!$J$8-Inputs!$I$8)))*12.9898+(Inputs!$C$6)*78.233+Inputs!$C$47*37.719))*43758.5453)))-1))),NA())</f>
        <v/>
      </c>
      <c r="AV82" s="9">
        <f>IF(OR(Inputs!$F$9=TRUE,Inputs!$F$9="TRUE",Inputs!$F$9=1),IF(OR(Inputs!$C$27=TRUE,Inputs!$C$27="TRUE",Inputs!$C$27=1),1,0)*(Inputs!$C$51*(115*EXP(-(((Inputs!$C$6)-25)^2)/(4.5^2))+70*EXP(-(((Inputs!$C$6)+38)^2)/(7^2))*(0.55+0.45*SIN(2*PI()*((Inputs!$I$9+(((A82)+1)/2)*(Inputs!$J$9-Inputs!$I$9)))/45))+24*SIN(2*PI()*(Inputs!$C$6)/9+((Inputs!$I$9+(((A82)+1)/2)*(Inputs!$J$9-Inputs!$I$9)))/18)*EXP(-(((Inputs!$C$6)+5)^2)/(22^2))+18*SIN(2*PI()*((Inputs!$I$9+(((A82)+1)/2)*(Inputs!$J$9-Inputs!$I$9)))/70))+Inputs!$C$28*EXP(-((((Inputs!$I$9+(((A82)+1)/2)*(Inputs!$J$9-Inputs!$I$9)))-Inputs!$C$29)^2)/(2*Inputs!$C$31^2))*EXP(-(((Inputs!$C$6)-Inputs!$C$30)^2)/(2*Inputs!$C$32^2))+-Inputs!$C$33*EXP(-((((((Inputs!$I$9+(((A82)+1)/2)*(Inputs!$J$9-Inputs!$I$9)))-Inputs!$C$34)^2)+(((Inputs!$C$6)-Inputs!$C$35)^2))/(2*Inputs!$C$36^2)))+Inputs!$C$37*(0.55*SIN(2*PI()*((Inputs!$I$9+(((A82)+1)/2)*(Inputs!$J$9-Inputs!$I$9)))/Inputs!$C$39)+0.35*COS(2*PI()*(Inputs!$C$6)/Inputs!$C$40)+0.2*SIN(2*PI()*(((Inputs!$I$9+(((A82)+1)/2)*(Inputs!$J$9-Inputs!$I$9)))+(Inputs!$C$6))/(0.5*(Inputs!$C$39+Inputs!$C$40))))+Inputs!$C$38*SIN(2*PI()*((Inputs!$I$9+(((A82)+1)/2)*(Inputs!$J$9-Inputs!$I$9)))/Inputs!$C$39)*SIN(2*PI()*(Inputs!$C$6)/Inputs!$C$40)+-Inputs!$C$41*EXP(-(((Inputs!$C$6)-Inputs!$C$43)^2)/(2*Inputs!$C$44^2))*EXP(-((((Inputs!$I$9+(((A82)+1)/2)*(Inputs!$J$9-Inputs!$I$9)))-Inputs!$C$42)^2)/(2*Inputs!$C$45^2))+Inputs!$C$48*(0.7*(0.45*SIN(2*PI()*((((Inputs!$I$9+(((A82)+1)/2)*(Inputs!$J$9-Inputs!$I$9)))/Inputs!$C$49)+Inputs!$C$47*0.137))+0.35*COS(2*PI()*(((Inputs!$C$6)/Inputs!$C$50)+Inputs!$C$47*0.173))+0.2*SIN(2*PI()*((((Inputs!$I$9+(((A82)+1)/2)*(Inputs!$J$9-Inputs!$I$9)))+(Inputs!$C$6))/(0.5*(Inputs!$C$49+Inputs!$C$50))+Inputs!$C$47*0.097)))+0.3*(2*((SIN((((Inputs!$I$9+(((A82)+1)/2)*(Inputs!$J$9-Inputs!$I$9)))*12.9898+(Inputs!$C$6)*78.233+Inputs!$C$47*37.719))*43758.5453)-INT((SIN((((Inputs!$I$9+(((A82)+1)/2)*(Inputs!$J$9-Inputs!$I$9)))*12.9898+(Inputs!$C$6)*78.233+Inputs!$C$47*37.719))*43758.5453)))-1))),NA())</f>
        <v/>
      </c>
      <c r="AW82" s="10" t="n"/>
      <c r="AX82" s="9">
        <f>A82</f>
        <v/>
      </c>
      <c r="AY82" s="9">
        <f>0</f>
        <v/>
      </c>
      <c r="AZ82" s="9">
        <f>IF(OR(Inputs!$F$6=TRUE,Inputs!$F$6="TRUE",Inputs!$F$6=1),(Inputs!$H$6+Inputs!$L$6*(((Inputs!$I$6+(((A82)+1)/2)*(Inputs!$J$6-Inputs!$I$6)))/Inputs!$K$6)^2),NA())</f>
        <v/>
      </c>
      <c r="BA82" s="9">
        <f>IF(OR(Inputs!$F$7=TRUE,Inputs!$F$7="TRUE",Inputs!$F$7=1),(Inputs!$H$7+Inputs!$L$7*(((Inputs!$I$7+(((A82)+1)/2)*(Inputs!$J$7-Inputs!$I$7)))/Inputs!$K$7)^2),NA())</f>
        <v/>
      </c>
      <c r="BB82" s="9">
        <f>IF(OR(Inputs!$F$8=TRUE,Inputs!$F$8="TRUE",Inputs!$F$8=1),(Inputs!$H$8+Inputs!$L$8*(((Inputs!$I$8+(((A82)+1)/2)*(Inputs!$J$8-Inputs!$I$8)))/Inputs!$K$8)^2),NA())</f>
        <v/>
      </c>
      <c r="BC82" s="9">
        <f>IF(OR(Inputs!$F$9=TRUE,Inputs!$F$9="TRUE",Inputs!$F$9=1),(Inputs!$H$9+Inputs!$L$9*(((Inputs!$I$9+(((A82)+1)/2)*(Inputs!$J$9-Inputs!$I$9)))/Inputs!$K$9)^2),NA())</f>
        <v/>
      </c>
      <c r="BD82" s="10" t="n"/>
      <c r="BE82" s="9">
        <f>A82</f>
        <v/>
      </c>
      <c r="BF82" s="9">
        <f>0</f>
        <v/>
      </c>
      <c r="BG82" s="9">
        <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f>
        <v/>
      </c>
      <c r="BH82" s="9">
        <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f>
        <v/>
      </c>
      <c r="BI82" s="9">
        <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f>
        <v/>
      </c>
      <c r="BJ82" s="9">
        <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f>
        <v/>
      </c>
    </row>
    <row r="83">
      <c r="A83" s="9">
        <f>ROUND(-1+81*2/240,3)</f>
        <v/>
      </c>
      <c r="B83" s="9">
        <f>IF(OR(Inputs!$F$6=TRUE,Inputs!$F$6="TRUE",Inputs!$F$6=1),(Inputs!$H$6+Inputs!$L$6*(((Inputs!$I$6+(((A83)+1)/2)*(Inputs!$J$6-Inputs!$I$6)))/Inputs!$K$6)^2),NA())</f>
        <v/>
      </c>
      <c r="C83" s="9">
        <f>IF(OR(Inputs!$F$7=TRUE,Inputs!$F$7="TRUE",Inputs!$F$7=1),(Inputs!$H$7+Inputs!$L$7*(((Inputs!$I$7+(((A83)+1)/2)*(Inputs!$J$7-Inputs!$I$7)))/Inputs!$K$7)^2),NA())</f>
        <v/>
      </c>
      <c r="D83" s="9">
        <f>IF(OR(Inputs!$F$8=TRUE,Inputs!$F$8="TRUE",Inputs!$F$8=1),(Inputs!$H$8+Inputs!$L$8*(((Inputs!$I$8+(((A83)+1)/2)*(Inputs!$J$8-Inputs!$I$8)))/Inputs!$K$8)^2),NA())</f>
        <v/>
      </c>
      <c r="E83" s="9">
        <f>IF(OR(Inputs!$F$9=TRUE,Inputs!$F$9="TRUE",Inputs!$F$9=1),(Inputs!$H$9+Inputs!$L$9*(((Inputs!$I$9+(((A83)+1)/2)*(Inputs!$J$9-Inputs!$I$9)))/Inputs!$K$9)^2),NA())</f>
        <v/>
      </c>
      <c r="F83" s="10" t="n"/>
      <c r="G83" s="9">
        <f>A83</f>
        <v/>
      </c>
      <c r="H83" s="9">
        <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f>
        <v/>
      </c>
      <c r="I83" s="9">
        <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f>
        <v/>
      </c>
      <c r="J83" s="9">
        <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f>
        <v/>
      </c>
      <c r="K83" s="9">
        <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f>
        <v/>
      </c>
      <c r="L83" s="10" t="n"/>
      <c r="M83" s="9">
        <f>A83</f>
        <v/>
      </c>
      <c r="N83" s="9">
        <f>IF(OR(Inputs!$F$6=TRUE,Inputs!$F$6="TRUE",Inputs!$F$6=1),(-2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NA())</f>
        <v/>
      </c>
      <c r="O83" s="9">
        <f>IF(OR(Inputs!$F$7=TRUE,Inputs!$F$7="TRUE",Inputs!$F$7=1),(-2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NA())</f>
        <v/>
      </c>
      <c r="P83" s="9">
        <f>IF(OR(Inputs!$F$8=TRUE,Inputs!$F$8="TRUE",Inputs!$F$8=1),(-2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NA())</f>
        <v/>
      </c>
      <c r="Q83" s="9">
        <f>IF(OR(Inputs!$F$9=TRUE,Inputs!$F$9="TRUE",Inputs!$F$9=1),(-2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NA())</f>
        <v/>
      </c>
      <c r="R83" s="10" t="n"/>
      <c r="S83" s="9">
        <f>A83</f>
        <v/>
      </c>
      <c r="T83" s="9">
        <f>(Inputs!$I$6+(((A83)+1)/2)*(Inputs!$J$6-Inputs!$I$6))</f>
        <v/>
      </c>
      <c r="U83" s="9">
        <f>(Inputs!$I$7+(((A83)+1)/2)*(Inputs!$J$7-Inputs!$I$7))</f>
        <v/>
      </c>
      <c r="V83" s="9">
        <f>(Inputs!$I$8+(((A83)+1)/2)*(Inputs!$J$8-Inputs!$I$8))</f>
        <v/>
      </c>
      <c r="W83" s="9">
        <f>(Inputs!$I$9+(((A83)+1)/2)*(Inputs!$J$9-Inputs!$I$9))</f>
        <v/>
      </c>
      <c r="X83" s="10" t="n"/>
      <c r="Y83" s="9">
        <f>A83</f>
        <v/>
      </c>
      <c r="Z83" s="9">
        <f>(Inputs!$H$6+Inputs!$L$6*(((Inputs!$I$6+(((A83)+1)/2)*(Inputs!$J$6-Inputs!$I$6)))/Inputs!$K$6)^2)</f>
        <v/>
      </c>
      <c r="AA83" s="9">
        <f>(Inputs!$H$7+Inputs!$L$7*(((Inputs!$I$7+(((A83)+1)/2)*(Inputs!$J$7-Inputs!$I$7)))/Inputs!$K$7)^2)</f>
        <v/>
      </c>
      <c r="AB83" s="9">
        <f>(Inputs!$H$8+Inputs!$L$8*(((Inputs!$I$8+(((A83)+1)/2)*(Inputs!$J$8-Inputs!$I$8)))/Inputs!$K$8)^2)</f>
        <v/>
      </c>
      <c r="AC83" s="9">
        <f>(Inputs!$H$9+Inputs!$L$9*(((Inputs!$I$9+(((A83)+1)/2)*(Inputs!$J$9-Inputs!$I$9)))/Inputs!$K$9)^2)</f>
        <v/>
      </c>
      <c r="AD83" s="10" t="n"/>
      <c r="AE83" s="9">
        <f>A83</f>
        <v/>
      </c>
      <c r="AF83" s="9">
        <f>(((SQRT((Inputs!$C$52+((Inputs!$H$6+Inputs!$L$6*(((Inputs!$I$6+(((A83)+1)/2)*(Inputs!$J$6-Inputs!$I$6)))/Inputs!$K$6)^2)))^2+Inputs!$C$52^2-2*(Inputs!$C$52+((Inputs!$H$6+Inputs!$L$6*(((Inputs!$I$6+(((A83)+1)/2)*(Inputs!$J$6-Inputs!$I$6)))/Inputs!$K$6)^2)))*Inputs!$C$52*COS(SQRT(((Inputs!$I$6+(((A83)+1)/2)*(Inputs!$J$6-Inputs!$I$6)))^2+Inputs!$C$6^2)/Inputs!$C$52)))-((Inputs!$H$6+Inputs!$L$6*(((Inputs!$I$6+(((A83)+1)/2)*(Inputs!$J$6-Inputs!$I$6)))/Inputs!$K$6)^2)))*1000/Inputs!$C$12)</f>
        <v/>
      </c>
      <c r="AG83" s="9">
        <f>(((SQRT((Inputs!$C$52+((Inputs!$H$7+Inputs!$L$7*(((Inputs!$I$7+(((A83)+1)/2)*(Inputs!$J$7-Inputs!$I$7)))/Inputs!$K$7)^2)))^2+Inputs!$C$52^2-2*(Inputs!$C$52+((Inputs!$H$7+Inputs!$L$7*(((Inputs!$I$7+(((A83)+1)/2)*(Inputs!$J$7-Inputs!$I$7)))/Inputs!$K$7)^2)))*Inputs!$C$52*COS(SQRT(((Inputs!$I$7+(((A83)+1)/2)*(Inputs!$J$7-Inputs!$I$7)))^2+Inputs!$C$6^2)/Inputs!$C$52)))-((Inputs!$H$7+Inputs!$L$7*(((Inputs!$I$7+(((A83)+1)/2)*(Inputs!$J$7-Inputs!$I$7)))/Inputs!$K$7)^2)))*1000/Inputs!$C$12)</f>
        <v/>
      </c>
      <c r="AH83" s="9">
        <f>(((SQRT((Inputs!$C$52+((Inputs!$H$8+Inputs!$L$8*(((Inputs!$I$8+(((A83)+1)/2)*(Inputs!$J$8-Inputs!$I$8)))/Inputs!$K$8)^2)))^2+Inputs!$C$52^2-2*(Inputs!$C$52+((Inputs!$H$8+Inputs!$L$8*(((Inputs!$I$8+(((A83)+1)/2)*(Inputs!$J$8-Inputs!$I$8)))/Inputs!$K$8)^2)))*Inputs!$C$52*COS(SQRT(((Inputs!$I$8+(((A83)+1)/2)*(Inputs!$J$8-Inputs!$I$8)))^2+Inputs!$C$6^2)/Inputs!$C$52)))-((Inputs!$H$8+Inputs!$L$8*(((Inputs!$I$8+(((A83)+1)/2)*(Inputs!$J$8-Inputs!$I$8)))/Inputs!$K$8)^2)))*1000/Inputs!$C$12)</f>
        <v/>
      </c>
      <c r="AI83" s="9">
        <f>(((SQRT((Inputs!$C$52+((Inputs!$H$9+Inputs!$L$9*(((Inputs!$I$9+(((A83)+1)/2)*(Inputs!$J$9-Inputs!$I$9)))/Inputs!$K$9)^2)))^2+Inputs!$C$52^2-2*(Inputs!$C$52+((Inputs!$H$9+Inputs!$L$9*(((Inputs!$I$9+(((A83)+1)/2)*(Inputs!$J$9-Inputs!$I$9)))/Inputs!$K$9)^2)))*Inputs!$C$52*COS(SQRT(((Inputs!$I$9+(((A83)+1)/2)*(Inputs!$J$9-Inputs!$I$9)))^2+Inputs!$C$6^2)/Inputs!$C$52)))-((Inputs!$H$9+Inputs!$L$9*(((Inputs!$I$9+(((A83)+1)/2)*(Inputs!$J$9-Inputs!$I$9)))/Inputs!$K$9)^2)))*1000/Inputs!$C$12)</f>
        <v/>
      </c>
      <c r="AJ83" s="10" t="n"/>
      <c r="AK83" s="9">
        <f>A83</f>
        <v/>
      </c>
      <c r="AL83" s="9">
        <f>(-2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f>
        <v/>
      </c>
      <c r="AM83" s="9">
        <f>(-2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f>
        <v/>
      </c>
      <c r="AN83" s="9">
        <f>(-2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f>
        <v/>
      </c>
      <c r="AO83" s="9">
        <f>(-2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f>
        <v/>
      </c>
      <c r="AP83" s="10" t="n"/>
      <c r="AQ83" s="9">
        <f>A83</f>
        <v/>
      </c>
      <c r="AR83" s="9">
        <f>0</f>
        <v/>
      </c>
      <c r="AS83" s="9">
        <f>IF(OR(Inputs!$F$6=TRUE,Inputs!$F$6="TRUE",Inputs!$F$6=1),IF(OR(Inputs!$C$27=TRUE,Inputs!$C$27="TRUE",Inputs!$C$27=1),1,0)*(Inputs!$C$51*(115*EXP(-(((Inputs!$C$6)-25)^2)/(4.5^2))+70*EXP(-(((Inputs!$C$6)+38)^2)/(7^2))*(0.55+0.45*SIN(2*PI()*((Inputs!$I$6+(((A83)+1)/2)*(Inputs!$J$6-Inputs!$I$6)))/45))+24*SIN(2*PI()*(Inputs!$C$6)/9+((Inputs!$I$6+(((A83)+1)/2)*(Inputs!$J$6-Inputs!$I$6)))/18)*EXP(-(((Inputs!$C$6)+5)^2)/(22^2))+18*SIN(2*PI()*((Inputs!$I$6+(((A83)+1)/2)*(Inputs!$J$6-Inputs!$I$6)))/70))+Inputs!$C$28*EXP(-((((Inputs!$I$6+(((A83)+1)/2)*(Inputs!$J$6-Inputs!$I$6)))-Inputs!$C$29)^2)/(2*Inputs!$C$31^2))*EXP(-(((Inputs!$C$6)-Inputs!$C$30)^2)/(2*Inputs!$C$32^2))+-Inputs!$C$33*EXP(-((((((Inputs!$I$6+(((A83)+1)/2)*(Inputs!$J$6-Inputs!$I$6)))-Inputs!$C$34)^2)+(((Inputs!$C$6)-Inputs!$C$35)^2))/(2*Inputs!$C$36^2)))+Inputs!$C$37*(0.55*SIN(2*PI()*((Inputs!$I$6+(((A83)+1)/2)*(Inputs!$J$6-Inputs!$I$6)))/Inputs!$C$39)+0.35*COS(2*PI()*(Inputs!$C$6)/Inputs!$C$40)+0.2*SIN(2*PI()*(((Inputs!$I$6+(((A83)+1)/2)*(Inputs!$J$6-Inputs!$I$6)))+(Inputs!$C$6))/(0.5*(Inputs!$C$39+Inputs!$C$40))))+Inputs!$C$38*SIN(2*PI()*((Inputs!$I$6+(((A83)+1)/2)*(Inputs!$J$6-Inputs!$I$6)))/Inputs!$C$39)*SIN(2*PI()*(Inputs!$C$6)/Inputs!$C$40)+-Inputs!$C$41*EXP(-(((Inputs!$C$6)-Inputs!$C$43)^2)/(2*Inputs!$C$44^2))*EXP(-((((Inputs!$I$6+(((A83)+1)/2)*(Inputs!$J$6-Inputs!$I$6)))-Inputs!$C$42)^2)/(2*Inputs!$C$45^2))+Inputs!$C$48*(0.7*(0.45*SIN(2*PI()*((((Inputs!$I$6+(((A83)+1)/2)*(Inputs!$J$6-Inputs!$I$6)))/Inputs!$C$49)+Inputs!$C$47*0.137))+0.35*COS(2*PI()*(((Inputs!$C$6)/Inputs!$C$50)+Inputs!$C$47*0.173))+0.2*SIN(2*PI()*((((Inputs!$I$6+(((A83)+1)/2)*(Inputs!$J$6-Inputs!$I$6)))+(Inputs!$C$6))/(0.5*(Inputs!$C$49+Inputs!$C$50))+Inputs!$C$47*0.097)))+0.3*(2*((SIN((((Inputs!$I$6+(((A83)+1)/2)*(Inputs!$J$6-Inputs!$I$6)))*12.9898+(Inputs!$C$6)*78.233+Inputs!$C$47*37.719))*43758.5453)-INT((SIN((((Inputs!$I$6+(((A83)+1)/2)*(Inputs!$J$6-Inputs!$I$6)))*12.9898+(Inputs!$C$6)*78.233+Inputs!$C$47*37.719))*43758.5453)))-1))),NA())</f>
        <v/>
      </c>
      <c r="AT83" s="9">
        <f>IF(OR(Inputs!$F$7=TRUE,Inputs!$F$7="TRUE",Inputs!$F$7=1),IF(OR(Inputs!$C$27=TRUE,Inputs!$C$27="TRUE",Inputs!$C$27=1),1,0)*(Inputs!$C$51*(115*EXP(-(((Inputs!$C$6)-25)^2)/(4.5^2))+70*EXP(-(((Inputs!$C$6)+38)^2)/(7^2))*(0.55+0.45*SIN(2*PI()*((Inputs!$I$7+(((A83)+1)/2)*(Inputs!$J$7-Inputs!$I$7)))/45))+24*SIN(2*PI()*(Inputs!$C$6)/9+((Inputs!$I$7+(((A83)+1)/2)*(Inputs!$J$7-Inputs!$I$7)))/18)*EXP(-(((Inputs!$C$6)+5)^2)/(22^2))+18*SIN(2*PI()*((Inputs!$I$7+(((A83)+1)/2)*(Inputs!$J$7-Inputs!$I$7)))/70))+Inputs!$C$28*EXP(-((((Inputs!$I$7+(((A83)+1)/2)*(Inputs!$J$7-Inputs!$I$7)))-Inputs!$C$29)^2)/(2*Inputs!$C$31^2))*EXP(-(((Inputs!$C$6)-Inputs!$C$30)^2)/(2*Inputs!$C$32^2))+-Inputs!$C$33*EXP(-((((((Inputs!$I$7+(((A83)+1)/2)*(Inputs!$J$7-Inputs!$I$7)))-Inputs!$C$34)^2)+(((Inputs!$C$6)-Inputs!$C$35)^2))/(2*Inputs!$C$36^2)))+Inputs!$C$37*(0.55*SIN(2*PI()*((Inputs!$I$7+(((A83)+1)/2)*(Inputs!$J$7-Inputs!$I$7)))/Inputs!$C$39)+0.35*COS(2*PI()*(Inputs!$C$6)/Inputs!$C$40)+0.2*SIN(2*PI()*(((Inputs!$I$7+(((A83)+1)/2)*(Inputs!$J$7-Inputs!$I$7)))+(Inputs!$C$6))/(0.5*(Inputs!$C$39+Inputs!$C$40))))+Inputs!$C$38*SIN(2*PI()*((Inputs!$I$7+(((A83)+1)/2)*(Inputs!$J$7-Inputs!$I$7)))/Inputs!$C$39)*SIN(2*PI()*(Inputs!$C$6)/Inputs!$C$40)+-Inputs!$C$41*EXP(-(((Inputs!$C$6)-Inputs!$C$43)^2)/(2*Inputs!$C$44^2))*EXP(-((((Inputs!$I$7+(((A83)+1)/2)*(Inputs!$J$7-Inputs!$I$7)))-Inputs!$C$42)^2)/(2*Inputs!$C$45^2))+Inputs!$C$48*(0.7*(0.45*SIN(2*PI()*((((Inputs!$I$7+(((A83)+1)/2)*(Inputs!$J$7-Inputs!$I$7)))/Inputs!$C$49)+Inputs!$C$47*0.137))+0.35*COS(2*PI()*(((Inputs!$C$6)/Inputs!$C$50)+Inputs!$C$47*0.173))+0.2*SIN(2*PI()*((((Inputs!$I$7+(((A83)+1)/2)*(Inputs!$J$7-Inputs!$I$7)))+(Inputs!$C$6))/(0.5*(Inputs!$C$49+Inputs!$C$50))+Inputs!$C$47*0.097)))+0.3*(2*((SIN((((Inputs!$I$7+(((A83)+1)/2)*(Inputs!$J$7-Inputs!$I$7)))*12.9898+(Inputs!$C$6)*78.233+Inputs!$C$47*37.719))*43758.5453)-INT((SIN((((Inputs!$I$7+(((A83)+1)/2)*(Inputs!$J$7-Inputs!$I$7)))*12.9898+(Inputs!$C$6)*78.233+Inputs!$C$47*37.719))*43758.5453)))-1))),NA())</f>
        <v/>
      </c>
      <c r="AU83" s="9">
        <f>IF(OR(Inputs!$F$8=TRUE,Inputs!$F$8="TRUE",Inputs!$F$8=1),IF(OR(Inputs!$C$27=TRUE,Inputs!$C$27="TRUE",Inputs!$C$27=1),1,0)*(Inputs!$C$51*(115*EXP(-(((Inputs!$C$6)-25)^2)/(4.5^2))+70*EXP(-(((Inputs!$C$6)+38)^2)/(7^2))*(0.55+0.45*SIN(2*PI()*((Inputs!$I$8+(((A83)+1)/2)*(Inputs!$J$8-Inputs!$I$8)))/45))+24*SIN(2*PI()*(Inputs!$C$6)/9+((Inputs!$I$8+(((A83)+1)/2)*(Inputs!$J$8-Inputs!$I$8)))/18)*EXP(-(((Inputs!$C$6)+5)^2)/(22^2))+18*SIN(2*PI()*((Inputs!$I$8+(((A83)+1)/2)*(Inputs!$J$8-Inputs!$I$8)))/70))+Inputs!$C$28*EXP(-((((Inputs!$I$8+(((A83)+1)/2)*(Inputs!$J$8-Inputs!$I$8)))-Inputs!$C$29)^2)/(2*Inputs!$C$31^2))*EXP(-(((Inputs!$C$6)-Inputs!$C$30)^2)/(2*Inputs!$C$32^2))+-Inputs!$C$33*EXP(-((((((Inputs!$I$8+(((A83)+1)/2)*(Inputs!$J$8-Inputs!$I$8)))-Inputs!$C$34)^2)+(((Inputs!$C$6)-Inputs!$C$35)^2))/(2*Inputs!$C$36^2)))+Inputs!$C$37*(0.55*SIN(2*PI()*((Inputs!$I$8+(((A83)+1)/2)*(Inputs!$J$8-Inputs!$I$8)))/Inputs!$C$39)+0.35*COS(2*PI()*(Inputs!$C$6)/Inputs!$C$40)+0.2*SIN(2*PI()*(((Inputs!$I$8+(((A83)+1)/2)*(Inputs!$J$8-Inputs!$I$8)))+(Inputs!$C$6))/(0.5*(Inputs!$C$39+Inputs!$C$40))))+Inputs!$C$38*SIN(2*PI()*((Inputs!$I$8+(((A83)+1)/2)*(Inputs!$J$8-Inputs!$I$8)))/Inputs!$C$39)*SIN(2*PI()*(Inputs!$C$6)/Inputs!$C$40)+-Inputs!$C$41*EXP(-(((Inputs!$C$6)-Inputs!$C$43)^2)/(2*Inputs!$C$44^2))*EXP(-((((Inputs!$I$8+(((A83)+1)/2)*(Inputs!$J$8-Inputs!$I$8)))-Inputs!$C$42)^2)/(2*Inputs!$C$45^2))+Inputs!$C$48*(0.7*(0.45*SIN(2*PI()*((((Inputs!$I$8+(((A83)+1)/2)*(Inputs!$J$8-Inputs!$I$8)))/Inputs!$C$49)+Inputs!$C$47*0.137))+0.35*COS(2*PI()*(((Inputs!$C$6)/Inputs!$C$50)+Inputs!$C$47*0.173))+0.2*SIN(2*PI()*((((Inputs!$I$8+(((A83)+1)/2)*(Inputs!$J$8-Inputs!$I$8)))+(Inputs!$C$6))/(0.5*(Inputs!$C$49+Inputs!$C$50))+Inputs!$C$47*0.097)))+0.3*(2*((SIN((((Inputs!$I$8+(((A83)+1)/2)*(Inputs!$J$8-Inputs!$I$8)))*12.9898+(Inputs!$C$6)*78.233+Inputs!$C$47*37.719))*43758.5453)-INT((SIN((((Inputs!$I$8+(((A83)+1)/2)*(Inputs!$J$8-Inputs!$I$8)))*12.9898+(Inputs!$C$6)*78.233+Inputs!$C$47*37.719))*43758.5453)))-1))),NA())</f>
        <v/>
      </c>
      <c r="AV83" s="9">
        <f>IF(OR(Inputs!$F$9=TRUE,Inputs!$F$9="TRUE",Inputs!$F$9=1),IF(OR(Inputs!$C$27=TRUE,Inputs!$C$27="TRUE",Inputs!$C$27=1),1,0)*(Inputs!$C$51*(115*EXP(-(((Inputs!$C$6)-25)^2)/(4.5^2))+70*EXP(-(((Inputs!$C$6)+38)^2)/(7^2))*(0.55+0.45*SIN(2*PI()*((Inputs!$I$9+(((A83)+1)/2)*(Inputs!$J$9-Inputs!$I$9)))/45))+24*SIN(2*PI()*(Inputs!$C$6)/9+((Inputs!$I$9+(((A83)+1)/2)*(Inputs!$J$9-Inputs!$I$9)))/18)*EXP(-(((Inputs!$C$6)+5)^2)/(22^2))+18*SIN(2*PI()*((Inputs!$I$9+(((A83)+1)/2)*(Inputs!$J$9-Inputs!$I$9)))/70))+Inputs!$C$28*EXP(-((((Inputs!$I$9+(((A83)+1)/2)*(Inputs!$J$9-Inputs!$I$9)))-Inputs!$C$29)^2)/(2*Inputs!$C$31^2))*EXP(-(((Inputs!$C$6)-Inputs!$C$30)^2)/(2*Inputs!$C$32^2))+-Inputs!$C$33*EXP(-((((((Inputs!$I$9+(((A83)+1)/2)*(Inputs!$J$9-Inputs!$I$9)))-Inputs!$C$34)^2)+(((Inputs!$C$6)-Inputs!$C$35)^2))/(2*Inputs!$C$36^2)))+Inputs!$C$37*(0.55*SIN(2*PI()*((Inputs!$I$9+(((A83)+1)/2)*(Inputs!$J$9-Inputs!$I$9)))/Inputs!$C$39)+0.35*COS(2*PI()*(Inputs!$C$6)/Inputs!$C$40)+0.2*SIN(2*PI()*(((Inputs!$I$9+(((A83)+1)/2)*(Inputs!$J$9-Inputs!$I$9)))+(Inputs!$C$6))/(0.5*(Inputs!$C$39+Inputs!$C$40))))+Inputs!$C$38*SIN(2*PI()*((Inputs!$I$9+(((A83)+1)/2)*(Inputs!$J$9-Inputs!$I$9)))/Inputs!$C$39)*SIN(2*PI()*(Inputs!$C$6)/Inputs!$C$40)+-Inputs!$C$41*EXP(-(((Inputs!$C$6)-Inputs!$C$43)^2)/(2*Inputs!$C$44^2))*EXP(-((((Inputs!$I$9+(((A83)+1)/2)*(Inputs!$J$9-Inputs!$I$9)))-Inputs!$C$42)^2)/(2*Inputs!$C$45^2))+Inputs!$C$48*(0.7*(0.45*SIN(2*PI()*((((Inputs!$I$9+(((A83)+1)/2)*(Inputs!$J$9-Inputs!$I$9)))/Inputs!$C$49)+Inputs!$C$47*0.137))+0.35*COS(2*PI()*(((Inputs!$C$6)/Inputs!$C$50)+Inputs!$C$47*0.173))+0.2*SIN(2*PI()*((((Inputs!$I$9+(((A83)+1)/2)*(Inputs!$J$9-Inputs!$I$9)))+(Inputs!$C$6))/(0.5*(Inputs!$C$49+Inputs!$C$50))+Inputs!$C$47*0.097)))+0.3*(2*((SIN((((Inputs!$I$9+(((A83)+1)/2)*(Inputs!$J$9-Inputs!$I$9)))*12.9898+(Inputs!$C$6)*78.233+Inputs!$C$47*37.719))*43758.5453)-INT((SIN((((Inputs!$I$9+(((A83)+1)/2)*(Inputs!$J$9-Inputs!$I$9)))*12.9898+(Inputs!$C$6)*78.233+Inputs!$C$47*37.719))*43758.5453)))-1))),NA())</f>
        <v/>
      </c>
      <c r="AW83" s="10" t="n"/>
      <c r="AX83" s="9">
        <f>A83</f>
        <v/>
      </c>
      <c r="AY83" s="9">
        <f>0</f>
        <v/>
      </c>
      <c r="AZ83" s="9">
        <f>IF(OR(Inputs!$F$6=TRUE,Inputs!$F$6="TRUE",Inputs!$F$6=1),(Inputs!$H$6+Inputs!$L$6*(((Inputs!$I$6+(((A83)+1)/2)*(Inputs!$J$6-Inputs!$I$6)))/Inputs!$K$6)^2),NA())</f>
        <v/>
      </c>
      <c r="BA83" s="9">
        <f>IF(OR(Inputs!$F$7=TRUE,Inputs!$F$7="TRUE",Inputs!$F$7=1),(Inputs!$H$7+Inputs!$L$7*(((Inputs!$I$7+(((A83)+1)/2)*(Inputs!$J$7-Inputs!$I$7)))/Inputs!$K$7)^2),NA())</f>
        <v/>
      </c>
      <c r="BB83" s="9">
        <f>IF(OR(Inputs!$F$8=TRUE,Inputs!$F$8="TRUE",Inputs!$F$8=1),(Inputs!$H$8+Inputs!$L$8*(((Inputs!$I$8+(((A83)+1)/2)*(Inputs!$J$8-Inputs!$I$8)))/Inputs!$K$8)^2),NA())</f>
        <v/>
      </c>
      <c r="BC83" s="9">
        <f>IF(OR(Inputs!$F$9=TRUE,Inputs!$F$9="TRUE",Inputs!$F$9=1),(Inputs!$H$9+Inputs!$L$9*(((Inputs!$I$9+(((A83)+1)/2)*(Inputs!$J$9-Inputs!$I$9)))/Inputs!$K$9)^2),NA())</f>
        <v/>
      </c>
      <c r="BD83" s="10" t="n"/>
      <c r="BE83" s="9">
        <f>A83</f>
        <v/>
      </c>
      <c r="BF83" s="9">
        <f>0</f>
        <v/>
      </c>
      <c r="BG83" s="9">
        <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f>
        <v/>
      </c>
      <c r="BH83" s="9">
        <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f>
        <v/>
      </c>
      <c r="BI83" s="9">
        <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f>
        <v/>
      </c>
      <c r="BJ83" s="9">
        <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f>
        <v/>
      </c>
    </row>
    <row r="84">
      <c r="A84" s="9">
        <f>ROUND(-1+82*2/240,3)</f>
        <v/>
      </c>
      <c r="B84" s="9">
        <f>IF(OR(Inputs!$F$6=TRUE,Inputs!$F$6="TRUE",Inputs!$F$6=1),(Inputs!$H$6+Inputs!$L$6*(((Inputs!$I$6+(((A84)+1)/2)*(Inputs!$J$6-Inputs!$I$6)))/Inputs!$K$6)^2),NA())</f>
        <v/>
      </c>
      <c r="C84" s="9">
        <f>IF(OR(Inputs!$F$7=TRUE,Inputs!$F$7="TRUE",Inputs!$F$7=1),(Inputs!$H$7+Inputs!$L$7*(((Inputs!$I$7+(((A84)+1)/2)*(Inputs!$J$7-Inputs!$I$7)))/Inputs!$K$7)^2),NA())</f>
        <v/>
      </c>
      <c r="D84" s="9">
        <f>IF(OR(Inputs!$F$8=TRUE,Inputs!$F$8="TRUE",Inputs!$F$8=1),(Inputs!$H$8+Inputs!$L$8*(((Inputs!$I$8+(((A84)+1)/2)*(Inputs!$J$8-Inputs!$I$8)))/Inputs!$K$8)^2),NA())</f>
        <v/>
      </c>
      <c r="E84" s="9">
        <f>IF(OR(Inputs!$F$9=TRUE,Inputs!$F$9="TRUE",Inputs!$F$9=1),(Inputs!$H$9+Inputs!$L$9*(((Inputs!$I$9+(((A84)+1)/2)*(Inputs!$J$9-Inputs!$I$9)))/Inputs!$K$9)^2),NA())</f>
        <v/>
      </c>
      <c r="F84" s="10" t="n"/>
      <c r="G84" s="9">
        <f>A84</f>
        <v/>
      </c>
      <c r="H84" s="9">
        <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f>
        <v/>
      </c>
      <c r="I84" s="9">
        <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f>
        <v/>
      </c>
      <c r="J84" s="9">
        <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f>
        <v/>
      </c>
      <c r="K84" s="9">
        <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f>
        <v/>
      </c>
      <c r="L84" s="10" t="n"/>
      <c r="M84" s="9">
        <f>A84</f>
        <v/>
      </c>
      <c r="N84" s="9">
        <f>IF(OR(Inputs!$F$6=TRUE,Inputs!$F$6="TRUE",Inputs!$F$6=1),(-2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NA())</f>
        <v/>
      </c>
      <c r="O84" s="9">
        <f>IF(OR(Inputs!$F$7=TRUE,Inputs!$F$7="TRUE",Inputs!$F$7=1),(-2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NA())</f>
        <v/>
      </c>
      <c r="P84" s="9">
        <f>IF(OR(Inputs!$F$8=TRUE,Inputs!$F$8="TRUE",Inputs!$F$8=1),(-2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NA())</f>
        <v/>
      </c>
      <c r="Q84" s="9">
        <f>IF(OR(Inputs!$F$9=TRUE,Inputs!$F$9="TRUE",Inputs!$F$9=1),(-2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NA())</f>
        <v/>
      </c>
      <c r="R84" s="10" t="n"/>
      <c r="S84" s="9">
        <f>A84</f>
        <v/>
      </c>
      <c r="T84" s="9">
        <f>(Inputs!$I$6+(((A84)+1)/2)*(Inputs!$J$6-Inputs!$I$6))</f>
        <v/>
      </c>
      <c r="U84" s="9">
        <f>(Inputs!$I$7+(((A84)+1)/2)*(Inputs!$J$7-Inputs!$I$7))</f>
        <v/>
      </c>
      <c r="V84" s="9">
        <f>(Inputs!$I$8+(((A84)+1)/2)*(Inputs!$J$8-Inputs!$I$8))</f>
        <v/>
      </c>
      <c r="W84" s="9">
        <f>(Inputs!$I$9+(((A84)+1)/2)*(Inputs!$J$9-Inputs!$I$9))</f>
        <v/>
      </c>
      <c r="X84" s="10" t="n"/>
      <c r="Y84" s="9">
        <f>A84</f>
        <v/>
      </c>
      <c r="Z84" s="9">
        <f>(Inputs!$H$6+Inputs!$L$6*(((Inputs!$I$6+(((A84)+1)/2)*(Inputs!$J$6-Inputs!$I$6)))/Inputs!$K$6)^2)</f>
        <v/>
      </c>
      <c r="AA84" s="9">
        <f>(Inputs!$H$7+Inputs!$L$7*(((Inputs!$I$7+(((A84)+1)/2)*(Inputs!$J$7-Inputs!$I$7)))/Inputs!$K$7)^2)</f>
        <v/>
      </c>
      <c r="AB84" s="9">
        <f>(Inputs!$H$8+Inputs!$L$8*(((Inputs!$I$8+(((A84)+1)/2)*(Inputs!$J$8-Inputs!$I$8)))/Inputs!$K$8)^2)</f>
        <v/>
      </c>
      <c r="AC84" s="9">
        <f>(Inputs!$H$9+Inputs!$L$9*(((Inputs!$I$9+(((A84)+1)/2)*(Inputs!$J$9-Inputs!$I$9)))/Inputs!$K$9)^2)</f>
        <v/>
      </c>
      <c r="AD84" s="10" t="n"/>
      <c r="AE84" s="9">
        <f>A84</f>
        <v/>
      </c>
      <c r="AF84" s="9">
        <f>(((SQRT((Inputs!$C$52+((Inputs!$H$6+Inputs!$L$6*(((Inputs!$I$6+(((A84)+1)/2)*(Inputs!$J$6-Inputs!$I$6)))/Inputs!$K$6)^2)))^2+Inputs!$C$52^2-2*(Inputs!$C$52+((Inputs!$H$6+Inputs!$L$6*(((Inputs!$I$6+(((A84)+1)/2)*(Inputs!$J$6-Inputs!$I$6)))/Inputs!$K$6)^2)))*Inputs!$C$52*COS(SQRT(((Inputs!$I$6+(((A84)+1)/2)*(Inputs!$J$6-Inputs!$I$6)))^2+Inputs!$C$6^2)/Inputs!$C$52)))-((Inputs!$H$6+Inputs!$L$6*(((Inputs!$I$6+(((A84)+1)/2)*(Inputs!$J$6-Inputs!$I$6)))/Inputs!$K$6)^2)))*1000/Inputs!$C$12)</f>
        <v/>
      </c>
      <c r="AG84" s="9">
        <f>(((SQRT((Inputs!$C$52+((Inputs!$H$7+Inputs!$L$7*(((Inputs!$I$7+(((A84)+1)/2)*(Inputs!$J$7-Inputs!$I$7)))/Inputs!$K$7)^2)))^2+Inputs!$C$52^2-2*(Inputs!$C$52+((Inputs!$H$7+Inputs!$L$7*(((Inputs!$I$7+(((A84)+1)/2)*(Inputs!$J$7-Inputs!$I$7)))/Inputs!$K$7)^2)))*Inputs!$C$52*COS(SQRT(((Inputs!$I$7+(((A84)+1)/2)*(Inputs!$J$7-Inputs!$I$7)))^2+Inputs!$C$6^2)/Inputs!$C$52)))-((Inputs!$H$7+Inputs!$L$7*(((Inputs!$I$7+(((A84)+1)/2)*(Inputs!$J$7-Inputs!$I$7)))/Inputs!$K$7)^2)))*1000/Inputs!$C$12)</f>
        <v/>
      </c>
      <c r="AH84" s="9">
        <f>(((SQRT((Inputs!$C$52+((Inputs!$H$8+Inputs!$L$8*(((Inputs!$I$8+(((A84)+1)/2)*(Inputs!$J$8-Inputs!$I$8)))/Inputs!$K$8)^2)))^2+Inputs!$C$52^2-2*(Inputs!$C$52+((Inputs!$H$8+Inputs!$L$8*(((Inputs!$I$8+(((A84)+1)/2)*(Inputs!$J$8-Inputs!$I$8)))/Inputs!$K$8)^2)))*Inputs!$C$52*COS(SQRT(((Inputs!$I$8+(((A84)+1)/2)*(Inputs!$J$8-Inputs!$I$8)))^2+Inputs!$C$6^2)/Inputs!$C$52)))-((Inputs!$H$8+Inputs!$L$8*(((Inputs!$I$8+(((A84)+1)/2)*(Inputs!$J$8-Inputs!$I$8)))/Inputs!$K$8)^2)))*1000/Inputs!$C$12)</f>
        <v/>
      </c>
      <c r="AI84" s="9">
        <f>(((SQRT((Inputs!$C$52+((Inputs!$H$9+Inputs!$L$9*(((Inputs!$I$9+(((A84)+1)/2)*(Inputs!$J$9-Inputs!$I$9)))/Inputs!$K$9)^2)))^2+Inputs!$C$52^2-2*(Inputs!$C$52+((Inputs!$H$9+Inputs!$L$9*(((Inputs!$I$9+(((A84)+1)/2)*(Inputs!$J$9-Inputs!$I$9)))/Inputs!$K$9)^2)))*Inputs!$C$52*COS(SQRT(((Inputs!$I$9+(((A84)+1)/2)*(Inputs!$J$9-Inputs!$I$9)))^2+Inputs!$C$6^2)/Inputs!$C$52)))-((Inputs!$H$9+Inputs!$L$9*(((Inputs!$I$9+(((A84)+1)/2)*(Inputs!$J$9-Inputs!$I$9)))/Inputs!$K$9)^2)))*1000/Inputs!$C$12)</f>
        <v/>
      </c>
      <c r="AJ84" s="10" t="n"/>
      <c r="AK84" s="9">
        <f>A84</f>
        <v/>
      </c>
      <c r="AL84" s="9">
        <f>(-2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f>
        <v/>
      </c>
      <c r="AM84" s="9">
        <f>(-2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f>
        <v/>
      </c>
      <c r="AN84" s="9">
        <f>(-2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f>
        <v/>
      </c>
      <c r="AO84" s="9">
        <f>(-2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f>
        <v/>
      </c>
      <c r="AP84" s="10" t="n"/>
      <c r="AQ84" s="9">
        <f>A84</f>
        <v/>
      </c>
      <c r="AR84" s="9">
        <f>0</f>
        <v/>
      </c>
      <c r="AS84" s="9">
        <f>IF(OR(Inputs!$F$6=TRUE,Inputs!$F$6="TRUE",Inputs!$F$6=1),IF(OR(Inputs!$C$27=TRUE,Inputs!$C$27="TRUE",Inputs!$C$27=1),1,0)*(Inputs!$C$51*(115*EXP(-(((Inputs!$C$6)-25)^2)/(4.5^2))+70*EXP(-(((Inputs!$C$6)+38)^2)/(7^2))*(0.55+0.45*SIN(2*PI()*((Inputs!$I$6+(((A84)+1)/2)*(Inputs!$J$6-Inputs!$I$6)))/45))+24*SIN(2*PI()*(Inputs!$C$6)/9+((Inputs!$I$6+(((A84)+1)/2)*(Inputs!$J$6-Inputs!$I$6)))/18)*EXP(-(((Inputs!$C$6)+5)^2)/(22^2))+18*SIN(2*PI()*((Inputs!$I$6+(((A84)+1)/2)*(Inputs!$J$6-Inputs!$I$6)))/70))+Inputs!$C$28*EXP(-((((Inputs!$I$6+(((A84)+1)/2)*(Inputs!$J$6-Inputs!$I$6)))-Inputs!$C$29)^2)/(2*Inputs!$C$31^2))*EXP(-(((Inputs!$C$6)-Inputs!$C$30)^2)/(2*Inputs!$C$32^2))+-Inputs!$C$33*EXP(-((((((Inputs!$I$6+(((A84)+1)/2)*(Inputs!$J$6-Inputs!$I$6)))-Inputs!$C$34)^2)+(((Inputs!$C$6)-Inputs!$C$35)^2))/(2*Inputs!$C$36^2)))+Inputs!$C$37*(0.55*SIN(2*PI()*((Inputs!$I$6+(((A84)+1)/2)*(Inputs!$J$6-Inputs!$I$6)))/Inputs!$C$39)+0.35*COS(2*PI()*(Inputs!$C$6)/Inputs!$C$40)+0.2*SIN(2*PI()*(((Inputs!$I$6+(((A84)+1)/2)*(Inputs!$J$6-Inputs!$I$6)))+(Inputs!$C$6))/(0.5*(Inputs!$C$39+Inputs!$C$40))))+Inputs!$C$38*SIN(2*PI()*((Inputs!$I$6+(((A84)+1)/2)*(Inputs!$J$6-Inputs!$I$6)))/Inputs!$C$39)*SIN(2*PI()*(Inputs!$C$6)/Inputs!$C$40)+-Inputs!$C$41*EXP(-(((Inputs!$C$6)-Inputs!$C$43)^2)/(2*Inputs!$C$44^2))*EXP(-((((Inputs!$I$6+(((A84)+1)/2)*(Inputs!$J$6-Inputs!$I$6)))-Inputs!$C$42)^2)/(2*Inputs!$C$45^2))+Inputs!$C$48*(0.7*(0.45*SIN(2*PI()*((((Inputs!$I$6+(((A84)+1)/2)*(Inputs!$J$6-Inputs!$I$6)))/Inputs!$C$49)+Inputs!$C$47*0.137))+0.35*COS(2*PI()*(((Inputs!$C$6)/Inputs!$C$50)+Inputs!$C$47*0.173))+0.2*SIN(2*PI()*((((Inputs!$I$6+(((A84)+1)/2)*(Inputs!$J$6-Inputs!$I$6)))+(Inputs!$C$6))/(0.5*(Inputs!$C$49+Inputs!$C$50))+Inputs!$C$47*0.097)))+0.3*(2*((SIN((((Inputs!$I$6+(((A84)+1)/2)*(Inputs!$J$6-Inputs!$I$6)))*12.9898+(Inputs!$C$6)*78.233+Inputs!$C$47*37.719))*43758.5453)-INT((SIN((((Inputs!$I$6+(((A84)+1)/2)*(Inputs!$J$6-Inputs!$I$6)))*12.9898+(Inputs!$C$6)*78.233+Inputs!$C$47*37.719))*43758.5453)))-1))),NA())</f>
        <v/>
      </c>
      <c r="AT84" s="9">
        <f>IF(OR(Inputs!$F$7=TRUE,Inputs!$F$7="TRUE",Inputs!$F$7=1),IF(OR(Inputs!$C$27=TRUE,Inputs!$C$27="TRUE",Inputs!$C$27=1),1,0)*(Inputs!$C$51*(115*EXP(-(((Inputs!$C$6)-25)^2)/(4.5^2))+70*EXP(-(((Inputs!$C$6)+38)^2)/(7^2))*(0.55+0.45*SIN(2*PI()*((Inputs!$I$7+(((A84)+1)/2)*(Inputs!$J$7-Inputs!$I$7)))/45))+24*SIN(2*PI()*(Inputs!$C$6)/9+((Inputs!$I$7+(((A84)+1)/2)*(Inputs!$J$7-Inputs!$I$7)))/18)*EXP(-(((Inputs!$C$6)+5)^2)/(22^2))+18*SIN(2*PI()*((Inputs!$I$7+(((A84)+1)/2)*(Inputs!$J$7-Inputs!$I$7)))/70))+Inputs!$C$28*EXP(-((((Inputs!$I$7+(((A84)+1)/2)*(Inputs!$J$7-Inputs!$I$7)))-Inputs!$C$29)^2)/(2*Inputs!$C$31^2))*EXP(-(((Inputs!$C$6)-Inputs!$C$30)^2)/(2*Inputs!$C$32^2))+-Inputs!$C$33*EXP(-((((((Inputs!$I$7+(((A84)+1)/2)*(Inputs!$J$7-Inputs!$I$7)))-Inputs!$C$34)^2)+(((Inputs!$C$6)-Inputs!$C$35)^2))/(2*Inputs!$C$36^2)))+Inputs!$C$37*(0.55*SIN(2*PI()*((Inputs!$I$7+(((A84)+1)/2)*(Inputs!$J$7-Inputs!$I$7)))/Inputs!$C$39)+0.35*COS(2*PI()*(Inputs!$C$6)/Inputs!$C$40)+0.2*SIN(2*PI()*(((Inputs!$I$7+(((A84)+1)/2)*(Inputs!$J$7-Inputs!$I$7)))+(Inputs!$C$6))/(0.5*(Inputs!$C$39+Inputs!$C$40))))+Inputs!$C$38*SIN(2*PI()*((Inputs!$I$7+(((A84)+1)/2)*(Inputs!$J$7-Inputs!$I$7)))/Inputs!$C$39)*SIN(2*PI()*(Inputs!$C$6)/Inputs!$C$40)+-Inputs!$C$41*EXP(-(((Inputs!$C$6)-Inputs!$C$43)^2)/(2*Inputs!$C$44^2))*EXP(-((((Inputs!$I$7+(((A84)+1)/2)*(Inputs!$J$7-Inputs!$I$7)))-Inputs!$C$42)^2)/(2*Inputs!$C$45^2))+Inputs!$C$48*(0.7*(0.45*SIN(2*PI()*((((Inputs!$I$7+(((A84)+1)/2)*(Inputs!$J$7-Inputs!$I$7)))/Inputs!$C$49)+Inputs!$C$47*0.137))+0.35*COS(2*PI()*(((Inputs!$C$6)/Inputs!$C$50)+Inputs!$C$47*0.173))+0.2*SIN(2*PI()*((((Inputs!$I$7+(((A84)+1)/2)*(Inputs!$J$7-Inputs!$I$7)))+(Inputs!$C$6))/(0.5*(Inputs!$C$49+Inputs!$C$50))+Inputs!$C$47*0.097)))+0.3*(2*((SIN((((Inputs!$I$7+(((A84)+1)/2)*(Inputs!$J$7-Inputs!$I$7)))*12.9898+(Inputs!$C$6)*78.233+Inputs!$C$47*37.719))*43758.5453)-INT((SIN((((Inputs!$I$7+(((A84)+1)/2)*(Inputs!$J$7-Inputs!$I$7)))*12.9898+(Inputs!$C$6)*78.233+Inputs!$C$47*37.719))*43758.5453)))-1))),NA())</f>
        <v/>
      </c>
      <c r="AU84" s="9">
        <f>IF(OR(Inputs!$F$8=TRUE,Inputs!$F$8="TRUE",Inputs!$F$8=1),IF(OR(Inputs!$C$27=TRUE,Inputs!$C$27="TRUE",Inputs!$C$27=1),1,0)*(Inputs!$C$51*(115*EXP(-(((Inputs!$C$6)-25)^2)/(4.5^2))+70*EXP(-(((Inputs!$C$6)+38)^2)/(7^2))*(0.55+0.45*SIN(2*PI()*((Inputs!$I$8+(((A84)+1)/2)*(Inputs!$J$8-Inputs!$I$8)))/45))+24*SIN(2*PI()*(Inputs!$C$6)/9+((Inputs!$I$8+(((A84)+1)/2)*(Inputs!$J$8-Inputs!$I$8)))/18)*EXP(-(((Inputs!$C$6)+5)^2)/(22^2))+18*SIN(2*PI()*((Inputs!$I$8+(((A84)+1)/2)*(Inputs!$J$8-Inputs!$I$8)))/70))+Inputs!$C$28*EXP(-((((Inputs!$I$8+(((A84)+1)/2)*(Inputs!$J$8-Inputs!$I$8)))-Inputs!$C$29)^2)/(2*Inputs!$C$31^2))*EXP(-(((Inputs!$C$6)-Inputs!$C$30)^2)/(2*Inputs!$C$32^2))+-Inputs!$C$33*EXP(-((((((Inputs!$I$8+(((A84)+1)/2)*(Inputs!$J$8-Inputs!$I$8)))-Inputs!$C$34)^2)+(((Inputs!$C$6)-Inputs!$C$35)^2))/(2*Inputs!$C$36^2)))+Inputs!$C$37*(0.55*SIN(2*PI()*((Inputs!$I$8+(((A84)+1)/2)*(Inputs!$J$8-Inputs!$I$8)))/Inputs!$C$39)+0.35*COS(2*PI()*(Inputs!$C$6)/Inputs!$C$40)+0.2*SIN(2*PI()*(((Inputs!$I$8+(((A84)+1)/2)*(Inputs!$J$8-Inputs!$I$8)))+(Inputs!$C$6))/(0.5*(Inputs!$C$39+Inputs!$C$40))))+Inputs!$C$38*SIN(2*PI()*((Inputs!$I$8+(((A84)+1)/2)*(Inputs!$J$8-Inputs!$I$8)))/Inputs!$C$39)*SIN(2*PI()*(Inputs!$C$6)/Inputs!$C$40)+-Inputs!$C$41*EXP(-(((Inputs!$C$6)-Inputs!$C$43)^2)/(2*Inputs!$C$44^2))*EXP(-((((Inputs!$I$8+(((A84)+1)/2)*(Inputs!$J$8-Inputs!$I$8)))-Inputs!$C$42)^2)/(2*Inputs!$C$45^2))+Inputs!$C$48*(0.7*(0.45*SIN(2*PI()*((((Inputs!$I$8+(((A84)+1)/2)*(Inputs!$J$8-Inputs!$I$8)))/Inputs!$C$49)+Inputs!$C$47*0.137))+0.35*COS(2*PI()*(((Inputs!$C$6)/Inputs!$C$50)+Inputs!$C$47*0.173))+0.2*SIN(2*PI()*((((Inputs!$I$8+(((A84)+1)/2)*(Inputs!$J$8-Inputs!$I$8)))+(Inputs!$C$6))/(0.5*(Inputs!$C$49+Inputs!$C$50))+Inputs!$C$47*0.097)))+0.3*(2*((SIN((((Inputs!$I$8+(((A84)+1)/2)*(Inputs!$J$8-Inputs!$I$8)))*12.9898+(Inputs!$C$6)*78.233+Inputs!$C$47*37.719))*43758.5453)-INT((SIN((((Inputs!$I$8+(((A84)+1)/2)*(Inputs!$J$8-Inputs!$I$8)))*12.9898+(Inputs!$C$6)*78.233+Inputs!$C$47*37.719))*43758.5453)))-1))),NA())</f>
        <v/>
      </c>
      <c r="AV84" s="9">
        <f>IF(OR(Inputs!$F$9=TRUE,Inputs!$F$9="TRUE",Inputs!$F$9=1),IF(OR(Inputs!$C$27=TRUE,Inputs!$C$27="TRUE",Inputs!$C$27=1),1,0)*(Inputs!$C$51*(115*EXP(-(((Inputs!$C$6)-25)^2)/(4.5^2))+70*EXP(-(((Inputs!$C$6)+38)^2)/(7^2))*(0.55+0.45*SIN(2*PI()*((Inputs!$I$9+(((A84)+1)/2)*(Inputs!$J$9-Inputs!$I$9)))/45))+24*SIN(2*PI()*(Inputs!$C$6)/9+((Inputs!$I$9+(((A84)+1)/2)*(Inputs!$J$9-Inputs!$I$9)))/18)*EXP(-(((Inputs!$C$6)+5)^2)/(22^2))+18*SIN(2*PI()*((Inputs!$I$9+(((A84)+1)/2)*(Inputs!$J$9-Inputs!$I$9)))/70))+Inputs!$C$28*EXP(-((((Inputs!$I$9+(((A84)+1)/2)*(Inputs!$J$9-Inputs!$I$9)))-Inputs!$C$29)^2)/(2*Inputs!$C$31^2))*EXP(-(((Inputs!$C$6)-Inputs!$C$30)^2)/(2*Inputs!$C$32^2))+-Inputs!$C$33*EXP(-((((((Inputs!$I$9+(((A84)+1)/2)*(Inputs!$J$9-Inputs!$I$9)))-Inputs!$C$34)^2)+(((Inputs!$C$6)-Inputs!$C$35)^2))/(2*Inputs!$C$36^2)))+Inputs!$C$37*(0.55*SIN(2*PI()*((Inputs!$I$9+(((A84)+1)/2)*(Inputs!$J$9-Inputs!$I$9)))/Inputs!$C$39)+0.35*COS(2*PI()*(Inputs!$C$6)/Inputs!$C$40)+0.2*SIN(2*PI()*(((Inputs!$I$9+(((A84)+1)/2)*(Inputs!$J$9-Inputs!$I$9)))+(Inputs!$C$6))/(0.5*(Inputs!$C$39+Inputs!$C$40))))+Inputs!$C$38*SIN(2*PI()*((Inputs!$I$9+(((A84)+1)/2)*(Inputs!$J$9-Inputs!$I$9)))/Inputs!$C$39)*SIN(2*PI()*(Inputs!$C$6)/Inputs!$C$40)+-Inputs!$C$41*EXP(-(((Inputs!$C$6)-Inputs!$C$43)^2)/(2*Inputs!$C$44^2))*EXP(-((((Inputs!$I$9+(((A84)+1)/2)*(Inputs!$J$9-Inputs!$I$9)))-Inputs!$C$42)^2)/(2*Inputs!$C$45^2))+Inputs!$C$48*(0.7*(0.45*SIN(2*PI()*((((Inputs!$I$9+(((A84)+1)/2)*(Inputs!$J$9-Inputs!$I$9)))/Inputs!$C$49)+Inputs!$C$47*0.137))+0.35*COS(2*PI()*(((Inputs!$C$6)/Inputs!$C$50)+Inputs!$C$47*0.173))+0.2*SIN(2*PI()*((((Inputs!$I$9+(((A84)+1)/2)*(Inputs!$J$9-Inputs!$I$9)))+(Inputs!$C$6))/(0.5*(Inputs!$C$49+Inputs!$C$50))+Inputs!$C$47*0.097)))+0.3*(2*((SIN((((Inputs!$I$9+(((A84)+1)/2)*(Inputs!$J$9-Inputs!$I$9)))*12.9898+(Inputs!$C$6)*78.233+Inputs!$C$47*37.719))*43758.5453)-INT((SIN((((Inputs!$I$9+(((A84)+1)/2)*(Inputs!$J$9-Inputs!$I$9)))*12.9898+(Inputs!$C$6)*78.233+Inputs!$C$47*37.719))*43758.5453)))-1))),NA())</f>
        <v/>
      </c>
      <c r="AW84" s="10" t="n"/>
      <c r="AX84" s="9">
        <f>A84</f>
        <v/>
      </c>
      <c r="AY84" s="9">
        <f>0</f>
        <v/>
      </c>
      <c r="AZ84" s="9">
        <f>IF(OR(Inputs!$F$6=TRUE,Inputs!$F$6="TRUE",Inputs!$F$6=1),(Inputs!$H$6+Inputs!$L$6*(((Inputs!$I$6+(((A84)+1)/2)*(Inputs!$J$6-Inputs!$I$6)))/Inputs!$K$6)^2),NA())</f>
        <v/>
      </c>
      <c r="BA84" s="9">
        <f>IF(OR(Inputs!$F$7=TRUE,Inputs!$F$7="TRUE",Inputs!$F$7=1),(Inputs!$H$7+Inputs!$L$7*(((Inputs!$I$7+(((A84)+1)/2)*(Inputs!$J$7-Inputs!$I$7)))/Inputs!$K$7)^2),NA())</f>
        <v/>
      </c>
      <c r="BB84" s="9">
        <f>IF(OR(Inputs!$F$8=TRUE,Inputs!$F$8="TRUE",Inputs!$F$8=1),(Inputs!$H$8+Inputs!$L$8*(((Inputs!$I$8+(((A84)+1)/2)*(Inputs!$J$8-Inputs!$I$8)))/Inputs!$K$8)^2),NA())</f>
        <v/>
      </c>
      <c r="BC84" s="9">
        <f>IF(OR(Inputs!$F$9=TRUE,Inputs!$F$9="TRUE",Inputs!$F$9=1),(Inputs!$H$9+Inputs!$L$9*(((Inputs!$I$9+(((A84)+1)/2)*(Inputs!$J$9-Inputs!$I$9)))/Inputs!$K$9)^2),NA())</f>
        <v/>
      </c>
      <c r="BD84" s="10" t="n"/>
      <c r="BE84" s="9">
        <f>A84</f>
        <v/>
      </c>
      <c r="BF84" s="9">
        <f>0</f>
        <v/>
      </c>
      <c r="BG84" s="9">
        <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f>
        <v/>
      </c>
      <c r="BH84" s="9">
        <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f>
        <v/>
      </c>
      <c r="BI84" s="9">
        <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f>
        <v/>
      </c>
      <c r="BJ84" s="9">
        <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f>
        <v/>
      </c>
    </row>
    <row r="85">
      <c r="A85" s="9">
        <f>ROUND(-1+83*2/240,3)</f>
        <v/>
      </c>
      <c r="B85" s="9">
        <f>IF(OR(Inputs!$F$6=TRUE,Inputs!$F$6="TRUE",Inputs!$F$6=1),(Inputs!$H$6+Inputs!$L$6*(((Inputs!$I$6+(((A85)+1)/2)*(Inputs!$J$6-Inputs!$I$6)))/Inputs!$K$6)^2),NA())</f>
        <v/>
      </c>
      <c r="C85" s="9">
        <f>IF(OR(Inputs!$F$7=TRUE,Inputs!$F$7="TRUE",Inputs!$F$7=1),(Inputs!$H$7+Inputs!$L$7*(((Inputs!$I$7+(((A85)+1)/2)*(Inputs!$J$7-Inputs!$I$7)))/Inputs!$K$7)^2),NA())</f>
        <v/>
      </c>
      <c r="D85" s="9">
        <f>IF(OR(Inputs!$F$8=TRUE,Inputs!$F$8="TRUE",Inputs!$F$8=1),(Inputs!$H$8+Inputs!$L$8*(((Inputs!$I$8+(((A85)+1)/2)*(Inputs!$J$8-Inputs!$I$8)))/Inputs!$K$8)^2),NA())</f>
        <v/>
      </c>
      <c r="E85" s="9">
        <f>IF(OR(Inputs!$F$9=TRUE,Inputs!$F$9="TRUE",Inputs!$F$9=1),(Inputs!$H$9+Inputs!$L$9*(((Inputs!$I$9+(((A85)+1)/2)*(Inputs!$J$9-Inputs!$I$9)))/Inputs!$K$9)^2),NA())</f>
        <v/>
      </c>
      <c r="F85" s="10" t="n"/>
      <c r="G85" s="9">
        <f>A85</f>
        <v/>
      </c>
      <c r="H85" s="9">
        <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f>
        <v/>
      </c>
      <c r="I85" s="9">
        <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f>
        <v/>
      </c>
      <c r="J85" s="9">
        <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f>
        <v/>
      </c>
      <c r="K85" s="9">
        <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f>
        <v/>
      </c>
      <c r="L85" s="10" t="n"/>
      <c r="M85" s="9">
        <f>A85</f>
        <v/>
      </c>
      <c r="N85" s="9">
        <f>IF(OR(Inputs!$F$6=TRUE,Inputs!$F$6="TRUE",Inputs!$F$6=1),(-2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NA())</f>
        <v/>
      </c>
      <c r="O85" s="9">
        <f>IF(OR(Inputs!$F$7=TRUE,Inputs!$F$7="TRUE",Inputs!$F$7=1),(-2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NA())</f>
        <v/>
      </c>
      <c r="P85" s="9">
        <f>IF(OR(Inputs!$F$8=TRUE,Inputs!$F$8="TRUE",Inputs!$F$8=1),(-2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NA())</f>
        <v/>
      </c>
      <c r="Q85" s="9">
        <f>IF(OR(Inputs!$F$9=TRUE,Inputs!$F$9="TRUE",Inputs!$F$9=1),(-2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NA())</f>
        <v/>
      </c>
      <c r="R85" s="10" t="n"/>
      <c r="S85" s="9">
        <f>A85</f>
        <v/>
      </c>
      <c r="T85" s="9">
        <f>(Inputs!$I$6+(((A85)+1)/2)*(Inputs!$J$6-Inputs!$I$6))</f>
        <v/>
      </c>
      <c r="U85" s="9">
        <f>(Inputs!$I$7+(((A85)+1)/2)*(Inputs!$J$7-Inputs!$I$7))</f>
        <v/>
      </c>
      <c r="V85" s="9">
        <f>(Inputs!$I$8+(((A85)+1)/2)*(Inputs!$J$8-Inputs!$I$8))</f>
        <v/>
      </c>
      <c r="W85" s="9">
        <f>(Inputs!$I$9+(((A85)+1)/2)*(Inputs!$J$9-Inputs!$I$9))</f>
        <v/>
      </c>
      <c r="X85" s="10" t="n"/>
      <c r="Y85" s="9">
        <f>A85</f>
        <v/>
      </c>
      <c r="Z85" s="9">
        <f>(Inputs!$H$6+Inputs!$L$6*(((Inputs!$I$6+(((A85)+1)/2)*(Inputs!$J$6-Inputs!$I$6)))/Inputs!$K$6)^2)</f>
        <v/>
      </c>
      <c r="AA85" s="9">
        <f>(Inputs!$H$7+Inputs!$L$7*(((Inputs!$I$7+(((A85)+1)/2)*(Inputs!$J$7-Inputs!$I$7)))/Inputs!$K$7)^2)</f>
        <v/>
      </c>
      <c r="AB85" s="9">
        <f>(Inputs!$H$8+Inputs!$L$8*(((Inputs!$I$8+(((A85)+1)/2)*(Inputs!$J$8-Inputs!$I$8)))/Inputs!$K$8)^2)</f>
        <v/>
      </c>
      <c r="AC85" s="9">
        <f>(Inputs!$H$9+Inputs!$L$9*(((Inputs!$I$9+(((A85)+1)/2)*(Inputs!$J$9-Inputs!$I$9)))/Inputs!$K$9)^2)</f>
        <v/>
      </c>
      <c r="AD85" s="10" t="n"/>
      <c r="AE85" s="9">
        <f>A85</f>
        <v/>
      </c>
      <c r="AF85" s="9">
        <f>(((SQRT((Inputs!$C$52+((Inputs!$H$6+Inputs!$L$6*(((Inputs!$I$6+(((A85)+1)/2)*(Inputs!$J$6-Inputs!$I$6)))/Inputs!$K$6)^2)))^2+Inputs!$C$52^2-2*(Inputs!$C$52+((Inputs!$H$6+Inputs!$L$6*(((Inputs!$I$6+(((A85)+1)/2)*(Inputs!$J$6-Inputs!$I$6)))/Inputs!$K$6)^2)))*Inputs!$C$52*COS(SQRT(((Inputs!$I$6+(((A85)+1)/2)*(Inputs!$J$6-Inputs!$I$6)))^2+Inputs!$C$6^2)/Inputs!$C$52)))-((Inputs!$H$6+Inputs!$L$6*(((Inputs!$I$6+(((A85)+1)/2)*(Inputs!$J$6-Inputs!$I$6)))/Inputs!$K$6)^2)))*1000/Inputs!$C$12)</f>
        <v/>
      </c>
      <c r="AG85" s="9">
        <f>(((SQRT((Inputs!$C$52+((Inputs!$H$7+Inputs!$L$7*(((Inputs!$I$7+(((A85)+1)/2)*(Inputs!$J$7-Inputs!$I$7)))/Inputs!$K$7)^2)))^2+Inputs!$C$52^2-2*(Inputs!$C$52+((Inputs!$H$7+Inputs!$L$7*(((Inputs!$I$7+(((A85)+1)/2)*(Inputs!$J$7-Inputs!$I$7)))/Inputs!$K$7)^2)))*Inputs!$C$52*COS(SQRT(((Inputs!$I$7+(((A85)+1)/2)*(Inputs!$J$7-Inputs!$I$7)))^2+Inputs!$C$6^2)/Inputs!$C$52)))-((Inputs!$H$7+Inputs!$L$7*(((Inputs!$I$7+(((A85)+1)/2)*(Inputs!$J$7-Inputs!$I$7)))/Inputs!$K$7)^2)))*1000/Inputs!$C$12)</f>
        <v/>
      </c>
      <c r="AH85" s="9">
        <f>(((SQRT((Inputs!$C$52+((Inputs!$H$8+Inputs!$L$8*(((Inputs!$I$8+(((A85)+1)/2)*(Inputs!$J$8-Inputs!$I$8)))/Inputs!$K$8)^2)))^2+Inputs!$C$52^2-2*(Inputs!$C$52+((Inputs!$H$8+Inputs!$L$8*(((Inputs!$I$8+(((A85)+1)/2)*(Inputs!$J$8-Inputs!$I$8)))/Inputs!$K$8)^2)))*Inputs!$C$52*COS(SQRT(((Inputs!$I$8+(((A85)+1)/2)*(Inputs!$J$8-Inputs!$I$8)))^2+Inputs!$C$6^2)/Inputs!$C$52)))-((Inputs!$H$8+Inputs!$L$8*(((Inputs!$I$8+(((A85)+1)/2)*(Inputs!$J$8-Inputs!$I$8)))/Inputs!$K$8)^2)))*1000/Inputs!$C$12)</f>
        <v/>
      </c>
      <c r="AI85" s="9">
        <f>(((SQRT((Inputs!$C$52+((Inputs!$H$9+Inputs!$L$9*(((Inputs!$I$9+(((A85)+1)/2)*(Inputs!$J$9-Inputs!$I$9)))/Inputs!$K$9)^2)))^2+Inputs!$C$52^2-2*(Inputs!$C$52+((Inputs!$H$9+Inputs!$L$9*(((Inputs!$I$9+(((A85)+1)/2)*(Inputs!$J$9-Inputs!$I$9)))/Inputs!$K$9)^2)))*Inputs!$C$52*COS(SQRT(((Inputs!$I$9+(((A85)+1)/2)*(Inputs!$J$9-Inputs!$I$9)))^2+Inputs!$C$6^2)/Inputs!$C$52)))-((Inputs!$H$9+Inputs!$L$9*(((Inputs!$I$9+(((A85)+1)/2)*(Inputs!$J$9-Inputs!$I$9)))/Inputs!$K$9)^2)))*1000/Inputs!$C$12)</f>
        <v/>
      </c>
      <c r="AJ85" s="10" t="n"/>
      <c r="AK85" s="9">
        <f>A85</f>
        <v/>
      </c>
      <c r="AL85" s="9">
        <f>(-2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f>
        <v/>
      </c>
      <c r="AM85" s="9">
        <f>(-2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f>
        <v/>
      </c>
      <c r="AN85" s="9">
        <f>(-2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f>
        <v/>
      </c>
      <c r="AO85" s="9">
        <f>(-2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f>
        <v/>
      </c>
      <c r="AP85" s="10" t="n"/>
      <c r="AQ85" s="9">
        <f>A85</f>
        <v/>
      </c>
      <c r="AR85" s="9">
        <f>0</f>
        <v/>
      </c>
      <c r="AS85" s="9">
        <f>IF(OR(Inputs!$F$6=TRUE,Inputs!$F$6="TRUE",Inputs!$F$6=1),IF(OR(Inputs!$C$27=TRUE,Inputs!$C$27="TRUE",Inputs!$C$27=1),1,0)*(Inputs!$C$51*(115*EXP(-(((Inputs!$C$6)-25)^2)/(4.5^2))+70*EXP(-(((Inputs!$C$6)+38)^2)/(7^2))*(0.55+0.45*SIN(2*PI()*((Inputs!$I$6+(((A85)+1)/2)*(Inputs!$J$6-Inputs!$I$6)))/45))+24*SIN(2*PI()*(Inputs!$C$6)/9+((Inputs!$I$6+(((A85)+1)/2)*(Inputs!$J$6-Inputs!$I$6)))/18)*EXP(-(((Inputs!$C$6)+5)^2)/(22^2))+18*SIN(2*PI()*((Inputs!$I$6+(((A85)+1)/2)*(Inputs!$J$6-Inputs!$I$6)))/70))+Inputs!$C$28*EXP(-((((Inputs!$I$6+(((A85)+1)/2)*(Inputs!$J$6-Inputs!$I$6)))-Inputs!$C$29)^2)/(2*Inputs!$C$31^2))*EXP(-(((Inputs!$C$6)-Inputs!$C$30)^2)/(2*Inputs!$C$32^2))+-Inputs!$C$33*EXP(-((((((Inputs!$I$6+(((A85)+1)/2)*(Inputs!$J$6-Inputs!$I$6)))-Inputs!$C$34)^2)+(((Inputs!$C$6)-Inputs!$C$35)^2))/(2*Inputs!$C$36^2)))+Inputs!$C$37*(0.55*SIN(2*PI()*((Inputs!$I$6+(((A85)+1)/2)*(Inputs!$J$6-Inputs!$I$6)))/Inputs!$C$39)+0.35*COS(2*PI()*(Inputs!$C$6)/Inputs!$C$40)+0.2*SIN(2*PI()*(((Inputs!$I$6+(((A85)+1)/2)*(Inputs!$J$6-Inputs!$I$6)))+(Inputs!$C$6))/(0.5*(Inputs!$C$39+Inputs!$C$40))))+Inputs!$C$38*SIN(2*PI()*((Inputs!$I$6+(((A85)+1)/2)*(Inputs!$J$6-Inputs!$I$6)))/Inputs!$C$39)*SIN(2*PI()*(Inputs!$C$6)/Inputs!$C$40)+-Inputs!$C$41*EXP(-(((Inputs!$C$6)-Inputs!$C$43)^2)/(2*Inputs!$C$44^2))*EXP(-((((Inputs!$I$6+(((A85)+1)/2)*(Inputs!$J$6-Inputs!$I$6)))-Inputs!$C$42)^2)/(2*Inputs!$C$45^2))+Inputs!$C$48*(0.7*(0.45*SIN(2*PI()*((((Inputs!$I$6+(((A85)+1)/2)*(Inputs!$J$6-Inputs!$I$6)))/Inputs!$C$49)+Inputs!$C$47*0.137))+0.35*COS(2*PI()*(((Inputs!$C$6)/Inputs!$C$50)+Inputs!$C$47*0.173))+0.2*SIN(2*PI()*((((Inputs!$I$6+(((A85)+1)/2)*(Inputs!$J$6-Inputs!$I$6)))+(Inputs!$C$6))/(0.5*(Inputs!$C$49+Inputs!$C$50))+Inputs!$C$47*0.097)))+0.3*(2*((SIN((((Inputs!$I$6+(((A85)+1)/2)*(Inputs!$J$6-Inputs!$I$6)))*12.9898+(Inputs!$C$6)*78.233+Inputs!$C$47*37.719))*43758.5453)-INT((SIN((((Inputs!$I$6+(((A85)+1)/2)*(Inputs!$J$6-Inputs!$I$6)))*12.9898+(Inputs!$C$6)*78.233+Inputs!$C$47*37.719))*43758.5453)))-1))),NA())</f>
        <v/>
      </c>
      <c r="AT85" s="9">
        <f>IF(OR(Inputs!$F$7=TRUE,Inputs!$F$7="TRUE",Inputs!$F$7=1),IF(OR(Inputs!$C$27=TRUE,Inputs!$C$27="TRUE",Inputs!$C$27=1),1,0)*(Inputs!$C$51*(115*EXP(-(((Inputs!$C$6)-25)^2)/(4.5^2))+70*EXP(-(((Inputs!$C$6)+38)^2)/(7^2))*(0.55+0.45*SIN(2*PI()*((Inputs!$I$7+(((A85)+1)/2)*(Inputs!$J$7-Inputs!$I$7)))/45))+24*SIN(2*PI()*(Inputs!$C$6)/9+((Inputs!$I$7+(((A85)+1)/2)*(Inputs!$J$7-Inputs!$I$7)))/18)*EXP(-(((Inputs!$C$6)+5)^2)/(22^2))+18*SIN(2*PI()*((Inputs!$I$7+(((A85)+1)/2)*(Inputs!$J$7-Inputs!$I$7)))/70))+Inputs!$C$28*EXP(-((((Inputs!$I$7+(((A85)+1)/2)*(Inputs!$J$7-Inputs!$I$7)))-Inputs!$C$29)^2)/(2*Inputs!$C$31^2))*EXP(-(((Inputs!$C$6)-Inputs!$C$30)^2)/(2*Inputs!$C$32^2))+-Inputs!$C$33*EXP(-((((((Inputs!$I$7+(((A85)+1)/2)*(Inputs!$J$7-Inputs!$I$7)))-Inputs!$C$34)^2)+(((Inputs!$C$6)-Inputs!$C$35)^2))/(2*Inputs!$C$36^2)))+Inputs!$C$37*(0.55*SIN(2*PI()*((Inputs!$I$7+(((A85)+1)/2)*(Inputs!$J$7-Inputs!$I$7)))/Inputs!$C$39)+0.35*COS(2*PI()*(Inputs!$C$6)/Inputs!$C$40)+0.2*SIN(2*PI()*(((Inputs!$I$7+(((A85)+1)/2)*(Inputs!$J$7-Inputs!$I$7)))+(Inputs!$C$6))/(0.5*(Inputs!$C$39+Inputs!$C$40))))+Inputs!$C$38*SIN(2*PI()*((Inputs!$I$7+(((A85)+1)/2)*(Inputs!$J$7-Inputs!$I$7)))/Inputs!$C$39)*SIN(2*PI()*(Inputs!$C$6)/Inputs!$C$40)+-Inputs!$C$41*EXP(-(((Inputs!$C$6)-Inputs!$C$43)^2)/(2*Inputs!$C$44^2))*EXP(-((((Inputs!$I$7+(((A85)+1)/2)*(Inputs!$J$7-Inputs!$I$7)))-Inputs!$C$42)^2)/(2*Inputs!$C$45^2))+Inputs!$C$48*(0.7*(0.45*SIN(2*PI()*((((Inputs!$I$7+(((A85)+1)/2)*(Inputs!$J$7-Inputs!$I$7)))/Inputs!$C$49)+Inputs!$C$47*0.137))+0.35*COS(2*PI()*(((Inputs!$C$6)/Inputs!$C$50)+Inputs!$C$47*0.173))+0.2*SIN(2*PI()*((((Inputs!$I$7+(((A85)+1)/2)*(Inputs!$J$7-Inputs!$I$7)))+(Inputs!$C$6))/(0.5*(Inputs!$C$49+Inputs!$C$50))+Inputs!$C$47*0.097)))+0.3*(2*((SIN((((Inputs!$I$7+(((A85)+1)/2)*(Inputs!$J$7-Inputs!$I$7)))*12.9898+(Inputs!$C$6)*78.233+Inputs!$C$47*37.719))*43758.5453)-INT((SIN((((Inputs!$I$7+(((A85)+1)/2)*(Inputs!$J$7-Inputs!$I$7)))*12.9898+(Inputs!$C$6)*78.233+Inputs!$C$47*37.719))*43758.5453)))-1))),NA())</f>
        <v/>
      </c>
      <c r="AU85" s="9">
        <f>IF(OR(Inputs!$F$8=TRUE,Inputs!$F$8="TRUE",Inputs!$F$8=1),IF(OR(Inputs!$C$27=TRUE,Inputs!$C$27="TRUE",Inputs!$C$27=1),1,0)*(Inputs!$C$51*(115*EXP(-(((Inputs!$C$6)-25)^2)/(4.5^2))+70*EXP(-(((Inputs!$C$6)+38)^2)/(7^2))*(0.55+0.45*SIN(2*PI()*((Inputs!$I$8+(((A85)+1)/2)*(Inputs!$J$8-Inputs!$I$8)))/45))+24*SIN(2*PI()*(Inputs!$C$6)/9+((Inputs!$I$8+(((A85)+1)/2)*(Inputs!$J$8-Inputs!$I$8)))/18)*EXP(-(((Inputs!$C$6)+5)^2)/(22^2))+18*SIN(2*PI()*((Inputs!$I$8+(((A85)+1)/2)*(Inputs!$J$8-Inputs!$I$8)))/70))+Inputs!$C$28*EXP(-((((Inputs!$I$8+(((A85)+1)/2)*(Inputs!$J$8-Inputs!$I$8)))-Inputs!$C$29)^2)/(2*Inputs!$C$31^2))*EXP(-(((Inputs!$C$6)-Inputs!$C$30)^2)/(2*Inputs!$C$32^2))+-Inputs!$C$33*EXP(-((((((Inputs!$I$8+(((A85)+1)/2)*(Inputs!$J$8-Inputs!$I$8)))-Inputs!$C$34)^2)+(((Inputs!$C$6)-Inputs!$C$35)^2))/(2*Inputs!$C$36^2)))+Inputs!$C$37*(0.55*SIN(2*PI()*((Inputs!$I$8+(((A85)+1)/2)*(Inputs!$J$8-Inputs!$I$8)))/Inputs!$C$39)+0.35*COS(2*PI()*(Inputs!$C$6)/Inputs!$C$40)+0.2*SIN(2*PI()*(((Inputs!$I$8+(((A85)+1)/2)*(Inputs!$J$8-Inputs!$I$8)))+(Inputs!$C$6))/(0.5*(Inputs!$C$39+Inputs!$C$40))))+Inputs!$C$38*SIN(2*PI()*((Inputs!$I$8+(((A85)+1)/2)*(Inputs!$J$8-Inputs!$I$8)))/Inputs!$C$39)*SIN(2*PI()*(Inputs!$C$6)/Inputs!$C$40)+-Inputs!$C$41*EXP(-(((Inputs!$C$6)-Inputs!$C$43)^2)/(2*Inputs!$C$44^2))*EXP(-((((Inputs!$I$8+(((A85)+1)/2)*(Inputs!$J$8-Inputs!$I$8)))-Inputs!$C$42)^2)/(2*Inputs!$C$45^2))+Inputs!$C$48*(0.7*(0.45*SIN(2*PI()*((((Inputs!$I$8+(((A85)+1)/2)*(Inputs!$J$8-Inputs!$I$8)))/Inputs!$C$49)+Inputs!$C$47*0.137))+0.35*COS(2*PI()*(((Inputs!$C$6)/Inputs!$C$50)+Inputs!$C$47*0.173))+0.2*SIN(2*PI()*((((Inputs!$I$8+(((A85)+1)/2)*(Inputs!$J$8-Inputs!$I$8)))+(Inputs!$C$6))/(0.5*(Inputs!$C$49+Inputs!$C$50))+Inputs!$C$47*0.097)))+0.3*(2*((SIN((((Inputs!$I$8+(((A85)+1)/2)*(Inputs!$J$8-Inputs!$I$8)))*12.9898+(Inputs!$C$6)*78.233+Inputs!$C$47*37.719))*43758.5453)-INT((SIN((((Inputs!$I$8+(((A85)+1)/2)*(Inputs!$J$8-Inputs!$I$8)))*12.9898+(Inputs!$C$6)*78.233+Inputs!$C$47*37.719))*43758.5453)))-1))),NA())</f>
        <v/>
      </c>
      <c r="AV85" s="9">
        <f>IF(OR(Inputs!$F$9=TRUE,Inputs!$F$9="TRUE",Inputs!$F$9=1),IF(OR(Inputs!$C$27=TRUE,Inputs!$C$27="TRUE",Inputs!$C$27=1),1,0)*(Inputs!$C$51*(115*EXP(-(((Inputs!$C$6)-25)^2)/(4.5^2))+70*EXP(-(((Inputs!$C$6)+38)^2)/(7^2))*(0.55+0.45*SIN(2*PI()*((Inputs!$I$9+(((A85)+1)/2)*(Inputs!$J$9-Inputs!$I$9)))/45))+24*SIN(2*PI()*(Inputs!$C$6)/9+((Inputs!$I$9+(((A85)+1)/2)*(Inputs!$J$9-Inputs!$I$9)))/18)*EXP(-(((Inputs!$C$6)+5)^2)/(22^2))+18*SIN(2*PI()*((Inputs!$I$9+(((A85)+1)/2)*(Inputs!$J$9-Inputs!$I$9)))/70))+Inputs!$C$28*EXP(-((((Inputs!$I$9+(((A85)+1)/2)*(Inputs!$J$9-Inputs!$I$9)))-Inputs!$C$29)^2)/(2*Inputs!$C$31^2))*EXP(-(((Inputs!$C$6)-Inputs!$C$30)^2)/(2*Inputs!$C$32^2))+-Inputs!$C$33*EXP(-((((((Inputs!$I$9+(((A85)+1)/2)*(Inputs!$J$9-Inputs!$I$9)))-Inputs!$C$34)^2)+(((Inputs!$C$6)-Inputs!$C$35)^2))/(2*Inputs!$C$36^2)))+Inputs!$C$37*(0.55*SIN(2*PI()*((Inputs!$I$9+(((A85)+1)/2)*(Inputs!$J$9-Inputs!$I$9)))/Inputs!$C$39)+0.35*COS(2*PI()*(Inputs!$C$6)/Inputs!$C$40)+0.2*SIN(2*PI()*(((Inputs!$I$9+(((A85)+1)/2)*(Inputs!$J$9-Inputs!$I$9)))+(Inputs!$C$6))/(0.5*(Inputs!$C$39+Inputs!$C$40))))+Inputs!$C$38*SIN(2*PI()*((Inputs!$I$9+(((A85)+1)/2)*(Inputs!$J$9-Inputs!$I$9)))/Inputs!$C$39)*SIN(2*PI()*(Inputs!$C$6)/Inputs!$C$40)+-Inputs!$C$41*EXP(-(((Inputs!$C$6)-Inputs!$C$43)^2)/(2*Inputs!$C$44^2))*EXP(-((((Inputs!$I$9+(((A85)+1)/2)*(Inputs!$J$9-Inputs!$I$9)))-Inputs!$C$42)^2)/(2*Inputs!$C$45^2))+Inputs!$C$48*(0.7*(0.45*SIN(2*PI()*((((Inputs!$I$9+(((A85)+1)/2)*(Inputs!$J$9-Inputs!$I$9)))/Inputs!$C$49)+Inputs!$C$47*0.137))+0.35*COS(2*PI()*(((Inputs!$C$6)/Inputs!$C$50)+Inputs!$C$47*0.173))+0.2*SIN(2*PI()*((((Inputs!$I$9+(((A85)+1)/2)*(Inputs!$J$9-Inputs!$I$9)))+(Inputs!$C$6))/(0.5*(Inputs!$C$49+Inputs!$C$50))+Inputs!$C$47*0.097)))+0.3*(2*((SIN((((Inputs!$I$9+(((A85)+1)/2)*(Inputs!$J$9-Inputs!$I$9)))*12.9898+(Inputs!$C$6)*78.233+Inputs!$C$47*37.719))*43758.5453)-INT((SIN((((Inputs!$I$9+(((A85)+1)/2)*(Inputs!$J$9-Inputs!$I$9)))*12.9898+(Inputs!$C$6)*78.233+Inputs!$C$47*37.719))*43758.5453)))-1))),NA())</f>
        <v/>
      </c>
      <c r="AW85" s="10" t="n"/>
      <c r="AX85" s="9">
        <f>A85</f>
        <v/>
      </c>
      <c r="AY85" s="9">
        <f>0</f>
        <v/>
      </c>
      <c r="AZ85" s="9">
        <f>IF(OR(Inputs!$F$6=TRUE,Inputs!$F$6="TRUE",Inputs!$F$6=1),(Inputs!$H$6+Inputs!$L$6*(((Inputs!$I$6+(((A85)+1)/2)*(Inputs!$J$6-Inputs!$I$6)))/Inputs!$K$6)^2),NA())</f>
        <v/>
      </c>
      <c r="BA85" s="9">
        <f>IF(OR(Inputs!$F$7=TRUE,Inputs!$F$7="TRUE",Inputs!$F$7=1),(Inputs!$H$7+Inputs!$L$7*(((Inputs!$I$7+(((A85)+1)/2)*(Inputs!$J$7-Inputs!$I$7)))/Inputs!$K$7)^2),NA())</f>
        <v/>
      </c>
      <c r="BB85" s="9">
        <f>IF(OR(Inputs!$F$8=TRUE,Inputs!$F$8="TRUE",Inputs!$F$8=1),(Inputs!$H$8+Inputs!$L$8*(((Inputs!$I$8+(((A85)+1)/2)*(Inputs!$J$8-Inputs!$I$8)))/Inputs!$K$8)^2),NA())</f>
        <v/>
      </c>
      <c r="BC85" s="9">
        <f>IF(OR(Inputs!$F$9=TRUE,Inputs!$F$9="TRUE",Inputs!$F$9=1),(Inputs!$H$9+Inputs!$L$9*(((Inputs!$I$9+(((A85)+1)/2)*(Inputs!$J$9-Inputs!$I$9)))/Inputs!$K$9)^2),NA())</f>
        <v/>
      </c>
      <c r="BD85" s="10" t="n"/>
      <c r="BE85" s="9">
        <f>A85</f>
        <v/>
      </c>
      <c r="BF85" s="9">
        <f>0</f>
        <v/>
      </c>
      <c r="BG85" s="9">
        <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f>
        <v/>
      </c>
      <c r="BH85" s="9">
        <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f>
        <v/>
      </c>
      <c r="BI85" s="9">
        <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f>
        <v/>
      </c>
      <c r="BJ85" s="9">
        <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f>
        <v/>
      </c>
    </row>
    <row r="86">
      <c r="A86" s="9">
        <f>ROUND(-1+84*2/240,3)</f>
        <v/>
      </c>
      <c r="B86" s="9">
        <f>IF(OR(Inputs!$F$6=TRUE,Inputs!$F$6="TRUE",Inputs!$F$6=1),(Inputs!$H$6+Inputs!$L$6*(((Inputs!$I$6+(((A86)+1)/2)*(Inputs!$J$6-Inputs!$I$6)))/Inputs!$K$6)^2),NA())</f>
        <v/>
      </c>
      <c r="C86" s="9">
        <f>IF(OR(Inputs!$F$7=TRUE,Inputs!$F$7="TRUE",Inputs!$F$7=1),(Inputs!$H$7+Inputs!$L$7*(((Inputs!$I$7+(((A86)+1)/2)*(Inputs!$J$7-Inputs!$I$7)))/Inputs!$K$7)^2),NA())</f>
        <v/>
      </c>
      <c r="D86" s="9">
        <f>IF(OR(Inputs!$F$8=TRUE,Inputs!$F$8="TRUE",Inputs!$F$8=1),(Inputs!$H$8+Inputs!$L$8*(((Inputs!$I$8+(((A86)+1)/2)*(Inputs!$J$8-Inputs!$I$8)))/Inputs!$K$8)^2),NA())</f>
        <v/>
      </c>
      <c r="E86" s="9">
        <f>IF(OR(Inputs!$F$9=TRUE,Inputs!$F$9="TRUE",Inputs!$F$9=1),(Inputs!$H$9+Inputs!$L$9*(((Inputs!$I$9+(((A86)+1)/2)*(Inputs!$J$9-Inputs!$I$9)))/Inputs!$K$9)^2),NA())</f>
        <v/>
      </c>
      <c r="F86" s="10" t="n"/>
      <c r="G86" s="9">
        <f>A86</f>
        <v/>
      </c>
      <c r="H86" s="9">
        <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f>
        <v/>
      </c>
      <c r="I86" s="9">
        <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f>
        <v/>
      </c>
      <c r="J86" s="9">
        <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f>
        <v/>
      </c>
      <c r="K86" s="9">
        <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f>
        <v/>
      </c>
      <c r="L86" s="10" t="n"/>
      <c r="M86" s="9">
        <f>A86</f>
        <v/>
      </c>
      <c r="N86" s="9">
        <f>IF(OR(Inputs!$F$6=TRUE,Inputs!$F$6="TRUE",Inputs!$F$6=1),(-2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NA())</f>
        <v/>
      </c>
      <c r="O86" s="9">
        <f>IF(OR(Inputs!$F$7=TRUE,Inputs!$F$7="TRUE",Inputs!$F$7=1),(-2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NA())</f>
        <v/>
      </c>
      <c r="P86" s="9">
        <f>IF(OR(Inputs!$F$8=TRUE,Inputs!$F$8="TRUE",Inputs!$F$8=1),(-2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NA())</f>
        <v/>
      </c>
      <c r="Q86" s="9">
        <f>IF(OR(Inputs!$F$9=TRUE,Inputs!$F$9="TRUE",Inputs!$F$9=1),(-2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NA())</f>
        <v/>
      </c>
      <c r="R86" s="10" t="n"/>
      <c r="S86" s="9">
        <f>A86</f>
        <v/>
      </c>
      <c r="T86" s="9">
        <f>(Inputs!$I$6+(((A86)+1)/2)*(Inputs!$J$6-Inputs!$I$6))</f>
        <v/>
      </c>
      <c r="U86" s="9">
        <f>(Inputs!$I$7+(((A86)+1)/2)*(Inputs!$J$7-Inputs!$I$7))</f>
        <v/>
      </c>
      <c r="V86" s="9">
        <f>(Inputs!$I$8+(((A86)+1)/2)*(Inputs!$J$8-Inputs!$I$8))</f>
        <v/>
      </c>
      <c r="W86" s="9">
        <f>(Inputs!$I$9+(((A86)+1)/2)*(Inputs!$J$9-Inputs!$I$9))</f>
        <v/>
      </c>
      <c r="X86" s="10" t="n"/>
      <c r="Y86" s="9">
        <f>A86</f>
        <v/>
      </c>
      <c r="Z86" s="9">
        <f>(Inputs!$H$6+Inputs!$L$6*(((Inputs!$I$6+(((A86)+1)/2)*(Inputs!$J$6-Inputs!$I$6)))/Inputs!$K$6)^2)</f>
        <v/>
      </c>
      <c r="AA86" s="9">
        <f>(Inputs!$H$7+Inputs!$L$7*(((Inputs!$I$7+(((A86)+1)/2)*(Inputs!$J$7-Inputs!$I$7)))/Inputs!$K$7)^2)</f>
        <v/>
      </c>
      <c r="AB86" s="9">
        <f>(Inputs!$H$8+Inputs!$L$8*(((Inputs!$I$8+(((A86)+1)/2)*(Inputs!$J$8-Inputs!$I$8)))/Inputs!$K$8)^2)</f>
        <v/>
      </c>
      <c r="AC86" s="9">
        <f>(Inputs!$H$9+Inputs!$L$9*(((Inputs!$I$9+(((A86)+1)/2)*(Inputs!$J$9-Inputs!$I$9)))/Inputs!$K$9)^2)</f>
        <v/>
      </c>
      <c r="AD86" s="10" t="n"/>
      <c r="AE86" s="9">
        <f>A86</f>
        <v/>
      </c>
      <c r="AF86" s="9">
        <f>(((SQRT((Inputs!$C$52+((Inputs!$H$6+Inputs!$L$6*(((Inputs!$I$6+(((A86)+1)/2)*(Inputs!$J$6-Inputs!$I$6)))/Inputs!$K$6)^2)))^2+Inputs!$C$52^2-2*(Inputs!$C$52+((Inputs!$H$6+Inputs!$L$6*(((Inputs!$I$6+(((A86)+1)/2)*(Inputs!$J$6-Inputs!$I$6)))/Inputs!$K$6)^2)))*Inputs!$C$52*COS(SQRT(((Inputs!$I$6+(((A86)+1)/2)*(Inputs!$J$6-Inputs!$I$6)))^2+Inputs!$C$6^2)/Inputs!$C$52)))-((Inputs!$H$6+Inputs!$L$6*(((Inputs!$I$6+(((A86)+1)/2)*(Inputs!$J$6-Inputs!$I$6)))/Inputs!$K$6)^2)))*1000/Inputs!$C$12)</f>
        <v/>
      </c>
      <c r="AG86" s="9">
        <f>(((SQRT((Inputs!$C$52+((Inputs!$H$7+Inputs!$L$7*(((Inputs!$I$7+(((A86)+1)/2)*(Inputs!$J$7-Inputs!$I$7)))/Inputs!$K$7)^2)))^2+Inputs!$C$52^2-2*(Inputs!$C$52+((Inputs!$H$7+Inputs!$L$7*(((Inputs!$I$7+(((A86)+1)/2)*(Inputs!$J$7-Inputs!$I$7)))/Inputs!$K$7)^2)))*Inputs!$C$52*COS(SQRT(((Inputs!$I$7+(((A86)+1)/2)*(Inputs!$J$7-Inputs!$I$7)))^2+Inputs!$C$6^2)/Inputs!$C$52)))-((Inputs!$H$7+Inputs!$L$7*(((Inputs!$I$7+(((A86)+1)/2)*(Inputs!$J$7-Inputs!$I$7)))/Inputs!$K$7)^2)))*1000/Inputs!$C$12)</f>
        <v/>
      </c>
      <c r="AH86" s="9">
        <f>(((SQRT((Inputs!$C$52+((Inputs!$H$8+Inputs!$L$8*(((Inputs!$I$8+(((A86)+1)/2)*(Inputs!$J$8-Inputs!$I$8)))/Inputs!$K$8)^2)))^2+Inputs!$C$52^2-2*(Inputs!$C$52+((Inputs!$H$8+Inputs!$L$8*(((Inputs!$I$8+(((A86)+1)/2)*(Inputs!$J$8-Inputs!$I$8)))/Inputs!$K$8)^2)))*Inputs!$C$52*COS(SQRT(((Inputs!$I$8+(((A86)+1)/2)*(Inputs!$J$8-Inputs!$I$8)))^2+Inputs!$C$6^2)/Inputs!$C$52)))-((Inputs!$H$8+Inputs!$L$8*(((Inputs!$I$8+(((A86)+1)/2)*(Inputs!$J$8-Inputs!$I$8)))/Inputs!$K$8)^2)))*1000/Inputs!$C$12)</f>
        <v/>
      </c>
      <c r="AI86" s="9">
        <f>(((SQRT((Inputs!$C$52+((Inputs!$H$9+Inputs!$L$9*(((Inputs!$I$9+(((A86)+1)/2)*(Inputs!$J$9-Inputs!$I$9)))/Inputs!$K$9)^2)))^2+Inputs!$C$52^2-2*(Inputs!$C$52+((Inputs!$H$9+Inputs!$L$9*(((Inputs!$I$9+(((A86)+1)/2)*(Inputs!$J$9-Inputs!$I$9)))/Inputs!$K$9)^2)))*Inputs!$C$52*COS(SQRT(((Inputs!$I$9+(((A86)+1)/2)*(Inputs!$J$9-Inputs!$I$9)))^2+Inputs!$C$6^2)/Inputs!$C$52)))-((Inputs!$H$9+Inputs!$L$9*(((Inputs!$I$9+(((A86)+1)/2)*(Inputs!$J$9-Inputs!$I$9)))/Inputs!$K$9)^2)))*1000/Inputs!$C$12)</f>
        <v/>
      </c>
      <c r="AJ86" s="10" t="n"/>
      <c r="AK86" s="9">
        <f>A86</f>
        <v/>
      </c>
      <c r="AL86" s="9">
        <f>(-2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f>
        <v/>
      </c>
      <c r="AM86" s="9">
        <f>(-2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f>
        <v/>
      </c>
      <c r="AN86" s="9">
        <f>(-2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f>
        <v/>
      </c>
      <c r="AO86" s="9">
        <f>(-2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f>
        <v/>
      </c>
      <c r="AP86" s="10" t="n"/>
      <c r="AQ86" s="9">
        <f>A86</f>
        <v/>
      </c>
      <c r="AR86" s="9">
        <f>0</f>
        <v/>
      </c>
      <c r="AS86" s="9">
        <f>IF(OR(Inputs!$F$6=TRUE,Inputs!$F$6="TRUE",Inputs!$F$6=1),IF(OR(Inputs!$C$27=TRUE,Inputs!$C$27="TRUE",Inputs!$C$27=1),1,0)*(Inputs!$C$51*(115*EXP(-(((Inputs!$C$6)-25)^2)/(4.5^2))+70*EXP(-(((Inputs!$C$6)+38)^2)/(7^2))*(0.55+0.45*SIN(2*PI()*((Inputs!$I$6+(((A86)+1)/2)*(Inputs!$J$6-Inputs!$I$6)))/45))+24*SIN(2*PI()*(Inputs!$C$6)/9+((Inputs!$I$6+(((A86)+1)/2)*(Inputs!$J$6-Inputs!$I$6)))/18)*EXP(-(((Inputs!$C$6)+5)^2)/(22^2))+18*SIN(2*PI()*((Inputs!$I$6+(((A86)+1)/2)*(Inputs!$J$6-Inputs!$I$6)))/70))+Inputs!$C$28*EXP(-((((Inputs!$I$6+(((A86)+1)/2)*(Inputs!$J$6-Inputs!$I$6)))-Inputs!$C$29)^2)/(2*Inputs!$C$31^2))*EXP(-(((Inputs!$C$6)-Inputs!$C$30)^2)/(2*Inputs!$C$32^2))+-Inputs!$C$33*EXP(-((((((Inputs!$I$6+(((A86)+1)/2)*(Inputs!$J$6-Inputs!$I$6)))-Inputs!$C$34)^2)+(((Inputs!$C$6)-Inputs!$C$35)^2))/(2*Inputs!$C$36^2)))+Inputs!$C$37*(0.55*SIN(2*PI()*((Inputs!$I$6+(((A86)+1)/2)*(Inputs!$J$6-Inputs!$I$6)))/Inputs!$C$39)+0.35*COS(2*PI()*(Inputs!$C$6)/Inputs!$C$40)+0.2*SIN(2*PI()*(((Inputs!$I$6+(((A86)+1)/2)*(Inputs!$J$6-Inputs!$I$6)))+(Inputs!$C$6))/(0.5*(Inputs!$C$39+Inputs!$C$40))))+Inputs!$C$38*SIN(2*PI()*((Inputs!$I$6+(((A86)+1)/2)*(Inputs!$J$6-Inputs!$I$6)))/Inputs!$C$39)*SIN(2*PI()*(Inputs!$C$6)/Inputs!$C$40)+-Inputs!$C$41*EXP(-(((Inputs!$C$6)-Inputs!$C$43)^2)/(2*Inputs!$C$44^2))*EXP(-((((Inputs!$I$6+(((A86)+1)/2)*(Inputs!$J$6-Inputs!$I$6)))-Inputs!$C$42)^2)/(2*Inputs!$C$45^2))+Inputs!$C$48*(0.7*(0.45*SIN(2*PI()*((((Inputs!$I$6+(((A86)+1)/2)*(Inputs!$J$6-Inputs!$I$6)))/Inputs!$C$49)+Inputs!$C$47*0.137))+0.35*COS(2*PI()*(((Inputs!$C$6)/Inputs!$C$50)+Inputs!$C$47*0.173))+0.2*SIN(2*PI()*((((Inputs!$I$6+(((A86)+1)/2)*(Inputs!$J$6-Inputs!$I$6)))+(Inputs!$C$6))/(0.5*(Inputs!$C$49+Inputs!$C$50))+Inputs!$C$47*0.097)))+0.3*(2*((SIN((((Inputs!$I$6+(((A86)+1)/2)*(Inputs!$J$6-Inputs!$I$6)))*12.9898+(Inputs!$C$6)*78.233+Inputs!$C$47*37.719))*43758.5453)-INT((SIN((((Inputs!$I$6+(((A86)+1)/2)*(Inputs!$J$6-Inputs!$I$6)))*12.9898+(Inputs!$C$6)*78.233+Inputs!$C$47*37.719))*43758.5453)))-1))),NA())</f>
        <v/>
      </c>
      <c r="AT86" s="9">
        <f>IF(OR(Inputs!$F$7=TRUE,Inputs!$F$7="TRUE",Inputs!$F$7=1),IF(OR(Inputs!$C$27=TRUE,Inputs!$C$27="TRUE",Inputs!$C$27=1),1,0)*(Inputs!$C$51*(115*EXP(-(((Inputs!$C$6)-25)^2)/(4.5^2))+70*EXP(-(((Inputs!$C$6)+38)^2)/(7^2))*(0.55+0.45*SIN(2*PI()*((Inputs!$I$7+(((A86)+1)/2)*(Inputs!$J$7-Inputs!$I$7)))/45))+24*SIN(2*PI()*(Inputs!$C$6)/9+((Inputs!$I$7+(((A86)+1)/2)*(Inputs!$J$7-Inputs!$I$7)))/18)*EXP(-(((Inputs!$C$6)+5)^2)/(22^2))+18*SIN(2*PI()*((Inputs!$I$7+(((A86)+1)/2)*(Inputs!$J$7-Inputs!$I$7)))/70))+Inputs!$C$28*EXP(-((((Inputs!$I$7+(((A86)+1)/2)*(Inputs!$J$7-Inputs!$I$7)))-Inputs!$C$29)^2)/(2*Inputs!$C$31^2))*EXP(-(((Inputs!$C$6)-Inputs!$C$30)^2)/(2*Inputs!$C$32^2))+-Inputs!$C$33*EXP(-((((((Inputs!$I$7+(((A86)+1)/2)*(Inputs!$J$7-Inputs!$I$7)))-Inputs!$C$34)^2)+(((Inputs!$C$6)-Inputs!$C$35)^2))/(2*Inputs!$C$36^2)))+Inputs!$C$37*(0.55*SIN(2*PI()*((Inputs!$I$7+(((A86)+1)/2)*(Inputs!$J$7-Inputs!$I$7)))/Inputs!$C$39)+0.35*COS(2*PI()*(Inputs!$C$6)/Inputs!$C$40)+0.2*SIN(2*PI()*(((Inputs!$I$7+(((A86)+1)/2)*(Inputs!$J$7-Inputs!$I$7)))+(Inputs!$C$6))/(0.5*(Inputs!$C$39+Inputs!$C$40))))+Inputs!$C$38*SIN(2*PI()*((Inputs!$I$7+(((A86)+1)/2)*(Inputs!$J$7-Inputs!$I$7)))/Inputs!$C$39)*SIN(2*PI()*(Inputs!$C$6)/Inputs!$C$40)+-Inputs!$C$41*EXP(-(((Inputs!$C$6)-Inputs!$C$43)^2)/(2*Inputs!$C$44^2))*EXP(-((((Inputs!$I$7+(((A86)+1)/2)*(Inputs!$J$7-Inputs!$I$7)))-Inputs!$C$42)^2)/(2*Inputs!$C$45^2))+Inputs!$C$48*(0.7*(0.45*SIN(2*PI()*((((Inputs!$I$7+(((A86)+1)/2)*(Inputs!$J$7-Inputs!$I$7)))/Inputs!$C$49)+Inputs!$C$47*0.137))+0.35*COS(2*PI()*(((Inputs!$C$6)/Inputs!$C$50)+Inputs!$C$47*0.173))+0.2*SIN(2*PI()*((((Inputs!$I$7+(((A86)+1)/2)*(Inputs!$J$7-Inputs!$I$7)))+(Inputs!$C$6))/(0.5*(Inputs!$C$49+Inputs!$C$50))+Inputs!$C$47*0.097)))+0.3*(2*((SIN((((Inputs!$I$7+(((A86)+1)/2)*(Inputs!$J$7-Inputs!$I$7)))*12.9898+(Inputs!$C$6)*78.233+Inputs!$C$47*37.719))*43758.5453)-INT((SIN((((Inputs!$I$7+(((A86)+1)/2)*(Inputs!$J$7-Inputs!$I$7)))*12.9898+(Inputs!$C$6)*78.233+Inputs!$C$47*37.719))*43758.5453)))-1))),NA())</f>
        <v/>
      </c>
      <c r="AU86" s="9">
        <f>IF(OR(Inputs!$F$8=TRUE,Inputs!$F$8="TRUE",Inputs!$F$8=1),IF(OR(Inputs!$C$27=TRUE,Inputs!$C$27="TRUE",Inputs!$C$27=1),1,0)*(Inputs!$C$51*(115*EXP(-(((Inputs!$C$6)-25)^2)/(4.5^2))+70*EXP(-(((Inputs!$C$6)+38)^2)/(7^2))*(0.55+0.45*SIN(2*PI()*((Inputs!$I$8+(((A86)+1)/2)*(Inputs!$J$8-Inputs!$I$8)))/45))+24*SIN(2*PI()*(Inputs!$C$6)/9+((Inputs!$I$8+(((A86)+1)/2)*(Inputs!$J$8-Inputs!$I$8)))/18)*EXP(-(((Inputs!$C$6)+5)^2)/(22^2))+18*SIN(2*PI()*((Inputs!$I$8+(((A86)+1)/2)*(Inputs!$J$8-Inputs!$I$8)))/70))+Inputs!$C$28*EXP(-((((Inputs!$I$8+(((A86)+1)/2)*(Inputs!$J$8-Inputs!$I$8)))-Inputs!$C$29)^2)/(2*Inputs!$C$31^2))*EXP(-(((Inputs!$C$6)-Inputs!$C$30)^2)/(2*Inputs!$C$32^2))+-Inputs!$C$33*EXP(-((((((Inputs!$I$8+(((A86)+1)/2)*(Inputs!$J$8-Inputs!$I$8)))-Inputs!$C$34)^2)+(((Inputs!$C$6)-Inputs!$C$35)^2))/(2*Inputs!$C$36^2)))+Inputs!$C$37*(0.55*SIN(2*PI()*((Inputs!$I$8+(((A86)+1)/2)*(Inputs!$J$8-Inputs!$I$8)))/Inputs!$C$39)+0.35*COS(2*PI()*(Inputs!$C$6)/Inputs!$C$40)+0.2*SIN(2*PI()*(((Inputs!$I$8+(((A86)+1)/2)*(Inputs!$J$8-Inputs!$I$8)))+(Inputs!$C$6))/(0.5*(Inputs!$C$39+Inputs!$C$40))))+Inputs!$C$38*SIN(2*PI()*((Inputs!$I$8+(((A86)+1)/2)*(Inputs!$J$8-Inputs!$I$8)))/Inputs!$C$39)*SIN(2*PI()*(Inputs!$C$6)/Inputs!$C$40)+-Inputs!$C$41*EXP(-(((Inputs!$C$6)-Inputs!$C$43)^2)/(2*Inputs!$C$44^2))*EXP(-((((Inputs!$I$8+(((A86)+1)/2)*(Inputs!$J$8-Inputs!$I$8)))-Inputs!$C$42)^2)/(2*Inputs!$C$45^2))+Inputs!$C$48*(0.7*(0.45*SIN(2*PI()*((((Inputs!$I$8+(((A86)+1)/2)*(Inputs!$J$8-Inputs!$I$8)))/Inputs!$C$49)+Inputs!$C$47*0.137))+0.35*COS(2*PI()*(((Inputs!$C$6)/Inputs!$C$50)+Inputs!$C$47*0.173))+0.2*SIN(2*PI()*((((Inputs!$I$8+(((A86)+1)/2)*(Inputs!$J$8-Inputs!$I$8)))+(Inputs!$C$6))/(0.5*(Inputs!$C$49+Inputs!$C$50))+Inputs!$C$47*0.097)))+0.3*(2*((SIN((((Inputs!$I$8+(((A86)+1)/2)*(Inputs!$J$8-Inputs!$I$8)))*12.9898+(Inputs!$C$6)*78.233+Inputs!$C$47*37.719))*43758.5453)-INT((SIN((((Inputs!$I$8+(((A86)+1)/2)*(Inputs!$J$8-Inputs!$I$8)))*12.9898+(Inputs!$C$6)*78.233+Inputs!$C$47*37.719))*43758.5453)))-1))),NA())</f>
        <v/>
      </c>
      <c r="AV86" s="9">
        <f>IF(OR(Inputs!$F$9=TRUE,Inputs!$F$9="TRUE",Inputs!$F$9=1),IF(OR(Inputs!$C$27=TRUE,Inputs!$C$27="TRUE",Inputs!$C$27=1),1,0)*(Inputs!$C$51*(115*EXP(-(((Inputs!$C$6)-25)^2)/(4.5^2))+70*EXP(-(((Inputs!$C$6)+38)^2)/(7^2))*(0.55+0.45*SIN(2*PI()*((Inputs!$I$9+(((A86)+1)/2)*(Inputs!$J$9-Inputs!$I$9)))/45))+24*SIN(2*PI()*(Inputs!$C$6)/9+((Inputs!$I$9+(((A86)+1)/2)*(Inputs!$J$9-Inputs!$I$9)))/18)*EXP(-(((Inputs!$C$6)+5)^2)/(22^2))+18*SIN(2*PI()*((Inputs!$I$9+(((A86)+1)/2)*(Inputs!$J$9-Inputs!$I$9)))/70))+Inputs!$C$28*EXP(-((((Inputs!$I$9+(((A86)+1)/2)*(Inputs!$J$9-Inputs!$I$9)))-Inputs!$C$29)^2)/(2*Inputs!$C$31^2))*EXP(-(((Inputs!$C$6)-Inputs!$C$30)^2)/(2*Inputs!$C$32^2))+-Inputs!$C$33*EXP(-((((((Inputs!$I$9+(((A86)+1)/2)*(Inputs!$J$9-Inputs!$I$9)))-Inputs!$C$34)^2)+(((Inputs!$C$6)-Inputs!$C$35)^2))/(2*Inputs!$C$36^2)))+Inputs!$C$37*(0.55*SIN(2*PI()*((Inputs!$I$9+(((A86)+1)/2)*(Inputs!$J$9-Inputs!$I$9)))/Inputs!$C$39)+0.35*COS(2*PI()*(Inputs!$C$6)/Inputs!$C$40)+0.2*SIN(2*PI()*(((Inputs!$I$9+(((A86)+1)/2)*(Inputs!$J$9-Inputs!$I$9)))+(Inputs!$C$6))/(0.5*(Inputs!$C$39+Inputs!$C$40))))+Inputs!$C$38*SIN(2*PI()*((Inputs!$I$9+(((A86)+1)/2)*(Inputs!$J$9-Inputs!$I$9)))/Inputs!$C$39)*SIN(2*PI()*(Inputs!$C$6)/Inputs!$C$40)+-Inputs!$C$41*EXP(-(((Inputs!$C$6)-Inputs!$C$43)^2)/(2*Inputs!$C$44^2))*EXP(-((((Inputs!$I$9+(((A86)+1)/2)*(Inputs!$J$9-Inputs!$I$9)))-Inputs!$C$42)^2)/(2*Inputs!$C$45^2))+Inputs!$C$48*(0.7*(0.45*SIN(2*PI()*((((Inputs!$I$9+(((A86)+1)/2)*(Inputs!$J$9-Inputs!$I$9)))/Inputs!$C$49)+Inputs!$C$47*0.137))+0.35*COS(2*PI()*(((Inputs!$C$6)/Inputs!$C$50)+Inputs!$C$47*0.173))+0.2*SIN(2*PI()*((((Inputs!$I$9+(((A86)+1)/2)*(Inputs!$J$9-Inputs!$I$9)))+(Inputs!$C$6))/(0.5*(Inputs!$C$49+Inputs!$C$50))+Inputs!$C$47*0.097)))+0.3*(2*((SIN((((Inputs!$I$9+(((A86)+1)/2)*(Inputs!$J$9-Inputs!$I$9)))*12.9898+(Inputs!$C$6)*78.233+Inputs!$C$47*37.719))*43758.5453)-INT((SIN((((Inputs!$I$9+(((A86)+1)/2)*(Inputs!$J$9-Inputs!$I$9)))*12.9898+(Inputs!$C$6)*78.233+Inputs!$C$47*37.719))*43758.5453)))-1))),NA())</f>
        <v/>
      </c>
      <c r="AW86" s="10" t="n"/>
      <c r="AX86" s="9">
        <f>A86</f>
        <v/>
      </c>
      <c r="AY86" s="9">
        <f>0</f>
        <v/>
      </c>
      <c r="AZ86" s="9">
        <f>IF(OR(Inputs!$F$6=TRUE,Inputs!$F$6="TRUE",Inputs!$F$6=1),(Inputs!$H$6+Inputs!$L$6*(((Inputs!$I$6+(((A86)+1)/2)*(Inputs!$J$6-Inputs!$I$6)))/Inputs!$K$6)^2),NA())</f>
        <v/>
      </c>
      <c r="BA86" s="9">
        <f>IF(OR(Inputs!$F$7=TRUE,Inputs!$F$7="TRUE",Inputs!$F$7=1),(Inputs!$H$7+Inputs!$L$7*(((Inputs!$I$7+(((A86)+1)/2)*(Inputs!$J$7-Inputs!$I$7)))/Inputs!$K$7)^2),NA())</f>
        <v/>
      </c>
      <c r="BB86" s="9">
        <f>IF(OR(Inputs!$F$8=TRUE,Inputs!$F$8="TRUE",Inputs!$F$8=1),(Inputs!$H$8+Inputs!$L$8*(((Inputs!$I$8+(((A86)+1)/2)*(Inputs!$J$8-Inputs!$I$8)))/Inputs!$K$8)^2),NA())</f>
        <v/>
      </c>
      <c r="BC86" s="9">
        <f>IF(OR(Inputs!$F$9=TRUE,Inputs!$F$9="TRUE",Inputs!$F$9=1),(Inputs!$H$9+Inputs!$L$9*(((Inputs!$I$9+(((A86)+1)/2)*(Inputs!$J$9-Inputs!$I$9)))/Inputs!$K$9)^2),NA())</f>
        <v/>
      </c>
      <c r="BD86" s="10" t="n"/>
      <c r="BE86" s="9">
        <f>A86</f>
        <v/>
      </c>
      <c r="BF86" s="9">
        <f>0</f>
        <v/>
      </c>
      <c r="BG86" s="9">
        <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f>
        <v/>
      </c>
      <c r="BH86" s="9">
        <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f>
        <v/>
      </c>
      <c r="BI86" s="9">
        <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f>
        <v/>
      </c>
      <c r="BJ86" s="9">
        <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f>
        <v/>
      </c>
    </row>
    <row r="87">
      <c r="A87" s="9">
        <f>ROUND(-1+85*2/240,3)</f>
        <v/>
      </c>
      <c r="B87" s="9">
        <f>IF(OR(Inputs!$F$6=TRUE,Inputs!$F$6="TRUE",Inputs!$F$6=1),(Inputs!$H$6+Inputs!$L$6*(((Inputs!$I$6+(((A87)+1)/2)*(Inputs!$J$6-Inputs!$I$6)))/Inputs!$K$6)^2),NA())</f>
        <v/>
      </c>
      <c r="C87" s="9">
        <f>IF(OR(Inputs!$F$7=TRUE,Inputs!$F$7="TRUE",Inputs!$F$7=1),(Inputs!$H$7+Inputs!$L$7*(((Inputs!$I$7+(((A87)+1)/2)*(Inputs!$J$7-Inputs!$I$7)))/Inputs!$K$7)^2),NA())</f>
        <v/>
      </c>
      <c r="D87" s="9">
        <f>IF(OR(Inputs!$F$8=TRUE,Inputs!$F$8="TRUE",Inputs!$F$8=1),(Inputs!$H$8+Inputs!$L$8*(((Inputs!$I$8+(((A87)+1)/2)*(Inputs!$J$8-Inputs!$I$8)))/Inputs!$K$8)^2),NA())</f>
        <v/>
      </c>
      <c r="E87" s="9">
        <f>IF(OR(Inputs!$F$9=TRUE,Inputs!$F$9="TRUE",Inputs!$F$9=1),(Inputs!$H$9+Inputs!$L$9*(((Inputs!$I$9+(((A87)+1)/2)*(Inputs!$J$9-Inputs!$I$9)))/Inputs!$K$9)^2),NA())</f>
        <v/>
      </c>
      <c r="F87" s="10" t="n"/>
      <c r="G87" s="9">
        <f>A87</f>
        <v/>
      </c>
      <c r="H87" s="9">
        <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f>
        <v/>
      </c>
      <c r="I87" s="9">
        <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f>
        <v/>
      </c>
      <c r="J87" s="9">
        <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f>
        <v/>
      </c>
      <c r="K87" s="9">
        <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f>
        <v/>
      </c>
      <c r="L87" s="10" t="n"/>
      <c r="M87" s="9">
        <f>A87</f>
        <v/>
      </c>
      <c r="N87" s="9">
        <f>IF(OR(Inputs!$F$6=TRUE,Inputs!$F$6="TRUE",Inputs!$F$6=1),(-2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NA())</f>
        <v/>
      </c>
      <c r="O87" s="9">
        <f>IF(OR(Inputs!$F$7=TRUE,Inputs!$F$7="TRUE",Inputs!$F$7=1),(-2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NA())</f>
        <v/>
      </c>
      <c r="P87" s="9">
        <f>IF(OR(Inputs!$F$8=TRUE,Inputs!$F$8="TRUE",Inputs!$F$8=1),(-2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NA())</f>
        <v/>
      </c>
      <c r="Q87" s="9">
        <f>IF(OR(Inputs!$F$9=TRUE,Inputs!$F$9="TRUE",Inputs!$F$9=1),(-2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NA())</f>
        <v/>
      </c>
      <c r="R87" s="10" t="n"/>
      <c r="S87" s="9">
        <f>A87</f>
        <v/>
      </c>
      <c r="T87" s="9">
        <f>(Inputs!$I$6+(((A87)+1)/2)*(Inputs!$J$6-Inputs!$I$6))</f>
        <v/>
      </c>
      <c r="U87" s="9">
        <f>(Inputs!$I$7+(((A87)+1)/2)*(Inputs!$J$7-Inputs!$I$7))</f>
        <v/>
      </c>
      <c r="V87" s="9">
        <f>(Inputs!$I$8+(((A87)+1)/2)*(Inputs!$J$8-Inputs!$I$8))</f>
        <v/>
      </c>
      <c r="W87" s="9">
        <f>(Inputs!$I$9+(((A87)+1)/2)*(Inputs!$J$9-Inputs!$I$9))</f>
        <v/>
      </c>
      <c r="X87" s="10" t="n"/>
      <c r="Y87" s="9">
        <f>A87</f>
        <v/>
      </c>
      <c r="Z87" s="9">
        <f>(Inputs!$H$6+Inputs!$L$6*(((Inputs!$I$6+(((A87)+1)/2)*(Inputs!$J$6-Inputs!$I$6)))/Inputs!$K$6)^2)</f>
        <v/>
      </c>
      <c r="AA87" s="9">
        <f>(Inputs!$H$7+Inputs!$L$7*(((Inputs!$I$7+(((A87)+1)/2)*(Inputs!$J$7-Inputs!$I$7)))/Inputs!$K$7)^2)</f>
        <v/>
      </c>
      <c r="AB87" s="9">
        <f>(Inputs!$H$8+Inputs!$L$8*(((Inputs!$I$8+(((A87)+1)/2)*(Inputs!$J$8-Inputs!$I$8)))/Inputs!$K$8)^2)</f>
        <v/>
      </c>
      <c r="AC87" s="9">
        <f>(Inputs!$H$9+Inputs!$L$9*(((Inputs!$I$9+(((A87)+1)/2)*(Inputs!$J$9-Inputs!$I$9)))/Inputs!$K$9)^2)</f>
        <v/>
      </c>
      <c r="AD87" s="10" t="n"/>
      <c r="AE87" s="9">
        <f>A87</f>
        <v/>
      </c>
      <c r="AF87" s="9">
        <f>(((SQRT((Inputs!$C$52+((Inputs!$H$6+Inputs!$L$6*(((Inputs!$I$6+(((A87)+1)/2)*(Inputs!$J$6-Inputs!$I$6)))/Inputs!$K$6)^2)))^2+Inputs!$C$52^2-2*(Inputs!$C$52+((Inputs!$H$6+Inputs!$L$6*(((Inputs!$I$6+(((A87)+1)/2)*(Inputs!$J$6-Inputs!$I$6)))/Inputs!$K$6)^2)))*Inputs!$C$52*COS(SQRT(((Inputs!$I$6+(((A87)+1)/2)*(Inputs!$J$6-Inputs!$I$6)))^2+Inputs!$C$6^2)/Inputs!$C$52)))-((Inputs!$H$6+Inputs!$L$6*(((Inputs!$I$6+(((A87)+1)/2)*(Inputs!$J$6-Inputs!$I$6)))/Inputs!$K$6)^2)))*1000/Inputs!$C$12)</f>
        <v/>
      </c>
      <c r="AG87" s="9">
        <f>(((SQRT((Inputs!$C$52+((Inputs!$H$7+Inputs!$L$7*(((Inputs!$I$7+(((A87)+1)/2)*(Inputs!$J$7-Inputs!$I$7)))/Inputs!$K$7)^2)))^2+Inputs!$C$52^2-2*(Inputs!$C$52+((Inputs!$H$7+Inputs!$L$7*(((Inputs!$I$7+(((A87)+1)/2)*(Inputs!$J$7-Inputs!$I$7)))/Inputs!$K$7)^2)))*Inputs!$C$52*COS(SQRT(((Inputs!$I$7+(((A87)+1)/2)*(Inputs!$J$7-Inputs!$I$7)))^2+Inputs!$C$6^2)/Inputs!$C$52)))-((Inputs!$H$7+Inputs!$L$7*(((Inputs!$I$7+(((A87)+1)/2)*(Inputs!$J$7-Inputs!$I$7)))/Inputs!$K$7)^2)))*1000/Inputs!$C$12)</f>
        <v/>
      </c>
      <c r="AH87" s="9">
        <f>(((SQRT((Inputs!$C$52+((Inputs!$H$8+Inputs!$L$8*(((Inputs!$I$8+(((A87)+1)/2)*(Inputs!$J$8-Inputs!$I$8)))/Inputs!$K$8)^2)))^2+Inputs!$C$52^2-2*(Inputs!$C$52+((Inputs!$H$8+Inputs!$L$8*(((Inputs!$I$8+(((A87)+1)/2)*(Inputs!$J$8-Inputs!$I$8)))/Inputs!$K$8)^2)))*Inputs!$C$52*COS(SQRT(((Inputs!$I$8+(((A87)+1)/2)*(Inputs!$J$8-Inputs!$I$8)))^2+Inputs!$C$6^2)/Inputs!$C$52)))-((Inputs!$H$8+Inputs!$L$8*(((Inputs!$I$8+(((A87)+1)/2)*(Inputs!$J$8-Inputs!$I$8)))/Inputs!$K$8)^2)))*1000/Inputs!$C$12)</f>
        <v/>
      </c>
      <c r="AI87" s="9">
        <f>(((SQRT((Inputs!$C$52+((Inputs!$H$9+Inputs!$L$9*(((Inputs!$I$9+(((A87)+1)/2)*(Inputs!$J$9-Inputs!$I$9)))/Inputs!$K$9)^2)))^2+Inputs!$C$52^2-2*(Inputs!$C$52+((Inputs!$H$9+Inputs!$L$9*(((Inputs!$I$9+(((A87)+1)/2)*(Inputs!$J$9-Inputs!$I$9)))/Inputs!$K$9)^2)))*Inputs!$C$52*COS(SQRT(((Inputs!$I$9+(((A87)+1)/2)*(Inputs!$J$9-Inputs!$I$9)))^2+Inputs!$C$6^2)/Inputs!$C$52)))-((Inputs!$H$9+Inputs!$L$9*(((Inputs!$I$9+(((A87)+1)/2)*(Inputs!$J$9-Inputs!$I$9)))/Inputs!$K$9)^2)))*1000/Inputs!$C$12)</f>
        <v/>
      </c>
      <c r="AJ87" s="10" t="n"/>
      <c r="AK87" s="9">
        <f>A87</f>
        <v/>
      </c>
      <c r="AL87" s="9">
        <f>(-2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f>
        <v/>
      </c>
      <c r="AM87" s="9">
        <f>(-2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f>
        <v/>
      </c>
      <c r="AN87" s="9">
        <f>(-2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f>
        <v/>
      </c>
      <c r="AO87" s="9">
        <f>(-2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f>
        <v/>
      </c>
      <c r="AP87" s="10" t="n"/>
      <c r="AQ87" s="9">
        <f>A87</f>
        <v/>
      </c>
      <c r="AR87" s="9">
        <f>0</f>
        <v/>
      </c>
      <c r="AS87" s="9">
        <f>IF(OR(Inputs!$F$6=TRUE,Inputs!$F$6="TRUE",Inputs!$F$6=1),IF(OR(Inputs!$C$27=TRUE,Inputs!$C$27="TRUE",Inputs!$C$27=1),1,0)*(Inputs!$C$51*(115*EXP(-(((Inputs!$C$6)-25)^2)/(4.5^2))+70*EXP(-(((Inputs!$C$6)+38)^2)/(7^2))*(0.55+0.45*SIN(2*PI()*((Inputs!$I$6+(((A87)+1)/2)*(Inputs!$J$6-Inputs!$I$6)))/45))+24*SIN(2*PI()*(Inputs!$C$6)/9+((Inputs!$I$6+(((A87)+1)/2)*(Inputs!$J$6-Inputs!$I$6)))/18)*EXP(-(((Inputs!$C$6)+5)^2)/(22^2))+18*SIN(2*PI()*((Inputs!$I$6+(((A87)+1)/2)*(Inputs!$J$6-Inputs!$I$6)))/70))+Inputs!$C$28*EXP(-((((Inputs!$I$6+(((A87)+1)/2)*(Inputs!$J$6-Inputs!$I$6)))-Inputs!$C$29)^2)/(2*Inputs!$C$31^2))*EXP(-(((Inputs!$C$6)-Inputs!$C$30)^2)/(2*Inputs!$C$32^2))+-Inputs!$C$33*EXP(-((((((Inputs!$I$6+(((A87)+1)/2)*(Inputs!$J$6-Inputs!$I$6)))-Inputs!$C$34)^2)+(((Inputs!$C$6)-Inputs!$C$35)^2))/(2*Inputs!$C$36^2)))+Inputs!$C$37*(0.55*SIN(2*PI()*((Inputs!$I$6+(((A87)+1)/2)*(Inputs!$J$6-Inputs!$I$6)))/Inputs!$C$39)+0.35*COS(2*PI()*(Inputs!$C$6)/Inputs!$C$40)+0.2*SIN(2*PI()*(((Inputs!$I$6+(((A87)+1)/2)*(Inputs!$J$6-Inputs!$I$6)))+(Inputs!$C$6))/(0.5*(Inputs!$C$39+Inputs!$C$40))))+Inputs!$C$38*SIN(2*PI()*((Inputs!$I$6+(((A87)+1)/2)*(Inputs!$J$6-Inputs!$I$6)))/Inputs!$C$39)*SIN(2*PI()*(Inputs!$C$6)/Inputs!$C$40)+-Inputs!$C$41*EXP(-(((Inputs!$C$6)-Inputs!$C$43)^2)/(2*Inputs!$C$44^2))*EXP(-((((Inputs!$I$6+(((A87)+1)/2)*(Inputs!$J$6-Inputs!$I$6)))-Inputs!$C$42)^2)/(2*Inputs!$C$45^2))+Inputs!$C$48*(0.7*(0.45*SIN(2*PI()*((((Inputs!$I$6+(((A87)+1)/2)*(Inputs!$J$6-Inputs!$I$6)))/Inputs!$C$49)+Inputs!$C$47*0.137))+0.35*COS(2*PI()*(((Inputs!$C$6)/Inputs!$C$50)+Inputs!$C$47*0.173))+0.2*SIN(2*PI()*((((Inputs!$I$6+(((A87)+1)/2)*(Inputs!$J$6-Inputs!$I$6)))+(Inputs!$C$6))/(0.5*(Inputs!$C$49+Inputs!$C$50))+Inputs!$C$47*0.097)))+0.3*(2*((SIN((((Inputs!$I$6+(((A87)+1)/2)*(Inputs!$J$6-Inputs!$I$6)))*12.9898+(Inputs!$C$6)*78.233+Inputs!$C$47*37.719))*43758.5453)-INT((SIN((((Inputs!$I$6+(((A87)+1)/2)*(Inputs!$J$6-Inputs!$I$6)))*12.9898+(Inputs!$C$6)*78.233+Inputs!$C$47*37.719))*43758.5453)))-1))),NA())</f>
        <v/>
      </c>
      <c r="AT87" s="9">
        <f>IF(OR(Inputs!$F$7=TRUE,Inputs!$F$7="TRUE",Inputs!$F$7=1),IF(OR(Inputs!$C$27=TRUE,Inputs!$C$27="TRUE",Inputs!$C$27=1),1,0)*(Inputs!$C$51*(115*EXP(-(((Inputs!$C$6)-25)^2)/(4.5^2))+70*EXP(-(((Inputs!$C$6)+38)^2)/(7^2))*(0.55+0.45*SIN(2*PI()*((Inputs!$I$7+(((A87)+1)/2)*(Inputs!$J$7-Inputs!$I$7)))/45))+24*SIN(2*PI()*(Inputs!$C$6)/9+((Inputs!$I$7+(((A87)+1)/2)*(Inputs!$J$7-Inputs!$I$7)))/18)*EXP(-(((Inputs!$C$6)+5)^2)/(22^2))+18*SIN(2*PI()*((Inputs!$I$7+(((A87)+1)/2)*(Inputs!$J$7-Inputs!$I$7)))/70))+Inputs!$C$28*EXP(-((((Inputs!$I$7+(((A87)+1)/2)*(Inputs!$J$7-Inputs!$I$7)))-Inputs!$C$29)^2)/(2*Inputs!$C$31^2))*EXP(-(((Inputs!$C$6)-Inputs!$C$30)^2)/(2*Inputs!$C$32^2))+-Inputs!$C$33*EXP(-((((((Inputs!$I$7+(((A87)+1)/2)*(Inputs!$J$7-Inputs!$I$7)))-Inputs!$C$34)^2)+(((Inputs!$C$6)-Inputs!$C$35)^2))/(2*Inputs!$C$36^2)))+Inputs!$C$37*(0.55*SIN(2*PI()*((Inputs!$I$7+(((A87)+1)/2)*(Inputs!$J$7-Inputs!$I$7)))/Inputs!$C$39)+0.35*COS(2*PI()*(Inputs!$C$6)/Inputs!$C$40)+0.2*SIN(2*PI()*(((Inputs!$I$7+(((A87)+1)/2)*(Inputs!$J$7-Inputs!$I$7)))+(Inputs!$C$6))/(0.5*(Inputs!$C$39+Inputs!$C$40))))+Inputs!$C$38*SIN(2*PI()*((Inputs!$I$7+(((A87)+1)/2)*(Inputs!$J$7-Inputs!$I$7)))/Inputs!$C$39)*SIN(2*PI()*(Inputs!$C$6)/Inputs!$C$40)+-Inputs!$C$41*EXP(-(((Inputs!$C$6)-Inputs!$C$43)^2)/(2*Inputs!$C$44^2))*EXP(-((((Inputs!$I$7+(((A87)+1)/2)*(Inputs!$J$7-Inputs!$I$7)))-Inputs!$C$42)^2)/(2*Inputs!$C$45^2))+Inputs!$C$48*(0.7*(0.45*SIN(2*PI()*((((Inputs!$I$7+(((A87)+1)/2)*(Inputs!$J$7-Inputs!$I$7)))/Inputs!$C$49)+Inputs!$C$47*0.137))+0.35*COS(2*PI()*(((Inputs!$C$6)/Inputs!$C$50)+Inputs!$C$47*0.173))+0.2*SIN(2*PI()*((((Inputs!$I$7+(((A87)+1)/2)*(Inputs!$J$7-Inputs!$I$7)))+(Inputs!$C$6))/(0.5*(Inputs!$C$49+Inputs!$C$50))+Inputs!$C$47*0.097)))+0.3*(2*((SIN((((Inputs!$I$7+(((A87)+1)/2)*(Inputs!$J$7-Inputs!$I$7)))*12.9898+(Inputs!$C$6)*78.233+Inputs!$C$47*37.719))*43758.5453)-INT((SIN((((Inputs!$I$7+(((A87)+1)/2)*(Inputs!$J$7-Inputs!$I$7)))*12.9898+(Inputs!$C$6)*78.233+Inputs!$C$47*37.719))*43758.5453)))-1))),NA())</f>
        <v/>
      </c>
      <c r="AU87" s="9">
        <f>IF(OR(Inputs!$F$8=TRUE,Inputs!$F$8="TRUE",Inputs!$F$8=1),IF(OR(Inputs!$C$27=TRUE,Inputs!$C$27="TRUE",Inputs!$C$27=1),1,0)*(Inputs!$C$51*(115*EXP(-(((Inputs!$C$6)-25)^2)/(4.5^2))+70*EXP(-(((Inputs!$C$6)+38)^2)/(7^2))*(0.55+0.45*SIN(2*PI()*((Inputs!$I$8+(((A87)+1)/2)*(Inputs!$J$8-Inputs!$I$8)))/45))+24*SIN(2*PI()*(Inputs!$C$6)/9+((Inputs!$I$8+(((A87)+1)/2)*(Inputs!$J$8-Inputs!$I$8)))/18)*EXP(-(((Inputs!$C$6)+5)^2)/(22^2))+18*SIN(2*PI()*((Inputs!$I$8+(((A87)+1)/2)*(Inputs!$J$8-Inputs!$I$8)))/70))+Inputs!$C$28*EXP(-((((Inputs!$I$8+(((A87)+1)/2)*(Inputs!$J$8-Inputs!$I$8)))-Inputs!$C$29)^2)/(2*Inputs!$C$31^2))*EXP(-(((Inputs!$C$6)-Inputs!$C$30)^2)/(2*Inputs!$C$32^2))+-Inputs!$C$33*EXP(-((((((Inputs!$I$8+(((A87)+1)/2)*(Inputs!$J$8-Inputs!$I$8)))-Inputs!$C$34)^2)+(((Inputs!$C$6)-Inputs!$C$35)^2))/(2*Inputs!$C$36^2)))+Inputs!$C$37*(0.55*SIN(2*PI()*((Inputs!$I$8+(((A87)+1)/2)*(Inputs!$J$8-Inputs!$I$8)))/Inputs!$C$39)+0.35*COS(2*PI()*(Inputs!$C$6)/Inputs!$C$40)+0.2*SIN(2*PI()*(((Inputs!$I$8+(((A87)+1)/2)*(Inputs!$J$8-Inputs!$I$8)))+(Inputs!$C$6))/(0.5*(Inputs!$C$39+Inputs!$C$40))))+Inputs!$C$38*SIN(2*PI()*((Inputs!$I$8+(((A87)+1)/2)*(Inputs!$J$8-Inputs!$I$8)))/Inputs!$C$39)*SIN(2*PI()*(Inputs!$C$6)/Inputs!$C$40)+-Inputs!$C$41*EXP(-(((Inputs!$C$6)-Inputs!$C$43)^2)/(2*Inputs!$C$44^2))*EXP(-((((Inputs!$I$8+(((A87)+1)/2)*(Inputs!$J$8-Inputs!$I$8)))-Inputs!$C$42)^2)/(2*Inputs!$C$45^2))+Inputs!$C$48*(0.7*(0.45*SIN(2*PI()*((((Inputs!$I$8+(((A87)+1)/2)*(Inputs!$J$8-Inputs!$I$8)))/Inputs!$C$49)+Inputs!$C$47*0.137))+0.35*COS(2*PI()*(((Inputs!$C$6)/Inputs!$C$50)+Inputs!$C$47*0.173))+0.2*SIN(2*PI()*((((Inputs!$I$8+(((A87)+1)/2)*(Inputs!$J$8-Inputs!$I$8)))+(Inputs!$C$6))/(0.5*(Inputs!$C$49+Inputs!$C$50))+Inputs!$C$47*0.097)))+0.3*(2*((SIN((((Inputs!$I$8+(((A87)+1)/2)*(Inputs!$J$8-Inputs!$I$8)))*12.9898+(Inputs!$C$6)*78.233+Inputs!$C$47*37.719))*43758.5453)-INT((SIN((((Inputs!$I$8+(((A87)+1)/2)*(Inputs!$J$8-Inputs!$I$8)))*12.9898+(Inputs!$C$6)*78.233+Inputs!$C$47*37.719))*43758.5453)))-1))),NA())</f>
        <v/>
      </c>
      <c r="AV87" s="9">
        <f>IF(OR(Inputs!$F$9=TRUE,Inputs!$F$9="TRUE",Inputs!$F$9=1),IF(OR(Inputs!$C$27=TRUE,Inputs!$C$27="TRUE",Inputs!$C$27=1),1,0)*(Inputs!$C$51*(115*EXP(-(((Inputs!$C$6)-25)^2)/(4.5^2))+70*EXP(-(((Inputs!$C$6)+38)^2)/(7^2))*(0.55+0.45*SIN(2*PI()*((Inputs!$I$9+(((A87)+1)/2)*(Inputs!$J$9-Inputs!$I$9)))/45))+24*SIN(2*PI()*(Inputs!$C$6)/9+((Inputs!$I$9+(((A87)+1)/2)*(Inputs!$J$9-Inputs!$I$9)))/18)*EXP(-(((Inputs!$C$6)+5)^2)/(22^2))+18*SIN(2*PI()*((Inputs!$I$9+(((A87)+1)/2)*(Inputs!$J$9-Inputs!$I$9)))/70))+Inputs!$C$28*EXP(-((((Inputs!$I$9+(((A87)+1)/2)*(Inputs!$J$9-Inputs!$I$9)))-Inputs!$C$29)^2)/(2*Inputs!$C$31^2))*EXP(-(((Inputs!$C$6)-Inputs!$C$30)^2)/(2*Inputs!$C$32^2))+-Inputs!$C$33*EXP(-((((((Inputs!$I$9+(((A87)+1)/2)*(Inputs!$J$9-Inputs!$I$9)))-Inputs!$C$34)^2)+(((Inputs!$C$6)-Inputs!$C$35)^2))/(2*Inputs!$C$36^2)))+Inputs!$C$37*(0.55*SIN(2*PI()*((Inputs!$I$9+(((A87)+1)/2)*(Inputs!$J$9-Inputs!$I$9)))/Inputs!$C$39)+0.35*COS(2*PI()*(Inputs!$C$6)/Inputs!$C$40)+0.2*SIN(2*PI()*(((Inputs!$I$9+(((A87)+1)/2)*(Inputs!$J$9-Inputs!$I$9)))+(Inputs!$C$6))/(0.5*(Inputs!$C$39+Inputs!$C$40))))+Inputs!$C$38*SIN(2*PI()*((Inputs!$I$9+(((A87)+1)/2)*(Inputs!$J$9-Inputs!$I$9)))/Inputs!$C$39)*SIN(2*PI()*(Inputs!$C$6)/Inputs!$C$40)+-Inputs!$C$41*EXP(-(((Inputs!$C$6)-Inputs!$C$43)^2)/(2*Inputs!$C$44^2))*EXP(-((((Inputs!$I$9+(((A87)+1)/2)*(Inputs!$J$9-Inputs!$I$9)))-Inputs!$C$42)^2)/(2*Inputs!$C$45^2))+Inputs!$C$48*(0.7*(0.45*SIN(2*PI()*((((Inputs!$I$9+(((A87)+1)/2)*(Inputs!$J$9-Inputs!$I$9)))/Inputs!$C$49)+Inputs!$C$47*0.137))+0.35*COS(2*PI()*(((Inputs!$C$6)/Inputs!$C$50)+Inputs!$C$47*0.173))+0.2*SIN(2*PI()*((((Inputs!$I$9+(((A87)+1)/2)*(Inputs!$J$9-Inputs!$I$9)))+(Inputs!$C$6))/(0.5*(Inputs!$C$49+Inputs!$C$50))+Inputs!$C$47*0.097)))+0.3*(2*((SIN((((Inputs!$I$9+(((A87)+1)/2)*(Inputs!$J$9-Inputs!$I$9)))*12.9898+(Inputs!$C$6)*78.233+Inputs!$C$47*37.719))*43758.5453)-INT((SIN((((Inputs!$I$9+(((A87)+1)/2)*(Inputs!$J$9-Inputs!$I$9)))*12.9898+(Inputs!$C$6)*78.233+Inputs!$C$47*37.719))*43758.5453)))-1))),NA())</f>
        <v/>
      </c>
      <c r="AW87" s="10" t="n"/>
      <c r="AX87" s="9">
        <f>A87</f>
        <v/>
      </c>
      <c r="AY87" s="9">
        <f>0</f>
        <v/>
      </c>
      <c r="AZ87" s="9">
        <f>IF(OR(Inputs!$F$6=TRUE,Inputs!$F$6="TRUE",Inputs!$F$6=1),(Inputs!$H$6+Inputs!$L$6*(((Inputs!$I$6+(((A87)+1)/2)*(Inputs!$J$6-Inputs!$I$6)))/Inputs!$K$6)^2),NA())</f>
        <v/>
      </c>
      <c r="BA87" s="9">
        <f>IF(OR(Inputs!$F$7=TRUE,Inputs!$F$7="TRUE",Inputs!$F$7=1),(Inputs!$H$7+Inputs!$L$7*(((Inputs!$I$7+(((A87)+1)/2)*(Inputs!$J$7-Inputs!$I$7)))/Inputs!$K$7)^2),NA())</f>
        <v/>
      </c>
      <c r="BB87" s="9">
        <f>IF(OR(Inputs!$F$8=TRUE,Inputs!$F$8="TRUE",Inputs!$F$8=1),(Inputs!$H$8+Inputs!$L$8*(((Inputs!$I$8+(((A87)+1)/2)*(Inputs!$J$8-Inputs!$I$8)))/Inputs!$K$8)^2),NA())</f>
        <v/>
      </c>
      <c r="BC87" s="9">
        <f>IF(OR(Inputs!$F$9=TRUE,Inputs!$F$9="TRUE",Inputs!$F$9=1),(Inputs!$H$9+Inputs!$L$9*(((Inputs!$I$9+(((A87)+1)/2)*(Inputs!$J$9-Inputs!$I$9)))/Inputs!$K$9)^2),NA())</f>
        <v/>
      </c>
      <c r="BD87" s="10" t="n"/>
      <c r="BE87" s="9">
        <f>A87</f>
        <v/>
      </c>
      <c r="BF87" s="9">
        <f>0</f>
        <v/>
      </c>
      <c r="BG87" s="9">
        <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f>
        <v/>
      </c>
      <c r="BH87" s="9">
        <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f>
        <v/>
      </c>
      <c r="BI87" s="9">
        <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f>
        <v/>
      </c>
      <c r="BJ87" s="9">
        <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f>
        <v/>
      </c>
    </row>
    <row r="88">
      <c r="A88" s="9">
        <f>ROUND(-1+86*2/240,3)</f>
        <v/>
      </c>
      <c r="B88" s="9">
        <f>IF(OR(Inputs!$F$6=TRUE,Inputs!$F$6="TRUE",Inputs!$F$6=1),(Inputs!$H$6+Inputs!$L$6*(((Inputs!$I$6+(((A88)+1)/2)*(Inputs!$J$6-Inputs!$I$6)))/Inputs!$K$6)^2),NA())</f>
        <v/>
      </c>
      <c r="C88" s="9">
        <f>IF(OR(Inputs!$F$7=TRUE,Inputs!$F$7="TRUE",Inputs!$F$7=1),(Inputs!$H$7+Inputs!$L$7*(((Inputs!$I$7+(((A88)+1)/2)*(Inputs!$J$7-Inputs!$I$7)))/Inputs!$K$7)^2),NA())</f>
        <v/>
      </c>
      <c r="D88" s="9">
        <f>IF(OR(Inputs!$F$8=TRUE,Inputs!$F$8="TRUE",Inputs!$F$8=1),(Inputs!$H$8+Inputs!$L$8*(((Inputs!$I$8+(((A88)+1)/2)*(Inputs!$J$8-Inputs!$I$8)))/Inputs!$K$8)^2),NA())</f>
        <v/>
      </c>
      <c r="E88" s="9">
        <f>IF(OR(Inputs!$F$9=TRUE,Inputs!$F$9="TRUE",Inputs!$F$9=1),(Inputs!$H$9+Inputs!$L$9*(((Inputs!$I$9+(((A88)+1)/2)*(Inputs!$J$9-Inputs!$I$9)))/Inputs!$K$9)^2),NA())</f>
        <v/>
      </c>
      <c r="F88" s="10" t="n"/>
      <c r="G88" s="9">
        <f>A88</f>
        <v/>
      </c>
      <c r="H88" s="9">
        <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f>
        <v/>
      </c>
      <c r="I88" s="9">
        <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f>
        <v/>
      </c>
      <c r="J88" s="9">
        <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f>
        <v/>
      </c>
      <c r="K88" s="9">
        <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f>
        <v/>
      </c>
      <c r="L88" s="10" t="n"/>
      <c r="M88" s="9">
        <f>A88</f>
        <v/>
      </c>
      <c r="N88" s="9">
        <f>IF(OR(Inputs!$F$6=TRUE,Inputs!$F$6="TRUE",Inputs!$F$6=1),(-2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NA())</f>
        <v/>
      </c>
      <c r="O88" s="9">
        <f>IF(OR(Inputs!$F$7=TRUE,Inputs!$F$7="TRUE",Inputs!$F$7=1),(-2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NA())</f>
        <v/>
      </c>
      <c r="P88" s="9">
        <f>IF(OR(Inputs!$F$8=TRUE,Inputs!$F$8="TRUE",Inputs!$F$8=1),(-2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NA())</f>
        <v/>
      </c>
      <c r="Q88" s="9">
        <f>IF(OR(Inputs!$F$9=TRUE,Inputs!$F$9="TRUE",Inputs!$F$9=1),(-2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NA())</f>
        <v/>
      </c>
      <c r="R88" s="10" t="n"/>
      <c r="S88" s="9">
        <f>A88</f>
        <v/>
      </c>
      <c r="T88" s="9">
        <f>(Inputs!$I$6+(((A88)+1)/2)*(Inputs!$J$6-Inputs!$I$6))</f>
        <v/>
      </c>
      <c r="U88" s="9">
        <f>(Inputs!$I$7+(((A88)+1)/2)*(Inputs!$J$7-Inputs!$I$7))</f>
        <v/>
      </c>
      <c r="V88" s="9">
        <f>(Inputs!$I$8+(((A88)+1)/2)*(Inputs!$J$8-Inputs!$I$8))</f>
        <v/>
      </c>
      <c r="W88" s="9">
        <f>(Inputs!$I$9+(((A88)+1)/2)*(Inputs!$J$9-Inputs!$I$9))</f>
        <v/>
      </c>
      <c r="X88" s="10" t="n"/>
      <c r="Y88" s="9">
        <f>A88</f>
        <v/>
      </c>
      <c r="Z88" s="9">
        <f>(Inputs!$H$6+Inputs!$L$6*(((Inputs!$I$6+(((A88)+1)/2)*(Inputs!$J$6-Inputs!$I$6)))/Inputs!$K$6)^2)</f>
        <v/>
      </c>
      <c r="AA88" s="9">
        <f>(Inputs!$H$7+Inputs!$L$7*(((Inputs!$I$7+(((A88)+1)/2)*(Inputs!$J$7-Inputs!$I$7)))/Inputs!$K$7)^2)</f>
        <v/>
      </c>
      <c r="AB88" s="9">
        <f>(Inputs!$H$8+Inputs!$L$8*(((Inputs!$I$8+(((A88)+1)/2)*(Inputs!$J$8-Inputs!$I$8)))/Inputs!$K$8)^2)</f>
        <v/>
      </c>
      <c r="AC88" s="9">
        <f>(Inputs!$H$9+Inputs!$L$9*(((Inputs!$I$9+(((A88)+1)/2)*(Inputs!$J$9-Inputs!$I$9)))/Inputs!$K$9)^2)</f>
        <v/>
      </c>
      <c r="AD88" s="10" t="n"/>
      <c r="AE88" s="9">
        <f>A88</f>
        <v/>
      </c>
      <c r="AF88" s="9">
        <f>(((SQRT((Inputs!$C$52+((Inputs!$H$6+Inputs!$L$6*(((Inputs!$I$6+(((A88)+1)/2)*(Inputs!$J$6-Inputs!$I$6)))/Inputs!$K$6)^2)))^2+Inputs!$C$52^2-2*(Inputs!$C$52+((Inputs!$H$6+Inputs!$L$6*(((Inputs!$I$6+(((A88)+1)/2)*(Inputs!$J$6-Inputs!$I$6)))/Inputs!$K$6)^2)))*Inputs!$C$52*COS(SQRT(((Inputs!$I$6+(((A88)+1)/2)*(Inputs!$J$6-Inputs!$I$6)))^2+Inputs!$C$6^2)/Inputs!$C$52)))-((Inputs!$H$6+Inputs!$L$6*(((Inputs!$I$6+(((A88)+1)/2)*(Inputs!$J$6-Inputs!$I$6)))/Inputs!$K$6)^2)))*1000/Inputs!$C$12)</f>
        <v/>
      </c>
      <c r="AG88" s="9">
        <f>(((SQRT((Inputs!$C$52+((Inputs!$H$7+Inputs!$L$7*(((Inputs!$I$7+(((A88)+1)/2)*(Inputs!$J$7-Inputs!$I$7)))/Inputs!$K$7)^2)))^2+Inputs!$C$52^2-2*(Inputs!$C$52+((Inputs!$H$7+Inputs!$L$7*(((Inputs!$I$7+(((A88)+1)/2)*(Inputs!$J$7-Inputs!$I$7)))/Inputs!$K$7)^2)))*Inputs!$C$52*COS(SQRT(((Inputs!$I$7+(((A88)+1)/2)*(Inputs!$J$7-Inputs!$I$7)))^2+Inputs!$C$6^2)/Inputs!$C$52)))-((Inputs!$H$7+Inputs!$L$7*(((Inputs!$I$7+(((A88)+1)/2)*(Inputs!$J$7-Inputs!$I$7)))/Inputs!$K$7)^2)))*1000/Inputs!$C$12)</f>
        <v/>
      </c>
      <c r="AH88" s="9">
        <f>(((SQRT((Inputs!$C$52+((Inputs!$H$8+Inputs!$L$8*(((Inputs!$I$8+(((A88)+1)/2)*(Inputs!$J$8-Inputs!$I$8)))/Inputs!$K$8)^2)))^2+Inputs!$C$52^2-2*(Inputs!$C$52+((Inputs!$H$8+Inputs!$L$8*(((Inputs!$I$8+(((A88)+1)/2)*(Inputs!$J$8-Inputs!$I$8)))/Inputs!$K$8)^2)))*Inputs!$C$52*COS(SQRT(((Inputs!$I$8+(((A88)+1)/2)*(Inputs!$J$8-Inputs!$I$8)))^2+Inputs!$C$6^2)/Inputs!$C$52)))-((Inputs!$H$8+Inputs!$L$8*(((Inputs!$I$8+(((A88)+1)/2)*(Inputs!$J$8-Inputs!$I$8)))/Inputs!$K$8)^2)))*1000/Inputs!$C$12)</f>
        <v/>
      </c>
      <c r="AI88" s="9">
        <f>(((SQRT((Inputs!$C$52+((Inputs!$H$9+Inputs!$L$9*(((Inputs!$I$9+(((A88)+1)/2)*(Inputs!$J$9-Inputs!$I$9)))/Inputs!$K$9)^2)))^2+Inputs!$C$52^2-2*(Inputs!$C$52+((Inputs!$H$9+Inputs!$L$9*(((Inputs!$I$9+(((A88)+1)/2)*(Inputs!$J$9-Inputs!$I$9)))/Inputs!$K$9)^2)))*Inputs!$C$52*COS(SQRT(((Inputs!$I$9+(((A88)+1)/2)*(Inputs!$J$9-Inputs!$I$9)))^2+Inputs!$C$6^2)/Inputs!$C$52)))-((Inputs!$H$9+Inputs!$L$9*(((Inputs!$I$9+(((A88)+1)/2)*(Inputs!$J$9-Inputs!$I$9)))/Inputs!$K$9)^2)))*1000/Inputs!$C$12)</f>
        <v/>
      </c>
      <c r="AJ88" s="10" t="n"/>
      <c r="AK88" s="9">
        <f>A88</f>
        <v/>
      </c>
      <c r="AL88" s="9">
        <f>(-2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f>
        <v/>
      </c>
      <c r="AM88" s="9">
        <f>(-2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f>
        <v/>
      </c>
      <c r="AN88" s="9">
        <f>(-2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f>
        <v/>
      </c>
      <c r="AO88" s="9">
        <f>(-2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f>
        <v/>
      </c>
      <c r="AP88" s="10" t="n"/>
      <c r="AQ88" s="9">
        <f>A88</f>
        <v/>
      </c>
      <c r="AR88" s="9">
        <f>0</f>
        <v/>
      </c>
      <c r="AS88" s="9">
        <f>IF(OR(Inputs!$F$6=TRUE,Inputs!$F$6="TRUE",Inputs!$F$6=1),IF(OR(Inputs!$C$27=TRUE,Inputs!$C$27="TRUE",Inputs!$C$27=1),1,0)*(Inputs!$C$51*(115*EXP(-(((Inputs!$C$6)-25)^2)/(4.5^2))+70*EXP(-(((Inputs!$C$6)+38)^2)/(7^2))*(0.55+0.45*SIN(2*PI()*((Inputs!$I$6+(((A88)+1)/2)*(Inputs!$J$6-Inputs!$I$6)))/45))+24*SIN(2*PI()*(Inputs!$C$6)/9+((Inputs!$I$6+(((A88)+1)/2)*(Inputs!$J$6-Inputs!$I$6)))/18)*EXP(-(((Inputs!$C$6)+5)^2)/(22^2))+18*SIN(2*PI()*((Inputs!$I$6+(((A88)+1)/2)*(Inputs!$J$6-Inputs!$I$6)))/70))+Inputs!$C$28*EXP(-((((Inputs!$I$6+(((A88)+1)/2)*(Inputs!$J$6-Inputs!$I$6)))-Inputs!$C$29)^2)/(2*Inputs!$C$31^2))*EXP(-(((Inputs!$C$6)-Inputs!$C$30)^2)/(2*Inputs!$C$32^2))+-Inputs!$C$33*EXP(-((((((Inputs!$I$6+(((A88)+1)/2)*(Inputs!$J$6-Inputs!$I$6)))-Inputs!$C$34)^2)+(((Inputs!$C$6)-Inputs!$C$35)^2))/(2*Inputs!$C$36^2)))+Inputs!$C$37*(0.55*SIN(2*PI()*((Inputs!$I$6+(((A88)+1)/2)*(Inputs!$J$6-Inputs!$I$6)))/Inputs!$C$39)+0.35*COS(2*PI()*(Inputs!$C$6)/Inputs!$C$40)+0.2*SIN(2*PI()*(((Inputs!$I$6+(((A88)+1)/2)*(Inputs!$J$6-Inputs!$I$6)))+(Inputs!$C$6))/(0.5*(Inputs!$C$39+Inputs!$C$40))))+Inputs!$C$38*SIN(2*PI()*((Inputs!$I$6+(((A88)+1)/2)*(Inputs!$J$6-Inputs!$I$6)))/Inputs!$C$39)*SIN(2*PI()*(Inputs!$C$6)/Inputs!$C$40)+-Inputs!$C$41*EXP(-(((Inputs!$C$6)-Inputs!$C$43)^2)/(2*Inputs!$C$44^2))*EXP(-((((Inputs!$I$6+(((A88)+1)/2)*(Inputs!$J$6-Inputs!$I$6)))-Inputs!$C$42)^2)/(2*Inputs!$C$45^2))+Inputs!$C$48*(0.7*(0.45*SIN(2*PI()*((((Inputs!$I$6+(((A88)+1)/2)*(Inputs!$J$6-Inputs!$I$6)))/Inputs!$C$49)+Inputs!$C$47*0.137))+0.35*COS(2*PI()*(((Inputs!$C$6)/Inputs!$C$50)+Inputs!$C$47*0.173))+0.2*SIN(2*PI()*((((Inputs!$I$6+(((A88)+1)/2)*(Inputs!$J$6-Inputs!$I$6)))+(Inputs!$C$6))/(0.5*(Inputs!$C$49+Inputs!$C$50))+Inputs!$C$47*0.097)))+0.3*(2*((SIN((((Inputs!$I$6+(((A88)+1)/2)*(Inputs!$J$6-Inputs!$I$6)))*12.9898+(Inputs!$C$6)*78.233+Inputs!$C$47*37.719))*43758.5453)-INT((SIN((((Inputs!$I$6+(((A88)+1)/2)*(Inputs!$J$6-Inputs!$I$6)))*12.9898+(Inputs!$C$6)*78.233+Inputs!$C$47*37.719))*43758.5453)))-1))),NA())</f>
        <v/>
      </c>
      <c r="AT88" s="9">
        <f>IF(OR(Inputs!$F$7=TRUE,Inputs!$F$7="TRUE",Inputs!$F$7=1),IF(OR(Inputs!$C$27=TRUE,Inputs!$C$27="TRUE",Inputs!$C$27=1),1,0)*(Inputs!$C$51*(115*EXP(-(((Inputs!$C$6)-25)^2)/(4.5^2))+70*EXP(-(((Inputs!$C$6)+38)^2)/(7^2))*(0.55+0.45*SIN(2*PI()*((Inputs!$I$7+(((A88)+1)/2)*(Inputs!$J$7-Inputs!$I$7)))/45))+24*SIN(2*PI()*(Inputs!$C$6)/9+((Inputs!$I$7+(((A88)+1)/2)*(Inputs!$J$7-Inputs!$I$7)))/18)*EXP(-(((Inputs!$C$6)+5)^2)/(22^2))+18*SIN(2*PI()*((Inputs!$I$7+(((A88)+1)/2)*(Inputs!$J$7-Inputs!$I$7)))/70))+Inputs!$C$28*EXP(-((((Inputs!$I$7+(((A88)+1)/2)*(Inputs!$J$7-Inputs!$I$7)))-Inputs!$C$29)^2)/(2*Inputs!$C$31^2))*EXP(-(((Inputs!$C$6)-Inputs!$C$30)^2)/(2*Inputs!$C$32^2))+-Inputs!$C$33*EXP(-((((((Inputs!$I$7+(((A88)+1)/2)*(Inputs!$J$7-Inputs!$I$7)))-Inputs!$C$34)^2)+(((Inputs!$C$6)-Inputs!$C$35)^2))/(2*Inputs!$C$36^2)))+Inputs!$C$37*(0.55*SIN(2*PI()*((Inputs!$I$7+(((A88)+1)/2)*(Inputs!$J$7-Inputs!$I$7)))/Inputs!$C$39)+0.35*COS(2*PI()*(Inputs!$C$6)/Inputs!$C$40)+0.2*SIN(2*PI()*(((Inputs!$I$7+(((A88)+1)/2)*(Inputs!$J$7-Inputs!$I$7)))+(Inputs!$C$6))/(0.5*(Inputs!$C$39+Inputs!$C$40))))+Inputs!$C$38*SIN(2*PI()*((Inputs!$I$7+(((A88)+1)/2)*(Inputs!$J$7-Inputs!$I$7)))/Inputs!$C$39)*SIN(2*PI()*(Inputs!$C$6)/Inputs!$C$40)+-Inputs!$C$41*EXP(-(((Inputs!$C$6)-Inputs!$C$43)^2)/(2*Inputs!$C$44^2))*EXP(-((((Inputs!$I$7+(((A88)+1)/2)*(Inputs!$J$7-Inputs!$I$7)))-Inputs!$C$42)^2)/(2*Inputs!$C$45^2))+Inputs!$C$48*(0.7*(0.45*SIN(2*PI()*((((Inputs!$I$7+(((A88)+1)/2)*(Inputs!$J$7-Inputs!$I$7)))/Inputs!$C$49)+Inputs!$C$47*0.137))+0.35*COS(2*PI()*(((Inputs!$C$6)/Inputs!$C$50)+Inputs!$C$47*0.173))+0.2*SIN(2*PI()*((((Inputs!$I$7+(((A88)+1)/2)*(Inputs!$J$7-Inputs!$I$7)))+(Inputs!$C$6))/(0.5*(Inputs!$C$49+Inputs!$C$50))+Inputs!$C$47*0.097)))+0.3*(2*((SIN((((Inputs!$I$7+(((A88)+1)/2)*(Inputs!$J$7-Inputs!$I$7)))*12.9898+(Inputs!$C$6)*78.233+Inputs!$C$47*37.719))*43758.5453)-INT((SIN((((Inputs!$I$7+(((A88)+1)/2)*(Inputs!$J$7-Inputs!$I$7)))*12.9898+(Inputs!$C$6)*78.233+Inputs!$C$47*37.719))*43758.5453)))-1))),NA())</f>
        <v/>
      </c>
      <c r="AU88" s="9">
        <f>IF(OR(Inputs!$F$8=TRUE,Inputs!$F$8="TRUE",Inputs!$F$8=1),IF(OR(Inputs!$C$27=TRUE,Inputs!$C$27="TRUE",Inputs!$C$27=1),1,0)*(Inputs!$C$51*(115*EXP(-(((Inputs!$C$6)-25)^2)/(4.5^2))+70*EXP(-(((Inputs!$C$6)+38)^2)/(7^2))*(0.55+0.45*SIN(2*PI()*((Inputs!$I$8+(((A88)+1)/2)*(Inputs!$J$8-Inputs!$I$8)))/45))+24*SIN(2*PI()*(Inputs!$C$6)/9+((Inputs!$I$8+(((A88)+1)/2)*(Inputs!$J$8-Inputs!$I$8)))/18)*EXP(-(((Inputs!$C$6)+5)^2)/(22^2))+18*SIN(2*PI()*((Inputs!$I$8+(((A88)+1)/2)*(Inputs!$J$8-Inputs!$I$8)))/70))+Inputs!$C$28*EXP(-((((Inputs!$I$8+(((A88)+1)/2)*(Inputs!$J$8-Inputs!$I$8)))-Inputs!$C$29)^2)/(2*Inputs!$C$31^2))*EXP(-(((Inputs!$C$6)-Inputs!$C$30)^2)/(2*Inputs!$C$32^2))+-Inputs!$C$33*EXP(-((((((Inputs!$I$8+(((A88)+1)/2)*(Inputs!$J$8-Inputs!$I$8)))-Inputs!$C$34)^2)+(((Inputs!$C$6)-Inputs!$C$35)^2))/(2*Inputs!$C$36^2)))+Inputs!$C$37*(0.55*SIN(2*PI()*((Inputs!$I$8+(((A88)+1)/2)*(Inputs!$J$8-Inputs!$I$8)))/Inputs!$C$39)+0.35*COS(2*PI()*(Inputs!$C$6)/Inputs!$C$40)+0.2*SIN(2*PI()*(((Inputs!$I$8+(((A88)+1)/2)*(Inputs!$J$8-Inputs!$I$8)))+(Inputs!$C$6))/(0.5*(Inputs!$C$39+Inputs!$C$40))))+Inputs!$C$38*SIN(2*PI()*((Inputs!$I$8+(((A88)+1)/2)*(Inputs!$J$8-Inputs!$I$8)))/Inputs!$C$39)*SIN(2*PI()*(Inputs!$C$6)/Inputs!$C$40)+-Inputs!$C$41*EXP(-(((Inputs!$C$6)-Inputs!$C$43)^2)/(2*Inputs!$C$44^2))*EXP(-((((Inputs!$I$8+(((A88)+1)/2)*(Inputs!$J$8-Inputs!$I$8)))-Inputs!$C$42)^2)/(2*Inputs!$C$45^2))+Inputs!$C$48*(0.7*(0.45*SIN(2*PI()*((((Inputs!$I$8+(((A88)+1)/2)*(Inputs!$J$8-Inputs!$I$8)))/Inputs!$C$49)+Inputs!$C$47*0.137))+0.35*COS(2*PI()*(((Inputs!$C$6)/Inputs!$C$50)+Inputs!$C$47*0.173))+0.2*SIN(2*PI()*((((Inputs!$I$8+(((A88)+1)/2)*(Inputs!$J$8-Inputs!$I$8)))+(Inputs!$C$6))/(0.5*(Inputs!$C$49+Inputs!$C$50))+Inputs!$C$47*0.097)))+0.3*(2*((SIN((((Inputs!$I$8+(((A88)+1)/2)*(Inputs!$J$8-Inputs!$I$8)))*12.9898+(Inputs!$C$6)*78.233+Inputs!$C$47*37.719))*43758.5453)-INT((SIN((((Inputs!$I$8+(((A88)+1)/2)*(Inputs!$J$8-Inputs!$I$8)))*12.9898+(Inputs!$C$6)*78.233+Inputs!$C$47*37.719))*43758.5453)))-1))),NA())</f>
        <v/>
      </c>
      <c r="AV88" s="9">
        <f>IF(OR(Inputs!$F$9=TRUE,Inputs!$F$9="TRUE",Inputs!$F$9=1),IF(OR(Inputs!$C$27=TRUE,Inputs!$C$27="TRUE",Inputs!$C$27=1),1,0)*(Inputs!$C$51*(115*EXP(-(((Inputs!$C$6)-25)^2)/(4.5^2))+70*EXP(-(((Inputs!$C$6)+38)^2)/(7^2))*(0.55+0.45*SIN(2*PI()*((Inputs!$I$9+(((A88)+1)/2)*(Inputs!$J$9-Inputs!$I$9)))/45))+24*SIN(2*PI()*(Inputs!$C$6)/9+((Inputs!$I$9+(((A88)+1)/2)*(Inputs!$J$9-Inputs!$I$9)))/18)*EXP(-(((Inputs!$C$6)+5)^2)/(22^2))+18*SIN(2*PI()*((Inputs!$I$9+(((A88)+1)/2)*(Inputs!$J$9-Inputs!$I$9)))/70))+Inputs!$C$28*EXP(-((((Inputs!$I$9+(((A88)+1)/2)*(Inputs!$J$9-Inputs!$I$9)))-Inputs!$C$29)^2)/(2*Inputs!$C$31^2))*EXP(-(((Inputs!$C$6)-Inputs!$C$30)^2)/(2*Inputs!$C$32^2))+-Inputs!$C$33*EXP(-((((((Inputs!$I$9+(((A88)+1)/2)*(Inputs!$J$9-Inputs!$I$9)))-Inputs!$C$34)^2)+(((Inputs!$C$6)-Inputs!$C$35)^2))/(2*Inputs!$C$36^2)))+Inputs!$C$37*(0.55*SIN(2*PI()*((Inputs!$I$9+(((A88)+1)/2)*(Inputs!$J$9-Inputs!$I$9)))/Inputs!$C$39)+0.35*COS(2*PI()*(Inputs!$C$6)/Inputs!$C$40)+0.2*SIN(2*PI()*(((Inputs!$I$9+(((A88)+1)/2)*(Inputs!$J$9-Inputs!$I$9)))+(Inputs!$C$6))/(0.5*(Inputs!$C$39+Inputs!$C$40))))+Inputs!$C$38*SIN(2*PI()*((Inputs!$I$9+(((A88)+1)/2)*(Inputs!$J$9-Inputs!$I$9)))/Inputs!$C$39)*SIN(2*PI()*(Inputs!$C$6)/Inputs!$C$40)+-Inputs!$C$41*EXP(-(((Inputs!$C$6)-Inputs!$C$43)^2)/(2*Inputs!$C$44^2))*EXP(-((((Inputs!$I$9+(((A88)+1)/2)*(Inputs!$J$9-Inputs!$I$9)))-Inputs!$C$42)^2)/(2*Inputs!$C$45^2))+Inputs!$C$48*(0.7*(0.45*SIN(2*PI()*((((Inputs!$I$9+(((A88)+1)/2)*(Inputs!$J$9-Inputs!$I$9)))/Inputs!$C$49)+Inputs!$C$47*0.137))+0.35*COS(2*PI()*(((Inputs!$C$6)/Inputs!$C$50)+Inputs!$C$47*0.173))+0.2*SIN(2*PI()*((((Inputs!$I$9+(((A88)+1)/2)*(Inputs!$J$9-Inputs!$I$9)))+(Inputs!$C$6))/(0.5*(Inputs!$C$49+Inputs!$C$50))+Inputs!$C$47*0.097)))+0.3*(2*((SIN((((Inputs!$I$9+(((A88)+1)/2)*(Inputs!$J$9-Inputs!$I$9)))*12.9898+(Inputs!$C$6)*78.233+Inputs!$C$47*37.719))*43758.5453)-INT((SIN((((Inputs!$I$9+(((A88)+1)/2)*(Inputs!$J$9-Inputs!$I$9)))*12.9898+(Inputs!$C$6)*78.233+Inputs!$C$47*37.719))*43758.5453)))-1))),NA())</f>
        <v/>
      </c>
      <c r="AW88" s="10" t="n"/>
      <c r="AX88" s="9">
        <f>A88</f>
        <v/>
      </c>
      <c r="AY88" s="9">
        <f>0</f>
        <v/>
      </c>
      <c r="AZ88" s="9">
        <f>IF(OR(Inputs!$F$6=TRUE,Inputs!$F$6="TRUE",Inputs!$F$6=1),(Inputs!$H$6+Inputs!$L$6*(((Inputs!$I$6+(((A88)+1)/2)*(Inputs!$J$6-Inputs!$I$6)))/Inputs!$K$6)^2),NA())</f>
        <v/>
      </c>
      <c r="BA88" s="9">
        <f>IF(OR(Inputs!$F$7=TRUE,Inputs!$F$7="TRUE",Inputs!$F$7=1),(Inputs!$H$7+Inputs!$L$7*(((Inputs!$I$7+(((A88)+1)/2)*(Inputs!$J$7-Inputs!$I$7)))/Inputs!$K$7)^2),NA())</f>
        <v/>
      </c>
      <c r="BB88" s="9">
        <f>IF(OR(Inputs!$F$8=TRUE,Inputs!$F$8="TRUE",Inputs!$F$8=1),(Inputs!$H$8+Inputs!$L$8*(((Inputs!$I$8+(((A88)+1)/2)*(Inputs!$J$8-Inputs!$I$8)))/Inputs!$K$8)^2),NA())</f>
        <v/>
      </c>
      <c r="BC88" s="9">
        <f>IF(OR(Inputs!$F$9=TRUE,Inputs!$F$9="TRUE",Inputs!$F$9=1),(Inputs!$H$9+Inputs!$L$9*(((Inputs!$I$9+(((A88)+1)/2)*(Inputs!$J$9-Inputs!$I$9)))/Inputs!$K$9)^2),NA())</f>
        <v/>
      </c>
      <c r="BD88" s="10" t="n"/>
      <c r="BE88" s="9">
        <f>A88</f>
        <v/>
      </c>
      <c r="BF88" s="9">
        <f>0</f>
        <v/>
      </c>
      <c r="BG88" s="9">
        <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f>
        <v/>
      </c>
      <c r="BH88" s="9">
        <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f>
        <v/>
      </c>
      <c r="BI88" s="9">
        <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f>
        <v/>
      </c>
      <c r="BJ88" s="9">
        <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f>
        <v/>
      </c>
    </row>
    <row r="89">
      <c r="A89" s="9">
        <f>ROUND(-1+87*2/240,3)</f>
        <v/>
      </c>
      <c r="B89" s="9">
        <f>IF(OR(Inputs!$F$6=TRUE,Inputs!$F$6="TRUE",Inputs!$F$6=1),(Inputs!$H$6+Inputs!$L$6*(((Inputs!$I$6+(((A89)+1)/2)*(Inputs!$J$6-Inputs!$I$6)))/Inputs!$K$6)^2),NA())</f>
        <v/>
      </c>
      <c r="C89" s="9">
        <f>IF(OR(Inputs!$F$7=TRUE,Inputs!$F$7="TRUE",Inputs!$F$7=1),(Inputs!$H$7+Inputs!$L$7*(((Inputs!$I$7+(((A89)+1)/2)*(Inputs!$J$7-Inputs!$I$7)))/Inputs!$K$7)^2),NA())</f>
        <v/>
      </c>
      <c r="D89" s="9">
        <f>IF(OR(Inputs!$F$8=TRUE,Inputs!$F$8="TRUE",Inputs!$F$8=1),(Inputs!$H$8+Inputs!$L$8*(((Inputs!$I$8+(((A89)+1)/2)*(Inputs!$J$8-Inputs!$I$8)))/Inputs!$K$8)^2),NA())</f>
        <v/>
      </c>
      <c r="E89" s="9">
        <f>IF(OR(Inputs!$F$9=TRUE,Inputs!$F$9="TRUE",Inputs!$F$9=1),(Inputs!$H$9+Inputs!$L$9*(((Inputs!$I$9+(((A89)+1)/2)*(Inputs!$J$9-Inputs!$I$9)))/Inputs!$K$9)^2),NA())</f>
        <v/>
      </c>
      <c r="F89" s="10" t="n"/>
      <c r="G89" s="9">
        <f>A89</f>
        <v/>
      </c>
      <c r="H89" s="9">
        <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f>
        <v/>
      </c>
      <c r="I89" s="9">
        <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f>
        <v/>
      </c>
      <c r="J89" s="9">
        <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f>
        <v/>
      </c>
      <c r="K89" s="9">
        <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f>
        <v/>
      </c>
      <c r="L89" s="10" t="n"/>
      <c r="M89" s="9">
        <f>A89</f>
        <v/>
      </c>
      <c r="N89" s="9">
        <f>IF(OR(Inputs!$F$6=TRUE,Inputs!$F$6="TRUE",Inputs!$F$6=1),(-2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NA())</f>
        <v/>
      </c>
      <c r="O89" s="9">
        <f>IF(OR(Inputs!$F$7=TRUE,Inputs!$F$7="TRUE",Inputs!$F$7=1),(-2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NA())</f>
        <v/>
      </c>
      <c r="P89" s="9">
        <f>IF(OR(Inputs!$F$8=TRUE,Inputs!$F$8="TRUE",Inputs!$F$8=1),(-2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NA())</f>
        <v/>
      </c>
      <c r="Q89" s="9">
        <f>IF(OR(Inputs!$F$9=TRUE,Inputs!$F$9="TRUE",Inputs!$F$9=1),(-2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NA())</f>
        <v/>
      </c>
      <c r="R89" s="10" t="n"/>
      <c r="S89" s="9">
        <f>A89</f>
        <v/>
      </c>
      <c r="T89" s="9">
        <f>(Inputs!$I$6+(((A89)+1)/2)*(Inputs!$J$6-Inputs!$I$6))</f>
        <v/>
      </c>
      <c r="U89" s="9">
        <f>(Inputs!$I$7+(((A89)+1)/2)*(Inputs!$J$7-Inputs!$I$7))</f>
        <v/>
      </c>
      <c r="V89" s="9">
        <f>(Inputs!$I$8+(((A89)+1)/2)*(Inputs!$J$8-Inputs!$I$8))</f>
        <v/>
      </c>
      <c r="W89" s="9">
        <f>(Inputs!$I$9+(((A89)+1)/2)*(Inputs!$J$9-Inputs!$I$9))</f>
        <v/>
      </c>
      <c r="X89" s="10" t="n"/>
      <c r="Y89" s="9">
        <f>A89</f>
        <v/>
      </c>
      <c r="Z89" s="9">
        <f>(Inputs!$H$6+Inputs!$L$6*(((Inputs!$I$6+(((A89)+1)/2)*(Inputs!$J$6-Inputs!$I$6)))/Inputs!$K$6)^2)</f>
        <v/>
      </c>
      <c r="AA89" s="9">
        <f>(Inputs!$H$7+Inputs!$L$7*(((Inputs!$I$7+(((A89)+1)/2)*(Inputs!$J$7-Inputs!$I$7)))/Inputs!$K$7)^2)</f>
        <v/>
      </c>
      <c r="AB89" s="9">
        <f>(Inputs!$H$8+Inputs!$L$8*(((Inputs!$I$8+(((A89)+1)/2)*(Inputs!$J$8-Inputs!$I$8)))/Inputs!$K$8)^2)</f>
        <v/>
      </c>
      <c r="AC89" s="9">
        <f>(Inputs!$H$9+Inputs!$L$9*(((Inputs!$I$9+(((A89)+1)/2)*(Inputs!$J$9-Inputs!$I$9)))/Inputs!$K$9)^2)</f>
        <v/>
      </c>
      <c r="AD89" s="10" t="n"/>
      <c r="AE89" s="9">
        <f>A89</f>
        <v/>
      </c>
      <c r="AF89" s="9">
        <f>(((SQRT((Inputs!$C$52+((Inputs!$H$6+Inputs!$L$6*(((Inputs!$I$6+(((A89)+1)/2)*(Inputs!$J$6-Inputs!$I$6)))/Inputs!$K$6)^2)))^2+Inputs!$C$52^2-2*(Inputs!$C$52+((Inputs!$H$6+Inputs!$L$6*(((Inputs!$I$6+(((A89)+1)/2)*(Inputs!$J$6-Inputs!$I$6)))/Inputs!$K$6)^2)))*Inputs!$C$52*COS(SQRT(((Inputs!$I$6+(((A89)+1)/2)*(Inputs!$J$6-Inputs!$I$6)))^2+Inputs!$C$6^2)/Inputs!$C$52)))-((Inputs!$H$6+Inputs!$L$6*(((Inputs!$I$6+(((A89)+1)/2)*(Inputs!$J$6-Inputs!$I$6)))/Inputs!$K$6)^2)))*1000/Inputs!$C$12)</f>
        <v/>
      </c>
      <c r="AG89" s="9">
        <f>(((SQRT((Inputs!$C$52+((Inputs!$H$7+Inputs!$L$7*(((Inputs!$I$7+(((A89)+1)/2)*(Inputs!$J$7-Inputs!$I$7)))/Inputs!$K$7)^2)))^2+Inputs!$C$52^2-2*(Inputs!$C$52+((Inputs!$H$7+Inputs!$L$7*(((Inputs!$I$7+(((A89)+1)/2)*(Inputs!$J$7-Inputs!$I$7)))/Inputs!$K$7)^2)))*Inputs!$C$52*COS(SQRT(((Inputs!$I$7+(((A89)+1)/2)*(Inputs!$J$7-Inputs!$I$7)))^2+Inputs!$C$6^2)/Inputs!$C$52)))-((Inputs!$H$7+Inputs!$L$7*(((Inputs!$I$7+(((A89)+1)/2)*(Inputs!$J$7-Inputs!$I$7)))/Inputs!$K$7)^2)))*1000/Inputs!$C$12)</f>
        <v/>
      </c>
      <c r="AH89" s="9">
        <f>(((SQRT((Inputs!$C$52+((Inputs!$H$8+Inputs!$L$8*(((Inputs!$I$8+(((A89)+1)/2)*(Inputs!$J$8-Inputs!$I$8)))/Inputs!$K$8)^2)))^2+Inputs!$C$52^2-2*(Inputs!$C$52+((Inputs!$H$8+Inputs!$L$8*(((Inputs!$I$8+(((A89)+1)/2)*(Inputs!$J$8-Inputs!$I$8)))/Inputs!$K$8)^2)))*Inputs!$C$52*COS(SQRT(((Inputs!$I$8+(((A89)+1)/2)*(Inputs!$J$8-Inputs!$I$8)))^2+Inputs!$C$6^2)/Inputs!$C$52)))-((Inputs!$H$8+Inputs!$L$8*(((Inputs!$I$8+(((A89)+1)/2)*(Inputs!$J$8-Inputs!$I$8)))/Inputs!$K$8)^2)))*1000/Inputs!$C$12)</f>
        <v/>
      </c>
      <c r="AI89" s="9">
        <f>(((SQRT((Inputs!$C$52+((Inputs!$H$9+Inputs!$L$9*(((Inputs!$I$9+(((A89)+1)/2)*(Inputs!$J$9-Inputs!$I$9)))/Inputs!$K$9)^2)))^2+Inputs!$C$52^2-2*(Inputs!$C$52+((Inputs!$H$9+Inputs!$L$9*(((Inputs!$I$9+(((A89)+1)/2)*(Inputs!$J$9-Inputs!$I$9)))/Inputs!$K$9)^2)))*Inputs!$C$52*COS(SQRT(((Inputs!$I$9+(((A89)+1)/2)*(Inputs!$J$9-Inputs!$I$9)))^2+Inputs!$C$6^2)/Inputs!$C$52)))-((Inputs!$H$9+Inputs!$L$9*(((Inputs!$I$9+(((A89)+1)/2)*(Inputs!$J$9-Inputs!$I$9)))/Inputs!$K$9)^2)))*1000/Inputs!$C$12)</f>
        <v/>
      </c>
      <c r="AJ89" s="10" t="n"/>
      <c r="AK89" s="9">
        <f>A89</f>
        <v/>
      </c>
      <c r="AL89" s="9">
        <f>(-2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f>
        <v/>
      </c>
      <c r="AM89" s="9">
        <f>(-2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f>
        <v/>
      </c>
      <c r="AN89" s="9">
        <f>(-2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f>
        <v/>
      </c>
      <c r="AO89" s="9">
        <f>(-2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f>
        <v/>
      </c>
      <c r="AP89" s="10" t="n"/>
      <c r="AQ89" s="9">
        <f>A89</f>
        <v/>
      </c>
      <c r="AR89" s="9">
        <f>0</f>
        <v/>
      </c>
      <c r="AS89" s="9">
        <f>IF(OR(Inputs!$F$6=TRUE,Inputs!$F$6="TRUE",Inputs!$F$6=1),IF(OR(Inputs!$C$27=TRUE,Inputs!$C$27="TRUE",Inputs!$C$27=1),1,0)*(Inputs!$C$51*(115*EXP(-(((Inputs!$C$6)-25)^2)/(4.5^2))+70*EXP(-(((Inputs!$C$6)+38)^2)/(7^2))*(0.55+0.45*SIN(2*PI()*((Inputs!$I$6+(((A89)+1)/2)*(Inputs!$J$6-Inputs!$I$6)))/45))+24*SIN(2*PI()*(Inputs!$C$6)/9+((Inputs!$I$6+(((A89)+1)/2)*(Inputs!$J$6-Inputs!$I$6)))/18)*EXP(-(((Inputs!$C$6)+5)^2)/(22^2))+18*SIN(2*PI()*((Inputs!$I$6+(((A89)+1)/2)*(Inputs!$J$6-Inputs!$I$6)))/70))+Inputs!$C$28*EXP(-((((Inputs!$I$6+(((A89)+1)/2)*(Inputs!$J$6-Inputs!$I$6)))-Inputs!$C$29)^2)/(2*Inputs!$C$31^2))*EXP(-(((Inputs!$C$6)-Inputs!$C$30)^2)/(2*Inputs!$C$32^2))+-Inputs!$C$33*EXP(-((((((Inputs!$I$6+(((A89)+1)/2)*(Inputs!$J$6-Inputs!$I$6)))-Inputs!$C$34)^2)+(((Inputs!$C$6)-Inputs!$C$35)^2))/(2*Inputs!$C$36^2)))+Inputs!$C$37*(0.55*SIN(2*PI()*((Inputs!$I$6+(((A89)+1)/2)*(Inputs!$J$6-Inputs!$I$6)))/Inputs!$C$39)+0.35*COS(2*PI()*(Inputs!$C$6)/Inputs!$C$40)+0.2*SIN(2*PI()*(((Inputs!$I$6+(((A89)+1)/2)*(Inputs!$J$6-Inputs!$I$6)))+(Inputs!$C$6))/(0.5*(Inputs!$C$39+Inputs!$C$40))))+Inputs!$C$38*SIN(2*PI()*((Inputs!$I$6+(((A89)+1)/2)*(Inputs!$J$6-Inputs!$I$6)))/Inputs!$C$39)*SIN(2*PI()*(Inputs!$C$6)/Inputs!$C$40)+-Inputs!$C$41*EXP(-(((Inputs!$C$6)-Inputs!$C$43)^2)/(2*Inputs!$C$44^2))*EXP(-((((Inputs!$I$6+(((A89)+1)/2)*(Inputs!$J$6-Inputs!$I$6)))-Inputs!$C$42)^2)/(2*Inputs!$C$45^2))+Inputs!$C$48*(0.7*(0.45*SIN(2*PI()*((((Inputs!$I$6+(((A89)+1)/2)*(Inputs!$J$6-Inputs!$I$6)))/Inputs!$C$49)+Inputs!$C$47*0.137))+0.35*COS(2*PI()*(((Inputs!$C$6)/Inputs!$C$50)+Inputs!$C$47*0.173))+0.2*SIN(2*PI()*((((Inputs!$I$6+(((A89)+1)/2)*(Inputs!$J$6-Inputs!$I$6)))+(Inputs!$C$6))/(0.5*(Inputs!$C$49+Inputs!$C$50))+Inputs!$C$47*0.097)))+0.3*(2*((SIN((((Inputs!$I$6+(((A89)+1)/2)*(Inputs!$J$6-Inputs!$I$6)))*12.9898+(Inputs!$C$6)*78.233+Inputs!$C$47*37.719))*43758.5453)-INT((SIN((((Inputs!$I$6+(((A89)+1)/2)*(Inputs!$J$6-Inputs!$I$6)))*12.9898+(Inputs!$C$6)*78.233+Inputs!$C$47*37.719))*43758.5453)))-1))),NA())</f>
        <v/>
      </c>
      <c r="AT89" s="9">
        <f>IF(OR(Inputs!$F$7=TRUE,Inputs!$F$7="TRUE",Inputs!$F$7=1),IF(OR(Inputs!$C$27=TRUE,Inputs!$C$27="TRUE",Inputs!$C$27=1),1,0)*(Inputs!$C$51*(115*EXP(-(((Inputs!$C$6)-25)^2)/(4.5^2))+70*EXP(-(((Inputs!$C$6)+38)^2)/(7^2))*(0.55+0.45*SIN(2*PI()*((Inputs!$I$7+(((A89)+1)/2)*(Inputs!$J$7-Inputs!$I$7)))/45))+24*SIN(2*PI()*(Inputs!$C$6)/9+((Inputs!$I$7+(((A89)+1)/2)*(Inputs!$J$7-Inputs!$I$7)))/18)*EXP(-(((Inputs!$C$6)+5)^2)/(22^2))+18*SIN(2*PI()*((Inputs!$I$7+(((A89)+1)/2)*(Inputs!$J$7-Inputs!$I$7)))/70))+Inputs!$C$28*EXP(-((((Inputs!$I$7+(((A89)+1)/2)*(Inputs!$J$7-Inputs!$I$7)))-Inputs!$C$29)^2)/(2*Inputs!$C$31^2))*EXP(-(((Inputs!$C$6)-Inputs!$C$30)^2)/(2*Inputs!$C$32^2))+-Inputs!$C$33*EXP(-((((((Inputs!$I$7+(((A89)+1)/2)*(Inputs!$J$7-Inputs!$I$7)))-Inputs!$C$34)^2)+(((Inputs!$C$6)-Inputs!$C$35)^2))/(2*Inputs!$C$36^2)))+Inputs!$C$37*(0.55*SIN(2*PI()*((Inputs!$I$7+(((A89)+1)/2)*(Inputs!$J$7-Inputs!$I$7)))/Inputs!$C$39)+0.35*COS(2*PI()*(Inputs!$C$6)/Inputs!$C$40)+0.2*SIN(2*PI()*(((Inputs!$I$7+(((A89)+1)/2)*(Inputs!$J$7-Inputs!$I$7)))+(Inputs!$C$6))/(0.5*(Inputs!$C$39+Inputs!$C$40))))+Inputs!$C$38*SIN(2*PI()*((Inputs!$I$7+(((A89)+1)/2)*(Inputs!$J$7-Inputs!$I$7)))/Inputs!$C$39)*SIN(2*PI()*(Inputs!$C$6)/Inputs!$C$40)+-Inputs!$C$41*EXP(-(((Inputs!$C$6)-Inputs!$C$43)^2)/(2*Inputs!$C$44^2))*EXP(-((((Inputs!$I$7+(((A89)+1)/2)*(Inputs!$J$7-Inputs!$I$7)))-Inputs!$C$42)^2)/(2*Inputs!$C$45^2))+Inputs!$C$48*(0.7*(0.45*SIN(2*PI()*((((Inputs!$I$7+(((A89)+1)/2)*(Inputs!$J$7-Inputs!$I$7)))/Inputs!$C$49)+Inputs!$C$47*0.137))+0.35*COS(2*PI()*(((Inputs!$C$6)/Inputs!$C$50)+Inputs!$C$47*0.173))+0.2*SIN(2*PI()*((((Inputs!$I$7+(((A89)+1)/2)*(Inputs!$J$7-Inputs!$I$7)))+(Inputs!$C$6))/(0.5*(Inputs!$C$49+Inputs!$C$50))+Inputs!$C$47*0.097)))+0.3*(2*((SIN((((Inputs!$I$7+(((A89)+1)/2)*(Inputs!$J$7-Inputs!$I$7)))*12.9898+(Inputs!$C$6)*78.233+Inputs!$C$47*37.719))*43758.5453)-INT((SIN((((Inputs!$I$7+(((A89)+1)/2)*(Inputs!$J$7-Inputs!$I$7)))*12.9898+(Inputs!$C$6)*78.233+Inputs!$C$47*37.719))*43758.5453)))-1))),NA())</f>
        <v/>
      </c>
      <c r="AU89" s="9">
        <f>IF(OR(Inputs!$F$8=TRUE,Inputs!$F$8="TRUE",Inputs!$F$8=1),IF(OR(Inputs!$C$27=TRUE,Inputs!$C$27="TRUE",Inputs!$C$27=1),1,0)*(Inputs!$C$51*(115*EXP(-(((Inputs!$C$6)-25)^2)/(4.5^2))+70*EXP(-(((Inputs!$C$6)+38)^2)/(7^2))*(0.55+0.45*SIN(2*PI()*((Inputs!$I$8+(((A89)+1)/2)*(Inputs!$J$8-Inputs!$I$8)))/45))+24*SIN(2*PI()*(Inputs!$C$6)/9+((Inputs!$I$8+(((A89)+1)/2)*(Inputs!$J$8-Inputs!$I$8)))/18)*EXP(-(((Inputs!$C$6)+5)^2)/(22^2))+18*SIN(2*PI()*((Inputs!$I$8+(((A89)+1)/2)*(Inputs!$J$8-Inputs!$I$8)))/70))+Inputs!$C$28*EXP(-((((Inputs!$I$8+(((A89)+1)/2)*(Inputs!$J$8-Inputs!$I$8)))-Inputs!$C$29)^2)/(2*Inputs!$C$31^2))*EXP(-(((Inputs!$C$6)-Inputs!$C$30)^2)/(2*Inputs!$C$32^2))+-Inputs!$C$33*EXP(-((((((Inputs!$I$8+(((A89)+1)/2)*(Inputs!$J$8-Inputs!$I$8)))-Inputs!$C$34)^2)+(((Inputs!$C$6)-Inputs!$C$35)^2))/(2*Inputs!$C$36^2)))+Inputs!$C$37*(0.55*SIN(2*PI()*((Inputs!$I$8+(((A89)+1)/2)*(Inputs!$J$8-Inputs!$I$8)))/Inputs!$C$39)+0.35*COS(2*PI()*(Inputs!$C$6)/Inputs!$C$40)+0.2*SIN(2*PI()*(((Inputs!$I$8+(((A89)+1)/2)*(Inputs!$J$8-Inputs!$I$8)))+(Inputs!$C$6))/(0.5*(Inputs!$C$39+Inputs!$C$40))))+Inputs!$C$38*SIN(2*PI()*((Inputs!$I$8+(((A89)+1)/2)*(Inputs!$J$8-Inputs!$I$8)))/Inputs!$C$39)*SIN(2*PI()*(Inputs!$C$6)/Inputs!$C$40)+-Inputs!$C$41*EXP(-(((Inputs!$C$6)-Inputs!$C$43)^2)/(2*Inputs!$C$44^2))*EXP(-((((Inputs!$I$8+(((A89)+1)/2)*(Inputs!$J$8-Inputs!$I$8)))-Inputs!$C$42)^2)/(2*Inputs!$C$45^2))+Inputs!$C$48*(0.7*(0.45*SIN(2*PI()*((((Inputs!$I$8+(((A89)+1)/2)*(Inputs!$J$8-Inputs!$I$8)))/Inputs!$C$49)+Inputs!$C$47*0.137))+0.35*COS(2*PI()*(((Inputs!$C$6)/Inputs!$C$50)+Inputs!$C$47*0.173))+0.2*SIN(2*PI()*((((Inputs!$I$8+(((A89)+1)/2)*(Inputs!$J$8-Inputs!$I$8)))+(Inputs!$C$6))/(0.5*(Inputs!$C$49+Inputs!$C$50))+Inputs!$C$47*0.097)))+0.3*(2*((SIN((((Inputs!$I$8+(((A89)+1)/2)*(Inputs!$J$8-Inputs!$I$8)))*12.9898+(Inputs!$C$6)*78.233+Inputs!$C$47*37.719))*43758.5453)-INT((SIN((((Inputs!$I$8+(((A89)+1)/2)*(Inputs!$J$8-Inputs!$I$8)))*12.9898+(Inputs!$C$6)*78.233+Inputs!$C$47*37.719))*43758.5453)))-1))),NA())</f>
        <v/>
      </c>
      <c r="AV89" s="9">
        <f>IF(OR(Inputs!$F$9=TRUE,Inputs!$F$9="TRUE",Inputs!$F$9=1),IF(OR(Inputs!$C$27=TRUE,Inputs!$C$27="TRUE",Inputs!$C$27=1),1,0)*(Inputs!$C$51*(115*EXP(-(((Inputs!$C$6)-25)^2)/(4.5^2))+70*EXP(-(((Inputs!$C$6)+38)^2)/(7^2))*(0.55+0.45*SIN(2*PI()*((Inputs!$I$9+(((A89)+1)/2)*(Inputs!$J$9-Inputs!$I$9)))/45))+24*SIN(2*PI()*(Inputs!$C$6)/9+((Inputs!$I$9+(((A89)+1)/2)*(Inputs!$J$9-Inputs!$I$9)))/18)*EXP(-(((Inputs!$C$6)+5)^2)/(22^2))+18*SIN(2*PI()*((Inputs!$I$9+(((A89)+1)/2)*(Inputs!$J$9-Inputs!$I$9)))/70))+Inputs!$C$28*EXP(-((((Inputs!$I$9+(((A89)+1)/2)*(Inputs!$J$9-Inputs!$I$9)))-Inputs!$C$29)^2)/(2*Inputs!$C$31^2))*EXP(-(((Inputs!$C$6)-Inputs!$C$30)^2)/(2*Inputs!$C$32^2))+-Inputs!$C$33*EXP(-((((((Inputs!$I$9+(((A89)+1)/2)*(Inputs!$J$9-Inputs!$I$9)))-Inputs!$C$34)^2)+(((Inputs!$C$6)-Inputs!$C$35)^2))/(2*Inputs!$C$36^2)))+Inputs!$C$37*(0.55*SIN(2*PI()*((Inputs!$I$9+(((A89)+1)/2)*(Inputs!$J$9-Inputs!$I$9)))/Inputs!$C$39)+0.35*COS(2*PI()*(Inputs!$C$6)/Inputs!$C$40)+0.2*SIN(2*PI()*(((Inputs!$I$9+(((A89)+1)/2)*(Inputs!$J$9-Inputs!$I$9)))+(Inputs!$C$6))/(0.5*(Inputs!$C$39+Inputs!$C$40))))+Inputs!$C$38*SIN(2*PI()*((Inputs!$I$9+(((A89)+1)/2)*(Inputs!$J$9-Inputs!$I$9)))/Inputs!$C$39)*SIN(2*PI()*(Inputs!$C$6)/Inputs!$C$40)+-Inputs!$C$41*EXP(-(((Inputs!$C$6)-Inputs!$C$43)^2)/(2*Inputs!$C$44^2))*EXP(-((((Inputs!$I$9+(((A89)+1)/2)*(Inputs!$J$9-Inputs!$I$9)))-Inputs!$C$42)^2)/(2*Inputs!$C$45^2))+Inputs!$C$48*(0.7*(0.45*SIN(2*PI()*((((Inputs!$I$9+(((A89)+1)/2)*(Inputs!$J$9-Inputs!$I$9)))/Inputs!$C$49)+Inputs!$C$47*0.137))+0.35*COS(2*PI()*(((Inputs!$C$6)/Inputs!$C$50)+Inputs!$C$47*0.173))+0.2*SIN(2*PI()*((((Inputs!$I$9+(((A89)+1)/2)*(Inputs!$J$9-Inputs!$I$9)))+(Inputs!$C$6))/(0.5*(Inputs!$C$49+Inputs!$C$50))+Inputs!$C$47*0.097)))+0.3*(2*((SIN((((Inputs!$I$9+(((A89)+1)/2)*(Inputs!$J$9-Inputs!$I$9)))*12.9898+(Inputs!$C$6)*78.233+Inputs!$C$47*37.719))*43758.5453)-INT((SIN((((Inputs!$I$9+(((A89)+1)/2)*(Inputs!$J$9-Inputs!$I$9)))*12.9898+(Inputs!$C$6)*78.233+Inputs!$C$47*37.719))*43758.5453)))-1))),NA())</f>
        <v/>
      </c>
      <c r="AW89" s="10" t="n"/>
      <c r="AX89" s="9">
        <f>A89</f>
        <v/>
      </c>
      <c r="AY89" s="9">
        <f>0</f>
        <v/>
      </c>
      <c r="AZ89" s="9">
        <f>IF(OR(Inputs!$F$6=TRUE,Inputs!$F$6="TRUE",Inputs!$F$6=1),(Inputs!$H$6+Inputs!$L$6*(((Inputs!$I$6+(((A89)+1)/2)*(Inputs!$J$6-Inputs!$I$6)))/Inputs!$K$6)^2),NA())</f>
        <v/>
      </c>
      <c r="BA89" s="9">
        <f>IF(OR(Inputs!$F$7=TRUE,Inputs!$F$7="TRUE",Inputs!$F$7=1),(Inputs!$H$7+Inputs!$L$7*(((Inputs!$I$7+(((A89)+1)/2)*(Inputs!$J$7-Inputs!$I$7)))/Inputs!$K$7)^2),NA())</f>
        <v/>
      </c>
      <c r="BB89" s="9">
        <f>IF(OR(Inputs!$F$8=TRUE,Inputs!$F$8="TRUE",Inputs!$F$8=1),(Inputs!$H$8+Inputs!$L$8*(((Inputs!$I$8+(((A89)+1)/2)*(Inputs!$J$8-Inputs!$I$8)))/Inputs!$K$8)^2),NA())</f>
        <v/>
      </c>
      <c r="BC89" s="9">
        <f>IF(OR(Inputs!$F$9=TRUE,Inputs!$F$9="TRUE",Inputs!$F$9=1),(Inputs!$H$9+Inputs!$L$9*(((Inputs!$I$9+(((A89)+1)/2)*(Inputs!$J$9-Inputs!$I$9)))/Inputs!$K$9)^2),NA())</f>
        <v/>
      </c>
      <c r="BD89" s="10" t="n"/>
      <c r="BE89" s="9">
        <f>A89</f>
        <v/>
      </c>
      <c r="BF89" s="9">
        <f>0</f>
        <v/>
      </c>
      <c r="BG89" s="9">
        <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f>
        <v/>
      </c>
      <c r="BH89" s="9">
        <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f>
        <v/>
      </c>
      <c r="BI89" s="9">
        <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f>
        <v/>
      </c>
      <c r="BJ89" s="9">
        <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f>
        <v/>
      </c>
    </row>
    <row r="90">
      <c r="A90" s="9">
        <f>ROUND(-1+88*2/240,3)</f>
        <v/>
      </c>
      <c r="B90" s="9">
        <f>IF(OR(Inputs!$F$6=TRUE,Inputs!$F$6="TRUE",Inputs!$F$6=1),(Inputs!$H$6+Inputs!$L$6*(((Inputs!$I$6+(((A90)+1)/2)*(Inputs!$J$6-Inputs!$I$6)))/Inputs!$K$6)^2),NA())</f>
        <v/>
      </c>
      <c r="C90" s="9">
        <f>IF(OR(Inputs!$F$7=TRUE,Inputs!$F$7="TRUE",Inputs!$F$7=1),(Inputs!$H$7+Inputs!$L$7*(((Inputs!$I$7+(((A90)+1)/2)*(Inputs!$J$7-Inputs!$I$7)))/Inputs!$K$7)^2),NA())</f>
        <v/>
      </c>
      <c r="D90" s="9">
        <f>IF(OR(Inputs!$F$8=TRUE,Inputs!$F$8="TRUE",Inputs!$F$8=1),(Inputs!$H$8+Inputs!$L$8*(((Inputs!$I$8+(((A90)+1)/2)*(Inputs!$J$8-Inputs!$I$8)))/Inputs!$K$8)^2),NA())</f>
        <v/>
      </c>
      <c r="E90" s="9">
        <f>IF(OR(Inputs!$F$9=TRUE,Inputs!$F$9="TRUE",Inputs!$F$9=1),(Inputs!$H$9+Inputs!$L$9*(((Inputs!$I$9+(((A90)+1)/2)*(Inputs!$J$9-Inputs!$I$9)))/Inputs!$K$9)^2),NA())</f>
        <v/>
      </c>
      <c r="F90" s="10" t="n"/>
      <c r="G90" s="9">
        <f>A90</f>
        <v/>
      </c>
      <c r="H90" s="9">
        <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f>
        <v/>
      </c>
      <c r="I90" s="9">
        <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f>
        <v/>
      </c>
      <c r="J90" s="9">
        <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f>
        <v/>
      </c>
      <c r="K90" s="9">
        <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f>
        <v/>
      </c>
      <c r="L90" s="10" t="n"/>
      <c r="M90" s="9">
        <f>A90</f>
        <v/>
      </c>
      <c r="N90" s="9">
        <f>IF(OR(Inputs!$F$6=TRUE,Inputs!$F$6="TRUE",Inputs!$F$6=1),(-2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NA())</f>
        <v/>
      </c>
      <c r="O90" s="9">
        <f>IF(OR(Inputs!$F$7=TRUE,Inputs!$F$7="TRUE",Inputs!$F$7=1),(-2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NA())</f>
        <v/>
      </c>
      <c r="P90" s="9">
        <f>IF(OR(Inputs!$F$8=TRUE,Inputs!$F$8="TRUE",Inputs!$F$8=1),(-2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NA())</f>
        <v/>
      </c>
      <c r="Q90" s="9">
        <f>IF(OR(Inputs!$F$9=TRUE,Inputs!$F$9="TRUE",Inputs!$F$9=1),(-2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NA())</f>
        <v/>
      </c>
      <c r="R90" s="10" t="n"/>
      <c r="S90" s="9">
        <f>A90</f>
        <v/>
      </c>
      <c r="T90" s="9">
        <f>(Inputs!$I$6+(((A90)+1)/2)*(Inputs!$J$6-Inputs!$I$6))</f>
        <v/>
      </c>
      <c r="U90" s="9">
        <f>(Inputs!$I$7+(((A90)+1)/2)*(Inputs!$J$7-Inputs!$I$7))</f>
        <v/>
      </c>
      <c r="V90" s="9">
        <f>(Inputs!$I$8+(((A90)+1)/2)*(Inputs!$J$8-Inputs!$I$8))</f>
        <v/>
      </c>
      <c r="W90" s="9">
        <f>(Inputs!$I$9+(((A90)+1)/2)*(Inputs!$J$9-Inputs!$I$9))</f>
        <v/>
      </c>
      <c r="X90" s="10" t="n"/>
      <c r="Y90" s="9">
        <f>A90</f>
        <v/>
      </c>
      <c r="Z90" s="9">
        <f>(Inputs!$H$6+Inputs!$L$6*(((Inputs!$I$6+(((A90)+1)/2)*(Inputs!$J$6-Inputs!$I$6)))/Inputs!$K$6)^2)</f>
        <v/>
      </c>
      <c r="AA90" s="9">
        <f>(Inputs!$H$7+Inputs!$L$7*(((Inputs!$I$7+(((A90)+1)/2)*(Inputs!$J$7-Inputs!$I$7)))/Inputs!$K$7)^2)</f>
        <v/>
      </c>
      <c r="AB90" s="9">
        <f>(Inputs!$H$8+Inputs!$L$8*(((Inputs!$I$8+(((A90)+1)/2)*(Inputs!$J$8-Inputs!$I$8)))/Inputs!$K$8)^2)</f>
        <v/>
      </c>
      <c r="AC90" s="9">
        <f>(Inputs!$H$9+Inputs!$L$9*(((Inputs!$I$9+(((A90)+1)/2)*(Inputs!$J$9-Inputs!$I$9)))/Inputs!$K$9)^2)</f>
        <v/>
      </c>
      <c r="AD90" s="10" t="n"/>
      <c r="AE90" s="9">
        <f>A90</f>
        <v/>
      </c>
      <c r="AF90" s="9">
        <f>(((SQRT((Inputs!$C$52+((Inputs!$H$6+Inputs!$L$6*(((Inputs!$I$6+(((A90)+1)/2)*(Inputs!$J$6-Inputs!$I$6)))/Inputs!$K$6)^2)))^2+Inputs!$C$52^2-2*(Inputs!$C$52+((Inputs!$H$6+Inputs!$L$6*(((Inputs!$I$6+(((A90)+1)/2)*(Inputs!$J$6-Inputs!$I$6)))/Inputs!$K$6)^2)))*Inputs!$C$52*COS(SQRT(((Inputs!$I$6+(((A90)+1)/2)*(Inputs!$J$6-Inputs!$I$6)))^2+Inputs!$C$6^2)/Inputs!$C$52)))-((Inputs!$H$6+Inputs!$L$6*(((Inputs!$I$6+(((A90)+1)/2)*(Inputs!$J$6-Inputs!$I$6)))/Inputs!$K$6)^2)))*1000/Inputs!$C$12)</f>
        <v/>
      </c>
      <c r="AG90" s="9">
        <f>(((SQRT((Inputs!$C$52+((Inputs!$H$7+Inputs!$L$7*(((Inputs!$I$7+(((A90)+1)/2)*(Inputs!$J$7-Inputs!$I$7)))/Inputs!$K$7)^2)))^2+Inputs!$C$52^2-2*(Inputs!$C$52+((Inputs!$H$7+Inputs!$L$7*(((Inputs!$I$7+(((A90)+1)/2)*(Inputs!$J$7-Inputs!$I$7)))/Inputs!$K$7)^2)))*Inputs!$C$52*COS(SQRT(((Inputs!$I$7+(((A90)+1)/2)*(Inputs!$J$7-Inputs!$I$7)))^2+Inputs!$C$6^2)/Inputs!$C$52)))-((Inputs!$H$7+Inputs!$L$7*(((Inputs!$I$7+(((A90)+1)/2)*(Inputs!$J$7-Inputs!$I$7)))/Inputs!$K$7)^2)))*1000/Inputs!$C$12)</f>
        <v/>
      </c>
      <c r="AH90" s="9">
        <f>(((SQRT((Inputs!$C$52+((Inputs!$H$8+Inputs!$L$8*(((Inputs!$I$8+(((A90)+1)/2)*(Inputs!$J$8-Inputs!$I$8)))/Inputs!$K$8)^2)))^2+Inputs!$C$52^2-2*(Inputs!$C$52+((Inputs!$H$8+Inputs!$L$8*(((Inputs!$I$8+(((A90)+1)/2)*(Inputs!$J$8-Inputs!$I$8)))/Inputs!$K$8)^2)))*Inputs!$C$52*COS(SQRT(((Inputs!$I$8+(((A90)+1)/2)*(Inputs!$J$8-Inputs!$I$8)))^2+Inputs!$C$6^2)/Inputs!$C$52)))-((Inputs!$H$8+Inputs!$L$8*(((Inputs!$I$8+(((A90)+1)/2)*(Inputs!$J$8-Inputs!$I$8)))/Inputs!$K$8)^2)))*1000/Inputs!$C$12)</f>
        <v/>
      </c>
      <c r="AI90" s="9">
        <f>(((SQRT((Inputs!$C$52+((Inputs!$H$9+Inputs!$L$9*(((Inputs!$I$9+(((A90)+1)/2)*(Inputs!$J$9-Inputs!$I$9)))/Inputs!$K$9)^2)))^2+Inputs!$C$52^2-2*(Inputs!$C$52+((Inputs!$H$9+Inputs!$L$9*(((Inputs!$I$9+(((A90)+1)/2)*(Inputs!$J$9-Inputs!$I$9)))/Inputs!$K$9)^2)))*Inputs!$C$52*COS(SQRT(((Inputs!$I$9+(((A90)+1)/2)*(Inputs!$J$9-Inputs!$I$9)))^2+Inputs!$C$6^2)/Inputs!$C$52)))-((Inputs!$H$9+Inputs!$L$9*(((Inputs!$I$9+(((A90)+1)/2)*(Inputs!$J$9-Inputs!$I$9)))/Inputs!$K$9)^2)))*1000/Inputs!$C$12)</f>
        <v/>
      </c>
      <c r="AJ90" s="10" t="n"/>
      <c r="AK90" s="9">
        <f>A90</f>
        <v/>
      </c>
      <c r="AL90" s="9">
        <f>(-2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f>
        <v/>
      </c>
      <c r="AM90" s="9">
        <f>(-2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f>
        <v/>
      </c>
      <c r="AN90" s="9">
        <f>(-2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f>
        <v/>
      </c>
      <c r="AO90" s="9">
        <f>(-2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f>
        <v/>
      </c>
      <c r="AP90" s="10" t="n"/>
      <c r="AQ90" s="9">
        <f>A90</f>
        <v/>
      </c>
      <c r="AR90" s="9">
        <f>0</f>
        <v/>
      </c>
      <c r="AS90" s="9">
        <f>IF(OR(Inputs!$F$6=TRUE,Inputs!$F$6="TRUE",Inputs!$F$6=1),IF(OR(Inputs!$C$27=TRUE,Inputs!$C$27="TRUE",Inputs!$C$27=1),1,0)*(Inputs!$C$51*(115*EXP(-(((Inputs!$C$6)-25)^2)/(4.5^2))+70*EXP(-(((Inputs!$C$6)+38)^2)/(7^2))*(0.55+0.45*SIN(2*PI()*((Inputs!$I$6+(((A90)+1)/2)*(Inputs!$J$6-Inputs!$I$6)))/45))+24*SIN(2*PI()*(Inputs!$C$6)/9+((Inputs!$I$6+(((A90)+1)/2)*(Inputs!$J$6-Inputs!$I$6)))/18)*EXP(-(((Inputs!$C$6)+5)^2)/(22^2))+18*SIN(2*PI()*((Inputs!$I$6+(((A90)+1)/2)*(Inputs!$J$6-Inputs!$I$6)))/70))+Inputs!$C$28*EXP(-((((Inputs!$I$6+(((A90)+1)/2)*(Inputs!$J$6-Inputs!$I$6)))-Inputs!$C$29)^2)/(2*Inputs!$C$31^2))*EXP(-(((Inputs!$C$6)-Inputs!$C$30)^2)/(2*Inputs!$C$32^2))+-Inputs!$C$33*EXP(-((((((Inputs!$I$6+(((A90)+1)/2)*(Inputs!$J$6-Inputs!$I$6)))-Inputs!$C$34)^2)+(((Inputs!$C$6)-Inputs!$C$35)^2))/(2*Inputs!$C$36^2)))+Inputs!$C$37*(0.55*SIN(2*PI()*((Inputs!$I$6+(((A90)+1)/2)*(Inputs!$J$6-Inputs!$I$6)))/Inputs!$C$39)+0.35*COS(2*PI()*(Inputs!$C$6)/Inputs!$C$40)+0.2*SIN(2*PI()*(((Inputs!$I$6+(((A90)+1)/2)*(Inputs!$J$6-Inputs!$I$6)))+(Inputs!$C$6))/(0.5*(Inputs!$C$39+Inputs!$C$40))))+Inputs!$C$38*SIN(2*PI()*((Inputs!$I$6+(((A90)+1)/2)*(Inputs!$J$6-Inputs!$I$6)))/Inputs!$C$39)*SIN(2*PI()*(Inputs!$C$6)/Inputs!$C$40)+-Inputs!$C$41*EXP(-(((Inputs!$C$6)-Inputs!$C$43)^2)/(2*Inputs!$C$44^2))*EXP(-((((Inputs!$I$6+(((A90)+1)/2)*(Inputs!$J$6-Inputs!$I$6)))-Inputs!$C$42)^2)/(2*Inputs!$C$45^2))+Inputs!$C$48*(0.7*(0.45*SIN(2*PI()*((((Inputs!$I$6+(((A90)+1)/2)*(Inputs!$J$6-Inputs!$I$6)))/Inputs!$C$49)+Inputs!$C$47*0.137))+0.35*COS(2*PI()*(((Inputs!$C$6)/Inputs!$C$50)+Inputs!$C$47*0.173))+0.2*SIN(2*PI()*((((Inputs!$I$6+(((A90)+1)/2)*(Inputs!$J$6-Inputs!$I$6)))+(Inputs!$C$6))/(0.5*(Inputs!$C$49+Inputs!$C$50))+Inputs!$C$47*0.097)))+0.3*(2*((SIN((((Inputs!$I$6+(((A90)+1)/2)*(Inputs!$J$6-Inputs!$I$6)))*12.9898+(Inputs!$C$6)*78.233+Inputs!$C$47*37.719))*43758.5453)-INT((SIN((((Inputs!$I$6+(((A90)+1)/2)*(Inputs!$J$6-Inputs!$I$6)))*12.9898+(Inputs!$C$6)*78.233+Inputs!$C$47*37.719))*43758.5453)))-1))),NA())</f>
        <v/>
      </c>
      <c r="AT90" s="9">
        <f>IF(OR(Inputs!$F$7=TRUE,Inputs!$F$7="TRUE",Inputs!$F$7=1),IF(OR(Inputs!$C$27=TRUE,Inputs!$C$27="TRUE",Inputs!$C$27=1),1,0)*(Inputs!$C$51*(115*EXP(-(((Inputs!$C$6)-25)^2)/(4.5^2))+70*EXP(-(((Inputs!$C$6)+38)^2)/(7^2))*(0.55+0.45*SIN(2*PI()*((Inputs!$I$7+(((A90)+1)/2)*(Inputs!$J$7-Inputs!$I$7)))/45))+24*SIN(2*PI()*(Inputs!$C$6)/9+((Inputs!$I$7+(((A90)+1)/2)*(Inputs!$J$7-Inputs!$I$7)))/18)*EXP(-(((Inputs!$C$6)+5)^2)/(22^2))+18*SIN(2*PI()*((Inputs!$I$7+(((A90)+1)/2)*(Inputs!$J$7-Inputs!$I$7)))/70))+Inputs!$C$28*EXP(-((((Inputs!$I$7+(((A90)+1)/2)*(Inputs!$J$7-Inputs!$I$7)))-Inputs!$C$29)^2)/(2*Inputs!$C$31^2))*EXP(-(((Inputs!$C$6)-Inputs!$C$30)^2)/(2*Inputs!$C$32^2))+-Inputs!$C$33*EXP(-((((((Inputs!$I$7+(((A90)+1)/2)*(Inputs!$J$7-Inputs!$I$7)))-Inputs!$C$34)^2)+(((Inputs!$C$6)-Inputs!$C$35)^2))/(2*Inputs!$C$36^2)))+Inputs!$C$37*(0.55*SIN(2*PI()*((Inputs!$I$7+(((A90)+1)/2)*(Inputs!$J$7-Inputs!$I$7)))/Inputs!$C$39)+0.35*COS(2*PI()*(Inputs!$C$6)/Inputs!$C$40)+0.2*SIN(2*PI()*(((Inputs!$I$7+(((A90)+1)/2)*(Inputs!$J$7-Inputs!$I$7)))+(Inputs!$C$6))/(0.5*(Inputs!$C$39+Inputs!$C$40))))+Inputs!$C$38*SIN(2*PI()*((Inputs!$I$7+(((A90)+1)/2)*(Inputs!$J$7-Inputs!$I$7)))/Inputs!$C$39)*SIN(2*PI()*(Inputs!$C$6)/Inputs!$C$40)+-Inputs!$C$41*EXP(-(((Inputs!$C$6)-Inputs!$C$43)^2)/(2*Inputs!$C$44^2))*EXP(-((((Inputs!$I$7+(((A90)+1)/2)*(Inputs!$J$7-Inputs!$I$7)))-Inputs!$C$42)^2)/(2*Inputs!$C$45^2))+Inputs!$C$48*(0.7*(0.45*SIN(2*PI()*((((Inputs!$I$7+(((A90)+1)/2)*(Inputs!$J$7-Inputs!$I$7)))/Inputs!$C$49)+Inputs!$C$47*0.137))+0.35*COS(2*PI()*(((Inputs!$C$6)/Inputs!$C$50)+Inputs!$C$47*0.173))+0.2*SIN(2*PI()*((((Inputs!$I$7+(((A90)+1)/2)*(Inputs!$J$7-Inputs!$I$7)))+(Inputs!$C$6))/(0.5*(Inputs!$C$49+Inputs!$C$50))+Inputs!$C$47*0.097)))+0.3*(2*((SIN((((Inputs!$I$7+(((A90)+1)/2)*(Inputs!$J$7-Inputs!$I$7)))*12.9898+(Inputs!$C$6)*78.233+Inputs!$C$47*37.719))*43758.5453)-INT((SIN((((Inputs!$I$7+(((A90)+1)/2)*(Inputs!$J$7-Inputs!$I$7)))*12.9898+(Inputs!$C$6)*78.233+Inputs!$C$47*37.719))*43758.5453)))-1))),NA())</f>
        <v/>
      </c>
      <c r="AU90" s="9">
        <f>IF(OR(Inputs!$F$8=TRUE,Inputs!$F$8="TRUE",Inputs!$F$8=1),IF(OR(Inputs!$C$27=TRUE,Inputs!$C$27="TRUE",Inputs!$C$27=1),1,0)*(Inputs!$C$51*(115*EXP(-(((Inputs!$C$6)-25)^2)/(4.5^2))+70*EXP(-(((Inputs!$C$6)+38)^2)/(7^2))*(0.55+0.45*SIN(2*PI()*((Inputs!$I$8+(((A90)+1)/2)*(Inputs!$J$8-Inputs!$I$8)))/45))+24*SIN(2*PI()*(Inputs!$C$6)/9+((Inputs!$I$8+(((A90)+1)/2)*(Inputs!$J$8-Inputs!$I$8)))/18)*EXP(-(((Inputs!$C$6)+5)^2)/(22^2))+18*SIN(2*PI()*((Inputs!$I$8+(((A90)+1)/2)*(Inputs!$J$8-Inputs!$I$8)))/70))+Inputs!$C$28*EXP(-((((Inputs!$I$8+(((A90)+1)/2)*(Inputs!$J$8-Inputs!$I$8)))-Inputs!$C$29)^2)/(2*Inputs!$C$31^2))*EXP(-(((Inputs!$C$6)-Inputs!$C$30)^2)/(2*Inputs!$C$32^2))+-Inputs!$C$33*EXP(-((((((Inputs!$I$8+(((A90)+1)/2)*(Inputs!$J$8-Inputs!$I$8)))-Inputs!$C$34)^2)+(((Inputs!$C$6)-Inputs!$C$35)^2))/(2*Inputs!$C$36^2)))+Inputs!$C$37*(0.55*SIN(2*PI()*((Inputs!$I$8+(((A90)+1)/2)*(Inputs!$J$8-Inputs!$I$8)))/Inputs!$C$39)+0.35*COS(2*PI()*(Inputs!$C$6)/Inputs!$C$40)+0.2*SIN(2*PI()*(((Inputs!$I$8+(((A90)+1)/2)*(Inputs!$J$8-Inputs!$I$8)))+(Inputs!$C$6))/(0.5*(Inputs!$C$39+Inputs!$C$40))))+Inputs!$C$38*SIN(2*PI()*((Inputs!$I$8+(((A90)+1)/2)*(Inputs!$J$8-Inputs!$I$8)))/Inputs!$C$39)*SIN(2*PI()*(Inputs!$C$6)/Inputs!$C$40)+-Inputs!$C$41*EXP(-(((Inputs!$C$6)-Inputs!$C$43)^2)/(2*Inputs!$C$44^2))*EXP(-((((Inputs!$I$8+(((A90)+1)/2)*(Inputs!$J$8-Inputs!$I$8)))-Inputs!$C$42)^2)/(2*Inputs!$C$45^2))+Inputs!$C$48*(0.7*(0.45*SIN(2*PI()*((((Inputs!$I$8+(((A90)+1)/2)*(Inputs!$J$8-Inputs!$I$8)))/Inputs!$C$49)+Inputs!$C$47*0.137))+0.35*COS(2*PI()*(((Inputs!$C$6)/Inputs!$C$50)+Inputs!$C$47*0.173))+0.2*SIN(2*PI()*((((Inputs!$I$8+(((A90)+1)/2)*(Inputs!$J$8-Inputs!$I$8)))+(Inputs!$C$6))/(0.5*(Inputs!$C$49+Inputs!$C$50))+Inputs!$C$47*0.097)))+0.3*(2*((SIN((((Inputs!$I$8+(((A90)+1)/2)*(Inputs!$J$8-Inputs!$I$8)))*12.9898+(Inputs!$C$6)*78.233+Inputs!$C$47*37.719))*43758.5453)-INT((SIN((((Inputs!$I$8+(((A90)+1)/2)*(Inputs!$J$8-Inputs!$I$8)))*12.9898+(Inputs!$C$6)*78.233+Inputs!$C$47*37.719))*43758.5453)))-1))),NA())</f>
        <v/>
      </c>
      <c r="AV90" s="9">
        <f>IF(OR(Inputs!$F$9=TRUE,Inputs!$F$9="TRUE",Inputs!$F$9=1),IF(OR(Inputs!$C$27=TRUE,Inputs!$C$27="TRUE",Inputs!$C$27=1),1,0)*(Inputs!$C$51*(115*EXP(-(((Inputs!$C$6)-25)^2)/(4.5^2))+70*EXP(-(((Inputs!$C$6)+38)^2)/(7^2))*(0.55+0.45*SIN(2*PI()*((Inputs!$I$9+(((A90)+1)/2)*(Inputs!$J$9-Inputs!$I$9)))/45))+24*SIN(2*PI()*(Inputs!$C$6)/9+((Inputs!$I$9+(((A90)+1)/2)*(Inputs!$J$9-Inputs!$I$9)))/18)*EXP(-(((Inputs!$C$6)+5)^2)/(22^2))+18*SIN(2*PI()*((Inputs!$I$9+(((A90)+1)/2)*(Inputs!$J$9-Inputs!$I$9)))/70))+Inputs!$C$28*EXP(-((((Inputs!$I$9+(((A90)+1)/2)*(Inputs!$J$9-Inputs!$I$9)))-Inputs!$C$29)^2)/(2*Inputs!$C$31^2))*EXP(-(((Inputs!$C$6)-Inputs!$C$30)^2)/(2*Inputs!$C$32^2))+-Inputs!$C$33*EXP(-((((((Inputs!$I$9+(((A90)+1)/2)*(Inputs!$J$9-Inputs!$I$9)))-Inputs!$C$34)^2)+(((Inputs!$C$6)-Inputs!$C$35)^2))/(2*Inputs!$C$36^2)))+Inputs!$C$37*(0.55*SIN(2*PI()*((Inputs!$I$9+(((A90)+1)/2)*(Inputs!$J$9-Inputs!$I$9)))/Inputs!$C$39)+0.35*COS(2*PI()*(Inputs!$C$6)/Inputs!$C$40)+0.2*SIN(2*PI()*(((Inputs!$I$9+(((A90)+1)/2)*(Inputs!$J$9-Inputs!$I$9)))+(Inputs!$C$6))/(0.5*(Inputs!$C$39+Inputs!$C$40))))+Inputs!$C$38*SIN(2*PI()*((Inputs!$I$9+(((A90)+1)/2)*(Inputs!$J$9-Inputs!$I$9)))/Inputs!$C$39)*SIN(2*PI()*(Inputs!$C$6)/Inputs!$C$40)+-Inputs!$C$41*EXP(-(((Inputs!$C$6)-Inputs!$C$43)^2)/(2*Inputs!$C$44^2))*EXP(-((((Inputs!$I$9+(((A90)+1)/2)*(Inputs!$J$9-Inputs!$I$9)))-Inputs!$C$42)^2)/(2*Inputs!$C$45^2))+Inputs!$C$48*(0.7*(0.45*SIN(2*PI()*((((Inputs!$I$9+(((A90)+1)/2)*(Inputs!$J$9-Inputs!$I$9)))/Inputs!$C$49)+Inputs!$C$47*0.137))+0.35*COS(2*PI()*(((Inputs!$C$6)/Inputs!$C$50)+Inputs!$C$47*0.173))+0.2*SIN(2*PI()*((((Inputs!$I$9+(((A90)+1)/2)*(Inputs!$J$9-Inputs!$I$9)))+(Inputs!$C$6))/(0.5*(Inputs!$C$49+Inputs!$C$50))+Inputs!$C$47*0.097)))+0.3*(2*((SIN((((Inputs!$I$9+(((A90)+1)/2)*(Inputs!$J$9-Inputs!$I$9)))*12.9898+(Inputs!$C$6)*78.233+Inputs!$C$47*37.719))*43758.5453)-INT((SIN((((Inputs!$I$9+(((A90)+1)/2)*(Inputs!$J$9-Inputs!$I$9)))*12.9898+(Inputs!$C$6)*78.233+Inputs!$C$47*37.719))*43758.5453)))-1))),NA())</f>
        <v/>
      </c>
      <c r="AW90" s="10" t="n"/>
      <c r="AX90" s="9">
        <f>A90</f>
        <v/>
      </c>
      <c r="AY90" s="9">
        <f>0</f>
        <v/>
      </c>
      <c r="AZ90" s="9">
        <f>IF(OR(Inputs!$F$6=TRUE,Inputs!$F$6="TRUE",Inputs!$F$6=1),(Inputs!$H$6+Inputs!$L$6*(((Inputs!$I$6+(((A90)+1)/2)*(Inputs!$J$6-Inputs!$I$6)))/Inputs!$K$6)^2),NA())</f>
        <v/>
      </c>
      <c r="BA90" s="9">
        <f>IF(OR(Inputs!$F$7=TRUE,Inputs!$F$7="TRUE",Inputs!$F$7=1),(Inputs!$H$7+Inputs!$L$7*(((Inputs!$I$7+(((A90)+1)/2)*(Inputs!$J$7-Inputs!$I$7)))/Inputs!$K$7)^2),NA())</f>
        <v/>
      </c>
      <c r="BB90" s="9">
        <f>IF(OR(Inputs!$F$8=TRUE,Inputs!$F$8="TRUE",Inputs!$F$8=1),(Inputs!$H$8+Inputs!$L$8*(((Inputs!$I$8+(((A90)+1)/2)*(Inputs!$J$8-Inputs!$I$8)))/Inputs!$K$8)^2),NA())</f>
        <v/>
      </c>
      <c r="BC90" s="9">
        <f>IF(OR(Inputs!$F$9=TRUE,Inputs!$F$9="TRUE",Inputs!$F$9=1),(Inputs!$H$9+Inputs!$L$9*(((Inputs!$I$9+(((A90)+1)/2)*(Inputs!$J$9-Inputs!$I$9)))/Inputs!$K$9)^2),NA())</f>
        <v/>
      </c>
      <c r="BD90" s="10" t="n"/>
      <c r="BE90" s="9">
        <f>A90</f>
        <v/>
      </c>
      <c r="BF90" s="9">
        <f>0</f>
        <v/>
      </c>
      <c r="BG90" s="9">
        <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f>
        <v/>
      </c>
      <c r="BH90" s="9">
        <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f>
        <v/>
      </c>
      <c r="BI90" s="9">
        <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f>
        <v/>
      </c>
      <c r="BJ90" s="9">
        <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f>
        <v/>
      </c>
    </row>
    <row r="91">
      <c r="A91" s="9">
        <f>ROUND(-1+89*2/240,3)</f>
        <v/>
      </c>
      <c r="B91" s="9">
        <f>IF(OR(Inputs!$F$6=TRUE,Inputs!$F$6="TRUE",Inputs!$F$6=1),(Inputs!$H$6+Inputs!$L$6*(((Inputs!$I$6+(((A91)+1)/2)*(Inputs!$J$6-Inputs!$I$6)))/Inputs!$K$6)^2),NA())</f>
        <v/>
      </c>
      <c r="C91" s="9">
        <f>IF(OR(Inputs!$F$7=TRUE,Inputs!$F$7="TRUE",Inputs!$F$7=1),(Inputs!$H$7+Inputs!$L$7*(((Inputs!$I$7+(((A91)+1)/2)*(Inputs!$J$7-Inputs!$I$7)))/Inputs!$K$7)^2),NA())</f>
        <v/>
      </c>
      <c r="D91" s="9">
        <f>IF(OR(Inputs!$F$8=TRUE,Inputs!$F$8="TRUE",Inputs!$F$8=1),(Inputs!$H$8+Inputs!$L$8*(((Inputs!$I$8+(((A91)+1)/2)*(Inputs!$J$8-Inputs!$I$8)))/Inputs!$K$8)^2),NA())</f>
        <v/>
      </c>
      <c r="E91" s="9">
        <f>IF(OR(Inputs!$F$9=TRUE,Inputs!$F$9="TRUE",Inputs!$F$9=1),(Inputs!$H$9+Inputs!$L$9*(((Inputs!$I$9+(((A91)+1)/2)*(Inputs!$J$9-Inputs!$I$9)))/Inputs!$K$9)^2),NA())</f>
        <v/>
      </c>
      <c r="F91" s="10" t="n"/>
      <c r="G91" s="9">
        <f>A91</f>
        <v/>
      </c>
      <c r="H91" s="9">
        <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f>
        <v/>
      </c>
      <c r="I91" s="9">
        <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f>
        <v/>
      </c>
      <c r="J91" s="9">
        <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f>
        <v/>
      </c>
      <c r="K91" s="9">
        <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f>
        <v/>
      </c>
      <c r="L91" s="10" t="n"/>
      <c r="M91" s="9">
        <f>A91</f>
        <v/>
      </c>
      <c r="N91" s="9">
        <f>IF(OR(Inputs!$F$6=TRUE,Inputs!$F$6="TRUE",Inputs!$F$6=1),(-2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NA())</f>
        <v/>
      </c>
      <c r="O91" s="9">
        <f>IF(OR(Inputs!$F$7=TRUE,Inputs!$F$7="TRUE",Inputs!$F$7=1),(-2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NA())</f>
        <v/>
      </c>
      <c r="P91" s="9">
        <f>IF(OR(Inputs!$F$8=TRUE,Inputs!$F$8="TRUE",Inputs!$F$8=1),(-2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NA())</f>
        <v/>
      </c>
      <c r="Q91" s="9">
        <f>IF(OR(Inputs!$F$9=TRUE,Inputs!$F$9="TRUE",Inputs!$F$9=1),(-2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NA())</f>
        <v/>
      </c>
      <c r="R91" s="10" t="n"/>
      <c r="S91" s="9">
        <f>A91</f>
        <v/>
      </c>
      <c r="T91" s="9">
        <f>(Inputs!$I$6+(((A91)+1)/2)*(Inputs!$J$6-Inputs!$I$6))</f>
        <v/>
      </c>
      <c r="U91" s="9">
        <f>(Inputs!$I$7+(((A91)+1)/2)*(Inputs!$J$7-Inputs!$I$7))</f>
        <v/>
      </c>
      <c r="V91" s="9">
        <f>(Inputs!$I$8+(((A91)+1)/2)*(Inputs!$J$8-Inputs!$I$8))</f>
        <v/>
      </c>
      <c r="W91" s="9">
        <f>(Inputs!$I$9+(((A91)+1)/2)*(Inputs!$J$9-Inputs!$I$9))</f>
        <v/>
      </c>
      <c r="X91" s="10" t="n"/>
      <c r="Y91" s="9">
        <f>A91</f>
        <v/>
      </c>
      <c r="Z91" s="9">
        <f>(Inputs!$H$6+Inputs!$L$6*(((Inputs!$I$6+(((A91)+1)/2)*(Inputs!$J$6-Inputs!$I$6)))/Inputs!$K$6)^2)</f>
        <v/>
      </c>
      <c r="AA91" s="9">
        <f>(Inputs!$H$7+Inputs!$L$7*(((Inputs!$I$7+(((A91)+1)/2)*(Inputs!$J$7-Inputs!$I$7)))/Inputs!$K$7)^2)</f>
        <v/>
      </c>
      <c r="AB91" s="9">
        <f>(Inputs!$H$8+Inputs!$L$8*(((Inputs!$I$8+(((A91)+1)/2)*(Inputs!$J$8-Inputs!$I$8)))/Inputs!$K$8)^2)</f>
        <v/>
      </c>
      <c r="AC91" s="9">
        <f>(Inputs!$H$9+Inputs!$L$9*(((Inputs!$I$9+(((A91)+1)/2)*(Inputs!$J$9-Inputs!$I$9)))/Inputs!$K$9)^2)</f>
        <v/>
      </c>
      <c r="AD91" s="10" t="n"/>
      <c r="AE91" s="9">
        <f>A91</f>
        <v/>
      </c>
      <c r="AF91" s="9">
        <f>(((SQRT((Inputs!$C$52+((Inputs!$H$6+Inputs!$L$6*(((Inputs!$I$6+(((A91)+1)/2)*(Inputs!$J$6-Inputs!$I$6)))/Inputs!$K$6)^2)))^2+Inputs!$C$52^2-2*(Inputs!$C$52+((Inputs!$H$6+Inputs!$L$6*(((Inputs!$I$6+(((A91)+1)/2)*(Inputs!$J$6-Inputs!$I$6)))/Inputs!$K$6)^2)))*Inputs!$C$52*COS(SQRT(((Inputs!$I$6+(((A91)+1)/2)*(Inputs!$J$6-Inputs!$I$6)))^2+Inputs!$C$6^2)/Inputs!$C$52)))-((Inputs!$H$6+Inputs!$L$6*(((Inputs!$I$6+(((A91)+1)/2)*(Inputs!$J$6-Inputs!$I$6)))/Inputs!$K$6)^2)))*1000/Inputs!$C$12)</f>
        <v/>
      </c>
      <c r="AG91" s="9">
        <f>(((SQRT((Inputs!$C$52+((Inputs!$H$7+Inputs!$L$7*(((Inputs!$I$7+(((A91)+1)/2)*(Inputs!$J$7-Inputs!$I$7)))/Inputs!$K$7)^2)))^2+Inputs!$C$52^2-2*(Inputs!$C$52+((Inputs!$H$7+Inputs!$L$7*(((Inputs!$I$7+(((A91)+1)/2)*(Inputs!$J$7-Inputs!$I$7)))/Inputs!$K$7)^2)))*Inputs!$C$52*COS(SQRT(((Inputs!$I$7+(((A91)+1)/2)*(Inputs!$J$7-Inputs!$I$7)))^2+Inputs!$C$6^2)/Inputs!$C$52)))-((Inputs!$H$7+Inputs!$L$7*(((Inputs!$I$7+(((A91)+1)/2)*(Inputs!$J$7-Inputs!$I$7)))/Inputs!$K$7)^2)))*1000/Inputs!$C$12)</f>
        <v/>
      </c>
      <c r="AH91" s="9">
        <f>(((SQRT((Inputs!$C$52+((Inputs!$H$8+Inputs!$L$8*(((Inputs!$I$8+(((A91)+1)/2)*(Inputs!$J$8-Inputs!$I$8)))/Inputs!$K$8)^2)))^2+Inputs!$C$52^2-2*(Inputs!$C$52+((Inputs!$H$8+Inputs!$L$8*(((Inputs!$I$8+(((A91)+1)/2)*(Inputs!$J$8-Inputs!$I$8)))/Inputs!$K$8)^2)))*Inputs!$C$52*COS(SQRT(((Inputs!$I$8+(((A91)+1)/2)*(Inputs!$J$8-Inputs!$I$8)))^2+Inputs!$C$6^2)/Inputs!$C$52)))-((Inputs!$H$8+Inputs!$L$8*(((Inputs!$I$8+(((A91)+1)/2)*(Inputs!$J$8-Inputs!$I$8)))/Inputs!$K$8)^2)))*1000/Inputs!$C$12)</f>
        <v/>
      </c>
      <c r="AI91" s="9">
        <f>(((SQRT((Inputs!$C$52+((Inputs!$H$9+Inputs!$L$9*(((Inputs!$I$9+(((A91)+1)/2)*(Inputs!$J$9-Inputs!$I$9)))/Inputs!$K$9)^2)))^2+Inputs!$C$52^2-2*(Inputs!$C$52+((Inputs!$H$9+Inputs!$L$9*(((Inputs!$I$9+(((A91)+1)/2)*(Inputs!$J$9-Inputs!$I$9)))/Inputs!$K$9)^2)))*Inputs!$C$52*COS(SQRT(((Inputs!$I$9+(((A91)+1)/2)*(Inputs!$J$9-Inputs!$I$9)))^2+Inputs!$C$6^2)/Inputs!$C$52)))-((Inputs!$H$9+Inputs!$L$9*(((Inputs!$I$9+(((A91)+1)/2)*(Inputs!$J$9-Inputs!$I$9)))/Inputs!$K$9)^2)))*1000/Inputs!$C$12)</f>
        <v/>
      </c>
      <c r="AJ91" s="10" t="n"/>
      <c r="AK91" s="9">
        <f>A91</f>
        <v/>
      </c>
      <c r="AL91" s="9">
        <f>(-2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f>
        <v/>
      </c>
      <c r="AM91" s="9">
        <f>(-2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f>
        <v/>
      </c>
      <c r="AN91" s="9">
        <f>(-2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f>
        <v/>
      </c>
      <c r="AO91" s="9">
        <f>(-2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f>
        <v/>
      </c>
      <c r="AP91" s="10" t="n"/>
      <c r="AQ91" s="9">
        <f>A91</f>
        <v/>
      </c>
      <c r="AR91" s="9">
        <f>0</f>
        <v/>
      </c>
      <c r="AS91" s="9">
        <f>IF(OR(Inputs!$F$6=TRUE,Inputs!$F$6="TRUE",Inputs!$F$6=1),IF(OR(Inputs!$C$27=TRUE,Inputs!$C$27="TRUE",Inputs!$C$27=1),1,0)*(Inputs!$C$51*(115*EXP(-(((Inputs!$C$6)-25)^2)/(4.5^2))+70*EXP(-(((Inputs!$C$6)+38)^2)/(7^2))*(0.55+0.45*SIN(2*PI()*((Inputs!$I$6+(((A91)+1)/2)*(Inputs!$J$6-Inputs!$I$6)))/45))+24*SIN(2*PI()*(Inputs!$C$6)/9+((Inputs!$I$6+(((A91)+1)/2)*(Inputs!$J$6-Inputs!$I$6)))/18)*EXP(-(((Inputs!$C$6)+5)^2)/(22^2))+18*SIN(2*PI()*((Inputs!$I$6+(((A91)+1)/2)*(Inputs!$J$6-Inputs!$I$6)))/70))+Inputs!$C$28*EXP(-((((Inputs!$I$6+(((A91)+1)/2)*(Inputs!$J$6-Inputs!$I$6)))-Inputs!$C$29)^2)/(2*Inputs!$C$31^2))*EXP(-(((Inputs!$C$6)-Inputs!$C$30)^2)/(2*Inputs!$C$32^2))+-Inputs!$C$33*EXP(-((((((Inputs!$I$6+(((A91)+1)/2)*(Inputs!$J$6-Inputs!$I$6)))-Inputs!$C$34)^2)+(((Inputs!$C$6)-Inputs!$C$35)^2))/(2*Inputs!$C$36^2)))+Inputs!$C$37*(0.55*SIN(2*PI()*((Inputs!$I$6+(((A91)+1)/2)*(Inputs!$J$6-Inputs!$I$6)))/Inputs!$C$39)+0.35*COS(2*PI()*(Inputs!$C$6)/Inputs!$C$40)+0.2*SIN(2*PI()*(((Inputs!$I$6+(((A91)+1)/2)*(Inputs!$J$6-Inputs!$I$6)))+(Inputs!$C$6))/(0.5*(Inputs!$C$39+Inputs!$C$40))))+Inputs!$C$38*SIN(2*PI()*((Inputs!$I$6+(((A91)+1)/2)*(Inputs!$J$6-Inputs!$I$6)))/Inputs!$C$39)*SIN(2*PI()*(Inputs!$C$6)/Inputs!$C$40)+-Inputs!$C$41*EXP(-(((Inputs!$C$6)-Inputs!$C$43)^2)/(2*Inputs!$C$44^2))*EXP(-((((Inputs!$I$6+(((A91)+1)/2)*(Inputs!$J$6-Inputs!$I$6)))-Inputs!$C$42)^2)/(2*Inputs!$C$45^2))+Inputs!$C$48*(0.7*(0.45*SIN(2*PI()*((((Inputs!$I$6+(((A91)+1)/2)*(Inputs!$J$6-Inputs!$I$6)))/Inputs!$C$49)+Inputs!$C$47*0.137))+0.35*COS(2*PI()*(((Inputs!$C$6)/Inputs!$C$50)+Inputs!$C$47*0.173))+0.2*SIN(2*PI()*((((Inputs!$I$6+(((A91)+1)/2)*(Inputs!$J$6-Inputs!$I$6)))+(Inputs!$C$6))/(0.5*(Inputs!$C$49+Inputs!$C$50))+Inputs!$C$47*0.097)))+0.3*(2*((SIN((((Inputs!$I$6+(((A91)+1)/2)*(Inputs!$J$6-Inputs!$I$6)))*12.9898+(Inputs!$C$6)*78.233+Inputs!$C$47*37.719))*43758.5453)-INT((SIN((((Inputs!$I$6+(((A91)+1)/2)*(Inputs!$J$6-Inputs!$I$6)))*12.9898+(Inputs!$C$6)*78.233+Inputs!$C$47*37.719))*43758.5453)))-1))),NA())</f>
        <v/>
      </c>
      <c r="AT91" s="9">
        <f>IF(OR(Inputs!$F$7=TRUE,Inputs!$F$7="TRUE",Inputs!$F$7=1),IF(OR(Inputs!$C$27=TRUE,Inputs!$C$27="TRUE",Inputs!$C$27=1),1,0)*(Inputs!$C$51*(115*EXP(-(((Inputs!$C$6)-25)^2)/(4.5^2))+70*EXP(-(((Inputs!$C$6)+38)^2)/(7^2))*(0.55+0.45*SIN(2*PI()*((Inputs!$I$7+(((A91)+1)/2)*(Inputs!$J$7-Inputs!$I$7)))/45))+24*SIN(2*PI()*(Inputs!$C$6)/9+((Inputs!$I$7+(((A91)+1)/2)*(Inputs!$J$7-Inputs!$I$7)))/18)*EXP(-(((Inputs!$C$6)+5)^2)/(22^2))+18*SIN(2*PI()*((Inputs!$I$7+(((A91)+1)/2)*(Inputs!$J$7-Inputs!$I$7)))/70))+Inputs!$C$28*EXP(-((((Inputs!$I$7+(((A91)+1)/2)*(Inputs!$J$7-Inputs!$I$7)))-Inputs!$C$29)^2)/(2*Inputs!$C$31^2))*EXP(-(((Inputs!$C$6)-Inputs!$C$30)^2)/(2*Inputs!$C$32^2))+-Inputs!$C$33*EXP(-((((((Inputs!$I$7+(((A91)+1)/2)*(Inputs!$J$7-Inputs!$I$7)))-Inputs!$C$34)^2)+(((Inputs!$C$6)-Inputs!$C$35)^2))/(2*Inputs!$C$36^2)))+Inputs!$C$37*(0.55*SIN(2*PI()*((Inputs!$I$7+(((A91)+1)/2)*(Inputs!$J$7-Inputs!$I$7)))/Inputs!$C$39)+0.35*COS(2*PI()*(Inputs!$C$6)/Inputs!$C$40)+0.2*SIN(2*PI()*(((Inputs!$I$7+(((A91)+1)/2)*(Inputs!$J$7-Inputs!$I$7)))+(Inputs!$C$6))/(0.5*(Inputs!$C$39+Inputs!$C$40))))+Inputs!$C$38*SIN(2*PI()*((Inputs!$I$7+(((A91)+1)/2)*(Inputs!$J$7-Inputs!$I$7)))/Inputs!$C$39)*SIN(2*PI()*(Inputs!$C$6)/Inputs!$C$40)+-Inputs!$C$41*EXP(-(((Inputs!$C$6)-Inputs!$C$43)^2)/(2*Inputs!$C$44^2))*EXP(-((((Inputs!$I$7+(((A91)+1)/2)*(Inputs!$J$7-Inputs!$I$7)))-Inputs!$C$42)^2)/(2*Inputs!$C$45^2))+Inputs!$C$48*(0.7*(0.45*SIN(2*PI()*((((Inputs!$I$7+(((A91)+1)/2)*(Inputs!$J$7-Inputs!$I$7)))/Inputs!$C$49)+Inputs!$C$47*0.137))+0.35*COS(2*PI()*(((Inputs!$C$6)/Inputs!$C$50)+Inputs!$C$47*0.173))+0.2*SIN(2*PI()*((((Inputs!$I$7+(((A91)+1)/2)*(Inputs!$J$7-Inputs!$I$7)))+(Inputs!$C$6))/(0.5*(Inputs!$C$49+Inputs!$C$50))+Inputs!$C$47*0.097)))+0.3*(2*((SIN((((Inputs!$I$7+(((A91)+1)/2)*(Inputs!$J$7-Inputs!$I$7)))*12.9898+(Inputs!$C$6)*78.233+Inputs!$C$47*37.719))*43758.5453)-INT((SIN((((Inputs!$I$7+(((A91)+1)/2)*(Inputs!$J$7-Inputs!$I$7)))*12.9898+(Inputs!$C$6)*78.233+Inputs!$C$47*37.719))*43758.5453)))-1))),NA())</f>
        <v/>
      </c>
      <c r="AU91" s="9">
        <f>IF(OR(Inputs!$F$8=TRUE,Inputs!$F$8="TRUE",Inputs!$F$8=1),IF(OR(Inputs!$C$27=TRUE,Inputs!$C$27="TRUE",Inputs!$C$27=1),1,0)*(Inputs!$C$51*(115*EXP(-(((Inputs!$C$6)-25)^2)/(4.5^2))+70*EXP(-(((Inputs!$C$6)+38)^2)/(7^2))*(0.55+0.45*SIN(2*PI()*((Inputs!$I$8+(((A91)+1)/2)*(Inputs!$J$8-Inputs!$I$8)))/45))+24*SIN(2*PI()*(Inputs!$C$6)/9+((Inputs!$I$8+(((A91)+1)/2)*(Inputs!$J$8-Inputs!$I$8)))/18)*EXP(-(((Inputs!$C$6)+5)^2)/(22^2))+18*SIN(2*PI()*((Inputs!$I$8+(((A91)+1)/2)*(Inputs!$J$8-Inputs!$I$8)))/70))+Inputs!$C$28*EXP(-((((Inputs!$I$8+(((A91)+1)/2)*(Inputs!$J$8-Inputs!$I$8)))-Inputs!$C$29)^2)/(2*Inputs!$C$31^2))*EXP(-(((Inputs!$C$6)-Inputs!$C$30)^2)/(2*Inputs!$C$32^2))+-Inputs!$C$33*EXP(-((((((Inputs!$I$8+(((A91)+1)/2)*(Inputs!$J$8-Inputs!$I$8)))-Inputs!$C$34)^2)+(((Inputs!$C$6)-Inputs!$C$35)^2))/(2*Inputs!$C$36^2)))+Inputs!$C$37*(0.55*SIN(2*PI()*((Inputs!$I$8+(((A91)+1)/2)*(Inputs!$J$8-Inputs!$I$8)))/Inputs!$C$39)+0.35*COS(2*PI()*(Inputs!$C$6)/Inputs!$C$40)+0.2*SIN(2*PI()*(((Inputs!$I$8+(((A91)+1)/2)*(Inputs!$J$8-Inputs!$I$8)))+(Inputs!$C$6))/(0.5*(Inputs!$C$39+Inputs!$C$40))))+Inputs!$C$38*SIN(2*PI()*((Inputs!$I$8+(((A91)+1)/2)*(Inputs!$J$8-Inputs!$I$8)))/Inputs!$C$39)*SIN(2*PI()*(Inputs!$C$6)/Inputs!$C$40)+-Inputs!$C$41*EXP(-(((Inputs!$C$6)-Inputs!$C$43)^2)/(2*Inputs!$C$44^2))*EXP(-((((Inputs!$I$8+(((A91)+1)/2)*(Inputs!$J$8-Inputs!$I$8)))-Inputs!$C$42)^2)/(2*Inputs!$C$45^2))+Inputs!$C$48*(0.7*(0.45*SIN(2*PI()*((((Inputs!$I$8+(((A91)+1)/2)*(Inputs!$J$8-Inputs!$I$8)))/Inputs!$C$49)+Inputs!$C$47*0.137))+0.35*COS(2*PI()*(((Inputs!$C$6)/Inputs!$C$50)+Inputs!$C$47*0.173))+0.2*SIN(2*PI()*((((Inputs!$I$8+(((A91)+1)/2)*(Inputs!$J$8-Inputs!$I$8)))+(Inputs!$C$6))/(0.5*(Inputs!$C$49+Inputs!$C$50))+Inputs!$C$47*0.097)))+0.3*(2*((SIN((((Inputs!$I$8+(((A91)+1)/2)*(Inputs!$J$8-Inputs!$I$8)))*12.9898+(Inputs!$C$6)*78.233+Inputs!$C$47*37.719))*43758.5453)-INT((SIN((((Inputs!$I$8+(((A91)+1)/2)*(Inputs!$J$8-Inputs!$I$8)))*12.9898+(Inputs!$C$6)*78.233+Inputs!$C$47*37.719))*43758.5453)))-1))),NA())</f>
        <v/>
      </c>
      <c r="AV91" s="9">
        <f>IF(OR(Inputs!$F$9=TRUE,Inputs!$F$9="TRUE",Inputs!$F$9=1),IF(OR(Inputs!$C$27=TRUE,Inputs!$C$27="TRUE",Inputs!$C$27=1),1,0)*(Inputs!$C$51*(115*EXP(-(((Inputs!$C$6)-25)^2)/(4.5^2))+70*EXP(-(((Inputs!$C$6)+38)^2)/(7^2))*(0.55+0.45*SIN(2*PI()*((Inputs!$I$9+(((A91)+1)/2)*(Inputs!$J$9-Inputs!$I$9)))/45))+24*SIN(2*PI()*(Inputs!$C$6)/9+((Inputs!$I$9+(((A91)+1)/2)*(Inputs!$J$9-Inputs!$I$9)))/18)*EXP(-(((Inputs!$C$6)+5)^2)/(22^2))+18*SIN(2*PI()*((Inputs!$I$9+(((A91)+1)/2)*(Inputs!$J$9-Inputs!$I$9)))/70))+Inputs!$C$28*EXP(-((((Inputs!$I$9+(((A91)+1)/2)*(Inputs!$J$9-Inputs!$I$9)))-Inputs!$C$29)^2)/(2*Inputs!$C$31^2))*EXP(-(((Inputs!$C$6)-Inputs!$C$30)^2)/(2*Inputs!$C$32^2))+-Inputs!$C$33*EXP(-((((((Inputs!$I$9+(((A91)+1)/2)*(Inputs!$J$9-Inputs!$I$9)))-Inputs!$C$34)^2)+(((Inputs!$C$6)-Inputs!$C$35)^2))/(2*Inputs!$C$36^2)))+Inputs!$C$37*(0.55*SIN(2*PI()*((Inputs!$I$9+(((A91)+1)/2)*(Inputs!$J$9-Inputs!$I$9)))/Inputs!$C$39)+0.35*COS(2*PI()*(Inputs!$C$6)/Inputs!$C$40)+0.2*SIN(2*PI()*(((Inputs!$I$9+(((A91)+1)/2)*(Inputs!$J$9-Inputs!$I$9)))+(Inputs!$C$6))/(0.5*(Inputs!$C$39+Inputs!$C$40))))+Inputs!$C$38*SIN(2*PI()*((Inputs!$I$9+(((A91)+1)/2)*(Inputs!$J$9-Inputs!$I$9)))/Inputs!$C$39)*SIN(2*PI()*(Inputs!$C$6)/Inputs!$C$40)+-Inputs!$C$41*EXP(-(((Inputs!$C$6)-Inputs!$C$43)^2)/(2*Inputs!$C$44^2))*EXP(-((((Inputs!$I$9+(((A91)+1)/2)*(Inputs!$J$9-Inputs!$I$9)))-Inputs!$C$42)^2)/(2*Inputs!$C$45^2))+Inputs!$C$48*(0.7*(0.45*SIN(2*PI()*((((Inputs!$I$9+(((A91)+1)/2)*(Inputs!$J$9-Inputs!$I$9)))/Inputs!$C$49)+Inputs!$C$47*0.137))+0.35*COS(2*PI()*(((Inputs!$C$6)/Inputs!$C$50)+Inputs!$C$47*0.173))+0.2*SIN(2*PI()*((((Inputs!$I$9+(((A91)+1)/2)*(Inputs!$J$9-Inputs!$I$9)))+(Inputs!$C$6))/(0.5*(Inputs!$C$49+Inputs!$C$50))+Inputs!$C$47*0.097)))+0.3*(2*((SIN((((Inputs!$I$9+(((A91)+1)/2)*(Inputs!$J$9-Inputs!$I$9)))*12.9898+(Inputs!$C$6)*78.233+Inputs!$C$47*37.719))*43758.5453)-INT((SIN((((Inputs!$I$9+(((A91)+1)/2)*(Inputs!$J$9-Inputs!$I$9)))*12.9898+(Inputs!$C$6)*78.233+Inputs!$C$47*37.719))*43758.5453)))-1))),NA())</f>
        <v/>
      </c>
      <c r="AW91" s="10" t="n"/>
      <c r="AX91" s="9">
        <f>A91</f>
        <v/>
      </c>
      <c r="AY91" s="9">
        <f>0</f>
        <v/>
      </c>
      <c r="AZ91" s="9">
        <f>IF(OR(Inputs!$F$6=TRUE,Inputs!$F$6="TRUE",Inputs!$F$6=1),(Inputs!$H$6+Inputs!$L$6*(((Inputs!$I$6+(((A91)+1)/2)*(Inputs!$J$6-Inputs!$I$6)))/Inputs!$K$6)^2),NA())</f>
        <v/>
      </c>
      <c r="BA91" s="9">
        <f>IF(OR(Inputs!$F$7=TRUE,Inputs!$F$7="TRUE",Inputs!$F$7=1),(Inputs!$H$7+Inputs!$L$7*(((Inputs!$I$7+(((A91)+1)/2)*(Inputs!$J$7-Inputs!$I$7)))/Inputs!$K$7)^2),NA())</f>
        <v/>
      </c>
      <c r="BB91" s="9">
        <f>IF(OR(Inputs!$F$8=TRUE,Inputs!$F$8="TRUE",Inputs!$F$8=1),(Inputs!$H$8+Inputs!$L$8*(((Inputs!$I$8+(((A91)+1)/2)*(Inputs!$J$8-Inputs!$I$8)))/Inputs!$K$8)^2),NA())</f>
        <v/>
      </c>
      <c r="BC91" s="9">
        <f>IF(OR(Inputs!$F$9=TRUE,Inputs!$F$9="TRUE",Inputs!$F$9=1),(Inputs!$H$9+Inputs!$L$9*(((Inputs!$I$9+(((A91)+1)/2)*(Inputs!$J$9-Inputs!$I$9)))/Inputs!$K$9)^2),NA())</f>
        <v/>
      </c>
      <c r="BD91" s="10" t="n"/>
      <c r="BE91" s="9">
        <f>A91</f>
        <v/>
      </c>
      <c r="BF91" s="9">
        <f>0</f>
        <v/>
      </c>
      <c r="BG91" s="9">
        <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f>
        <v/>
      </c>
      <c r="BH91" s="9">
        <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f>
        <v/>
      </c>
      <c r="BI91" s="9">
        <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f>
        <v/>
      </c>
      <c r="BJ91" s="9">
        <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f>
        <v/>
      </c>
    </row>
    <row r="92">
      <c r="A92" s="9">
        <f>ROUND(-1+90*2/240,3)</f>
        <v/>
      </c>
      <c r="B92" s="9">
        <f>IF(OR(Inputs!$F$6=TRUE,Inputs!$F$6="TRUE",Inputs!$F$6=1),(Inputs!$H$6+Inputs!$L$6*(((Inputs!$I$6+(((A92)+1)/2)*(Inputs!$J$6-Inputs!$I$6)))/Inputs!$K$6)^2),NA())</f>
        <v/>
      </c>
      <c r="C92" s="9">
        <f>IF(OR(Inputs!$F$7=TRUE,Inputs!$F$7="TRUE",Inputs!$F$7=1),(Inputs!$H$7+Inputs!$L$7*(((Inputs!$I$7+(((A92)+1)/2)*(Inputs!$J$7-Inputs!$I$7)))/Inputs!$K$7)^2),NA())</f>
        <v/>
      </c>
      <c r="D92" s="9">
        <f>IF(OR(Inputs!$F$8=TRUE,Inputs!$F$8="TRUE",Inputs!$F$8=1),(Inputs!$H$8+Inputs!$L$8*(((Inputs!$I$8+(((A92)+1)/2)*(Inputs!$J$8-Inputs!$I$8)))/Inputs!$K$8)^2),NA())</f>
        <v/>
      </c>
      <c r="E92" s="9">
        <f>IF(OR(Inputs!$F$9=TRUE,Inputs!$F$9="TRUE",Inputs!$F$9=1),(Inputs!$H$9+Inputs!$L$9*(((Inputs!$I$9+(((A92)+1)/2)*(Inputs!$J$9-Inputs!$I$9)))/Inputs!$K$9)^2),NA())</f>
        <v/>
      </c>
      <c r="F92" s="10" t="n"/>
      <c r="G92" s="9">
        <f>A92</f>
        <v/>
      </c>
      <c r="H92" s="9">
        <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f>
        <v/>
      </c>
      <c r="I92" s="9">
        <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f>
        <v/>
      </c>
      <c r="J92" s="9">
        <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f>
        <v/>
      </c>
      <c r="K92" s="9">
        <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f>
        <v/>
      </c>
      <c r="L92" s="10" t="n"/>
      <c r="M92" s="9">
        <f>A92</f>
        <v/>
      </c>
      <c r="N92" s="9">
        <f>IF(OR(Inputs!$F$6=TRUE,Inputs!$F$6="TRUE",Inputs!$F$6=1),(-2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NA())</f>
        <v/>
      </c>
      <c r="O92" s="9">
        <f>IF(OR(Inputs!$F$7=TRUE,Inputs!$F$7="TRUE",Inputs!$F$7=1),(-2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NA())</f>
        <v/>
      </c>
      <c r="P92" s="9">
        <f>IF(OR(Inputs!$F$8=TRUE,Inputs!$F$8="TRUE",Inputs!$F$8=1),(-2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NA())</f>
        <v/>
      </c>
      <c r="Q92" s="9">
        <f>IF(OR(Inputs!$F$9=TRUE,Inputs!$F$9="TRUE",Inputs!$F$9=1),(-2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NA())</f>
        <v/>
      </c>
      <c r="R92" s="10" t="n"/>
      <c r="S92" s="9">
        <f>A92</f>
        <v/>
      </c>
      <c r="T92" s="9">
        <f>(Inputs!$I$6+(((A92)+1)/2)*(Inputs!$J$6-Inputs!$I$6))</f>
        <v/>
      </c>
      <c r="U92" s="9">
        <f>(Inputs!$I$7+(((A92)+1)/2)*(Inputs!$J$7-Inputs!$I$7))</f>
        <v/>
      </c>
      <c r="V92" s="9">
        <f>(Inputs!$I$8+(((A92)+1)/2)*(Inputs!$J$8-Inputs!$I$8))</f>
        <v/>
      </c>
      <c r="W92" s="9">
        <f>(Inputs!$I$9+(((A92)+1)/2)*(Inputs!$J$9-Inputs!$I$9))</f>
        <v/>
      </c>
      <c r="X92" s="10" t="n"/>
      <c r="Y92" s="9">
        <f>A92</f>
        <v/>
      </c>
      <c r="Z92" s="9">
        <f>(Inputs!$H$6+Inputs!$L$6*(((Inputs!$I$6+(((A92)+1)/2)*(Inputs!$J$6-Inputs!$I$6)))/Inputs!$K$6)^2)</f>
        <v/>
      </c>
      <c r="AA92" s="9">
        <f>(Inputs!$H$7+Inputs!$L$7*(((Inputs!$I$7+(((A92)+1)/2)*(Inputs!$J$7-Inputs!$I$7)))/Inputs!$K$7)^2)</f>
        <v/>
      </c>
      <c r="AB92" s="9">
        <f>(Inputs!$H$8+Inputs!$L$8*(((Inputs!$I$8+(((A92)+1)/2)*(Inputs!$J$8-Inputs!$I$8)))/Inputs!$K$8)^2)</f>
        <v/>
      </c>
      <c r="AC92" s="9">
        <f>(Inputs!$H$9+Inputs!$L$9*(((Inputs!$I$9+(((A92)+1)/2)*(Inputs!$J$9-Inputs!$I$9)))/Inputs!$K$9)^2)</f>
        <v/>
      </c>
      <c r="AD92" s="10" t="n"/>
      <c r="AE92" s="9">
        <f>A92</f>
        <v/>
      </c>
      <c r="AF92" s="9">
        <f>(((SQRT((Inputs!$C$52+((Inputs!$H$6+Inputs!$L$6*(((Inputs!$I$6+(((A92)+1)/2)*(Inputs!$J$6-Inputs!$I$6)))/Inputs!$K$6)^2)))^2+Inputs!$C$52^2-2*(Inputs!$C$52+((Inputs!$H$6+Inputs!$L$6*(((Inputs!$I$6+(((A92)+1)/2)*(Inputs!$J$6-Inputs!$I$6)))/Inputs!$K$6)^2)))*Inputs!$C$52*COS(SQRT(((Inputs!$I$6+(((A92)+1)/2)*(Inputs!$J$6-Inputs!$I$6)))^2+Inputs!$C$6^2)/Inputs!$C$52)))-((Inputs!$H$6+Inputs!$L$6*(((Inputs!$I$6+(((A92)+1)/2)*(Inputs!$J$6-Inputs!$I$6)))/Inputs!$K$6)^2)))*1000/Inputs!$C$12)</f>
        <v/>
      </c>
      <c r="AG92" s="9">
        <f>(((SQRT((Inputs!$C$52+((Inputs!$H$7+Inputs!$L$7*(((Inputs!$I$7+(((A92)+1)/2)*(Inputs!$J$7-Inputs!$I$7)))/Inputs!$K$7)^2)))^2+Inputs!$C$52^2-2*(Inputs!$C$52+((Inputs!$H$7+Inputs!$L$7*(((Inputs!$I$7+(((A92)+1)/2)*(Inputs!$J$7-Inputs!$I$7)))/Inputs!$K$7)^2)))*Inputs!$C$52*COS(SQRT(((Inputs!$I$7+(((A92)+1)/2)*(Inputs!$J$7-Inputs!$I$7)))^2+Inputs!$C$6^2)/Inputs!$C$52)))-((Inputs!$H$7+Inputs!$L$7*(((Inputs!$I$7+(((A92)+1)/2)*(Inputs!$J$7-Inputs!$I$7)))/Inputs!$K$7)^2)))*1000/Inputs!$C$12)</f>
        <v/>
      </c>
      <c r="AH92" s="9">
        <f>(((SQRT((Inputs!$C$52+((Inputs!$H$8+Inputs!$L$8*(((Inputs!$I$8+(((A92)+1)/2)*(Inputs!$J$8-Inputs!$I$8)))/Inputs!$K$8)^2)))^2+Inputs!$C$52^2-2*(Inputs!$C$52+((Inputs!$H$8+Inputs!$L$8*(((Inputs!$I$8+(((A92)+1)/2)*(Inputs!$J$8-Inputs!$I$8)))/Inputs!$K$8)^2)))*Inputs!$C$52*COS(SQRT(((Inputs!$I$8+(((A92)+1)/2)*(Inputs!$J$8-Inputs!$I$8)))^2+Inputs!$C$6^2)/Inputs!$C$52)))-((Inputs!$H$8+Inputs!$L$8*(((Inputs!$I$8+(((A92)+1)/2)*(Inputs!$J$8-Inputs!$I$8)))/Inputs!$K$8)^2)))*1000/Inputs!$C$12)</f>
        <v/>
      </c>
      <c r="AI92" s="9">
        <f>(((SQRT((Inputs!$C$52+((Inputs!$H$9+Inputs!$L$9*(((Inputs!$I$9+(((A92)+1)/2)*(Inputs!$J$9-Inputs!$I$9)))/Inputs!$K$9)^2)))^2+Inputs!$C$52^2-2*(Inputs!$C$52+((Inputs!$H$9+Inputs!$L$9*(((Inputs!$I$9+(((A92)+1)/2)*(Inputs!$J$9-Inputs!$I$9)))/Inputs!$K$9)^2)))*Inputs!$C$52*COS(SQRT(((Inputs!$I$9+(((A92)+1)/2)*(Inputs!$J$9-Inputs!$I$9)))^2+Inputs!$C$6^2)/Inputs!$C$52)))-((Inputs!$H$9+Inputs!$L$9*(((Inputs!$I$9+(((A92)+1)/2)*(Inputs!$J$9-Inputs!$I$9)))/Inputs!$K$9)^2)))*1000/Inputs!$C$12)</f>
        <v/>
      </c>
      <c r="AJ92" s="10" t="n"/>
      <c r="AK92" s="9">
        <f>A92</f>
        <v/>
      </c>
      <c r="AL92" s="9">
        <f>(-2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f>
        <v/>
      </c>
      <c r="AM92" s="9">
        <f>(-2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f>
        <v/>
      </c>
      <c r="AN92" s="9">
        <f>(-2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f>
        <v/>
      </c>
      <c r="AO92" s="9">
        <f>(-2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f>
        <v/>
      </c>
      <c r="AP92" s="10" t="n"/>
      <c r="AQ92" s="9">
        <f>A92</f>
        <v/>
      </c>
      <c r="AR92" s="9">
        <f>0</f>
        <v/>
      </c>
      <c r="AS92" s="9">
        <f>IF(OR(Inputs!$F$6=TRUE,Inputs!$F$6="TRUE",Inputs!$F$6=1),IF(OR(Inputs!$C$27=TRUE,Inputs!$C$27="TRUE",Inputs!$C$27=1),1,0)*(Inputs!$C$51*(115*EXP(-(((Inputs!$C$6)-25)^2)/(4.5^2))+70*EXP(-(((Inputs!$C$6)+38)^2)/(7^2))*(0.55+0.45*SIN(2*PI()*((Inputs!$I$6+(((A92)+1)/2)*(Inputs!$J$6-Inputs!$I$6)))/45))+24*SIN(2*PI()*(Inputs!$C$6)/9+((Inputs!$I$6+(((A92)+1)/2)*(Inputs!$J$6-Inputs!$I$6)))/18)*EXP(-(((Inputs!$C$6)+5)^2)/(22^2))+18*SIN(2*PI()*((Inputs!$I$6+(((A92)+1)/2)*(Inputs!$J$6-Inputs!$I$6)))/70))+Inputs!$C$28*EXP(-((((Inputs!$I$6+(((A92)+1)/2)*(Inputs!$J$6-Inputs!$I$6)))-Inputs!$C$29)^2)/(2*Inputs!$C$31^2))*EXP(-(((Inputs!$C$6)-Inputs!$C$30)^2)/(2*Inputs!$C$32^2))+-Inputs!$C$33*EXP(-((((((Inputs!$I$6+(((A92)+1)/2)*(Inputs!$J$6-Inputs!$I$6)))-Inputs!$C$34)^2)+(((Inputs!$C$6)-Inputs!$C$35)^2))/(2*Inputs!$C$36^2)))+Inputs!$C$37*(0.55*SIN(2*PI()*((Inputs!$I$6+(((A92)+1)/2)*(Inputs!$J$6-Inputs!$I$6)))/Inputs!$C$39)+0.35*COS(2*PI()*(Inputs!$C$6)/Inputs!$C$40)+0.2*SIN(2*PI()*(((Inputs!$I$6+(((A92)+1)/2)*(Inputs!$J$6-Inputs!$I$6)))+(Inputs!$C$6))/(0.5*(Inputs!$C$39+Inputs!$C$40))))+Inputs!$C$38*SIN(2*PI()*((Inputs!$I$6+(((A92)+1)/2)*(Inputs!$J$6-Inputs!$I$6)))/Inputs!$C$39)*SIN(2*PI()*(Inputs!$C$6)/Inputs!$C$40)+-Inputs!$C$41*EXP(-(((Inputs!$C$6)-Inputs!$C$43)^2)/(2*Inputs!$C$44^2))*EXP(-((((Inputs!$I$6+(((A92)+1)/2)*(Inputs!$J$6-Inputs!$I$6)))-Inputs!$C$42)^2)/(2*Inputs!$C$45^2))+Inputs!$C$48*(0.7*(0.45*SIN(2*PI()*((((Inputs!$I$6+(((A92)+1)/2)*(Inputs!$J$6-Inputs!$I$6)))/Inputs!$C$49)+Inputs!$C$47*0.137))+0.35*COS(2*PI()*(((Inputs!$C$6)/Inputs!$C$50)+Inputs!$C$47*0.173))+0.2*SIN(2*PI()*((((Inputs!$I$6+(((A92)+1)/2)*(Inputs!$J$6-Inputs!$I$6)))+(Inputs!$C$6))/(0.5*(Inputs!$C$49+Inputs!$C$50))+Inputs!$C$47*0.097)))+0.3*(2*((SIN((((Inputs!$I$6+(((A92)+1)/2)*(Inputs!$J$6-Inputs!$I$6)))*12.9898+(Inputs!$C$6)*78.233+Inputs!$C$47*37.719))*43758.5453)-INT((SIN((((Inputs!$I$6+(((A92)+1)/2)*(Inputs!$J$6-Inputs!$I$6)))*12.9898+(Inputs!$C$6)*78.233+Inputs!$C$47*37.719))*43758.5453)))-1))),NA())</f>
        <v/>
      </c>
      <c r="AT92" s="9">
        <f>IF(OR(Inputs!$F$7=TRUE,Inputs!$F$7="TRUE",Inputs!$F$7=1),IF(OR(Inputs!$C$27=TRUE,Inputs!$C$27="TRUE",Inputs!$C$27=1),1,0)*(Inputs!$C$51*(115*EXP(-(((Inputs!$C$6)-25)^2)/(4.5^2))+70*EXP(-(((Inputs!$C$6)+38)^2)/(7^2))*(0.55+0.45*SIN(2*PI()*((Inputs!$I$7+(((A92)+1)/2)*(Inputs!$J$7-Inputs!$I$7)))/45))+24*SIN(2*PI()*(Inputs!$C$6)/9+((Inputs!$I$7+(((A92)+1)/2)*(Inputs!$J$7-Inputs!$I$7)))/18)*EXP(-(((Inputs!$C$6)+5)^2)/(22^2))+18*SIN(2*PI()*((Inputs!$I$7+(((A92)+1)/2)*(Inputs!$J$7-Inputs!$I$7)))/70))+Inputs!$C$28*EXP(-((((Inputs!$I$7+(((A92)+1)/2)*(Inputs!$J$7-Inputs!$I$7)))-Inputs!$C$29)^2)/(2*Inputs!$C$31^2))*EXP(-(((Inputs!$C$6)-Inputs!$C$30)^2)/(2*Inputs!$C$32^2))+-Inputs!$C$33*EXP(-((((((Inputs!$I$7+(((A92)+1)/2)*(Inputs!$J$7-Inputs!$I$7)))-Inputs!$C$34)^2)+(((Inputs!$C$6)-Inputs!$C$35)^2))/(2*Inputs!$C$36^2)))+Inputs!$C$37*(0.55*SIN(2*PI()*((Inputs!$I$7+(((A92)+1)/2)*(Inputs!$J$7-Inputs!$I$7)))/Inputs!$C$39)+0.35*COS(2*PI()*(Inputs!$C$6)/Inputs!$C$40)+0.2*SIN(2*PI()*(((Inputs!$I$7+(((A92)+1)/2)*(Inputs!$J$7-Inputs!$I$7)))+(Inputs!$C$6))/(0.5*(Inputs!$C$39+Inputs!$C$40))))+Inputs!$C$38*SIN(2*PI()*((Inputs!$I$7+(((A92)+1)/2)*(Inputs!$J$7-Inputs!$I$7)))/Inputs!$C$39)*SIN(2*PI()*(Inputs!$C$6)/Inputs!$C$40)+-Inputs!$C$41*EXP(-(((Inputs!$C$6)-Inputs!$C$43)^2)/(2*Inputs!$C$44^2))*EXP(-((((Inputs!$I$7+(((A92)+1)/2)*(Inputs!$J$7-Inputs!$I$7)))-Inputs!$C$42)^2)/(2*Inputs!$C$45^2))+Inputs!$C$48*(0.7*(0.45*SIN(2*PI()*((((Inputs!$I$7+(((A92)+1)/2)*(Inputs!$J$7-Inputs!$I$7)))/Inputs!$C$49)+Inputs!$C$47*0.137))+0.35*COS(2*PI()*(((Inputs!$C$6)/Inputs!$C$50)+Inputs!$C$47*0.173))+0.2*SIN(2*PI()*((((Inputs!$I$7+(((A92)+1)/2)*(Inputs!$J$7-Inputs!$I$7)))+(Inputs!$C$6))/(0.5*(Inputs!$C$49+Inputs!$C$50))+Inputs!$C$47*0.097)))+0.3*(2*((SIN((((Inputs!$I$7+(((A92)+1)/2)*(Inputs!$J$7-Inputs!$I$7)))*12.9898+(Inputs!$C$6)*78.233+Inputs!$C$47*37.719))*43758.5453)-INT((SIN((((Inputs!$I$7+(((A92)+1)/2)*(Inputs!$J$7-Inputs!$I$7)))*12.9898+(Inputs!$C$6)*78.233+Inputs!$C$47*37.719))*43758.5453)))-1))),NA())</f>
        <v/>
      </c>
      <c r="AU92" s="9">
        <f>IF(OR(Inputs!$F$8=TRUE,Inputs!$F$8="TRUE",Inputs!$F$8=1),IF(OR(Inputs!$C$27=TRUE,Inputs!$C$27="TRUE",Inputs!$C$27=1),1,0)*(Inputs!$C$51*(115*EXP(-(((Inputs!$C$6)-25)^2)/(4.5^2))+70*EXP(-(((Inputs!$C$6)+38)^2)/(7^2))*(0.55+0.45*SIN(2*PI()*((Inputs!$I$8+(((A92)+1)/2)*(Inputs!$J$8-Inputs!$I$8)))/45))+24*SIN(2*PI()*(Inputs!$C$6)/9+((Inputs!$I$8+(((A92)+1)/2)*(Inputs!$J$8-Inputs!$I$8)))/18)*EXP(-(((Inputs!$C$6)+5)^2)/(22^2))+18*SIN(2*PI()*((Inputs!$I$8+(((A92)+1)/2)*(Inputs!$J$8-Inputs!$I$8)))/70))+Inputs!$C$28*EXP(-((((Inputs!$I$8+(((A92)+1)/2)*(Inputs!$J$8-Inputs!$I$8)))-Inputs!$C$29)^2)/(2*Inputs!$C$31^2))*EXP(-(((Inputs!$C$6)-Inputs!$C$30)^2)/(2*Inputs!$C$32^2))+-Inputs!$C$33*EXP(-((((((Inputs!$I$8+(((A92)+1)/2)*(Inputs!$J$8-Inputs!$I$8)))-Inputs!$C$34)^2)+(((Inputs!$C$6)-Inputs!$C$35)^2))/(2*Inputs!$C$36^2)))+Inputs!$C$37*(0.55*SIN(2*PI()*((Inputs!$I$8+(((A92)+1)/2)*(Inputs!$J$8-Inputs!$I$8)))/Inputs!$C$39)+0.35*COS(2*PI()*(Inputs!$C$6)/Inputs!$C$40)+0.2*SIN(2*PI()*(((Inputs!$I$8+(((A92)+1)/2)*(Inputs!$J$8-Inputs!$I$8)))+(Inputs!$C$6))/(0.5*(Inputs!$C$39+Inputs!$C$40))))+Inputs!$C$38*SIN(2*PI()*((Inputs!$I$8+(((A92)+1)/2)*(Inputs!$J$8-Inputs!$I$8)))/Inputs!$C$39)*SIN(2*PI()*(Inputs!$C$6)/Inputs!$C$40)+-Inputs!$C$41*EXP(-(((Inputs!$C$6)-Inputs!$C$43)^2)/(2*Inputs!$C$44^2))*EXP(-((((Inputs!$I$8+(((A92)+1)/2)*(Inputs!$J$8-Inputs!$I$8)))-Inputs!$C$42)^2)/(2*Inputs!$C$45^2))+Inputs!$C$48*(0.7*(0.45*SIN(2*PI()*((((Inputs!$I$8+(((A92)+1)/2)*(Inputs!$J$8-Inputs!$I$8)))/Inputs!$C$49)+Inputs!$C$47*0.137))+0.35*COS(2*PI()*(((Inputs!$C$6)/Inputs!$C$50)+Inputs!$C$47*0.173))+0.2*SIN(2*PI()*((((Inputs!$I$8+(((A92)+1)/2)*(Inputs!$J$8-Inputs!$I$8)))+(Inputs!$C$6))/(0.5*(Inputs!$C$49+Inputs!$C$50))+Inputs!$C$47*0.097)))+0.3*(2*((SIN((((Inputs!$I$8+(((A92)+1)/2)*(Inputs!$J$8-Inputs!$I$8)))*12.9898+(Inputs!$C$6)*78.233+Inputs!$C$47*37.719))*43758.5453)-INT((SIN((((Inputs!$I$8+(((A92)+1)/2)*(Inputs!$J$8-Inputs!$I$8)))*12.9898+(Inputs!$C$6)*78.233+Inputs!$C$47*37.719))*43758.5453)))-1))),NA())</f>
        <v/>
      </c>
      <c r="AV92" s="9">
        <f>IF(OR(Inputs!$F$9=TRUE,Inputs!$F$9="TRUE",Inputs!$F$9=1),IF(OR(Inputs!$C$27=TRUE,Inputs!$C$27="TRUE",Inputs!$C$27=1),1,0)*(Inputs!$C$51*(115*EXP(-(((Inputs!$C$6)-25)^2)/(4.5^2))+70*EXP(-(((Inputs!$C$6)+38)^2)/(7^2))*(0.55+0.45*SIN(2*PI()*((Inputs!$I$9+(((A92)+1)/2)*(Inputs!$J$9-Inputs!$I$9)))/45))+24*SIN(2*PI()*(Inputs!$C$6)/9+((Inputs!$I$9+(((A92)+1)/2)*(Inputs!$J$9-Inputs!$I$9)))/18)*EXP(-(((Inputs!$C$6)+5)^2)/(22^2))+18*SIN(2*PI()*((Inputs!$I$9+(((A92)+1)/2)*(Inputs!$J$9-Inputs!$I$9)))/70))+Inputs!$C$28*EXP(-((((Inputs!$I$9+(((A92)+1)/2)*(Inputs!$J$9-Inputs!$I$9)))-Inputs!$C$29)^2)/(2*Inputs!$C$31^2))*EXP(-(((Inputs!$C$6)-Inputs!$C$30)^2)/(2*Inputs!$C$32^2))+-Inputs!$C$33*EXP(-((((((Inputs!$I$9+(((A92)+1)/2)*(Inputs!$J$9-Inputs!$I$9)))-Inputs!$C$34)^2)+(((Inputs!$C$6)-Inputs!$C$35)^2))/(2*Inputs!$C$36^2)))+Inputs!$C$37*(0.55*SIN(2*PI()*((Inputs!$I$9+(((A92)+1)/2)*(Inputs!$J$9-Inputs!$I$9)))/Inputs!$C$39)+0.35*COS(2*PI()*(Inputs!$C$6)/Inputs!$C$40)+0.2*SIN(2*PI()*(((Inputs!$I$9+(((A92)+1)/2)*(Inputs!$J$9-Inputs!$I$9)))+(Inputs!$C$6))/(0.5*(Inputs!$C$39+Inputs!$C$40))))+Inputs!$C$38*SIN(2*PI()*((Inputs!$I$9+(((A92)+1)/2)*(Inputs!$J$9-Inputs!$I$9)))/Inputs!$C$39)*SIN(2*PI()*(Inputs!$C$6)/Inputs!$C$40)+-Inputs!$C$41*EXP(-(((Inputs!$C$6)-Inputs!$C$43)^2)/(2*Inputs!$C$44^2))*EXP(-((((Inputs!$I$9+(((A92)+1)/2)*(Inputs!$J$9-Inputs!$I$9)))-Inputs!$C$42)^2)/(2*Inputs!$C$45^2))+Inputs!$C$48*(0.7*(0.45*SIN(2*PI()*((((Inputs!$I$9+(((A92)+1)/2)*(Inputs!$J$9-Inputs!$I$9)))/Inputs!$C$49)+Inputs!$C$47*0.137))+0.35*COS(2*PI()*(((Inputs!$C$6)/Inputs!$C$50)+Inputs!$C$47*0.173))+0.2*SIN(2*PI()*((((Inputs!$I$9+(((A92)+1)/2)*(Inputs!$J$9-Inputs!$I$9)))+(Inputs!$C$6))/(0.5*(Inputs!$C$49+Inputs!$C$50))+Inputs!$C$47*0.097)))+0.3*(2*((SIN((((Inputs!$I$9+(((A92)+1)/2)*(Inputs!$J$9-Inputs!$I$9)))*12.9898+(Inputs!$C$6)*78.233+Inputs!$C$47*37.719))*43758.5453)-INT((SIN((((Inputs!$I$9+(((A92)+1)/2)*(Inputs!$J$9-Inputs!$I$9)))*12.9898+(Inputs!$C$6)*78.233+Inputs!$C$47*37.719))*43758.5453)))-1))),NA())</f>
        <v/>
      </c>
      <c r="AW92" s="10" t="n"/>
      <c r="AX92" s="9">
        <f>A92</f>
        <v/>
      </c>
      <c r="AY92" s="9">
        <f>0</f>
        <v/>
      </c>
      <c r="AZ92" s="9">
        <f>IF(OR(Inputs!$F$6=TRUE,Inputs!$F$6="TRUE",Inputs!$F$6=1),(Inputs!$H$6+Inputs!$L$6*(((Inputs!$I$6+(((A92)+1)/2)*(Inputs!$J$6-Inputs!$I$6)))/Inputs!$K$6)^2),NA())</f>
        <v/>
      </c>
      <c r="BA92" s="9">
        <f>IF(OR(Inputs!$F$7=TRUE,Inputs!$F$7="TRUE",Inputs!$F$7=1),(Inputs!$H$7+Inputs!$L$7*(((Inputs!$I$7+(((A92)+1)/2)*(Inputs!$J$7-Inputs!$I$7)))/Inputs!$K$7)^2),NA())</f>
        <v/>
      </c>
      <c r="BB92" s="9">
        <f>IF(OR(Inputs!$F$8=TRUE,Inputs!$F$8="TRUE",Inputs!$F$8=1),(Inputs!$H$8+Inputs!$L$8*(((Inputs!$I$8+(((A92)+1)/2)*(Inputs!$J$8-Inputs!$I$8)))/Inputs!$K$8)^2),NA())</f>
        <v/>
      </c>
      <c r="BC92" s="9">
        <f>IF(OR(Inputs!$F$9=TRUE,Inputs!$F$9="TRUE",Inputs!$F$9=1),(Inputs!$H$9+Inputs!$L$9*(((Inputs!$I$9+(((A92)+1)/2)*(Inputs!$J$9-Inputs!$I$9)))/Inputs!$K$9)^2),NA())</f>
        <v/>
      </c>
      <c r="BD92" s="10" t="n"/>
      <c r="BE92" s="9">
        <f>A92</f>
        <v/>
      </c>
      <c r="BF92" s="9">
        <f>0</f>
        <v/>
      </c>
      <c r="BG92" s="9">
        <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f>
        <v/>
      </c>
      <c r="BH92" s="9">
        <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f>
        <v/>
      </c>
      <c r="BI92" s="9">
        <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f>
        <v/>
      </c>
      <c r="BJ92" s="9">
        <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f>
        <v/>
      </c>
    </row>
    <row r="93">
      <c r="A93" s="9">
        <f>ROUND(-1+91*2/240,3)</f>
        <v/>
      </c>
      <c r="B93" s="9">
        <f>IF(OR(Inputs!$F$6=TRUE,Inputs!$F$6="TRUE",Inputs!$F$6=1),(Inputs!$H$6+Inputs!$L$6*(((Inputs!$I$6+(((A93)+1)/2)*(Inputs!$J$6-Inputs!$I$6)))/Inputs!$K$6)^2),NA())</f>
        <v/>
      </c>
      <c r="C93" s="9">
        <f>IF(OR(Inputs!$F$7=TRUE,Inputs!$F$7="TRUE",Inputs!$F$7=1),(Inputs!$H$7+Inputs!$L$7*(((Inputs!$I$7+(((A93)+1)/2)*(Inputs!$J$7-Inputs!$I$7)))/Inputs!$K$7)^2),NA())</f>
        <v/>
      </c>
      <c r="D93" s="9">
        <f>IF(OR(Inputs!$F$8=TRUE,Inputs!$F$8="TRUE",Inputs!$F$8=1),(Inputs!$H$8+Inputs!$L$8*(((Inputs!$I$8+(((A93)+1)/2)*(Inputs!$J$8-Inputs!$I$8)))/Inputs!$K$8)^2),NA())</f>
        <v/>
      </c>
      <c r="E93" s="9">
        <f>IF(OR(Inputs!$F$9=TRUE,Inputs!$F$9="TRUE",Inputs!$F$9=1),(Inputs!$H$9+Inputs!$L$9*(((Inputs!$I$9+(((A93)+1)/2)*(Inputs!$J$9-Inputs!$I$9)))/Inputs!$K$9)^2),NA())</f>
        <v/>
      </c>
      <c r="F93" s="10" t="n"/>
      <c r="G93" s="9">
        <f>A93</f>
        <v/>
      </c>
      <c r="H93" s="9">
        <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f>
        <v/>
      </c>
      <c r="I93" s="9">
        <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f>
        <v/>
      </c>
      <c r="J93" s="9">
        <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f>
        <v/>
      </c>
      <c r="K93" s="9">
        <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f>
        <v/>
      </c>
      <c r="L93" s="10" t="n"/>
      <c r="M93" s="9">
        <f>A93</f>
        <v/>
      </c>
      <c r="N93" s="9">
        <f>IF(OR(Inputs!$F$6=TRUE,Inputs!$F$6="TRUE",Inputs!$F$6=1),(-2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NA())</f>
        <v/>
      </c>
      <c r="O93" s="9">
        <f>IF(OR(Inputs!$F$7=TRUE,Inputs!$F$7="TRUE",Inputs!$F$7=1),(-2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NA())</f>
        <v/>
      </c>
      <c r="P93" s="9">
        <f>IF(OR(Inputs!$F$8=TRUE,Inputs!$F$8="TRUE",Inputs!$F$8=1),(-2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NA())</f>
        <v/>
      </c>
      <c r="Q93" s="9">
        <f>IF(OR(Inputs!$F$9=TRUE,Inputs!$F$9="TRUE",Inputs!$F$9=1),(-2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NA())</f>
        <v/>
      </c>
      <c r="R93" s="10" t="n"/>
      <c r="S93" s="9">
        <f>A93</f>
        <v/>
      </c>
      <c r="T93" s="9">
        <f>(Inputs!$I$6+(((A93)+1)/2)*(Inputs!$J$6-Inputs!$I$6))</f>
        <v/>
      </c>
      <c r="U93" s="9">
        <f>(Inputs!$I$7+(((A93)+1)/2)*(Inputs!$J$7-Inputs!$I$7))</f>
        <v/>
      </c>
      <c r="V93" s="9">
        <f>(Inputs!$I$8+(((A93)+1)/2)*(Inputs!$J$8-Inputs!$I$8))</f>
        <v/>
      </c>
      <c r="W93" s="9">
        <f>(Inputs!$I$9+(((A93)+1)/2)*(Inputs!$J$9-Inputs!$I$9))</f>
        <v/>
      </c>
      <c r="X93" s="10" t="n"/>
      <c r="Y93" s="9">
        <f>A93</f>
        <v/>
      </c>
      <c r="Z93" s="9">
        <f>(Inputs!$H$6+Inputs!$L$6*(((Inputs!$I$6+(((A93)+1)/2)*(Inputs!$J$6-Inputs!$I$6)))/Inputs!$K$6)^2)</f>
        <v/>
      </c>
      <c r="AA93" s="9">
        <f>(Inputs!$H$7+Inputs!$L$7*(((Inputs!$I$7+(((A93)+1)/2)*(Inputs!$J$7-Inputs!$I$7)))/Inputs!$K$7)^2)</f>
        <v/>
      </c>
      <c r="AB93" s="9">
        <f>(Inputs!$H$8+Inputs!$L$8*(((Inputs!$I$8+(((A93)+1)/2)*(Inputs!$J$8-Inputs!$I$8)))/Inputs!$K$8)^2)</f>
        <v/>
      </c>
      <c r="AC93" s="9">
        <f>(Inputs!$H$9+Inputs!$L$9*(((Inputs!$I$9+(((A93)+1)/2)*(Inputs!$J$9-Inputs!$I$9)))/Inputs!$K$9)^2)</f>
        <v/>
      </c>
      <c r="AD93" s="10" t="n"/>
      <c r="AE93" s="9">
        <f>A93</f>
        <v/>
      </c>
      <c r="AF93" s="9">
        <f>(((SQRT((Inputs!$C$52+((Inputs!$H$6+Inputs!$L$6*(((Inputs!$I$6+(((A93)+1)/2)*(Inputs!$J$6-Inputs!$I$6)))/Inputs!$K$6)^2)))^2+Inputs!$C$52^2-2*(Inputs!$C$52+((Inputs!$H$6+Inputs!$L$6*(((Inputs!$I$6+(((A93)+1)/2)*(Inputs!$J$6-Inputs!$I$6)))/Inputs!$K$6)^2)))*Inputs!$C$52*COS(SQRT(((Inputs!$I$6+(((A93)+1)/2)*(Inputs!$J$6-Inputs!$I$6)))^2+Inputs!$C$6^2)/Inputs!$C$52)))-((Inputs!$H$6+Inputs!$L$6*(((Inputs!$I$6+(((A93)+1)/2)*(Inputs!$J$6-Inputs!$I$6)))/Inputs!$K$6)^2)))*1000/Inputs!$C$12)</f>
        <v/>
      </c>
      <c r="AG93" s="9">
        <f>(((SQRT((Inputs!$C$52+((Inputs!$H$7+Inputs!$L$7*(((Inputs!$I$7+(((A93)+1)/2)*(Inputs!$J$7-Inputs!$I$7)))/Inputs!$K$7)^2)))^2+Inputs!$C$52^2-2*(Inputs!$C$52+((Inputs!$H$7+Inputs!$L$7*(((Inputs!$I$7+(((A93)+1)/2)*(Inputs!$J$7-Inputs!$I$7)))/Inputs!$K$7)^2)))*Inputs!$C$52*COS(SQRT(((Inputs!$I$7+(((A93)+1)/2)*(Inputs!$J$7-Inputs!$I$7)))^2+Inputs!$C$6^2)/Inputs!$C$52)))-((Inputs!$H$7+Inputs!$L$7*(((Inputs!$I$7+(((A93)+1)/2)*(Inputs!$J$7-Inputs!$I$7)))/Inputs!$K$7)^2)))*1000/Inputs!$C$12)</f>
        <v/>
      </c>
      <c r="AH93" s="9">
        <f>(((SQRT((Inputs!$C$52+((Inputs!$H$8+Inputs!$L$8*(((Inputs!$I$8+(((A93)+1)/2)*(Inputs!$J$8-Inputs!$I$8)))/Inputs!$K$8)^2)))^2+Inputs!$C$52^2-2*(Inputs!$C$52+((Inputs!$H$8+Inputs!$L$8*(((Inputs!$I$8+(((A93)+1)/2)*(Inputs!$J$8-Inputs!$I$8)))/Inputs!$K$8)^2)))*Inputs!$C$52*COS(SQRT(((Inputs!$I$8+(((A93)+1)/2)*(Inputs!$J$8-Inputs!$I$8)))^2+Inputs!$C$6^2)/Inputs!$C$52)))-((Inputs!$H$8+Inputs!$L$8*(((Inputs!$I$8+(((A93)+1)/2)*(Inputs!$J$8-Inputs!$I$8)))/Inputs!$K$8)^2)))*1000/Inputs!$C$12)</f>
        <v/>
      </c>
      <c r="AI93" s="9">
        <f>(((SQRT((Inputs!$C$52+((Inputs!$H$9+Inputs!$L$9*(((Inputs!$I$9+(((A93)+1)/2)*(Inputs!$J$9-Inputs!$I$9)))/Inputs!$K$9)^2)))^2+Inputs!$C$52^2-2*(Inputs!$C$52+((Inputs!$H$9+Inputs!$L$9*(((Inputs!$I$9+(((A93)+1)/2)*(Inputs!$J$9-Inputs!$I$9)))/Inputs!$K$9)^2)))*Inputs!$C$52*COS(SQRT(((Inputs!$I$9+(((A93)+1)/2)*(Inputs!$J$9-Inputs!$I$9)))^2+Inputs!$C$6^2)/Inputs!$C$52)))-((Inputs!$H$9+Inputs!$L$9*(((Inputs!$I$9+(((A93)+1)/2)*(Inputs!$J$9-Inputs!$I$9)))/Inputs!$K$9)^2)))*1000/Inputs!$C$12)</f>
        <v/>
      </c>
      <c r="AJ93" s="10" t="n"/>
      <c r="AK93" s="9">
        <f>A93</f>
        <v/>
      </c>
      <c r="AL93" s="9">
        <f>(-2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f>
        <v/>
      </c>
      <c r="AM93" s="9">
        <f>(-2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f>
        <v/>
      </c>
      <c r="AN93" s="9">
        <f>(-2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f>
        <v/>
      </c>
      <c r="AO93" s="9">
        <f>(-2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f>
        <v/>
      </c>
      <c r="AP93" s="10" t="n"/>
      <c r="AQ93" s="9">
        <f>A93</f>
        <v/>
      </c>
      <c r="AR93" s="9">
        <f>0</f>
        <v/>
      </c>
      <c r="AS93" s="9">
        <f>IF(OR(Inputs!$F$6=TRUE,Inputs!$F$6="TRUE",Inputs!$F$6=1),IF(OR(Inputs!$C$27=TRUE,Inputs!$C$27="TRUE",Inputs!$C$27=1),1,0)*(Inputs!$C$51*(115*EXP(-(((Inputs!$C$6)-25)^2)/(4.5^2))+70*EXP(-(((Inputs!$C$6)+38)^2)/(7^2))*(0.55+0.45*SIN(2*PI()*((Inputs!$I$6+(((A93)+1)/2)*(Inputs!$J$6-Inputs!$I$6)))/45))+24*SIN(2*PI()*(Inputs!$C$6)/9+((Inputs!$I$6+(((A93)+1)/2)*(Inputs!$J$6-Inputs!$I$6)))/18)*EXP(-(((Inputs!$C$6)+5)^2)/(22^2))+18*SIN(2*PI()*((Inputs!$I$6+(((A93)+1)/2)*(Inputs!$J$6-Inputs!$I$6)))/70))+Inputs!$C$28*EXP(-((((Inputs!$I$6+(((A93)+1)/2)*(Inputs!$J$6-Inputs!$I$6)))-Inputs!$C$29)^2)/(2*Inputs!$C$31^2))*EXP(-(((Inputs!$C$6)-Inputs!$C$30)^2)/(2*Inputs!$C$32^2))+-Inputs!$C$33*EXP(-((((((Inputs!$I$6+(((A93)+1)/2)*(Inputs!$J$6-Inputs!$I$6)))-Inputs!$C$34)^2)+(((Inputs!$C$6)-Inputs!$C$35)^2))/(2*Inputs!$C$36^2)))+Inputs!$C$37*(0.55*SIN(2*PI()*((Inputs!$I$6+(((A93)+1)/2)*(Inputs!$J$6-Inputs!$I$6)))/Inputs!$C$39)+0.35*COS(2*PI()*(Inputs!$C$6)/Inputs!$C$40)+0.2*SIN(2*PI()*(((Inputs!$I$6+(((A93)+1)/2)*(Inputs!$J$6-Inputs!$I$6)))+(Inputs!$C$6))/(0.5*(Inputs!$C$39+Inputs!$C$40))))+Inputs!$C$38*SIN(2*PI()*((Inputs!$I$6+(((A93)+1)/2)*(Inputs!$J$6-Inputs!$I$6)))/Inputs!$C$39)*SIN(2*PI()*(Inputs!$C$6)/Inputs!$C$40)+-Inputs!$C$41*EXP(-(((Inputs!$C$6)-Inputs!$C$43)^2)/(2*Inputs!$C$44^2))*EXP(-((((Inputs!$I$6+(((A93)+1)/2)*(Inputs!$J$6-Inputs!$I$6)))-Inputs!$C$42)^2)/(2*Inputs!$C$45^2))+Inputs!$C$48*(0.7*(0.45*SIN(2*PI()*((((Inputs!$I$6+(((A93)+1)/2)*(Inputs!$J$6-Inputs!$I$6)))/Inputs!$C$49)+Inputs!$C$47*0.137))+0.35*COS(2*PI()*(((Inputs!$C$6)/Inputs!$C$50)+Inputs!$C$47*0.173))+0.2*SIN(2*PI()*((((Inputs!$I$6+(((A93)+1)/2)*(Inputs!$J$6-Inputs!$I$6)))+(Inputs!$C$6))/(0.5*(Inputs!$C$49+Inputs!$C$50))+Inputs!$C$47*0.097)))+0.3*(2*((SIN((((Inputs!$I$6+(((A93)+1)/2)*(Inputs!$J$6-Inputs!$I$6)))*12.9898+(Inputs!$C$6)*78.233+Inputs!$C$47*37.719))*43758.5453)-INT((SIN((((Inputs!$I$6+(((A93)+1)/2)*(Inputs!$J$6-Inputs!$I$6)))*12.9898+(Inputs!$C$6)*78.233+Inputs!$C$47*37.719))*43758.5453)))-1))),NA())</f>
        <v/>
      </c>
      <c r="AT93" s="9">
        <f>IF(OR(Inputs!$F$7=TRUE,Inputs!$F$7="TRUE",Inputs!$F$7=1),IF(OR(Inputs!$C$27=TRUE,Inputs!$C$27="TRUE",Inputs!$C$27=1),1,0)*(Inputs!$C$51*(115*EXP(-(((Inputs!$C$6)-25)^2)/(4.5^2))+70*EXP(-(((Inputs!$C$6)+38)^2)/(7^2))*(0.55+0.45*SIN(2*PI()*((Inputs!$I$7+(((A93)+1)/2)*(Inputs!$J$7-Inputs!$I$7)))/45))+24*SIN(2*PI()*(Inputs!$C$6)/9+((Inputs!$I$7+(((A93)+1)/2)*(Inputs!$J$7-Inputs!$I$7)))/18)*EXP(-(((Inputs!$C$6)+5)^2)/(22^2))+18*SIN(2*PI()*((Inputs!$I$7+(((A93)+1)/2)*(Inputs!$J$7-Inputs!$I$7)))/70))+Inputs!$C$28*EXP(-((((Inputs!$I$7+(((A93)+1)/2)*(Inputs!$J$7-Inputs!$I$7)))-Inputs!$C$29)^2)/(2*Inputs!$C$31^2))*EXP(-(((Inputs!$C$6)-Inputs!$C$30)^2)/(2*Inputs!$C$32^2))+-Inputs!$C$33*EXP(-((((((Inputs!$I$7+(((A93)+1)/2)*(Inputs!$J$7-Inputs!$I$7)))-Inputs!$C$34)^2)+(((Inputs!$C$6)-Inputs!$C$35)^2))/(2*Inputs!$C$36^2)))+Inputs!$C$37*(0.55*SIN(2*PI()*((Inputs!$I$7+(((A93)+1)/2)*(Inputs!$J$7-Inputs!$I$7)))/Inputs!$C$39)+0.35*COS(2*PI()*(Inputs!$C$6)/Inputs!$C$40)+0.2*SIN(2*PI()*(((Inputs!$I$7+(((A93)+1)/2)*(Inputs!$J$7-Inputs!$I$7)))+(Inputs!$C$6))/(0.5*(Inputs!$C$39+Inputs!$C$40))))+Inputs!$C$38*SIN(2*PI()*((Inputs!$I$7+(((A93)+1)/2)*(Inputs!$J$7-Inputs!$I$7)))/Inputs!$C$39)*SIN(2*PI()*(Inputs!$C$6)/Inputs!$C$40)+-Inputs!$C$41*EXP(-(((Inputs!$C$6)-Inputs!$C$43)^2)/(2*Inputs!$C$44^2))*EXP(-((((Inputs!$I$7+(((A93)+1)/2)*(Inputs!$J$7-Inputs!$I$7)))-Inputs!$C$42)^2)/(2*Inputs!$C$45^2))+Inputs!$C$48*(0.7*(0.45*SIN(2*PI()*((((Inputs!$I$7+(((A93)+1)/2)*(Inputs!$J$7-Inputs!$I$7)))/Inputs!$C$49)+Inputs!$C$47*0.137))+0.35*COS(2*PI()*(((Inputs!$C$6)/Inputs!$C$50)+Inputs!$C$47*0.173))+0.2*SIN(2*PI()*((((Inputs!$I$7+(((A93)+1)/2)*(Inputs!$J$7-Inputs!$I$7)))+(Inputs!$C$6))/(0.5*(Inputs!$C$49+Inputs!$C$50))+Inputs!$C$47*0.097)))+0.3*(2*((SIN((((Inputs!$I$7+(((A93)+1)/2)*(Inputs!$J$7-Inputs!$I$7)))*12.9898+(Inputs!$C$6)*78.233+Inputs!$C$47*37.719))*43758.5453)-INT((SIN((((Inputs!$I$7+(((A93)+1)/2)*(Inputs!$J$7-Inputs!$I$7)))*12.9898+(Inputs!$C$6)*78.233+Inputs!$C$47*37.719))*43758.5453)))-1))),NA())</f>
        <v/>
      </c>
      <c r="AU93" s="9">
        <f>IF(OR(Inputs!$F$8=TRUE,Inputs!$F$8="TRUE",Inputs!$F$8=1),IF(OR(Inputs!$C$27=TRUE,Inputs!$C$27="TRUE",Inputs!$C$27=1),1,0)*(Inputs!$C$51*(115*EXP(-(((Inputs!$C$6)-25)^2)/(4.5^2))+70*EXP(-(((Inputs!$C$6)+38)^2)/(7^2))*(0.55+0.45*SIN(2*PI()*((Inputs!$I$8+(((A93)+1)/2)*(Inputs!$J$8-Inputs!$I$8)))/45))+24*SIN(2*PI()*(Inputs!$C$6)/9+((Inputs!$I$8+(((A93)+1)/2)*(Inputs!$J$8-Inputs!$I$8)))/18)*EXP(-(((Inputs!$C$6)+5)^2)/(22^2))+18*SIN(2*PI()*((Inputs!$I$8+(((A93)+1)/2)*(Inputs!$J$8-Inputs!$I$8)))/70))+Inputs!$C$28*EXP(-((((Inputs!$I$8+(((A93)+1)/2)*(Inputs!$J$8-Inputs!$I$8)))-Inputs!$C$29)^2)/(2*Inputs!$C$31^2))*EXP(-(((Inputs!$C$6)-Inputs!$C$30)^2)/(2*Inputs!$C$32^2))+-Inputs!$C$33*EXP(-((((((Inputs!$I$8+(((A93)+1)/2)*(Inputs!$J$8-Inputs!$I$8)))-Inputs!$C$34)^2)+(((Inputs!$C$6)-Inputs!$C$35)^2))/(2*Inputs!$C$36^2)))+Inputs!$C$37*(0.55*SIN(2*PI()*((Inputs!$I$8+(((A93)+1)/2)*(Inputs!$J$8-Inputs!$I$8)))/Inputs!$C$39)+0.35*COS(2*PI()*(Inputs!$C$6)/Inputs!$C$40)+0.2*SIN(2*PI()*(((Inputs!$I$8+(((A93)+1)/2)*(Inputs!$J$8-Inputs!$I$8)))+(Inputs!$C$6))/(0.5*(Inputs!$C$39+Inputs!$C$40))))+Inputs!$C$38*SIN(2*PI()*((Inputs!$I$8+(((A93)+1)/2)*(Inputs!$J$8-Inputs!$I$8)))/Inputs!$C$39)*SIN(2*PI()*(Inputs!$C$6)/Inputs!$C$40)+-Inputs!$C$41*EXP(-(((Inputs!$C$6)-Inputs!$C$43)^2)/(2*Inputs!$C$44^2))*EXP(-((((Inputs!$I$8+(((A93)+1)/2)*(Inputs!$J$8-Inputs!$I$8)))-Inputs!$C$42)^2)/(2*Inputs!$C$45^2))+Inputs!$C$48*(0.7*(0.45*SIN(2*PI()*((((Inputs!$I$8+(((A93)+1)/2)*(Inputs!$J$8-Inputs!$I$8)))/Inputs!$C$49)+Inputs!$C$47*0.137))+0.35*COS(2*PI()*(((Inputs!$C$6)/Inputs!$C$50)+Inputs!$C$47*0.173))+0.2*SIN(2*PI()*((((Inputs!$I$8+(((A93)+1)/2)*(Inputs!$J$8-Inputs!$I$8)))+(Inputs!$C$6))/(0.5*(Inputs!$C$49+Inputs!$C$50))+Inputs!$C$47*0.097)))+0.3*(2*((SIN((((Inputs!$I$8+(((A93)+1)/2)*(Inputs!$J$8-Inputs!$I$8)))*12.9898+(Inputs!$C$6)*78.233+Inputs!$C$47*37.719))*43758.5453)-INT((SIN((((Inputs!$I$8+(((A93)+1)/2)*(Inputs!$J$8-Inputs!$I$8)))*12.9898+(Inputs!$C$6)*78.233+Inputs!$C$47*37.719))*43758.5453)))-1))),NA())</f>
        <v/>
      </c>
      <c r="AV93" s="9">
        <f>IF(OR(Inputs!$F$9=TRUE,Inputs!$F$9="TRUE",Inputs!$F$9=1),IF(OR(Inputs!$C$27=TRUE,Inputs!$C$27="TRUE",Inputs!$C$27=1),1,0)*(Inputs!$C$51*(115*EXP(-(((Inputs!$C$6)-25)^2)/(4.5^2))+70*EXP(-(((Inputs!$C$6)+38)^2)/(7^2))*(0.55+0.45*SIN(2*PI()*((Inputs!$I$9+(((A93)+1)/2)*(Inputs!$J$9-Inputs!$I$9)))/45))+24*SIN(2*PI()*(Inputs!$C$6)/9+((Inputs!$I$9+(((A93)+1)/2)*(Inputs!$J$9-Inputs!$I$9)))/18)*EXP(-(((Inputs!$C$6)+5)^2)/(22^2))+18*SIN(2*PI()*((Inputs!$I$9+(((A93)+1)/2)*(Inputs!$J$9-Inputs!$I$9)))/70))+Inputs!$C$28*EXP(-((((Inputs!$I$9+(((A93)+1)/2)*(Inputs!$J$9-Inputs!$I$9)))-Inputs!$C$29)^2)/(2*Inputs!$C$31^2))*EXP(-(((Inputs!$C$6)-Inputs!$C$30)^2)/(2*Inputs!$C$32^2))+-Inputs!$C$33*EXP(-((((((Inputs!$I$9+(((A93)+1)/2)*(Inputs!$J$9-Inputs!$I$9)))-Inputs!$C$34)^2)+(((Inputs!$C$6)-Inputs!$C$35)^2))/(2*Inputs!$C$36^2)))+Inputs!$C$37*(0.55*SIN(2*PI()*((Inputs!$I$9+(((A93)+1)/2)*(Inputs!$J$9-Inputs!$I$9)))/Inputs!$C$39)+0.35*COS(2*PI()*(Inputs!$C$6)/Inputs!$C$40)+0.2*SIN(2*PI()*(((Inputs!$I$9+(((A93)+1)/2)*(Inputs!$J$9-Inputs!$I$9)))+(Inputs!$C$6))/(0.5*(Inputs!$C$39+Inputs!$C$40))))+Inputs!$C$38*SIN(2*PI()*((Inputs!$I$9+(((A93)+1)/2)*(Inputs!$J$9-Inputs!$I$9)))/Inputs!$C$39)*SIN(2*PI()*(Inputs!$C$6)/Inputs!$C$40)+-Inputs!$C$41*EXP(-(((Inputs!$C$6)-Inputs!$C$43)^2)/(2*Inputs!$C$44^2))*EXP(-((((Inputs!$I$9+(((A93)+1)/2)*(Inputs!$J$9-Inputs!$I$9)))-Inputs!$C$42)^2)/(2*Inputs!$C$45^2))+Inputs!$C$48*(0.7*(0.45*SIN(2*PI()*((((Inputs!$I$9+(((A93)+1)/2)*(Inputs!$J$9-Inputs!$I$9)))/Inputs!$C$49)+Inputs!$C$47*0.137))+0.35*COS(2*PI()*(((Inputs!$C$6)/Inputs!$C$50)+Inputs!$C$47*0.173))+0.2*SIN(2*PI()*((((Inputs!$I$9+(((A93)+1)/2)*(Inputs!$J$9-Inputs!$I$9)))+(Inputs!$C$6))/(0.5*(Inputs!$C$49+Inputs!$C$50))+Inputs!$C$47*0.097)))+0.3*(2*((SIN((((Inputs!$I$9+(((A93)+1)/2)*(Inputs!$J$9-Inputs!$I$9)))*12.9898+(Inputs!$C$6)*78.233+Inputs!$C$47*37.719))*43758.5453)-INT((SIN((((Inputs!$I$9+(((A93)+1)/2)*(Inputs!$J$9-Inputs!$I$9)))*12.9898+(Inputs!$C$6)*78.233+Inputs!$C$47*37.719))*43758.5453)))-1))),NA())</f>
        <v/>
      </c>
      <c r="AW93" s="10" t="n"/>
      <c r="AX93" s="9">
        <f>A93</f>
        <v/>
      </c>
      <c r="AY93" s="9">
        <f>0</f>
        <v/>
      </c>
      <c r="AZ93" s="9">
        <f>IF(OR(Inputs!$F$6=TRUE,Inputs!$F$6="TRUE",Inputs!$F$6=1),(Inputs!$H$6+Inputs!$L$6*(((Inputs!$I$6+(((A93)+1)/2)*(Inputs!$J$6-Inputs!$I$6)))/Inputs!$K$6)^2),NA())</f>
        <v/>
      </c>
      <c r="BA93" s="9">
        <f>IF(OR(Inputs!$F$7=TRUE,Inputs!$F$7="TRUE",Inputs!$F$7=1),(Inputs!$H$7+Inputs!$L$7*(((Inputs!$I$7+(((A93)+1)/2)*(Inputs!$J$7-Inputs!$I$7)))/Inputs!$K$7)^2),NA())</f>
        <v/>
      </c>
      <c r="BB93" s="9">
        <f>IF(OR(Inputs!$F$8=TRUE,Inputs!$F$8="TRUE",Inputs!$F$8=1),(Inputs!$H$8+Inputs!$L$8*(((Inputs!$I$8+(((A93)+1)/2)*(Inputs!$J$8-Inputs!$I$8)))/Inputs!$K$8)^2),NA())</f>
        <v/>
      </c>
      <c r="BC93" s="9">
        <f>IF(OR(Inputs!$F$9=TRUE,Inputs!$F$9="TRUE",Inputs!$F$9=1),(Inputs!$H$9+Inputs!$L$9*(((Inputs!$I$9+(((A93)+1)/2)*(Inputs!$J$9-Inputs!$I$9)))/Inputs!$K$9)^2),NA())</f>
        <v/>
      </c>
      <c r="BD93" s="10" t="n"/>
      <c r="BE93" s="9">
        <f>A93</f>
        <v/>
      </c>
      <c r="BF93" s="9">
        <f>0</f>
        <v/>
      </c>
      <c r="BG93" s="9">
        <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f>
        <v/>
      </c>
      <c r="BH93" s="9">
        <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f>
        <v/>
      </c>
      <c r="BI93" s="9">
        <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f>
        <v/>
      </c>
      <c r="BJ93" s="9">
        <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f>
        <v/>
      </c>
    </row>
    <row r="94">
      <c r="A94" s="9">
        <f>ROUND(-1+92*2/240,3)</f>
        <v/>
      </c>
      <c r="B94" s="9">
        <f>IF(OR(Inputs!$F$6=TRUE,Inputs!$F$6="TRUE",Inputs!$F$6=1),(Inputs!$H$6+Inputs!$L$6*(((Inputs!$I$6+(((A94)+1)/2)*(Inputs!$J$6-Inputs!$I$6)))/Inputs!$K$6)^2),NA())</f>
        <v/>
      </c>
      <c r="C94" s="9">
        <f>IF(OR(Inputs!$F$7=TRUE,Inputs!$F$7="TRUE",Inputs!$F$7=1),(Inputs!$H$7+Inputs!$L$7*(((Inputs!$I$7+(((A94)+1)/2)*(Inputs!$J$7-Inputs!$I$7)))/Inputs!$K$7)^2),NA())</f>
        <v/>
      </c>
      <c r="D94" s="9">
        <f>IF(OR(Inputs!$F$8=TRUE,Inputs!$F$8="TRUE",Inputs!$F$8=1),(Inputs!$H$8+Inputs!$L$8*(((Inputs!$I$8+(((A94)+1)/2)*(Inputs!$J$8-Inputs!$I$8)))/Inputs!$K$8)^2),NA())</f>
        <v/>
      </c>
      <c r="E94" s="9">
        <f>IF(OR(Inputs!$F$9=TRUE,Inputs!$F$9="TRUE",Inputs!$F$9=1),(Inputs!$H$9+Inputs!$L$9*(((Inputs!$I$9+(((A94)+1)/2)*(Inputs!$J$9-Inputs!$I$9)))/Inputs!$K$9)^2),NA())</f>
        <v/>
      </c>
      <c r="F94" s="10" t="n"/>
      <c r="G94" s="9">
        <f>A94</f>
        <v/>
      </c>
      <c r="H94" s="9">
        <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f>
        <v/>
      </c>
      <c r="I94" s="9">
        <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f>
        <v/>
      </c>
      <c r="J94" s="9">
        <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f>
        <v/>
      </c>
      <c r="K94" s="9">
        <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f>
        <v/>
      </c>
      <c r="L94" s="10" t="n"/>
      <c r="M94" s="9">
        <f>A94</f>
        <v/>
      </c>
      <c r="N94" s="9">
        <f>IF(OR(Inputs!$F$6=TRUE,Inputs!$F$6="TRUE",Inputs!$F$6=1),(-2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NA())</f>
        <v/>
      </c>
      <c r="O94" s="9">
        <f>IF(OR(Inputs!$F$7=TRUE,Inputs!$F$7="TRUE",Inputs!$F$7=1),(-2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NA())</f>
        <v/>
      </c>
      <c r="P94" s="9">
        <f>IF(OR(Inputs!$F$8=TRUE,Inputs!$F$8="TRUE",Inputs!$F$8=1),(-2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NA())</f>
        <v/>
      </c>
      <c r="Q94" s="9">
        <f>IF(OR(Inputs!$F$9=TRUE,Inputs!$F$9="TRUE",Inputs!$F$9=1),(-2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NA())</f>
        <v/>
      </c>
      <c r="R94" s="10" t="n"/>
      <c r="S94" s="9">
        <f>A94</f>
        <v/>
      </c>
      <c r="T94" s="9">
        <f>(Inputs!$I$6+(((A94)+1)/2)*(Inputs!$J$6-Inputs!$I$6))</f>
        <v/>
      </c>
      <c r="U94" s="9">
        <f>(Inputs!$I$7+(((A94)+1)/2)*(Inputs!$J$7-Inputs!$I$7))</f>
        <v/>
      </c>
      <c r="V94" s="9">
        <f>(Inputs!$I$8+(((A94)+1)/2)*(Inputs!$J$8-Inputs!$I$8))</f>
        <v/>
      </c>
      <c r="W94" s="9">
        <f>(Inputs!$I$9+(((A94)+1)/2)*(Inputs!$J$9-Inputs!$I$9))</f>
        <v/>
      </c>
      <c r="X94" s="10" t="n"/>
      <c r="Y94" s="9">
        <f>A94</f>
        <v/>
      </c>
      <c r="Z94" s="9">
        <f>(Inputs!$H$6+Inputs!$L$6*(((Inputs!$I$6+(((A94)+1)/2)*(Inputs!$J$6-Inputs!$I$6)))/Inputs!$K$6)^2)</f>
        <v/>
      </c>
      <c r="AA94" s="9">
        <f>(Inputs!$H$7+Inputs!$L$7*(((Inputs!$I$7+(((A94)+1)/2)*(Inputs!$J$7-Inputs!$I$7)))/Inputs!$K$7)^2)</f>
        <v/>
      </c>
      <c r="AB94" s="9">
        <f>(Inputs!$H$8+Inputs!$L$8*(((Inputs!$I$8+(((A94)+1)/2)*(Inputs!$J$8-Inputs!$I$8)))/Inputs!$K$8)^2)</f>
        <v/>
      </c>
      <c r="AC94" s="9">
        <f>(Inputs!$H$9+Inputs!$L$9*(((Inputs!$I$9+(((A94)+1)/2)*(Inputs!$J$9-Inputs!$I$9)))/Inputs!$K$9)^2)</f>
        <v/>
      </c>
      <c r="AD94" s="10" t="n"/>
      <c r="AE94" s="9">
        <f>A94</f>
        <v/>
      </c>
      <c r="AF94" s="9">
        <f>(((SQRT((Inputs!$C$52+((Inputs!$H$6+Inputs!$L$6*(((Inputs!$I$6+(((A94)+1)/2)*(Inputs!$J$6-Inputs!$I$6)))/Inputs!$K$6)^2)))^2+Inputs!$C$52^2-2*(Inputs!$C$52+((Inputs!$H$6+Inputs!$L$6*(((Inputs!$I$6+(((A94)+1)/2)*(Inputs!$J$6-Inputs!$I$6)))/Inputs!$K$6)^2)))*Inputs!$C$52*COS(SQRT(((Inputs!$I$6+(((A94)+1)/2)*(Inputs!$J$6-Inputs!$I$6)))^2+Inputs!$C$6^2)/Inputs!$C$52)))-((Inputs!$H$6+Inputs!$L$6*(((Inputs!$I$6+(((A94)+1)/2)*(Inputs!$J$6-Inputs!$I$6)))/Inputs!$K$6)^2)))*1000/Inputs!$C$12)</f>
        <v/>
      </c>
      <c r="AG94" s="9">
        <f>(((SQRT((Inputs!$C$52+((Inputs!$H$7+Inputs!$L$7*(((Inputs!$I$7+(((A94)+1)/2)*(Inputs!$J$7-Inputs!$I$7)))/Inputs!$K$7)^2)))^2+Inputs!$C$52^2-2*(Inputs!$C$52+((Inputs!$H$7+Inputs!$L$7*(((Inputs!$I$7+(((A94)+1)/2)*(Inputs!$J$7-Inputs!$I$7)))/Inputs!$K$7)^2)))*Inputs!$C$52*COS(SQRT(((Inputs!$I$7+(((A94)+1)/2)*(Inputs!$J$7-Inputs!$I$7)))^2+Inputs!$C$6^2)/Inputs!$C$52)))-((Inputs!$H$7+Inputs!$L$7*(((Inputs!$I$7+(((A94)+1)/2)*(Inputs!$J$7-Inputs!$I$7)))/Inputs!$K$7)^2)))*1000/Inputs!$C$12)</f>
        <v/>
      </c>
      <c r="AH94" s="9">
        <f>(((SQRT((Inputs!$C$52+((Inputs!$H$8+Inputs!$L$8*(((Inputs!$I$8+(((A94)+1)/2)*(Inputs!$J$8-Inputs!$I$8)))/Inputs!$K$8)^2)))^2+Inputs!$C$52^2-2*(Inputs!$C$52+((Inputs!$H$8+Inputs!$L$8*(((Inputs!$I$8+(((A94)+1)/2)*(Inputs!$J$8-Inputs!$I$8)))/Inputs!$K$8)^2)))*Inputs!$C$52*COS(SQRT(((Inputs!$I$8+(((A94)+1)/2)*(Inputs!$J$8-Inputs!$I$8)))^2+Inputs!$C$6^2)/Inputs!$C$52)))-((Inputs!$H$8+Inputs!$L$8*(((Inputs!$I$8+(((A94)+1)/2)*(Inputs!$J$8-Inputs!$I$8)))/Inputs!$K$8)^2)))*1000/Inputs!$C$12)</f>
        <v/>
      </c>
      <c r="AI94" s="9">
        <f>(((SQRT((Inputs!$C$52+((Inputs!$H$9+Inputs!$L$9*(((Inputs!$I$9+(((A94)+1)/2)*(Inputs!$J$9-Inputs!$I$9)))/Inputs!$K$9)^2)))^2+Inputs!$C$52^2-2*(Inputs!$C$52+((Inputs!$H$9+Inputs!$L$9*(((Inputs!$I$9+(((A94)+1)/2)*(Inputs!$J$9-Inputs!$I$9)))/Inputs!$K$9)^2)))*Inputs!$C$52*COS(SQRT(((Inputs!$I$9+(((A94)+1)/2)*(Inputs!$J$9-Inputs!$I$9)))^2+Inputs!$C$6^2)/Inputs!$C$52)))-((Inputs!$H$9+Inputs!$L$9*(((Inputs!$I$9+(((A94)+1)/2)*(Inputs!$J$9-Inputs!$I$9)))/Inputs!$K$9)^2)))*1000/Inputs!$C$12)</f>
        <v/>
      </c>
      <c r="AJ94" s="10" t="n"/>
      <c r="AK94" s="9">
        <f>A94</f>
        <v/>
      </c>
      <c r="AL94" s="9">
        <f>(-2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f>
        <v/>
      </c>
      <c r="AM94" s="9">
        <f>(-2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f>
        <v/>
      </c>
      <c r="AN94" s="9">
        <f>(-2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f>
        <v/>
      </c>
      <c r="AO94" s="9">
        <f>(-2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f>
        <v/>
      </c>
      <c r="AP94" s="10" t="n"/>
      <c r="AQ94" s="9">
        <f>A94</f>
        <v/>
      </c>
      <c r="AR94" s="9">
        <f>0</f>
        <v/>
      </c>
      <c r="AS94" s="9">
        <f>IF(OR(Inputs!$F$6=TRUE,Inputs!$F$6="TRUE",Inputs!$F$6=1),IF(OR(Inputs!$C$27=TRUE,Inputs!$C$27="TRUE",Inputs!$C$27=1),1,0)*(Inputs!$C$51*(115*EXP(-(((Inputs!$C$6)-25)^2)/(4.5^2))+70*EXP(-(((Inputs!$C$6)+38)^2)/(7^2))*(0.55+0.45*SIN(2*PI()*((Inputs!$I$6+(((A94)+1)/2)*(Inputs!$J$6-Inputs!$I$6)))/45))+24*SIN(2*PI()*(Inputs!$C$6)/9+((Inputs!$I$6+(((A94)+1)/2)*(Inputs!$J$6-Inputs!$I$6)))/18)*EXP(-(((Inputs!$C$6)+5)^2)/(22^2))+18*SIN(2*PI()*((Inputs!$I$6+(((A94)+1)/2)*(Inputs!$J$6-Inputs!$I$6)))/70))+Inputs!$C$28*EXP(-((((Inputs!$I$6+(((A94)+1)/2)*(Inputs!$J$6-Inputs!$I$6)))-Inputs!$C$29)^2)/(2*Inputs!$C$31^2))*EXP(-(((Inputs!$C$6)-Inputs!$C$30)^2)/(2*Inputs!$C$32^2))+-Inputs!$C$33*EXP(-((((((Inputs!$I$6+(((A94)+1)/2)*(Inputs!$J$6-Inputs!$I$6)))-Inputs!$C$34)^2)+(((Inputs!$C$6)-Inputs!$C$35)^2))/(2*Inputs!$C$36^2)))+Inputs!$C$37*(0.55*SIN(2*PI()*((Inputs!$I$6+(((A94)+1)/2)*(Inputs!$J$6-Inputs!$I$6)))/Inputs!$C$39)+0.35*COS(2*PI()*(Inputs!$C$6)/Inputs!$C$40)+0.2*SIN(2*PI()*(((Inputs!$I$6+(((A94)+1)/2)*(Inputs!$J$6-Inputs!$I$6)))+(Inputs!$C$6))/(0.5*(Inputs!$C$39+Inputs!$C$40))))+Inputs!$C$38*SIN(2*PI()*((Inputs!$I$6+(((A94)+1)/2)*(Inputs!$J$6-Inputs!$I$6)))/Inputs!$C$39)*SIN(2*PI()*(Inputs!$C$6)/Inputs!$C$40)+-Inputs!$C$41*EXP(-(((Inputs!$C$6)-Inputs!$C$43)^2)/(2*Inputs!$C$44^2))*EXP(-((((Inputs!$I$6+(((A94)+1)/2)*(Inputs!$J$6-Inputs!$I$6)))-Inputs!$C$42)^2)/(2*Inputs!$C$45^2))+Inputs!$C$48*(0.7*(0.45*SIN(2*PI()*((((Inputs!$I$6+(((A94)+1)/2)*(Inputs!$J$6-Inputs!$I$6)))/Inputs!$C$49)+Inputs!$C$47*0.137))+0.35*COS(2*PI()*(((Inputs!$C$6)/Inputs!$C$50)+Inputs!$C$47*0.173))+0.2*SIN(2*PI()*((((Inputs!$I$6+(((A94)+1)/2)*(Inputs!$J$6-Inputs!$I$6)))+(Inputs!$C$6))/(0.5*(Inputs!$C$49+Inputs!$C$50))+Inputs!$C$47*0.097)))+0.3*(2*((SIN((((Inputs!$I$6+(((A94)+1)/2)*(Inputs!$J$6-Inputs!$I$6)))*12.9898+(Inputs!$C$6)*78.233+Inputs!$C$47*37.719))*43758.5453)-INT((SIN((((Inputs!$I$6+(((A94)+1)/2)*(Inputs!$J$6-Inputs!$I$6)))*12.9898+(Inputs!$C$6)*78.233+Inputs!$C$47*37.719))*43758.5453)))-1))),NA())</f>
        <v/>
      </c>
      <c r="AT94" s="9">
        <f>IF(OR(Inputs!$F$7=TRUE,Inputs!$F$7="TRUE",Inputs!$F$7=1),IF(OR(Inputs!$C$27=TRUE,Inputs!$C$27="TRUE",Inputs!$C$27=1),1,0)*(Inputs!$C$51*(115*EXP(-(((Inputs!$C$6)-25)^2)/(4.5^2))+70*EXP(-(((Inputs!$C$6)+38)^2)/(7^2))*(0.55+0.45*SIN(2*PI()*((Inputs!$I$7+(((A94)+1)/2)*(Inputs!$J$7-Inputs!$I$7)))/45))+24*SIN(2*PI()*(Inputs!$C$6)/9+((Inputs!$I$7+(((A94)+1)/2)*(Inputs!$J$7-Inputs!$I$7)))/18)*EXP(-(((Inputs!$C$6)+5)^2)/(22^2))+18*SIN(2*PI()*((Inputs!$I$7+(((A94)+1)/2)*(Inputs!$J$7-Inputs!$I$7)))/70))+Inputs!$C$28*EXP(-((((Inputs!$I$7+(((A94)+1)/2)*(Inputs!$J$7-Inputs!$I$7)))-Inputs!$C$29)^2)/(2*Inputs!$C$31^2))*EXP(-(((Inputs!$C$6)-Inputs!$C$30)^2)/(2*Inputs!$C$32^2))+-Inputs!$C$33*EXP(-((((((Inputs!$I$7+(((A94)+1)/2)*(Inputs!$J$7-Inputs!$I$7)))-Inputs!$C$34)^2)+(((Inputs!$C$6)-Inputs!$C$35)^2))/(2*Inputs!$C$36^2)))+Inputs!$C$37*(0.55*SIN(2*PI()*((Inputs!$I$7+(((A94)+1)/2)*(Inputs!$J$7-Inputs!$I$7)))/Inputs!$C$39)+0.35*COS(2*PI()*(Inputs!$C$6)/Inputs!$C$40)+0.2*SIN(2*PI()*(((Inputs!$I$7+(((A94)+1)/2)*(Inputs!$J$7-Inputs!$I$7)))+(Inputs!$C$6))/(0.5*(Inputs!$C$39+Inputs!$C$40))))+Inputs!$C$38*SIN(2*PI()*((Inputs!$I$7+(((A94)+1)/2)*(Inputs!$J$7-Inputs!$I$7)))/Inputs!$C$39)*SIN(2*PI()*(Inputs!$C$6)/Inputs!$C$40)+-Inputs!$C$41*EXP(-(((Inputs!$C$6)-Inputs!$C$43)^2)/(2*Inputs!$C$44^2))*EXP(-((((Inputs!$I$7+(((A94)+1)/2)*(Inputs!$J$7-Inputs!$I$7)))-Inputs!$C$42)^2)/(2*Inputs!$C$45^2))+Inputs!$C$48*(0.7*(0.45*SIN(2*PI()*((((Inputs!$I$7+(((A94)+1)/2)*(Inputs!$J$7-Inputs!$I$7)))/Inputs!$C$49)+Inputs!$C$47*0.137))+0.35*COS(2*PI()*(((Inputs!$C$6)/Inputs!$C$50)+Inputs!$C$47*0.173))+0.2*SIN(2*PI()*((((Inputs!$I$7+(((A94)+1)/2)*(Inputs!$J$7-Inputs!$I$7)))+(Inputs!$C$6))/(0.5*(Inputs!$C$49+Inputs!$C$50))+Inputs!$C$47*0.097)))+0.3*(2*((SIN((((Inputs!$I$7+(((A94)+1)/2)*(Inputs!$J$7-Inputs!$I$7)))*12.9898+(Inputs!$C$6)*78.233+Inputs!$C$47*37.719))*43758.5453)-INT((SIN((((Inputs!$I$7+(((A94)+1)/2)*(Inputs!$J$7-Inputs!$I$7)))*12.9898+(Inputs!$C$6)*78.233+Inputs!$C$47*37.719))*43758.5453)))-1))),NA())</f>
        <v/>
      </c>
      <c r="AU94" s="9">
        <f>IF(OR(Inputs!$F$8=TRUE,Inputs!$F$8="TRUE",Inputs!$F$8=1),IF(OR(Inputs!$C$27=TRUE,Inputs!$C$27="TRUE",Inputs!$C$27=1),1,0)*(Inputs!$C$51*(115*EXP(-(((Inputs!$C$6)-25)^2)/(4.5^2))+70*EXP(-(((Inputs!$C$6)+38)^2)/(7^2))*(0.55+0.45*SIN(2*PI()*((Inputs!$I$8+(((A94)+1)/2)*(Inputs!$J$8-Inputs!$I$8)))/45))+24*SIN(2*PI()*(Inputs!$C$6)/9+((Inputs!$I$8+(((A94)+1)/2)*(Inputs!$J$8-Inputs!$I$8)))/18)*EXP(-(((Inputs!$C$6)+5)^2)/(22^2))+18*SIN(2*PI()*((Inputs!$I$8+(((A94)+1)/2)*(Inputs!$J$8-Inputs!$I$8)))/70))+Inputs!$C$28*EXP(-((((Inputs!$I$8+(((A94)+1)/2)*(Inputs!$J$8-Inputs!$I$8)))-Inputs!$C$29)^2)/(2*Inputs!$C$31^2))*EXP(-(((Inputs!$C$6)-Inputs!$C$30)^2)/(2*Inputs!$C$32^2))+-Inputs!$C$33*EXP(-((((((Inputs!$I$8+(((A94)+1)/2)*(Inputs!$J$8-Inputs!$I$8)))-Inputs!$C$34)^2)+(((Inputs!$C$6)-Inputs!$C$35)^2))/(2*Inputs!$C$36^2)))+Inputs!$C$37*(0.55*SIN(2*PI()*((Inputs!$I$8+(((A94)+1)/2)*(Inputs!$J$8-Inputs!$I$8)))/Inputs!$C$39)+0.35*COS(2*PI()*(Inputs!$C$6)/Inputs!$C$40)+0.2*SIN(2*PI()*(((Inputs!$I$8+(((A94)+1)/2)*(Inputs!$J$8-Inputs!$I$8)))+(Inputs!$C$6))/(0.5*(Inputs!$C$39+Inputs!$C$40))))+Inputs!$C$38*SIN(2*PI()*((Inputs!$I$8+(((A94)+1)/2)*(Inputs!$J$8-Inputs!$I$8)))/Inputs!$C$39)*SIN(2*PI()*(Inputs!$C$6)/Inputs!$C$40)+-Inputs!$C$41*EXP(-(((Inputs!$C$6)-Inputs!$C$43)^2)/(2*Inputs!$C$44^2))*EXP(-((((Inputs!$I$8+(((A94)+1)/2)*(Inputs!$J$8-Inputs!$I$8)))-Inputs!$C$42)^2)/(2*Inputs!$C$45^2))+Inputs!$C$48*(0.7*(0.45*SIN(2*PI()*((((Inputs!$I$8+(((A94)+1)/2)*(Inputs!$J$8-Inputs!$I$8)))/Inputs!$C$49)+Inputs!$C$47*0.137))+0.35*COS(2*PI()*(((Inputs!$C$6)/Inputs!$C$50)+Inputs!$C$47*0.173))+0.2*SIN(2*PI()*((((Inputs!$I$8+(((A94)+1)/2)*(Inputs!$J$8-Inputs!$I$8)))+(Inputs!$C$6))/(0.5*(Inputs!$C$49+Inputs!$C$50))+Inputs!$C$47*0.097)))+0.3*(2*((SIN((((Inputs!$I$8+(((A94)+1)/2)*(Inputs!$J$8-Inputs!$I$8)))*12.9898+(Inputs!$C$6)*78.233+Inputs!$C$47*37.719))*43758.5453)-INT((SIN((((Inputs!$I$8+(((A94)+1)/2)*(Inputs!$J$8-Inputs!$I$8)))*12.9898+(Inputs!$C$6)*78.233+Inputs!$C$47*37.719))*43758.5453)))-1))),NA())</f>
        <v/>
      </c>
      <c r="AV94" s="9">
        <f>IF(OR(Inputs!$F$9=TRUE,Inputs!$F$9="TRUE",Inputs!$F$9=1),IF(OR(Inputs!$C$27=TRUE,Inputs!$C$27="TRUE",Inputs!$C$27=1),1,0)*(Inputs!$C$51*(115*EXP(-(((Inputs!$C$6)-25)^2)/(4.5^2))+70*EXP(-(((Inputs!$C$6)+38)^2)/(7^2))*(0.55+0.45*SIN(2*PI()*((Inputs!$I$9+(((A94)+1)/2)*(Inputs!$J$9-Inputs!$I$9)))/45))+24*SIN(2*PI()*(Inputs!$C$6)/9+((Inputs!$I$9+(((A94)+1)/2)*(Inputs!$J$9-Inputs!$I$9)))/18)*EXP(-(((Inputs!$C$6)+5)^2)/(22^2))+18*SIN(2*PI()*((Inputs!$I$9+(((A94)+1)/2)*(Inputs!$J$9-Inputs!$I$9)))/70))+Inputs!$C$28*EXP(-((((Inputs!$I$9+(((A94)+1)/2)*(Inputs!$J$9-Inputs!$I$9)))-Inputs!$C$29)^2)/(2*Inputs!$C$31^2))*EXP(-(((Inputs!$C$6)-Inputs!$C$30)^2)/(2*Inputs!$C$32^2))+-Inputs!$C$33*EXP(-((((((Inputs!$I$9+(((A94)+1)/2)*(Inputs!$J$9-Inputs!$I$9)))-Inputs!$C$34)^2)+(((Inputs!$C$6)-Inputs!$C$35)^2))/(2*Inputs!$C$36^2)))+Inputs!$C$37*(0.55*SIN(2*PI()*((Inputs!$I$9+(((A94)+1)/2)*(Inputs!$J$9-Inputs!$I$9)))/Inputs!$C$39)+0.35*COS(2*PI()*(Inputs!$C$6)/Inputs!$C$40)+0.2*SIN(2*PI()*(((Inputs!$I$9+(((A94)+1)/2)*(Inputs!$J$9-Inputs!$I$9)))+(Inputs!$C$6))/(0.5*(Inputs!$C$39+Inputs!$C$40))))+Inputs!$C$38*SIN(2*PI()*((Inputs!$I$9+(((A94)+1)/2)*(Inputs!$J$9-Inputs!$I$9)))/Inputs!$C$39)*SIN(2*PI()*(Inputs!$C$6)/Inputs!$C$40)+-Inputs!$C$41*EXP(-(((Inputs!$C$6)-Inputs!$C$43)^2)/(2*Inputs!$C$44^2))*EXP(-((((Inputs!$I$9+(((A94)+1)/2)*(Inputs!$J$9-Inputs!$I$9)))-Inputs!$C$42)^2)/(2*Inputs!$C$45^2))+Inputs!$C$48*(0.7*(0.45*SIN(2*PI()*((((Inputs!$I$9+(((A94)+1)/2)*(Inputs!$J$9-Inputs!$I$9)))/Inputs!$C$49)+Inputs!$C$47*0.137))+0.35*COS(2*PI()*(((Inputs!$C$6)/Inputs!$C$50)+Inputs!$C$47*0.173))+0.2*SIN(2*PI()*((((Inputs!$I$9+(((A94)+1)/2)*(Inputs!$J$9-Inputs!$I$9)))+(Inputs!$C$6))/(0.5*(Inputs!$C$49+Inputs!$C$50))+Inputs!$C$47*0.097)))+0.3*(2*((SIN((((Inputs!$I$9+(((A94)+1)/2)*(Inputs!$J$9-Inputs!$I$9)))*12.9898+(Inputs!$C$6)*78.233+Inputs!$C$47*37.719))*43758.5453)-INT((SIN((((Inputs!$I$9+(((A94)+1)/2)*(Inputs!$J$9-Inputs!$I$9)))*12.9898+(Inputs!$C$6)*78.233+Inputs!$C$47*37.719))*43758.5453)))-1))),NA())</f>
        <v/>
      </c>
      <c r="AW94" s="10" t="n"/>
      <c r="AX94" s="9">
        <f>A94</f>
        <v/>
      </c>
      <c r="AY94" s="9">
        <f>0</f>
        <v/>
      </c>
      <c r="AZ94" s="9">
        <f>IF(OR(Inputs!$F$6=TRUE,Inputs!$F$6="TRUE",Inputs!$F$6=1),(Inputs!$H$6+Inputs!$L$6*(((Inputs!$I$6+(((A94)+1)/2)*(Inputs!$J$6-Inputs!$I$6)))/Inputs!$K$6)^2),NA())</f>
        <v/>
      </c>
      <c r="BA94" s="9">
        <f>IF(OR(Inputs!$F$7=TRUE,Inputs!$F$7="TRUE",Inputs!$F$7=1),(Inputs!$H$7+Inputs!$L$7*(((Inputs!$I$7+(((A94)+1)/2)*(Inputs!$J$7-Inputs!$I$7)))/Inputs!$K$7)^2),NA())</f>
        <v/>
      </c>
      <c r="BB94" s="9">
        <f>IF(OR(Inputs!$F$8=TRUE,Inputs!$F$8="TRUE",Inputs!$F$8=1),(Inputs!$H$8+Inputs!$L$8*(((Inputs!$I$8+(((A94)+1)/2)*(Inputs!$J$8-Inputs!$I$8)))/Inputs!$K$8)^2),NA())</f>
        <v/>
      </c>
      <c r="BC94" s="9">
        <f>IF(OR(Inputs!$F$9=TRUE,Inputs!$F$9="TRUE",Inputs!$F$9=1),(Inputs!$H$9+Inputs!$L$9*(((Inputs!$I$9+(((A94)+1)/2)*(Inputs!$J$9-Inputs!$I$9)))/Inputs!$K$9)^2),NA())</f>
        <v/>
      </c>
      <c r="BD94" s="10" t="n"/>
      <c r="BE94" s="9">
        <f>A94</f>
        <v/>
      </c>
      <c r="BF94" s="9">
        <f>0</f>
        <v/>
      </c>
      <c r="BG94" s="9">
        <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f>
        <v/>
      </c>
      <c r="BH94" s="9">
        <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f>
        <v/>
      </c>
      <c r="BI94" s="9">
        <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f>
        <v/>
      </c>
      <c r="BJ94" s="9">
        <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f>
        <v/>
      </c>
    </row>
    <row r="95">
      <c r="A95" s="9">
        <f>ROUND(-1+93*2/240,3)</f>
        <v/>
      </c>
      <c r="B95" s="9">
        <f>IF(OR(Inputs!$F$6=TRUE,Inputs!$F$6="TRUE",Inputs!$F$6=1),(Inputs!$H$6+Inputs!$L$6*(((Inputs!$I$6+(((A95)+1)/2)*(Inputs!$J$6-Inputs!$I$6)))/Inputs!$K$6)^2),NA())</f>
        <v/>
      </c>
      <c r="C95" s="9">
        <f>IF(OR(Inputs!$F$7=TRUE,Inputs!$F$7="TRUE",Inputs!$F$7=1),(Inputs!$H$7+Inputs!$L$7*(((Inputs!$I$7+(((A95)+1)/2)*(Inputs!$J$7-Inputs!$I$7)))/Inputs!$K$7)^2),NA())</f>
        <v/>
      </c>
      <c r="D95" s="9">
        <f>IF(OR(Inputs!$F$8=TRUE,Inputs!$F$8="TRUE",Inputs!$F$8=1),(Inputs!$H$8+Inputs!$L$8*(((Inputs!$I$8+(((A95)+1)/2)*(Inputs!$J$8-Inputs!$I$8)))/Inputs!$K$8)^2),NA())</f>
        <v/>
      </c>
      <c r="E95" s="9">
        <f>IF(OR(Inputs!$F$9=TRUE,Inputs!$F$9="TRUE",Inputs!$F$9=1),(Inputs!$H$9+Inputs!$L$9*(((Inputs!$I$9+(((A95)+1)/2)*(Inputs!$J$9-Inputs!$I$9)))/Inputs!$K$9)^2),NA())</f>
        <v/>
      </c>
      <c r="F95" s="10" t="n"/>
      <c r="G95" s="9">
        <f>A95</f>
        <v/>
      </c>
      <c r="H95" s="9">
        <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f>
        <v/>
      </c>
      <c r="I95" s="9">
        <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f>
        <v/>
      </c>
      <c r="J95" s="9">
        <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f>
        <v/>
      </c>
      <c r="K95" s="9">
        <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f>
        <v/>
      </c>
      <c r="L95" s="10" t="n"/>
      <c r="M95" s="9">
        <f>A95</f>
        <v/>
      </c>
      <c r="N95" s="9">
        <f>IF(OR(Inputs!$F$6=TRUE,Inputs!$F$6="TRUE",Inputs!$F$6=1),(-2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NA())</f>
        <v/>
      </c>
      <c r="O95" s="9">
        <f>IF(OR(Inputs!$F$7=TRUE,Inputs!$F$7="TRUE",Inputs!$F$7=1),(-2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NA())</f>
        <v/>
      </c>
      <c r="P95" s="9">
        <f>IF(OR(Inputs!$F$8=TRUE,Inputs!$F$8="TRUE",Inputs!$F$8=1),(-2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NA())</f>
        <v/>
      </c>
      <c r="Q95" s="9">
        <f>IF(OR(Inputs!$F$9=TRUE,Inputs!$F$9="TRUE",Inputs!$F$9=1),(-2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NA())</f>
        <v/>
      </c>
      <c r="R95" s="10" t="n"/>
      <c r="S95" s="9">
        <f>A95</f>
        <v/>
      </c>
      <c r="T95" s="9">
        <f>(Inputs!$I$6+(((A95)+1)/2)*(Inputs!$J$6-Inputs!$I$6))</f>
        <v/>
      </c>
      <c r="U95" s="9">
        <f>(Inputs!$I$7+(((A95)+1)/2)*(Inputs!$J$7-Inputs!$I$7))</f>
        <v/>
      </c>
      <c r="V95" s="9">
        <f>(Inputs!$I$8+(((A95)+1)/2)*(Inputs!$J$8-Inputs!$I$8))</f>
        <v/>
      </c>
      <c r="W95" s="9">
        <f>(Inputs!$I$9+(((A95)+1)/2)*(Inputs!$J$9-Inputs!$I$9))</f>
        <v/>
      </c>
      <c r="X95" s="10" t="n"/>
      <c r="Y95" s="9">
        <f>A95</f>
        <v/>
      </c>
      <c r="Z95" s="9">
        <f>(Inputs!$H$6+Inputs!$L$6*(((Inputs!$I$6+(((A95)+1)/2)*(Inputs!$J$6-Inputs!$I$6)))/Inputs!$K$6)^2)</f>
        <v/>
      </c>
      <c r="AA95" s="9">
        <f>(Inputs!$H$7+Inputs!$L$7*(((Inputs!$I$7+(((A95)+1)/2)*(Inputs!$J$7-Inputs!$I$7)))/Inputs!$K$7)^2)</f>
        <v/>
      </c>
      <c r="AB95" s="9">
        <f>(Inputs!$H$8+Inputs!$L$8*(((Inputs!$I$8+(((A95)+1)/2)*(Inputs!$J$8-Inputs!$I$8)))/Inputs!$K$8)^2)</f>
        <v/>
      </c>
      <c r="AC95" s="9">
        <f>(Inputs!$H$9+Inputs!$L$9*(((Inputs!$I$9+(((A95)+1)/2)*(Inputs!$J$9-Inputs!$I$9)))/Inputs!$K$9)^2)</f>
        <v/>
      </c>
      <c r="AD95" s="10" t="n"/>
      <c r="AE95" s="9">
        <f>A95</f>
        <v/>
      </c>
      <c r="AF95" s="9">
        <f>(((SQRT((Inputs!$C$52+((Inputs!$H$6+Inputs!$L$6*(((Inputs!$I$6+(((A95)+1)/2)*(Inputs!$J$6-Inputs!$I$6)))/Inputs!$K$6)^2)))^2+Inputs!$C$52^2-2*(Inputs!$C$52+((Inputs!$H$6+Inputs!$L$6*(((Inputs!$I$6+(((A95)+1)/2)*(Inputs!$J$6-Inputs!$I$6)))/Inputs!$K$6)^2)))*Inputs!$C$52*COS(SQRT(((Inputs!$I$6+(((A95)+1)/2)*(Inputs!$J$6-Inputs!$I$6)))^2+Inputs!$C$6^2)/Inputs!$C$52)))-((Inputs!$H$6+Inputs!$L$6*(((Inputs!$I$6+(((A95)+1)/2)*(Inputs!$J$6-Inputs!$I$6)))/Inputs!$K$6)^2)))*1000/Inputs!$C$12)</f>
        <v/>
      </c>
      <c r="AG95" s="9">
        <f>(((SQRT((Inputs!$C$52+((Inputs!$H$7+Inputs!$L$7*(((Inputs!$I$7+(((A95)+1)/2)*(Inputs!$J$7-Inputs!$I$7)))/Inputs!$K$7)^2)))^2+Inputs!$C$52^2-2*(Inputs!$C$52+((Inputs!$H$7+Inputs!$L$7*(((Inputs!$I$7+(((A95)+1)/2)*(Inputs!$J$7-Inputs!$I$7)))/Inputs!$K$7)^2)))*Inputs!$C$52*COS(SQRT(((Inputs!$I$7+(((A95)+1)/2)*(Inputs!$J$7-Inputs!$I$7)))^2+Inputs!$C$6^2)/Inputs!$C$52)))-((Inputs!$H$7+Inputs!$L$7*(((Inputs!$I$7+(((A95)+1)/2)*(Inputs!$J$7-Inputs!$I$7)))/Inputs!$K$7)^2)))*1000/Inputs!$C$12)</f>
        <v/>
      </c>
      <c r="AH95" s="9">
        <f>(((SQRT((Inputs!$C$52+((Inputs!$H$8+Inputs!$L$8*(((Inputs!$I$8+(((A95)+1)/2)*(Inputs!$J$8-Inputs!$I$8)))/Inputs!$K$8)^2)))^2+Inputs!$C$52^2-2*(Inputs!$C$52+((Inputs!$H$8+Inputs!$L$8*(((Inputs!$I$8+(((A95)+1)/2)*(Inputs!$J$8-Inputs!$I$8)))/Inputs!$K$8)^2)))*Inputs!$C$52*COS(SQRT(((Inputs!$I$8+(((A95)+1)/2)*(Inputs!$J$8-Inputs!$I$8)))^2+Inputs!$C$6^2)/Inputs!$C$52)))-((Inputs!$H$8+Inputs!$L$8*(((Inputs!$I$8+(((A95)+1)/2)*(Inputs!$J$8-Inputs!$I$8)))/Inputs!$K$8)^2)))*1000/Inputs!$C$12)</f>
        <v/>
      </c>
      <c r="AI95" s="9">
        <f>(((SQRT((Inputs!$C$52+((Inputs!$H$9+Inputs!$L$9*(((Inputs!$I$9+(((A95)+1)/2)*(Inputs!$J$9-Inputs!$I$9)))/Inputs!$K$9)^2)))^2+Inputs!$C$52^2-2*(Inputs!$C$52+((Inputs!$H$9+Inputs!$L$9*(((Inputs!$I$9+(((A95)+1)/2)*(Inputs!$J$9-Inputs!$I$9)))/Inputs!$K$9)^2)))*Inputs!$C$52*COS(SQRT(((Inputs!$I$9+(((A95)+1)/2)*(Inputs!$J$9-Inputs!$I$9)))^2+Inputs!$C$6^2)/Inputs!$C$52)))-((Inputs!$H$9+Inputs!$L$9*(((Inputs!$I$9+(((A95)+1)/2)*(Inputs!$J$9-Inputs!$I$9)))/Inputs!$K$9)^2)))*1000/Inputs!$C$12)</f>
        <v/>
      </c>
      <c r="AJ95" s="10" t="n"/>
      <c r="AK95" s="9">
        <f>A95</f>
        <v/>
      </c>
      <c r="AL95" s="9">
        <f>(-2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f>
        <v/>
      </c>
      <c r="AM95" s="9">
        <f>(-2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f>
        <v/>
      </c>
      <c r="AN95" s="9">
        <f>(-2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f>
        <v/>
      </c>
      <c r="AO95" s="9">
        <f>(-2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f>
        <v/>
      </c>
      <c r="AP95" s="10" t="n"/>
      <c r="AQ95" s="9">
        <f>A95</f>
        <v/>
      </c>
      <c r="AR95" s="9">
        <f>0</f>
        <v/>
      </c>
      <c r="AS95" s="9">
        <f>IF(OR(Inputs!$F$6=TRUE,Inputs!$F$6="TRUE",Inputs!$F$6=1),IF(OR(Inputs!$C$27=TRUE,Inputs!$C$27="TRUE",Inputs!$C$27=1),1,0)*(Inputs!$C$51*(115*EXP(-(((Inputs!$C$6)-25)^2)/(4.5^2))+70*EXP(-(((Inputs!$C$6)+38)^2)/(7^2))*(0.55+0.45*SIN(2*PI()*((Inputs!$I$6+(((A95)+1)/2)*(Inputs!$J$6-Inputs!$I$6)))/45))+24*SIN(2*PI()*(Inputs!$C$6)/9+((Inputs!$I$6+(((A95)+1)/2)*(Inputs!$J$6-Inputs!$I$6)))/18)*EXP(-(((Inputs!$C$6)+5)^2)/(22^2))+18*SIN(2*PI()*((Inputs!$I$6+(((A95)+1)/2)*(Inputs!$J$6-Inputs!$I$6)))/70))+Inputs!$C$28*EXP(-((((Inputs!$I$6+(((A95)+1)/2)*(Inputs!$J$6-Inputs!$I$6)))-Inputs!$C$29)^2)/(2*Inputs!$C$31^2))*EXP(-(((Inputs!$C$6)-Inputs!$C$30)^2)/(2*Inputs!$C$32^2))+-Inputs!$C$33*EXP(-((((((Inputs!$I$6+(((A95)+1)/2)*(Inputs!$J$6-Inputs!$I$6)))-Inputs!$C$34)^2)+(((Inputs!$C$6)-Inputs!$C$35)^2))/(2*Inputs!$C$36^2)))+Inputs!$C$37*(0.55*SIN(2*PI()*((Inputs!$I$6+(((A95)+1)/2)*(Inputs!$J$6-Inputs!$I$6)))/Inputs!$C$39)+0.35*COS(2*PI()*(Inputs!$C$6)/Inputs!$C$40)+0.2*SIN(2*PI()*(((Inputs!$I$6+(((A95)+1)/2)*(Inputs!$J$6-Inputs!$I$6)))+(Inputs!$C$6))/(0.5*(Inputs!$C$39+Inputs!$C$40))))+Inputs!$C$38*SIN(2*PI()*((Inputs!$I$6+(((A95)+1)/2)*(Inputs!$J$6-Inputs!$I$6)))/Inputs!$C$39)*SIN(2*PI()*(Inputs!$C$6)/Inputs!$C$40)+-Inputs!$C$41*EXP(-(((Inputs!$C$6)-Inputs!$C$43)^2)/(2*Inputs!$C$44^2))*EXP(-((((Inputs!$I$6+(((A95)+1)/2)*(Inputs!$J$6-Inputs!$I$6)))-Inputs!$C$42)^2)/(2*Inputs!$C$45^2))+Inputs!$C$48*(0.7*(0.45*SIN(2*PI()*((((Inputs!$I$6+(((A95)+1)/2)*(Inputs!$J$6-Inputs!$I$6)))/Inputs!$C$49)+Inputs!$C$47*0.137))+0.35*COS(2*PI()*(((Inputs!$C$6)/Inputs!$C$50)+Inputs!$C$47*0.173))+0.2*SIN(2*PI()*((((Inputs!$I$6+(((A95)+1)/2)*(Inputs!$J$6-Inputs!$I$6)))+(Inputs!$C$6))/(0.5*(Inputs!$C$49+Inputs!$C$50))+Inputs!$C$47*0.097)))+0.3*(2*((SIN((((Inputs!$I$6+(((A95)+1)/2)*(Inputs!$J$6-Inputs!$I$6)))*12.9898+(Inputs!$C$6)*78.233+Inputs!$C$47*37.719))*43758.5453)-INT((SIN((((Inputs!$I$6+(((A95)+1)/2)*(Inputs!$J$6-Inputs!$I$6)))*12.9898+(Inputs!$C$6)*78.233+Inputs!$C$47*37.719))*43758.5453)))-1))),NA())</f>
        <v/>
      </c>
      <c r="AT95" s="9">
        <f>IF(OR(Inputs!$F$7=TRUE,Inputs!$F$7="TRUE",Inputs!$F$7=1),IF(OR(Inputs!$C$27=TRUE,Inputs!$C$27="TRUE",Inputs!$C$27=1),1,0)*(Inputs!$C$51*(115*EXP(-(((Inputs!$C$6)-25)^2)/(4.5^2))+70*EXP(-(((Inputs!$C$6)+38)^2)/(7^2))*(0.55+0.45*SIN(2*PI()*((Inputs!$I$7+(((A95)+1)/2)*(Inputs!$J$7-Inputs!$I$7)))/45))+24*SIN(2*PI()*(Inputs!$C$6)/9+((Inputs!$I$7+(((A95)+1)/2)*(Inputs!$J$7-Inputs!$I$7)))/18)*EXP(-(((Inputs!$C$6)+5)^2)/(22^2))+18*SIN(2*PI()*((Inputs!$I$7+(((A95)+1)/2)*(Inputs!$J$7-Inputs!$I$7)))/70))+Inputs!$C$28*EXP(-((((Inputs!$I$7+(((A95)+1)/2)*(Inputs!$J$7-Inputs!$I$7)))-Inputs!$C$29)^2)/(2*Inputs!$C$31^2))*EXP(-(((Inputs!$C$6)-Inputs!$C$30)^2)/(2*Inputs!$C$32^2))+-Inputs!$C$33*EXP(-((((((Inputs!$I$7+(((A95)+1)/2)*(Inputs!$J$7-Inputs!$I$7)))-Inputs!$C$34)^2)+(((Inputs!$C$6)-Inputs!$C$35)^2))/(2*Inputs!$C$36^2)))+Inputs!$C$37*(0.55*SIN(2*PI()*((Inputs!$I$7+(((A95)+1)/2)*(Inputs!$J$7-Inputs!$I$7)))/Inputs!$C$39)+0.35*COS(2*PI()*(Inputs!$C$6)/Inputs!$C$40)+0.2*SIN(2*PI()*(((Inputs!$I$7+(((A95)+1)/2)*(Inputs!$J$7-Inputs!$I$7)))+(Inputs!$C$6))/(0.5*(Inputs!$C$39+Inputs!$C$40))))+Inputs!$C$38*SIN(2*PI()*((Inputs!$I$7+(((A95)+1)/2)*(Inputs!$J$7-Inputs!$I$7)))/Inputs!$C$39)*SIN(2*PI()*(Inputs!$C$6)/Inputs!$C$40)+-Inputs!$C$41*EXP(-(((Inputs!$C$6)-Inputs!$C$43)^2)/(2*Inputs!$C$44^2))*EXP(-((((Inputs!$I$7+(((A95)+1)/2)*(Inputs!$J$7-Inputs!$I$7)))-Inputs!$C$42)^2)/(2*Inputs!$C$45^2))+Inputs!$C$48*(0.7*(0.45*SIN(2*PI()*((((Inputs!$I$7+(((A95)+1)/2)*(Inputs!$J$7-Inputs!$I$7)))/Inputs!$C$49)+Inputs!$C$47*0.137))+0.35*COS(2*PI()*(((Inputs!$C$6)/Inputs!$C$50)+Inputs!$C$47*0.173))+0.2*SIN(2*PI()*((((Inputs!$I$7+(((A95)+1)/2)*(Inputs!$J$7-Inputs!$I$7)))+(Inputs!$C$6))/(0.5*(Inputs!$C$49+Inputs!$C$50))+Inputs!$C$47*0.097)))+0.3*(2*((SIN((((Inputs!$I$7+(((A95)+1)/2)*(Inputs!$J$7-Inputs!$I$7)))*12.9898+(Inputs!$C$6)*78.233+Inputs!$C$47*37.719))*43758.5453)-INT((SIN((((Inputs!$I$7+(((A95)+1)/2)*(Inputs!$J$7-Inputs!$I$7)))*12.9898+(Inputs!$C$6)*78.233+Inputs!$C$47*37.719))*43758.5453)))-1))),NA())</f>
        <v/>
      </c>
      <c r="AU95" s="9">
        <f>IF(OR(Inputs!$F$8=TRUE,Inputs!$F$8="TRUE",Inputs!$F$8=1),IF(OR(Inputs!$C$27=TRUE,Inputs!$C$27="TRUE",Inputs!$C$27=1),1,0)*(Inputs!$C$51*(115*EXP(-(((Inputs!$C$6)-25)^2)/(4.5^2))+70*EXP(-(((Inputs!$C$6)+38)^2)/(7^2))*(0.55+0.45*SIN(2*PI()*((Inputs!$I$8+(((A95)+1)/2)*(Inputs!$J$8-Inputs!$I$8)))/45))+24*SIN(2*PI()*(Inputs!$C$6)/9+((Inputs!$I$8+(((A95)+1)/2)*(Inputs!$J$8-Inputs!$I$8)))/18)*EXP(-(((Inputs!$C$6)+5)^2)/(22^2))+18*SIN(2*PI()*((Inputs!$I$8+(((A95)+1)/2)*(Inputs!$J$8-Inputs!$I$8)))/70))+Inputs!$C$28*EXP(-((((Inputs!$I$8+(((A95)+1)/2)*(Inputs!$J$8-Inputs!$I$8)))-Inputs!$C$29)^2)/(2*Inputs!$C$31^2))*EXP(-(((Inputs!$C$6)-Inputs!$C$30)^2)/(2*Inputs!$C$32^2))+-Inputs!$C$33*EXP(-((((((Inputs!$I$8+(((A95)+1)/2)*(Inputs!$J$8-Inputs!$I$8)))-Inputs!$C$34)^2)+(((Inputs!$C$6)-Inputs!$C$35)^2))/(2*Inputs!$C$36^2)))+Inputs!$C$37*(0.55*SIN(2*PI()*((Inputs!$I$8+(((A95)+1)/2)*(Inputs!$J$8-Inputs!$I$8)))/Inputs!$C$39)+0.35*COS(2*PI()*(Inputs!$C$6)/Inputs!$C$40)+0.2*SIN(2*PI()*(((Inputs!$I$8+(((A95)+1)/2)*(Inputs!$J$8-Inputs!$I$8)))+(Inputs!$C$6))/(0.5*(Inputs!$C$39+Inputs!$C$40))))+Inputs!$C$38*SIN(2*PI()*((Inputs!$I$8+(((A95)+1)/2)*(Inputs!$J$8-Inputs!$I$8)))/Inputs!$C$39)*SIN(2*PI()*(Inputs!$C$6)/Inputs!$C$40)+-Inputs!$C$41*EXP(-(((Inputs!$C$6)-Inputs!$C$43)^2)/(2*Inputs!$C$44^2))*EXP(-((((Inputs!$I$8+(((A95)+1)/2)*(Inputs!$J$8-Inputs!$I$8)))-Inputs!$C$42)^2)/(2*Inputs!$C$45^2))+Inputs!$C$48*(0.7*(0.45*SIN(2*PI()*((((Inputs!$I$8+(((A95)+1)/2)*(Inputs!$J$8-Inputs!$I$8)))/Inputs!$C$49)+Inputs!$C$47*0.137))+0.35*COS(2*PI()*(((Inputs!$C$6)/Inputs!$C$50)+Inputs!$C$47*0.173))+0.2*SIN(2*PI()*((((Inputs!$I$8+(((A95)+1)/2)*(Inputs!$J$8-Inputs!$I$8)))+(Inputs!$C$6))/(0.5*(Inputs!$C$49+Inputs!$C$50))+Inputs!$C$47*0.097)))+0.3*(2*((SIN((((Inputs!$I$8+(((A95)+1)/2)*(Inputs!$J$8-Inputs!$I$8)))*12.9898+(Inputs!$C$6)*78.233+Inputs!$C$47*37.719))*43758.5453)-INT((SIN((((Inputs!$I$8+(((A95)+1)/2)*(Inputs!$J$8-Inputs!$I$8)))*12.9898+(Inputs!$C$6)*78.233+Inputs!$C$47*37.719))*43758.5453)))-1))),NA())</f>
        <v/>
      </c>
      <c r="AV95" s="9">
        <f>IF(OR(Inputs!$F$9=TRUE,Inputs!$F$9="TRUE",Inputs!$F$9=1),IF(OR(Inputs!$C$27=TRUE,Inputs!$C$27="TRUE",Inputs!$C$27=1),1,0)*(Inputs!$C$51*(115*EXP(-(((Inputs!$C$6)-25)^2)/(4.5^2))+70*EXP(-(((Inputs!$C$6)+38)^2)/(7^2))*(0.55+0.45*SIN(2*PI()*((Inputs!$I$9+(((A95)+1)/2)*(Inputs!$J$9-Inputs!$I$9)))/45))+24*SIN(2*PI()*(Inputs!$C$6)/9+((Inputs!$I$9+(((A95)+1)/2)*(Inputs!$J$9-Inputs!$I$9)))/18)*EXP(-(((Inputs!$C$6)+5)^2)/(22^2))+18*SIN(2*PI()*((Inputs!$I$9+(((A95)+1)/2)*(Inputs!$J$9-Inputs!$I$9)))/70))+Inputs!$C$28*EXP(-((((Inputs!$I$9+(((A95)+1)/2)*(Inputs!$J$9-Inputs!$I$9)))-Inputs!$C$29)^2)/(2*Inputs!$C$31^2))*EXP(-(((Inputs!$C$6)-Inputs!$C$30)^2)/(2*Inputs!$C$32^2))+-Inputs!$C$33*EXP(-((((((Inputs!$I$9+(((A95)+1)/2)*(Inputs!$J$9-Inputs!$I$9)))-Inputs!$C$34)^2)+(((Inputs!$C$6)-Inputs!$C$35)^2))/(2*Inputs!$C$36^2)))+Inputs!$C$37*(0.55*SIN(2*PI()*((Inputs!$I$9+(((A95)+1)/2)*(Inputs!$J$9-Inputs!$I$9)))/Inputs!$C$39)+0.35*COS(2*PI()*(Inputs!$C$6)/Inputs!$C$40)+0.2*SIN(2*PI()*(((Inputs!$I$9+(((A95)+1)/2)*(Inputs!$J$9-Inputs!$I$9)))+(Inputs!$C$6))/(0.5*(Inputs!$C$39+Inputs!$C$40))))+Inputs!$C$38*SIN(2*PI()*((Inputs!$I$9+(((A95)+1)/2)*(Inputs!$J$9-Inputs!$I$9)))/Inputs!$C$39)*SIN(2*PI()*(Inputs!$C$6)/Inputs!$C$40)+-Inputs!$C$41*EXP(-(((Inputs!$C$6)-Inputs!$C$43)^2)/(2*Inputs!$C$44^2))*EXP(-((((Inputs!$I$9+(((A95)+1)/2)*(Inputs!$J$9-Inputs!$I$9)))-Inputs!$C$42)^2)/(2*Inputs!$C$45^2))+Inputs!$C$48*(0.7*(0.45*SIN(2*PI()*((((Inputs!$I$9+(((A95)+1)/2)*(Inputs!$J$9-Inputs!$I$9)))/Inputs!$C$49)+Inputs!$C$47*0.137))+0.35*COS(2*PI()*(((Inputs!$C$6)/Inputs!$C$50)+Inputs!$C$47*0.173))+0.2*SIN(2*PI()*((((Inputs!$I$9+(((A95)+1)/2)*(Inputs!$J$9-Inputs!$I$9)))+(Inputs!$C$6))/(0.5*(Inputs!$C$49+Inputs!$C$50))+Inputs!$C$47*0.097)))+0.3*(2*((SIN((((Inputs!$I$9+(((A95)+1)/2)*(Inputs!$J$9-Inputs!$I$9)))*12.9898+(Inputs!$C$6)*78.233+Inputs!$C$47*37.719))*43758.5453)-INT((SIN((((Inputs!$I$9+(((A95)+1)/2)*(Inputs!$J$9-Inputs!$I$9)))*12.9898+(Inputs!$C$6)*78.233+Inputs!$C$47*37.719))*43758.5453)))-1))),NA())</f>
        <v/>
      </c>
      <c r="AW95" s="10" t="n"/>
      <c r="AX95" s="9">
        <f>A95</f>
        <v/>
      </c>
      <c r="AY95" s="9">
        <f>0</f>
        <v/>
      </c>
      <c r="AZ95" s="9">
        <f>IF(OR(Inputs!$F$6=TRUE,Inputs!$F$6="TRUE",Inputs!$F$6=1),(Inputs!$H$6+Inputs!$L$6*(((Inputs!$I$6+(((A95)+1)/2)*(Inputs!$J$6-Inputs!$I$6)))/Inputs!$K$6)^2),NA())</f>
        <v/>
      </c>
      <c r="BA95" s="9">
        <f>IF(OR(Inputs!$F$7=TRUE,Inputs!$F$7="TRUE",Inputs!$F$7=1),(Inputs!$H$7+Inputs!$L$7*(((Inputs!$I$7+(((A95)+1)/2)*(Inputs!$J$7-Inputs!$I$7)))/Inputs!$K$7)^2),NA())</f>
        <v/>
      </c>
      <c r="BB95" s="9">
        <f>IF(OR(Inputs!$F$8=TRUE,Inputs!$F$8="TRUE",Inputs!$F$8=1),(Inputs!$H$8+Inputs!$L$8*(((Inputs!$I$8+(((A95)+1)/2)*(Inputs!$J$8-Inputs!$I$8)))/Inputs!$K$8)^2),NA())</f>
        <v/>
      </c>
      <c r="BC95" s="9">
        <f>IF(OR(Inputs!$F$9=TRUE,Inputs!$F$9="TRUE",Inputs!$F$9=1),(Inputs!$H$9+Inputs!$L$9*(((Inputs!$I$9+(((A95)+1)/2)*(Inputs!$J$9-Inputs!$I$9)))/Inputs!$K$9)^2),NA())</f>
        <v/>
      </c>
      <c r="BD95" s="10" t="n"/>
      <c r="BE95" s="9">
        <f>A95</f>
        <v/>
      </c>
      <c r="BF95" s="9">
        <f>0</f>
        <v/>
      </c>
      <c r="BG95" s="9">
        <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f>
        <v/>
      </c>
      <c r="BH95" s="9">
        <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f>
        <v/>
      </c>
      <c r="BI95" s="9">
        <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f>
        <v/>
      </c>
      <c r="BJ95" s="9">
        <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f>
        <v/>
      </c>
    </row>
    <row r="96">
      <c r="A96" s="9">
        <f>ROUND(-1+94*2/240,3)</f>
        <v/>
      </c>
      <c r="B96" s="9">
        <f>IF(OR(Inputs!$F$6=TRUE,Inputs!$F$6="TRUE",Inputs!$F$6=1),(Inputs!$H$6+Inputs!$L$6*(((Inputs!$I$6+(((A96)+1)/2)*(Inputs!$J$6-Inputs!$I$6)))/Inputs!$K$6)^2),NA())</f>
        <v/>
      </c>
      <c r="C96" s="9">
        <f>IF(OR(Inputs!$F$7=TRUE,Inputs!$F$7="TRUE",Inputs!$F$7=1),(Inputs!$H$7+Inputs!$L$7*(((Inputs!$I$7+(((A96)+1)/2)*(Inputs!$J$7-Inputs!$I$7)))/Inputs!$K$7)^2),NA())</f>
        <v/>
      </c>
      <c r="D96" s="9">
        <f>IF(OR(Inputs!$F$8=TRUE,Inputs!$F$8="TRUE",Inputs!$F$8=1),(Inputs!$H$8+Inputs!$L$8*(((Inputs!$I$8+(((A96)+1)/2)*(Inputs!$J$8-Inputs!$I$8)))/Inputs!$K$8)^2),NA())</f>
        <v/>
      </c>
      <c r="E96" s="9">
        <f>IF(OR(Inputs!$F$9=TRUE,Inputs!$F$9="TRUE",Inputs!$F$9=1),(Inputs!$H$9+Inputs!$L$9*(((Inputs!$I$9+(((A96)+1)/2)*(Inputs!$J$9-Inputs!$I$9)))/Inputs!$K$9)^2),NA())</f>
        <v/>
      </c>
      <c r="F96" s="10" t="n"/>
      <c r="G96" s="9">
        <f>A96</f>
        <v/>
      </c>
      <c r="H96" s="9">
        <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f>
        <v/>
      </c>
      <c r="I96" s="9">
        <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f>
        <v/>
      </c>
      <c r="J96" s="9">
        <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f>
        <v/>
      </c>
      <c r="K96" s="9">
        <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f>
        <v/>
      </c>
      <c r="L96" s="10" t="n"/>
      <c r="M96" s="9">
        <f>A96</f>
        <v/>
      </c>
      <c r="N96" s="9">
        <f>IF(OR(Inputs!$F$6=TRUE,Inputs!$F$6="TRUE",Inputs!$F$6=1),(-2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NA())</f>
        <v/>
      </c>
      <c r="O96" s="9">
        <f>IF(OR(Inputs!$F$7=TRUE,Inputs!$F$7="TRUE",Inputs!$F$7=1),(-2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NA())</f>
        <v/>
      </c>
      <c r="P96" s="9">
        <f>IF(OR(Inputs!$F$8=TRUE,Inputs!$F$8="TRUE",Inputs!$F$8=1),(-2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NA())</f>
        <v/>
      </c>
      <c r="Q96" s="9">
        <f>IF(OR(Inputs!$F$9=TRUE,Inputs!$F$9="TRUE",Inputs!$F$9=1),(-2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NA())</f>
        <v/>
      </c>
      <c r="R96" s="10" t="n"/>
      <c r="S96" s="9">
        <f>A96</f>
        <v/>
      </c>
      <c r="T96" s="9">
        <f>(Inputs!$I$6+(((A96)+1)/2)*(Inputs!$J$6-Inputs!$I$6))</f>
        <v/>
      </c>
      <c r="U96" s="9">
        <f>(Inputs!$I$7+(((A96)+1)/2)*(Inputs!$J$7-Inputs!$I$7))</f>
        <v/>
      </c>
      <c r="V96" s="9">
        <f>(Inputs!$I$8+(((A96)+1)/2)*(Inputs!$J$8-Inputs!$I$8))</f>
        <v/>
      </c>
      <c r="W96" s="9">
        <f>(Inputs!$I$9+(((A96)+1)/2)*(Inputs!$J$9-Inputs!$I$9))</f>
        <v/>
      </c>
      <c r="X96" s="10" t="n"/>
      <c r="Y96" s="9">
        <f>A96</f>
        <v/>
      </c>
      <c r="Z96" s="9">
        <f>(Inputs!$H$6+Inputs!$L$6*(((Inputs!$I$6+(((A96)+1)/2)*(Inputs!$J$6-Inputs!$I$6)))/Inputs!$K$6)^2)</f>
        <v/>
      </c>
      <c r="AA96" s="9">
        <f>(Inputs!$H$7+Inputs!$L$7*(((Inputs!$I$7+(((A96)+1)/2)*(Inputs!$J$7-Inputs!$I$7)))/Inputs!$K$7)^2)</f>
        <v/>
      </c>
      <c r="AB96" s="9">
        <f>(Inputs!$H$8+Inputs!$L$8*(((Inputs!$I$8+(((A96)+1)/2)*(Inputs!$J$8-Inputs!$I$8)))/Inputs!$K$8)^2)</f>
        <v/>
      </c>
      <c r="AC96" s="9">
        <f>(Inputs!$H$9+Inputs!$L$9*(((Inputs!$I$9+(((A96)+1)/2)*(Inputs!$J$9-Inputs!$I$9)))/Inputs!$K$9)^2)</f>
        <v/>
      </c>
      <c r="AD96" s="10" t="n"/>
      <c r="AE96" s="9">
        <f>A96</f>
        <v/>
      </c>
      <c r="AF96" s="9">
        <f>(((SQRT((Inputs!$C$52+((Inputs!$H$6+Inputs!$L$6*(((Inputs!$I$6+(((A96)+1)/2)*(Inputs!$J$6-Inputs!$I$6)))/Inputs!$K$6)^2)))^2+Inputs!$C$52^2-2*(Inputs!$C$52+((Inputs!$H$6+Inputs!$L$6*(((Inputs!$I$6+(((A96)+1)/2)*(Inputs!$J$6-Inputs!$I$6)))/Inputs!$K$6)^2)))*Inputs!$C$52*COS(SQRT(((Inputs!$I$6+(((A96)+1)/2)*(Inputs!$J$6-Inputs!$I$6)))^2+Inputs!$C$6^2)/Inputs!$C$52)))-((Inputs!$H$6+Inputs!$L$6*(((Inputs!$I$6+(((A96)+1)/2)*(Inputs!$J$6-Inputs!$I$6)))/Inputs!$K$6)^2)))*1000/Inputs!$C$12)</f>
        <v/>
      </c>
      <c r="AG96" s="9">
        <f>(((SQRT((Inputs!$C$52+((Inputs!$H$7+Inputs!$L$7*(((Inputs!$I$7+(((A96)+1)/2)*(Inputs!$J$7-Inputs!$I$7)))/Inputs!$K$7)^2)))^2+Inputs!$C$52^2-2*(Inputs!$C$52+((Inputs!$H$7+Inputs!$L$7*(((Inputs!$I$7+(((A96)+1)/2)*(Inputs!$J$7-Inputs!$I$7)))/Inputs!$K$7)^2)))*Inputs!$C$52*COS(SQRT(((Inputs!$I$7+(((A96)+1)/2)*(Inputs!$J$7-Inputs!$I$7)))^2+Inputs!$C$6^2)/Inputs!$C$52)))-((Inputs!$H$7+Inputs!$L$7*(((Inputs!$I$7+(((A96)+1)/2)*(Inputs!$J$7-Inputs!$I$7)))/Inputs!$K$7)^2)))*1000/Inputs!$C$12)</f>
        <v/>
      </c>
      <c r="AH96" s="9">
        <f>(((SQRT((Inputs!$C$52+((Inputs!$H$8+Inputs!$L$8*(((Inputs!$I$8+(((A96)+1)/2)*(Inputs!$J$8-Inputs!$I$8)))/Inputs!$K$8)^2)))^2+Inputs!$C$52^2-2*(Inputs!$C$52+((Inputs!$H$8+Inputs!$L$8*(((Inputs!$I$8+(((A96)+1)/2)*(Inputs!$J$8-Inputs!$I$8)))/Inputs!$K$8)^2)))*Inputs!$C$52*COS(SQRT(((Inputs!$I$8+(((A96)+1)/2)*(Inputs!$J$8-Inputs!$I$8)))^2+Inputs!$C$6^2)/Inputs!$C$52)))-((Inputs!$H$8+Inputs!$L$8*(((Inputs!$I$8+(((A96)+1)/2)*(Inputs!$J$8-Inputs!$I$8)))/Inputs!$K$8)^2)))*1000/Inputs!$C$12)</f>
        <v/>
      </c>
      <c r="AI96" s="9">
        <f>(((SQRT((Inputs!$C$52+((Inputs!$H$9+Inputs!$L$9*(((Inputs!$I$9+(((A96)+1)/2)*(Inputs!$J$9-Inputs!$I$9)))/Inputs!$K$9)^2)))^2+Inputs!$C$52^2-2*(Inputs!$C$52+((Inputs!$H$9+Inputs!$L$9*(((Inputs!$I$9+(((A96)+1)/2)*(Inputs!$J$9-Inputs!$I$9)))/Inputs!$K$9)^2)))*Inputs!$C$52*COS(SQRT(((Inputs!$I$9+(((A96)+1)/2)*(Inputs!$J$9-Inputs!$I$9)))^2+Inputs!$C$6^2)/Inputs!$C$52)))-((Inputs!$H$9+Inputs!$L$9*(((Inputs!$I$9+(((A96)+1)/2)*(Inputs!$J$9-Inputs!$I$9)))/Inputs!$K$9)^2)))*1000/Inputs!$C$12)</f>
        <v/>
      </c>
      <c r="AJ96" s="10" t="n"/>
      <c r="AK96" s="9">
        <f>A96</f>
        <v/>
      </c>
      <c r="AL96" s="9">
        <f>(-2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f>
        <v/>
      </c>
      <c r="AM96" s="9">
        <f>(-2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f>
        <v/>
      </c>
      <c r="AN96" s="9">
        <f>(-2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f>
        <v/>
      </c>
      <c r="AO96" s="9">
        <f>(-2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f>
        <v/>
      </c>
      <c r="AP96" s="10" t="n"/>
      <c r="AQ96" s="9">
        <f>A96</f>
        <v/>
      </c>
      <c r="AR96" s="9">
        <f>0</f>
        <v/>
      </c>
      <c r="AS96" s="9">
        <f>IF(OR(Inputs!$F$6=TRUE,Inputs!$F$6="TRUE",Inputs!$F$6=1),IF(OR(Inputs!$C$27=TRUE,Inputs!$C$27="TRUE",Inputs!$C$27=1),1,0)*(Inputs!$C$51*(115*EXP(-(((Inputs!$C$6)-25)^2)/(4.5^2))+70*EXP(-(((Inputs!$C$6)+38)^2)/(7^2))*(0.55+0.45*SIN(2*PI()*((Inputs!$I$6+(((A96)+1)/2)*(Inputs!$J$6-Inputs!$I$6)))/45))+24*SIN(2*PI()*(Inputs!$C$6)/9+((Inputs!$I$6+(((A96)+1)/2)*(Inputs!$J$6-Inputs!$I$6)))/18)*EXP(-(((Inputs!$C$6)+5)^2)/(22^2))+18*SIN(2*PI()*((Inputs!$I$6+(((A96)+1)/2)*(Inputs!$J$6-Inputs!$I$6)))/70))+Inputs!$C$28*EXP(-((((Inputs!$I$6+(((A96)+1)/2)*(Inputs!$J$6-Inputs!$I$6)))-Inputs!$C$29)^2)/(2*Inputs!$C$31^2))*EXP(-(((Inputs!$C$6)-Inputs!$C$30)^2)/(2*Inputs!$C$32^2))+-Inputs!$C$33*EXP(-((((((Inputs!$I$6+(((A96)+1)/2)*(Inputs!$J$6-Inputs!$I$6)))-Inputs!$C$34)^2)+(((Inputs!$C$6)-Inputs!$C$35)^2))/(2*Inputs!$C$36^2)))+Inputs!$C$37*(0.55*SIN(2*PI()*((Inputs!$I$6+(((A96)+1)/2)*(Inputs!$J$6-Inputs!$I$6)))/Inputs!$C$39)+0.35*COS(2*PI()*(Inputs!$C$6)/Inputs!$C$40)+0.2*SIN(2*PI()*(((Inputs!$I$6+(((A96)+1)/2)*(Inputs!$J$6-Inputs!$I$6)))+(Inputs!$C$6))/(0.5*(Inputs!$C$39+Inputs!$C$40))))+Inputs!$C$38*SIN(2*PI()*((Inputs!$I$6+(((A96)+1)/2)*(Inputs!$J$6-Inputs!$I$6)))/Inputs!$C$39)*SIN(2*PI()*(Inputs!$C$6)/Inputs!$C$40)+-Inputs!$C$41*EXP(-(((Inputs!$C$6)-Inputs!$C$43)^2)/(2*Inputs!$C$44^2))*EXP(-((((Inputs!$I$6+(((A96)+1)/2)*(Inputs!$J$6-Inputs!$I$6)))-Inputs!$C$42)^2)/(2*Inputs!$C$45^2))+Inputs!$C$48*(0.7*(0.45*SIN(2*PI()*((((Inputs!$I$6+(((A96)+1)/2)*(Inputs!$J$6-Inputs!$I$6)))/Inputs!$C$49)+Inputs!$C$47*0.137))+0.35*COS(2*PI()*(((Inputs!$C$6)/Inputs!$C$50)+Inputs!$C$47*0.173))+0.2*SIN(2*PI()*((((Inputs!$I$6+(((A96)+1)/2)*(Inputs!$J$6-Inputs!$I$6)))+(Inputs!$C$6))/(0.5*(Inputs!$C$49+Inputs!$C$50))+Inputs!$C$47*0.097)))+0.3*(2*((SIN((((Inputs!$I$6+(((A96)+1)/2)*(Inputs!$J$6-Inputs!$I$6)))*12.9898+(Inputs!$C$6)*78.233+Inputs!$C$47*37.719))*43758.5453)-INT((SIN((((Inputs!$I$6+(((A96)+1)/2)*(Inputs!$J$6-Inputs!$I$6)))*12.9898+(Inputs!$C$6)*78.233+Inputs!$C$47*37.719))*43758.5453)))-1))),NA())</f>
        <v/>
      </c>
      <c r="AT96" s="9">
        <f>IF(OR(Inputs!$F$7=TRUE,Inputs!$F$7="TRUE",Inputs!$F$7=1),IF(OR(Inputs!$C$27=TRUE,Inputs!$C$27="TRUE",Inputs!$C$27=1),1,0)*(Inputs!$C$51*(115*EXP(-(((Inputs!$C$6)-25)^2)/(4.5^2))+70*EXP(-(((Inputs!$C$6)+38)^2)/(7^2))*(0.55+0.45*SIN(2*PI()*((Inputs!$I$7+(((A96)+1)/2)*(Inputs!$J$7-Inputs!$I$7)))/45))+24*SIN(2*PI()*(Inputs!$C$6)/9+((Inputs!$I$7+(((A96)+1)/2)*(Inputs!$J$7-Inputs!$I$7)))/18)*EXP(-(((Inputs!$C$6)+5)^2)/(22^2))+18*SIN(2*PI()*((Inputs!$I$7+(((A96)+1)/2)*(Inputs!$J$7-Inputs!$I$7)))/70))+Inputs!$C$28*EXP(-((((Inputs!$I$7+(((A96)+1)/2)*(Inputs!$J$7-Inputs!$I$7)))-Inputs!$C$29)^2)/(2*Inputs!$C$31^2))*EXP(-(((Inputs!$C$6)-Inputs!$C$30)^2)/(2*Inputs!$C$32^2))+-Inputs!$C$33*EXP(-((((((Inputs!$I$7+(((A96)+1)/2)*(Inputs!$J$7-Inputs!$I$7)))-Inputs!$C$34)^2)+(((Inputs!$C$6)-Inputs!$C$35)^2))/(2*Inputs!$C$36^2)))+Inputs!$C$37*(0.55*SIN(2*PI()*((Inputs!$I$7+(((A96)+1)/2)*(Inputs!$J$7-Inputs!$I$7)))/Inputs!$C$39)+0.35*COS(2*PI()*(Inputs!$C$6)/Inputs!$C$40)+0.2*SIN(2*PI()*(((Inputs!$I$7+(((A96)+1)/2)*(Inputs!$J$7-Inputs!$I$7)))+(Inputs!$C$6))/(0.5*(Inputs!$C$39+Inputs!$C$40))))+Inputs!$C$38*SIN(2*PI()*((Inputs!$I$7+(((A96)+1)/2)*(Inputs!$J$7-Inputs!$I$7)))/Inputs!$C$39)*SIN(2*PI()*(Inputs!$C$6)/Inputs!$C$40)+-Inputs!$C$41*EXP(-(((Inputs!$C$6)-Inputs!$C$43)^2)/(2*Inputs!$C$44^2))*EXP(-((((Inputs!$I$7+(((A96)+1)/2)*(Inputs!$J$7-Inputs!$I$7)))-Inputs!$C$42)^2)/(2*Inputs!$C$45^2))+Inputs!$C$48*(0.7*(0.45*SIN(2*PI()*((((Inputs!$I$7+(((A96)+1)/2)*(Inputs!$J$7-Inputs!$I$7)))/Inputs!$C$49)+Inputs!$C$47*0.137))+0.35*COS(2*PI()*(((Inputs!$C$6)/Inputs!$C$50)+Inputs!$C$47*0.173))+0.2*SIN(2*PI()*((((Inputs!$I$7+(((A96)+1)/2)*(Inputs!$J$7-Inputs!$I$7)))+(Inputs!$C$6))/(0.5*(Inputs!$C$49+Inputs!$C$50))+Inputs!$C$47*0.097)))+0.3*(2*((SIN((((Inputs!$I$7+(((A96)+1)/2)*(Inputs!$J$7-Inputs!$I$7)))*12.9898+(Inputs!$C$6)*78.233+Inputs!$C$47*37.719))*43758.5453)-INT((SIN((((Inputs!$I$7+(((A96)+1)/2)*(Inputs!$J$7-Inputs!$I$7)))*12.9898+(Inputs!$C$6)*78.233+Inputs!$C$47*37.719))*43758.5453)))-1))),NA())</f>
        <v/>
      </c>
      <c r="AU96" s="9">
        <f>IF(OR(Inputs!$F$8=TRUE,Inputs!$F$8="TRUE",Inputs!$F$8=1),IF(OR(Inputs!$C$27=TRUE,Inputs!$C$27="TRUE",Inputs!$C$27=1),1,0)*(Inputs!$C$51*(115*EXP(-(((Inputs!$C$6)-25)^2)/(4.5^2))+70*EXP(-(((Inputs!$C$6)+38)^2)/(7^2))*(0.55+0.45*SIN(2*PI()*((Inputs!$I$8+(((A96)+1)/2)*(Inputs!$J$8-Inputs!$I$8)))/45))+24*SIN(2*PI()*(Inputs!$C$6)/9+((Inputs!$I$8+(((A96)+1)/2)*(Inputs!$J$8-Inputs!$I$8)))/18)*EXP(-(((Inputs!$C$6)+5)^2)/(22^2))+18*SIN(2*PI()*((Inputs!$I$8+(((A96)+1)/2)*(Inputs!$J$8-Inputs!$I$8)))/70))+Inputs!$C$28*EXP(-((((Inputs!$I$8+(((A96)+1)/2)*(Inputs!$J$8-Inputs!$I$8)))-Inputs!$C$29)^2)/(2*Inputs!$C$31^2))*EXP(-(((Inputs!$C$6)-Inputs!$C$30)^2)/(2*Inputs!$C$32^2))+-Inputs!$C$33*EXP(-((((((Inputs!$I$8+(((A96)+1)/2)*(Inputs!$J$8-Inputs!$I$8)))-Inputs!$C$34)^2)+(((Inputs!$C$6)-Inputs!$C$35)^2))/(2*Inputs!$C$36^2)))+Inputs!$C$37*(0.55*SIN(2*PI()*((Inputs!$I$8+(((A96)+1)/2)*(Inputs!$J$8-Inputs!$I$8)))/Inputs!$C$39)+0.35*COS(2*PI()*(Inputs!$C$6)/Inputs!$C$40)+0.2*SIN(2*PI()*(((Inputs!$I$8+(((A96)+1)/2)*(Inputs!$J$8-Inputs!$I$8)))+(Inputs!$C$6))/(0.5*(Inputs!$C$39+Inputs!$C$40))))+Inputs!$C$38*SIN(2*PI()*((Inputs!$I$8+(((A96)+1)/2)*(Inputs!$J$8-Inputs!$I$8)))/Inputs!$C$39)*SIN(2*PI()*(Inputs!$C$6)/Inputs!$C$40)+-Inputs!$C$41*EXP(-(((Inputs!$C$6)-Inputs!$C$43)^2)/(2*Inputs!$C$44^2))*EXP(-((((Inputs!$I$8+(((A96)+1)/2)*(Inputs!$J$8-Inputs!$I$8)))-Inputs!$C$42)^2)/(2*Inputs!$C$45^2))+Inputs!$C$48*(0.7*(0.45*SIN(2*PI()*((((Inputs!$I$8+(((A96)+1)/2)*(Inputs!$J$8-Inputs!$I$8)))/Inputs!$C$49)+Inputs!$C$47*0.137))+0.35*COS(2*PI()*(((Inputs!$C$6)/Inputs!$C$50)+Inputs!$C$47*0.173))+0.2*SIN(2*PI()*((((Inputs!$I$8+(((A96)+1)/2)*(Inputs!$J$8-Inputs!$I$8)))+(Inputs!$C$6))/(0.5*(Inputs!$C$49+Inputs!$C$50))+Inputs!$C$47*0.097)))+0.3*(2*((SIN((((Inputs!$I$8+(((A96)+1)/2)*(Inputs!$J$8-Inputs!$I$8)))*12.9898+(Inputs!$C$6)*78.233+Inputs!$C$47*37.719))*43758.5453)-INT((SIN((((Inputs!$I$8+(((A96)+1)/2)*(Inputs!$J$8-Inputs!$I$8)))*12.9898+(Inputs!$C$6)*78.233+Inputs!$C$47*37.719))*43758.5453)))-1))),NA())</f>
        <v/>
      </c>
      <c r="AV96" s="9">
        <f>IF(OR(Inputs!$F$9=TRUE,Inputs!$F$9="TRUE",Inputs!$F$9=1),IF(OR(Inputs!$C$27=TRUE,Inputs!$C$27="TRUE",Inputs!$C$27=1),1,0)*(Inputs!$C$51*(115*EXP(-(((Inputs!$C$6)-25)^2)/(4.5^2))+70*EXP(-(((Inputs!$C$6)+38)^2)/(7^2))*(0.55+0.45*SIN(2*PI()*((Inputs!$I$9+(((A96)+1)/2)*(Inputs!$J$9-Inputs!$I$9)))/45))+24*SIN(2*PI()*(Inputs!$C$6)/9+((Inputs!$I$9+(((A96)+1)/2)*(Inputs!$J$9-Inputs!$I$9)))/18)*EXP(-(((Inputs!$C$6)+5)^2)/(22^2))+18*SIN(2*PI()*((Inputs!$I$9+(((A96)+1)/2)*(Inputs!$J$9-Inputs!$I$9)))/70))+Inputs!$C$28*EXP(-((((Inputs!$I$9+(((A96)+1)/2)*(Inputs!$J$9-Inputs!$I$9)))-Inputs!$C$29)^2)/(2*Inputs!$C$31^2))*EXP(-(((Inputs!$C$6)-Inputs!$C$30)^2)/(2*Inputs!$C$32^2))+-Inputs!$C$33*EXP(-((((((Inputs!$I$9+(((A96)+1)/2)*(Inputs!$J$9-Inputs!$I$9)))-Inputs!$C$34)^2)+(((Inputs!$C$6)-Inputs!$C$35)^2))/(2*Inputs!$C$36^2)))+Inputs!$C$37*(0.55*SIN(2*PI()*((Inputs!$I$9+(((A96)+1)/2)*(Inputs!$J$9-Inputs!$I$9)))/Inputs!$C$39)+0.35*COS(2*PI()*(Inputs!$C$6)/Inputs!$C$40)+0.2*SIN(2*PI()*(((Inputs!$I$9+(((A96)+1)/2)*(Inputs!$J$9-Inputs!$I$9)))+(Inputs!$C$6))/(0.5*(Inputs!$C$39+Inputs!$C$40))))+Inputs!$C$38*SIN(2*PI()*((Inputs!$I$9+(((A96)+1)/2)*(Inputs!$J$9-Inputs!$I$9)))/Inputs!$C$39)*SIN(2*PI()*(Inputs!$C$6)/Inputs!$C$40)+-Inputs!$C$41*EXP(-(((Inputs!$C$6)-Inputs!$C$43)^2)/(2*Inputs!$C$44^2))*EXP(-((((Inputs!$I$9+(((A96)+1)/2)*(Inputs!$J$9-Inputs!$I$9)))-Inputs!$C$42)^2)/(2*Inputs!$C$45^2))+Inputs!$C$48*(0.7*(0.45*SIN(2*PI()*((((Inputs!$I$9+(((A96)+1)/2)*(Inputs!$J$9-Inputs!$I$9)))/Inputs!$C$49)+Inputs!$C$47*0.137))+0.35*COS(2*PI()*(((Inputs!$C$6)/Inputs!$C$50)+Inputs!$C$47*0.173))+0.2*SIN(2*PI()*((((Inputs!$I$9+(((A96)+1)/2)*(Inputs!$J$9-Inputs!$I$9)))+(Inputs!$C$6))/(0.5*(Inputs!$C$49+Inputs!$C$50))+Inputs!$C$47*0.097)))+0.3*(2*((SIN((((Inputs!$I$9+(((A96)+1)/2)*(Inputs!$J$9-Inputs!$I$9)))*12.9898+(Inputs!$C$6)*78.233+Inputs!$C$47*37.719))*43758.5453)-INT((SIN((((Inputs!$I$9+(((A96)+1)/2)*(Inputs!$J$9-Inputs!$I$9)))*12.9898+(Inputs!$C$6)*78.233+Inputs!$C$47*37.719))*43758.5453)))-1))),NA())</f>
        <v/>
      </c>
      <c r="AW96" s="10" t="n"/>
      <c r="AX96" s="9">
        <f>A96</f>
        <v/>
      </c>
      <c r="AY96" s="9">
        <f>0</f>
        <v/>
      </c>
      <c r="AZ96" s="9">
        <f>IF(OR(Inputs!$F$6=TRUE,Inputs!$F$6="TRUE",Inputs!$F$6=1),(Inputs!$H$6+Inputs!$L$6*(((Inputs!$I$6+(((A96)+1)/2)*(Inputs!$J$6-Inputs!$I$6)))/Inputs!$K$6)^2),NA())</f>
        <v/>
      </c>
      <c r="BA96" s="9">
        <f>IF(OR(Inputs!$F$7=TRUE,Inputs!$F$7="TRUE",Inputs!$F$7=1),(Inputs!$H$7+Inputs!$L$7*(((Inputs!$I$7+(((A96)+1)/2)*(Inputs!$J$7-Inputs!$I$7)))/Inputs!$K$7)^2),NA())</f>
        <v/>
      </c>
      <c r="BB96" s="9">
        <f>IF(OR(Inputs!$F$8=TRUE,Inputs!$F$8="TRUE",Inputs!$F$8=1),(Inputs!$H$8+Inputs!$L$8*(((Inputs!$I$8+(((A96)+1)/2)*(Inputs!$J$8-Inputs!$I$8)))/Inputs!$K$8)^2),NA())</f>
        <v/>
      </c>
      <c r="BC96" s="9">
        <f>IF(OR(Inputs!$F$9=TRUE,Inputs!$F$9="TRUE",Inputs!$F$9=1),(Inputs!$H$9+Inputs!$L$9*(((Inputs!$I$9+(((A96)+1)/2)*(Inputs!$J$9-Inputs!$I$9)))/Inputs!$K$9)^2),NA())</f>
        <v/>
      </c>
      <c r="BD96" s="10" t="n"/>
      <c r="BE96" s="9">
        <f>A96</f>
        <v/>
      </c>
      <c r="BF96" s="9">
        <f>0</f>
        <v/>
      </c>
      <c r="BG96" s="9">
        <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f>
        <v/>
      </c>
      <c r="BH96" s="9">
        <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f>
        <v/>
      </c>
      <c r="BI96" s="9">
        <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f>
        <v/>
      </c>
      <c r="BJ96" s="9">
        <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f>
        <v/>
      </c>
    </row>
    <row r="97">
      <c r="A97" s="9">
        <f>ROUND(-1+95*2/240,3)</f>
        <v/>
      </c>
      <c r="B97" s="9">
        <f>IF(OR(Inputs!$F$6=TRUE,Inputs!$F$6="TRUE",Inputs!$F$6=1),(Inputs!$H$6+Inputs!$L$6*(((Inputs!$I$6+(((A97)+1)/2)*(Inputs!$J$6-Inputs!$I$6)))/Inputs!$K$6)^2),NA())</f>
        <v/>
      </c>
      <c r="C97" s="9">
        <f>IF(OR(Inputs!$F$7=TRUE,Inputs!$F$7="TRUE",Inputs!$F$7=1),(Inputs!$H$7+Inputs!$L$7*(((Inputs!$I$7+(((A97)+1)/2)*(Inputs!$J$7-Inputs!$I$7)))/Inputs!$K$7)^2),NA())</f>
        <v/>
      </c>
      <c r="D97" s="9">
        <f>IF(OR(Inputs!$F$8=TRUE,Inputs!$F$8="TRUE",Inputs!$F$8=1),(Inputs!$H$8+Inputs!$L$8*(((Inputs!$I$8+(((A97)+1)/2)*(Inputs!$J$8-Inputs!$I$8)))/Inputs!$K$8)^2),NA())</f>
        <v/>
      </c>
      <c r="E97" s="9">
        <f>IF(OR(Inputs!$F$9=TRUE,Inputs!$F$9="TRUE",Inputs!$F$9=1),(Inputs!$H$9+Inputs!$L$9*(((Inputs!$I$9+(((A97)+1)/2)*(Inputs!$J$9-Inputs!$I$9)))/Inputs!$K$9)^2),NA())</f>
        <v/>
      </c>
      <c r="F97" s="10" t="n"/>
      <c r="G97" s="9">
        <f>A97</f>
        <v/>
      </c>
      <c r="H97" s="9">
        <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f>
        <v/>
      </c>
      <c r="I97" s="9">
        <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f>
        <v/>
      </c>
      <c r="J97" s="9">
        <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f>
        <v/>
      </c>
      <c r="K97" s="9">
        <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f>
        <v/>
      </c>
      <c r="L97" s="10" t="n"/>
      <c r="M97" s="9">
        <f>A97</f>
        <v/>
      </c>
      <c r="N97" s="9">
        <f>IF(OR(Inputs!$F$6=TRUE,Inputs!$F$6="TRUE",Inputs!$F$6=1),(-2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NA())</f>
        <v/>
      </c>
      <c r="O97" s="9">
        <f>IF(OR(Inputs!$F$7=TRUE,Inputs!$F$7="TRUE",Inputs!$F$7=1),(-2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NA())</f>
        <v/>
      </c>
      <c r="P97" s="9">
        <f>IF(OR(Inputs!$F$8=TRUE,Inputs!$F$8="TRUE",Inputs!$F$8=1),(-2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NA())</f>
        <v/>
      </c>
      <c r="Q97" s="9">
        <f>IF(OR(Inputs!$F$9=TRUE,Inputs!$F$9="TRUE",Inputs!$F$9=1),(-2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NA())</f>
        <v/>
      </c>
      <c r="R97" s="10" t="n"/>
      <c r="S97" s="9">
        <f>A97</f>
        <v/>
      </c>
      <c r="T97" s="9">
        <f>(Inputs!$I$6+(((A97)+1)/2)*(Inputs!$J$6-Inputs!$I$6))</f>
        <v/>
      </c>
      <c r="U97" s="9">
        <f>(Inputs!$I$7+(((A97)+1)/2)*(Inputs!$J$7-Inputs!$I$7))</f>
        <v/>
      </c>
      <c r="V97" s="9">
        <f>(Inputs!$I$8+(((A97)+1)/2)*(Inputs!$J$8-Inputs!$I$8))</f>
        <v/>
      </c>
      <c r="W97" s="9">
        <f>(Inputs!$I$9+(((A97)+1)/2)*(Inputs!$J$9-Inputs!$I$9))</f>
        <v/>
      </c>
      <c r="X97" s="10" t="n"/>
      <c r="Y97" s="9">
        <f>A97</f>
        <v/>
      </c>
      <c r="Z97" s="9">
        <f>(Inputs!$H$6+Inputs!$L$6*(((Inputs!$I$6+(((A97)+1)/2)*(Inputs!$J$6-Inputs!$I$6)))/Inputs!$K$6)^2)</f>
        <v/>
      </c>
      <c r="AA97" s="9">
        <f>(Inputs!$H$7+Inputs!$L$7*(((Inputs!$I$7+(((A97)+1)/2)*(Inputs!$J$7-Inputs!$I$7)))/Inputs!$K$7)^2)</f>
        <v/>
      </c>
      <c r="AB97" s="9">
        <f>(Inputs!$H$8+Inputs!$L$8*(((Inputs!$I$8+(((A97)+1)/2)*(Inputs!$J$8-Inputs!$I$8)))/Inputs!$K$8)^2)</f>
        <v/>
      </c>
      <c r="AC97" s="9">
        <f>(Inputs!$H$9+Inputs!$L$9*(((Inputs!$I$9+(((A97)+1)/2)*(Inputs!$J$9-Inputs!$I$9)))/Inputs!$K$9)^2)</f>
        <v/>
      </c>
      <c r="AD97" s="10" t="n"/>
      <c r="AE97" s="9">
        <f>A97</f>
        <v/>
      </c>
      <c r="AF97" s="9">
        <f>(((SQRT((Inputs!$C$52+((Inputs!$H$6+Inputs!$L$6*(((Inputs!$I$6+(((A97)+1)/2)*(Inputs!$J$6-Inputs!$I$6)))/Inputs!$K$6)^2)))^2+Inputs!$C$52^2-2*(Inputs!$C$52+((Inputs!$H$6+Inputs!$L$6*(((Inputs!$I$6+(((A97)+1)/2)*(Inputs!$J$6-Inputs!$I$6)))/Inputs!$K$6)^2)))*Inputs!$C$52*COS(SQRT(((Inputs!$I$6+(((A97)+1)/2)*(Inputs!$J$6-Inputs!$I$6)))^2+Inputs!$C$6^2)/Inputs!$C$52)))-((Inputs!$H$6+Inputs!$L$6*(((Inputs!$I$6+(((A97)+1)/2)*(Inputs!$J$6-Inputs!$I$6)))/Inputs!$K$6)^2)))*1000/Inputs!$C$12)</f>
        <v/>
      </c>
      <c r="AG97" s="9">
        <f>(((SQRT((Inputs!$C$52+((Inputs!$H$7+Inputs!$L$7*(((Inputs!$I$7+(((A97)+1)/2)*(Inputs!$J$7-Inputs!$I$7)))/Inputs!$K$7)^2)))^2+Inputs!$C$52^2-2*(Inputs!$C$52+((Inputs!$H$7+Inputs!$L$7*(((Inputs!$I$7+(((A97)+1)/2)*(Inputs!$J$7-Inputs!$I$7)))/Inputs!$K$7)^2)))*Inputs!$C$52*COS(SQRT(((Inputs!$I$7+(((A97)+1)/2)*(Inputs!$J$7-Inputs!$I$7)))^2+Inputs!$C$6^2)/Inputs!$C$52)))-((Inputs!$H$7+Inputs!$L$7*(((Inputs!$I$7+(((A97)+1)/2)*(Inputs!$J$7-Inputs!$I$7)))/Inputs!$K$7)^2)))*1000/Inputs!$C$12)</f>
        <v/>
      </c>
      <c r="AH97" s="9">
        <f>(((SQRT((Inputs!$C$52+((Inputs!$H$8+Inputs!$L$8*(((Inputs!$I$8+(((A97)+1)/2)*(Inputs!$J$8-Inputs!$I$8)))/Inputs!$K$8)^2)))^2+Inputs!$C$52^2-2*(Inputs!$C$52+((Inputs!$H$8+Inputs!$L$8*(((Inputs!$I$8+(((A97)+1)/2)*(Inputs!$J$8-Inputs!$I$8)))/Inputs!$K$8)^2)))*Inputs!$C$52*COS(SQRT(((Inputs!$I$8+(((A97)+1)/2)*(Inputs!$J$8-Inputs!$I$8)))^2+Inputs!$C$6^2)/Inputs!$C$52)))-((Inputs!$H$8+Inputs!$L$8*(((Inputs!$I$8+(((A97)+1)/2)*(Inputs!$J$8-Inputs!$I$8)))/Inputs!$K$8)^2)))*1000/Inputs!$C$12)</f>
        <v/>
      </c>
      <c r="AI97" s="9">
        <f>(((SQRT((Inputs!$C$52+((Inputs!$H$9+Inputs!$L$9*(((Inputs!$I$9+(((A97)+1)/2)*(Inputs!$J$9-Inputs!$I$9)))/Inputs!$K$9)^2)))^2+Inputs!$C$52^2-2*(Inputs!$C$52+((Inputs!$H$9+Inputs!$L$9*(((Inputs!$I$9+(((A97)+1)/2)*(Inputs!$J$9-Inputs!$I$9)))/Inputs!$K$9)^2)))*Inputs!$C$52*COS(SQRT(((Inputs!$I$9+(((A97)+1)/2)*(Inputs!$J$9-Inputs!$I$9)))^2+Inputs!$C$6^2)/Inputs!$C$52)))-((Inputs!$H$9+Inputs!$L$9*(((Inputs!$I$9+(((A97)+1)/2)*(Inputs!$J$9-Inputs!$I$9)))/Inputs!$K$9)^2)))*1000/Inputs!$C$12)</f>
        <v/>
      </c>
      <c r="AJ97" s="10" t="n"/>
      <c r="AK97" s="9">
        <f>A97</f>
        <v/>
      </c>
      <c r="AL97" s="9">
        <f>(-2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f>
        <v/>
      </c>
      <c r="AM97" s="9">
        <f>(-2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f>
        <v/>
      </c>
      <c r="AN97" s="9">
        <f>(-2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f>
        <v/>
      </c>
      <c r="AO97" s="9">
        <f>(-2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f>
        <v/>
      </c>
      <c r="AP97" s="10" t="n"/>
      <c r="AQ97" s="9">
        <f>A97</f>
        <v/>
      </c>
      <c r="AR97" s="9">
        <f>0</f>
        <v/>
      </c>
      <c r="AS97" s="9">
        <f>IF(OR(Inputs!$F$6=TRUE,Inputs!$F$6="TRUE",Inputs!$F$6=1),IF(OR(Inputs!$C$27=TRUE,Inputs!$C$27="TRUE",Inputs!$C$27=1),1,0)*(Inputs!$C$51*(115*EXP(-(((Inputs!$C$6)-25)^2)/(4.5^2))+70*EXP(-(((Inputs!$C$6)+38)^2)/(7^2))*(0.55+0.45*SIN(2*PI()*((Inputs!$I$6+(((A97)+1)/2)*(Inputs!$J$6-Inputs!$I$6)))/45))+24*SIN(2*PI()*(Inputs!$C$6)/9+((Inputs!$I$6+(((A97)+1)/2)*(Inputs!$J$6-Inputs!$I$6)))/18)*EXP(-(((Inputs!$C$6)+5)^2)/(22^2))+18*SIN(2*PI()*((Inputs!$I$6+(((A97)+1)/2)*(Inputs!$J$6-Inputs!$I$6)))/70))+Inputs!$C$28*EXP(-((((Inputs!$I$6+(((A97)+1)/2)*(Inputs!$J$6-Inputs!$I$6)))-Inputs!$C$29)^2)/(2*Inputs!$C$31^2))*EXP(-(((Inputs!$C$6)-Inputs!$C$30)^2)/(2*Inputs!$C$32^2))+-Inputs!$C$33*EXP(-((((((Inputs!$I$6+(((A97)+1)/2)*(Inputs!$J$6-Inputs!$I$6)))-Inputs!$C$34)^2)+(((Inputs!$C$6)-Inputs!$C$35)^2))/(2*Inputs!$C$36^2)))+Inputs!$C$37*(0.55*SIN(2*PI()*((Inputs!$I$6+(((A97)+1)/2)*(Inputs!$J$6-Inputs!$I$6)))/Inputs!$C$39)+0.35*COS(2*PI()*(Inputs!$C$6)/Inputs!$C$40)+0.2*SIN(2*PI()*(((Inputs!$I$6+(((A97)+1)/2)*(Inputs!$J$6-Inputs!$I$6)))+(Inputs!$C$6))/(0.5*(Inputs!$C$39+Inputs!$C$40))))+Inputs!$C$38*SIN(2*PI()*((Inputs!$I$6+(((A97)+1)/2)*(Inputs!$J$6-Inputs!$I$6)))/Inputs!$C$39)*SIN(2*PI()*(Inputs!$C$6)/Inputs!$C$40)+-Inputs!$C$41*EXP(-(((Inputs!$C$6)-Inputs!$C$43)^2)/(2*Inputs!$C$44^2))*EXP(-((((Inputs!$I$6+(((A97)+1)/2)*(Inputs!$J$6-Inputs!$I$6)))-Inputs!$C$42)^2)/(2*Inputs!$C$45^2))+Inputs!$C$48*(0.7*(0.45*SIN(2*PI()*((((Inputs!$I$6+(((A97)+1)/2)*(Inputs!$J$6-Inputs!$I$6)))/Inputs!$C$49)+Inputs!$C$47*0.137))+0.35*COS(2*PI()*(((Inputs!$C$6)/Inputs!$C$50)+Inputs!$C$47*0.173))+0.2*SIN(2*PI()*((((Inputs!$I$6+(((A97)+1)/2)*(Inputs!$J$6-Inputs!$I$6)))+(Inputs!$C$6))/(0.5*(Inputs!$C$49+Inputs!$C$50))+Inputs!$C$47*0.097)))+0.3*(2*((SIN((((Inputs!$I$6+(((A97)+1)/2)*(Inputs!$J$6-Inputs!$I$6)))*12.9898+(Inputs!$C$6)*78.233+Inputs!$C$47*37.719))*43758.5453)-INT((SIN((((Inputs!$I$6+(((A97)+1)/2)*(Inputs!$J$6-Inputs!$I$6)))*12.9898+(Inputs!$C$6)*78.233+Inputs!$C$47*37.719))*43758.5453)))-1))),NA())</f>
        <v/>
      </c>
      <c r="AT97" s="9">
        <f>IF(OR(Inputs!$F$7=TRUE,Inputs!$F$7="TRUE",Inputs!$F$7=1),IF(OR(Inputs!$C$27=TRUE,Inputs!$C$27="TRUE",Inputs!$C$27=1),1,0)*(Inputs!$C$51*(115*EXP(-(((Inputs!$C$6)-25)^2)/(4.5^2))+70*EXP(-(((Inputs!$C$6)+38)^2)/(7^2))*(0.55+0.45*SIN(2*PI()*((Inputs!$I$7+(((A97)+1)/2)*(Inputs!$J$7-Inputs!$I$7)))/45))+24*SIN(2*PI()*(Inputs!$C$6)/9+((Inputs!$I$7+(((A97)+1)/2)*(Inputs!$J$7-Inputs!$I$7)))/18)*EXP(-(((Inputs!$C$6)+5)^2)/(22^2))+18*SIN(2*PI()*((Inputs!$I$7+(((A97)+1)/2)*(Inputs!$J$7-Inputs!$I$7)))/70))+Inputs!$C$28*EXP(-((((Inputs!$I$7+(((A97)+1)/2)*(Inputs!$J$7-Inputs!$I$7)))-Inputs!$C$29)^2)/(2*Inputs!$C$31^2))*EXP(-(((Inputs!$C$6)-Inputs!$C$30)^2)/(2*Inputs!$C$32^2))+-Inputs!$C$33*EXP(-((((((Inputs!$I$7+(((A97)+1)/2)*(Inputs!$J$7-Inputs!$I$7)))-Inputs!$C$34)^2)+(((Inputs!$C$6)-Inputs!$C$35)^2))/(2*Inputs!$C$36^2)))+Inputs!$C$37*(0.55*SIN(2*PI()*((Inputs!$I$7+(((A97)+1)/2)*(Inputs!$J$7-Inputs!$I$7)))/Inputs!$C$39)+0.35*COS(2*PI()*(Inputs!$C$6)/Inputs!$C$40)+0.2*SIN(2*PI()*(((Inputs!$I$7+(((A97)+1)/2)*(Inputs!$J$7-Inputs!$I$7)))+(Inputs!$C$6))/(0.5*(Inputs!$C$39+Inputs!$C$40))))+Inputs!$C$38*SIN(2*PI()*((Inputs!$I$7+(((A97)+1)/2)*(Inputs!$J$7-Inputs!$I$7)))/Inputs!$C$39)*SIN(2*PI()*(Inputs!$C$6)/Inputs!$C$40)+-Inputs!$C$41*EXP(-(((Inputs!$C$6)-Inputs!$C$43)^2)/(2*Inputs!$C$44^2))*EXP(-((((Inputs!$I$7+(((A97)+1)/2)*(Inputs!$J$7-Inputs!$I$7)))-Inputs!$C$42)^2)/(2*Inputs!$C$45^2))+Inputs!$C$48*(0.7*(0.45*SIN(2*PI()*((((Inputs!$I$7+(((A97)+1)/2)*(Inputs!$J$7-Inputs!$I$7)))/Inputs!$C$49)+Inputs!$C$47*0.137))+0.35*COS(2*PI()*(((Inputs!$C$6)/Inputs!$C$50)+Inputs!$C$47*0.173))+0.2*SIN(2*PI()*((((Inputs!$I$7+(((A97)+1)/2)*(Inputs!$J$7-Inputs!$I$7)))+(Inputs!$C$6))/(0.5*(Inputs!$C$49+Inputs!$C$50))+Inputs!$C$47*0.097)))+0.3*(2*((SIN((((Inputs!$I$7+(((A97)+1)/2)*(Inputs!$J$7-Inputs!$I$7)))*12.9898+(Inputs!$C$6)*78.233+Inputs!$C$47*37.719))*43758.5453)-INT((SIN((((Inputs!$I$7+(((A97)+1)/2)*(Inputs!$J$7-Inputs!$I$7)))*12.9898+(Inputs!$C$6)*78.233+Inputs!$C$47*37.719))*43758.5453)))-1))),NA())</f>
        <v/>
      </c>
      <c r="AU97" s="9">
        <f>IF(OR(Inputs!$F$8=TRUE,Inputs!$F$8="TRUE",Inputs!$F$8=1),IF(OR(Inputs!$C$27=TRUE,Inputs!$C$27="TRUE",Inputs!$C$27=1),1,0)*(Inputs!$C$51*(115*EXP(-(((Inputs!$C$6)-25)^2)/(4.5^2))+70*EXP(-(((Inputs!$C$6)+38)^2)/(7^2))*(0.55+0.45*SIN(2*PI()*((Inputs!$I$8+(((A97)+1)/2)*(Inputs!$J$8-Inputs!$I$8)))/45))+24*SIN(2*PI()*(Inputs!$C$6)/9+((Inputs!$I$8+(((A97)+1)/2)*(Inputs!$J$8-Inputs!$I$8)))/18)*EXP(-(((Inputs!$C$6)+5)^2)/(22^2))+18*SIN(2*PI()*((Inputs!$I$8+(((A97)+1)/2)*(Inputs!$J$8-Inputs!$I$8)))/70))+Inputs!$C$28*EXP(-((((Inputs!$I$8+(((A97)+1)/2)*(Inputs!$J$8-Inputs!$I$8)))-Inputs!$C$29)^2)/(2*Inputs!$C$31^2))*EXP(-(((Inputs!$C$6)-Inputs!$C$30)^2)/(2*Inputs!$C$32^2))+-Inputs!$C$33*EXP(-((((((Inputs!$I$8+(((A97)+1)/2)*(Inputs!$J$8-Inputs!$I$8)))-Inputs!$C$34)^2)+(((Inputs!$C$6)-Inputs!$C$35)^2))/(2*Inputs!$C$36^2)))+Inputs!$C$37*(0.55*SIN(2*PI()*((Inputs!$I$8+(((A97)+1)/2)*(Inputs!$J$8-Inputs!$I$8)))/Inputs!$C$39)+0.35*COS(2*PI()*(Inputs!$C$6)/Inputs!$C$40)+0.2*SIN(2*PI()*(((Inputs!$I$8+(((A97)+1)/2)*(Inputs!$J$8-Inputs!$I$8)))+(Inputs!$C$6))/(0.5*(Inputs!$C$39+Inputs!$C$40))))+Inputs!$C$38*SIN(2*PI()*((Inputs!$I$8+(((A97)+1)/2)*(Inputs!$J$8-Inputs!$I$8)))/Inputs!$C$39)*SIN(2*PI()*(Inputs!$C$6)/Inputs!$C$40)+-Inputs!$C$41*EXP(-(((Inputs!$C$6)-Inputs!$C$43)^2)/(2*Inputs!$C$44^2))*EXP(-((((Inputs!$I$8+(((A97)+1)/2)*(Inputs!$J$8-Inputs!$I$8)))-Inputs!$C$42)^2)/(2*Inputs!$C$45^2))+Inputs!$C$48*(0.7*(0.45*SIN(2*PI()*((((Inputs!$I$8+(((A97)+1)/2)*(Inputs!$J$8-Inputs!$I$8)))/Inputs!$C$49)+Inputs!$C$47*0.137))+0.35*COS(2*PI()*(((Inputs!$C$6)/Inputs!$C$50)+Inputs!$C$47*0.173))+0.2*SIN(2*PI()*((((Inputs!$I$8+(((A97)+1)/2)*(Inputs!$J$8-Inputs!$I$8)))+(Inputs!$C$6))/(0.5*(Inputs!$C$49+Inputs!$C$50))+Inputs!$C$47*0.097)))+0.3*(2*((SIN((((Inputs!$I$8+(((A97)+1)/2)*(Inputs!$J$8-Inputs!$I$8)))*12.9898+(Inputs!$C$6)*78.233+Inputs!$C$47*37.719))*43758.5453)-INT((SIN((((Inputs!$I$8+(((A97)+1)/2)*(Inputs!$J$8-Inputs!$I$8)))*12.9898+(Inputs!$C$6)*78.233+Inputs!$C$47*37.719))*43758.5453)))-1))),NA())</f>
        <v/>
      </c>
      <c r="AV97" s="9">
        <f>IF(OR(Inputs!$F$9=TRUE,Inputs!$F$9="TRUE",Inputs!$F$9=1),IF(OR(Inputs!$C$27=TRUE,Inputs!$C$27="TRUE",Inputs!$C$27=1),1,0)*(Inputs!$C$51*(115*EXP(-(((Inputs!$C$6)-25)^2)/(4.5^2))+70*EXP(-(((Inputs!$C$6)+38)^2)/(7^2))*(0.55+0.45*SIN(2*PI()*((Inputs!$I$9+(((A97)+1)/2)*(Inputs!$J$9-Inputs!$I$9)))/45))+24*SIN(2*PI()*(Inputs!$C$6)/9+((Inputs!$I$9+(((A97)+1)/2)*(Inputs!$J$9-Inputs!$I$9)))/18)*EXP(-(((Inputs!$C$6)+5)^2)/(22^2))+18*SIN(2*PI()*((Inputs!$I$9+(((A97)+1)/2)*(Inputs!$J$9-Inputs!$I$9)))/70))+Inputs!$C$28*EXP(-((((Inputs!$I$9+(((A97)+1)/2)*(Inputs!$J$9-Inputs!$I$9)))-Inputs!$C$29)^2)/(2*Inputs!$C$31^2))*EXP(-(((Inputs!$C$6)-Inputs!$C$30)^2)/(2*Inputs!$C$32^2))+-Inputs!$C$33*EXP(-((((((Inputs!$I$9+(((A97)+1)/2)*(Inputs!$J$9-Inputs!$I$9)))-Inputs!$C$34)^2)+(((Inputs!$C$6)-Inputs!$C$35)^2))/(2*Inputs!$C$36^2)))+Inputs!$C$37*(0.55*SIN(2*PI()*((Inputs!$I$9+(((A97)+1)/2)*(Inputs!$J$9-Inputs!$I$9)))/Inputs!$C$39)+0.35*COS(2*PI()*(Inputs!$C$6)/Inputs!$C$40)+0.2*SIN(2*PI()*(((Inputs!$I$9+(((A97)+1)/2)*(Inputs!$J$9-Inputs!$I$9)))+(Inputs!$C$6))/(0.5*(Inputs!$C$39+Inputs!$C$40))))+Inputs!$C$38*SIN(2*PI()*((Inputs!$I$9+(((A97)+1)/2)*(Inputs!$J$9-Inputs!$I$9)))/Inputs!$C$39)*SIN(2*PI()*(Inputs!$C$6)/Inputs!$C$40)+-Inputs!$C$41*EXP(-(((Inputs!$C$6)-Inputs!$C$43)^2)/(2*Inputs!$C$44^2))*EXP(-((((Inputs!$I$9+(((A97)+1)/2)*(Inputs!$J$9-Inputs!$I$9)))-Inputs!$C$42)^2)/(2*Inputs!$C$45^2))+Inputs!$C$48*(0.7*(0.45*SIN(2*PI()*((((Inputs!$I$9+(((A97)+1)/2)*(Inputs!$J$9-Inputs!$I$9)))/Inputs!$C$49)+Inputs!$C$47*0.137))+0.35*COS(2*PI()*(((Inputs!$C$6)/Inputs!$C$50)+Inputs!$C$47*0.173))+0.2*SIN(2*PI()*((((Inputs!$I$9+(((A97)+1)/2)*(Inputs!$J$9-Inputs!$I$9)))+(Inputs!$C$6))/(0.5*(Inputs!$C$49+Inputs!$C$50))+Inputs!$C$47*0.097)))+0.3*(2*((SIN((((Inputs!$I$9+(((A97)+1)/2)*(Inputs!$J$9-Inputs!$I$9)))*12.9898+(Inputs!$C$6)*78.233+Inputs!$C$47*37.719))*43758.5453)-INT((SIN((((Inputs!$I$9+(((A97)+1)/2)*(Inputs!$J$9-Inputs!$I$9)))*12.9898+(Inputs!$C$6)*78.233+Inputs!$C$47*37.719))*43758.5453)))-1))),NA())</f>
        <v/>
      </c>
      <c r="AW97" s="10" t="n"/>
      <c r="AX97" s="9">
        <f>A97</f>
        <v/>
      </c>
      <c r="AY97" s="9">
        <f>0</f>
        <v/>
      </c>
      <c r="AZ97" s="9">
        <f>IF(OR(Inputs!$F$6=TRUE,Inputs!$F$6="TRUE",Inputs!$F$6=1),(Inputs!$H$6+Inputs!$L$6*(((Inputs!$I$6+(((A97)+1)/2)*(Inputs!$J$6-Inputs!$I$6)))/Inputs!$K$6)^2),NA())</f>
        <v/>
      </c>
      <c r="BA97" s="9">
        <f>IF(OR(Inputs!$F$7=TRUE,Inputs!$F$7="TRUE",Inputs!$F$7=1),(Inputs!$H$7+Inputs!$L$7*(((Inputs!$I$7+(((A97)+1)/2)*(Inputs!$J$7-Inputs!$I$7)))/Inputs!$K$7)^2),NA())</f>
        <v/>
      </c>
      <c r="BB97" s="9">
        <f>IF(OR(Inputs!$F$8=TRUE,Inputs!$F$8="TRUE",Inputs!$F$8=1),(Inputs!$H$8+Inputs!$L$8*(((Inputs!$I$8+(((A97)+1)/2)*(Inputs!$J$8-Inputs!$I$8)))/Inputs!$K$8)^2),NA())</f>
        <v/>
      </c>
      <c r="BC97" s="9">
        <f>IF(OR(Inputs!$F$9=TRUE,Inputs!$F$9="TRUE",Inputs!$F$9=1),(Inputs!$H$9+Inputs!$L$9*(((Inputs!$I$9+(((A97)+1)/2)*(Inputs!$J$9-Inputs!$I$9)))/Inputs!$K$9)^2),NA())</f>
        <v/>
      </c>
      <c r="BD97" s="10" t="n"/>
      <c r="BE97" s="9">
        <f>A97</f>
        <v/>
      </c>
      <c r="BF97" s="9">
        <f>0</f>
        <v/>
      </c>
      <c r="BG97" s="9">
        <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f>
        <v/>
      </c>
      <c r="BH97" s="9">
        <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f>
        <v/>
      </c>
      <c r="BI97" s="9">
        <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f>
        <v/>
      </c>
      <c r="BJ97" s="9">
        <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f>
        <v/>
      </c>
    </row>
    <row r="98">
      <c r="A98" s="9">
        <f>ROUND(-1+96*2/240,3)</f>
        <v/>
      </c>
      <c r="B98" s="9">
        <f>IF(OR(Inputs!$F$6=TRUE,Inputs!$F$6="TRUE",Inputs!$F$6=1),(Inputs!$H$6+Inputs!$L$6*(((Inputs!$I$6+(((A98)+1)/2)*(Inputs!$J$6-Inputs!$I$6)))/Inputs!$K$6)^2),NA())</f>
        <v/>
      </c>
      <c r="C98" s="9">
        <f>IF(OR(Inputs!$F$7=TRUE,Inputs!$F$7="TRUE",Inputs!$F$7=1),(Inputs!$H$7+Inputs!$L$7*(((Inputs!$I$7+(((A98)+1)/2)*(Inputs!$J$7-Inputs!$I$7)))/Inputs!$K$7)^2),NA())</f>
        <v/>
      </c>
      <c r="D98" s="9">
        <f>IF(OR(Inputs!$F$8=TRUE,Inputs!$F$8="TRUE",Inputs!$F$8=1),(Inputs!$H$8+Inputs!$L$8*(((Inputs!$I$8+(((A98)+1)/2)*(Inputs!$J$8-Inputs!$I$8)))/Inputs!$K$8)^2),NA())</f>
        <v/>
      </c>
      <c r="E98" s="9">
        <f>IF(OR(Inputs!$F$9=TRUE,Inputs!$F$9="TRUE",Inputs!$F$9=1),(Inputs!$H$9+Inputs!$L$9*(((Inputs!$I$9+(((A98)+1)/2)*(Inputs!$J$9-Inputs!$I$9)))/Inputs!$K$9)^2),NA())</f>
        <v/>
      </c>
      <c r="F98" s="10" t="n"/>
      <c r="G98" s="9">
        <f>A98</f>
        <v/>
      </c>
      <c r="H98" s="9">
        <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f>
        <v/>
      </c>
      <c r="I98" s="9">
        <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f>
        <v/>
      </c>
      <c r="J98" s="9">
        <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f>
        <v/>
      </c>
      <c r="K98" s="9">
        <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f>
        <v/>
      </c>
      <c r="L98" s="10" t="n"/>
      <c r="M98" s="9">
        <f>A98</f>
        <v/>
      </c>
      <c r="N98" s="9">
        <f>IF(OR(Inputs!$F$6=TRUE,Inputs!$F$6="TRUE",Inputs!$F$6=1),(-2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NA())</f>
        <v/>
      </c>
      <c r="O98" s="9">
        <f>IF(OR(Inputs!$F$7=TRUE,Inputs!$F$7="TRUE",Inputs!$F$7=1),(-2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NA())</f>
        <v/>
      </c>
      <c r="P98" s="9">
        <f>IF(OR(Inputs!$F$8=TRUE,Inputs!$F$8="TRUE",Inputs!$F$8=1),(-2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NA())</f>
        <v/>
      </c>
      <c r="Q98" s="9">
        <f>IF(OR(Inputs!$F$9=TRUE,Inputs!$F$9="TRUE",Inputs!$F$9=1),(-2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NA())</f>
        <v/>
      </c>
      <c r="R98" s="10" t="n"/>
      <c r="S98" s="9">
        <f>A98</f>
        <v/>
      </c>
      <c r="T98" s="9">
        <f>(Inputs!$I$6+(((A98)+1)/2)*(Inputs!$J$6-Inputs!$I$6))</f>
        <v/>
      </c>
      <c r="U98" s="9">
        <f>(Inputs!$I$7+(((A98)+1)/2)*(Inputs!$J$7-Inputs!$I$7))</f>
        <v/>
      </c>
      <c r="V98" s="9">
        <f>(Inputs!$I$8+(((A98)+1)/2)*(Inputs!$J$8-Inputs!$I$8))</f>
        <v/>
      </c>
      <c r="W98" s="9">
        <f>(Inputs!$I$9+(((A98)+1)/2)*(Inputs!$J$9-Inputs!$I$9))</f>
        <v/>
      </c>
      <c r="X98" s="10" t="n"/>
      <c r="Y98" s="9">
        <f>A98</f>
        <v/>
      </c>
      <c r="Z98" s="9">
        <f>(Inputs!$H$6+Inputs!$L$6*(((Inputs!$I$6+(((A98)+1)/2)*(Inputs!$J$6-Inputs!$I$6)))/Inputs!$K$6)^2)</f>
        <v/>
      </c>
      <c r="AA98" s="9">
        <f>(Inputs!$H$7+Inputs!$L$7*(((Inputs!$I$7+(((A98)+1)/2)*(Inputs!$J$7-Inputs!$I$7)))/Inputs!$K$7)^2)</f>
        <v/>
      </c>
      <c r="AB98" s="9">
        <f>(Inputs!$H$8+Inputs!$L$8*(((Inputs!$I$8+(((A98)+1)/2)*(Inputs!$J$8-Inputs!$I$8)))/Inputs!$K$8)^2)</f>
        <v/>
      </c>
      <c r="AC98" s="9">
        <f>(Inputs!$H$9+Inputs!$L$9*(((Inputs!$I$9+(((A98)+1)/2)*(Inputs!$J$9-Inputs!$I$9)))/Inputs!$K$9)^2)</f>
        <v/>
      </c>
      <c r="AD98" s="10" t="n"/>
      <c r="AE98" s="9">
        <f>A98</f>
        <v/>
      </c>
      <c r="AF98" s="9">
        <f>(((SQRT((Inputs!$C$52+((Inputs!$H$6+Inputs!$L$6*(((Inputs!$I$6+(((A98)+1)/2)*(Inputs!$J$6-Inputs!$I$6)))/Inputs!$K$6)^2)))^2+Inputs!$C$52^2-2*(Inputs!$C$52+((Inputs!$H$6+Inputs!$L$6*(((Inputs!$I$6+(((A98)+1)/2)*(Inputs!$J$6-Inputs!$I$6)))/Inputs!$K$6)^2)))*Inputs!$C$52*COS(SQRT(((Inputs!$I$6+(((A98)+1)/2)*(Inputs!$J$6-Inputs!$I$6)))^2+Inputs!$C$6^2)/Inputs!$C$52)))-((Inputs!$H$6+Inputs!$L$6*(((Inputs!$I$6+(((A98)+1)/2)*(Inputs!$J$6-Inputs!$I$6)))/Inputs!$K$6)^2)))*1000/Inputs!$C$12)</f>
        <v/>
      </c>
      <c r="AG98" s="9">
        <f>(((SQRT((Inputs!$C$52+((Inputs!$H$7+Inputs!$L$7*(((Inputs!$I$7+(((A98)+1)/2)*(Inputs!$J$7-Inputs!$I$7)))/Inputs!$K$7)^2)))^2+Inputs!$C$52^2-2*(Inputs!$C$52+((Inputs!$H$7+Inputs!$L$7*(((Inputs!$I$7+(((A98)+1)/2)*(Inputs!$J$7-Inputs!$I$7)))/Inputs!$K$7)^2)))*Inputs!$C$52*COS(SQRT(((Inputs!$I$7+(((A98)+1)/2)*(Inputs!$J$7-Inputs!$I$7)))^2+Inputs!$C$6^2)/Inputs!$C$52)))-((Inputs!$H$7+Inputs!$L$7*(((Inputs!$I$7+(((A98)+1)/2)*(Inputs!$J$7-Inputs!$I$7)))/Inputs!$K$7)^2)))*1000/Inputs!$C$12)</f>
        <v/>
      </c>
      <c r="AH98" s="9">
        <f>(((SQRT((Inputs!$C$52+((Inputs!$H$8+Inputs!$L$8*(((Inputs!$I$8+(((A98)+1)/2)*(Inputs!$J$8-Inputs!$I$8)))/Inputs!$K$8)^2)))^2+Inputs!$C$52^2-2*(Inputs!$C$52+((Inputs!$H$8+Inputs!$L$8*(((Inputs!$I$8+(((A98)+1)/2)*(Inputs!$J$8-Inputs!$I$8)))/Inputs!$K$8)^2)))*Inputs!$C$52*COS(SQRT(((Inputs!$I$8+(((A98)+1)/2)*(Inputs!$J$8-Inputs!$I$8)))^2+Inputs!$C$6^2)/Inputs!$C$52)))-((Inputs!$H$8+Inputs!$L$8*(((Inputs!$I$8+(((A98)+1)/2)*(Inputs!$J$8-Inputs!$I$8)))/Inputs!$K$8)^2)))*1000/Inputs!$C$12)</f>
        <v/>
      </c>
      <c r="AI98" s="9">
        <f>(((SQRT((Inputs!$C$52+((Inputs!$H$9+Inputs!$L$9*(((Inputs!$I$9+(((A98)+1)/2)*(Inputs!$J$9-Inputs!$I$9)))/Inputs!$K$9)^2)))^2+Inputs!$C$52^2-2*(Inputs!$C$52+((Inputs!$H$9+Inputs!$L$9*(((Inputs!$I$9+(((A98)+1)/2)*(Inputs!$J$9-Inputs!$I$9)))/Inputs!$K$9)^2)))*Inputs!$C$52*COS(SQRT(((Inputs!$I$9+(((A98)+1)/2)*(Inputs!$J$9-Inputs!$I$9)))^2+Inputs!$C$6^2)/Inputs!$C$52)))-((Inputs!$H$9+Inputs!$L$9*(((Inputs!$I$9+(((A98)+1)/2)*(Inputs!$J$9-Inputs!$I$9)))/Inputs!$K$9)^2)))*1000/Inputs!$C$12)</f>
        <v/>
      </c>
      <c r="AJ98" s="10" t="n"/>
      <c r="AK98" s="9">
        <f>A98</f>
        <v/>
      </c>
      <c r="AL98" s="9">
        <f>(-2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f>
        <v/>
      </c>
      <c r="AM98" s="9">
        <f>(-2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f>
        <v/>
      </c>
      <c r="AN98" s="9">
        <f>(-2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f>
        <v/>
      </c>
      <c r="AO98" s="9">
        <f>(-2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f>
        <v/>
      </c>
      <c r="AP98" s="10" t="n"/>
      <c r="AQ98" s="9">
        <f>A98</f>
        <v/>
      </c>
      <c r="AR98" s="9">
        <f>0</f>
        <v/>
      </c>
      <c r="AS98" s="9">
        <f>IF(OR(Inputs!$F$6=TRUE,Inputs!$F$6="TRUE",Inputs!$F$6=1),IF(OR(Inputs!$C$27=TRUE,Inputs!$C$27="TRUE",Inputs!$C$27=1),1,0)*(Inputs!$C$51*(115*EXP(-(((Inputs!$C$6)-25)^2)/(4.5^2))+70*EXP(-(((Inputs!$C$6)+38)^2)/(7^2))*(0.55+0.45*SIN(2*PI()*((Inputs!$I$6+(((A98)+1)/2)*(Inputs!$J$6-Inputs!$I$6)))/45))+24*SIN(2*PI()*(Inputs!$C$6)/9+((Inputs!$I$6+(((A98)+1)/2)*(Inputs!$J$6-Inputs!$I$6)))/18)*EXP(-(((Inputs!$C$6)+5)^2)/(22^2))+18*SIN(2*PI()*((Inputs!$I$6+(((A98)+1)/2)*(Inputs!$J$6-Inputs!$I$6)))/70))+Inputs!$C$28*EXP(-((((Inputs!$I$6+(((A98)+1)/2)*(Inputs!$J$6-Inputs!$I$6)))-Inputs!$C$29)^2)/(2*Inputs!$C$31^2))*EXP(-(((Inputs!$C$6)-Inputs!$C$30)^2)/(2*Inputs!$C$32^2))+-Inputs!$C$33*EXP(-((((((Inputs!$I$6+(((A98)+1)/2)*(Inputs!$J$6-Inputs!$I$6)))-Inputs!$C$34)^2)+(((Inputs!$C$6)-Inputs!$C$35)^2))/(2*Inputs!$C$36^2)))+Inputs!$C$37*(0.55*SIN(2*PI()*((Inputs!$I$6+(((A98)+1)/2)*(Inputs!$J$6-Inputs!$I$6)))/Inputs!$C$39)+0.35*COS(2*PI()*(Inputs!$C$6)/Inputs!$C$40)+0.2*SIN(2*PI()*(((Inputs!$I$6+(((A98)+1)/2)*(Inputs!$J$6-Inputs!$I$6)))+(Inputs!$C$6))/(0.5*(Inputs!$C$39+Inputs!$C$40))))+Inputs!$C$38*SIN(2*PI()*((Inputs!$I$6+(((A98)+1)/2)*(Inputs!$J$6-Inputs!$I$6)))/Inputs!$C$39)*SIN(2*PI()*(Inputs!$C$6)/Inputs!$C$40)+-Inputs!$C$41*EXP(-(((Inputs!$C$6)-Inputs!$C$43)^2)/(2*Inputs!$C$44^2))*EXP(-((((Inputs!$I$6+(((A98)+1)/2)*(Inputs!$J$6-Inputs!$I$6)))-Inputs!$C$42)^2)/(2*Inputs!$C$45^2))+Inputs!$C$48*(0.7*(0.45*SIN(2*PI()*((((Inputs!$I$6+(((A98)+1)/2)*(Inputs!$J$6-Inputs!$I$6)))/Inputs!$C$49)+Inputs!$C$47*0.137))+0.35*COS(2*PI()*(((Inputs!$C$6)/Inputs!$C$50)+Inputs!$C$47*0.173))+0.2*SIN(2*PI()*((((Inputs!$I$6+(((A98)+1)/2)*(Inputs!$J$6-Inputs!$I$6)))+(Inputs!$C$6))/(0.5*(Inputs!$C$49+Inputs!$C$50))+Inputs!$C$47*0.097)))+0.3*(2*((SIN((((Inputs!$I$6+(((A98)+1)/2)*(Inputs!$J$6-Inputs!$I$6)))*12.9898+(Inputs!$C$6)*78.233+Inputs!$C$47*37.719))*43758.5453)-INT((SIN((((Inputs!$I$6+(((A98)+1)/2)*(Inputs!$J$6-Inputs!$I$6)))*12.9898+(Inputs!$C$6)*78.233+Inputs!$C$47*37.719))*43758.5453)))-1))),NA())</f>
        <v/>
      </c>
      <c r="AT98" s="9">
        <f>IF(OR(Inputs!$F$7=TRUE,Inputs!$F$7="TRUE",Inputs!$F$7=1),IF(OR(Inputs!$C$27=TRUE,Inputs!$C$27="TRUE",Inputs!$C$27=1),1,0)*(Inputs!$C$51*(115*EXP(-(((Inputs!$C$6)-25)^2)/(4.5^2))+70*EXP(-(((Inputs!$C$6)+38)^2)/(7^2))*(0.55+0.45*SIN(2*PI()*((Inputs!$I$7+(((A98)+1)/2)*(Inputs!$J$7-Inputs!$I$7)))/45))+24*SIN(2*PI()*(Inputs!$C$6)/9+((Inputs!$I$7+(((A98)+1)/2)*(Inputs!$J$7-Inputs!$I$7)))/18)*EXP(-(((Inputs!$C$6)+5)^2)/(22^2))+18*SIN(2*PI()*((Inputs!$I$7+(((A98)+1)/2)*(Inputs!$J$7-Inputs!$I$7)))/70))+Inputs!$C$28*EXP(-((((Inputs!$I$7+(((A98)+1)/2)*(Inputs!$J$7-Inputs!$I$7)))-Inputs!$C$29)^2)/(2*Inputs!$C$31^2))*EXP(-(((Inputs!$C$6)-Inputs!$C$30)^2)/(2*Inputs!$C$32^2))+-Inputs!$C$33*EXP(-((((((Inputs!$I$7+(((A98)+1)/2)*(Inputs!$J$7-Inputs!$I$7)))-Inputs!$C$34)^2)+(((Inputs!$C$6)-Inputs!$C$35)^2))/(2*Inputs!$C$36^2)))+Inputs!$C$37*(0.55*SIN(2*PI()*((Inputs!$I$7+(((A98)+1)/2)*(Inputs!$J$7-Inputs!$I$7)))/Inputs!$C$39)+0.35*COS(2*PI()*(Inputs!$C$6)/Inputs!$C$40)+0.2*SIN(2*PI()*(((Inputs!$I$7+(((A98)+1)/2)*(Inputs!$J$7-Inputs!$I$7)))+(Inputs!$C$6))/(0.5*(Inputs!$C$39+Inputs!$C$40))))+Inputs!$C$38*SIN(2*PI()*((Inputs!$I$7+(((A98)+1)/2)*(Inputs!$J$7-Inputs!$I$7)))/Inputs!$C$39)*SIN(2*PI()*(Inputs!$C$6)/Inputs!$C$40)+-Inputs!$C$41*EXP(-(((Inputs!$C$6)-Inputs!$C$43)^2)/(2*Inputs!$C$44^2))*EXP(-((((Inputs!$I$7+(((A98)+1)/2)*(Inputs!$J$7-Inputs!$I$7)))-Inputs!$C$42)^2)/(2*Inputs!$C$45^2))+Inputs!$C$48*(0.7*(0.45*SIN(2*PI()*((((Inputs!$I$7+(((A98)+1)/2)*(Inputs!$J$7-Inputs!$I$7)))/Inputs!$C$49)+Inputs!$C$47*0.137))+0.35*COS(2*PI()*(((Inputs!$C$6)/Inputs!$C$50)+Inputs!$C$47*0.173))+0.2*SIN(2*PI()*((((Inputs!$I$7+(((A98)+1)/2)*(Inputs!$J$7-Inputs!$I$7)))+(Inputs!$C$6))/(0.5*(Inputs!$C$49+Inputs!$C$50))+Inputs!$C$47*0.097)))+0.3*(2*((SIN((((Inputs!$I$7+(((A98)+1)/2)*(Inputs!$J$7-Inputs!$I$7)))*12.9898+(Inputs!$C$6)*78.233+Inputs!$C$47*37.719))*43758.5453)-INT((SIN((((Inputs!$I$7+(((A98)+1)/2)*(Inputs!$J$7-Inputs!$I$7)))*12.9898+(Inputs!$C$6)*78.233+Inputs!$C$47*37.719))*43758.5453)))-1))),NA())</f>
        <v/>
      </c>
      <c r="AU98" s="9">
        <f>IF(OR(Inputs!$F$8=TRUE,Inputs!$F$8="TRUE",Inputs!$F$8=1),IF(OR(Inputs!$C$27=TRUE,Inputs!$C$27="TRUE",Inputs!$C$27=1),1,0)*(Inputs!$C$51*(115*EXP(-(((Inputs!$C$6)-25)^2)/(4.5^2))+70*EXP(-(((Inputs!$C$6)+38)^2)/(7^2))*(0.55+0.45*SIN(2*PI()*((Inputs!$I$8+(((A98)+1)/2)*(Inputs!$J$8-Inputs!$I$8)))/45))+24*SIN(2*PI()*(Inputs!$C$6)/9+((Inputs!$I$8+(((A98)+1)/2)*(Inputs!$J$8-Inputs!$I$8)))/18)*EXP(-(((Inputs!$C$6)+5)^2)/(22^2))+18*SIN(2*PI()*((Inputs!$I$8+(((A98)+1)/2)*(Inputs!$J$8-Inputs!$I$8)))/70))+Inputs!$C$28*EXP(-((((Inputs!$I$8+(((A98)+1)/2)*(Inputs!$J$8-Inputs!$I$8)))-Inputs!$C$29)^2)/(2*Inputs!$C$31^2))*EXP(-(((Inputs!$C$6)-Inputs!$C$30)^2)/(2*Inputs!$C$32^2))+-Inputs!$C$33*EXP(-((((((Inputs!$I$8+(((A98)+1)/2)*(Inputs!$J$8-Inputs!$I$8)))-Inputs!$C$34)^2)+(((Inputs!$C$6)-Inputs!$C$35)^2))/(2*Inputs!$C$36^2)))+Inputs!$C$37*(0.55*SIN(2*PI()*((Inputs!$I$8+(((A98)+1)/2)*(Inputs!$J$8-Inputs!$I$8)))/Inputs!$C$39)+0.35*COS(2*PI()*(Inputs!$C$6)/Inputs!$C$40)+0.2*SIN(2*PI()*(((Inputs!$I$8+(((A98)+1)/2)*(Inputs!$J$8-Inputs!$I$8)))+(Inputs!$C$6))/(0.5*(Inputs!$C$39+Inputs!$C$40))))+Inputs!$C$38*SIN(2*PI()*((Inputs!$I$8+(((A98)+1)/2)*(Inputs!$J$8-Inputs!$I$8)))/Inputs!$C$39)*SIN(2*PI()*(Inputs!$C$6)/Inputs!$C$40)+-Inputs!$C$41*EXP(-(((Inputs!$C$6)-Inputs!$C$43)^2)/(2*Inputs!$C$44^2))*EXP(-((((Inputs!$I$8+(((A98)+1)/2)*(Inputs!$J$8-Inputs!$I$8)))-Inputs!$C$42)^2)/(2*Inputs!$C$45^2))+Inputs!$C$48*(0.7*(0.45*SIN(2*PI()*((((Inputs!$I$8+(((A98)+1)/2)*(Inputs!$J$8-Inputs!$I$8)))/Inputs!$C$49)+Inputs!$C$47*0.137))+0.35*COS(2*PI()*(((Inputs!$C$6)/Inputs!$C$50)+Inputs!$C$47*0.173))+0.2*SIN(2*PI()*((((Inputs!$I$8+(((A98)+1)/2)*(Inputs!$J$8-Inputs!$I$8)))+(Inputs!$C$6))/(0.5*(Inputs!$C$49+Inputs!$C$50))+Inputs!$C$47*0.097)))+0.3*(2*((SIN((((Inputs!$I$8+(((A98)+1)/2)*(Inputs!$J$8-Inputs!$I$8)))*12.9898+(Inputs!$C$6)*78.233+Inputs!$C$47*37.719))*43758.5453)-INT((SIN((((Inputs!$I$8+(((A98)+1)/2)*(Inputs!$J$8-Inputs!$I$8)))*12.9898+(Inputs!$C$6)*78.233+Inputs!$C$47*37.719))*43758.5453)))-1))),NA())</f>
        <v/>
      </c>
      <c r="AV98" s="9">
        <f>IF(OR(Inputs!$F$9=TRUE,Inputs!$F$9="TRUE",Inputs!$F$9=1),IF(OR(Inputs!$C$27=TRUE,Inputs!$C$27="TRUE",Inputs!$C$27=1),1,0)*(Inputs!$C$51*(115*EXP(-(((Inputs!$C$6)-25)^2)/(4.5^2))+70*EXP(-(((Inputs!$C$6)+38)^2)/(7^2))*(0.55+0.45*SIN(2*PI()*((Inputs!$I$9+(((A98)+1)/2)*(Inputs!$J$9-Inputs!$I$9)))/45))+24*SIN(2*PI()*(Inputs!$C$6)/9+((Inputs!$I$9+(((A98)+1)/2)*(Inputs!$J$9-Inputs!$I$9)))/18)*EXP(-(((Inputs!$C$6)+5)^2)/(22^2))+18*SIN(2*PI()*((Inputs!$I$9+(((A98)+1)/2)*(Inputs!$J$9-Inputs!$I$9)))/70))+Inputs!$C$28*EXP(-((((Inputs!$I$9+(((A98)+1)/2)*(Inputs!$J$9-Inputs!$I$9)))-Inputs!$C$29)^2)/(2*Inputs!$C$31^2))*EXP(-(((Inputs!$C$6)-Inputs!$C$30)^2)/(2*Inputs!$C$32^2))+-Inputs!$C$33*EXP(-((((((Inputs!$I$9+(((A98)+1)/2)*(Inputs!$J$9-Inputs!$I$9)))-Inputs!$C$34)^2)+(((Inputs!$C$6)-Inputs!$C$35)^2))/(2*Inputs!$C$36^2)))+Inputs!$C$37*(0.55*SIN(2*PI()*((Inputs!$I$9+(((A98)+1)/2)*(Inputs!$J$9-Inputs!$I$9)))/Inputs!$C$39)+0.35*COS(2*PI()*(Inputs!$C$6)/Inputs!$C$40)+0.2*SIN(2*PI()*(((Inputs!$I$9+(((A98)+1)/2)*(Inputs!$J$9-Inputs!$I$9)))+(Inputs!$C$6))/(0.5*(Inputs!$C$39+Inputs!$C$40))))+Inputs!$C$38*SIN(2*PI()*((Inputs!$I$9+(((A98)+1)/2)*(Inputs!$J$9-Inputs!$I$9)))/Inputs!$C$39)*SIN(2*PI()*(Inputs!$C$6)/Inputs!$C$40)+-Inputs!$C$41*EXP(-(((Inputs!$C$6)-Inputs!$C$43)^2)/(2*Inputs!$C$44^2))*EXP(-((((Inputs!$I$9+(((A98)+1)/2)*(Inputs!$J$9-Inputs!$I$9)))-Inputs!$C$42)^2)/(2*Inputs!$C$45^2))+Inputs!$C$48*(0.7*(0.45*SIN(2*PI()*((((Inputs!$I$9+(((A98)+1)/2)*(Inputs!$J$9-Inputs!$I$9)))/Inputs!$C$49)+Inputs!$C$47*0.137))+0.35*COS(2*PI()*(((Inputs!$C$6)/Inputs!$C$50)+Inputs!$C$47*0.173))+0.2*SIN(2*PI()*((((Inputs!$I$9+(((A98)+1)/2)*(Inputs!$J$9-Inputs!$I$9)))+(Inputs!$C$6))/(0.5*(Inputs!$C$49+Inputs!$C$50))+Inputs!$C$47*0.097)))+0.3*(2*((SIN((((Inputs!$I$9+(((A98)+1)/2)*(Inputs!$J$9-Inputs!$I$9)))*12.9898+(Inputs!$C$6)*78.233+Inputs!$C$47*37.719))*43758.5453)-INT((SIN((((Inputs!$I$9+(((A98)+1)/2)*(Inputs!$J$9-Inputs!$I$9)))*12.9898+(Inputs!$C$6)*78.233+Inputs!$C$47*37.719))*43758.5453)))-1))),NA())</f>
        <v/>
      </c>
      <c r="AW98" s="10" t="n"/>
      <c r="AX98" s="9">
        <f>A98</f>
        <v/>
      </c>
      <c r="AY98" s="9">
        <f>0</f>
        <v/>
      </c>
      <c r="AZ98" s="9">
        <f>IF(OR(Inputs!$F$6=TRUE,Inputs!$F$6="TRUE",Inputs!$F$6=1),(Inputs!$H$6+Inputs!$L$6*(((Inputs!$I$6+(((A98)+1)/2)*(Inputs!$J$6-Inputs!$I$6)))/Inputs!$K$6)^2),NA())</f>
        <v/>
      </c>
      <c r="BA98" s="9">
        <f>IF(OR(Inputs!$F$7=TRUE,Inputs!$F$7="TRUE",Inputs!$F$7=1),(Inputs!$H$7+Inputs!$L$7*(((Inputs!$I$7+(((A98)+1)/2)*(Inputs!$J$7-Inputs!$I$7)))/Inputs!$K$7)^2),NA())</f>
        <v/>
      </c>
      <c r="BB98" s="9">
        <f>IF(OR(Inputs!$F$8=TRUE,Inputs!$F$8="TRUE",Inputs!$F$8=1),(Inputs!$H$8+Inputs!$L$8*(((Inputs!$I$8+(((A98)+1)/2)*(Inputs!$J$8-Inputs!$I$8)))/Inputs!$K$8)^2),NA())</f>
        <v/>
      </c>
      <c r="BC98" s="9">
        <f>IF(OR(Inputs!$F$9=TRUE,Inputs!$F$9="TRUE",Inputs!$F$9=1),(Inputs!$H$9+Inputs!$L$9*(((Inputs!$I$9+(((A98)+1)/2)*(Inputs!$J$9-Inputs!$I$9)))/Inputs!$K$9)^2),NA())</f>
        <v/>
      </c>
      <c r="BD98" s="10" t="n"/>
      <c r="BE98" s="9">
        <f>A98</f>
        <v/>
      </c>
      <c r="BF98" s="9">
        <f>0</f>
        <v/>
      </c>
      <c r="BG98" s="9">
        <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f>
        <v/>
      </c>
      <c r="BH98" s="9">
        <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f>
        <v/>
      </c>
      <c r="BI98" s="9">
        <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f>
        <v/>
      </c>
      <c r="BJ98" s="9">
        <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f>
        <v/>
      </c>
    </row>
    <row r="99">
      <c r="A99" s="9">
        <f>ROUND(-1+97*2/240,3)</f>
        <v/>
      </c>
      <c r="B99" s="9">
        <f>IF(OR(Inputs!$F$6=TRUE,Inputs!$F$6="TRUE",Inputs!$F$6=1),(Inputs!$H$6+Inputs!$L$6*(((Inputs!$I$6+(((A99)+1)/2)*(Inputs!$J$6-Inputs!$I$6)))/Inputs!$K$6)^2),NA())</f>
        <v/>
      </c>
      <c r="C99" s="9">
        <f>IF(OR(Inputs!$F$7=TRUE,Inputs!$F$7="TRUE",Inputs!$F$7=1),(Inputs!$H$7+Inputs!$L$7*(((Inputs!$I$7+(((A99)+1)/2)*(Inputs!$J$7-Inputs!$I$7)))/Inputs!$K$7)^2),NA())</f>
        <v/>
      </c>
      <c r="D99" s="9">
        <f>IF(OR(Inputs!$F$8=TRUE,Inputs!$F$8="TRUE",Inputs!$F$8=1),(Inputs!$H$8+Inputs!$L$8*(((Inputs!$I$8+(((A99)+1)/2)*(Inputs!$J$8-Inputs!$I$8)))/Inputs!$K$8)^2),NA())</f>
        <v/>
      </c>
      <c r="E99" s="9">
        <f>IF(OR(Inputs!$F$9=TRUE,Inputs!$F$9="TRUE",Inputs!$F$9=1),(Inputs!$H$9+Inputs!$L$9*(((Inputs!$I$9+(((A99)+1)/2)*(Inputs!$J$9-Inputs!$I$9)))/Inputs!$K$9)^2),NA())</f>
        <v/>
      </c>
      <c r="F99" s="10" t="n"/>
      <c r="G99" s="9">
        <f>A99</f>
        <v/>
      </c>
      <c r="H99" s="9">
        <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f>
        <v/>
      </c>
      <c r="I99" s="9">
        <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f>
        <v/>
      </c>
      <c r="J99" s="9">
        <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f>
        <v/>
      </c>
      <c r="K99" s="9">
        <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f>
        <v/>
      </c>
      <c r="L99" s="10" t="n"/>
      <c r="M99" s="9">
        <f>A99</f>
        <v/>
      </c>
      <c r="N99" s="9">
        <f>IF(OR(Inputs!$F$6=TRUE,Inputs!$F$6="TRUE",Inputs!$F$6=1),(-2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NA())</f>
        <v/>
      </c>
      <c r="O99" s="9">
        <f>IF(OR(Inputs!$F$7=TRUE,Inputs!$F$7="TRUE",Inputs!$F$7=1),(-2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NA())</f>
        <v/>
      </c>
      <c r="P99" s="9">
        <f>IF(OR(Inputs!$F$8=TRUE,Inputs!$F$8="TRUE",Inputs!$F$8=1),(-2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NA())</f>
        <v/>
      </c>
      <c r="Q99" s="9">
        <f>IF(OR(Inputs!$F$9=TRUE,Inputs!$F$9="TRUE",Inputs!$F$9=1),(-2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NA())</f>
        <v/>
      </c>
      <c r="R99" s="10" t="n"/>
      <c r="S99" s="9">
        <f>A99</f>
        <v/>
      </c>
      <c r="T99" s="9">
        <f>(Inputs!$I$6+(((A99)+1)/2)*(Inputs!$J$6-Inputs!$I$6))</f>
        <v/>
      </c>
      <c r="U99" s="9">
        <f>(Inputs!$I$7+(((A99)+1)/2)*(Inputs!$J$7-Inputs!$I$7))</f>
        <v/>
      </c>
      <c r="V99" s="9">
        <f>(Inputs!$I$8+(((A99)+1)/2)*(Inputs!$J$8-Inputs!$I$8))</f>
        <v/>
      </c>
      <c r="W99" s="9">
        <f>(Inputs!$I$9+(((A99)+1)/2)*(Inputs!$J$9-Inputs!$I$9))</f>
        <v/>
      </c>
      <c r="X99" s="10" t="n"/>
      <c r="Y99" s="9">
        <f>A99</f>
        <v/>
      </c>
      <c r="Z99" s="9">
        <f>(Inputs!$H$6+Inputs!$L$6*(((Inputs!$I$6+(((A99)+1)/2)*(Inputs!$J$6-Inputs!$I$6)))/Inputs!$K$6)^2)</f>
        <v/>
      </c>
      <c r="AA99" s="9">
        <f>(Inputs!$H$7+Inputs!$L$7*(((Inputs!$I$7+(((A99)+1)/2)*(Inputs!$J$7-Inputs!$I$7)))/Inputs!$K$7)^2)</f>
        <v/>
      </c>
      <c r="AB99" s="9">
        <f>(Inputs!$H$8+Inputs!$L$8*(((Inputs!$I$8+(((A99)+1)/2)*(Inputs!$J$8-Inputs!$I$8)))/Inputs!$K$8)^2)</f>
        <v/>
      </c>
      <c r="AC99" s="9">
        <f>(Inputs!$H$9+Inputs!$L$9*(((Inputs!$I$9+(((A99)+1)/2)*(Inputs!$J$9-Inputs!$I$9)))/Inputs!$K$9)^2)</f>
        <v/>
      </c>
      <c r="AD99" s="10" t="n"/>
      <c r="AE99" s="9">
        <f>A99</f>
        <v/>
      </c>
      <c r="AF99" s="9">
        <f>(((SQRT((Inputs!$C$52+((Inputs!$H$6+Inputs!$L$6*(((Inputs!$I$6+(((A99)+1)/2)*(Inputs!$J$6-Inputs!$I$6)))/Inputs!$K$6)^2)))^2+Inputs!$C$52^2-2*(Inputs!$C$52+((Inputs!$H$6+Inputs!$L$6*(((Inputs!$I$6+(((A99)+1)/2)*(Inputs!$J$6-Inputs!$I$6)))/Inputs!$K$6)^2)))*Inputs!$C$52*COS(SQRT(((Inputs!$I$6+(((A99)+1)/2)*(Inputs!$J$6-Inputs!$I$6)))^2+Inputs!$C$6^2)/Inputs!$C$52)))-((Inputs!$H$6+Inputs!$L$6*(((Inputs!$I$6+(((A99)+1)/2)*(Inputs!$J$6-Inputs!$I$6)))/Inputs!$K$6)^2)))*1000/Inputs!$C$12)</f>
        <v/>
      </c>
      <c r="AG99" s="9">
        <f>(((SQRT((Inputs!$C$52+((Inputs!$H$7+Inputs!$L$7*(((Inputs!$I$7+(((A99)+1)/2)*(Inputs!$J$7-Inputs!$I$7)))/Inputs!$K$7)^2)))^2+Inputs!$C$52^2-2*(Inputs!$C$52+((Inputs!$H$7+Inputs!$L$7*(((Inputs!$I$7+(((A99)+1)/2)*(Inputs!$J$7-Inputs!$I$7)))/Inputs!$K$7)^2)))*Inputs!$C$52*COS(SQRT(((Inputs!$I$7+(((A99)+1)/2)*(Inputs!$J$7-Inputs!$I$7)))^2+Inputs!$C$6^2)/Inputs!$C$52)))-((Inputs!$H$7+Inputs!$L$7*(((Inputs!$I$7+(((A99)+1)/2)*(Inputs!$J$7-Inputs!$I$7)))/Inputs!$K$7)^2)))*1000/Inputs!$C$12)</f>
        <v/>
      </c>
      <c r="AH99" s="9">
        <f>(((SQRT((Inputs!$C$52+((Inputs!$H$8+Inputs!$L$8*(((Inputs!$I$8+(((A99)+1)/2)*(Inputs!$J$8-Inputs!$I$8)))/Inputs!$K$8)^2)))^2+Inputs!$C$52^2-2*(Inputs!$C$52+((Inputs!$H$8+Inputs!$L$8*(((Inputs!$I$8+(((A99)+1)/2)*(Inputs!$J$8-Inputs!$I$8)))/Inputs!$K$8)^2)))*Inputs!$C$52*COS(SQRT(((Inputs!$I$8+(((A99)+1)/2)*(Inputs!$J$8-Inputs!$I$8)))^2+Inputs!$C$6^2)/Inputs!$C$52)))-((Inputs!$H$8+Inputs!$L$8*(((Inputs!$I$8+(((A99)+1)/2)*(Inputs!$J$8-Inputs!$I$8)))/Inputs!$K$8)^2)))*1000/Inputs!$C$12)</f>
        <v/>
      </c>
      <c r="AI99" s="9">
        <f>(((SQRT((Inputs!$C$52+((Inputs!$H$9+Inputs!$L$9*(((Inputs!$I$9+(((A99)+1)/2)*(Inputs!$J$9-Inputs!$I$9)))/Inputs!$K$9)^2)))^2+Inputs!$C$52^2-2*(Inputs!$C$52+((Inputs!$H$9+Inputs!$L$9*(((Inputs!$I$9+(((A99)+1)/2)*(Inputs!$J$9-Inputs!$I$9)))/Inputs!$K$9)^2)))*Inputs!$C$52*COS(SQRT(((Inputs!$I$9+(((A99)+1)/2)*(Inputs!$J$9-Inputs!$I$9)))^2+Inputs!$C$6^2)/Inputs!$C$52)))-((Inputs!$H$9+Inputs!$L$9*(((Inputs!$I$9+(((A99)+1)/2)*(Inputs!$J$9-Inputs!$I$9)))/Inputs!$K$9)^2)))*1000/Inputs!$C$12)</f>
        <v/>
      </c>
      <c r="AJ99" s="10" t="n"/>
      <c r="AK99" s="9">
        <f>A99</f>
        <v/>
      </c>
      <c r="AL99" s="9">
        <f>(-2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f>
        <v/>
      </c>
      <c r="AM99" s="9">
        <f>(-2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f>
        <v/>
      </c>
      <c r="AN99" s="9">
        <f>(-2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f>
        <v/>
      </c>
      <c r="AO99" s="9">
        <f>(-2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f>
        <v/>
      </c>
      <c r="AP99" s="10" t="n"/>
      <c r="AQ99" s="9">
        <f>A99</f>
        <v/>
      </c>
      <c r="AR99" s="9">
        <f>0</f>
        <v/>
      </c>
      <c r="AS99" s="9">
        <f>IF(OR(Inputs!$F$6=TRUE,Inputs!$F$6="TRUE",Inputs!$F$6=1),IF(OR(Inputs!$C$27=TRUE,Inputs!$C$27="TRUE",Inputs!$C$27=1),1,0)*(Inputs!$C$51*(115*EXP(-(((Inputs!$C$6)-25)^2)/(4.5^2))+70*EXP(-(((Inputs!$C$6)+38)^2)/(7^2))*(0.55+0.45*SIN(2*PI()*((Inputs!$I$6+(((A99)+1)/2)*(Inputs!$J$6-Inputs!$I$6)))/45))+24*SIN(2*PI()*(Inputs!$C$6)/9+((Inputs!$I$6+(((A99)+1)/2)*(Inputs!$J$6-Inputs!$I$6)))/18)*EXP(-(((Inputs!$C$6)+5)^2)/(22^2))+18*SIN(2*PI()*((Inputs!$I$6+(((A99)+1)/2)*(Inputs!$J$6-Inputs!$I$6)))/70))+Inputs!$C$28*EXP(-((((Inputs!$I$6+(((A99)+1)/2)*(Inputs!$J$6-Inputs!$I$6)))-Inputs!$C$29)^2)/(2*Inputs!$C$31^2))*EXP(-(((Inputs!$C$6)-Inputs!$C$30)^2)/(2*Inputs!$C$32^2))+-Inputs!$C$33*EXP(-((((((Inputs!$I$6+(((A99)+1)/2)*(Inputs!$J$6-Inputs!$I$6)))-Inputs!$C$34)^2)+(((Inputs!$C$6)-Inputs!$C$35)^2))/(2*Inputs!$C$36^2)))+Inputs!$C$37*(0.55*SIN(2*PI()*((Inputs!$I$6+(((A99)+1)/2)*(Inputs!$J$6-Inputs!$I$6)))/Inputs!$C$39)+0.35*COS(2*PI()*(Inputs!$C$6)/Inputs!$C$40)+0.2*SIN(2*PI()*(((Inputs!$I$6+(((A99)+1)/2)*(Inputs!$J$6-Inputs!$I$6)))+(Inputs!$C$6))/(0.5*(Inputs!$C$39+Inputs!$C$40))))+Inputs!$C$38*SIN(2*PI()*((Inputs!$I$6+(((A99)+1)/2)*(Inputs!$J$6-Inputs!$I$6)))/Inputs!$C$39)*SIN(2*PI()*(Inputs!$C$6)/Inputs!$C$40)+-Inputs!$C$41*EXP(-(((Inputs!$C$6)-Inputs!$C$43)^2)/(2*Inputs!$C$44^2))*EXP(-((((Inputs!$I$6+(((A99)+1)/2)*(Inputs!$J$6-Inputs!$I$6)))-Inputs!$C$42)^2)/(2*Inputs!$C$45^2))+Inputs!$C$48*(0.7*(0.45*SIN(2*PI()*((((Inputs!$I$6+(((A99)+1)/2)*(Inputs!$J$6-Inputs!$I$6)))/Inputs!$C$49)+Inputs!$C$47*0.137))+0.35*COS(2*PI()*(((Inputs!$C$6)/Inputs!$C$50)+Inputs!$C$47*0.173))+0.2*SIN(2*PI()*((((Inputs!$I$6+(((A99)+1)/2)*(Inputs!$J$6-Inputs!$I$6)))+(Inputs!$C$6))/(0.5*(Inputs!$C$49+Inputs!$C$50))+Inputs!$C$47*0.097)))+0.3*(2*((SIN((((Inputs!$I$6+(((A99)+1)/2)*(Inputs!$J$6-Inputs!$I$6)))*12.9898+(Inputs!$C$6)*78.233+Inputs!$C$47*37.719))*43758.5453)-INT((SIN((((Inputs!$I$6+(((A99)+1)/2)*(Inputs!$J$6-Inputs!$I$6)))*12.9898+(Inputs!$C$6)*78.233+Inputs!$C$47*37.719))*43758.5453)))-1))),NA())</f>
        <v/>
      </c>
      <c r="AT99" s="9">
        <f>IF(OR(Inputs!$F$7=TRUE,Inputs!$F$7="TRUE",Inputs!$F$7=1),IF(OR(Inputs!$C$27=TRUE,Inputs!$C$27="TRUE",Inputs!$C$27=1),1,0)*(Inputs!$C$51*(115*EXP(-(((Inputs!$C$6)-25)^2)/(4.5^2))+70*EXP(-(((Inputs!$C$6)+38)^2)/(7^2))*(0.55+0.45*SIN(2*PI()*((Inputs!$I$7+(((A99)+1)/2)*(Inputs!$J$7-Inputs!$I$7)))/45))+24*SIN(2*PI()*(Inputs!$C$6)/9+((Inputs!$I$7+(((A99)+1)/2)*(Inputs!$J$7-Inputs!$I$7)))/18)*EXP(-(((Inputs!$C$6)+5)^2)/(22^2))+18*SIN(2*PI()*((Inputs!$I$7+(((A99)+1)/2)*(Inputs!$J$7-Inputs!$I$7)))/70))+Inputs!$C$28*EXP(-((((Inputs!$I$7+(((A99)+1)/2)*(Inputs!$J$7-Inputs!$I$7)))-Inputs!$C$29)^2)/(2*Inputs!$C$31^2))*EXP(-(((Inputs!$C$6)-Inputs!$C$30)^2)/(2*Inputs!$C$32^2))+-Inputs!$C$33*EXP(-((((((Inputs!$I$7+(((A99)+1)/2)*(Inputs!$J$7-Inputs!$I$7)))-Inputs!$C$34)^2)+(((Inputs!$C$6)-Inputs!$C$35)^2))/(2*Inputs!$C$36^2)))+Inputs!$C$37*(0.55*SIN(2*PI()*((Inputs!$I$7+(((A99)+1)/2)*(Inputs!$J$7-Inputs!$I$7)))/Inputs!$C$39)+0.35*COS(2*PI()*(Inputs!$C$6)/Inputs!$C$40)+0.2*SIN(2*PI()*(((Inputs!$I$7+(((A99)+1)/2)*(Inputs!$J$7-Inputs!$I$7)))+(Inputs!$C$6))/(0.5*(Inputs!$C$39+Inputs!$C$40))))+Inputs!$C$38*SIN(2*PI()*((Inputs!$I$7+(((A99)+1)/2)*(Inputs!$J$7-Inputs!$I$7)))/Inputs!$C$39)*SIN(2*PI()*(Inputs!$C$6)/Inputs!$C$40)+-Inputs!$C$41*EXP(-(((Inputs!$C$6)-Inputs!$C$43)^2)/(2*Inputs!$C$44^2))*EXP(-((((Inputs!$I$7+(((A99)+1)/2)*(Inputs!$J$7-Inputs!$I$7)))-Inputs!$C$42)^2)/(2*Inputs!$C$45^2))+Inputs!$C$48*(0.7*(0.45*SIN(2*PI()*((((Inputs!$I$7+(((A99)+1)/2)*(Inputs!$J$7-Inputs!$I$7)))/Inputs!$C$49)+Inputs!$C$47*0.137))+0.35*COS(2*PI()*(((Inputs!$C$6)/Inputs!$C$50)+Inputs!$C$47*0.173))+0.2*SIN(2*PI()*((((Inputs!$I$7+(((A99)+1)/2)*(Inputs!$J$7-Inputs!$I$7)))+(Inputs!$C$6))/(0.5*(Inputs!$C$49+Inputs!$C$50))+Inputs!$C$47*0.097)))+0.3*(2*((SIN((((Inputs!$I$7+(((A99)+1)/2)*(Inputs!$J$7-Inputs!$I$7)))*12.9898+(Inputs!$C$6)*78.233+Inputs!$C$47*37.719))*43758.5453)-INT((SIN((((Inputs!$I$7+(((A99)+1)/2)*(Inputs!$J$7-Inputs!$I$7)))*12.9898+(Inputs!$C$6)*78.233+Inputs!$C$47*37.719))*43758.5453)))-1))),NA())</f>
        <v/>
      </c>
      <c r="AU99" s="9">
        <f>IF(OR(Inputs!$F$8=TRUE,Inputs!$F$8="TRUE",Inputs!$F$8=1),IF(OR(Inputs!$C$27=TRUE,Inputs!$C$27="TRUE",Inputs!$C$27=1),1,0)*(Inputs!$C$51*(115*EXP(-(((Inputs!$C$6)-25)^2)/(4.5^2))+70*EXP(-(((Inputs!$C$6)+38)^2)/(7^2))*(0.55+0.45*SIN(2*PI()*((Inputs!$I$8+(((A99)+1)/2)*(Inputs!$J$8-Inputs!$I$8)))/45))+24*SIN(2*PI()*(Inputs!$C$6)/9+((Inputs!$I$8+(((A99)+1)/2)*(Inputs!$J$8-Inputs!$I$8)))/18)*EXP(-(((Inputs!$C$6)+5)^2)/(22^2))+18*SIN(2*PI()*((Inputs!$I$8+(((A99)+1)/2)*(Inputs!$J$8-Inputs!$I$8)))/70))+Inputs!$C$28*EXP(-((((Inputs!$I$8+(((A99)+1)/2)*(Inputs!$J$8-Inputs!$I$8)))-Inputs!$C$29)^2)/(2*Inputs!$C$31^2))*EXP(-(((Inputs!$C$6)-Inputs!$C$30)^2)/(2*Inputs!$C$32^2))+-Inputs!$C$33*EXP(-((((((Inputs!$I$8+(((A99)+1)/2)*(Inputs!$J$8-Inputs!$I$8)))-Inputs!$C$34)^2)+(((Inputs!$C$6)-Inputs!$C$35)^2))/(2*Inputs!$C$36^2)))+Inputs!$C$37*(0.55*SIN(2*PI()*((Inputs!$I$8+(((A99)+1)/2)*(Inputs!$J$8-Inputs!$I$8)))/Inputs!$C$39)+0.35*COS(2*PI()*(Inputs!$C$6)/Inputs!$C$40)+0.2*SIN(2*PI()*(((Inputs!$I$8+(((A99)+1)/2)*(Inputs!$J$8-Inputs!$I$8)))+(Inputs!$C$6))/(0.5*(Inputs!$C$39+Inputs!$C$40))))+Inputs!$C$38*SIN(2*PI()*((Inputs!$I$8+(((A99)+1)/2)*(Inputs!$J$8-Inputs!$I$8)))/Inputs!$C$39)*SIN(2*PI()*(Inputs!$C$6)/Inputs!$C$40)+-Inputs!$C$41*EXP(-(((Inputs!$C$6)-Inputs!$C$43)^2)/(2*Inputs!$C$44^2))*EXP(-((((Inputs!$I$8+(((A99)+1)/2)*(Inputs!$J$8-Inputs!$I$8)))-Inputs!$C$42)^2)/(2*Inputs!$C$45^2))+Inputs!$C$48*(0.7*(0.45*SIN(2*PI()*((((Inputs!$I$8+(((A99)+1)/2)*(Inputs!$J$8-Inputs!$I$8)))/Inputs!$C$49)+Inputs!$C$47*0.137))+0.35*COS(2*PI()*(((Inputs!$C$6)/Inputs!$C$50)+Inputs!$C$47*0.173))+0.2*SIN(2*PI()*((((Inputs!$I$8+(((A99)+1)/2)*(Inputs!$J$8-Inputs!$I$8)))+(Inputs!$C$6))/(0.5*(Inputs!$C$49+Inputs!$C$50))+Inputs!$C$47*0.097)))+0.3*(2*((SIN((((Inputs!$I$8+(((A99)+1)/2)*(Inputs!$J$8-Inputs!$I$8)))*12.9898+(Inputs!$C$6)*78.233+Inputs!$C$47*37.719))*43758.5453)-INT((SIN((((Inputs!$I$8+(((A99)+1)/2)*(Inputs!$J$8-Inputs!$I$8)))*12.9898+(Inputs!$C$6)*78.233+Inputs!$C$47*37.719))*43758.5453)))-1))),NA())</f>
        <v/>
      </c>
      <c r="AV99" s="9">
        <f>IF(OR(Inputs!$F$9=TRUE,Inputs!$F$9="TRUE",Inputs!$F$9=1),IF(OR(Inputs!$C$27=TRUE,Inputs!$C$27="TRUE",Inputs!$C$27=1),1,0)*(Inputs!$C$51*(115*EXP(-(((Inputs!$C$6)-25)^2)/(4.5^2))+70*EXP(-(((Inputs!$C$6)+38)^2)/(7^2))*(0.55+0.45*SIN(2*PI()*((Inputs!$I$9+(((A99)+1)/2)*(Inputs!$J$9-Inputs!$I$9)))/45))+24*SIN(2*PI()*(Inputs!$C$6)/9+((Inputs!$I$9+(((A99)+1)/2)*(Inputs!$J$9-Inputs!$I$9)))/18)*EXP(-(((Inputs!$C$6)+5)^2)/(22^2))+18*SIN(2*PI()*((Inputs!$I$9+(((A99)+1)/2)*(Inputs!$J$9-Inputs!$I$9)))/70))+Inputs!$C$28*EXP(-((((Inputs!$I$9+(((A99)+1)/2)*(Inputs!$J$9-Inputs!$I$9)))-Inputs!$C$29)^2)/(2*Inputs!$C$31^2))*EXP(-(((Inputs!$C$6)-Inputs!$C$30)^2)/(2*Inputs!$C$32^2))+-Inputs!$C$33*EXP(-((((((Inputs!$I$9+(((A99)+1)/2)*(Inputs!$J$9-Inputs!$I$9)))-Inputs!$C$34)^2)+(((Inputs!$C$6)-Inputs!$C$35)^2))/(2*Inputs!$C$36^2)))+Inputs!$C$37*(0.55*SIN(2*PI()*((Inputs!$I$9+(((A99)+1)/2)*(Inputs!$J$9-Inputs!$I$9)))/Inputs!$C$39)+0.35*COS(2*PI()*(Inputs!$C$6)/Inputs!$C$40)+0.2*SIN(2*PI()*(((Inputs!$I$9+(((A99)+1)/2)*(Inputs!$J$9-Inputs!$I$9)))+(Inputs!$C$6))/(0.5*(Inputs!$C$39+Inputs!$C$40))))+Inputs!$C$38*SIN(2*PI()*((Inputs!$I$9+(((A99)+1)/2)*(Inputs!$J$9-Inputs!$I$9)))/Inputs!$C$39)*SIN(2*PI()*(Inputs!$C$6)/Inputs!$C$40)+-Inputs!$C$41*EXP(-(((Inputs!$C$6)-Inputs!$C$43)^2)/(2*Inputs!$C$44^2))*EXP(-((((Inputs!$I$9+(((A99)+1)/2)*(Inputs!$J$9-Inputs!$I$9)))-Inputs!$C$42)^2)/(2*Inputs!$C$45^2))+Inputs!$C$48*(0.7*(0.45*SIN(2*PI()*((((Inputs!$I$9+(((A99)+1)/2)*(Inputs!$J$9-Inputs!$I$9)))/Inputs!$C$49)+Inputs!$C$47*0.137))+0.35*COS(2*PI()*(((Inputs!$C$6)/Inputs!$C$50)+Inputs!$C$47*0.173))+0.2*SIN(2*PI()*((((Inputs!$I$9+(((A99)+1)/2)*(Inputs!$J$9-Inputs!$I$9)))+(Inputs!$C$6))/(0.5*(Inputs!$C$49+Inputs!$C$50))+Inputs!$C$47*0.097)))+0.3*(2*((SIN((((Inputs!$I$9+(((A99)+1)/2)*(Inputs!$J$9-Inputs!$I$9)))*12.9898+(Inputs!$C$6)*78.233+Inputs!$C$47*37.719))*43758.5453)-INT((SIN((((Inputs!$I$9+(((A99)+1)/2)*(Inputs!$J$9-Inputs!$I$9)))*12.9898+(Inputs!$C$6)*78.233+Inputs!$C$47*37.719))*43758.5453)))-1))),NA())</f>
        <v/>
      </c>
      <c r="AW99" s="10" t="n"/>
      <c r="AX99" s="9">
        <f>A99</f>
        <v/>
      </c>
      <c r="AY99" s="9">
        <f>0</f>
        <v/>
      </c>
      <c r="AZ99" s="9">
        <f>IF(OR(Inputs!$F$6=TRUE,Inputs!$F$6="TRUE",Inputs!$F$6=1),(Inputs!$H$6+Inputs!$L$6*(((Inputs!$I$6+(((A99)+1)/2)*(Inputs!$J$6-Inputs!$I$6)))/Inputs!$K$6)^2),NA())</f>
        <v/>
      </c>
      <c r="BA99" s="9">
        <f>IF(OR(Inputs!$F$7=TRUE,Inputs!$F$7="TRUE",Inputs!$F$7=1),(Inputs!$H$7+Inputs!$L$7*(((Inputs!$I$7+(((A99)+1)/2)*(Inputs!$J$7-Inputs!$I$7)))/Inputs!$K$7)^2),NA())</f>
        <v/>
      </c>
      <c r="BB99" s="9">
        <f>IF(OR(Inputs!$F$8=TRUE,Inputs!$F$8="TRUE",Inputs!$F$8=1),(Inputs!$H$8+Inputs!$L$8*(((Inputs!$I$8+(((A99)+1)/2)*(Inputs!$J$8-Inputs!$I$8)))/Inputs!$K$8)^2),NA())</f>
        <v/>
      </c>
      <c r="BC99" s="9">
        <f>IF(OR(Inputs!$F$9=TRUE,Inputs!$F$9="TRUE",Inputs!$F$9=1),(Inputs!$H$9+Inputs!$L$9*(((Inputs!$I$9+(((A99)+1)/2)*(Inputs!$J$9-Inputs!$I$9)))/Inputs!$K$9)^2),NA())</f>
        <v/>
      </c>
      <c r="BD99" s="10" t="n"/>
      <c r="BE99" s="9">
        <f>A99</f>
        <v/>
      </c>
      <c r="BF99" s="9">
        <f>0</f>
        <v/>
      </c>
      <c r="BG99" s="9">
        <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f>
        <v/>
      </c>
      <c r="BH99" s="9">
        <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f>
        <v/>
      </c>
      <c r="BI99" s="9">
        <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f>
        <v/>
      </c>
      <c r="BJ99" s="9">
        <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f>
        <v/>
      </c>
    </row>
    <row r="100">
      <c r="A100" s="9">
        <f>ROUND(-1+98*2/240,3)</f>
        <v/>
      </c>
      <c r="B100" s="9">
        <f>IF(OR(Inputs!$F$6=TRUE,Inputs!$F$6="TRUE",Inputs!$F$6=1),(Inputs!$H$6+Inputs!$L$6*(((Inputs!$I$6+(((A100)+1)/2)*(Inputs!$J$6-Inputs!$I$6)))/Inputs!$K$6)^2),NA())</f>
        <v/>
      </c>
      <c r="C100" s="9">
        <f>IF(OR(Inputs!$F$7=TRUE,Inputs!$F$7="TRUE",Inputs!$F$7=1),(Inputs!$H$7+Inputs!$L$7*(((Inputs!$I$7+(((A100)+1)/2)*(Inputs!$J$7-Inputs!$I$7)))/Inputs!$K$7)^2),NA())</f>
        <v/>
      </c>
      <c r="D100" s="9">
        <f>IF(OR(Inputs!$F$8=TRUE,Inputs!$F$8="TRUE",Inputs!$F$8=1),(Inputs!$H$8+Inputs!$L$8*(((Inputs!$I$8+(((A100)+1)/2)*(Inputs!$J$8-Inputs!$I$8)))/Inputs!$K$8)^2),NA())</f>
        <v/>
      </c>
      <c r="E100" s="9">
        <f>IF(OR(Inputs!$F$9=TRUE,Inputs!$F$9="TRUE",Inputs!$F$9=1),(Inputs!$H$9+Inputs!$L$9*(((Inputs!$I$9+(((A100)+1)/2)*(Inputs!$J$9-Inputs!$I$9)))/Inputs!$K$9)^2),NA())</f>
        <v/>
      </c>
      <c r="F100" s="10" t="n"/>
      <c r="G100" s="9">
        <f>A100</f>
        <v/>
      </c>
      <c r="H100" s="9">
        <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f>
        <v/>
      </c>
      <c r="I100" s="9">
        <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f>
        <v/>
      </c>
      <c r="J100" s="9">
        <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f>
        <v/>
      </c>
      <c r="K100" s="9">
        <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f>
        <v/>
      </c>
      <c r="L100" s="10" t="n"/>
      <c r="M100" s="9">
        <f>A100</f>
        <v/>
      </c>
      <c r="N100" s="9">
        <f>IF(OR(Inputs!$F$6=TRUE,Inputs!$F$6="TRUE",Inputs!$F$6=1),(-2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NA())</f>
        <v/>
      </c>
      <c r="O100" s="9">
        <f>IF(OR(Inputs!$F$7=TRUE,Inputs!$F$7="TRUE",Inputs!$F$7=1),(-2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NA())</f>
        <v/>
      </c>
      <c r="P100" s="9">
        <f>IF(OR(Inputs!$F$8=TRUE,Inputs!$F$8="TRUE",Inputs!$F$8=1),(-2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NA())</f>
        <v/>
      </c>
      <c r="Q100" s="9">
        <f>IF(OR(Inputs!$F$9=TRUE,Inputs!$F$9="TRUE",Inputs!$F$9=1),(-2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NA())</f>
        <v/>
      </c>
      <c r="R100" s="10" t="n"/>
      <c r="S100" s="9">
        <f>A100</f>
        <v/>
      </c>
      <c r="T100" s="9">
        <f>(Inputs!$I$6+(((A100)+1)/2)*(Inputs!$J$6-Inputs!$I$6))</f>
        <v/>
      </c>
      <c r="U100" s="9">
        <f>(Inputs!$I$7+(((A100)+1)/2)*(Inputs!$J$7-Inputs!$I$7))</f>
        <v/>
      </c>
      <c r="V100" s="9">
        <f>(Inputs!$I$8+(((A100)+1)/2)*(Inputs!$J$8-Inputs!$I$8))</f>
        <v/>
      </c>
      <c r="W100" s="9">
        <f>(Inputs!$I$9+(((A100)+1)/2)*(Inputs!$J$9-Inputs!$I$9))</f>
        <v/>
      </c>
      <c r="X100" s="10" t="n"/>
      <c r="Y100" s="9">
        <f>A100</f>
        <v/>
      </c>
      <c r="Z100" s="9">
        <f>(Inputs!$H$6+Inputs!$L$6*(((Inputs!$I$6+(((A100)+1)/2)*(Inputs!$J$6-Inputs!$I$6)))/Inputs!$K$6)^2)</f>
        <v/>
      </c>
      <c r="AA100" s="9">
        <f>(Inputs!$H$7+Inputs!$L$7*(((Inputs!$I$7+(((A100)+1)/2)*(Inputs!$J$7-Inputs!$I$7)))/Inputs!$K$7)^2)</f>
        <v/>
      </c>
      <c r="AB100" s="9">
        <f>(Inputs!$H$8+Inputs!$L$8*(((Inputs!$I$8+(((A100)+1)/2)*(Inputs!$J$8-Inputs!$I$8)))/Inputs!$K$8)^2)</f>
        <v/>
      </c>
      <c r="AC100" s="9">
        <f>(Inputs!$H$9+Inputs!$L$9*(((Inputs!$I$9+(((A100)+1)/2)*(Inputs!$J$9-Inputs!$I$9)))/Inputs!$K$9)^2)</f>
        <v/>
      </c>
      <c r="AD100" s="10" t="n"/>
      <c r="AE100" s="9">
        <f>A100</f>
        <v/>
      </c>
      <c r="AF100" s="9">
        <f>(((SQRT((Inputs!$C$52+((Inputs!$H$6+Inputs!$L$6*(((Inputs!$I$6+(((A100)+1)/2)*(Inputs!$J$6-Inputs!$I$6)))/Inputs!$K$6)^2)))^2+Inputs!$C$52^2-2*(Inputs!$C$52+((Inputs!$H$6+Inputs!$L$6*(((Inputs!$I$6+(((A100)+1)/2)*(Inputs!$J$6-Inputs!$I$6)))/Inputs!$K$6)^2)))*Inputs!$C$52*COS(SQRT(((Inputs!$I$6+(((A100)+1)/2)*(Inputs!$J$6-Inputs!$I$6)))^2+Inputs!$C$6^2)/Inputs!$C$52)))-((Inputs!$H$6+Inputs!$L$6*(((Inputs!$I$6+(((A100)+1)/2)*(Inputs!$J$6-Inputs!$I$6)))/Inputs!$K$6)^2)))*1000/Inputs!$C$12)</f>
        <v/>
      </c>
      <c r="AG100" s="9">
        <f>(((SQRT((Inputs!$C$52+((Inputs!$H$7+Inputs!$L$7*(((Inputs!$I$7+(((A100)+1)/2)*(Inputs!$J$7-Inputs!$I$7)))/Inputs!$K$7)^2)))^2+Inputs!$C$52^2-2*(Inputs!$C$52+((Inputs!$H$7+Inputs!$L$7*(((Inputs!$I$7+(((A100)+1)/2)*(Inputs!$J$7-Inputs!$I$7)))/Inputs!$K$7)^2)))*Inputs!$C$52*COS(SQRT(((Inputs!$I$7+(((A100)+1)/2)*(Inputs!$J$7-Inputs!$I$7)))^2+Inputs!$C$6^2)/Inputs!$C$52)))-((Inputs!$H$7+Inputs!$L$7*(((Inputs!$I$7+(((A100)+1)/2)*(Inputs!$J$7-Inputs!$I$7)))/Inputs!$K$7)^2)))*1000/Inputs!$C$12)</f>
        <v/>
      </c>
      <c r="AH100" s="9">
        <f>(((SQRT((Inputs!$C$52+((Inputs!$H$8+Inputs!$L$8*(((Inputs!$I$8+(((A100)+1)/2)*(Inputs!$J$8-Inputs!$I$8)))/Inputs!$K$8)^2)))^2+Inputs!$C$52^2-2*(Inputs!$C$52+((Inputs!$H$8+Inputs!$L$8*(((Inputs!$I$8+(((A100)+1)/2)*(Inputs!$J$8-Inputs!$I$8)))/Inputs!$K$8)^2)))*Inputs!$C$52*COS(SQRT(((Inputs!$I$8+(((A100)+1)/2)*(Inputs!$J$8-Inputs!$I$8)))^2+Inputs!$C$6^2)/Inputs!$C$52)))-((Inputs!$H$8+Inputs!$L$8*(((Inputs!$I$8+(((A100)+1)/2)*(Inputs!$J$8-Inputs!$I$8)))/Inputs!$K$8)^2)))*1000/Inputs!$C$12)</f>
        <v/>
      </c>
      <c r="AI100" s="9">
        <f>(((SQRT((Inputs!$C$52+((Inputs!$H$9+Inputs!$L$9*(((Inputs!$I$9+(((A100)+1)/2)*(Inputs!$J$9-Inputs!$I$9)))/Inputs!$K$9)^2)))^2+Inputs!$C$52^2-2*(Inputs!$C$52+((Inputs!$H$9+Inputs!$L$9*(((Inputs!$I$9+(((A100)+1)/2)*(Inputs!$J$9-Inputs!$I$9)))/Inputs!$K$9)^2)))*Inputs!$C$52*COS(SQRT(((Inputs!$I$9+(((A100)+1)/2)*(Inputs!$J$9-Inputs!$I$9)))^2+Inputs!$C$6^2)/Inputs!$C$52)))-((Inputs!$H$9+Inputs!$L$9*(((Inputs!$I$9+(((A100)+1)/2)*(Inputs!$J$9-Inputs!$I$9)))/Inputs!$K$9)^2)))*1000/Inputs!$C$12)</f>
        <v/>
      </c>
      <c r="AJ100" s="10" t="n"/>
      <c r="AK100" s="9">
        <f>A100</f>
        <v/>
      </c>
      <c r="AL100" s="9">
        <f>(-2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f>
        <v/>
      </c>
      <c r="AM100" s="9">
        <f>(-2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f>
        <v/>
      </c>
      <c r="AN100" s="9">
        <f>(-2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f>
        <v/>
      </c>
      <c r="AO100" s="9">
        <f>(-2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f>
        <v/>
      </c>
      <c r="AP100" s="10" t="n"/>
      <c r="AQ100" s="9">
        <f>A100</f>
        <v/>
      </c>
      <c r="AR100" s="9">
        <f>0</f>
        <v/>
      </c>
      <c r="AS100" s="9">
        <f>IF(OR(Inputs!$F$6=TRUE,Inputs!$F$6="TRUE",Inputs!$F$6=1),IF(OR(Inputs!$C$27=TRUE,Inputs!$C$27="TRUE",Inputs!$C$27=1),1,0)*(Inputs!$C$51*(115*EXP(-(((Inputs!$C$6)-25)^2)/(4.5^2))+70*EXP(-(((Inputs!$C$6)+38)^2)/(7^2))*(0.55+0.45*SIN(2*PI()*((Inputs!$I$6+(((A100)+1)/2)*(Inputs!$J$6-Inputs!$I$6)))/45))+24*SIN(2*PI()*(Inputs!$C$6)/9+((Inputs!$I$6+(((A100)+1)/2)*(Inputs!$J$6-Inputs!$I$6)))/18)*EXP(-(((Inputs!$C$6)+5)^2)/(22^2))+18*SIN(2*PI()*((Inputs!$I$6+(((A100)+1)/2)*(Inputs!$J$6-Inputs!$I$6)))/70))+Inputs!$C$28*EXP(-((((Inputs!$I$6+(((A100)+1)/2)*(Inputs!$J$6-Inputs!$I$6)))-Inputs!$C$29)^2)/(2*Inputs!$C$31^2))*EXP(-(((Inputs!$C$6)-Inputs!$C$30)^2)/(2*Inputs!$C$32^2))+-Inputs!$C$33*EXP(-((((((Inputs!$I$6+(((A100)+1)/2)*(Inputs!$J$6-Inputs!$I$6)))-Inputs!$C$34)^2)+(((Inputs!$C$6)-Inputs!$C$35)^2))/(2*Inputs!$C$36^2)))+Inputs!$C$37*(0.55*SIN(2*PI()*((Inputs!$I$6+(((A100)+1)/2)*(Inputs!$J$6-Inputs!$I$6)))/Inputs!$C$39)+0.35*COS(2*PI()*(Inputs!$C$6)/Inputs!$C$40)+0.2*SIN(2*PI()*(((Inputs!$I$6+(((A100)+1)/2)*(Inputs!$J$6-Inputs!$I$6)))+(Inputs!$C$6))/(0.5*(Inputs!$C$39+Inputs!$C$40))))+Inputs!$C$38*SIN(2*PI()*((Inputs!$I$6+(((A100)+1)/2)*(Inputs!$J$6-Inputs!$I$6)))/Inputs!$C$39)*SIN(2*PI()*(Inputs!$C$6)/Inputs!$C$40)+-Inputs!$C$41*EXP(-(((Inputs!$C$6)-Inputs!$C$43)^2)/(2*Inputs!$C$44^2))*EXP(-((((Inputs!$I$6+(((A100)+1)/2)*(Inputs!$J$6-Inputs!$I$6)))-Inputs!$C$42)^2)/(2*Inputs!$C$45^2))+Inputs!$C$48*(0.7*(0.45*SIN(2*PI()*((((Inputs!$I$6+(((A100)+1)/2)*(Inputs!$J$6-Inputs!$I$6)))/Inputs!$C$49)+Inputs!$C$47*0.137))+0.35*COS(2*PI()*(((Inputs!$C$6)/Inputs!$C$50)+Inputs!$C$47*0.173))+0.2*SIN(2*PI()*((((Inputs!$I$6+(((A100)+1)/2)*(Inputs!$J$6-Inputs!$I$6)))+(Inputs!$C$6))/(0.5*(Inputs!$C$49+Inputs!$C$50))+Inputs!$C$47*0.097)))+0.3*(2*((SIN((((Inputs!$I$6+(((A100)+1)/2)*(Inputs!$J$6-Inputs!$I$6)))*12.9898+(Inputs!$C$6)*78.233+Inputs!$C$47*37.719))*43758.5453)-INT((SIN((((Inputs!$I$6+(((A100)+1)/2)*(Inputs!$J$6-Inputs!$I$6)))*12.9898+(Inputs!$C$6)*78.233+Inputs!$C$47*37.719))*43758.5453)))-1))),NA())</f>
        <v/>
      </c>
      <c r="AT100" s="9">
        <f>IF(OR(Inputs!$F$7=TRUE,Inputs!$F$7="TRUE",Inputs!$F$7=1),IF(OR(Inputs!$C$27=TRUE,Inputs!$C$27="TRUE",Inputs!$C$27=1),1,0)*(Inputs!$C$51*(115*EXP(-(((Inputs!$C$6)-25)^2)/(4.5^2))+70*EXP(-(((Inputs!$C$6)+38)^2)/(7^2))*(0.55+0.45*SIN(2*PI()*((Inputs!$I$7+(((A100)+1)/2)*(Inputs!$J$7-Inputs!$I$7)))/45))+24*SIN(2*PI()*(Inputs!$C$6)/9+((Inputs!$I$7+(((A100)+1)/2)*(Inputs!$J$7-Inputs!$I$7)))/18)*EXP(-(((Inputs!$C$6)+5)^2)/(22^2))+18*SIN(2*PI()*((Inputs!$I$7+(((A100)+1)/2)*(Inputs!$J$7-Inputs!$I$7)))/70))+Inputs!$C$28*EXP(-((((Inputs!$I$7+(((A100)+1)/2)*(Inputs!$J$7-Inputs!$I$7)))-Inputs!$C$29)^2)/(2*Inputs!$C$31^2))*EXP(-(((Inputs!$C$6)-Inputs!$C$30)^2)/(2*Inputs!$C$32^2))+-Inputs!$C$33*EXP(-((((((Inputs!$I$7+(((A100)+1)/2)*(Inputs!$J$7-Inputs!$I$7)))-Inputs!$C$34)^2)+(((Inputs!$C$6)-Inputs!$C$35)^2))/(2*Inputs!$C$36^2)))+Inputs!$C$37*(0.55*SIN(2*PI()*((Inputs!$I$7+(((A100)+1)/2)*(Inputs!$J$7-Inputs!$I$7)))/Inputs!$C$39)+0.35*COS(2*PI()*(Inputs!$C$6)/Inputs!$C$40)+0.2*SIN(2*PI()*(((Inputs!$I$7+(((A100)+1)/2)*(Inputs!$J$7-Inputs!$I$7)))+(Inputs!$C$6))/(0.5*(Inputs!$C$39+Inputs!$C$40))))+Inputs!$C$38*SIN(2*PI()*((Inputs!$I$7+(((A100)+1)/2)*(Inputs!$J$7-Inputs!$I$7)))/Inputs!$C$39)*SIN(2*PI()*(Inputs!$C$6)/Inputs!$C$40)+-Inputs!$C$41*EXP(-(((Inputs!$C$6)-Inputs!$C$43)^2)/(2*Inputs!$C$44^2))*EXP(-((((Inputs!$I$7+(((A100)+1)/2)*(Inputs!$J$7-Inputs!$I$7)))-Inputs!$C$42)^2)/(2*Inputs!$C$45^2))+Inputs!$C$48*(0.7*(0.45*SIN(2*PI()*((((Inputs!$I$7+(((A100)+1)/2)*(Inputs!$J$7-Inputs!$I$7)))/Inputs!$C$49)+Inputs!$C$47*0.137))+0.35*COS(2*PI()*(((Inputs!$C$6)/Inputs!$C$50)+Inputs!$C$47*0.173))+0.2*SIN(2*PI()*((((Inputs!$I$7+(((A100)+1)/2)*(Inputs!$J$7-Inputs!$I$7)))+(Inputs!$C$6))/(0.5*(Inputs!$C$49+Inputs!$C$50))+Inputs!$C$47*0.097)))+0.3*(2*((SIN((((Inputs!$I$7+(((A100)+1)/2)*(Inputs!$J$7-Inputs!$I$7)))*12.9898+(Inputs!$C$6)*78.233+Inputs!$C$47*37.719))*43758.5453)-INT((SIN((((Inputs!$I$7+(((A100)+1)/2)*(Inputs!$J$7-Inputs!$I$7)))*12.9898+(Inputs!$C$6)*78.233+Inputs!$C$47*37.719))*43758.5453)))-1))),NA())</f>
        <v/>
      </c>
      <c r="AU100" s="9">
        <f>IF(OR(Inputs!$F$8=TRUE,Inputs!$F$8="TRUE",Inputs!$F$8=1),IF(OR(Inputs!$C$27=TRUE,Inputs!$C$27="TRUE",Inputs!$C$27=1),1,0)*(Inputs!$C$51*(115*EXP(-(((Inputs!$C$6)-25)^2)/(4.5^2))+70*EXP(-(((Inputs!$C$6)+38)^2)/(7^2))*(0.55+0.45*SIN(2*PI()*((Inputs!$I$8+(((A100)+1)/2)*(Inputs!$J$8-Inputs!$I$8)))/45))+24*SIN(2*PI()*(Inputs!$C$6)/9+((Inputs!$I$8+(((A100)+1)/2)*(Inputs!$J$8-Inputs!$I$8)))/18)*EXP(-(((Inputs!$C$6)+5)^2)/(22^2))+18*SIN(2*PI()*((Inputs!$I$8+(((A100)+1)/2)*(Inputs!$J$8-Inputs!$I$8)))/70))+Inputs!$C$28*EXP(-((((Inputs!$I$8+(((A100)+1)/2)*(Inputs!$J$8-Inputs!$I$8)))-Inputs!$C$29)^2)/(2*Inputs!$C$31^2))*EXP(-(((Inputs!$C$6)-Inputs!$C$30)^2)/(2*Inputs!$C$32^2))+-Inputs!$C$33*EXP(-((((((Inputs!$I$8+(((A100)+1)/2)*(Inputs!$J$8-Inputs!$I$8)))-Inputs!$C$34)^2)+(((Inputs!$C$6)-Inputs!$C$35)^2))/(2*Inputs!$C$36^2)))+Inputs!$C$37*(0.55*SIN(2*PI()*((Inputs!$I$8+(((A100)+1)/2)*(Inputs!$J$8-Inputs!$I$8)))/Inputs!$C$39)+0.35*COS(2*PI()*(Inputs!$C$6)/Inputs!$C$40)+0.2*SIN(2*PI()*(((Inputs!$I$8+(((A100)+1)/2)*(Inputs!$J$8-Inputs!$I$8)))+(Inputs!$C$6))/(0.5*(Inputs!$C$39+Inputs!$C$40))))+Inputs!$C$38*SIN(2*PI()*((Inputs!$I$8+(((A100)+1)/2)*(Inputs!$J$8-Inputs!$I$8)))/Inputs!$C$39)*SIN(2*PI()*(Inputs!$C$6)/Inputs!$C$40)+-Inputs!$C$41*EXP(-(((Inputs!$C$6)-Inputs!$C$43)^2)/(2*Inputs!$C$44^2))*EXP(-((((Inputs!$I$8+(((A100)+1)/2)*(Inputs!$J$8-Inputs!$I$8)))-Inputs!$C$42)^2)/(2*Inputs!$C$45^2))+Inputs!$C$48*(0.7*(0.45*SIN(2*PI()*((((Inputs!$I$8+(((A100)+1)/2)*(Inputs!$J$8-Inputs!$I$8)))/Inputs!$C$49)+Inputs!$C$47*0.137))+0.35*COS(2*PI()*(((Inputs!$C$6)/Inputs!$C$50)+Inputs!$C$47*0.173))+0.2*SIN(2*PI()*((((Inputs!$I$8+(((A100)+1)/2)*(Inputs!$J$8-Inputs!$I$8)))+(Inputs!$C$6))/(0.5*(Inputs!$C$49+Inputs!$C$50))+Inputs!$C$47*0.097)))+0.3*(2*((SIN((((Inputs!$I$8+(((A100)+1)/2)*(Inputs!$J$8-Inputs!$I$8)))*12.9898+(Inputs!$C$6)*78.233+Inputs!$C$47*37.719))*43758.5453)-INT((SIN((((Inputs!$I$8+(((A100)+1)/2)*(Inputs!$J$8-Inputs!$I$8)))*12.9898+(Inputs!$C$6)*78.233+Inputs!$C$47*37.719))*43758.5453)))-1))),NA())</f>
        <v/>
      </c>
      <c r="AV100" s="9">
        <f>IF(OR(Inputs!$F$9=TRUE,Inputs!$F$9="TRUE",Inputs!$F$9=1),IF(OR(Inputs!$C$27=TRUE,Inputs!$C$27="TRUE",Inputs!$C$27=1),1,0)*(Inputs!$C$51*(115*EXP(-(((Inputs!$C$6)-25)^2)/(4.5^2))+70*EXP(-(((Inputs!$C$6)+38)^2)/(7^2))*(0.55+0.45*SIN(2*PI()*((Inputs!$I$9+(((A100)+1)/2)*(Inputs!$J$9-Inputs!$I$9)))/45))+24*SIN(2*PI()*(Inputs!$C$6)/9+((Inputs!$I$9+(((A100)+1)/2)*(Inputs!$J$9-Inputs!$I$9)))/18)*EXP(-(((Inputs!$C$6)+5)^2)/(22^2))+18*SIN(2*PI()*((Inputs!$I$9+(((A100)+1)/2)*(Inputs!$J$9-Inputs!$I$9)))/70))+Inputs!$C$28*EXP(-((((Inputs!$I$9+(((A100)+1)/2)*(Inputs!$J$9-Inputs!$I$9)))-Inputs!$C$29)^2)/(2*Inputs!$C$31^2))*EXP(-(((Inputs!$C$6)-Inputs!$C$30)^2)/(2*Inputs!$C$32^2))+-Inputs!$C$33*EXP(-((((((Inputs!$I$9+(((A100)+1)/2)*(Inputs!$J$9-Inputs!$I$9)))-Inputs!$C$34)^2)+(((Inputs!$C$6)-Inputs!$C$35)^2))/(2*Inputs!$C$36^2)))+Inputs!$C$37*(0.55*SIN(2*PI()*((Inputs!$I$9+(((A100)+1)/2)*(Inputs!$J$9-Inputs!$I$9)))/Inputs!$C$39)+0.35*COS(2*PI()*(Inputs!$C$6)/Inputs!$C$40)+0.2*SIN(2*PI()*(((Inputs!$I$9+(((A100)+1)/2)*(Inputs!$J$9-Inputs!$I$9)))+(Inputs!$C$6))/(0.5*(Inputs!$C$39+Inputs!$C$40))))+Inputs!$C$38*SIN(2*PI()*((Inputs!$I$9+(((A100)+1)/2)*(Inputs!$J$9-Inputs!$I$9)))/Inputs!$C$39)*SIN(2*PI()*(Inputs!$C$6)/Inputs!$C$40)+-Inputs!$C$41*EXP(-(((Inputs!$C$6)-Inputs!$C$43)^2)/(2*Inputs!$C$44^2))*EXP(-((((Inputs!$I$9+(((A100)+1)/2)*(Inputs!$J$9-Inputs!$I$9)))-Inputs!$C$42)^2)/(2*Inputs!$C$45^2))+Inputs!$C$48*(0.7*(0.45*SIN(2*PI()*((((Inputs!$I$9+(((A100)+1)/2)*(Inputs!$J$9-Inputs!$I$9)))/Inputs!$C$49)+Inputs!$C$47*0.137))+0.35*COS(2*PI()*(((Inputs!$C$6)/Inputs!$C$50)+Inputs!$C$47*0.173))+0.2*SIN(2*PI()*((((Inputs!$I$9+(((A100)+1)/2)*(Inputs!$J$9-Inputs!$I$9)))+(Inputs!$C$6))/(0.5*(Inputs!$C$49+Inputs!$C$50))+Inputs!$C$47*0.097)))+0.3*(2*((SIN((((Inputs!$I$9+(((A100)+1)/2)*(Inputs!$J$9-Inputs!$I$9)))*12.9898+(Inputs!$C$6)*78.233+Inputs!$C$47*37.719))*43758.5453)-INT((SIN((((Inputs!$I$9+(((A100)+1)/2)*(Inputs!$J$9-Inputs!$I$9)))*12.9898+(Inputs!$C$6)*78.233+Inputs!$C$47*37.719))*43758.5453)))-1))),NA())</f>
        <v/>
      </c>
      <c r="AW100" s="10" t="n"/>
      <c r="AX100" s="9">
        <f>A100</f>
        <v/>
      </c>
      <c r="AY100" s="9">
        <f>0</f>
        <v/>
      </c>
      <c r="AZ100" s="9">
        <f>IF(OR(Inputs!$F$6=TRUE,Inputs!$F$6="TRUE",Inputs!$F$6=1),(Inputs!$H$6+Inputs!$L$6*(((Inputs!$I$6+(((A100)+1)/2)*(Inputs!$J$6-Inputs!$I$6)))/Inputs!$K$6)^2),NA())</f>
        <v/>
      </c>
      <c r="BA100" s="9">
        <f>IF(OR(Inputs!$F$7=TRUE,Inputs!$F$7="TRUE",Inputs!$F$7=1),(Inputs!$H$7+Inputs!$L$7*(((Inputs!$I$7+(((A100)+1)/2)*(Inputs!$J$7-Inputs!$I$7)))/Inputs!$K$7)^2),NA())</f>
        <v/>
      </c>
      <c r="BB100" s="9">
        <f>IF(OR(Inputs!$F$8=TRUE,Inputs!$F$8="TRUE",Inputs!$F$8=1),(Inputs!$H$8+Inputs!$L$8*(((Inputs!$I$8+(((A100)+1)/2)*(Inputs!$J$8-Inputs!$I$8)))/Inputs!$K$8)^2),NA())</f>
        <v/>
      </c>
      <c r="BC100" s="9">
        <f>IF(OR(Inputs!$F$9=TRUE,Inputs!$F$9="TRUE",Inputs!$F$9=1),(Inputs!$H$9+Inputs!$L$9*(((Inputs!$I$9+(((A100)+1)/2)*(Inputs!$J$9-Inputs!$I$9)))/Inputs!$K$9)^2),NA())</f>
        <v/>
      </c>
      <c r="BD100" s="10" t="n"/>
      <c r="BE100" s="9">
        <f>A100</f>
        <v/>
      </c>
      <c r="BF100" s="9">
        <f>0</f>
        <v/>
      </c>
      <c r="BG100" s="9">
        <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f>
        <v/>
      </c>
      <c r="BH100" s="9">
        <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f>
        <v/>
      </c>
      <c r="BI100" s="9">
        <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f>
        <v/>
      </c>
      <c r="BJ100" s="9">
        <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f>
        <v/>
      </c>
    </row>
    <row r="101">
      <c r="A101" s="9">
        <f>ROUND(-1+99*2/240,3)</f>
        <v/>
      </c>
      <c r="B101" s="9">
        <f>IF(OR(Inputs!$F$6=TRUE,Inputs!$F$6="TRUE",Inputs!$F$6=1),(Inputs!$H$6+Inputs!$L$6*(((Inputs!$I$6+(((A101)+1)/2)*(Inputs!$J$6-Inputs!$I$6)))/Inputs!$K$6)^2),NA())</f>
        <v/>
      </c>
      <c r="C101" s="9">
        <f>IF(OR(Inputs!$F$7=TRUE,Inputs!$F$7="TRUE",Inputs!$F$7=1),(Inputs!$H$7+Inputs!$L$7*(((Inputs!$I$7+(((A101)+1)/2)*(Inputs!$J$7-Inputs!$I$7)))/Inputs!$K$7)^2),NA())</f>
        <v/>
      </c>
      <c r="D101" s="9">
        <f>IF(OR(Inputs!$F$8=TRUE,Inputs!$F$8="TRUE",Inputs!$F$8=1),(Inputs!$H$8+Inputs!$L$8*(((Inputs!$I$8+(((A101)+1)/2)*(Inputs!$J$8-Inputs!$I$8)))/Inputs!$K$8)^2),NA())</f>
        <v/>
      </c>
      <c r="E101" s="9">
        <f>IF(OR(Inputs!$F$9=TRUE,Inputs!$F$9="TRUE",Inputs!$F$9=1),(Inputs!$H$9+Inputs!$L$9*(((Inputs!$I$9+(((A101)+1)/2)*(Inputs!$J$9-Inputs!$I$9)))/Inputs!$K$9)^2),NA())</f>
        <v/>
      </c>
      <c r="F101" s="10" t="n"/>
      <c r="G101" s="9">
        <f>A101</f>
        <v/>
      </c>
      <c r="H101" s="9">
        <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f>
        <v/>
      </c>
      <c r="I101" s="9">
        <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f>
        <v/>
      </c>
      <c r="J101" s="9">
        <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f>
        <v/>
      </c>
      <c r="K101" s="9">
        <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f>
        <v/>
      </c>
      <c r="L101" s="10" t="n"/>
      <c r="M101" s="9">
        <f>A101</f>
        <v/>
      </c>
      <c r="N101" s="9">
        <f>IF(OR(Inputs!$F$6=TRUE,Inputs!$F$6="TRUE",Inputs!$F$6=1),(-2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NA())</f>
        <v/>
      </c>
      <c r="O101" s="9">
        <f>IF(OR(Inputs!$F$7=TRUE,Inputs!$F$7="TRUE",Inputs!$F$7=1),(-2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NA())</f>
        <v/>
      </c>
      <c r="P101" s="9">
        <f>IF(OR(Inputs!$F$8=TRUE,Inputs!$F$8="TRUE",Inputs!$F$8=1),(-2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NA())</f>
        <v/>
      </c>
      <c r="Q101" s="9">
        <f>IF(OR(Inputs!$F$9=TRUE,Inputs!$F$9="TRUE",Inputs!$F$9=1),(-2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NA())</f>
        <v/>
      </c>
      <c r="R101" s="10" t="n"/>
      <c r="S101" s="9">
        <f>A101</f>
        <v/>
      </c>
      <c r="T101" s="9">
        <f>(Inputs!$I$6+(((A101)+1)/2)*(Inputs!$J$6-Inputs!$I$6))</f>
        <v/>
      </c>
      <c r="U101" s="9">
        <f>(Inputs!$I$7+(((A101)+1)/2)*(Inputs!$J$7-Inputs!$I$7))</f>
        <v/>
      </c>
      <c r="V101" s="9">
        <f>(Inputs!$I$8+(((A101)+1)/2)*(Inputs!$J$8-Inputs!$I$8))</f>
        <v/>
      </c>
      <c r="W101" s="9">
        <f>(Inputs!$I$9+(((A101)+1)/2)*(Inputs!$J$9-Inputs!$I$9))</f>
        <v/>
      </c>
      <c r="X101" s="10" t="n"/>
      <c r="Y101" s="9">
        <f>A101</f>
        <v/>
      </c>
      <c r="Z101" s="9">
        <f>(Inputs!$H$6+Inputs!$L$6*(((Inputs!$I$6+(((A101)+1)/2)*(Inputs!$J$6-Inputs!$I$6)))/Inputs!$K$6)^2)</f>
        <v/>
      </c>
      <c r="AA101" s="9">
        <f>(Inputs!$H$7+Inputs!$L$7*(((Inputs!$I$7+(((A101)+1)/2)*(Inputs!$J$7-Inputs!$I$7)))/Inputs!$K$7)^2)</f>
        <v/>
      </c>
      <c r="AB101" s="9">
        <f>(Inputs!$H$8+Inputs!$L$8*(((Inputs!$I$8+(((A101)+1)/2)*(Inputs!$J$8-Inputs!$I$8)))/Inputs!$K$8)^2)</f>
        <v/>
      </c>
      <c r="AC101" s="9">
        <f>(Inputs!$H$9+Inputs!$L$9*(((Inputs!$I$9+(((A101)+1)/2)*(Inputs!$J$9-Inputs!$I$9)))/Inputs!$K$9)^2)</f>
        <v/>
      </c>
      <c r="AD101" s="10" t="n"/>
      <c r="AE101" s="9">
        <f>A101</f>
        <v/>
      </c>
      <c r="AF101" s="9">
        <f>(((SQRT((Inputs!$C$52+((Inputs!$H$6+Inputs!$L$6*(((Inputs!$I$6+(((A101)+1)/2)*(Inputs!$J$6-Inputs!$I$6)))/Inputs!$K$6)^2)))^2+Inputs!$C$52^2-2*(Inputs!$C$52+((Inputs!$H$6+Inputs!$L$6*(((Inputs!$I$6+(((A101)+1)/2)*(Inputs!$J$6-Inputs!$I$6)))/Inputs!$K$6)^2)))*Inputs!$C$52*COS(SQRT(((Inputs!$I$6+(((A101)+1)/2)*(Inputs!$J$6-Inputs!$I$6)))^2+Inputs!$C$6^2)/Inputs!$C$52)))-((Inputs!$H$6+Inputs!$L$6*(((Inputs!$I$6+(((A101)+1)/2)*(Inputs!$J$6-Inputs!$I$6)))/Inputs!$K$6)^2)))*1000/Inputs!$C$12)</f>
        <v/>
      </c>
      <c r="AG101" s="9">
        <f>(((SQRT((Inputs!$C$52+((Inputs!$H$7+Inputs!$L$7*(((Inputs!$I$7+(((A101)+1)/2)*(Inputs!$J$7-Inputs!$I$7)))/Inputs!$K$7)^2)))^2+Inputs!$C$52^2-2*(Inputs!$C$52+((Inputs!$H$7+Inputs!$L$7*(((Inputs!$I$7+(((A101)+1)/2)*(Inputs!$J$7-Inputs!$I$7)))/Inputs!$K$7)^2)))*Inputs!$C$52*COS(SQRT(((Inputs!$I$7+(((A101)+1)/2)*(Inputs!$J$7-Inputs!$I$7)))^2+Inputs!$C$6^2)/Inputs!$C$52)))-((Inputs!$H$7+Inputs!$L$7*(((Inputs!$I$7+(((A101)+1)/2)*(Inputs!$J$7-Inputs!$I$7)))/Inputs!$K$7)^2)))*1000/Inputs!$C$12)</f>
        <v/>
      </c>
      <c r="AH101" s="9">
        <f>(((SQRT((Inputs!$C$52+((Inputs!$H$8+Inputs!$L$8*(((Inputs!$I$8+(((A101)+1)/2)*(Inputs!$J$8-Inputs!$I$8)))/Inputs!$K$8)^2)))^2+Inputs!$C$52^2-2*(Inputs!$C$52+((Inputs!$H$8+Inputs!$L$8*(((Inputs!$I$8+(((A101)+1)/2)*(Inputs!$J$8-Inputs!$I$8)))/Inputs!$K$8)^2)))*Inputs!$C$52*COS(SQRT(((Inputs!$I$8+(((A101)+1)/2)*(Inputs!$J$8-Inputs!$I$8)))^2+Inputs!$C$6^2)/Inputs!$C$52)))-((Inputs!$H$8+Inputs!$L$8*(((Inputs!$I$8+(((A101)+1)/2)*(Inputs!$J$8-Inputs!$I$8)))/Inputs!$K$8)^2)))*1000/Inputs!$C$12)</f>
        <v/>
      </c>
      <c r="AI101" s="9">
        <f>(((SQRT((Inputs!$C$52+((Inputs!$H$9+Inputs!$L$9*(((Inputs!$I$9+(((A101)+1)/2)*(Inputs!$J$9-Inputs!$I$9)))/Inputs!$K$9)^2)))^2+Inputs!$C$52^2-2*(Inputs!$C$52+((Inputs!$H$9+Inputs!$L$9*(((Inputs!$I$9+(((A101)+1)/2)*(Inputs!$J$9-Inputs!$I$9)))/Inputs!$K$9)^2)))*Inputs!$C$52*COS(SQRT(((Inputs!$I$9+(((A101)+1)/2)*(Inputs!$J$9-Inputs!$I$9)))^2+Inputs!$C$6^2)/Inputs!$C$52)))-((Inputs!$H$9+Inputs!$L$9*(((Inputs!$I$9+(((A101)+1)/2)*(Inputs!$J$9-Inputs!$I$9)))/Inputs!$K$9)^2)))*1000/Inputs!$C$12)</f>
        <v/>
      </c>
      <c r="AJ101" s="10" t="n"/>
      <c r="AK101" s="9">
        <f>A101</f>
        <v/>
      </c>
      <c r="AL101" s="9">
        <f>(-2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f>
        <v/>
      </c>
      <c r="AM101" s="9">
        <f>(-2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f>
        <v/>
      </c>
      <c r="AN101" s="9">
        <f>(-2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f>
        <v/>
      </c>
      <c r="AO101" s="9">
        <f>(-2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f>
        <v/>
      </c>
      <c r="AP101" s="10" t="n"/>
      <c r="AQ101" s="9">
        <f>A101</f>
        <v/>
      </c>
      <c r="AR101" s="9">
        <f>0</f>
        <v/>
      </c>
      <c r="AS101" s="9">
        <f>IF(OR(Inputs!$F$6=TRUE,Inputs!$F$6="TRUE",Inputs!$F$6=1),IF(OR(Inputs!$C$27=TRUE,Inputs!$C$27="TRUE",Inputs!$C$27=1),1,0)*(Inputs!$C$51*(115*EXP(-(((Inputs!$C$6)-25)^2)/(4.5^2))+70*EXP(-(((Inputs!$C$6)+38)^2)/(7^2))*(0.55+0.45*SIN(2*PI()*((Inputs!$I$6+(((A101)+1)/2)*(Inputs!$J$6-Inputs!$I$6)))/45))+24*SIN(2*PI()*(Inputs!$C$6)/9+((Inputs!$I$6+(((A101)+1)/2)*(Inputs!$J$6-Inputs!$I$6)))/18)*EXP(-(((Inputs!$C$6)+5)^2)/(22^2))+18*SIN(2*PI()*((Inputs!$I$6+(((A101)+1)/2)*(Inputs!$J$6-Inputs!$I$6)))/70))+Inputs!$C$28*EXP(-((((Inputs!$I$6+(((A101)+1)/2)*(Inputs!$J$6-Inputs!$I$6)))-Inputs!$C$29)^2)/(2*Inputs!$C$31^2))*EXP(-(((Inputs!$C$6)-Inputs!$C$30)^2)/(2*Inputs!$C$32^2))+-Inputs!$C$33*EXP(-((((((Inputs!$I$6+(((A101)+1)/2)*(Inputs!$J$6-Inputs!$I$6)))-Inputs!$C$34)^2)+(((Inputs!$C$6)-Inputs!$C$35)^2))/(2*Inputs!$C$36^2)))+Inputs!$C$37*(0.55*SIN(2*PI()*((Inputs!$I$6+(((A101)+1)/2)*(Inputs!$J$6-Inputs!$I$6)))/Inputs!$C$39)+0.35*COS(2*PI()*(Inputs!$C$6)/Inputs!$C$40)+0.2*SIN(2*PI()*(((Inputs!$I$6+(((A101)+1)/2)*(Inputs!$J$6-Inputs!$I$6)))+(Inputs!$C$6))/(0.5*(Inputs!$C$39+Inputs!$C$40))))+Inputs!$C$38*SIN(2*PI()*((Inputs!$I$6+(((A101)+1)/2)*(Inputs!$J$6-Inputs!$I$6)))/Inputs!$C$39)*SIN(2*PI()*(Inputs!$C$6)/Inputs!$C$40)+-Inputs!$C$41*EXP(-(((Inputs!$C$6)-Inputs!$C$43)^2)/(2*Inputs!$C$44^2))*EXP(-((((Inputs!$I$6+(((A101)+1)/2)*(Inputs!$J$6-Inputs!$I$6)))-Inputs!$C$42)^2)/(2*Inputs!$C$45^2))+Inputs!$C$48*(0.7*(0.45*SIN(2*PI()*((((Inputs!$I$6+(((A101)+1)/2)*(Inputs!$J$6-Inputs!$I$6)))/Inputs!$C$49)+Inputs!$C$47*0.137))+0.35*COS(2*PI()*(((Inputs!$C$6)/Inputs!$C$50)+Inputs!$C$47*0.173))+0.2*SIN(2*PI()*((((Inputs!$I$6+(((A101)+1)/2)*(Inputs!$J$6-Inputs!$I$6)))+(Inputs!$C$6))/(0.5*(Inputs!$C$49+Inputs!$C$50))+Inputs!$C$47*0.097)))+0.3*(2*((SIN((((Inputs!$I$6+(((A101)+1)/2)*(Inputs!$J$6-Inputs!$I$6)))*12.9898+(Inputs!$C$6)*78.233+Inputs!$C$47*37.719))*43758.5453)-INT((SIN((((Inputs!$I$6+(((A101)+1)/2)*(Inputs!$J$6-Inputs!$I$6)))*12.9898+(Inputs!$C$6)*78.233+Inputs!$C$47*37.719))*43758.5453)))-1))),NA())</f>
        <v/>
      </c>
      <c r="AT101" s="9">
        <f>IF(OR(Inputs!$F$7=TRUE,Inputs!$F$7="TRUE",Inputs!$F$7=1),IF(OR(Inputs!$C$27=TRUE,Inputs!$C$27="TRUE",Inputs!$C$27=1),1,0)*(Inputs!$C$51*(115*EXP(-(((Inputs!$C$6)-25)^2)/(4.5^2))+70*EXP(-(((Inputs!$C$6)+38)^2)/(7^2))*(0.55+0.45*SIN(2*PI()*((Inputs!$I$7+(((A101)+1)/2)*(Inputs!$J$7-Inputs!$I$7)))/45))+24*SIN(2*PI()*(Inputs!$C$6)/9+((Inputs!$I$7+(((A101)+1)/2)*(Inputs!$J$7-Inputs!$I$7)))/18)*EXP(-(((Inputs!$C$6)+5)^2)/(22^2))+18*SIN(2*PI()*((Inputs!$I$7+(((A101)+1)/2)*(Inputs!$J$7-Inputs!$I$7)))/70))+Inputs!$C$28*EXP(-((((Inputs!$I$7+(((A101)+1)/2)*(Inputs!$J$7-Inputs!$I$7)))-Inputs!$C$29)^2)/(2*Inputs!$C$31^2))*EXP(-(((Inputs!$C$6)-Inputs!$C$30)^2)/(2*Inputs!$C$32^2))+-Inputs!$C$33*EXP(-((((((Inputs!$I$7+(((A101)+1)/2)*(Inputs!$J$7-Inputs!$I$7)))-Inputs!$C$34)^2)+(((Inputs!$C$6)-Inputs!$C$35)^2))/(2*Inputs!$C$36^2)))+Inputs!$C$37*(0.55*SIN(2*PI()*((Inputs!$I$7+(((A101)+1)/2)*(Inputs!$J$7-Inputs!$I$7)))/Inputs!$C$39)+0.35*COS(2*PI()*(Inputs!$C$6)/Inputs!$C$40)+0.2*SIN(2*PI()*(((Inputs!$I$7+(((A101)+1)/2)*(Inputs!$J$7-Inputs!$I$7)))+(Inputs!$C$6))/(0.5*(Inputs!$C$39+Inputs!$C$40))))+Inputs!$C$38*SIN(2*PI()*((Inputs!$I$7+(((A101)+1)/2)*(Inputs!$J$7-Inputs!$I$7)))/Inputs!$C$39)*SIN(2*PI()*(Inputs!$C$6)/Inputs!$C$40)+-Inputs!$C$41*EXP(-(((Inputs!$C$6)-Inputs!$C$43)^2)/(2*Inputs!$C$44^2))*EXP(-((((Inputs!$I$7+(((A101)+1)/2)*(Inputs!$J$7-Inputs!$I$7)))-Inputs!$C$42)^2)/(2*Inputs!$C$45^2))+Inputs!$C$48*(0.7*(0.45*SIN(2*PI()*((((Inputs!$I$7+(((A101)+1)/2)*(Inputs!$J$7-Inputs!$I$7)))/Inputs!$C$49)+Inputs!$C$47*0.137))+0.35*COS(2*PI()*(((Inputs!$C$6)/Inputs!$C$50)+Inputs!$C$47*0.173))+0.2*SIN(2*PI()*((((Inputs!$I$7+(((A101)+1)/2)*(Inputs!$J$7-Inputs!$I$7)))+(Inputs!$C$6))/(0.5*(Inputs!$C$49+Inputs!$C$50))+Inputs!$C$47*0.097)))+0.3*(2*((SIN((((Inputs!$I$7+(((A101)+1)/2)*(Inputs!$J$7-Inputs!$I$7)))*12.9898+(Inputs!$C$6)*78.233+Inputs!$C$47*37.719))*43758.5453)-INT((SIN((((Inputs!$I$7+(((A101)+1)/2)*(Inputs!$J$7-Inputs!$I$7)))*12.9898+(Inputs!$C$6)*78.233+Inputs!$C$47*37.719))*43758.5453)))-1))),NA())</f>
        <v/>
      </c>
      <c r="AU101" s="9">
        <f>IF(OR(Inputs!$F$8=TRUE,Inputs!$F$8="TRUE",Inputs!$F$8=1),IF(OR(Inputs!$C$27=TRUE,Inputs!$C$27="TRUE",Inputs!$C$27=1),1,0)*(Inputs!$C$51*(115*EXP(-(((Inputs!$C$6)-25)^2)/(4.5^2))+70*EXP(-(((Inputs!$C$6)+38)^2)/(7^2))*(0.55+0.45*SIN(2*PI()*((Inputs!$I$8+(((A101)+1)/2)*(Inputs!$J$8-Inputs!$I$8)))/45))+24*SIN(2*PI()*(Inputs!$C$6)/9+((Inputs!$I$8+(((A101)+1)/2)*(Inputs!$J$8-Inputs!$I$8)))/18)*EXP(-(((Inputs!$C$6)+5)^2)/(22^2))+18*SIN(2*PI()*((Inputs!$I$8+(((A101)+1)/2)*(Inputs!$J$8-Inputs!$I$8)))/70))+Inputs!$C$28*EXP(-((((Inputs!$I$8+(((A101)+1)/2)*(Inputs!$J$8-Inputs!$I$8)))-Inputs!$C$29)^2)/(2*Inputs!$C$31^2))*EXP(-(((Inputs!$C$6)-Inputs!$C$30)^2)/(2*Inputs!$C$32^2))+-Inputs!$C$33*EXP(-((((((Inputs!$I$8+(((A101)+1)/2)*(Inputs!$J$8-Inputs!$I$8)))-Inputs!$C$34)^2)+(((Inputs!$C$6)-Inputs!$C$35)^2))/(2*Inputs!$C$36^2)))+Inputs!$C$37*(0.55*SIN(2*PI()*((Inputs!$I$8+(((A101)+1)/2)*(Inputs!$J$8-Inputs!$I$8)))/Inputs!$C$39)+0.35*COS(2*PI()*(Inputs!$C$6)/Inputs!$C$40)+0.2*SIN(2*PI()*(((Inputs!$I$8+(((A101)+1)/2)*(Inputs!$J$8-Inputs!$I$8)))+(Inputs!$C$6))/(0.5*(Inputs!$C$39+Inputs!$C$40))))+Inputs!$C$38*SIN(2*PI()*((Inputs!$I$8+(((A101)+1)/2)*(Inputs!$J$8-Inputs!$I$8)))/Inputs!$C$39)*SIN(2*PI()*(Inputs!$C$6)/Inputs!$C$40)+-Inputs!$C$41*EXP(-(((Inputs!$C$6)-Inputs!$C$43)^2)/(2*Inputs!$C$44^2))*EXP(-((((Inputs!$I$8+(((A101)+1)/2)*(Inputs!$J$8-Inputs!$I$8)))-Inputs!$C$42)^2)/(2*Inputs!$C$45^2))+Inputs!$C$48*(0.7*(0.45*SIN(2*PI()*((((Inputs!$I$8+(((A101)+1)/2)*(Inputs!$J$8-Inputs!$I$8)))/Inputs!$C$49)+Inputs!$C$47*0.137))+0.35*COS(2*PI()*(((Inputs!$C$6)/Inputs!$C$50)+Inputs!$C$47*0.173))+0.2*SIN(2*PI()*((((Inputs!$I$8+(((A101)+1)/2)*(Inputs!$J$8-Inputs!$I$8)))+(Inputs!$C$6))/(0.5*(Inputs!$C$49+Inputs!$C$50))+Inputs!$C$47*0.097)))+0.3*(2*((SIN((((Inputs!$I$8+(((A101)+1)/2)*(Inputs!$J$8-Inputs!$I$8)))*12.9898+(Inputs!$C$6)*78.233+Inputs!$C$47*37.719))*43758.5453)-INT((SIN((((Inputs!$I$8+(((A101)+1)/2)*(Inputs!$J$8-Inputs!$I$8)))*12.9898+(Inputs!$C$6)*78.233+Inputs!$C$47*37.719))*43758.5453)))-1))),NA())</f>
        <v/>
      </c>
      <c r="AV101" s="9">
        <f>IF(OR(Inputs!$F$9=TRUE,Inputs!$F$9="TRUE",Inputs!$F$9=1),IF(OR(Inputs!$C$27=TRUE,Inputs!$C$27="TRUE",Inputs!$C$27=1),1,0)*(Inputs!$C$51*(115*EXP(-(((Inputs!$C$6)-25)^2)/(4.5^2))+70*EXP(-(((Inputs!$C$6)+38)^2)/(7^2))*(0.55+0.45*SIN(2*PI()*((Inputs!$I$9+(((A101)+1)/2)*(Inputs!$J$9-Inputs!$I$9)))/45))+24*SIN(2*PI()*(Inputs!$C$6)/9+((Inputs!$I$9+(((A101)+1)/2)*(Inputs!$J$9-Inputs!$I$9)))/18)*EXP(-(((Inputs!$C$6)+5)^2)/(22^2))+18*SIN(2*PI()*((Inputs!$I$9+(((A101)+1)/2)*(Inputs!$J$9-Inputs!$I$9)))/70))+Inputs!$C$28*EXP(-((((Inputs!$I$9+(((A101)+1)/2)*(Inputs!$J$9-Inputs!$I$9)))-Inputs!$C$29)^2)/(2*Inputs!$C$31^2))*EXP(-(((Inputs!$C$6)-Inputs!$C$30)^2)/(2*Inputs!$C$32^2))+-Inputs!$C$33*EXP(-((((((Inputs!$I$9+(((A101)+1)/2)*(Inputs!$J$9-Inputs!$I$9)))-Inputs!$C$34)^2)+(((Inputs!$C$6)-Inputs!$C$35)^2))/(2*Inputs!$C$36^2)))+Inputs!$C$37*(0.55*SIN(2*PI()*((Inputs!$I$9+(((A101)+1)/2)*(Inputs!$J$9-Inputs!$I$9)))/Inputs!$C$39)+0.35*COS(2*PI()*(Inputs!$C$6)/Inputs!$C$40)+0.2*SIN(2*PI()*(((Inputs!$I$9+(((A101)+1)/2)*(Inputs!$J$9-Inputs!$I$9)))+(Inputs!$C$6))/(0.5*(Inputs!$C$39+Inputs!$C$40))))+Inputs!$C$38*SIN(2*PI()*((Inputs!$I$9+(((A101)+1)/2)*(Inputs!$J$9-Inputs!$I$9)))/Inputs!$C$39)*SIN(2*PI()*(Inputs!$C$6)/Inputs!$C$40)+-Inputs!$C$41*EXP(-(((Inputs!$C$6)-Inputs!$C$43)^2)/(2*Inputs!$C$44^2))*EXP(-((((Inputs!$I$9+(((A101)+1)/2)*(Inputs!$J$9-Inputs!$I$9)))-Inputs!$C$42)^2)/(2*Inputs!$C$45^2))+Inputs!$C$48*(0.7*(0.45*SIN(2*PI()*((((Inputs!$I$9+(((A101)+1)/2)*(Inputs!$J$9-Inputs!$I$9)))/Inputs!$C$49)+Inputs!$C$47*0.137))+0.35*COS(2*PI()*(((Inputs!$C$6)/Inputs!$C$50)+Inputs!$C$47*0.173))+0.2*SIN(2*PI()*((((Inputs!$I$9+(((A101)+1)/2)*(Inputs!$J$9-Inputs!$I$9)))+(Inputs!$C$6))/(0.5*(Inputs!$C$49+Inputs!$C$50))+Inputs!$C$47*0.097)))+0.3*(2*((SIN((((Inputs!$I$9+(((A101)+1)/2)*(Inputs!$J$9-Inputs!$I$9)))*12.9898+(Inputs!$C$6)*78.233+Inputs!$C$47*37.719))*43758.5453)-INT((SIN((((Inputs!$I$9+(((A101)+1)/2)*(Inputs!$J$9-Inputs!$I$9)))*12.9898+(Inputs!$C$6)*78.233+Inputs!$C$47*37.719))*43758.5453)))-1))),NA())</f>
        <v/>
      </c>
      <c r="AW101" s="10" t="n"/>
      <c r="AX101" s="9">
        <f>A101</f>
        <v/>
      </c>
      <c r="AY101" s="9">
        <f>0</f>
        <v/>
      </c>
      <c r="AZ101" s="9">
        <f>IF(OR(Inputs!$F$6=TRUE,Inputs!$F$6="TRUE",Inputs!$F$6=1),(Inputs!$H$6+Inputs!$L$6*(((Inputs!$I$6+(((A101)+1)/2)*(Inputs!$J$6-Inputs!$I$6)))/Inputs!$K$6)^2),NA())</f>
        <v/>
      </c>
      <c r="BA101" s="9">
        <f>IF(OR(Inputs!$F$7=TRUE,Inputs!$F$7="TRUE",Inputs!$F$7=1),(Inputs!$H$7+Inputs!$L$7*(((Inputs!$I$7+(((A101)+1)/2)*(Inputs!$J$7-Inputs!$I$7)))/Inputs!$K$7)^2),NA())</f>
        <v/>
      </c>
      <c r="BB101" s="9">
        <f>IF(OR(Inputs!$F$8=TRUE,Inputs!$F$8="TRUE",Inputs!$F$8=1),(Inputs!$H$8+Inputs!$L$8*(((Inputs!$I$8+(((A101)+1)/2)*(Inputs!$J$8-Inputs!$I$8)))/Inputs!$K$8)^2),NA())</f>
        <v/>
      </c>
      <c r="BC101" s="9">
        <f>IF(OR(Inputs!$F$9=TRUE,Inputs!$F$9="TRUE",Inputs!$F$9=1),(Inputs!$H$9+Inputs!$L$9*(((Inputs!$I$9+(((A101)+1)/2)*(Inputs!$J$9-Inputs!$I$9)))/Inputs!$K$9)^2),NA())</f>
        <v/>
      </c>
      <c r="BD101" s="10" t="n"/>
      <c r="BE101" s="9">
        <f>A101</f>
        <v/>
      </c>
      <c r="BF101" s="9">
        <f>0</f>
        <v/>
      </c>
      <c r="BG101" s="9">
        <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f>
        <v/>
      </c>
      <c r="BH101" s="9">
        <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f>
        <v/>
      </c>
      <c r="BI101" s="9">
        <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f>
        <v/>
      </c>
      <c r="BJ101" s="9">
        <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f>
        <v/>
      </c>
    </row>
    <row r="102">
      <c r="A102" s="9">
        <f>ROUND(-1+100*2/240,3)</f>
        <v/>
      </c>
      <c r="B102" s="9">
        <f>IF(OR(Inputs!$F$6=TRUE,Inputs!$F$6="TRUE",Inputs!$F$6=1),(Inputs!$H$6+Inputs!$L$6*(((Inputs!$I$6+(((A102)+1)/2)*(Inputs!$J$6-Inputs!$I$6)))/Inputs!$K$6)^2),NA())</f>
        <v/>
      </c>
      <c r="C102" s="9">
        <f>IF(OR(Inputs!$F$7=TRUE,Inputs!$F$7="TRUE",Inputs!$F$7=1),(Inputs!$H$7+Inputs!$L$7*(((Inputs!$I$7+(((A102)+1)/2)*(Inputs!$J$7-Inputs!$I$7)))/Inputs!$K$7)^2),NA())</f>
        <v/>
      </c>
      <c r="D102" s="9">
        <f>IF(OR(Inputs!$F$8=TRUE,Inputs!$F$8="TRUE",Inputs!$F$8=1),(Inputs!$H$8+Inputs!$L$8*(((Inputs!$I$8+(((A102)+1)/2)*(Inputs!$J$8-Inputs!$I$8)))/Inputs!$K$8)^2),NA())</f>
        <v/>
      </c>
      <c r="E102" s="9">
        <f>IF(OR(Inputs!$F$9=TRUE,Inputs!$F$9="TRUE",Inputs!$F$9=1),(Inputs!$H$9+Inputs!$L$9*(((Inputs!$I$9+(((A102)+1)/2)*(Inputs!$J$9-Inputs!$I$9)))/Inputs!$K$9)^2),NA())</f>
        <v/>
      </c>
      <c r="F102" s="10" t="n"/>
      <c r="G102" s="9">
        <f>A102</f>
        <v/>
      </c>
      <c r="H102" s="9">
        <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f>
        <v/>
      </c>
      <c r="I102" s="9">
        <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f>
        <v/>
      </c>
      <c r="J102" s="9">
        <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f>
        <v/>
      </c>
      <c r="K102" s="9">
        <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f>
        <v/>
      </c>
      <c r="L102" s="10" t="n"/>
      <c r="M102" s="9">
        <f>A102</f>
        <v/>
      </c>
      <c r="N102" s="9">
        <f>IF(OR(Inputs!$F$6=TRUE,Inputs!$F$6="TRUE",Inputs!$F$6=1),(-2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NA())</f>
        <v/>
      </c>
      <c r="O102" s="9">
        <f>IF(OR(Inputs!$F$7=TRUE,Inputs!$F$7="TRUE",Inputs!$F$7=1),(-2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NA())</f>
        <v/>
      </c>
      <c r="P102" s="9">
        <f>IF(OR(Inputs!$F$8=TRUE,Inputs!$F$8="TRUE",Inputs!$F$8=1),(-2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NA())</f>
        <v/>
      </c>
      <c r="Q102" s="9">
        <f>IF(OR(Inputs!$F$9=TRUE,Inputs!$F$9="TRUE",Inputs!$F$9=1),(-2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NA())</f>
        <v/>
      </c>
      <c r="R102" s="10" t="n"/>
      <c r="S102" s="9">
        <f>A102</f>
        <v/>
      </c>
      <c r="T102" s="9">
        <f>(Inputs!$I$6+(((A102)+1)/2)*(Inputs!$J$6-Inputs!$I$6))</f>
        <v/>
      </c>
      <c r="U102" s="9">
        <f>(Inputs!$I$7+(((A102)+1)/2)*(Inputs!$J$7-Inputs!$I$7))</f>
        <v/>
      </c>
      <c r="V102" s="9">
        <f>(Inputs!$I$8+(((A102)+1)/2)*(Inputs!$J$8-Inputs!$I$8))</f>
        <v/>
      </c>
      <c r="W102" s="9">
        <f>(Inputs!$I$9+(((A102)+1)/2)*(Inputs!$J$9-Inputs!$I$9))</f>
        <v/>
      </c>
      <c r="X102" s="10" t="n"/>
      <c r="Y102" s="9">
        <f>A102</f>
        <v/>
      </c>
      <c r="Z102" s="9">
        <f>(Inputs!$H$6+Inputs!$L$6*(((Inputs!$I$6+(((A102)+1)/2)*(Inputs!$J$6-Inputs!$I$6)))/Inputs!$K$6)^2)</f>
        <v/>
      </c>
      <c r="AA102" s="9">
        <f>(Inputs!$H$7+Inputs!$L$7*(((Inputs!$I$7+(((A102)+1)/2)*(Inputs!$J$7-Inputs!$I$7)))/Inputs!$K$7)^2)</f>
        <v/>
      </c>
      <c r="AB102" s="9">
        <f>(Inputs!$H$8+Inputs!$L$8*(((Inputs!$I$8+(((A102)+1)/2)*(Inputs!$J$8-Inputs!$I$8)))/Inputs!$K$8)^2)</f>
        <v/>
      </c>
      <c r="AC102" s="9">
        <f>(Inputs!$H$9+Inputs!$L$9*(((Inputs!$I$9+(((A102)+1)/2)*(Inputs!$J$9-Inputs!$I$9)))/Inputs!$K$9)^2)</f>
        <v/>
      </c>
      <c r="AD102" s="10" t="n"/>
      <c r="AE102" s="9">
        <f>A102</f>
        <v/>
      </c>
      <c r="AF102" s="9">
        <f>(((SQRT((Inputs!$C$52+((Inputs!$H$6+Inputs!$L$6*(((Inputs!$I$6+(((A102)+1)/2)*(Inputs!$J$6-Inputs!$I$6)))/Inputs!$K$6)^2)))^2+Inputs!$C$52^2-2*(Inputs!$C$52+((Inputs!$H$6+Inputs!$L$6*(((Inputs!$I$6+(((A102)+1)/2)*(Inputs!$J$6-Inputs!$I$6)))/Inputs!$K$6)^2)))*Inputs!$C$52*COS(SQRT(((Inputs!$I$6+(((A102)+1)/2)*(Inputs!$J$6-Inputs!$I$6)))^2+Inputs!$C$6^2)/Inputs!$C$52)))-((Inputs!$H$6+Inputs!$L$6*(((Inputs!$I$6+(((A102)+1)/2)*(Inputs!$J$6-Inputs!$I$6)))/Inputs!$K$6)^2)))*1000/Inputs!$C$12)</f>
        <v/>
      </c>
      <c r="AG102" s="9">
        <f>(((SQRT((Inputs!$C$52+((Inputs!$H$7+Inputs!$L$7*(((Inputs!$I$7+(((A102)+1)/2)*(Inputs!$J$7-Inputs!$I$7)))/Inputs!$K$7)^2)))^2+Inputs!$C$52^2-2*(Inputs!$C$52+((Inputs!$H$7+Inputs!$L$7*(((Inputs!$I$7+(((A102)+1)/2)*(Inputs!$J$7-Inputs!$I$7)))/Inputs!$K$7)^2)))*Inputs!$C$52*COS(SQRT(((Inputs!$I$7+(((A102)+1)/2)*(Inputs!$J$7-Inputs!$I$7)))^2+Inputs!$C$6^2)/Inputs!$C$52)))-((Inputs!$H$7+Inputs!$L$7*(((Inputs!$I$7+(((A102)+1)/2)*(Inputs!$J$7-Inputs!$I$7)))/Inputs!$K$7)^2)))*1000/Inputs!$C$12)</f>
        <v/>
      </c>
      <c r="AH102" s="9">
        <f>(((SQRT((Inputs!$C$52+((Inputs!$H$8+Inputs!$L$8*(((Inputs!$I$8+(((A102)+1)/2)*(Inputs!$J$8-Inputs!$I$8)))/Inputs!$K$8)^2)))^2+Inputs!$C$52^2-2*(Inputs!$C$52+((Inputs!$H$8+Inputs!$L$8*(((Inputs!$I$8+(((A102)+1)/2)*(Inputs!$J$8-Inputs!$I$8)))/Inputs!$K$8)^2)))*Inputs!$C$52*COS(SQRT(((Inputs!$I$8+(((A102)+1)/2)*(Inputs!$J$8-Inputs!$I$8)))^2+Inputs!$C$6^2)/Inputs!$C$52)))-((Inputs!$H$8+Inputs!$L$8*(((Inputs!$I$8+(((A102)+1)/2)*(Inputs!$J$8-Inputs!$I$8)))/Inputs!$K$8)^2)))*1000/Inputs!$C$12)</f>
        <v/>
      </c>
      <c r="AI102" s="9">
        <f>(((SQRT((Inputs!$C$52+((Inputs!$H$9+Inputs!$L$9*(((Inputs!$I$9+(((A102)+1)/2)*(Inputs!$J$9-Inputs!$I$9)))/Inputs!$K$9)^2)))^2+Inputs!$C$52^2-2*(Inputs!$C$52+((Inputs!$H$9+Inputs!$L$9*(((Inputs!$I$9+(((A102)+1)/2)*(Inputs!$J$9-Inputs!$I$9)))/Inputs!$K$9)^2)))*Inputs!$C$52*COS(SQRT(((Inputs!$I$9+(((A102)+1)/2)*(Inputs!$J$9-Inputs!$I$9)))^2+Inputs!$C$6^2)/Inputs!$C$52)))-((Inputs!$H$9+Inputs!$L$9*(((Inputs!$I$9+(((A102)+1)/2)*(Inputs!$J$9-Inputs!$I$9)))/Inputs!$K$9)^2)))*1000/Inputs!$C$12)</f>
        <v/>
      </c>
      <c r="AJ102" s="10" t="n"/>
      <c r="AK102" s="9">
        <f>A102</f>
        <v/>
      </c>
      <c r="AL102" s="9">
        <f>(-2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f>
        <v/>
      </c>
      <c r="AM102" s="9">
        <f>(-2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f>
        <v/>
      </c>
      <c r="AN102" s="9">
        <f>(-2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f>
        <v/>
      </c>
      <c r="AO102" s="9">
        <f>(-2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f>
        <v/>
      </c>
      <c r="AP102" s="10" t="n"/>
      <c r="AQ102" s="9">
        <f>A102</f>
        <v/>
      </c>
      <c r="AR102" s="9">
        <f>0</f>
        <v/>
      </c>
      <c r="AS102" s="9">
        <f>IF(OR(Inputs!$F$6=TRUE,Inputs!$F$6="TRUE",Inputs!$F$6=1),IF(OR(Inputs!$C$27=TRUE,Inputs!$C$27="TRUE",Inputs!$C$27=1),1,0)*(Inputs!$C$51*(115*EXP(-(((Inputs!$C$6)-25)^2)/(4.5^2))+70*EXP(-(((Inputs!$C$6)+38)^2)/(7^2))*(0.55+0.45*SIN(2*PI()*((Inputs!$I$6+(((A102)+1)/2)*(Inputs!$J$6-Inputs!$I$6)))/45))+24*SIN(2*PI()*(Inputs!$C$6)/9+((Inputs!$I$6+(((A102)+1)/2)*(Inputs!$J$6-Inputs!$I$6)))/18)*EXP(-(((Inputs!$C$6)+5)^2)/(22^2))+18*SIN(2*PI()*((Inputs!$I$6+(((A102)+1)/2)*(Inputs!$J$6-Inputs!$I$6)))/70))+Inputs!$C$28*EXP(-((((Inputs!$I$6+(((A102)+1)/2)*(Inputs!$J$6-Inputs!$I$6)))-Inputs!$C$29)^2)/(2*Inputs!$C$31^2))*EXP(-(((Inputs!$C$6)-Inputs!$C$30)^2)/(2*Inputs!$C$32^2))+-Inputs!$C$33*EXP(-((((((Inputs!$I$6+(((A102)+1)/2)*(Inputs!$J$6-Inputs!$I$6)))-Inputs!$C$34)^2)+(((Inputs!$C$6)-Inputs!$C$35)^2))/(2*Inputs!$C$36^2)))+Inputs!$C$37*(0.55*SIN(2*PI()*((Inputs!$I$6+(((A102)+1)/2)*(Inputs!$J$6-Inputs!$I$6)))/Inputs!$C$39)+0.35*COS(2*PI()*(Inputs!$C$6)/Inputs!$C$40)+0.2*SIN(2*PI()*(((Inputs!$I$6+(((A102)+1)/2)*(Inputs!$J$6-Inputs!$I$6)))+(Inputs!$C$6))/(0.5*(Inputs!$C$39+Inputs!$C$40))))+Inputs!$C$38*SIN(2*PI()*((Inputs!$I$6+(((A102)+1)/2)*(Inputs!$J$6-Inputs!$I$6)))/Inputs!$C$39)*SIN(2*PI()*(Inputs!$C$6)/Inputs!$C$40)+-Inputs!$C$41*EXP(-(((Inputs!$C$6)-Inputs!$C$43)^2)/(2*Inputs!$C$44^2))*EXP(-((((Inputs!$I$6+(((A102)+1)/2)*(Inputs!$J$6-Inputs!$I$6)))-Inputs!$C$42)^2)/(2*Inputs!$C$45^2))+Inputs!$C$48*(0.7*(0.45*SIN(2*PI()*((((Inputs!$I$6+(((A102)+1)/2)*(Inputs!$J$6-Inputs!$I$6)))/Inputs!$C$49)+Inputs!$C$47*0.137))+0.35*COS(2*PI()*(((Inputs!$C$6)/Inputs!$C$50)+Inputs!$C$47*0.173))+0.2*SIN(2*PI()*((((Inputs!$I$6+(((A102)+1)/2)*(Inputs!$J$6-Inputs!$I$6)))+(Inputs!$C$6))/(0.5*(Inputs!$C$49+Inputs!$C$50))+Inputs!$C$47*0.097)))+0.3*(2*((SIN((((Inputs!$I$6+(((A102)+1)/2)*(Inputs!$J$6-Inputs!$I$6)))*12.9898+(Inputs!$C$6)*78.233+Inputs!$C$47*37.719))*43758.5453)-INT((SIN((((Inputs!$I$6+(((A102)+1)/2)*(Inputs!$J$6-Inputs!$I$6)))*12.9898+(Inputs!$C$6)*78.233+Inputs!$C$47*37.719))*43758.5453)))-1))),NA())</f>
        <v/>
      </c>
      <c r="AT102" s="9">
        <f>IF(OR(Inputs!$F$7=TRUE,Inputs!$F$7="TRUE",Inputs!$F$7=1),IF(OR(Inputs!$C$27=TRUE,Inputs!$C$27="TRUE",Inputs!$C$27=1),1,0)*(Inputs!$C$51*(115*EXP(-(((Inputs!$C$6)-25)^2)/(4.5^2))+70*EXP(-(((Inputs!$C$6)+38)^2)/(7^2))*(0.55+0.45*SIN(2*PI()*((Inputs!$I$7+(((A102)+1)/2)*(Inputs!$J$7-Inputs!$I$7)))/45))+24*SIN(2*PI()*(Inputs!$C$6)/9+((Inputs!$I$7+(((A102)+1)/2)*(Inputs!$J$7-Inputs!$I$7)))/18)*EXP(-(((Inputs!$C$6)+5)^2)/(22^2))+18*SIN(2*PI()*((Inputs!$I$7+(((A102)+1)/2)*(Inputs!$J$7-Inputs!$I$7)))/70))+Inputs!$C$28*EXP(-((((Inputs!$I$7+(((A102)+1)/2)*(Inputs!$J$7-Inputs!$I$7)))-Inputs!$C$29)^2)/(2*Inputs!$C$31^2))*EXP(-(((Inputs!$C$6)-Inputs!$C$30)^2)/(2*Inputs!$C$32^2))+-Inputs!$C$33*EXP(-((((((Inputs!$I$7+(((A102)+1)/2)*(Inputs!$J$7-Inputs!$I$7)))-Inputs!$C$34)^2)+(((Inputs!$C$6)-Inputs!$C$35)^2))/(2*Inputs!$C$36^2)))+Inputs!$C$37*(0.55*SIN(2*PI()*((Inputs!$I$7+(((A102)+1)/2)*(Inputs!$J$7-Inputs!$I$7)))/Inputs!$C$39)+0.35*COS(2*PI()*(Inputs!$C$6)/Inputs!$C$40)+0.2*SIN(2*PI()*(((Inputs!$I$7+(((A102)+1)/2)*(Inputs!$J$7-Inputs!$I$7)))+(Inputs!$C$6))/(0.5*(Inputs!$C$39+Inputs!$C$40))))+Inputs!$C$38*SIN(2*PI()*((Inputs!$I$7+(((A102)+1)/2)*(Inputs!$J$7-Inputs!$I$7)))/Inputs!$C$39)*SIN(2*PI()*(Inputs!$C$6)/Inputs!$C$40)+-Inputs!$C$41*EXP(-(((Inputs!$C$6)-Inputs!$C$43)^2)/(2*Inputs!$C$44^2))*EXP(-((((Inputs!$I$7+(((A102)+1)/2)*(Inputs!$J$7-Inputs!$I$7)))-Inputs!$C$42)^2)/(2*Inputs!$C$45^2))+Inputs!$C$48*(0.7*(0.45*SIN(2*PI()*((((Inputs!$I$7+(((A102)+1)/2)*(Inputs!$J$7-Inputs!$I$7)))/Inputs!$C$49)+Inputs!$C$47*0.137))+0.35*COS(2*PI()*(((Inputs!$C$6)/Inputs!$C$50)+Inputs!$C$47*0.173))+0.2*SIN(2*PI()*((((Inputs!$I$7+(((A102)+1)/2)*(Inputs!$J$7-Inputs!$I$7)))+(Inputs!$C$6))/(0.5*(Inputs!$C$49+Inputs!$C$50))+Inputs!$C$47*0.097)))+0.3*(2*((SIN((((Inputs!$I$7+(((A102)+1)/2)*(Inputs!$J$7-Inputs!$I$7)))*12.9898+(Inputs!$C$6)*78.233+Inputs!$C$47*37.719))*43758.5453)-INT((SIN((((Inputs!$I$7+(((A102)+1)/2)*(Inputs!$J$7-Inputs!$I$7)))*12.9898+(Inputs!$C$6)*78.233+Inputs!$C$47*37.719))*43758.5453)))-1))),NA())</f>
        <v/>
      </c>
      <c r="AU102" s="9">
        <f>IF(OR(Inputs!$F$8=TRUE,Inputs!$F$8="TRUE",Inputs!$F$8=1),IF(OR(Inputs!$C$27=TRUE,Inputs!$C$27="TRUE",Inputs!$C$27=1),1,0)*(Inputs!$C$51*(115*EXP(-(((Inputs!$C$6)-25)^2)/(4.5^2))+70*EXP(-(((Inputs!$C$6)+38)^2)/(7^2))*(0.55+0.45*SIN(2*PI()*((Inputs!$I$8+(((A102)+1)/2)*(Inputs!$J$8-Inputs!$I$8)))/45))+24*SIN(2*PI()*(Inputs!$C$6)/9+((Inputs!$I$8+(((A102)+1)/2)*(Inputs!$J$8-Inputs!$I$8)))/18)*EXP(-(((Inputs!$C$6)+5)^2)/(22^2))+18*SIN(2*PI()*((Inputs!$I$8+(((A102)+1)/2)*(Inputs!$J$8-Inputs!$I$8)))/70))+Inputs!$C$28*EXP(-((((Inputs!$I$8+(((A102)+1)/2)*(Inputs!$J$8-Inputs!$I$8)))-Inputs!$C$29)^2)/(2*Inputs!$C$31^2))*EXP(-(((Inputs!$C$6)-Inputs!$C$30)^2)/(2*Inputs!$C$32^2))+-Inputs!$C$33*EXP(-((((((Inputs!$I$8+(((A102)+1)/2)*(Inputs!$J$8-Inputs!$I$8)))-Inputs!$C$34)^2)+(((Inputs!$C$6)-Inputs!$C$35)^2))/(2*Inputs!$C$36^2)))+Inputs!$C$37*(0.55*SIN(2*PI()*((Inputs!$I$8+(((A102)+1)/2)*(Inputs!$J$8-Inputs!$I$8)))/Inputs!$C$39)+0.35*COS(2*PI()*(Inputs!$C$6)/Inputs!$C$40)+0.2*SIN(2*PI()*(((Inputs!$I$8+(((A102)+1)/2)*(Inputs!$J$8-Inputs!$I$8)))+(Inputs!$C$6))/(0.5*(Inputs!$C$39+Inputs!$C$40))))+Inputs!$C$38*SIN(2*PI()*((Inputs!$I$8+(((A102)+1)/2)*(Inputs!$J$8-Inputs!$I$8)))/Inputs!$C$39)*SIN(2*PI()*(Inputs!$C$6)/Inputs!$C$40)+-Inputs!$C$41*EXP(-(((Inputs!$C$6)-Inputs!$C$43)^2)/(2*Inputs!$C$44^2))*EXP(-((((Inputs!$I$8+(((A102)+1)/2)*(Inputs!$J$8-Inputs!$I$8)))-Inputs!$C$42)^2)/(2*Inputs!$C$45^2))+Inputs!$C$48*(0.7*(0.45*SIN(2*PI()*((((Inputs!$I$8+(((A102)+1)/2)*(Inputs!$J$8-Inputs!$I$8)))/Inputs!$C$49)+Inputs!$C$47*0.137))+0.35*COS(2*PI()*(((Inputs!$C$6)/Inputs!$C$50)+Inputs!$C$47*0.173))+0.2*SIN(2*PI()*((((Inputs!$I$8+(((A102)+1)/2)*(Inputs!$J$8-Inputs!$I$8)))+(Inputs!$C$6))/(0.5*(Inputs!$C$49+Inputs!$C$50))+Inputs!$C$47*0.097)))+0.3*(2*((SIN((((Inputs!$I$8+(((A102)+1)/2)*(Inputs!$J$8-Inputs!$I$8)))*12.9898+(Inputs!$C$6)*78.233+Inputs!$C$47*37.719))*43758.5453)-INT((SIN((((Inputs!$I$8+(((A102)+1)/2)*(Inputs!$J$8-Inputs!$I$8)))*12.9898+(Inputs!$C$6)*78.233+Inputs!$C$47*37.719))*43758.5453)))-1))),NA())</f>
        <v/>
      </c>
      <c r="AV102" s="9">
        <f>IF(OR(Inputs!$F$9=TRUE,Inputs!$F$9="TRUE",Inputs!$F$9=1),IF(OR(Inputs!$C$27=TRUE,Inputs!$C$27="TRUE",Inputs!$C$27=1),1,0)*(Inputs!$C$51*(115*EXP(-(((Inputs!$C$6)-25)^2)/(4.5^2))+70*EXP(-(((Inputs!$C$6)+38)^2)/(7^2))*(0.55+0.45*SIN(2*PI()*((Inputs!$I$9+(((A102)+1)/2)*(Inputs!$J$9-Inputs!$I$9)))/45))+24*SIN(2*PI()*(Inputs!$C$6)/9+((Inputs!$I$9+(((A102)+1)/2)*(Inputs!$J$9-Inputs!$I$9)))/18)*EXP(-(((Inputs!$C$6)+5)^2)/(22^2))+18*SIN(2*PI()*((Inputs!$I$9+(((A102)+1)/2)*(Inputs!$J$9-Inputs!$I$9)))/70))+Inputs!$C$28*EXP(-((((Inputs!$I$9+(((A102)+1)/2)*(Inputs!$J$9-Inputs!$I$9)))-Inputs!$C$29)^2)/(2*Inputs!$C$31^2))*EXP(-(((Inputs!$C$6)-Inputs!$C$30)^2)/(2*Inputs!$C$32^2))+-Inputs!$C$33*EXP(-((((((Inputs!$I$9+(((A102)+1)/2)*(Inputs!$J$9-Inputs!$I$9)))-Inputs!$C$34)^2)+(((Inputs!$C$6)-Inputs!$C$35)^2))/(2*Inputs!$C$36^2)))+Inputs!$C$37*(0.55*SIN(2*PI()*((Inputs!$I$9+(((A102)+1)/2)*(Inputs!$J$9-Inputs!$I$9)))/Inputs!$C$39)+0.35*COS(2*PI()*(Inputs!$C$6)/Inputs!$C$40)+0.2*SIN(2*PI()*(((Inputs!$I$9+(((A102)+1)/2)*(Inputs!$J$9-Inputs!$I$9)))+(Inputs!$C$6))/(0.5*(Inputs!$C$39+Inputs!$C$40))))+Inputs!$C$38*SIN(2*PI()*((Inputs!$I$9+(((A102)+1)/2)*(Inputs!$J$9-Inputs!$I$9)))/Inputs!$C$39)*SIN(2*PI()*(Inputs!$C$6)/Inputs!$C$40)+-Inputs!$C$41*EXP(-(((Inputs!$C$6)-Inputs!$C$43)^2)/(2*Inputs!$C$44^2))*EXP(-((((Inputs!$I$9+(((A102)+1)/2)*(Inputs!$J$9-Inputs!$I$9)))-Inputs!$C$42)^2)/(2*Inputs!$C$45^2))+Inputs!$C$48*(0.7*(0.45*SIN(2*PI()*((((Inputs!$I$9+(((A102)+1)/2)*(Inputs!$J$9-Inputs!$I$9)))/Inputs!$C$49)+Inputs!$C$47*0.137))+0.35*COS(2*PI()*(((Inputs!$C$6)/Inputs!$C$50)+Inputs!$C$47*0.173))+0.2*SIN(2*PI()*((((Inputs!$I$9+(((A102)+1)/2)*(Inputs!$J$9-Inputs!$I$9)))+(Inputs!$C$6))/(0.5*(Inputs!$C$49+Inputs!$C$50))+Inputs!$C$47*0.097)))+0.3*(2*((SIN((((Inputs!$I$9+(((A102)+1)/2)*(Inputs!$J$9-Inputs!$I$9)))*12.9898+(Inputs!$C$6)*78.233+Inputs!$C$47*37.719))*43758.5453)-INT((SIN((((Inputs!$I$9+(((A102)+1)/2)*(Inputs!$J$9-Inputs!$I$9)))*12.9898+(Inputs!$C$6)*78.233+Inputs!$C$47*37.719))*43758.5453)))-1))),NA())</f>
        <v/>
      </c>
      <c r="AW102" s="10" t="n"/>
      <c r="AX102" s="9">
        <f>A102</f>
        <v/>
      </c>
      <c r="AY102" s="9">
        <f>0</f>
        <v/>
      </c>
      <c r="AZ102" s="9">
        <f>IF(OR(Inputs!$F$6=TRUE,Inputs!$F$6="TRUE",Inputs!$F$6=1),(Inputs!$H$6+Inputs!$L$6*(((Inputs!$I$6+(((A102)+1)/2)*(Inputs!$J$6-Inputs!$I$6)))/Inputs!$K$6)^2),NA())</f>
        <v/>
      </c>
      <c r="BA102" s="9">
        <f>IF(OR(Inputs!$F$7=TRUE,Inputs!$F$7="TRUE",Inputs!$F$7=1),(Inputs!$H$7+Inputs!$L$7*(((Inputs!$I$7+(((A102)+1)/2)*(Inputs!$J$7-Inputs!$I$7)))/Inputs!$K$7)^2),NA())</f>
        <v/>
      </c>
      <c r="BB102" s="9">
        <f>IF(OR(Inputs!$F$8=TRUE,Inputs!$F$8="TRUE",Inputs!$F$8=1),(Inputs!$H$8+Inputs!$L$8*(((Inputs!$I$8+(((A102)+1)/2)*(Inputs!$J$8-Inputs!$I$8)))/Inputs!$K$8)^2),NA())</f>
        <v/>
      </c>
      <c r="BC102" s="9">
        <f>IF(OR(Inputs!$F$9=TRUE,Inputs!$F$9="TRUE",Inputs!$F$9=1),(Inputs!$H$9+Inputs!$L$9*(((Inputs!$I$9+(((A102)+1)/2)*(Inputs!$J$9-Inputs!$I$9)))/Inputs!$K$9)^2),NA())</f>
        <v/>
      </c>
      <c r="BD102" s="10" t="n"/>
      <c r="BE102" s="9">
        <f>A102</f>
        <v/>
      </c>
      <c r="BF102" s="9">
        <f>0</f>
        <v/>
      </c>
      <c r="BG102" s="9">
        <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f>
        <v/>
      </c>
      <c r="BH102" s="9">
        <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f>
        <v/>
      </c>
      <c r="BI102" s="9">
        <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f>
        <v/>
      </c>
      <c r="BJ102" s="9">
        <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f>
        <v/>
      </c>
    </row>
    <row r="103">
      <c r="A103" s="9">
        <f>ROUND(-1+101*2/240,3)</f>
        <v/>
      </c>
      <c r="B103" s="9">
        <f>IF(OR(Inputs!$F$6=TRUE,Inputs!$F$6="TRUE",Inputs!$F$6=1),(Inputs!$H$6+Inputs!$L$6*(((Inputs!$I$6+(((A103)+1)/2)*(Inputs!$J$6-Inputs!$I$6)))/Inputs!$K$6)^2),NA())</f>
        <v/>
      </c>
      <c r="C103" s="9">
        <f>IF(OR(Inputs!$F$7=TRUE,Inputs!$F$7="TRUE",Inputs!$F$7=1),(Inputs!$H$7+Inputs!$L$7*(((Inputs!$I$7+(((A103)+1)/2)*(Inputs!$J$7-Inputs!$I$7)))/Inputs!$K$7)^2),NA())</f>
        <v/>
      </c>
      <c r="D103" s="9">
        <f>IF(OR(Inputs!$F$8=TRUE,Inputs!$F$8="TRUE",Inputs!$F$8=1),(Inputs!$H$8+Inputs!$L$8*(((Inputs!$I$8+(((A103)+1)/2)*(Inputs!$J$8-Inputs!$I$8)))/Inputs!$K$8)^2),NA())</f>
        <v/>
      </c>
      <c r="E103" s="9">
        <f>IF(OR(Inputs!$F$9=TRUE,Inputs!$F$9="TRUE",Inputs!$F$9=1),(Inputs!$H$9+Inputs!$L$9*(((Inputs!$I$9+(((A103)+1)/2)*(Inputs!$J$9-Inputs!$I$9)))/Inputs!$K$9)^2),NA())</f>
        <v/>
      </c>
      <c r="F103" s="10" t="n"/>
      <c r="G103" s="9">
        <f>A103</f>
        <v/>
      </c>
      <c r="H103" s="9">
        <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f>
        <v/>
      </c>
      <c r="I103" s="9">
        <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f>
        <v/>
      </c>
      <c r="J103" s="9">
        <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f>
        <v/>
      </c>
      <c r="K103" s="9">
        <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f>
        <v/>
      </c>
      <c r="L103" s="10" t="n"/>
      <c r="M103" s="9">
        <f>A103</f>
        <v/>
      </c>
      <c r="N103" s="9">
        <f>IF(OR(Inputs!$F$6=TRUE,Inputs!$F$6="TRUE",Inputs!$F$6=1),(-2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NA())</f>
        <v/>
      </c>
      <c r="O103" s="9">
        <f>IF(OR(Inputs!$F$7=TRUE,Inputs!$F$7="TRUE",Inputs!$F$7=1),(-2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NA())</f>
        <v/>
      </c>
      <c r="P103" s="9">
        <f>IF(OR(Inputs!$F$8=TRUE,Inputs!$F$8="TRUE",Inputs!$F$8=1),(-2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NA())</f>
        <v/>
      </c>
      <c r="Q103" s="9">
        <f>IF(OR(Inputs!$F$9=TRUE,Inputs!$F$9="TRUE",Inputs!$F$9=1),(-2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NA())</f>
        <v/>
      </c>
      <c r="R103" s="10" t="n"/>
      <c r="S103" s="9">
        <f>A103</f>
        <v/>
      </c>
      <c r="T103" s="9">
        <f>(Inputs!$I$6+(((A103)+1)/2)*(Inputs!$J$6-Inputs!$I$6))</f>
        <v/>
      </c>
      <c r="U103" s="9">
        <f>(Inputs!$I$7+(((A103)+1)/2)*(Inputs!$J$7-Inputs!$I$7))</f>
        <v/>
      </c>
      <c r="V103" s="9">
        <f>(Inputs!$I$8+(((A103)+1)/2)*(Inputs!$J$8-Inputs!$I$8))</f>
        <v/>
      </c>
      <c r="W103" s="9">
        <f>(Inputs!$I$9+(((A103)+1)/2)*(Inputs!$J$9-Inputs!$I$9))</f>
        <v/>
      </c>
      <c r="X103" s="10" t="n"/>
      <c r="Y103" s="9">
        <f>A103</f>
        <v/>
      </c>
      <c r="Z103" s="9">
        <f>(Inputs!$H$6+Inputs!$L$6*(((Inputs!$I$6+(((A103)+1)/2)*(Inputs!$J$6-Inputs!$I$6)))/Inputs!$K$6)^2)</f>
        <v/>
      </c>
      <c r="AA103" s="9">
        <f>(Inputs!$H$7+Inputs!$L$7*(((Inputs!$I$7+(((A103)+1)/2)*(Inputs!$J$7-Inputs!$I$7)))/Inputs!$K$7)^2)</f>
        <v/>
      </c>
      <c r="AB103" s="9">
        <f>(Inputs!$H$8+Inputs!$L$8*(((Inputs!$I$8+(((A103)+1)/2)*(Inputs!$J$8-Inputs!$I$8)))/Inputs!$K$8)^2)</f>
        <v/>
      </c>
      <c r="AC103" s="9">
        <f>(Inputs!$H$9+Inputs!$L$9*(((Inputs!$I$9+(((A103)+1)/2)*(Inputs!$J$9-Inputs!$I$9)))/Inputs!$K$9)^2)</f>
        <v/>
      </c>
      <c r="AD103" s="10" t="n"/>
      <c r="AE103" s="9">
        <f>A103</f>
        <v/>
      </c>
      <c r="AF103" s="9">
        <f>(((SQRT((Inputs!$C$52+((Inputs!$H$6+Inputs!$L$6*(((Inputs!$I$6+(((A103)+1)/2)*(Inputs!$J$6-Inputs!$I$6)))/Inputs!$K$6)^2)))^2+Inputs!$C$52^2-2*(Inputs!$C$52+((Inputs!$H$6+Inputs!$L$6*(((Inputs!$I$6+(((A103)+1)/2)*(Inputs!$J$6-Inputs!$I$6)))/Inputs!$K$6)^2)))*Inputs!$C$52*COS(SQRT(((Inputs!$I$6+(((A103)+1)/2)*(Inputs!$J$6-Inputs!$I$6)))^2+Inputs!$C$6^2)/Inputs!$C$52)))-((Inputs!$H$6+Inputs!$L$6*(((Inputs!$I$6+(((A103)+1)/2)*(Inputs!$J$6-Inputs!$I$6)))/Inputs!$K$6)^2)))*1000/Inputs!$C$12)</f>
        <v/>
      </c>
      <c r="AG103" s="9">
        <f>(((SQRT((Inputs!$C$52+((Inputs!$H$7+Inputs!$L$7*(((Inputs!$I$7+(((A103)+1)/2)*(Inputs!$J$7-Inputs!$I$7)))/Inputs!$K$7)^2)))^2+Inputs!$C$52^2-2*(Inputs!$C$52+((Inputs!$H$7+Inputs!$L$7*(((Inputs!$I$7+(((A103)+1)/2)*(Inputs!$J$7-Inputs!$I$7)))/Inputs!$K$7)^2)))*Inputs!$C$52*COS(SQRT(((Inputs!$I$7+(((A103)+1)/2)*(Inputs!$J$7-Inputs!$I$7)))^2+Inputs!$C$6^2)/Inputs!$C$52)))-((Inputs!$H$7+Inputs!$L$7*(((Inputs!$I$7+(((A103)+1)/2)*(Inputs!$J$7-Inputs!$I$7)))/Inputs!$K$7)^2)))*1000/Inputs!$C$12)</f>
        <v/>
      </c>
      <c r="AH103" s="9">
        <f>(((SQRT((Inputs!$C$52+((Inputs!$H$8+Inputs!$L$8*(((Inputs!$I$8+(((A103)+1)/2)*(Inputs!$J$8-Inputs!$I$8)))/Inputs!$K$8)^2)))^2+Inputs!$C$52^2-2*(Inputs!$C$52+((Inputs!$H$8+Inputs!$L$8*(((Inputs!$I$8+(((A103)+1)/2)*(Inputs!$J$8-Inputs!$I$8)))/Inputs!$K$8)^2)))*Inputs!$C$52*COS(SQRT(((Inputs!$I$8+(((A103)+1)/2)*(Inputs!$J$8-Inputs!$I$8)))^2+Inputs!$C$6^2)/Inputs!$C$52)))-((Inputs!$H$8+Inputs!$L$8*(((Inputs!$I$8+(((A103)+1)/2)*(Inputs!$J$8-Inputs!$I$8)))/Inputs!$K$8)^2)))*1000/Inputs!$C$12)</f>
        <v/>
      </c>
      <c r="AI103" s="9">
        <f>(((SQRT((Inputs!$C$52+((Inputs!$H$9+Inputs!$L$9*(((Inputs!$I$9+(((A103)+1)/2)*(Inputs!$J$9-Inputs!$I$9)))/Inputs!$K$9)^2)))^2+Inputs!$C$52^2-2*(Inputs!$C$52+((Inputs!$H$9+Inputs!$L$9*(((Inputs!$I$9+(((A103)+1)/2)*(Inputs!$J$9-Inputs!$I$9)))/Inputs!$K$9)^2)))*Inputs!$C$52*COS(SQRT(((Inputs!$I$9+(((A103)+1)/2)*(Inputs!$J$9-Inputs!$I$9)))^2+Inputs!$C$6^2)/Inputs!$C$52)))-((Inputs!$H$9+Inputs!$L$9*(((Inputs!$I$9+(((A103)+1)/2)*(Inputs!$J$9-Inputs!$I$9)))/Inputs!$K$9)^2)))*1000/Inputs!$C$12)</f>
        <v/>
      </c>
      <c r="AJ103" s="10" t="n"/>
      <c r="AK103" s="9">
        <f>A103</f>
        <v/>
      </c>
      <c r="AL103" s="9">
        <f>(-2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f>
        <v/>
      </c>
      <c r="AM103" s="9">
        <f>(-2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f>
        <v/>
      </c>
      <c r="AN103" s="9">
        <f>(-2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f>
        <v/>
      </c>
      <c r="AO103" s="9">
        <f>(-2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f>
        <v/>
      </c>
      <c r="AP103" s="10" t="n"/>
      <c r="AQ103" s="9">
        <f>A103</f>
        <v/>
      </c>
      <c r="AR103" s="9">
        <f>0</f>
        <v/>
      </c>
      <c r="AS103" s="9">
        <f>IF(OR(Inputs!$F$6=TRUE,Inputs!$F$6="TRUE",Inputs!$F$6=1),IF(OR(Inputs!$C$27=TRUE,Inputs!$C$27="TRUE",Inputs!$C$27=1),1,0)*(Inputs!$C$51*(115*EXP(-(((Inputs!$C$6)-25)^2)/(4.5^2))+70*EXP(-(((Inputs!$C$6)+38)^2)/(7^2))*(0.55+0.45*SIN(2*PI()*((Inputs!$I$6+(((A103)+1)/2)*(Inputs!$J$6-Inputs!$I$6)))/45))+24*SIN(2*PI()*(Inputs!$C$6)/9+((Inputs!$I$6+(((A103)+1)/2)*(Inputs!$J$6-Inputs!$I$6)))/18)*EXP(-(((Inputs!$C$6)+5)^2)/(22^2))+18*SIN(2*PI()*((Inputs!$I$6+(((A103)+1)/2)*(Inputs!$J$6-Inputs!$I$6)))/70))+Inputs!$C$28*EXP(-((((Inputs!$I$6+(((A103)+1)/2)*(Inputs!$J$6-Inputs!$I$6)))-Inputs!$C$29)^2)/(2*Inputs!$C$31^2))*EXP(-(((Inputs!$C$6)-Inputs!$C$30)^2)/(2*Inputs!$C$32^2))+-Inputs!$C$33*EXP(-((((((Inputs!$I$6+(((A103)+1)/2)*(Inputs!$J$6-Inputs!$I$6)))-Inputs!$C$34)^2)+(((Inputs!$C$6)-Inputs!$C$35)^2))/(2*Inputs!$C$36^2)))+Inputs!$C$37*(0.55*SIN(2*PI()*((Inputs!$I$6+(((A103)+1)/2)*(Inputs!$J$6-Inputs!$I$6)))/Inputs!$C$39)+0.35*COS(2*PI()*(Inputs!$C$6)/Inputs!$C$40)+0.2*SIN(2*PI()*(((Inputs!$I$6+(((A103)+1)/2)*(Inputs!$J$6-Inputs!$I$6)))+(Inputs!$C$6))/(0.5*(Inputs!$C$39+Inputs!$C$40))))+Inputs!$C$38*SIN(2*PI()*((Inputs!$I$6+(((A103)+1)/2)*(Inputs!$J$6-Inputs!$I$6)))/Inputs!$C$39)*SIN(2*PI()*(Inputs!$C$6)/Inputs!$C$40)+-Inputs!$C$41*EXP(-(((Inputs!$C$6)-Inputs!$C$43)^2)/(2*Inputs!$C$44^2))*EXP(-((((Inputs!$I$6+(((A103)+1)/2)*(Inputs!$J$6-Inputs!$I$6)))-Inputs!$C$42)^2)/(2*Inputs!$C$45^2))+Inputs!$C$48*(0.7*(0.45*SIN(2*PI()*((((Inputs!$I$6+(((A103)+1)/2)*(Inputs!$J$6-Inputs!$I$6)))/Inputs!$C$49)+Inputs!$C$47*0.137))+0.35*COS(2*PI()*(((Inputs!$C$6)/Inputs!$C$50)+Inputs!$C$47*0.173))+0.2*SIN(2*PI()*((((Inputs!$I$6+(((A103)+1)/2)*(Inputs!$J$6-Inputs!$I$6)))+(Inputs!$C$6))/(0.5*(Inputs!$C$49+Inputs!$C$50))+Inputs!$C$47*0.097)))+0.3*(2*((SIN((((Inputs!$I$6+(((A103)+1)/2)*(Inputs!$J$6-Inputs!$I$6)))*12.9898+(Inputs!$C$6)*78.233+Inputs!$C$47*37.719))*43758.5453)-INT((SIN((((Inputs!$I$6+(((A103)+1)/2)*(Inputs!$J$6-Inputs!$I$6)))*12.9898+(Inputs!$C$6)*78.233+Inputs!$C$47*37.719))*43758.5453)))-1))),NA())</f>
        <v/>
      </c>
      <c r="AT103" s="9">
        <f>IF(OR(Inputs!$F$7=TRUE,Inputs!$F$7="TRUE",Inputs!$F$7=1),IF(OR(Inputs!$C$27=TRUE,Inputs!$C$27="TRUE",Inputs!$C$27=1),1,0)*(Inputs!$C$51*(115*EXP(-(((Inputs!$C$6)-25)^2)/(4.5^2))+70*EXP(-(((Inputs!$C$6)+38)^2)/(7^2))*(0.55+0.45*SIN(2*PI()*((Inputs!$I$7+(((A103)+1)/2)*(Inputs!$J$7-Inputs!$I$7)))/45))+24*SIN(2*PI()*(Inputs!$C$6)/9+((Inputs!$I$7+(((A103)+1)/2)*(Inputs!$J$7-Inputs!$I$7)))/18)*EXP(-(((Inputs!$C$6)+5)^2)/(22^2))+18*SIN(2*PI()*((Inputs!$I$7+(((A103)+1)/2)*(Inputs!$J$7-Inputs!$I$7)))/70))+Inputs!$C$28*EXP(-((((Inputs!$I$7+(((A103)+1)/2)*(Inputs!$J$7-Inputs!$I$7)))-Inputs!$C$29)^2)/(2*Inputs!$C$31^2))*EXP(-(((Inputs!$C$6)-Inputs!$C$30)^2)/(2*Inputs!$C$32^2))+-Inputs!$C$33*EXP(-((((((Inputs!$I$7+(((A103)+1)/2)*(Inputs!$J$7-Inputs!$I$7)))-Inputs!$C$34)^2)+(((Inputs!$C$6)-Inputs!$C$35)^2))/(2*Inputs!$C$36^2)))+Inputs!$C$37*(0.55*SIN(2*PI()*((Inputs!$I$7+(((A103)+1)/2)*(Inputs!$J$7-Inputs!$I$7)))/Inputs!$C$39)+0.35*COS(2*PI()*(Inputs!$C$6)/Inputs!$C$40)+0.2*SIN(2*PI()*(((Inputs!$I$7+(((A103)+1)/2)*(Inputs!$J$7-Inputs!$I$7)))+(Inputs!$C$6))/(0.5*(Inputs!$C$39+Inputs!$C$40))))+Inputs!$C$38*SIN(2*PI()*((Inputs!$I$7+(((A103)+1)/2)*(Inputs!$J$7-Inputs!$I$7)))/Inputs!$C$39)*SIN(2*PI()*(Inputs!$C$6)/Inputs!$C$40)+-Inputs!$C$41*EXP(-(((Inputs!$C$6)-Inputs!$C$43)^2)/(2*Inputs!$C$44^2))*EXP(-((((Inputs!$I$7+(((A103)+1)/2)*(Inputs!$J$7-Inputs!$I$7)))-Inputs!$C$42)^2)/(2*Inputs!$C$45^2))+Inputs!$C$48*(0.7*(0.45*SIN(2*PI()*((((Inputs!$I$7+(((A103)+1)/2)*(Inputs!$J$7-Inputs!$I$7)))/Inputs!$C$49)+Inputs!$C$47*0.137))+0.35*COS(2*PI()*(((Inputs!$C$6)/Inputs!$C$50)+Inputs!$C$47*0.173))+0.2*SIN(2*PI()*((((Inputs!$I$7+(((A103)+1)/2)*(Inputs!$J$7-Inputs!$I$7)))+(Inputs!$C$6))/(0.5*(Inputs!$C$49+Inputs!$C$50))+Inputs!$C$47*0.097)))+0.3*(2*((SIN((((Inputs!$I$7+(((A103)+1)/2)*(Inputs!$J$7-Inputs!$I$7)))*12.9898+(Inputs!$C$6)*78.233+Inputs!$C$47*37.719))*43758.5453)-INT((SIN((((Inputs!$I$7+(((A103)+1)/2)*(Inputs!$J$7-Inputs!$I$7)))*12.9898+(Inputs!$C$6)*78.233+Inputs!$C$47*37.719))*43758.5453)))-1))),NA())</f>
        <v/>
      </c>
      <c r="AU103" s="9">
        <f>IF(OR(Inputs!$F$8=TRUE,Inputs!$F$8="TRUE",Inputs!$F$8=1),IF(OR(Inputs!$C$27=TRUE,Inputs!$C$27="TRUE",Inputs!$C$27=1),1,0)*(Inputs!$C$51*(115*EXP(-(((Inputs!$C$6)-25)^2)/(4.5^2))+70*EXP(-(((Inputs!$C$6)+38)^2)/(7^2))*(0.55+0.45*SIN(2*PI()*((Inputs!$I$8+(((A103)+1)/2)*(Inputs!$J$8-Inputs!$I$8)))/45))+24*SIN(2*PI()*(Inputs!$C$6)/9+((Inputs!$I$8+(((A103)+1)/2)*(Inputs!$J$8-Inputs!$I$8)))/18)*EXP(-(((Inputs!$C$6)+5)^2)/(22^2))+18*SIN(2*PI()*((Inputs!$I$8+(((A103)+1)/2)*(Inputs!$J$8-Inputs!$I$8)))/70))+Inputs!$C$28*EXP(-((((Inputs!$I$8+(((A103)+1)/2)*(Inputs!$J$8-Inputs!$I$8)))-Inputs!$C$29)^2)/(2*Inputs!$C$31^2))*EXP(-(((Inputs!$C$6)-Inputs!$C$30)^2)/(2*Inputs!$C$32^2))+-Inputs!$C$33*EXP(-((((((Inputs!$I$8+(((A103)+1)/2)*(Inputs!$J$8-Inputs!$I$8)))-Inputs!$C$34)^2)+(((Inputs!$C$6)-Inputs!$C$35)^2))/(2*Inputs!$C$36^2)))+Inputs!$C$37*(0.55*SIN(2*PI()*((Inputs!$I$8+(((A103)+1)/2)*(Inputs!$J$8-Inputs!$I$8)))/Inputs!$C$39)+0.35*COS(2*PI()*(Inputs!$C$6)/Inputs!$C$40)+0.2*SIN(2*PI()*(((Inputs!$I$8+(((A103)+1)/2)*(Inputs!$J$8-Inputs!$I$8)))+(Inputs!$C$6))/(0.5*(Inputs!$C$39+Inputs!$C$40))))+Inputs!$C$38*SIN(2*PI()*((Inputs!$I$8+(((A103)+1)/2)*(Inputs!$J$8-Inputs!$I$8)))/Inputs!$C$39)*SIN(2*PI()*(Inputs!$C$6)/Inputs!$C$40)+-Inputs!$C$41*EXP(-(((Inputs!$C$6)-Inputs!$C$43)^2)/(2*Inputs!$C$44^2))*EXP(-((((Inputs!$I$8+(((A103)+1)/2)*(Inputs!$J$8-Inputs!$I$8)))-Inputs!$C$42)^2)/(2*Inputs!$C$45^2))+Inputs!$C$48*(0.7*(0.45*SIN(2*PI()*((((Inputs!$I$8+(((A103)+1)/2)*(Inputs!$J$8-Inputs!$I$8)))/Inputs!$C$49)+Inputs!$C$47*0.137))+0.35*COS(2*PI()*(((Inputs!$C$6)/Inputs!$C$50)+Inputs!$C$47*0.173))+0.2*SIN(2*PI()*((((Inputs!$I$8+(((A103)+1)/2)*(Inputs!$J$8-Inputs!$I$8)))+(Inputs!$C$6))/(0.5*(Inputs!$C$49+Inputs!$C$50))+Inputs!$C$47*0.097)))+0.3*(2*((SIN((((Inputs!$I$8+(((A103)+1)/2)*(Inputs!$J$8-Inputs!$I$8)))*12.9898+(Inputs!$C$6)*78.233+Inputs!$C$47*37.719))*43758.5453)-INT((SIN((((Inputs!$I$8+(((A103)+1)/2)*(Inputs!$J$8-Inputs!$I$8)))*12.9898+(Inputs!$C$6)*78.233+Inputs!$C$47*37.719))*43758.5453)))-1))),NA())</f>
        <v/>
      </c>
      <c r="AV103" s="9">
        <f>IF(OR(Inputs!$F$9=TRUE,Inputs!$F$9="TRUE",Inputs!$F$9=1),IF(OR(Inputs!$C$27=TRUE,Inputs!$C$27="TRUE",Inputs!$C$27=1),1,0)*(Inputs!$C$51*(115*EXP(-(((Inputs!$C$6)-25)^2)/(4.5^2))+70*EXP(-(((Inputs!$C$6)+38)^2)/(7^2))*(0.55+0.45*SIN(2*PI()*((Inputs!$I$9+(((A103)+1)/2)*(Inputs!$J$9-Inputs!$I$9)))/45))+24*SIN(2*PI()*(Inputs!$C$6)/9+((Inputs!$I$9+(((A103)+1)/2)*(Inputs!$J$9-Inputs!$I$9)))/18)*EXP(-(((Inputs!$C$6)+5)^2)/(22^2))+18*SIN(2*PI()*((Inputs!$I$9+(((A103)+1)/2)*(Inputs!$J$9-Inputs!$I$9)))/70))+Inputs!$C$28*EXP(-((((Inputs!$I$9+(((A103)+1)/2)*(Inputs!$J$9-Inputs!$I$9)))-Inputs!$C$29)^2)/(2*Inputs!$C$31^2))*EXP(-(((Inputs!$C$6)-Inputs!$C$30)^2)/(2*Inputs!$C$32^2))+-Inputs!$C$33*EXP(-((((((Inputs!$I$9+(((A103)+1)/2)*(Inputs!$J$9-Inputs!$I$9)))-Inputs!$C$34)^2)+(((Inputs!$C$6)-Inputs!$C$35)^2))/(2*Inputs!$C$36^2)))+Inputs!$C$37*(0.55*SIN(2*PI()*((Inputs!$I$9+(((A103)+1)/2)*(Inputs!$J$9-Inputs!$I$9)))/Inputs!$C$39)+0.35*COS(2*PI()*(Inputs!$C$6)/Inputs!$C$40)+0.2*SIN(2*PI()*(((Inputs!$I$9+(((A103)+1)/2)*(Inputs!$J$9-Inputs!$I$9)))+(Inputs!$C$6))/(0.5*(Inputs!$C$39+Inputs!$C$40))))+Inputs!$C$38*SIN(2*PI()*((Inputs!$I$9+(((A103)+1)/2)*(Inputs!$J$9-Inputs!$I$9)))/Inputs!$C$39)*SIN(2*PI()*(Inputs!$C$6)/Inputs!$C$40)+-Inputs!$C$41*EXP(-(((Inputs!$C$6)-Inputs!$C$43)^2)/(2*Inputs!$C$44^2))*EXP(-((((Inputs!$I$9+(((A103)+1)/2)*(Inputs!$J$9-Inputs!$I$9)))-Inputs!$C$42)^2)/(2*Inputs!$C$45^2))+Inputs!$C$48*(0.7*(0.45*SIN(2*PI()*((((Inputs!$I$9+(((A103)+1)/2)*(Inputs!$J$9-Inputs!$I$9)))/Inputs!$C$49)+Inputs!$C$47*0.137))+0.35*COS(2*PI()*(((Inputs!$C$6)/Inputs!$C$50)+Inputs!$C$47*0.173))+0.2*SIN(2*PI()*((((Inputs!$I$9+(((A103)+1)/2)*(Inputs!$J$9-Inputs!$I$9)))+(Inputs!$C$6))/(0.5*(Inputs!$C$49+Inputs!$C$50))+Inputs!$C$47*0.097)))+0.3*(2*((SIN((((Inputs!$I$9+(((A103)+1)/2)*(Inputs!$J$9-Inputs!$I$9)))*12.9898+(Inputs!$C$6)*78.233+Inputs!$C$47*37.719))*43758.5453)-INT((SIN((((Inputs!$I$9+(((A103)+1)/2)*(Inputs!$J$9-Inputs!$I$9)))*12.9898+(Inputs!$C$6)*78.233+Inputs!$C$47*37.719))*43758.5453)))-1))),NA())</f>
        <v/>
      </c>
      <c r="AW103" s="10" t="n"/>
      <c r="AX103" s="9">
        <f>A103</f>
        <v/>
      </c>
      <c r="AY103" s="9">
        <f>0</f>
        <v/>
      </c>
      <c r="AZ103" s="9">
        <f>IF(OR(Inputs!$F$6=TRUE,Inputs!$F$6="TRUE",Inputs!$F$6=1),(Inputs!$H$6+Inputs!$L$6*(((Inputs!$I$6+(((A103)+1)/2)*(Inputs!$J$6-Inputs!$I$6)))/Inputs!$K$6)^2),NA())</f>
        <v/>
      </c>
      <c r="BA103" s="9">
        <f>IF(OR(Inputs!$F$7=TRUE,Inputs!$F$7="TRUE",Inputs!$F$7=1),(Inputs!$H$7+Inputs!$L$7*(((Inputs!$I$7+(((A103)+1)/2)*(Inputs!$J$7-Inputs!$I$7)))/Inputs!$K$7)^2),NA())</f>
        <v/>
      </c>
      <c r="BB103" s="9">
        <f>IF(OR(Inputs!$F$8=TRUE,Inputs!$F$8="TRUE",Inputs!$F$8=1),(Inputs!$H$8+Inputs!$L$8*(((Inputs!$I$8+(((A103)+1)/2)*(Inputs!$J$8-Inputs!$I$8)))/Inputs!$K$8)^2),NA())</f>
        <v/>
      </c>
      <c r="BC103" s="9">
        <f>IF(OR(Inputs!$F$9=TRUE,Inputs!$F$9="TRUE",Inputs!$F$9=1),(Inputs!$H$9+Inputs!$L$9*(((Inputs!$I$9+(((A103)+1)/2)*(Inputs!$J$9-Inputs!$I$9)))/Inputs!$K$9)^2),NA())</f>
        <v/>
      </c>
      <c r="BD103" s="10" t="n"/>
      <c r="BE103" s="9">
        <f>A103</f>
        <v/>
      </c>
      <c r="BF103" s="9">
        <f>0</f>
        <v/>
      </c>
      <c r="BG103" s="9">
        <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f>
        <v/>
      </c>
      <c r="BH103" s="9">
        <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f>
        <v/>
      </c>
      <c r="BI103" s="9">
        <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f>
        <v/>
      </c>
      <c r="BJ103" s="9">
        <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f>
        <v/>
      </c>
    </row>
    <row r="104">
      <c r="A104" s="9">
        <f>ROUND(-1+102*2/240,3)</f>
        <v/>
      </c>
      <c r="B104" s="9">
        <f>IF(OR(Inputs!$F$6=TRUE,Inputs!$F$6="TRUE",Inputs!$F$6=1),(Inputs!$H$6+Inputs!$L$6*(((Inputs!$I$6+(((A104)+1)/2)*(Inputs!$J$6-Inputs!$I$6)))/Inputs!$K$6)^2),NA())</f>
        <v/>
      </c>
      <c r="C104" s="9">
        <f>IF(OR(Inputs!$F$7=TRUE,Inputs!$F$7="TRUE",Inputs!$F$7=1),(Inputs!$H$7+Inputs!$L$7*(((Inputs!$I$7+(((A104)+1)/2)*(Inputs!$J$7-Inputs!$I$7)))/Inputs!$K$7)^2),NA())</f>
        <v/>
      </c>
      <c r="D104" s="9">
        <f>IF(OR(Inputs!$F$8=TRUE,Inputs!$F$8="TRUE",Inputs!$F$8=1),(Inputs!$H$8+Inputs!$L$8*(((Inputs!$I$8+(((A104)+1)/2)*(Inputs!$J$8-Inputs!$I$8)))/Inputs!$K$8)^2),NA())</f>
        <v/>
      </c>
      <c r="E104" s="9">
        <f>IF(OR(Inputs!$F$9=TRUE,Inputs!$F$9="TRUE",Inputs!$F$9=1),(Inputs!$H$9+Inputs!$L$9*(((Inputs!$I$9+(((A104)+1)/2)*(Inputs!$J$9-Inputs!$I$9)))/Inputs!$K$9)^2),NA())</f>
        <v/>
      </c>
      <c r="F104" s="10" t="n"/>
      <c r="G104" s="9">
        <f>A104</f>
        <v/>
      </c>
      <c r="H104" s="9">
        <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f>
        <v/>
      </c>
      <c r="I104" s="9">
        <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f>
        <v/>
      </c>
      <c r="J104" s="9">
        <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f>
        <v/>
      </c>
      <c r="K104" s="9">
        <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f>
        <v/>
      </c>
      <c r="L104" s="10" t="n"/>
      <c r="M104" s="9">
        <f>A104</f>
        <v/>
      </c>
      <c r="N104" s="9">
        <f>IF(OR(Inputs!$F$6=TRUE,Inputs!$F$6="TRUE",Inputs!$F$6=1),(-2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NA())</f>
        <v/>
      </c>
      <c r="O104" s="9">
        <f>IF(OR(Inputs!$F$7=TRUE,Inputs!$F$7="TRUE",Inputs!$F$7=1),(-2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NA())</f>
        <v/>
      </c>
      <c r="P104" s="9">
        <f>IF(OR(Inputs!$F$8=TRUE,Inputs!$F$8="TRUE",Inputs!$F$8=1),(-2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NA())</f>
        <v/>
      </c>
      <c r="Q104" s="9">
        <f>IF(OR(Inputs!$F$9=TRUE,Inputs!$F$9="TRUE",Inputs!$F$9=1),(-2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NA())</f>
        <v/>
      </c>
      <c r="R104" s="10" t="n"/>
      <c r="S104" s="9">
        <f>A104</f>
        <v/>
      </c>
      <c r="T104" s="9">
        <f>(Inputs!$I$6+(((A104)+1)/2)*(Inputs!$J$6-Inputs!$I$6))</f>
        <v/>
      </c>
      <c r="U104" s="9">
        <f>(Inputs!$I$7+(((A104)+1)/2)*(Inputs!$J$7-Inputs!$I$7))</f>
        <v/>
      </c>
      <c r="V104" s="9">
        <f>(Inputs!$I$8+(((A104)+1)/2)*(Inputs!$J$8-Inputs!$I$8))</f>
        <v/>
      </c>
      <c r="W104" s="9">
        <f>(Inputs!$I$9+(((A104)+1)/2)*(Inputs!$J$9-Inputs!$I$9))</f>
        <v/>
      </c>
      <c r="X104" s="10" t="n"/>
      <c r="Y104" s="9">
        <f>A104</f>
        <v/>
      </c>
      <c r="Z104" s="9">
        <f>(Inputs!$H$6+Inputs!$L$6*(((Inputs!$I$6+(((A104)+1)/2)*(Inputs!$J$6-Inputs!$I$6)))/Inputs!$K$6)^2)</f>
        <v/>
      </c>
      <c r="AA104" s="9">
        <f>(Inputs!$H$7+Inputs!$L$7*(((Inputs!$I$7+(((A104)+1)/2)*(Inputs!$J$7-Inputs!$I$7)))/Inputs!$K$7)^2)</f>
        <v/>
      </c>
      <c r="AB104" s="9">
        <f>(Inputs!$H$8+Inputs!$L$8*(((Inputs!$I$8+(((A104)+1)/2)*(Inputs!$J$8-Inputs!$I$8)))/Inputs!$K$8)^2)</f>
        <v/>
      </c>
      <c r="AC104" s="9">
        <f>(Inputs!$H$9+Inputs!$L$9*(((Inputs!$I$9+(((A104)+1)/2)*(Inputs!$J$9-Inputs!$I$9)))/Inputs!$K$9)^2)</f>
        <v/>
      </c>
      <c r="AD104" s="10" t="n"/>
      <c r="AE104" s="9">
        <f>A104</f>
        <v/>
      </c>
      <c r="AF104" s="9">
        <f>(((SQRT((Inputs!$C$52+((Inputs!$H$6+Inputs!$L$6*(((Inputs!$I$6+(((A104)+1)/2)*(Inputs!$J$6-Inputs!$I$6)))/Inputs!$K$6)^2)))^2+Inputs!$C$52^2-2*(Inputs!$C$52+((Inputs!$H$6+Inputs!$L$6*(((Inputs!$I$6+(((A104)+1)/2)*(Inputs!$J$6-Inputs!$I$6)))/Inputs!$K$6)^2)))*Inputs!$C$52*COS(SQRT(((Inputs!$I$6+(((A104)+1)/2)*(Inputs!$J$6-Inputs!$I$6)))^2+Inputs!$C$6^2)/Inputs!$C$52)))-((Inputs!$H$6+Inputs!$L$6*(((Inputs!$I$6+(((A104)+1)/2)*(Inputs!$J$6-Inputs!$I$6)))/Inputs!$K$6)^2)))*1000/Inputs!$C$12)</f>
        <v/>
      </c>
      <c r="AG104" s="9">
        <f>(((SQRT((Inputs!$C$52+((Inputs!$H$7+Inputs!$L$7*(((Inputs!$I$7+(((A104)+1)/2)*(Inputs!$J$7-Inputs!$I$7)))/Inputs!$K$7)^2)))^2+Inputs!$C$52^2-2*(Inputs!$C$52+((Inputs!$H$7+Inputs!$L$7*(((Inputs!$I$7+(((A104)+1)/2)*(Inputs!$J$7-Inputs!$I$7)))/Inputs!$K$7)^2)))*Inputs!$C$52*COS(SQRT(((Inputs!$I$7+(((A104)+1)/2)*(Inputs!$J$7-Inputs!$I$7)))^2+Inputs!$C$6^2)/Inputs!$C$52)))-((Inputs!$H$7+Inputs!$L$7*(((Inputs!$I$7+(((A104)+1)/2)*(Inputs!$J$7-Inputs!$I$7)))/Inputs!$K$7)^2)))*1000/Inputs!$C$12)</f>
        <v/>
      </c>
      <c r="AH104" s="9">
        <f>(((SQRT((Inputs!$C$52+((Inputs!$H$8+Inputs!$L$8*(((Inputs!$I$8+(((A104)+1)/2)*(Inputs!$J$8-Inputs!$I$8)))/Inputs!$K$8)^2)))^2+Inputs!$C$52^2-2*(Inputs!$C$52+((Inputs!$H$8+Inputs!$L$8*(((Inputs!$I$8+(((A104)+1)/2)*(Inputs!$J$8-Inputs!$I$8)))/Inputs!$K$8)^2)))*Inputs!$C$52*COS(SQRT(((Inputs!$I$8+(((A104)+1)/2)*(Inputs!$J$8-Inputs!$I$8)))^2+Inputs!$C$6^2)/Inputs!$C$52)))-((Inputs!$H$8+Inputs!$L$8*(((Inputs!$I$8+(((A104)+1)/2)*(Inputs!$J$8-Inputs!$I$8)))/Inputs!$K$8)^2)))*1000/Inputs!$C$12)</f>
        <v/>
      </c>
      <c r="AI104" s="9">
        <f>(((SQRT((Inputs!$C$52+((Inputs!$H$9+Inputs!$L$9*(((Inputs!$I$9+(((A104)+1)/2)*(Inputs!$J$9-Inputs!$I$9)))/Inputs!$K$9)^2)))^2+Inputs!$C$52^2-2*(Inputs!$C$52+((Inputs!$H$9+Inputs!$L$9*(((Inputs!$I$9+(((A104)+1)/2)*(Inputs!$J$9-Inputs!$I$9)))/Inputs!$K$9)^2)))*Inputs!$C$52*COS(SQRT(((Inputs!$I$9+(((A104)+1)/2)*(Inputs!$J$9-Inputs!$I$9)))^2+Inputs!$C$6^2)/Inputs!$C$52)))-((Inputs!$H$9+Inputs!$L$9*(((Inputs!$I$9+(((A104)+1)/2)*(Inputs!$J$9-Inputs!$I$9)))/Inputs!$K$9)^2)))*1000/Inputs!$C$12)</f>
        <v/>
      </c>
      <c r="AJ104" s="10" t="n"/>
      <c r="AK104" s="9">
        <f>A104</f>
        <v/>
      </c>
      <c r="AL104" s="9">
        <f>(-2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f>
        <v/>
      </c>
      <c r="AM104" s="9">
        <f>(-2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f>
        <v/>
      </c>
      <c r="AN104" s="9">
        <f>(-2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f>
        <v/>
      </c>
      <c r="AO104" s="9">
        <f>(-2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f>
        <v/>
      </c>
      <c r="AP104" s="10" t="n"/>
      <c r="AQ104" s="9">
        <f>A104</f>
        <v/>
      </c>
      <c r="AR104" s="9">
        <f>0</f>
        <v/>
      </c>
      <c r="AS104" s="9">
        <f>IF(OR(Inputs!$F$6=TRUE,Inputs!$F$6="TRUE",Inputs!$F$6=1),IF(OR(Inputs!$C$27=TRUE,Inputs!$C$27="TRUE",Inputs!$C$27=1),1,0)*(Inputs!$C$51*(115*EXP(-(((Inputs!$C$6)-25)^2)/(4.5^2))+70*EXP(-(((Inputs!$C$6)+38)^2)/(7^2))*(0.55+0.45*SIN(2*PI()*((Inputs!$I$6+(((A104)+1)/2)*(Inputs!$J$6-Inputs!$I$6)))/45))+24*SIN(2*PI()*(Inputs!$C$6)/9+((Inputs!$I$6+(((A104)+1)/2)*(Inputs!$J$6-Inputs!$I$6)))/18)*EXP(-(((Inputs!$C$6)+5)^2)/(22^2))+18*SIN(2*PI()*((Inputs!$I$6+(((A104)+1)/2)*(Inputs!$J$6-Inputs!$I$6)))/70))+Inputs!$C$28*EXP(-((((Inputs!$I$6+(((A104)+1)/2)*(Inputs!$J$6-Inputs!$I$6)))-Inputs!$C$29)^2)/(2*Inputs!$C$31^2))*EXP(-(((Inputs!$C$6)-Inputs!$C$30)^2)/(2*Inputs!$C$32^2))+-Inputs!$C$33*EXP(-((((((Inputs!$I$6+(((A104)+1)/2)*(Inputs!$J$6-Inputs!$I$6)))-Inputs!$C$34)^2)+(((Inputs!$C$6)-Inputs!$C$35)^2))/(2*Inputs!$C$36^2)))+Inputs!$C$37*(0.55*SIN(2*PI()*((Inputs!$I$6+(((A104)+1)/2)*(Inputs!$J$6-Inputs!$I$6)))/Inputs!$C$39)+0.35*COS(2*PI()*(Inputs!$C$6)/Inputs!$C$40)+0.2*SIN(2*PI()*(((Inputs!$I$6+(((A104)+1)/2)*(Inputs!$J$6-Inputs!$I$6)))+(Inputs!$C$6))/(0.5*(Inputs!$C$39+Inputs!$C$40))))+Inputs!$C$38*SIN(2*PI()*((Inputs!$I$6+(((A104)+1)/2)*(Inputs!$J$6-Inputs!$I$6)))/Inputs!$C$39)*SIN(2*PI()*(Inputs!$C$6)/Inputs!$C$40)+-Inputs!$C$41*EXP(-(((Inputs!$C$6)-Inputs!$C$43)^2)/(2*Inputs!$C$44^2))*EXP(-((((Inputs!$I$6+(((A104)+1)/2)*(Inputs!$J$6-Inputs!$I$6)))-Inputs!$C$42)^2)/(2*Inputs!$C$45^2))+Inputs!$C$48*(0.7*(0.45*SIN(2*PI()*((((Inputs!$I$6+(((A104)+1)/2)*(Inputs!$J$6-Inputs!$I$6)))/Inputs!$C$49)+Inputs!$C$47*0.137))+0.35*COS(2*PI()*(((Inputs!$C$6)/Inputs!$C$50)+Inputs!$C$47*0.173))+0.2*SIN(2*PI()*((((Inputs!$I$6+(((A104)+1)/2)*(Inputs!$J$6-Inputs!$I$6)))+(Inputs!$C$6))/(0.5*(Inputs!$C$49+Inputs!$C$50))+Inputs!$C$47*0.097)))+0.3*(2*((SIN((((Inputs!$I$6+(((A104)+1)/2)*(Inputs!$J$6-Inputs!$I$6)))*12.9898+(Inputs!$C$6)*78.233+Inputs!$C$47*37.719))*43758.5453)-INT((SIN((((Inputs!$I$6+(((A104)+1)/2)*(Inputs!$J$6-Inputs!$I$6)))*12.9898+(Inputs!$C$6)*78.233+Inputs!$C$47*37.719))*43758.5453)))-1))),NA())</f>
        <v/>
      </c>
      <c r="AT104" s="9">
        <f>IF(OR(Inputs!$F$7=TRUE,Inputs!$F$7="TRUE",Inputs!$F$7=1),IF(OR(Inputs!$C$27=TRUE,Inputs!$C$27="TRUE",Inputs!$C$27=1),1,0)*(Inputs!$C$51*(115*EXP(-(((Inputs!$C$6)-25)^2)/(4.5^2))+70*EXP(-(((Inputs!$C$6)+38)^2)/(7^2))*(0.55+0.45*SIN(2*PI()*((Inputs!$I$7+(((A104)+1)/2)*(Inputs!$J$7-Inputs!$I$7)))/45))+24*SIN(2*PI()*(Inputs!$C$6)/9+((Inputs!$I$7+(((A104)+1)/2)*(Inputs!$J$7-Inputs!$I$7)))/18)*EXP(-(((Inputs!$C$6)+5)^2)/(22^2))+18*SIN(2*PI()*((Inputs!$I$7+(((A104)+1)/2)*(Inputs!$J$7-Inputs!$I$7)))/70))+Inputs!$C$28*EXP(-((((Inputs!$I$7+(((A104)+1)/2)*(Inputs!$J$7-Inputs!$I$7)))-Inputs!$C$29)^2)/(2*Inputs!$C$31^2))*EXP(-(((Inputs!$C$6)-Inputs!$C$30)^2)/(2*Inputs!$C$32^2))+-Inputs!$C$33*EXP(-((((((Inputs!$I$7+(((A104)+1)/2)*(Inputs!$J$7-Inputs!$I$7)))-Inputs!$C$34)^2)+(((Inputs!$C$6)-Inputs!$C$35)^2))/(2*Inputs!$C$36^2)))+Inputs!$C$37*(0.55*SIN(2*PI()*((Inputs!$I$7+(((A104)+1)/2)*(Inputs!$J$7-Inputs!$I$7)))/Inputs!$C$39)+0.35*COS(2*PI()*(Inputs!$C$6)/Inputs!$C$40)+0.2*SIN(2*PI()*(((Inputs!$I$7+(((A104)+1)/2)*(Inputs!$J$7-Inputs!$I$7)))+(Inputs!$C$6))/(0.5*(Inputs!$C$39+Inputs!$C$40))))+Inputs!$C$38*SIN(2*PI()*((Inputs!$I$7+(((A104)+1)/2)*(Inputs!$J$7-Inputs!$I$7)))/Inputs!$C$39)*SIN(2*PI()*(Inputs!$C$6)/Inputs!$C$40)+-Inputs!$C$41*EXP(-(((Inputs!$C$6)-Inputs!$C$43)^2)/(2*Inputs!$C$44^2))*EXP(-((((Inputs!$I$7+(((A104)+1)/2)*(Inputs!$J$7-Inputs!$I$7)))-Inputs!$C$42)^2)/(2*Inputs!$C$45^2))+Inputs!$C$48*(0.7*(0.45*SIN(2*PI()*((((Inputs!$I$7+(((A104)+1)/2)*(Inputs!$J$7-Inputs!$I$7)))/Inputs!$C$49)+Inputs!$C$47*0.137))+0.35*COS(2*PI()*(((Inputs!$C$6)/Inputs!$C$50)+Inputs!$C$47*0.173))+0.2*SIN(2*PI()*((((Inputs!$I$7+(((A104)+1)/2)*(Inputs!$J$7-Inputs!$I$7)))+(Inputs!$C$6))/(0.5*(Inputs!$C$49+Inputs!$C$50))+Inputs!$C$47*0.097)))+0.3*(2*((SIN((((Inputs!$I$7+(((A104)+1)/2)*(Inputs!$J$7-Inputs!$I$7)))*12.9898+(Inputs!$C$6)*78.233+Inputs!$C$47*37.719))*43758.5453)-INT((SIN((((Inputs!$I$7+(((A104)+1)/2)*(Inputs!$J$7-Inputs!$I$7)))*12.9898+(Inputs!$C$6)*78.233+Inputs!$C$47*37.719))*43758.5453)))-1))),NA())</f>
        <v/>
      </c>
      <c r="AU104" s="9">
        <f>IF(OR(Inputs!$F$8=TRUE,Inputs!$F$8="TRUE",Inputs!$F$8=1),IF(OR(Inputs!$C$27=TRUE,Inputs!$C$27="TRUE",Inputs!$C$27=1),1,0)*(Inputs!$C$51*(115*EXP(-(((Inputs!$C$6)-25)^2)/(4.5^2))+70*EXP(-(((Inputs!$C$6)+38)^2)/(7^2))*(0.55+0.45*SIN(2*PI()*((Inputs!$I$8+(((A104)+1)/2)*(Inputs!$J$8-Inputs!$I$8)))/45))+24*SIN(2*PI()*(Inputs!$C$6)/9+((Inputs!$I$8+(((A104)+1)/2)*(Inputs!$J$8-Inputs!$I$8)))/18)*EXP(-(((Inputs!$C$6)+5)^2)/(22^2))+18*SIN(2*PI()*((Inputs!$I$8+(((A104)+1)/2)*(Inputs!$J$8-Inputs!$I$8)))/70))+Inputs!$C$28*EXP(-((((Inputs!$I$8+(((A104)+1)/2)*(Inputs!$J$8-Inputs!$I$8)))-Inputs!$C$29)^2)/(2*Inputs!$C$31^2))*EXP(-(((Inputs!$C$6)-Inputs!$C$30)^2)/(2*Inputs!$C$32^2))+-Inputs!$C$33*EXP(-((((((Inputs!$I$8+(((A104)+1)/2)*(Inputs!$J$8-Inputs!$I$8)))-Inputs!$C$34)^2)+(((Inputs!$C$6)-Inputs!$C$35)^2))/(2*Inputs!$C$36^2)))+Inputs!$C$37*(0.55*SIN(2*PI()*((Inputs!$I$8+(((A104)+1)/2)*(Inputs!$J$8-Inputs!$I$8)))/Inputs!$C$39)+0.35*COS(2*PI()*(Inputs!$C$6)/Inputs!$C$40)+0.2*SIN(2*PI()*(((Inputs!$I$8+(((A104)+1)/2)*(Inputs!$J$8-Inputs!$I$8)))+(Inputs!$C$6))/(0.5*(Inputs!$C$39+Inputs!$C$40))))+Inputs!$C$38*SIN(2*PI()*((Inputs!$I$8+(((A104)+1)/2)*(Inputs!$J$8-Inputs!$I$8)))/Inputs!$C$39)*SIN(2*PI()*(Inputs!$C$6)/Inputs!$C$40)+-Inputs!$C$41*EXP(-(((Inputs!$C$6)-Inputs!$C$43)^2)/(2*Inputs!$C$44^2))*EXP(-((((Inputs!$I$8+(((A104)+1)/2)*(Inputs!$J$8-Inputs!$I$8)))-Inputs!$C$42)^2)/(2*Inputs!$C$45^2))+Inputs!$C$48*(0.7*(0.45*SIN(2*PI()*((((Inputs!$I$8+(((A104)+1)/2)*(Inputs!$J$8-Inputs!$I$8)))/Inputs!$C$49)+Inputs!$C$47*0.137))+0.35*COS(2*PI()*(((Inputs!$C$6)/Inputs!$C$50)+Inputs!$C$47*0.173))+0.2*SIN(2*PI()*((((Inputs!$I$8+(((A104)+1)/2)*(Inputs!$J$8-Inputs!$I$8)))+(Inputs!$C$6))/(0.5*(Inputs!$C$49+Inputs!$C$50))+Inputs!$C$47*0.097)))+0.3*(2*((SIN((((Inputs!$I$8+(((A104)+1)/2)*(Inputs!$J$8-Inputs!$I$8)))*12.9898+(Inputs!$C$6)*78.233+Inputs!$C$47*37.719))*43758.5453)-INT((SIN((((Inputs!$I$8+(((A104)+1)/2)*(Inputs!$J$8-Inputs!$I$8)))*12.9898+(Inputs!$C$6)*78.233+Inputs!$C$47*37.719))*43758.5453)))-1))),NA())</f>
        <v/>
      </c>
      <c r="AV104" s="9">
        <f>IF(OR(Inputs!$F$9=TRUE,Inputs!$F$9="TRUE",Inputs!$F$9=1),IF(OR(Inputs!$C$27=TRUE,Inputs!$C$27="TRUE",Inputs!$C$27=1),1,0)*(Inputs!$C$51*(115*EXP(-(((Inputs!$C$6)-25)^2)/(4.5^2))+70*EXP(-(((Inputs!$C$6)+38)^2)/(7^2))*(0.55+0.45*SIN(2*PI()*((Inputs!$I$9+(((A104)+1)/2)*(Inputs!$J$9-Inputs!$I$9)))/45))+24*SIN(2*PI()*(Inputs!$C$6)/9+((Inputs!$I$9+(((A104)+1)/2)*(Inputs!$J$9-Inputs!$I$9)))/18)*EXP(-(((Inputs!$C$6)+5)^2)/(22^2))+18*SIN(2*PI()*((Inputs!$I$9+(((A104)+1)/2)*(Inputs!$J$9-Inputs!$I$9)))/70))+Inputs!$C$28*EXP(-((((Inputs!$I$9+(((A104)+1)/2)*(Inputs!$J$9-Inputs!$I$9)))-Inputs!$C$29)^2)/(2*Inputs!$C$31^2))*EXP(-(((Inputs!$C$6)-Inputs!$C$30)^2)/(2*Inputs!$C$32^2))+-Inputs!$C$33*EXP(-((((((Inputs!$I$9+(((A104)+1)/2)*(Inputs!$J$9-Inputs!$I$9)))-Inputs!$C$34)^2)+(((Inputs!$C$6)-Inputs!$C$35)^2))/(2*Inputs!$C$36^2)))+Inputs!$C$37*(0.55*SIN(2*PI()*((Inputs!$I$9+(((A104)+1)/2)*(Inputs!$J$9-Inputs!$I$9)))/Inputs!$C$39)+0.35*COS(2*PI()*(Inputs!$C$6)/Inputs!$C$40)+0.2*SIN(2*PI()*(((Inputs!$I$9+(((A104)+1)/2)*(Inputs!$J$9-Inputs!$I$9)))+(Inputs!$C$6))/(0.5*(Inputs!$C$39+Inputs!$C$40))))+Inputs!$C$38*SIN(2*PI()*((Inputs!$I$9+(((A104)+1)/2)*(Inputs!$J$9-Inputs!$I$9)))/Inputs!$C$39)*SIN(2*PI()*(Inputs!$C$6)/Inputs!$C$40)+-Inputs!$C$41*EXP(-(((Inputs!$C$6)-Inputs!$C$43)^2)/(2*Inputs!$C$44^2))*EXP(-((((Inputs!$I$9+(((A104)+1)/2)*(Inputs!$J$9-Inputs!$I$9)))-Inputs!$C$42)^2)/(2*Inputs!$C$45^2))+Inputs!$C$48*(0.7*(0.45*SIN(2*PI()*((((Inputs!$I$9+(((A104)+1)/2)*(Inputs!$J$9-Inputs!$I$9)))/Inputs!$C$49)+Inputs!$C$47*0.137))+0.35*COS(2*PI()*(((Inputs!$C$6)/Inputs!$C$50)+Inputs!$C$47*0.173))+0.2*SIN(2*PI()*((((Inputs!$I$9+(((A104)+1)/2)*(Inputs!$J$9-Inputs!$I$9)))+(Inputs!$C$6))/(0.5*(Inputs!$C$49+Inputs!$C$50))+Inputs!$C$47*0.097)))+0.3*(2*((SIN((((Inputs!$I$9+(((A104)+1)/2)*(Inputs!$J$9-Inputs!$I$9)))*12.9898+(Inputs!$C$6)*78.233+Inputs!$C$47*37.719))*43758.5453)-INT((SIN((((Inputs!$I$9+(((A104)+1)/2)*(Inputs!$J$9-Inputs!$I$9)))*12.9898+(Inputs!$C$6)*78.233+Inputs!$C$47*37.719))*43758.5453)))-1))),NA())</f>
        <v/>
      </c>
      <c r="AW104" s="10" t="n"/>
      <c r="AX104" s="9">
        <f>A104</f>
        <v/>
      </c>
      <c r="AY104" s="9">
        <f>0</f>
        <v/>
      </c>
      <c r="AZ104" s="9">
        <f>IF(OR(Inputs!$F$6=TRUE,Inputs!$F$6="TRUE",Inputs!$F$6=1),(Inputs!$H$6+Inputs!$L$6*(((Inputs!$I$6+(((A104)+1)/2)*(Inputs!$J$6-Inputs!$I$6)))/Inputs!$K$6)^2),NA())</f>
        <v/>
      </c>
      <c r="BA104" s="9">
        <f>IF(OR(Inputs!$F$7=TRUE,Inputs!$F$7="TRUE",Inputs!$F$7=1),(Inputs!$H$7+Inputs!$L$7*(((Inputs!$I$7+(((A104)+1)/2)*(Inputs!$J$7-Inputs!$I$7)))/Inputs!$K$7)^2),NA())</f>
        <v/>
      </c>
      <c r="BB104" s="9">
        <f>IF(OR(Inputs!$F$8=TRUE,Inputs!$F$8="TRUE",Inputs!$F$8=1),(Inputs!$H$8+Inputs!$L$8*(((Inputs!$I$8+(((A104)+1)/2)*(Inputs!$J$8-Inputs!$I$8)))/Inputs!$K$8)^2),NA())</f>
        <v/>
      </c>
      <c r="BC104" s="9">
        <f>IF(OR(Inputs!$F$9=TRUE,Inputs!$F$9="TRUE",Inputs!$F$9=1),(Inputs!$H$9+Inputs!$L$9*(((Inputs!$I$9+(((A104)+1)/2)*(Inputs!$J$9-Inputs!$I$9)))/Inputs!$K$9)^2),NA())</f>
        <v/>
      </c>
      <c r="BD104" s="10" t="n"/>
      <c r="BE104" s="9">
        <f>A104</f>
        <v/>
      </c>
      <c r="BF104" s="9">
        <f>0</f>
        <v/>
      </c>
      <c r="BG104" s="9">
        <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f>
        <v/>
      </c>
      <c r="BH104" s="9">
        <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f>
        <v/>
      </c>
      <c r="BI104" s="9">
        <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f>
        <v/>
      </c>
      <c r="BJ104" s="9">
        <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f>
        <v/>
      </c>
    </row>
    <row r="105">
      <c r="A105" s="9">
        <f>ROUND(-1+103*2/240,3)</f>
        <v/>
      </c>
      <c r="B105" s="9">
        <f>IF(OR(Inputs!$F$6=TRUE,Inputs!$F$6="TRUE",Inputs!$F$6=1),(Inputs!$H$6+Inputs!$L$6*(((Inputs!$I$6+(((A105)+1)/2)*(Inputs!$J$6-Inputs!$I$6)))/Inputs!$K$6)^2),NA())</f>
        <v/>
      </c>
      <c r="C105" s="9">
        <f>IF(OR(Inputs!$F$7=TRUE,Inputs!$F$7="TRUE",Inputs!$F$7=1),(Inputs!$H$7+Inputs!$L$7*(((Inputs!$I$7+(((A105)+1)/2)*(Inputs!$J$7-Inputs!$I$7)))/Inputs!$K$7)^2),NA())</f>
        <v/>
      </c>
      <c r="D105" s="9">
        <f>IF(OR(Inputs!$F$8=TRUE,Inputs!$F$8="TRUE",Inputs!$F$8=1),(Inputs!$H$8+Inputs!$L$8*(((Inputs!$I$8+(((A105)+1)/2)*(Inputs!$J$8-Inputs!$I$8)))/Inputs!$K$8)^2),NA())</f>
        <v/>
      </c>
      <c r="E105" s="9">
        <f>IF(OR(Inputs!$F$9=TRUE,Inputs!$F$9="TRUE",Inputs!$F$9=1),(Inputs!$H$9+Inputs!$L$9*(((Inputs!$I$9+(((A105)+1)/2)*(Inputs!$J$9-Inputs!$I$9)))/Inputs!$K$9)^2),NA())</f>
        <v/>
      </c>
      <c r="F105" s="10" t="n"/>
      <c r="G105" s="9">
        <f>A105</f>
        <v/>
      </c>
      <c r="H105" s="9">
        <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f>
        <v/>
      </c>
      <c r="I105" s="9">
        <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f>
        <v/>
      </c>
      <c r="J105" s="9">
        <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f>
        <v/>
      </c>
      <c r="K105" s="9">
        <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f>
        <v/>
      </c>
      <c r="L105" s="10" t="n"/>
      <c r="M105" s="9">
        <f>A105</f>
        <v/>
      </c>
      <c r="N105" s="9">
        <f>IF(OR(Inputs!$F$6=TRUE,Inputs!$F$6="TRUE",Inputs!$F$6=1),(-2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NA())</f>
        <v/>
      </c>
      <c r="O105" s="9">
        <f>IF(OR(Inputs!$F$7=TRUE,Inputs!$F$7="TRUE",Inputs!$F$7=1),(-2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NA())</f>
        <v/>
      </c>
      <c r="P105" s="9">
        <f>IF(OR(Inputs!$F$8=TRUE,Inputs!$F$8="TRUE",Inputs!$F$8=1),(-2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NA())</f>
        <v/>
      </c>
      <c r="Q105" s="9">
        <f>IF(OR(Inputs!$F$9=TRUE,Inputs!$F$9="TRUE",Inputs!$F$9=1),(-2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NA())</f>
        <v/>
      </c>
      <c r="R105" s="10" t="n"/>
      <c r="S105" s="9">
        <f>A105</f>
        <v/>
      </c>
      <c r="T105" s="9">
        <f>(Inputs!$I$6+(((A105)+1)/2)*(Inputs!$J$6-Inputs!$I$6))</f>
        <v/>
      </c>
      <c r="U105" s="9">
        <f>(Inputs!$I$7+(((A105)+1)/2)*(Inputs!$J$7-Inputs!$I$7))</f>
        <v/>
      </c>
      <c r="V105" s="9">
        <f>(Inputs!$I$8+(((A105)+1)/2)*(Inputs!$J$8-Inputs!$I$8))</f>
        <v/>
      </c>
      <c r="W105" s="9">
        <f>(Inputs!$I$9+(((A105)+1)/2)*(Inputs!$J$9-Inputs!$I$9))</f>
        <v/>
      </c>
      <c r="X105" s="10" t="n"/>
      <c r="Y105" s="9">
        <f>A105</f>
        <v/>
      </c>
      <c r="Z105" s="9">
        <f>(Inputs!$H$6+Inputs!$L$6*(((Inputs!$I$6+(((A105)+1)/2)*(Inputs!$J$6-Inputs!$I$6)))/Inputs!$K$6)^2)</f>
        <v/>
      </c>
      <c r="AA105" s="9">
        <f>(Inputs!$H$7+Inputs!$L$7*(((Inputs!$I$7+(((A105)+1)/2)*(Inputs!$J$7-Inputs!$I$7)))/Inputs!$K$7)^2)</f>
        <v/>
      </c>
      <c r="AB105" s="9">
        <f>(Inputs!$H$8+Inputs!$L$8*(((Inputs!$I$8+(((A105)+1)/2)*(Inputs!$J$8-Inputs!$I$8)))/Inputs!$K$8)^2)</f>
        <v/>
      </c>
      <c r="AC105" s="9">
        <f>(Inputs!$H$9+Inputs!$L$9*(((Inputs!$I$9+(((A105)+1)/2)*(Inputs!$J$9-Inputs!$I$9)))/Inputs!$K$9)^2)</f>
        <v/>
      </c>
      <c r="AD105" s="10" t="n"/>
      <c r="AE105" s="9">
        <f>A105</f>
        <v/>
      </c>
      <c r="AF105" s="9">
        <f>(((SQRT((Inputs!$C$52+((Inputs!$H$6+Inputs!$L$6*(((Inputs!$I$6+(((A105)+1)/2)*(Inputs!$J$6-Inputs!$I$6)))/Inputs!$K$6)^2)))^2+Inputs!$C$52^2-2*(Inputs!$C$52+((Inputs!$H$6+Inputs!$L$6*(((Inputs!$I$6+(((A105)+1)/2)*(Inputs!$J$6-Inputs!$I$6)))/Inputs!$K$6)^2)))*Inputs!$C$52*COS(SQRT(((Inputs!$I$6+(((A105)+1)/2)*(Inputs!$J$6-Inputs!$I$6)))^2+Inputs!$C$6^2)/Inputs!$C$52)))-((Inputs!$H$6+Inputs!$L$6*(((Inputs!$I$6+(((A105)+1)/2)*(Inputs!$J$6-Inputs!$I$6)))/Inputs!$K$6)^2)))*1000/Inputs!$C$12)</f>
        <v/>
      </c>
      <c r="AG105" s="9">
        <f>(((SQRT((Inputs!$C$52+((Inputs!$H$7+Inputs!$L$7*(((Inputs!$I$7+(((A105)+1)/2)*(Inputs!$J$7-Inputs!$I$7)))/Inputs!$K$7)^2)))^2+Inputs!$C$52^2-2*(Inputs!$C$52+((Inputs!$H$7+Inputs!$L$7*(((Inputs!$I$7+(((A105)+1)/2)*(Inputs!$J$7-Inputs!$I$7)))/Inputs!$K$7)^2)))*Inputs!$C$52*COS(SQRT(((Inputs!$I$7+(((A105)+1)/2)*(Inputs!$J$7-Inputs!$I$7)))^2+Inputs!$C$6^2)/Inputs!$C$52)))-((Inputs!$H$7+Inputs!$L$7*(((Inputs!$I$7+(((A105)+1)/2)*(Inputs!$J$7-Inputs!$I$7)))/Inputs!$K$7)^2)))*1000/Inputs!$C$12)</f>
        <v/>
      </c>
      <c r="AH105" s="9">
        <f>(((SQRT((Inputs!$C$52+((Inputs!$H$8+Inputs!$L$8*(((Inputs!$I$8+(((A105)+1)/2)*(Inputs!$J$8-Inputs!$I$8)))/Inputs!$K$8)^2)))^2+Inputs!$C$52^2-2*(Inputs!$C$52+((Inputs!$H$8+Inputs!$L$8*(((Inputs!$I$8+(((A105)+1)/2)*(Inputs!$J$8-Inputs!$I$8)))/Inputs!$K$8)^2)))*Inputs!$C$52*COS(SQRT(((Inputs!$I$8+(((A105)+1)/2)*(Inputs!$J$8-Inputs!$I$8)))^2+Inputs!$C$6^2)/Inputs!$C$52)))-((Inputs!$H$8+Inputs!$L$8*(((Inputs!$I$8+(((A105)+1)/2)*(Inputs!$J$8-Inputs!$I$8)))/Inputs!$K$8)^2)))*1000/Inputs!$C$12)</f>
        <v/>
      </c>
      <c r="AI105" s="9">
        <f>(((SQRT((Inputs!$C$52+((Inputs!$H$9+Inputs!$L$9*(((Inputs!$I$9+(((A105)+1)/2)*(Inputs!$J$9-Inputs!$I$9)))/Inputs!$K$9)^2)))^2+Inputs!$C$52^2-2*(Inputs!$C$52+((Inputs!$H$9+Inputs!$L$9*(((Inputs!$I$9+(((A105)+1)/2)*(Inputs!$J$9-Inputs!$I$9)))/Inputs!$K$9)^2)))*Inputs!$C$52*COS(SQRT(((Inputs!$I$9+(((A105)+1)/2)*(Inputs!$J$9-Inputs!$I$9)))^2+Inputs!$C$6^2)/Inputs!$C$52)))-((Inputs!$H$9+Inputs!$L$9*(((Inputs!$I$9+(((A105)+1)/2)*(Inputs!$J$9-Inputs!$I$9)))/Inputs!$K$9)^2)))*1000/Inputs!$C$12)</f>
        <v/>
      </c>
      <c r="AJ105" s="10" t="n"/>
      <c r="AK105" s="9">
        <f>A105</f>
        <v/>
      </c>
      <c r="AL105" s="9">
        <f>(-2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f>
        <v/>
      </c>
      <c r="AM105" s="9">
        <f>(-2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f>
        <v/>
      </c>
      <c r="AN105" s="9">
        <f>(-2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f>
        <v/>
      </c>
      <c r="AO105" s="9">
        <f>(-2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f>
        <v/>
      </c>
      <c r="AP105" s="10" t="n"/>
      <c r="AQ105" s="9">
        <f>A105</f>
        <v/>
      </c>
      <c r="AR105" s="9">
        <f>0</f>
        <v/>
      </c>
      <c r="AS105" s="9">
        <f>IF(OR(Inputs!$F$6=TRUE,Inputs!$F$6="TRUE",Inputs!$F$6=1),IF(OR(Inputs!$C$27=TRUE,Inputs!$C$27="TRUE",Inputs!$C$27=1),1,0)*(Inputs!$C$51*(115*EXP(-(((Inputs!$C$6)-25)^2)/(4.5^2))+70*EXP(-(((Inputs!$C$6)+38)^2)/(7^2))*(0.55+0.45*SIN(2*PI()*((Inputs!$I$6+(((A105)+1)/2)*(Inputs!$J$6-Inputs!$I$6)))/45))+24*SIN(2*PI()*(Inputs!$C$6)/9+((Inputs!$I$6+(((A105)+1)/2)*(Inputs!$J$6-Inputs!$I$6)))/18)*EXP(-(((Inputs!$C$6)+5)^2)/(22^2))+18*SIN(2*PI()*((Inputs!$I$6+(((A105)+1)/2)*(Inputs!$J$6-Inputs!$I$6)))/70))+Inputs!$C$28*EXP(-((((Inputs!$I$6+(((A105)+1)/2)*(Inputs!$J$6-Inputs!$I$6)))-Inputs!$C$29)^2)/(2*Inputs!$C$31^2))*EXP(-(((Inputs!$C$6)-Inputs!$C$30)^2)/(2*Inputs!$C$32^2))+-Inputs!$C$33*EXP(-((((((Inputs!$I$6+(((A105)+1)/2)*(Inputs!$J$6-Inputs!$I$6)))-Inputs!$C$34)^2)+(((Inputs!$C$6)-Inputs!$C$35)^2))/(2*Inputs!$C$36^2)))+Inputs!$C$37*(0.55*SIN(2*PI()*((Inputs!$I$6+(((A105)+1)/2)*(Inputs!$J$6-Inputs!$I$6)))/Inputs!$C$39)+0.35*COS(2*PI()*(Inputs!$C$6)/Inputs!$C$40)+0.2*SIN(2*PI()*(((Inputs!$I$6+(((A105)+1)/2)*(Inputs!$J$6-Inputs!$I$6)))+(Inputs!$C$6))/(0.5*(Inputs!$C$39+Inputs!$C$40))))+Inputs!$C$38*SIN(2*PI()*((Inputs!$I$6+(((A105)+1)/2)*(Inputs!$J$6-Inputs!$I$6)))/Inputs!$C$39)*SIN(2*PI()*(Inputs!$C$6)/Inputs!$C$40)+-Inputs!$C$41*EXP(-(((Inputs!$C$6)-Inputs!$C$43)^2)/(2*Inputs!$C$44^2))*EXP(-((((Inputs!$I$6+(((A105)+1)/2)*(Inputs!$J$6-Inputs!$I$6)))-Inputs!$C$42)^2)/(2*Inputs!$C$45^2))+Inputs!$C$48*(0.7*(0.45*SIN(2*PI()*((((Inputs!$I$6+(((A105)+1)/2)*(Inputs!$J$6-Inputs!$I$6)))/Inputs!$C$49)+Inputs!$C$47*0.137))+0.35*COS(2*PI()*(((Inputs!$C$6)/Inputs!$C$50)+Inputs!$C$47*0.173))+0.2*SIN(2*PI()*((((Inputs!$I$6+(((A105)+1)/2)*(Inputs!$J$6-Inputs!$I$6)))+(Inputs!$C$6))/(0.5*(Inputs!$C$49+Inputs!$C$50))+Inputs!$C$47*0.097)))+0.3*(2*((SIN((((Inputs!$I$6+(((A105)+1)/2)*(Inputs!$J$6-Inputs!$I$6)))*12.9898+(Inputs!$C$6)*78.233+Inputs!$C$47*37.719))*43758.5453)-INT((SIN((((Inputs!$I$6+(((A105)+1)/2)*(Inputs!$J$6-Inputs!$I$6)))*12.9898+(Inputs!$C$6)*78.233+Inputs!$C$47*37.719))*43758.5453)))-1))),NA())</f>
        <v/>
      </c>
      <c r="AT105" s="9">
        <f>IF(OR(Inputs!$F$7=TRUE,Inputs!$F$7="TRUE",Inputs!$F$7=1),IF(OR(Inputs!$C$27=TRUE,Inputs!$C$27="TRUE",Inputs!$C$27=1),1,0)*(Inputs!$C$51*(115*EXP(-(((Inputs!$C$6)-25)^2)/(4.5^2))+70*EXP(-(((Inputs!$C$6)+38)^2)/(7^2))*(0.55+0.45*SIN(2*PI()*((Inputs!$I$7+(((A105)+1)/2)*(Inputs!$J$7-Inputs!$I$7)))/45))+24*SIN(2*PI()*(Inputs!$C$6)/9+((Inputs!$I$7+(((A105)+1)/2)*(Inputs!$J$7-Inputs!$I$7)))/18)*EXP(-(((Inputs!$C$6)+5)^2)/(22^2))+18*SIN(2*PI()*((Inputs!$I$7+(((A105)+1)/2)*(Inputs!$J$7-Inputs!$I$7)))/70))+Inputs!$C$28*EXP(-((((Inputs!$I$7+(((A105)+1)/2)*(Inputs!$J$7-Inputs!$I$7)))-Inputs!$C$29)^2)/(2*Inputs!$C$31^2))*EXP(-(((Inputs!$C$6)-Inputs!$C$30)^2)/(2*Inputs!$C$32^2))+-Inputs!$C$33*EXP(-((((((Inputs!$I$7+(((A105)+1)/2)*(Inputs!$J$7-Inputs!$I$7)))-Inputs!$C$34)^2)+(((Inputs!$C$6)-Inputs!$C$35)^2))/(2*Inputs!$C$36^2)))+Inputs!$C$37*(0.55*SIN(2*PI()*((Inputs!$I$7+(((A105)+1)/2)*(Inputs!$J$7-Inputs!$I$7)))/Inputs!$C$39)+0.35*COS(2*PI()*(Inputs!$C$6)/Inputs!$C$40)+0.2*SIN(2*PI()*(((Inputs!$I$7+(((A105)+1)/2)*(Inputs!$J$7-Inputs!$I$7)))+(Inputs!$C$6))/(0.5*(Inputs!$C$39+Inputs!$C$40))))+Inputs!$C$38*SIN(2*PI()*((Inputs!$I$7+(((A105)+1)/2)*(Inputs!$J$7-Inputs!$I$7)))/Inputs!$C$39)*SIN(2*PI()*(Inputs!$C$6)/Inputs!$C$40)+-Inputs!$C$41*EXP(-(((Inputs!$C$6)-Inputs!$C$43)^2)/(2*Inputs!$C$44^2))*EXP(-((((Inputs!$I$7+(((A105)+1)/2)*(Inputs!$J$7-Inputs!$I$7)))-Inputs!$C$42)^2)/(2*Inputs!$C$45^2))+Inputs!$C$48*(0.7*(0.45*SIN(2*PI()*((((Inputs!$I$7+(((A105)+1)/2)*(Inputs!$J$7-Inputs!$I$7)))/Inputs!$C$49)+Inputs!$C$47*0.137))+0.35*COS(2*PI()*(((Inputs!$C$6)/Inputs!$C$50)+Inputs!$C$47*0.173))+0.2*SIN(2*PI()*((((Inputs!$I$7+(((A105)+1)/2)*(Inputs!$J$7-Inputs!$I$7)))+(Inputs!$C$6))/(0.5*(Inputs!$C$49+Inputs!$C$50))+Inputs!$C$47*0.097)))+0.3*(2*((SIN((((Inputs!$I$7+(((A105)+1)/2)*(Inputs!$J$7-Inputs!$I$7)))*12.9898+(Inputs!$C$6)*78.233+Inputs!$C$47*37.719))*43758.5453)-INT((SIN((((Inputs!$I$7+(((A105)+1)/2)*(Inputs!$J$7-Inputs!$I$7)))*12.9898+(Inputs!$C$6)*78.233+Inputs!$C$47*37.719))*43758.5453)))-1))),NA())</f>
        <v/>
      </c>
      <c r="AU105" s="9">
        <f>IF(OR(Inputs!$F$8=TRUE,Inputs!$F$8="TRUE",Inputs!$F$8=1),IF(OR(Inputs!$C$27=TRUE,Inputs!$C$27="TRUE",Inputs!$C$27=1),1,0)*(Inputs!$C$51*(115*EXP(-(((Inputs!$C$6)-25)^2)/(4.5^2))+70*EXP(-(((Inputs!$C$6)+38)^2)/(7^2))*(0.55+0.45*SIN(2*PI()*((Inputs!$I$8+(((A105)+1)/2)*(Inputs!$J$8-Inputs!$I$8)))/45))+24*SIN(2*PI()*(Inputs!$C$6)/9+((Inputs!$I$8+(((A105)+1)/2)*(Inputs!$J$8-Inputs!$I$8)))/18)*EXP(-(((Inputs!$C$6)+5)^2)/(22^2))+18*SIN(2*PI()*((Inputs!$I$8+(((A105)+1)/2)*(Inputs!$J$8-Inputs!$I$8)))/70))+Inputs!$C$28*EXP(-((((Inputs!$I$8+(((A105)+1)/2)*(Inputs!$J$8-Inputs!$I$8)))-Inputs!$C$29)^2)/(2*Inputs!$C$31^2))*EXP(-(((Inputs!$C$6)-Inputs!$C$30)^2)/(2*Inputs!$C$32^2))+-Inputs!$C$33*EXP(-((((((Inputs!$I$8+(((A105)+1)/2)*(Inputs!$J$8-Inputs!$I$8)))-Inputs!$C$34)^2)+(((Inputs!$C$6)-Inputs!$C$35)^2))/(2*Inputs!$C$36^2)))+Inputs!$C$37*(0.55*SIN(2*PI()*((Inputs!$I$8+(((A105)+1)/2)*(Inputs!$J$8-Inputs!$I$8)))/Inputs!$C$39)+0.35*COS(2*PI()*(Inputs!$C$6)/Inputs!$C$40)+0.2*SIN(2*PI()*(((Inputs!$I$8+(((A105)+1)/2)*(Inputs!$J$8-Inputs!$I$8)))+(Inputs!$C$6))/(0.5*(Inputs!$C$39+Inputs!$C$40))))+Inputs!$C$38*SIN(2*PI()*((Inputs!$I$8+(((A105)+1)/2)*(Inputs!$J$8-Inputs!$I$8)))/Inputs!$C$39)*SIN(2*PI()*(Inputs!$C$6)/Inputs!$C$40)+-Inputs!$C$41*EXP(-(((Inputs!$C$6)-Inputs!$C$43)^2)/(2*Inputs!$C$44^2))*EXP(-((((Inputs!$I$8+(((A105)+1)/2)*(Inputs!$J$8-Inputs!$I$8)))-Inputs!$C$42)^2)/(2*Inputs!$C$45^2))+Inputs!$C$48*(0.7*(0.45*SIN(2*PI()*((((Inputs!$I$8+(((A105)+1)/2)*(Inputs!$J$8-Inputs!$I$8)))/Inputs!$C$49)+Inputs!$C$47*0.137))+0.35*COS(2*PI()*(((Inputs!$C$6)/Inputs!$C$50)+Inputs!$C$47*0.173))+0.2*SIN(2*PI()*((((Inputs!$I$8+(((A105)+1)/2)*(Inputs!$J$8-Inputs!$I$8)))+(Inputs!$C$6))/(0.5*(Inputs!$C$49+Inputs!$C$50))+Inputs!$C$47*0.097)))+0.3*(2*((SIN((((Inputs!$I$8+(((A105)+1)/2)*(Inputs!$J$8-Inputs!$I$8)))*12.9898+(Inputs!$C$6)*78.233+Inputs!$C$47*37.719))*43758.5453)-INT((SIN((((Inputs!$I$8+(((A105)+1)/2)*(Inputs!$J$8-Inputs!$I$8)))*12.9898+(Inputs!$C$6)*78.233+Inputs!$C$47*37.719))*43758.5453)))-1))),NA())</f>
        <v/>
      </c>
      <c r="AV105" s="9">
        <f>IF(OR(Inputs!$F$9=TRUE,Inputs!$F$9="TRUE",Inputs!$F$9=1),IF(OR(Inputs!$C$27=TRUE,Inputs!$C$27="TRUE",Inputs!$C$27=1),1,0)*(Inputs!$C$51*(115*EXP(-(((Inputs!$C$6)-25)^2)/(4.5^2))+70*EXP(-(((Inputs!$C$6)+38)^2)/(7^2))*(0.55+0.45*SIN(2*PI()*((Inputs!$I$9+(((A105)+1)/2)*(Inputs!$J$9-Inputs!$I$9)))/45))+24*SIN(2*PI()*(Inputs!$C$6)/9+((Inputs!$I$9+(((A105)+1)/2)*(Inputs!$J$9-Inputs!$I$9)))/18)*EXP(-(((Inputs!$C$6)+5)^2)/(22^2))+18*SIN(2*PI()*((Inputs!$I$9+(((A105)+1)/2)*(Inputs!$J$9-Inputs!$I$9)))/70))+Inputs!$C$28*EXP(-((((Inputs!$I$9+(((A105)+1)/2)*(Inputs!$J$9-Inputs!$I$9)))-Inputs!$C$29)^2)/(2*Inputs!$C$31^2))*EXP(-(((Inputs!$C$6)-Inputs!$C$30)^2)/(2*Inputs!$C$32^2))+-Inputs!$C$33*EXP(-((((((Inputs!$I$9+(((A105)+1)/2)*(Inputs!$J$9-Inputs!$I$9)))-Inputs!$C$34)^2)+(((Inputs!$C$6)-Inputs!$C$35)^2))/(2*Inputs!$C$36^2)))+Inputs!$C$37*(0.55*SIN(2*PI()*((Inputs!$I$9+(((A105)+1)/2)*(Inputs!$J$9-Inputs!$I$9)))/Inputs!$C$39)+0.35*COS(2*PI()*(Inputs!$C$6)/Inputs!$C$40)+0.2*SIN(2*PI()*(((Inputs!$I$9+(((A105)+1)/2)*(Inputs!$J$9-Inputs!$I$9)))+(Inputs!$C$6))/(0.5*(Inputs!$C$39+Inputs!$C$40))))+Inputs!$C$38*SIN(2*PI()*((Inputs!$I$9+(((A105)+1)/2)*(Inputs!$J$9-Inputs!$I$9)))/Inputs!$C$39)*SIN(2*PI()*(Inputs!$C$6)/Inputs!$C$40)+-Inputs!$C$41*EXP(-(((Inputs!$C$6)-Inputs!$C$43)^2)/(2*Inputs!$C$44^2))*EXP(-((((Inputs!$I$9+(((A105)+1)/2)*(Inputs!$J$9-Inputs!$I$9)))-Inputs!$C$42)^2)/(2*Inputs!$C$45^2))+Inputs!$C$48*(0.7*(0.45*SIN(2*PI()*((((Inputs!$I$9+(((A105)+1)/2)*(Inputs!$J$9-Inputs!$I$9)))/Inputs!$C$49)+Inputs!$C$47*0.137))+0.35*COS(2*PI()*(((Inputs!$C$6)/Inputs!$C$50)+Inputs!$C$47*0.173))+0.2*SIN(2*PI()*((((Inputs!$I$9+(((A105)+1)/2)*(Inputs!$J$9-Inputs!$I$9)))+(Inputs!$C$6))/(0.5*(Inputs!$C$49+Inputs!$C$50))+Inputs!$C$47*0.097)))+0.3*(2*((SIN((((Inputs!$I$9+(((A105)+1)/2)*(Inputs!$J$9-Inputs!$I$9)))*12.9898+(Inputs!$C$6)*78.233+Inputs!$C$47*37.719))*43758.5453)-INT((SIN((((Inputs!$I$9+(((A105)+1)/2)*(Inputs!$J$9-Inputs!$I$9)))*12.9898+(Inputs!$C$6)*78.233+Inputs!$C$47*37.719))*43758.5453)))-1))),NA())</f>
        <v/>
      </c>
      <c r="AW105" s="10" t="n"/>
      <c r="AX105" s="9">
        <f>A105</f>
        <v/>
      </c>
      <c r="AY105" s="9">
        <f>0</f>
        <v/>
      </c>
      <c r="AZ105" s="9">
        <f>IF(OR(Inputs!$F$6=TRUE,Inputs!$F$6="TRUE",Inputs!$F$6=1),(Inputs!$H$6+Inputs!$L$6*(((Inputs!$I$6+(((A105)+1)/2)*(Inputs!$J$6-Inputs!$I$6)))/Inputs!$K$6)^2),NA())</f>
        <v/>
      </c>
      <c r="BA105" s="9">
        <f>IF(OR(Inputs!$F$7=TRUE,Inputs!$F$7="TRUE",Inputs!$F$7=1),(Inputs!$H$7+Inputs!$L$7*(((Inputs!$I$7+(((A105)+1)/2)*(Inputs!$J$7-Inputs!$I$7)))/Inputs!$K$7)^2),NA())</f>
        <v/>
      </c>
      <c r="BB105" s="9">
        <f>IF(OR(Inputs!$F$8=TRUE,Inputs!$F$8="TRUE",Inputs!$F$8=1),(Inputs!$H$8+Inputs!$L$8*(((Inputs!$I$8+(((A105)+1)/2)*(Inputs!$J$8-Inputs!$I$8)))/Inputs!$K$8)^2),NA())</f>
        <v/>
      </c>
      <c r="BC105" s="9">
        <f>IF(OR(Inputs!$F$9=TRUE,Inputs!$F$9="TRUE",Inputs!$F$9=1),(Inputs!$H$9+Inputs!$L$9*(((Inputs!$I$9+(((A105)+1)/2)*(Inputs!$J$9-Inputs!$I$9)))/Inputs!$K$9)^2),NA())</f>
        <v/>
      </c>
      <c r="BD105" s="10" t="n"/>
      <c r="BE105" s="9">
        <f>A105</f>
        <v/>
      </c>
      <c r="BF105" s="9">
        <f>0</f>
        <v/>
      </c>
      <c r="BG105" s="9">
        <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f>
        <v/>
      </c>
      <c r="BH105" s="9">
        <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f>
        <v/>
      </c>
      <c r="BI105" s="9">
        <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f>
        <v/>
      </c>
      <c r="BJ105" s="9">
        <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f>
        <v/>
      </c>
    </row>
    <row r="106">
      <c r="A106" s="9">
        <f>ROUND(-1+104*2/240,3)</f>
        <v/>
      </c>
      <c r="B106" s="9">
        <f>IF(OR(Inputs!$F$6=TRUE,Inputs!$F$6="TRUE",Inputs!$F$6=1),(Inputs!$H$6+Inputs!$L$6*(((Inputs!$I$6+(((A106)+1)/2)*(Inputs!$J$6-Inputs!$I$6)))/Inputs!$K$6)^2),NA())</f>
        <v/>
      </c>
      <c r="C106" s="9">
        <f>IF(OR(Inputs!$F$7=TRUE,Inputs!$F$7="TRUE",Inputs!$F$7=1),(Inputs!$H$7+Inputs!$L$7*(((Inputs!$I$7+(((A106)+1)/2)*(Inputs!$J$7-Inputs!$I$7)))/Inputs!$K$7)^2),NA())</f>
        <v/>
      </c>
      <c r="D106" s="9">
        <f>IF(OR(Inputs!$F$8=TRUE,Inputs!$F$8="TRUE",Inputs!$F$8=1),(Inputs!$H$8+Inputs!$L$8*(((Inputs!$I$8+(((A106)+1)/2)*(Inputs!$J$8-Inputs!$I$8)))/Inputs!$K$8)^2),NA())</f>
        <v/>
      </c>
      <c r="E106" s="9">
        <f>IF(OR(Inputs!$F$9=TRUE,Inputs!$F$9="TRUE",Inputs!$F$9=1),(Inputs!$H$9+Inputs!$L$9*(((Inputs!$I$9+(((A106)+1)/2)*(Inputs!$J$9-Inputs!$I$9)))/Inputs!$K$9)^2),NA())</f>
        <v/>
      </c>
      <c r="F106" s="10" t="n"/>
      <c r="G106" s="9">
        <f>A106</f>
        <v/>
      </c>
      <c r="H106" s="9">
        <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f>
        <v/>
      </c>
      <c r="I106" s="9">
        <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f>
        <v/>
      </c>
      <c r="J106" s="9">
        <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f>
        <v/>
      </c>
      <c r="K106" s="9">
        <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f>
        <v/>
      </c>
      <c r="L106" s="10" t="n"/>
      <c r="M106" s="9">
        <f>A106</f>
        <v/>
      </c>
      <c r="N106" s="9">
        <f>IF(OR(Inputs!$F$6=TRUE,Inputs!$F$6="TRUE",Inputs!$F$6=1),(-2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NA())</f>
        <v/>
      </c>
      <c r="O106" s="9">
        <f>IF(OR(Inputs!$F$7=TRUE,Inputs!$F$7="TRUE",Inputs!$F$7=1),(-2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NA())</f>
        <v/>
      </c>
      <c r="P106" s="9">
        <f>IF(OR(Inputs!$F$8=TRUE,Inputs!$F$8="TRUE",Inputs!$F$8=1),(-2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NA())</f>
        <v/>
      </c>
      <c r="Q106" s="9">
        <f>IF(OR(Inputs!$F$9=TRUE,Inputs!$F$9="TRUE",Inputs!$F$9=1),(-2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NA())</f>
        <v/>
      </c>
      <c r="R106" s="10" t="n"/>
      <c r="S106" s="9">
        <f>A106</f>
        <v/>
      </c>
      <c r="T106" s="9">
        <f>(Inputs!$I$6+(((A106)+1)/2)*(Inputs!$J$6-Inputs!$I$6))</f>
        <v/>
      </c>
      <c r="U106" s="9">
        <f>(Inputs!$I$7+(((A106)+1)/2)*(Inputs!$J$7-Inputs!$I$7))</f>
        <v/>
      </c>
      <c r="V106" s="9">
        <f>(Inputs!$I$8+(((A106)+1)/2)*(Inputs!$J$8-Inputs!$I$8))</f>
        <v/>
      </c>
      <c r="W106" s="9">
        <f>(Inputs!$I$9+(((A106)+1)/2)*(Inputs!$J$9-Inputs!$I$9))</f>
        <v/>
      </c>
      <c r="X106" s="10" t="n"/>
      <c r="Y106" s="9">
        <f>A106</f>
        <v/>
      </c>
      <c r="Z106" s="9">
        <f>(Inputs!$H$6+Inputs!$L$6*(((Inputs!$I$6+(((A106)+1)/2)*(Inputs!$J$6-Inputs!$I$6)))/Inputs!$K$6)^2)</f>
        <v/>
      </c>
      <c r="AA106" s="9">
        <f>(Inputs!$H$7+Inputs!$L$7*(((Inputs!$I$7+(((A106)+1)/2)*(Inputs!$J$7-Inputs!$I$7)))/Inputs!$K$7)^2)</f>
        <v/>
      </c>
      <c r="AB106" s="9">
        <f>(Inputs!$H$8+Inputs!$L$8*(((Inputs!$I$8+(((A106)+1)/2)*(Inputs!$J$8-Inputs!$I$8)))/Inputs!$K$8)^2)</f>
        <v/>
      </c>
      <c r="AC106" s="9">
        <f>(Inputs!$H$9+Inputs!$L$9*(((Inputs!$I$9+(((A106)+1)/2)*(Inputs!$J$9-Inputs!$I$9)))/Inputs!$K$9)^2)</f>
        <v/>
      </c>
      <c r="AD106" s="10" t="n"/>
      <c r="AE106" s="9">
        <f>A106</f>
        <v/>
      </c>
      <c r="AF106" s="9">
        <f>(((SQRT((Inputs!$C$52+((Inputs!$H$6+Inputs!$L$6*(((Inputs!$I$6+(((A106)+1)/2)*(Inputs!$J$6-Inputs!$I$6)))/Inputs!$K$6)^2)))^2+Inputs!$C$52^2-2*(Inputs!$C$52+((Inputs!$H$6+Inputs!$L$6*(((Inputs!$I$6+(((A106)+1)/2)*(Inputs!$J$6-Inputs!$I$6)))/Inputs!$K$6)^2)))*Inputs!$C$52*COS(SQRT(((Inputs!$I$6+(((A106)+1)/2)*(Inputs!$J$6-Inputs!$I$6)))^2+Inputs!$C$6^2)/Inputs!$C$52)))-((Inputs!$H$6+Inputs!$L$6*(((Inputs!$I$6+(((A106)+1)/2)*(Inputs!$J$6-Inputs!$I$6)))/Inputs!$K$6)^2)))*1000/Inputs!$C$12)</f>
        <v/>
      </c>
      <c r="AG106" s="9">
        <f>(((SQRT((Inputs!$C$52+((Inputs!$H$7+Inputs!$L$7*(((Inputs!$I$7+(((A106)+1)/2)*(Inputs!$J$7-Inputs!$I$7)))/Inputs!$K$7)^2)))^2+Inputs!$C$52^2-2*(Inputs!$C$52+((Inputs!$H$7+Inputs!$L$7*(((Inputs!$I$7+(((A106)+1)/2)*(Inputs!$J$7-Inputs!$I$7)))/Inputs!$K$7)^2)))*Inputs!$C$52*COS(SQRT(((Inputs!$I$7+(((A106)+1)/2)*(Inputs!$J$7-Inputs!$I$7)))^2+Inputs!$C$6^2)/Inputs!$C$52)))-((Inputs!$H$7+Inputs!$L$7*(((Inputs!$I$7+(((A106)+1)/2)*(Inputs!$J$7-Inputs!$I$7)))/Inputs!$K$7)^2)))*1000/Inputs!$C$12)</f>
        <v/>
      </c>
      <c r="AH106" s="9">
        <f>(((SQRT((Inputs!$C$52+((Inputs!$H$8+Inputs!$L$8*(((Inputs!$I$8+(((A106)+1)/2)*(Inputs!$J$8-Inputs!$I$8)))/Inputs!$K$8)^2)))^2+Inputs!$C$52^2-2*(Inputs!$C$52+((Inputs!$H$8+Inputs!$L$8*(((Inputs!$I$8+(((A106)+1)/2)*(Inputs!$J$8-Inputs!$I$8)))/Inputs!$K$8)^2)))*Inputs!$C$52*COS(SQRT(((Inputs!$I$8+(((A106)+1)/2)*(Inputs!$J$8-Inputs!$I$8)))^2+Inputs!$C$6^2)/Inputs!$C$52)))-((Inputs!$H$8+Inputs!$L$8*(((Inputs!$I$8+(((A106)+1)/2)*(Inputs!$J$8-Inputs!$I$8)))/Inputs!$K$8)^2)))*1000/Inputs!$C$12)</f>
        <v/>
      </c>
      <c r="AI106" s="9">
        <f>(((SQRT((Inputs!$C$52+((Inputs!$H$9+Inputs!$L$9*(((Inputs!$I$9+(((A106)+1)/2)*(Inputs!$J$9-Inputs!$I$9)))/Inputs!$K$9)^2)))^2+Inputs!$C$52^2-2*(Inputs!$C$52+((Inputs!$H$9+Inputs!$L$9*(((Inputs!$I$9+(((A106)+1)/2)*(Inputs!$J$9-Inputs!$I$9)))/Inputs!$K$9)^2)))*Inputs!$C$52*COS(SQRT(((Inputs!$I$9+(((A106)+1)/2)*(Inputs!$J$9-Inputs!$I$9)))^2+Inputs!$C$6^2)/Inputs!$C$52)))-((Inputs!$H$9+Inputs!$L$9*(((Inputs!$I$9+(((A106)+1)/2)*(Inputs!$J$9-Inputs!$I$9)))/Inputs!$K$9)^2)))*1000/Inputs!$C$12)</f>
        <v/>
      </c>
      <c r="AJ106" s="10" t="n"/>
      <c r="AK106" s="9">
        <f>A106</f>
        <v/>
      </c>
      <c r="AL106" s="9">
        <f>(-2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f>
        <v/>
      </c>
      <c r="AM106" s="9">
        <f>(-2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f>
        <v/>
      </c>
      <c r="AN106" s="9">
        <f>(-2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f>
        <v/>
      </c>
      <c r="AO106" s="9">
        <f>(-2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f>
        <v/>
      </c>
      <c r="AP106" s="10" t="n"/>
      <c r="AQ106" s="9">
        <f>A106</f>
        <v/>
      </c>
      <c r="AR106" s="9">
        <f>0</f>
        <v/>
      </c>
      <c r="AS106" s="9">
        <f>IF(OR(Inputs!$F$6=TRUE,Inputs!$F$6="TRUE",Inputs!$F$6=1),IF(OR(Inputs!$C$27=TRUE,Inputs!$C$27="TRUE",Inputs!$C$27=1),1,0)*(Inputs!$C$51*(115*EXP(-(((Inputs!$C$6)-25)^2)/(4.5^2))+70*EXP(-(((Inputs!$C$6)+38)^2)/(7^2))*(0.55+0.45*SIN(2*PI()*((Inputs!$I$6+(((A106)+1)/2)*(Inputs!$J$6-Inputs!$I$6)))/45))+24*SIN(2*PI()*(Inputs!$C$6)/9+((Inputs!$I$6+(((A106)+1)/2)*(Inputs!$J$6-Inputs!$I$6)))/18)*EXP(-(((Inputs!$C$6)+5)^2)/(22^2))+18*SIN(2*PI()*((Inputs!$I$6+(((A106)+1)/2)*(Inputs!$J$6-Inputs!$I$6)))/70))+Inputs!$C$28*EXP(-((((Inputs!$I$6+(((A106)+1)/2)*(Inputs!$J$6-Inputs!$I$6)))-Inputs!$C$29)^2)/(2*Inputs!$C$31^2))*EXP(-(((Inputs!$C$6)-Inputs!$C$30)^2)/(2*Inputs!$C$32^2))+-Inputs!$C$33*EXP(-((((((Inputs!$I$6+(((A106)+1)/2)*(Inputs!$J$6-Inputs!$I$6)))-Inputs!$C$34)^2)+(((Inputs!$C$6)-Inputs!$C$35)^2))/(2*Inputs!$C$36^2)))+Inputs!$C$37*(0.55*SIN(2*PI()*((Inputs!$I$6+(((A106)+1)/2)*(Inputs!$J$6-Inputs!$I$6)))/Inputs!$C$39)+0.35*COS(2*PI()*(Inputs!$C$6)/Inputs!$C$40)+0.2*SIN(2*PI()*(((Inputs!$I$6+(((A106)+1)/2)*(Inputs!$J$6-Inputs!$I$6)))+(Inputs!$C$6))/(0.5*(Inputs!$C$39+Inputs!$C$40))))+Inputs!$C$38*SIN(2*PI()*((Inputs!$I$6+(((A106)+1)/2)*(Inputs!$J$6-Inputs!$I$6)))/Inputs!$C$39)*SIN(2*PI()*(Inputs!$C$6)/Inputs!$C$40)+-Inputs!$C$41*EXP(-(((Inputs!$C$6)-Inputs!$C$43)^2)/(2*Inputs!$C$44^2))*EXP(-((((Inputs!$I$6+(((A106)+1)/2)*(Inputs!$J$6-Inputs!$I$6)))-Inputs!$C$42)^2)/(2*Inputs!$C$45^2))+Inputs!$C$48*(0.7*(0.45*SIN(2*PI()*((((Inputs!$I$6+(((A106)+1)/2)*(Inputs!$J$6-Inputs!$I$6)))/Inputs!$C$49)+Inputs!$C$47*0.137))+0.35*COS(2*PI()*(((Inputs!$C$6)/Inputs!$C$50)+Inputs!$C$47*0.173))+0.2*SIN(2*PI()*((((Inputs!$I$6+(((A106)+1)/2)*(Inputs!$J$6-Inputs!$I$6)))+(Inputs!$C$6))/(0.5*(Inputs!$C$49+Inputs!$C$50))+Inputs!$C$47*0.097)))+0.3*(2*((SIN((((Inputs!$I$6+(((A106)+1)/2)*(Inputs!$J$6-Inputs!$I$6)))*12.9898+(Inputs!$C$6)*78.233+Inputs!$C$47*37.719))*43758.5453)-INT((SIN((((Inputs!$I$6+(((A106)+1)/2)*(Inputs!$J$6-Inputs!$I$6)))*12.9898+(Inputs!$C$6)*78.233+Inputs!$C$47*37.719))*43758.5453)))-1))),NA())</f>
        <v/>
      </c>
      <c r="AT106" s="9">
        <f>IF(OR(Inputs!$F$7=TRUE,Inputs!$F$7="TRUE",Inputs!$F$7=1),IF(OR(Inputs!$C$27=TRUE,Inputs!$C$27="TRUE",Inputs!$C$27=1),1,0)*(Inputs!$C$51*(115*EXP(-(((Inputs!$C$6)-25)^2)/(4.5^2))+70*EXP(-(((Inputs!$C$6)+38)^2)/(7^2))*(0.55+0.45*SIN(2*PI()*((Inputs!$I$7+(((A106)+1)/2)*(Inputs!$J$7-Inputs!$I$7)))/45))+24*SIN(2*PI()*(Inputs!$C$6)/9+((Inputs!$I$7+(((A106)+1)/2)*(Inputs!$J$7-Inputs!$I$7)))/18)*EXP(-(((Inputs!$C$6)+5)^2)/(22^2))+18*SIN(2*PI()*((Inputs!$I$7+(((A106)+1)/2)*(Inputs!$J$7-Inputs!$I$7)))/70))+Inputs!$C$28*EXP(-((((Inputs!$I$7+(((A106)+1)/2)*(Inputs!$J$7-Inputs!$I$7)))-Inputs!$C$29)^2)/(2*Inputs!$C$31^2))*EXP(-(((Inputs!$C$6)-Inputs!$C$30)^2)/(2*Inputs!$C$32^2))+-Inputs!$C$33*EXP(-((((((Inputs!$I$7+(((A106)+1)/2)*(Inputs!$J$7-Inputs!$I$7)))-Inputs!$C$34)^2)+(((Inputs!$C$6)-Inputs!$C$35)^2))/(2*Inputs!$C$36^2)))+Inputs!$C$37*(0.55*SIN(2*PI()*((Inputs!$I$7+(((A106)+1)/2)*(Inputs!$J$7-Inputs!$I$7)))/Inputs!$C$39)+0.35*COS(2*PI()*(Inputs!$C$6)/Inputs!$C$40)+0.2*SIN(2*PI()*(((Inputs!$I$7+(((A106)+1)/2)*(Inputs!$J$7-Inputs!$I$7)))+(Inputs!$C$6))/(0.5*(Inputs!$C$39+Inputs!$C$40))))+Inputs!$C$38*SIN(2*PI()*((Inputs!$I$7+(((A106)+1)/2)*(Inputs!$J$7-Inputs!$I$7)))/Inputs!$C$39)*SIN(2*PI()*(Inputs!$C$6)/Inputs!$C$40)+-Inputs!$C$41*EXP(-(((Inputs!$C$6)-Inputs!$C$43)^2)/(2*Inputs!$C$44^2))*EXP(-((((Inputs!$I$7+(((A106)+1)/2)*(Inputs!$J$7-Inputs!$I$7)))-Inputs!$C$42)^2)/(2*Inputs!$C$45^2))+Inputs!$C$48*(0.7*(0.45*SIN(2*PI()*((((Inputs!$I$7+(((A106)+1)/2)*(Inputs!$J$7-Inputs!$I$7)))/Inputs!$C$49)+Inputs!$C$47*0.137))+0.35*COS(2*PI()*(((Inputs!$C$6)/Inputs!$C$50)+Inputs!$C$47*0.173))+0.2*SIN(2*PI()*((((Inputs!$I$7+(((A106)+1)/2)*(Inputs!$J$7-Inputs!$I$7)))+(Inputs!$C$6))/(0.5*(Inputs!$C$49+Inputs!$C$50))+Inputs!$C$47*0.097)))+0.3*(2*((SIN((((Inputs!$I$7+(((A106)+1)/2)*(Inputs!$J$7-Inputs!$I$7)))*12.9898+(Inputs!$C$6)*78.233+Inputs!$C$47*37.719))*43758.5453)-INT((SIN((((Inputs!$I$7+(((A106)+1)/2)*(Inputs!$J$7-Inputs!$I$7)))*12.9898+(Inputs!$C$6)*78.233+Inputs!$C$47*37.719))*43758.5453)))-1))),NA())</f>
        <v/>
      </c>
      <c r="AU106" s="9">
        <f>IF(OR(Inputs!$F$8=TRUE,Inputs!$F$8="TRUE",Inputs!$F$8=1),IF(OR(Inputs!$C$27=TRUE,Inputs!$C$27="TRUE",Inputs!$C$27=1),1,0)*(Inputs!$C$51*(115*EXP(-(((Inputs!$C$6)-25)^2)/(4.5^2))+70*EXP(-(((Inputs!$C$6)+38)^2)/(7^2))*(0.55+0.45*SIN(2*PI()*((Inputs!$I$8+(((A106)+1)/2)*(Inputs!$J$8-Inputs!$I$8)))/45))+24*SIN(2*PI()*(Inputs!$C$6)/9+((Inputs!$I$8+(((A106)+1)/2)*(Inputs!$J$8-Inputs!$I$8)))/18)*EXP(-(((Inputs!$C$6)+5)^2)/(22^2))+18*SIN(2*PI()*((Inputs!$I$8+(((A106)+1)/2)*(Inputs!$J$8-Inputs!$I$8)))/70))+Inputs!$C$28*EXP(-((((Inputs!$I$8+(((A106)+1)/2)*(Inputs!$J$8-Inputs!$I$8)))-Inputs!$C$29)^2)/(2*Inputs!$C$31^2))*EXP(-(((Inputs!$C$6)-Inputs!$C$30)^2)/(2*Inputs!$C$32^2))+-Inputs!$C$33*EXP(-((((((Inputs!$I$8+(((A106)+1)/2)*(Inputs!$J$8-Inputs!$I$8)))-Inputs!$C$34)^2)+(((Inputs!$C$6)-Inputs!$C$35)^2))/(2*Inputs!$C$36^2)))+Inputs!$C$37*(0.55*SIN(2*PI()*((Inputs!$I$8+(((A106)+1)/2)*(Inputs!$J$8-Inputs!$I$8)))/Inputs!$C$39)+0.35*COS(2*PI()*(Inputs!$C$6)/Inputs!$C$40)+0.2*SIN(2*PI()*(((Inputs!$I$8+(((A106)+1)/2)*(Inputs!$J$8-Inputs!$I$8)))+(Inputs!$C$6))/(0.5*(Inputs!$C$39+Inputs!$C$40))))+Inputs!$C$38*SIN(2*PI()*((Inputs!$I$8+(((A106)+1)/2)*(Inputs!$J$8-Inputs!$I$8)))/Inputs!$C$39)*SIN(2*PI()*(Inputs!$C$6)/Inputs!$C$40)+-Inputs!$C$41*EXP(-(((Inputs!$C$6)-Inputs!$C$43)^2)/(2*Inputs!$C$44^2))*EXP(-((((Inputs!$I$8+(((A106)+1)/2)*(Inputs!$J$8-Inputs!$I$8)))-Inputs!$C$42)^2)/(2*Inputs!$C$45^2))+Inputs!$C$48*(0.7*(0.45*SIN(2*PI()*((((Inputs!$I$8+(((A106)+1)/2)*(Inputs!$J$8-Inputs!$I$8)))/Inputs!$C$49)+Inputs!$C$47*0.137))+0.35*COS(2*PI()*(((Inputs!$C$6)/Inputs!$C$50)+Inputs!$C$47*0.173))+0.2*SIN(2*PI()*((((Inputs!$I$8+(((A106)+1)/2)*(Inputs!$J$8-Inputs!$I$8)))+(Inputs!$C$6))/(0.5*(Inputs!$C$49+Inputs!$C$50))+Inputs!$C$47*0.097)))+0.3*(2*((SIN((((Inputs!$I$8+(((A106)+1)/2)*(Inputs!$J$8-Inputs!$I$8)))*12.9898+(Inputs!$C$6)*78.233+Inputs!$C$47*37.719))*43758.5453)-INT((SIN((((Inputs!$I$8+(((A106)+1)/2)*(Inputs!$J$8-Inputs!$I$8)))*12.9898+(Inputs!$C$6)*78.233+Inputs!$C$47*37.719))*43758.5453)))-1))),NA())</f>
        <v/>
      </c>
      <c r="AV106" s="9">
        <f>IF(OR(Inputs!$F$9=TRUE,Inputs!$F$9="TRUE",Inputs!$F$9=1),IF(OR(Inputs!$C$27=TRUE,Inputs!$C$27="TRUE",Inputs!$C$27=1),1,0)*(Inputs!$C$51*(115*EXP(-(((Inputs!$C$6)-25)^2)/(4.5^2))+70*EXP(-(((Inputs!$C$6)+38)^2)/(7^2))*(0.55+0.45*SIN(2*PI()*((Inputs!$I$9+(((A106)+1)/2)*(Inputs!$J$9-Inputs!$I$9)))/45))+24*SIN(2*PI()*(Inputs!$C$6)/9+((Inputs!$I$9+(((A106)+1)/2)*(Inputs!$J$9-Inputs!$I$9)))/18)*EXP(-(((Inputs!$C$6)+5)^2)/(22^2))+18*SIN(2*PI()*((Inputs!$I$9+(((A106)+1)/2)*(Inputs!$J$9-Inputs!$I$9)))/70))+Inputs!$C$28*EXP(-((((Inputs!$I$9+(((A106)+1)/2)*(Inputs!$J$9-Inputs!$I$9)))-Inputs!$C$29)^2)/(2*Inputs!$C$31^2))*EXP(-(((Inputs!$C$6)-Inputs!$C$30)^2)/(2*Inputs!$C$32^2))+-Inputs!$C$33*EXP(-((((((Inputs!$I$9+(((A106)+1)/2)*(Inputs!$J$9-Inputs!$I$9)))-Inputs!$C$34)^2)+(((Inputs!$C$6)-Inputs!$C$35)^2))/(2*Inputs!$C$36^2)))+Inputs!$C$37*(0.55*SIN(2*PI()*((Inputs!$I$9+(((A106)+1)/2)*(Inputs!$J$9-Inputs!$I$9)))/Inputs!$C$39)+0.35*COS(2*PI()*(Inputs!$C$6)/Inputs!$C$40)+0.2*SIN(2*PI()*(((Inputs!$I$9+(((A106)+1)/2)*(Inputs!$J$9-Inputs!$I$9)))+(Inputs!$C$6))/(0.5*(Inputs!$C$39+Inputs!$C$40))))+Inputs!$C$38*SIN(2*PI()*((Inputs!$I$9+(((A106)+1)/2)*(Inputs!$J$9-Inputs!$I$9)))/Inputs!$C$39)*SIN(2*PI()*(Inputs!$C$6)/Inputs!$C$40)+-Inputs!$C$41*EXP(-(((Inputs!$C$6)-Inputs!$C$43)^2)/(2*Inputs!$C$44^2))*EXP(-((((Inputs!$I$9+(((A106)+1)/2)*(Inputs!$J$9-Inputs!$I$9)))-Inputs!$C$42)^2)/(2*Inputs!$C$45^2))+Inputs!$C$48*(0.7*(0.45*SIN(2*PI()*((((Inputs!$I$9+(((A106)+1)/2)*(Inputs!$J$9-Inputs!$I$9)))/Inputs!$C$49)+Inputs!$C$47*0.137))+0.35*COS(2*PI()*(((Inputs!$C$6)/Inputs!$C$50)+Inputs!$C$47*0.173))+0.2*SIN(2*PI()*((((Inputs!$I$9+(((A106)+1)/2)*(Inputs!$J$9-Inputs!$I$9)))+(Inputs!$C$6))/(0.5*(Inputs!$C$49+Inputs!$C$50))+Inputs!$C$47*0.097)))+0.3*(2*((SIN((((Inputs!$I$9+(((A106)+1)/2)*(Inputs!$J$9-Inputs!$I$9)))*12.9898+(Inputs!$C$6)*78.233+Inputs!$C$47*37.719))*43758.5453)-INT((SIN((((Inputs!$I$9+(((A106)+1)/2)*(Inputs!$J$9-Inputs!$I$9)))*12.9898+(Inputs!$C$6)*78.233+Inputs!$C$47*37.719))*43758.5453)))-1))),NA())</f>
        <v/>
      </c>
      <c r="AW106" s="10" t="n"/>
      <c r="AX106" s="9">
        <f>A106</f>
        <v/>
      </c>
      <c r="AY106" s="9">
        <f>0</f>
        <v/>
      </c>
      <c r="AZ106" s="9">
        <f>IF(OR(Inputs!$F$6=TRUE,Inputs!$F$6="TRUE",Inputs!$F$6=1),(Inputs!$H$6+Inputs!$L$6*(((Inputs!$I$6+(((A106)+1)/2)*(Inputs!$J$6-Inputs!$I$6)))/Inputs!$K$6)^2),NA())</f>
        <v/>
      </c>
      <c r="BA106" s="9">
        <f>IF(OR(Inputs!$F$7=TRUE,Inputs!$F$7="TRUE",Inputs!$F$7=1),(Inputs!$H$7+Inputs!$L$7*(((Inputs!$I$7+(((A106)+1)/2)*(Inputs!$J$7-Inputs!$I$7)))/Inputs!$K$7)^2),NA())</f>
        <v/>
      </c>
      <c r="BB106" s="9">
        <f>IF(OR(Inputs!$F$8=TRUE,Inputs!$F$8="TRUE",Inputs!$F$8=1),(Inputs!$H$8+Inputs!$L$8*(((Inputs!$I$8+(((A106)+1)/2)*(Inputs!$J$8-Inputs!$I$8)))/Inputs!$K$8)^2),NA())</f>
        <v/>
      </c>
      <c r="BC106" s="9">
        <f>IF(OR(Inputs!$F$9=TRUE,Inputs!$F$9="TRUE",Inputs!$F$9=1),(Inputs!$H$9+Inputs!$L$9*(((Inputs!$I$9+(((A106)+1)/2)*(Inputs!$J$9-Inputs!$I$9)))/Inputs!$K$9)^2),NA())</f>
        <v/>
      </c>
      <c r="BD106" s="10" t="n"/>
      <c r="BE106" s="9">
        <f>A106</f>
        <v/>
      </c>
      <c r="BF106" s="9">
        <f>0</f>
        <v/>
      </c>
      <c r="BG106" s="9">
        <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f>
        <v/>
      </c>
      <c r="BH106" s="9">
        <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f>
        <v/>
      </c>
      <c r="BI106" s="9">
        <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f>
        <v/>
      </c>
      <c r="BJ106" s="9">
        <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f>
        <v/>
      </c>
    </row>
    <row r="107">
      <c r="A107" s="9">
        <f>ROUND(-1+105*2/240,3)</f>
        <v/>
      </c>
      <c r="B107" s="9">
        <f>IF(OR(Inputs!$F$6=TRUE,Inputs!$F$6="TRUE",Inputs!$F$6=1),(Inputs!$H$6+Inputs!$L$6*(((Inputs!$I$6+(((A107)+1)/2)*(Inputs!$J$6-Inputs!$I$6)))/Inputs!$K$6)^2),NA())</f>
        <v/>
      </c>
      <c r="C107" s="9">
        <f>IF(OR(Inputs!$F$7=TRUE,Inputs!$F$7="TRUE",Inputs!$F$7=1),(Inputs!$H$7+Inputs!$L$7*(((Inputs!$I$7+(((A107)+1)/2)*(Inputs!$J$7-Inputs!$I$7)))/Inputs!$K$7)^2),NA())</f>
        <v/>
      </c>
      <c r="D107" s="9">
        <f>IF(OR(Inputs!$F$8=TRUE,Inputs!$F$8="TRUE",Inputs!$F$8=1),(Inputs!$H$8+Inputs!$L$8*(((Inputs!$I$8+(((A107)+1)/2)*(Inputs!$J$8-Inputs!$I$8)))/Inputs!$K$8)^2),NA())</f>
        <v/>
      </c>
      <c r="E107" s="9">
        <f>IF(OR(Inputs!$F$9=TRUE,Inputs!$F$9="TRUE",Inputs!$F$9=1),(Inputs!$H$9+Inputs!$L$9*(((Inputs!$I$9+(((A107)+1)/2)*(Inputs!$J$9-Inputs!$I$9)))/Inputs!$K$9)^2),NA())</f>
        <v/>
      </c>
      <c r="F107" s="10" t="n"/>
      <c r="G107" s="9">
        <f>A107</f>
        <v/>
      </c>
      <c r="H107" s="9">
        <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f>
        <v/>
      </c>
      <c r="I107" s="9">
        <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f>
        <v/>
      </c>
      <c r="J107" s="9">
        <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f>
        <v/>
      </c>
      <c r="K107" s="9">
        <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f>
        <v/>
      </c>
      <c r="L107" s="10" t="n"/>
      <c r="M107" s="9">
        <f>A107</f>
        <v/>
      </c>
      <c r="N107" s="9">
        <f>IF(OR(Inputs!$F$6=TRUE,Inputs!$F$6="TRUE",Inputs!$F$6=1),(-2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NA())</f>
        <v/>
      </c>
      <c r="O107" s="9">
        <f>IF(OR(Inputs!$F$7=TRUE,Inputs!$F$7="TRUE",Inputs!$F$7=1),(-2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NA())</f>
        <v/>
      </c>
      <c r="P107" s="9">
        <f>IF(OR(Inputs!$F$8=TRUE,Inputs!$F$8="TRUE",Inputs!$F$8=1),(-2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NA())</f>
        <v/>
      </c>
      <c r="Q107" s="9">
        <f>IF(OR(Inputs!$F$9=TRUE,Inputs!$F$9="TRUE",Inputs!$F$9=1),(-2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NA())</f>
        <v/>
      </c>
      <c r="R107" s="10" t="n"/>
      <c r="S107" s="9">
        <f>A107</f>
        <v/>
      </c>
      <c r="T107" s="9">
        <f>(Inputs!$I$6+(((A107)+1)/2)*(Inputs!$J$6-Inputs!$I$6))</f>
        <v/>
      </c>
      <c r="U107" s="9">
        <f>(Inputs!$I$7+(((A107)+1)/2)*(Inputs!$J$7-Inputs!$I$7))</f>
        <v/>
      </c>
      <c r="V107" s="9">
        <f>(Inputs!$I$8+(((A107)+1)/2)*(Inputs!$J$8-Inputs!$I$8))</f>
        <v/>
      </c>
      <c r="W107" s="9">
        <f>(Inputs!$I$9+(((A107)+1)/2)*(Inputs!$J$9-Inputs!$I$9))</f>
        <v/>
      </c>
      <c r="X107" s="10" t="n"/>
      <c r="Y107" s="9">
        <f>A107</f>
        <v/>
      </c>
      <c r="Z107" s="9">
        <f>(Inputs!$H$6+Inputs!$L$6*(((Inputs!$I$6+(((A107)+1)/2)*(Inputs!$J$6-Inputs!$I$6)))/Inputs!$K$6)^2)</f>
        <v/>
      </c>
      <c r="AA107" s="9">
        <f>(Inputs!$H$7+Inputs!$L$7*(((Inputs!$I$7+(((A107)+1)/2)*(Inputs!$J$7-Inputs!$I$7)))/Inputs!$K$7)^2)</f>
        <v/>
      </c>
      <c r="AB107" s="9">
        <f>(Inputs!$H$8+Inputs!$L$8*(((Inputs!$I$8+(((A107)+1)/2)*(Inputs!$J$8-Inputs!$I$8)))/Inputs!$K$8)^2)</f>
        <v/>
      </c>
      <c r="AC107" s="9">
        <f>(Inputs!$H$9+Inputs!$L$9*(((Inputs!$I$9+(((A107)+1)/2)*(Inputs!$J$9-Inputs!$I$9)))/Inputs!$K$9)^2)</f>
        <v/>
      </c>
      <c r="AD107" s="10" t="n"/>
      <c r="AE107" s="9">
        <f>A107</f>
        <v/>
      </c>
      <c r="AF107" s="9">
        <f>(((SQRT((Inputs!$C$52+((Inputs!$H$6+Inputs!$L$6*(((Inputs!$I$6+(((A107)+1)/2)*(Inputs!$J$6-Inputs!$I$6)))/Inputs!$K$6)^2)))^2+Inputs!$C$52^2-2*(Inputs!$C$52+((Inputs!$H$6+Inputs!$L$6*(((Inputs!$I$6+(((A107)+1)/2)*(Inputs!$J$6-Inputs!$I$6)))/Inputs!$K$6)^2)))*Inputs!$C$52*COS(SQRT(((Inputs!$I$6+(((A107)+1)/2)*(Inputs!$J$6-Inputs!$I$6)))^2+Inputs!$C$6^2)/Inputs!$C$52)))-((Inputs!$H$6+Inputs!$L$6*(((Inputs!$I$6+(((A107)+1)/2)*(Inputs!$J$6-Inputs!$I$6)))/Inputs!$K$6)^2)))*1000/Inputs!$C$12)</f>
        <v/>
      </c>
      <c r="AG107" s="9">
        <f>(((SQRT((Inputs!$C$52+((Inputs!$H$7+Inputs!$L$7*(((Inputs!$I$7+(((A107)+1)/2)*(Inputs!$J$7-Inputs!$I$7)))/Inputs!$K$7)^2)))^2+Inputs!$C$52^2-2*(Inputs!$C$52+((Inputs!$H$7+Inputs!$L$7*(((Inputs!$I$7+(((A107)+1)/2)*(Inputs!$J$7-Inputs!$I$7)))/Inputs!$K$7)^2)))*Inputs!$C$52*COS(SQRT(((Inputs!$I$7+(((A107)+1)/2)*(Inputs!$J$7-Inputs!$I$7)))^2+Inputs!$C$6^2)/Inputs!$C$52)))-((Inputs!$H$7+Inputs!$L$7*(((Inputs!$I$7+(((A107)+1)/2)*(Inputs!$J$7-Inputs!$I$7)))/Inputs!$K$7)^2)))*1000/Inputs!$C$12)</f>
        <v/>
      </c>
      <c r="AH107" s="9">
        <f>(((SQRT((Inputs!$C$52+((Inputs!$H$8+Inputs!$L$8*(((Inputs!$I$8+(((A107)+1)/2)*(Inputs!$J$8-Inputs!$I$8)))/Inputs!$K$8)^2)))^2+Inputs!$C$52^2-2*(Inputs!$C$52+((Inputs!$H$8+Inputs!$L$8*(((Inputs!$I$8+(((A107)+1)/2)*(Inputs!$J$8-Inputs!$I$8)))/Inputs!$K$8)^2)))*Inputs!$C$52*COS(SQRT(((Inputs!$I$8+(((A107)+1)/2)*(Inputs!$J$8-Inputs!$I$8)))^2+Inputs!$C$6^2)/Inputs!$C$52)))-((Inputs!$H$8+Inputs!$L$8*(((Inputs!$I$8+(((A107)+1)/2)*(Inputs!$J$8-Inputs!$I$8)))/Inputs!$K$8)^2)))*1000/Inputs!$C$12)</f>
        <v/>
      </c>
      <c r="AI107" s="9">
        <f>(((SQRT((Inputs!$C$52+((Inputs!$H$9+Inputs!$L$9*(((Inputs!$I$9+(((A107)+1)/2)*(Inputs!$J$9-Inputs!$I$9)))/Inputs!$K$9)^2)))^2+Inputs!$C$52^2-2*(Inputs!$C$52+((Inputs!$H$9+Inputs!$L$9*(((Inputs!$I$9+(((A107)+1)/2)*(Inputs!$J$9-Inputs!$I$9)))/Inputs!$K$9)^2)))*Inputs!$C$52*COS(SQRT(((Inputs!$I$9+(((A107)+1)/2)*(Inputs!$J$9-Inputs!$I$9)))^2+Inputs!$C$6^2)/Inputs!$C$52)))-((Inputs!$H$9+Inputs!$L$9*(((Inputs!$I$9+(((A107)+1)/2)*(Inputs!$J$9-Inputs!$I$9)))/Inputs!$K$9)^2)))*1000/Inputs!$C$12)</f>
        <v/>
      </c>
      <c r="AJ107" s="10" t="n"/>
      <c r="AK107" s="9">
        <f>A107</f>
        <v/>
      </c>
      <c r="AL107" s="9">
        <f>(-2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f>
        <v/>
      </c>
      <c r="AM107" s="9">
        <f>(-2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f>
        <v/>
      </c>
      <c r="AN107" s="9">
        <f>(-2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f>
        <v/>
      </c>
      <c r="AO107" s="9">
        <f>(-2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f>
        <v/>
      </c>
      <c r="AP107" s="10" t="n"/>
      <c r="AQ107" s="9">
        <f>A107</f>
        <v/>
      </c>
      <c r="AR107" s="9">
        <f>0</f>
        <v/>
      </c>
      <c r="AS107" s="9">
        <f>IF(OR(Inputs!$F$6=TRUE,Inputs!$F$6="TRUE",Inputs!$F$6=1),IF(OR(Inputs!$C$27=TRUE,Inputs!$C$27="TRUE",Inputs!$C$27=1),1,0)*(Inputs!$C$51*(115*EXP(-(((Inputs!$C$6)-25)^2)/(4.5^2))+70*EXP(-(((Inputs!$C$6)+38)^2)/(7^2))*(0.55+0.45*SIN(2*PI()*((Inputs!$I$6+(((A107)+1)/2)*(Inputs!$J$6-Inputs!$I$6)))/45))+24*SIN(2*PI()*(Inputs!$C$6)/9+((Inputs!$I$6+(((A107)+1)/2)*(Inputs!$J$6-Inputs!$I$6)))/18)*EXP(-(((Inputs!$C$6)+5)^2)/(22^2))+18*SIN(2*PI()*((Inputs!$I$6+(((A107)+1)/2)*(Inputs!$J$6-Inputs!$I$6)))/70))+Inputs!$C$28*EXP(-((((Inputs!$I$6+(((A107)+1)/2)*(Inputs!$J$6-Inputs!$I$6)))-Inputs!$C$29)^2)/(2*Inputs!$C$31^2))*EXP(-(((Inputs!$C$6)-Inputs!$C$30)^2)/(2*Inputs!$C$32^2))+-Inputs!$C$33*EXP(-((((((Inputs!$I$6+(((A107)+1)/2)*(Inputs!$J$6-Inputs!$I$6)))-Inputs!$C$34)^2)+(((Inputs!$C$6)-Inputs!$C$35)^2))/(2*Inputs!$C$36^2)))+Inputs!$C$37*(0.55*SIN(2*PI()*((Inputs!$I$6+(((A107)+1)/2)*(Inputs!$J$6-Inputs!$I$6)))/Inputs!$C$39)+0.35*COS(2*PI()*(Inputs!$C$6)/Inputs!$C$40)+0.2*SIN(2*PI()*(((Inputs!$I$6+(((A107)+1)/2)*(Inputs!$J$6-Inputs!$I$6)))+(Inputs!$C$6))/(0.5*(Inputs!$C$39+Inputs!$C$40))))+Inputs!$C$38*SIN(2*PI()*((Inputs!$I$6+(((A107)+1)/2)*(Inputs!$J$6-Inputs!$I$6)))/Inputs!$C$39)*SIN(2*PI()*(Inputs!$C$6)/Inputs!$C$40)+-Inputs!$C$41*EXP(-(((Inputs!$C$6)-Inputs!$C$43)^2)/(2*Inputs!$C$44^2))*EXP(-((((Inputs!$I$6+(((A107)+1)/2)*(Inputs!$J$6-Inputs!$I$6)))-Inputs!$C$42)^2)/(2*Inputs!$C$45^2))+Inputs!$C$48*(0.7*(0.45*SIN(2*PI()*((((Inputs!$I$6+(((A107)+1)/2)*(Inputs!$J$6-Inputs!$I$6)))/Inputs!$C$49)+Inputs!$C$47*0.137))+0.35*COS(2*PI()*(((Inputs!$C$6)/Inputs!$C$50)+Inputs!$C$47*0.173))+0.2*SIN(2*PI()*((((Inputs!$I$6+(((A107)+1)/2)*(Inputs!$J$6-Inputs!$I$6)))+(Inputs!$C$6))/(0.5*(Inputs!$C$49+Inputs!$C$50))+Inputs!$C$47*0.097)))+0.3*(2*((SIN((((Inputs!$I$6+(((A107)+1)/2)*(Inputs!$J$6-Inputs!$I$6)))*12.9898+(Inputs!$C$6)*78.233+Inputs!$C$47*37.719))*43758.5453)-INT((SIN((((Inputs!$I$6+(((A107)+1)/2)*(Inputs!$J$6-Inputs!$I$6)))*12.9898+(Inputs!$C$6)*78.233+Inputs!$C$47*37.719))*43758.5453)))-1))),NA())</f>
        <v/>
      </c>
      <c r="AT107" s="9">
        <f>IF(OR(Inputs!$F$7=TRUE,Inputs!$F$7="TRUE",Inputs!$F$7=1),IF(OR(Inputs!$C$27=TRUE,Inputs!$C$27="TRUE",Inputs!$C$27=1),1,0)*(Inputs!$C$51*(115*EXP(-(((Inputs!$C$6)-25)^2)/(4.5^2))+70*EXP(-(((Inputs!$C$6)+38)^2)/(7^2))*(0.55+0.45*SIN(2*PI()*((Inputs!$I$7+(((A107)+1)/2)*(Inputs!$J$7-Inputs!$I$7)))/45))+24*SIN(2*PI()*(Inputs!$C$6)/9+((Inputs!$I$7+(((A107)+1)/2)*(Inputs!$J$7-Inputs!$I$7)))/18)*EXP(-(((Inputs!$C$6)+5)^2)/(22^2))+18*SIN(2*PI()*((Inputs!$I$7+(((A107)+1)/2)*(Inputs!$J$7-Inputs!$I$7)))/70))+Inputs!$C$28*EXP(-((((Inputs!$I$7+(((A107)+1)/2)*(Inputs!$J$7-Inputs!$I$7)))-Inputs!$C$29)^2)/(2*Inputs!$C$31^2))*EXP(-(((Inputs!$C$6)-Inputs!$C$30)^2)/(2*Inputs!$C$32^2))+-Inputs!$C$33*EXP(-((((((Inputs!$I$7+(((A107)+1)/2)*(Inputs!$J$7-Inputs!$I$7)))-Inputs!$C$34)^2)+(((Inputs!$C$6)-Inputs!$C$35)^2))/(2*Inputs!$C$36^2)))+Inputs!$C$37*(0.55*SIN(2*PI()*((Inputs!$I$7+(((A107)+1)/2)*(Inputs!$J$7-Inputs!$I$7)))/Inputs!$C$39)+0.35*COS(2*PI()*(Inputs!$C$6)/Inputs!$C$40)+0.2*SIN(2*PI()*(((Inputs!$I$7+(((A107)+1)/2)*(Inputs!$J$7-Inputs!$I$7)))+(Inputs!$C$6))/(0.5*(Inputs!$C$39+Inputs!$C$40))))+Inputs!$C$38*SIN(2*PI()*((Inputs!$I$7+(((A107)+1)/2)*(Inputs!$J$7-Inputs!$I$7)))/Inputs!$C$39)*SIN(2*PI()*(Inputs!$C$6)/Inputs!$C$40)+-Inputs!$C$41*EXP(-(((Inputs!$C$6)-Inputs!$C$43)^2)/(2*Inputs!$C$44^2))*EXP(-((((Inputs!$I$7+(((A107)+1)/2)*(Inputs!$J$7-Inputs!$I$7)))-Inputs!$C$42)^2)/(2*Inputs!$C$45^2))+Inputs!$C$48*(0.7*(0.45*SIN(2*PI()*((((Inputs!$I$7+(((A107)+1)/2)*(Inputs!$J$7-Inputs!$I$7)))/Inputs!$C$49)+Inputs!$C$47*0.137))+0.35*COS(2*PI()*(((Inputs!$C$6)/Inputs!$C$50)+Inputs!$C$47*0.173))+0.2*SIN(2*PI()*((((Inputs!$I$7+(((A107)+1)/2)*(Inputs!$J$7-Inputs!$I$7)))+(Inputs!$C$6))/(0.5*(Inputs!$C$49+Inputs!$C$50))+Inputs!$C$47*0.097)))+0.3*(2*((SIN((((Inputs!$I$7+(((A107)+1)/2)*(Inputs!$J$7-Inputs!$I$7)))*12.9898+(Inputs!$C$6)*78.233+Inputs!$C$47*37.719))*43758.5453)-INT((SIN((((Inputs!$I$7+(((A107)+1)/2)*(Inputs!$J$7-Inputs!$I$7)))*12.9898+(Inputs!$C$6)*78.233+Inputs!$C$47*37.719))*43758.5453)))-1))),NA())</f>
        <v/>
      </c>
      <c r="AU107" s="9">
        <f>IF(OR(Inputs!$F$8=TRUE,Inputs!$F$8="TRUE",Inputs!$F$8=1),IF(OR(Inputs!$C$27=TRUE,Inputs!$C$27="TRUE",Inputs!$C$27=1),1,0)*(Inputs!$C$51*(115*EXP(-(((Inputs!$C$6)-25)^2)/(4.5^2))+70*EXP(-(((Inputs!$C$6)+38)^2)/(7^2))*(0.55+0.45*SIN(2*PI()*((Inputs!$I$8+(((A107)+1)/2)*(Inputs!$J$8-Inputs!$I$8)))/45))+24*SIN(2*PI()*(Inputs!$C$6)/9+((Inputs!$I$8+(((A107)+1)/2)*(Inputs!$J$8-Inputs!$I$8)))/18)*EXP(-(((Inputs!$C$6)+5)^2)/(22^2))+18*SIN(2*PI()*((Inputs!$I$8+(((A107)+1)/2)*(Inputs!$J$8-Inputs!$I$8)))/70))+Inputs!$C$28*EXP(-((((Inputs!$I$8+(((A107)+1)/2)*(Inputs!$J$8-Inputs!$I$8)))-Inputs!$C$29)^2)/(2*Inputs!$C$31^2))*EXP(-(((Inputs!$C$6)-Inputs!$C$30)^2)/(2*Inputs!$C$32^2))+-Inputs!$C$33*EXP(-((((((Inputs!$I$8+(((A107)+1)/2)*(Inputs!$J$8-Inputs!$I$8)))-Inputs!$C$34)^2)+(((Inputs!$C$6)-Inputs!$C$35)^2))/(2*Inputs!$C$36^2)))+Inputs!$C$37*(0.55*SIN(2*PI()*((Inputs!$I$8+(((A107)+1)/2)*(Inputs!$J$8-Inputs!$I$8)))/Inputs!$C$39)+0.35*COS(2*PI()*(Inputs!$C$6)/Inputs!$C$40)+0.2*SIN(2*PI()*(((Inputs!$I$8+(((A107)+1)/2)*(Inputs!$J$8-Inputs!$I$8)))+(Inputs!$C$6))/(0.5*(Inputs!$C$39+Inputs!$C$40))))+Inputs!$C$38*SIN(2*PI()*((Inputs!$I$8+(((A107)+1)/2)*(Inputs!$J$8-Inputs!$I$8)))/Inputs!$C$39)*SIN(2*PI()*(Inputs!$C$6)/Inputs!$C$40)+-Inputs!$C$41*EXP(-(((Inputs!$C$6)-Inputs!$C$43)^2)/(2*Inputs!$C$44^2))*EXP(-((((Inputs!$I$8+(((A107)+1)/2)*(Inputs!$J$8-Inputs!$I$8)))-Inputs!$C$42)^2)/(2*Inputs!$C$45^2))+Inputs!$C$48*(0.7*(0.45*SIN(2*PI()*((((Inputs!$I$8+(((A107)+1)/2)*(Inputs!$J$8-Inputs!$I$8)))/Inputs!$C$49)+Inputs!$C$47*0.137))+0.35*COS(2*PI()*(((Inputs!$C$6)/Inputs!$C$50)+Inputs!$C$47*0.173))+0.2*SIN(2*PI()*((((Inputs!$I$8+(((A107)+1)/2)*(Inputs!$J$8-Inputs!$I$8)))+(Inputs!$C$6))/(0.5*(Inputs!$C$49+Inputs!$C$50))+Inputs!$C$47*0.097)))+0.3*(2*((SIN((((Inputs!$I$8+(((A107)+1)/2)*(Inputs!$J$8-Inputs!$I$8)))*12.9898+(Inputs!$C$6)*78.233+Inputs!$C$47*37.719))*43758.5453)-INT((SIN((((Inputs!$I$8+(((A107)+1)/2)*(Inputs!$J$8-Inputs!$I$8)))*12.9898+(Inputs!$C$6)*78.233+Inputs!$C$47*37.719))*43758.5453)))-1))),NA())</f>
        <v/>
      </c>
      <c r="AV107" s="9">
        <f>IF(OR(Inputs!$F$9=TRUE,Inputs!$F$9="TRUE",Inputs!$F$9=1),IF(OR(Inputs!$C$27=TRUE,Inputs!$C$27="TRUE",Inputs!$C$27=1),1,0)*(Inputs!$C$51*(115*EXP(-(((Inputs!$C$6)-25)^2)/(4.5^2))+70*EXP(-(((Inputs!$C$6)+38)^2)/(7^2))*(0.55+0.45*SIN(2*PI()*((Inputs!$I$9+(((A107)+1)/2)*(Inputs!$J$9-Inputs!$I$9)))/45))+24*SIN(2*PI()*(Inputs!$C$6)/9+((Inputs!$I$9+(((A107)+1)/2)*(Inputs!$J$9-Inputs!$I$9)))/18)*EXP(-(((Inputs!$C$6)+5)^2)/(22^2))+18*SIN(2*PI()*((Inputs!$I$9+(((A107)+1)/2)*(Inputs!$J$9-Inputs!$I$9)))/70))+Inputs!$C$28*EXP(-((((Inputs!$I$9+(((A107)+1)/2)*(Inputs!$J$9-Inputs!$I$9)))-Inputs!$C$29)^2)/(2*Inputs!$C$31^2))*EXP(-(((Inputs!$C$6)-Inputs!$C$30)^2)/(2*Inputs!$C$32^2))+-Inputs!$C$33*EXP(-((((((Inputs!$I$9+(((A107)+1)/2)*(Inputs!$J$9-Inputs!$I$9)))-Inputs!$C$34)^2)+(((Inputs!$C$6)-Inputs!$C$35)^2))/(2*Inputs!$C$36^2)))+Inputs!$C$37*(0.55*SIN(2*PI()*((Inputs!$I$9+(((A107)+1)/2)*(Inputs!$J$9-Inputs!$I$9)))/Inputs!$C$39)+0.35*COS(2*PI()*(Inputs!$C$6)/Inputs!$C$40)+0.2*SIN(2*PI()*(((Inputs!$I$9+(((A107)+1)/2)*(Inputs!$J$9-Inputs!$I$9)))+(Inputs!$C$6))/(0.5*(Inputs!$C$39+Inputs!$C$40))))+Inputs!$C$38*SIN(2*PI()*((Inputs!$I$9+(((A107)+1)/2)*(Inputs!$J$9-Inputs!$I$9)))/Inputs!$C$39)*SIN(2*PI()*(Inputs!$C$6)/Inputs!$C$40)+-Inputs!$C$41*EXP(-(((Inputs!$C$6)-Inputs!$C$43)^2)/(2*Inputs!$C$44^2))*EXP(-((((Inputs!$I$9+(((A107)+1)/2)*(Inputs!$J$9-Inputs!$I$9)))-Inputs!$C$42)^2)/(2*Inputs!$C$45^2))+Inputs!$C$48*(0.7*(0.45*SIN(2*PI()*((((Inputs!$I$9+(((A107)+1)/2)*(Inputs!$J$9-Inputs!$I$9)))/Inputs!$C$49)+Inputs!$C$47*0.137))+0.35*COS(2*PI()*(((Inputs!$C$6)/Inputs!$C$50)+Inputs!$C$47*0.173))+0.2*SIN(2*PI()*((((Inputs!$I$9+(((A107)+1)/2)*(Inputs!$J$9-Inputs!$I$9)))+(Inputs!$C$6))/(0.5*(Inputs!$C$49+Inputs!$C$50))+Inputs!$C$47*0.097)))+0.3*(2*((SIN((((Inputs!$I$9+(((A107)+1)/2)*(Inputs!$J$9-Inputs!$I$9)))*12.9898+(Inputs!$C$6)*78.233+Inputs!$C$47*37.719))*43758.5453)-INT((SIN((((Inputs!$I$9+(((A107)+1)/2)*(Inputs!$J$9-Inputs!$I$9)))*12.9898+(Inputs!$C$6)*78.233+Inputs!$C$47*37.719))*43758.5453)))-1))),NA())</f>
        <v/>
      </c>
      <c r="AW107" s="10" t="n"/>
      <c r="AX107" s="9">
        <f>A107</f>
        <v/>
      </c>
      <c r="AY107" s="9">
        <f>0</f>
        <v/>
      </c>
      <c r="AZ107" s="9">
        <f>IF(OR(Inputs!$F$6=TRUE,Inputs!$F$6="TRUE",Inputs!$F$6=1),(Inputs!$H$6+Inputs!$L$6*(((Inputs!$I$6+(((A107)+1)/2)*(Inputs!$J$6-Inputs!$I$6)))/Inputs!$K$6)^2),NA())</f>
        <v/>
      </c>
      <c r="BA107" s="9">
        <f>IF(OR(Inputs!$F$7=TRUE,Inputs!$F$7="TRUE",Inputs!$F$7=1),(Inputs!$H$7+Inputs!$L$7*(((Inputs!$I$7+(((A107)+1)/2)*(Inputs!$J$7-Inputs!$I$7)))/Inputs!$K$7)^2),NA())</f>
        <v/>
      </c>
      <c r="BB107" s="9">
        <f>IF(OR(Inputs!$F$8=TRUE,Inputs!$F$8="TRUE",Inputs!$F$8=1),(Inputs!$H$8+Inputs!$L$8*(((Inputs!$I$8+(((A107)+1)/2)*(Inputs!$J$8-Inputs!$I$8)))/Inputs!$K$8)^2),NA())</f>
        <v/>
      </c>
      <c r="BC107" s="9">
        <f>IF(OR(Inputs!$F$9=TRUE,Inputs!$F$9="TRUE",Inputs!$F$9=1),(Inputs!$H$9+Inputs!$L$9*(((Inputs!$I$9+(((A107)+1)/2)*(Inputs!$J$9-Inputs!$I$9)))/Inputs!$K$9)^2),NA())</f>
        <v/>
      </c>
      <c r="BD107" s="10" t="n"/>
      <c r="BE107" s="9">
        <f>A107</f>
        <v/>
      </c>
      <c r="BF107" s="9">
        <f>0</f>
        <v/>
      </c>
      <c r="BG107" s="9">
        <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f>
        <v/>
      </c>
      <c r="BH107" s="9">
        <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f>
        <v/>
      </c>
      <c r="BI107" s="9">
        <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f>
        <v/>
      </c>
      <c r="BJ107" s="9">
        <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f>
        <v/>
      </c>
    </row>
    <row r="108">
      <c r="A108" s="9">
        <f>ROUND(-1+106*2/240,3)</f>
        <v/>
      </c>
      <c r="B108" s="9">
        <f>IF(OR(Inputs!$F$6=TRUE,Inputs!$F$6="TRUE",Inputs!$F$6=1),(Inputs!$H$6+Inputs!$L$6*(((Inputs!$I$6+(((A108)+1)/2)*(Inputs!$J$6-Inputs!$I$6)))/Inputs!$K$6)^2),NA())</f>
        <v/>
      </c>
      <c r="C108" s="9">
        <f>IF(OR(Inputs!$F$7=TRUE,Inputs!$F$7="TRUE",Inputs!$F$7=1),(Inputs!$H$7+Inputs!$L$7*(((Inputs!$I$7+(((A108)+1)/2)*(Inputs!$J$7-Inputs!$I$7)))/Inputs!$K$7)^2),NA())</f>
        <v/>
      </c>
      <c r="D108" s="9">
        <f>IF(OR(Inputs!$F$8=TRUE,Inputs!$F$8="TRUE",Inputs!$F$8=1),(Inputs!$H$8+Inputs!$L$8*(((Inputs!$I$8+(((A108)+1)/2)*(Inputs!$J$8-Inputs!$I$8)))/Inputs!$K$8)^2),NA())</f>
        <v/>
      </c>
      <c r="E108" s="9">
        <f>IF(OR(Inputs!$F$9=TRUE,Inputs!$F$9="TRUE",Inputs!$F$9=1),(Inputs!$H$9+Inputs!$L$9*(((Inputs!$I$9+(((A108)+1)/2)*(Inputs!$J$9-Inputs!$I$9)))/Inputs!$K$9)^2),NA())</f>
        <v/>
      </c>
      <c r="F108" s="10" t="n"/>
      <c r="G108" s="9">
        <f>A108</f>
        <v/>
      </c>
      <c r="H108" s="9">
        <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f>
        <v/>
      </c>
      <c r="I108" s="9">
        <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f>
        <v/>
      </c>
      <c r="J108" s="9">
        <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f>
        <v/>
      </c>
      <c r="K108" s="9">
        <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f>
        <v/>
      </c>
      <c r="L108" s="10" t="n"/>
      <c r="M108" s="9">
        <f>A108</f>
        <v/>
      </c>
      <c r="N108" s="9">
        <f>IF(OR(Inputs!$F$6=TRUE,Inputs!$F$6="TRUE",Inputs!$F$6=1),(-2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NA())</f>
        <v/>
      </c>
      <c r="O108" s="9">
        <f>IF(OR(Inputs!$F$7=TRUE,Inputs!$F$7="TRUE",Inputs!$F$7=1),(-2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NA())</f>
        <v/>
      </c>
      <c r="P108" s="9">
        <f>IF(OR(Inputs!$F$8=TRUE,Inputs!$F$8="TRUE",Inputs!$F$8=1),(-2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NA())</f>
        <v/>
      </c>
      <c r="Q108" s="9">
        <f>IF(OR(Inputs!$F$9=TRUE,Inputs!$F$9="TRUE",Inputs!$F$9=1),(-2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NA())</f>
        <v/>
      </c>
      <c r="R108" s="10" t="n"/>
      <c r="S108" s="9">
        <f>A108</f>
        <v/>
      </c>
      <c r="T108" s="9">
        <f>(Inputs!$I$6+(((A108)+1)/2)*(Inputs!$J$6-Inputs!$I$6))</f>
        <v/>
      </c>
      <c r="U108" s="9">
        <f>(Inputs!$I$7+(((A108)+1)/2)*(Inputs!$J$7-Inputs!$I$7))</f>
        <v/>
      </c>
      <c r="V108" s="9">
        <f>(Inputs!$I$8+(((A108)+1)/2)*(Inputs!$J$8-Inputs!$I$8))</f>
        <v/>
      </c>
      <c r="W108" s="9">
        <f>(Inputs!$I$9+(((A108)+1)/2)*(Inputs!$J$9-Inputs!$I$9))</f>
        <v/>
      </c>
      <c r="X108" s="10" t="n"/>
      <c r="Y108" s="9">
        <f>A108</f>
        <v/>
      </c>
      <c r="Z108" s="9">
        <f>(Inputs!$H$6+Inputs!$L$6*(((Inputs!$I$6+(((A108)+1)/2)*(Inputs!$J$6-Inputs!$I$6)))/Inputs!$K$6)^2)</f>
        <v/>
      </c>
      <c r="AA108" s="9">
        <f>(Inputs!$H$7+Inputs!$L$7*(((Inputs!$I$7+(((A108)+1)/2)*(Inputs!$J$7-Inputs!$I$7)))/Inputs!$K$7)^2)</f>
        <v/>
      </c>
      <c r="AB108" s="9">
        <f>(Inputs!$H$8+Inputs!$L$8*(((Inputs!$I$8+(((A108)+1)/2)*(Inputs!$J$8-Inputs!$I$8)))/Inputs!$K$8)^2)</f>
        <v/>
      </c>
      <c r="AC108" s="9">
        <f>(Inputs!$H$9+Inputs!$L$9*(((Inputs!$I$9+(((A108)+1)/2)*(Inputs!$J$9-Inputs!$I$9)))/Inputs!$K$9)^2)</f>
        <v/>
      </c>
      <c r="AD108" s="10" t="n"/>
      <c r="AE108" s="9">
        <f>A108</f>
        <v/>
      </c>
      <c r="AF108" s="9">
        <f>(((SQRT((Inputs!$C$52+((Inputs!$H$6+Inputs!$L$6*(((Inputs!$I$6+(((A108)+1)/2)*(Inputs!$J$6-Inputs!$I$6)))/Inputs!$K$6)^2)))^2+Inputs!$C$52^2-2*(Inputs!$C$52+((Inputs!$H$6+Inputs!$L$6*(((Inputs!$I$6+(((A108)+1)/2)*(Inputs!$J$6-Inputs!$I$6)))/Inputs!$K$6)^2)))*Inputs!$C$52*COS(SQRT(((Inputs!$I$6+(((A108)+1)/2)*(Inputs!$J$6-Inputs!$I$6)))^2+Inputs!$C$6^2)/Inputs!$C$52)))-((Inputs!$H$6+Inputs!$L$6*(((Inputs!$I$6+(((A108)+1)/2)*(Inputs!$J$6-Inputs!$I$6)))/Inputs!$K$6)^2)))*1000/Inputs!$C$12)</f>
        <v/>
      </c>
      <c r="AG108" s="9">
        <f>(((SQRT((Inputs!$C$52+((Inputs!$H$7+Inputs!$L$7*(((Inputs!$I$7+(((A108)+1)/2)*(Inputs!$J$7-Inputs!$I$7)))/Inputs!$K$7)^2)))^2+Inputs!$C$52^2-2*(Inputs!$C$52+((Inputs!$H$7+Inputs!$L$7*(((Inputs!$I$7+(((A108)+1)/2)*(Inputs!$J$7-Inputs!$I$7)))/Inputs!$K$7)^2)))*Inputs!$C$52*COS(SQRT(((Inputs!$I$7+(((A108)+1)/2)*(Inputs!$J$7-Inputs!$I$7)))^2+Inputs!$C$6^2)/Inputs!$C$52)))-((Inputs!$H$7+Inputs!$L$7*(((Inputs!$I$7+(((A108)+1)/2)*(Inputs!$J$7-Inputs!$I$7)))/Inputs!$K$7)^2)))*1000/Inputs!$C$12)</f>
        <v/>
      </c>
      <c r="AH108" s="9">
        <f>(((SQRT((Inputs!$C$52+((Inputs!$H$8+Inputs!$L$8*(((Inputs!$I$8+(((A108)+1)/2)*(Inputs!$J$8-Inputs!$I$8)))/Inputs!$K$8)^2)))^2+Inputs!$C$52^2-2*(Inputs!$C$52+((Inputs!$H$8+Inputs!$L$8*(((Inputs!$I$8+(((A108)+1)/2)*(Inputs!$J$8-Inputs!$I$8)))/Inputs!$K$8)^2)))*Inputs!$C$52*COS(SQRT(((Inputs!$I$8+(((A108)+1)/2)*(Inputs!$J$8-Inputs!$I$8)))^2+Inputs!$C$6^2)/Inputs!$C$52)))-((Inputs!$H$8+Inputs!$L$8*(((Inputs!$I$8+(((A108)+1)/2)*(Inputs!$J$8-Inputs!$I$8)))/Inputs!$K$8)^2)))*1000/Inputs!$C$12)</f>
        <v/>
      </c>
      <c r="AI108" s="9">
        <f>(((SQRT((Inputs!$C$52+((Inputs!$H$9+Inputs!$L$9*(((Inputs!$I$9+(((A108)+1)/2)*(Inputs!$J$9-Inputs!$I$9)))/Inputs!$K$9)^2)))^2+Inputs!$C$52^2-2*(Inputs!$C$52+((Inputs!$H$9+Inputs!$L$9*(((Inputs!$I$9+(((A108)+1)/2)*(Inputs!$J$9-Inputs!$I$9)))/Inputs!$K$9)^2)))*Inputs!$C$52*COS(SQRT(((Inputs!$I$9+(((A108)+1)/2)*(Inputs!$J$9-Inputs!$I$9)))^2+Inputs!$C$6^2)/Inputs!$C$52)))-((Inputs!$H$9+Inputs!$L$9*(((Inputs!$I$9+(((A108)+1)/2)*(Inputs!$J$9-Inputs!$I$9)))/Inputs!$K$9)^2)))*1000/Inputs!$C$12)</f>
        <v/>
      </c>
      <c r="AJ108" s="10" t="n"/>
      <c r="AK108" s="9">
        <f>A108</f>
        <v/>
      </c>
      <c r="AL108" s="9">
        <f>(-2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f>
        <v/>
      </c>
      <c r="AM108" s="9">
        <f>(-2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f>
        <v/>
      </c>
      <c r="AN108" s="9">
        <f>(-2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f>
        <v/>
      </c>
      <c r="AO108" s="9">
        <f>(-2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f>
        <v/>
      </c>
      <c r="AP108" s="10" t="n"/>
      <c r="AQ108" s="9">
        <f>A108</f>
        <v/>
      </c>
      <c r="AR108" s="9">
        <f>0</f>
        <v/>
      </c>
      <c r="AS108" s="9">
        <f>IF(OR(Inputs!$F$6=TRUE,Inputs!$F$6="TRUE",Inputs!$F$6=1),IF(OR(Inputs!$C$27=TRUE,Inputs!$C$27="TRUE",Inputs!$C$27=1),1,0)*(Inputs!$C$51*(115*EXP(-(((Inputs!$C$6)-25)^2)/(4.5^2))+70*EXP(-(((Inputs!$C$6)+38)^2)/(7^2))*(0.55+0.45*SIN(2*PI()*((Inputs!$I$6+(((A108)+1)/2)*(Inputs!$J$6-Inputs!$I$6)))/45))+24*SIN(2*PI()*(Inputs!$C$6)/9+((Inputs!$I$6+(((A108)+1)/2)*(Inputs!$J$6-Inputs!$I$6)))/18)*EXP(-(((Inputs!$C$6)+5)^2)/(22^2))+18*SIN(2*PI()*((Inputs!$I$6+(((A108)+1)/2)*(Inputs!$J$6-Inputs!$I$6)))/70))+Inputs!$C$28*EXP(-((((Inputs!$I$6+(((A108)+1)/2)*(Inputs!$J$6-Inputs!$I$6)))-Inputs!$C$29)^2)/(2*Inputs!$C$31^2))*EXP(-(((Inputs!$C$6)-Inputs!$C$30)^2)/(2*Inputs!$C$32^2))+-Inputs!$C$33*EXP(-((((((Inputs!$I$6+(((A108)+1)/2)*(Inputs!$J$6-Inputs!$I$6)))-Inputs!$C$34)^2)+(((Inputs!$C$6)-Inputs!$C$35)^2))/(2*Inputs!$C$36^2)))+Inputs!$C$37*(0.55*SIN(2*PI()*((Inputs!$I$6+(((A108)+1)/2)*(Inputs!$J$6-Inputs!$I$6)))/Inputs!$C$39)+0.35*COS(2*PI()*(Inputs!$C$6)/Inputs!$C$40)+0.2*SIN(2*PI()*(((Inputs!$I$6+(((A108)+1)/2)*(Inputs!$J$6-Inputs!$I$6)))+(Inputs!$C$6))/(0.5*(Inputs!$C$39+Inputs!$C$40))))+Inputs!$C$38*SIN(2*PI()*((Inputs!$I$6+(((A108)+1)/2)*(Inputs!$J$6-Inputs!$I$6)))/Inputs!$C$39)*SIN(2*PI()*(Inputs!$C$6)/Inputs!$C$40)+-Inputs!$C$41*EXP(-(((Inputs!$C$6)-Inputs!$C$43)^2)/(2*Inputs!$C$44^2))*EXP(-((((Inputs!$I$6+(((A108)+1)/2)*(Inputs!$J$6-Inputs!$I$6)))-Inputs!$C$42)^2)/(2*Inputs!$C$45^2))+Inputs!$C$48*(0.7*(0.45*SIN(2*PI()*((((Inputs!$I$6+(((A108)+1)/2)*(Inputs!$J$6-Inputs!$I$6)))/Inputs!$C$49)+Inputs!$C$47*0.137))+0.35*COS(2*PI()*(((Inputs!$C$6)/Inputs!$C$50)+Inputs!$C$47*0.173))+0.2*SIN(2*PI()*((((Inputs!$I$6+(((A108)+1)/2)*(Inputs!$J$6-Inputs!$I$6)))+(Inputs!$C$6))/(0.5*(Inputs!$C$49+Inputs!$C$50))+Inputs!$C$47*0.097)))+0.3*(2*((SIN((((Inputs!$I$6+(((A108)+1)/2)*(Inputs!$J$6-Inputs!$I$6)))*12.9898+(Inputs!$C$6)*78.233+Inputs!$C$47*37.719))*43758.5453)-INT((SIN((((Inputs!$I$6+(((A108)+1)/2)*(Inputs!$J$6-Inputs!$I$6)))*12.9898+(Inputs!$C$6)*78.233+Inputs!$C$47*37.719))*43758.5453)))-1))),NA())</f>
        <v/>
      </c>
      <c r="AT108" s="9">
        <f>IF(OR(Inputs!$F$7=TRUE,Inputs!$F$7="TRUE",Inputs!$F$7=1),IF(OR(Inputs!$C$27=TRUE,Inputs!$C$27="TRUE",Inputs!$C$27=1),1,0)*(Inputs!$C$51*(115*EXP(-(((Inputs!$C$6)-25)^2)/(4.5^2))+70*EXP(-(((Inputs!$C$6)+38)^2)/(7^2))*(0.55+0.45*SIN(2*PI()*((Inputs!$I$7+(((A108)+1)/2)*(Inputs!$J$7-Inputs!$I$7)))/45))+24*SIN(2*PI()*(Inputs!$C$6)/9+((Inputs!$I$7+(((A108)+1)/2)*(Inputs!$J$7-Inputs!$I$7)))/18)*EXP(-(((Inputs!$C$6)+5)^2)/(22^2))+18*SIN(2*PI()*((Inputs!$I$7+(((A108)+1)/2)*(Inputs!$J$7-Inputs!$I$7)))/70))+Inputs!$C$28*EXP(-((((Inputs!$I$7+(((A108)+1)/2)*(Inputs!$J$7-Inputs!$I$7)))-Inputs!$C$29)^2)/(2*Inputs!$C$31^2))*EXP(-(((Inputs!$C$6)-Inputs!$C$30)^2)/(2*Inputs!$C$32^2))+-Inputs!$C$33*EXP(-((((((Inputs!$I$7+(((A108)+1)/2)*(Inputs!$J$7-Inputs!$I$7)))-Inputs!$C$34)^2)+(((Inputs!$C$6)-Inputs!$C$35)^2))/(2*Inputs!$C$36^2)))+Inputs!$C$37*(0.55*SIN(2*PI()*((Inputs!$I$7+(((A108)+1)/2)*(Inputs!$J$7-Inputs!$I$7)))/Inputs!$C$39)+0.35*COS(2*PI()*(Inputs!$C$6)/Inputs!$C$40)+0.2*SIN(2*PI()*(((Inputs!$I$7+(((A108)+1)/2)*(Inputs!$J$7-Inputs!$I$7)))+(Inputs!$C$6))/(0.5*(Inputs!$C$39+Inputs!$C$40))))+Inputs!$C$38*SIN(2*PI()*((Inputs!$I$7+(((A108)+1)/2)*(Inputs!$J$7-Inputs!$I$7)))/Inputs!$C$39)*SIN(2*PI()*(Inputs!$C$6)/Inputs!$C$40)+-Inputs!$C$41*EXP(-(((Inputs!$C$6)-Inputs!$C$43)^2)/(2*Inputs!$C$44^2))*EXP(-((((Inputs!$I$7+(((A108)+1)/2)*(Inputs!$J$7-Inputs!$I$7)))-Inputs!$C$42)^2)/(2*Inputs!$C$45^2))+Inputs!$C$48*(0.7*(0.45*SIN(2*PI()*((((Inputs!$I$7+(((A108)+1)/2)*(Inputs!$J$7-Inputs!$I$7)))/Inputs!$C$49)+Inputs!$C$47*0.137))+0.35*COS(2*PI()*(((Inputs!$C$6)/Inputs!$C$50)+Inputs!$C$47*0.173))+0.2*SIN(2*PI()*((((Inputs!$I$7+(((A108)+1)/2)*(Inputs!$J$7-Inputs!$I$7)))+(Inputs!$C$6))/(0.5*(Inputs!$C$49+Inputs!$C$50))+Inputs!$C$47*0.097)))+0.3*(2*((SIN((((Inputs!$I$7+(((A108)+1)/2)*(Inputs!$J$7-Inputs!$I$7)))*12.9898+(Inputs!$C$6)*78.233+Inputs!$C$47*37.719))*43758.5453)-INT((SIN((((Inputs!$I$7+(((A108)+1)/2)*(Inputs!$J$7-Inputs!$I$7)))*12.9898+(Inputs!$C$6)*78.233+Inputs!$C$47*37.719))*43758.5453)))-1))),NA())</f>
        <v/>
      </c>
      <c r="AU108" s="9">
        <f>IF(OR(Inputs!$F$8=TRUE,Inputs!$F$8="TRUE",Inputs!$F$8=1),IF(OR(Inputs!$C$27=TRUE,Inputs!$C$27="TRUE",Inputs!$C$27=1),1,0)*(Inputs!$C$51*(115*EXP(-(((Inputs!$C$6)-25)^2)/(4.5^2))+70*EXP(-(((Inputs!$C$6)+38)^2)/(7^2))*(0.55+0.45*SIN(2*PI()*((Inputs!$I$8+(((A108)+1)/2)*(Inputs!$J$8-Inputs!$I$8)))/45))+24*SIN(2*PI()*(Inputs!$C$6)/9+((Inputs!$I$8+(((A108)+1)/2)*(Inputs!$J$8-Inputs!$I$8)))/18)*EXP(-(((Inputs!$C$6)+5)^2)/(22^2))+18*SIN(2*PI()*((Inputs!$I$8+(((A108)+1)/2)*(Inputs!$J$8-Inputs!$I$8)))/70))+Inputs!$C$28*EXP(-((((Inputs!$I$8+(((A108)+1)/2)*(Inputs!$J$8-Inputs!$I$8)))-Inputs!$C$29)^2)/(2*Inputs!$C$31^2))*EXP(-(((Inputs!$C$6)-Inputs!$C$30)^2)/(2*Inputs!$C$32^2))+-Inputs!$C$33*EXP(-((((((Inputs!$I$8+(((A108)+1)/2)*(Inputs!$J$8-Inputs!$I$8)))-Inputs!$C$34)^2)+(((Inputs!$C$6)-Inputs!$C$35)^2))/(2*Inputs!$C$36^2)))+Inputs!$C$37*(0.55*SIN(2*PI()*((Inputs!$I$8+(((A108)+1)/2)*(Inputs!$J$8-Inputs!$I$8)))/Inputs!$C$39)+0.35*COS(2*PI()*(Inputs!$C$6)/Inputs!$C$40)+0.2*SIN(2*PI()*(((Inputs!$I$8+(((A108)+1)/2)*(Inputs!$J$8-Inputs!$I$8)))+(Inputs!$C$6))/(0.5*(Inputs!$C$39+Inputs!$C$40))))+Inputs!$C$38*SIN(2*PI()*((Inputs!$I$8+(((A108)+1)/2)*(Inputs!$J$8-Inputs!$I$8)))/Inputs!$C$39)*SIN(2*PI()*(Inputs!$C$6)/Inputs!$C$40)+-Inputs!$C$41*EXP(-(((Inputs!$C$6)-Inputs!$C$43)^2)/(2*Inputs!$C$44^2))*EXP(-((((Inputs!$I$8+(((A108)+1)/2)*(Inputs!$J$8-Inputs!$I$8)))-Inputs!$C$42)^2)/(2*Inputs!$C$45^2))+Inputs!$C$48*(0.7*(0.45*SIN(2*PI()*((((Inputs!$I$8+(((A108)+1)/2)*(Inputs!$J$8-Inputs!$I$8)))/Inputs!$C$49)+Inputs!$C$47*0.137))+0.35*COS(2*PI()*(((Inputs!$C$6)/Inputs!$C$50)+Inputs!$C$47*0.173))+0.2*SIN(2*PI()*((((Inputs!$I$8+(((A108)+1)/2)*(Inputs!$J$8-Inputs!$I$8)))+(Inputs!$C$6))/(0.5*(Inputs!$C$49+Inputs!$C$50))+Inputs!$C$47*0.097)))+0.3*(2*((SIN((((Inputs!$I$8+(((A108)+1)/2)*(Inputs!$J$8-Inputs!$I$8)))*12.9898+(Inputs!$C$6)*78.233+Inputs!$C$47*37.719))*43758.5453)-INT((SIN((((Inputs!$I$8+(((A108)+1)/2)*(Inputs!$J$8-Inputs!$I$8)))*12.9898+(Inputs!$C$6)*78.233+Inputs!$C$47*37.719))*43758.5453)))-1))),NA())</f>
        <v/>
      </c>
      <c r="AV108" s="9">
        <f>IF(OR(Inputs!$F$9=TRUE,Inputs!$F$9="TRUE",Inputs!$F$9=1),IF(OR(Inputs!$C$27=TRUE,Inputs!$C$27="TRUE",Inputs!$C$27=1),1,0)*(Inputs!$C$51*(115*EXP(-(((Inputs!$C$6)-25)^2)/(4.5^2))+70*EXP(-(((Inputs!$C$6)+38)^2)/(7^2))*(0.55+0.45*SIN(2*PI()*((Inputs!$I$9+(((A108)+1)/2)*(Inputs!$J$9-Inputs!$I$9)))/45))+24*SIN(2*PI()*(Inputs!$C$6)/9+((Inputs!$I$9+(((A108)+1)/2)*(Inputs!$J$9-Inputs!$I$9)))/18)*EXP(-(((Inputs!$C$6)+5)^2)/(22^2))+18*SIN(2*PI()*((Inputs!$I$9+(((A108)+1)/2)*(Inputs!$J$9-Inputs!$I$9)))/70))+Inputs!$C$28*EXP(-((((Inputs!$I$9+(((A108)+1)/2)*(Inputs!$J$9-Inputs!$I$9)))-Inputs!$C$29)^2)/(2*Inputs!$C$31^2))*EXP(-(((Inputs!$C$6)-Inputs!$C$30)^2)/(2*Inputs!$C$32^2))+-Inputs!$C$33*EXP(-((((((Inputs!$I$9+(((A108)+1)/2)*(Inputs!$J$9-Inputs!$I$9)))-Inputs!$C$34)^2)+(((Inputs!$C$6)-Inputs!$C$35)^2))/(2*Inputs!$C$36^2)))+Inputs!$C$37*(0.55*SIN(2*PI()*((Inputs!$I$9+(((A108)+1)/2)*(Inputs!$J$9-Inputs!$I$9)))/Inputs!$C$39)+0.35*COS(2*PI()*(Inputs!$C$6)/Inputs!$C$40)+0.2*SIN(2*PI()*(((Inputs!$I$9+(((A108)+1)/2)*(Inputs!$J$9-Inputs!$I$9)))+(Inputs!$C$6))/(0.5*(Inputs!$C$39+Inputs!$C$40))))+Inputs!$C$38*SIN(2*PI()*((Inputs!$I$9+(((A108)+1)/2)*(Inputs!$J$9-Inputs!$I$9)))/Inputs!$C$39)*SIN(2*PI()*(Inputs!$C$6)/Inputs!$C$40)+-Inputs!$C$41*EXP(-(((Inputs!$C$6)-Inputs!$C$43)^2)/(2*Inputs!$C$44^2))*EXP(-((((Inputs!$I$9+(((A108)+1)/2)*(Inputs!$J$9-Inputs!$I$9)))-Inputs!$C$42)^2)/(2*Inputs!$C$45^2))+Inputs!$C$48*(0.7*(0.45*SIN(2*PI()*((((Inputs!$I$9+(((A108)+1)/2)*(Inputs!$J$9-Inputs!$I$9)))/Inputs!$C$49)+Inputs!$C$47*0.137))+0.35*COS(2*PI()*(((Inputs!$C$6)/Inputs!$C$50)+Inputs!$C$47*0.173))+0.2*SIN(2*PI()*((((Inputs!$I$9+(((A108)+1)/2)*(Inputs!$J$9-Inputs!$I$9)))+(Inputs!$C$6))/(0.5*(Inputs!$C$49+Inputs!$C$50))+Inputs!$C$47*0.097)))+0.3*(2*((SIN((((Inputs!$I$9+(((A108)+1)/2)*(Inputs!$J$9-Inputs!$I$9)))*12.9898+(Inputs!$C$6)*78.233+Inputs!$C$47*37.719))*43758.5453)-INT((SIN((((Inputs!$I$9+(((A108)+1)/2)*(Inputs!$J$9-Inputs!$I$9)))*12.9898+(Inputs!$C$6)*78.233+Inputs!$C$47*37.719))*43758.5453)))-1))),NA())</f>
        <v/>
      </c>
      <c r="AW108" s="10" t="n"/>
      <c r="AX108" s="9">
        <f>A108</f>
        <v/>
      </c>
      <c r="AY108" s="9">
        <f>0</f>
        <v/>
      </c>
      <c r="AZ108" s="9">
        <f>IF(OR(Inputs!$F$6=TRUE,Inputs!$F$6="TRUE",Inputs!$F$6=1),(Inputs!$H$6+Inputs!$L$6*(((Inputs!$I$6+(((A108)+1)/2)*(Inputs!$J$6-Inputs!$I$6)))/Inputs!$K$6)^2),NA())</f>
        <v/>
      </c>
      <c r="BA108" s="9">
        <f>IF(OR(Inputs!$F$7=TRUE,Inputs!$F$7="TRUE",Inputs!$F$7=1),(Inputs!$H$7+Inputs!$L$7*(((Inputs!$I$7+(((A108)+1)/2)*(Inputs!$J$7-Inputs!$I$7)))/Inputs!$K$7)^2),NA())</f>
        <v/>
      </c>
      <c r="BB108" s="9">
        <f>IF(OR(Inputs!$F$8=TRUE,Inputs!$F$8="TRUE",Inputs!$F$8=1),(Inputs!$H$8+Inputs!$L$8*(((Inputs!$I$8+(((A108)+1)/2)*(Inputs!$J$8-Inputs!$I$8)))/Inputs!$K$8)^2),NA())</f>
        <v/>
      </c>
      <c r="BC108" s="9">
        <f>IF(OR(Inputs!$F$9=TRUE,Inputs!$F$9="TRUE",Inputs!$F$9=1),(Inputs!$H$9+Inputs!$L$9*(((Inputs!$I$9+(((A108)+1)/2)*(Inputs!$J$9-Inputs!$I$9)))/Inputs!$K$9)^2),NA())</f>
        <v/>
      </c>
      <c r="BD108" s="10" t="n"/>
      <c r="BE108" s="9">
        <f>A108</f>
        <v/>
      </c>
      <c r="BF108" s="9">
        <f>0</f>
        <v/>
      </c>
      <c r="BG108" s="9">
        <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f>
        <v/>
      </c>
      <c r="BH108" s="9">
        <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f>
        <v/>
      </c>
      <c r="BI108" s="9">
        <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f>
        <v/>
      </c>
      <c r="BJ108" s="9">
        <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f>
        <v/>
      </c>
    </row>
    <row r="109">
      <c r="A109" s="9">
        <f>ROUND(-1+107*2/240,3)</f>
        <v/>
      </c>
      <c r="B109" s="9">
        <f>IF(OR(Inputs!$F$6=TRUE,Inputs!$F$6="TRUE",Inputs!$F$6=1),(Inputs!$H$6+Inputs!$L$6*(((Inputs!$I$6+(((A109)+1)/2)*(Inputs!$J$6-Inputs!$I$6)))/Inputs!$K$6)^2),NA())</f>
        <v/>
      </c>
      <c r="C109" s="9">
        <f>IF(OR(Inputs!$F$7=TRUE,Inputs!$F$7="TRUE",Inputs!$F$7=1),(Inputs!$H$7+Inputs!$L$7*(((Inputs!$I$7+(((A109)+1)/2)*(Inputs!$J$7-Inputs!$I$7)))/Inputs!$K$7)^2),NA())</f>
        <v/>
      </c>
      <c r="D109" s="9">
        <f>IF(OR(Inputs!$F$8=TRUE,Inputs!$F$8="TRUE",Inputs!$F$8=1),(Inputs!$H$8+Inputs!$L$8*(((Inputs!$I$8+(((A109)+1)/2)*(Inputs!$J$8-Inputs!$I$8)))/Inputs!$K$8)^2),NA())</f>
        <v/>
      </c>
      <c r="E109" s="9">
        <f>IF(OR(Inputs!$F$9=TRUE,Inputs!$F$9="TRUE",Inputs!$F$9=1),(Inputs!$H$9+Inputs!$L$9*(((Inputs!$I$9+(((A109)+1)/2)*(Inputs!$J$9-Inputs!$I$9)))/Inputs!$K$9)^2),NA())</f>
        <v/>
      </c>
      <c r="F109" s="10" t="n"/>
      <c r="G109" s="9">
        <f>A109</f>
        <v/>
      </c>
      <c r="H109" s="9">
        <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f>
        <v/>
      </c>
      <c r="I109" s="9">
        <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f>
        <v/>
      </c>
      <c r="J109" s="9">
        <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f>
        <v/>
      </c>
      <c r="K109" s="9">
        <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f>
        <v/>
      </c>
      <c r="L109" s="10" t="n"/>
      <c r="M109" s="9">
        <f>A109</f>
        <v/>
      </c>
      <c r="N109" s="9">
        <f>IF(OR(Inputs!$F$6=TRUE,Inputs!$F$6="TRUE",Inputs!$F$6=1),(-2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NA())</f>
        <v/>
      </c>
      <c r="O109" s="9">
        <f>IF(OR(Inputs!$F$7=TRUE,Inputs!$F$7="TRUE",Inputs!$F$7=1),(-2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NA())</f>
        <v/>
      </c>
      <c r="P109" s="9">
        <f>IF(OR(Inputs!$F$8=TRUE,Inputs!$F$8="TRUE",Inputs!$F$8=1),(-2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NA())</f>
        <v/>
      </c>
      <c r="Q109" s="9">
        <f>IF(OR(Inputs!$F$9=TRUE,Inputs!$F$9="TRUE",Inputs!$F$9=1),(-2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NA())</f>
        <v/>
      </c>
      <c r="R109" s="10" t="n"/>
      <c r="S109" s="9">
        <f>A109</f>
        <v/>
      </c>
      <c r="T109" s="9">
        <f>(Inputs!$I$6+(((A109)+1)/2)*(Inputs!$J$6-Inputs!$I$6))</f>
        <v/>
      </c>
      <c r="U109" s="9">
        <f>(Inputs!$I$7+(((A109)+1)/2)*(Inputs!$J$7-Inputs!$I$7))</f>
        <v/>
      </c>
      <c r="V109" s="9">
        <f>(Inputs!$I$8+(((A109)+1)/2)*(Inputs!$J$8-Inputs!$I$8))</f>
        <v/>
      </c>
      <c r="W109" s="9">
        <f>(Inputs!$I$9+(((A109)+1)/2)*(Inputs!$J$9-Inputs!$I$9))</f>
        <v/>
      </c>
      <c r="X109" s="10" t="n"/>
      <c r="Y109" s="9">
        <f>A109</f>
        <v/>
      </c>
      <c r="Z109" s="9">
        <f>(Inputs!$H$6+Inputs!$L$6*(((Inputs!$I$6+(((A109)+1)/2)*(Inputs!$J$6-Inputs!$I$6)))/Inputs!$K$6)^2)</f>
        <v/>
      </c>
      <c r="AA109" s="9">
        <f>(Inputs!$H$7+Inputs!$L$7*(((Inputs!$I$7+(((A109)+1)/2)*(Inputs!$J$7-Inputs!$I$7)))/Inputs!$K$7)^2)</f>
        <v/>
      </c>
      <c r="AB109" s="9">
        <f>(Inputs!$H$8+Inputs!$L$8*(((Inputs!$I$8+(((A109)+1)/2)*(Inputs!$J$8-Inputs!$I$8)))/Inputs!$K$8)^2)</f>
        <v/>
      </c>
      <c r="AC109" s="9">
        <f>(Inputs!$H$9+Inputs!$L$9*(((Inputs!$I$9+(((A109)+1)/2)*(Inputs!$J$9-Inputs!$I$9)))/Inputs!$K$9)^2)</f>
        <v/>
      </c>
      <c r="AD109" s="10" t="n"/>
      <c r="AE109" s="9">
        <f>A109</f>
        <v/>
      </c>
      <c r="AF109" s="9">
        <f>(((SQRT((Inputs!$C$52+((Inputs!$H$6+Inputs!$L$6*(((Inputs!$I$6+(((A109)+1)/2)*(Inputs!$J$6-Inputs!$I$6)))/Inputs!$K$6)^2)))^2+Inputs!$C$52^2-2*(Inputs!$C$52+((Inputs!$H$6+Inputs!$L$6*(((Inputs!$I$6+(((A109)+1)/2)*(Inputs!$J$6-Inputs!$I$6)))/Inputs!$K$6)^2)))*Inputs!$C$52*COS(SQRT(((Inputs!$I$6+(((A109)+1)/2)*(Inputs!$J$6-Inputs!$I$6)))^2+Inputs!$C$6^2)/Inputs!$C$52)))-((Inputs!$H$6+Inputs!$L$6*(((Inputs!$I$6+(((A109)+1)/2)*(Inputs!$J$6-Inputs!$I$6)))/Inputs!$K$6)^2)))*1000/Inputs!$C$12)</f>
        <v/>
      </c>
      <c r="AG109" s="9">
        <f>(((SQRT((Inputs!$C$52+((Inputs!$H$7+Inputs!$L$7*(((Inputs!$I$7+(((A109)+1)/2)*(Inputs!$J$7-Inputs!$I$7)))/Inputs!$K$7)^2)))^2+Inputs!$C$52^2-2*(Inputs!$C$52+((Inputs!$H$7+Inputs!$L$7*(((Inputs!$I$7+(((A109)+1)/2)*(Inputs!$J$7-Inputs!$I$7)))/Inputs!$K$7)^2)))*Inputs!$C$52*COS(SQRT(((Inputs!$I$7+(((A109)+1)/2)*(Inputs!$J$7-Inputs!$I$7)))^2+Inputs!$C$6^2)/Inputs!$C$52)))-((Inputs!$H$7+Inputs!$L$7*(((Inputs!$I$7+(((A109)+1)/2)*(Inputs!$J$7-Inputs!$I$7)))/Inputs!$K$7)^2)))*1000/Inputs!$C$12)</f>
        <v/>
      </c>
      <c r="AH109" s="9">
        <f>(((SQRT((Inputs!$C$52+((Inputs!$H$8+Inputs!$L$8*(((Inputs!$I$8+(((A109)+1)/2)*(Inputs!$J$8-Inputs!$I$8)))/Inputs!$K$8)^2)))^2+Inputs!$C$52^2-2*(Inputs!$C$52+((Inputs!$H$8+Inputs!$L$8*(((Inputs!$I$8+(((A109)+1)/2)*(Inputs!$J$8-Inputs!$I$8)))/Inputs!$K$8)^2)))*Inputs!$C$52*COS(SQRT(((Inputs!$I$8+(((A109)+1)/2)*(Inputs!$J$8-Inputs!$I$8)))^2+Inputs!$C$6^2)/Inputs!$C$52)))-((Inputs!$H$8+Inputs!$L$8*(((Inputs!$I$8+(((A109)+1)/2)*(Inputs!$J$8-Inputs!$I$8)))/Inputs!$K$8)^2)))*1000/Inputs!$C$12)</f>
        <v/>
      </c>
      <c r="AI109" s="9">
        <f>(((SQRT((Inputs!$C$52+((Inputs!$H$9+Inputs!$L$9*(((Inputs!$I$9+(((A109)+1)/2)*(Inputs!$J$9-Inputs!$I$9)))/Inputs!$K$9)^2)))^2+Inputs!$C$52^2-2*(Inputs!$C$52+((Inputs!$H$9+Inputs!$L$9*(((Inputs!$I$9+(((A109)+1)/2)*(Inputs!$J$9-Inputs!$I$9)))/Inputs!$K$9)^2)))*Inputs!$C$52*COS(SQRT(((Inputs!$I$9+(((A109)+1)/2)*(Inputs!$J$9-Inputs!$I$9)))^2+Inputs!$C$6^2)/Inputs!$C$52)))-((Inputs!$H$9+Inputs!$L$9*(((Inputs!$I$9+(((A109)+1)/2)*(Inputs!$J$9-Inputs!$I$9)))/Inputs!$K$9)^2)))*1000/Inputs!$C$12)</f>
        <v/>
      </c>
      <c r="AJ109" s="10" t="n"/>
      <c r="AK109" s="9">
        <f>A109</f>
        <v/>
      </c>
      <c r="AL109" s="9">
        <f>(-2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f>
        <v/>
      </c>
      <c r="AM109" s="9">
        <f>(-2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f>
        <v/>
      </c>
      <c r="AN109" s="9">
        <f>(-2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f>
        <v/>
      </c>
      <c r="AO109" s="9">
        <f>(-2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f>
        <v/>
      </c>
      <c r="AP109" s="10" t="n"/>
      <c r="AQ109" s="9">
        <f>A109</f>
        <v/>
      </c>
      <c r="AR109" s="9">
        <f>0</f>
        <v/>
      </c>
      <c r="AS109" s="9">
        <f>IF(OR(Inputs!$F$6=TRUE,Inputs!$F$6="TRUE",Inputs!$F$6=1),IF(OR(Inputs!$C$27=TRUE,Inputs!$C$27="TRUE",Inputs!$C$27=1),1,0)*(Inputs!$C$51*(115*EXP(-(((Inputs!$C$6)-25)^2)/(4.5^2))+70*EXP(-(((Inputs!$C$6)+38)^2)/(7^2))*(0.55+0.45*SIN(2*PI()*((Inputs!$I$6+(((A109)+1)/2)*(Inputs!$J$6-Inputs!$I$6)))/45))+24*SIN(2*PI()*(Inputs!$C$6)/9+((Inputs!$I$6+(((A109)+1)/2)*(Inputs!$J$6-Inputs!$I$6)))/18)*EXP(-(((Inputs!$C$6)+5)^2)/(22^2))+18*SIN(2*PI()*((Inputs!$I$6+(((A109)+1)/2)*(Inputs!$J$6-Inputs!$I$6)))/70))+Inputs!$C$28*EXP(-((((Inputs!$I$6+(((A109)+1)/2)*(Inputs!$J$6-Inputs!$I$6)))-Inputs!$C$29)^2)/(2*Inputs!$C$31^2))*EXP(-(((Inputs!$C$6)-Inputs!$C$30)^2)/(2*Inputs!$C$32^2))+-Inputs!$C$33*EXP(-((((((Inputs!$I$6+(((A109)+1)/2)*(Inputs!$J$6-Inputs!$I$6)))-Inputs!$C$34)^2)+(((Inputs!$C$6)-Inputs!$C$35)^2))/(2*Inputs!$C$36^2)))+Inputs!$C$37*(0.55*SIN(2*PI()*((Inputs!$I$6+(((A109)+1)/2)*(Inputs!$J$6-Inputs!$I$6)))/Inputs!$C$39)+0.35*COS(2*PI()*(Inputs!$C$6)/Inputs!$C$40)+0.2*SIN(2*PI()*(((Inputs!$I$6+(((A109)+1)/2)*(Inputs!$J$6-Inputs!$I$6)))+(Inputs!$C$6))/(0.5*(Inputs!$C$39+Inputs!$C$40))))+Inputs!$C$38*SIN(2*PI()*((Inputs!$I$6+(((A109)+1)/2)*(Inputs!$J$6-Inputs!$I$6)))/Inputs!$C$39)*SIN(2*PI()*(Inputs!$C$6)/Inputs!$C$40)+-Inputs!$C$41*EXP(-(((Inputs!$C$6)-Inputs!$C$43)^2)/(2*Inputs!$C$44^2))*EXP(-((((Inputs!$I$6+(((A109)+1)/2)*(Inputs!$J$6-Inputs!$I$6)))-Inputs!$C$42)^2)/(2*Inputs!$C$45^2))+Inputs!$C$48*(0.7*(0.45*SIN(2*PI()*((((Inputs!$I$6+(((A109)+1)/2)*(Inputs!$J$6-Inputs!$I$6)))/Inputs!$C$49)+Inputs!$C$47*0.137))+0.35*COS(2*PI()*(((Inputs!$C$6)/Inputs!$C$50)+Inputs!$C$47*0.173))+0.2*SIN(2*PI()*((((Inputs!$I$6+(((A109)+1)/2)*(Inputs!$J$6-Inputs!$I$6)))+(Inputs!$C$6))/(0.5*(Inputs!$C$49+Inputs!$C$50))+Inputs!$C$47*0.097)))+0.3*(2*((SIN((((Inputs!$I$6+(((A109)+1)/2)*(Inputs!$J$6-Inputs!$I$6)))*12.9898+(Inputs!$C$6)*78.233+Inputs!$C$47*37.719))*43758.5453)-INT((SIN((((Inputs!$I$6+(((A109)+1)/2)*(Inputs!$J$6-Inputs!$I$6)))*12.9898+(Inputs!$C$6)*78.233+Inputs!$C$47*37.719))*43758.5453)))-1))),NA())</f>
        <v/>
      </c>
      <c r="AT109" s="9">
        <f>IF(OR(Inputs!$F$7=TRUE,Inputs!$F$7="TRUE",Inputs!$F$7=1),IF(OR(Inputs!$C$27=TRUE,Inputs!$C$27="TRUE",Inputs!$C$27=1),1,0)*(Inputs!$C$51*(115*EXP(-(((Inputs!$C$6)-25)^2)/(4.5^2))+70*EXP(-(((Inputs!$C$6)+38)^2)/(7^2))*(0.55+0.45*SIN(2*PI()*((Inputs!$I$7+(((A109)+1)/2)*(Inputs!$J$7-Inputs!$I$7)))/45))+24*SIN(2*PI()*(Inputs!$C$6)/9+((Inputs!$I$7+(((A109)+1)/2)*(Inputs!$J$7-Inputs!$I$7)))/18)*EXP(-(((Inputs!$C$6)+5)^2)/(22^2))+18*SIN(2*PI()*((Inputs!$I$7+(((A109)+1)/2)*(Inputs!$J$7-Inputs!$I$7)))/70))+Inputs!$C$28*EXP(-((((Inputs!$I$7+(((A109)+1)/2)*(Inputs!$J$7-Inputs!$I$7)))-Inputs!$C$29)^2)/(2*Inputs!$C$31^2))*EXP(-(((Inputs!$C$6)-Inputs!$C$30)^2)/(2*Inputs!$C$32^2))+-Inputs!$C$33*EXP(-((((((Inputs!$I$7+(((A109)+1)/2)*(Inputs!$J$7-Inputs!$I$7)))-Inputs!$C$34)^2)+(((Inputs!$C$6)-Inputs!$C$35)^2))/(2*Inputs!$C$36^2)))+Inputs!$C$37*(0.55*SIN(2*PI()*((Inputs!$I$7+(((A109)+1)/2)*(Inputs!$J$7-Inputs!$I$7)))/Inputs!$C$39)+0.35*COS(2*PI()*(Inputs!$C$6)/Inputs!$C$40)+0.2*SIN(2*PI()*(((Inputs!$I$7+(((A109)+1)/2)*(Inputs!$J$7-Inputs!$I$7)))+(Inputs!$C$6))/(0.5*(Inputs!$C$39+Inputs!$C$40))))+Inputs!$C$38*SIN(2*PI()*((Inputs!$I$7+(((A109)+1)/2)*(Inputs!$J$7-Inputs!$I$7)))/Inputs!$C$39)*SIN(2*PI()*(Inputs!$C$6)/Inputs!$C$40)+-Inputs!$C$41*EXP(-(((Inputs!$C$6)-Inputs!$C$43)^2)/(2*Inputs!$C$44^2))*EXP(-((((Inputs!$I$7+(((A109)+1)/2)*(Inputs!$J$7-Inputs!$I$7)))-Inputs!$C$42)^2)/(2*Inputs!$C$45^2))+Inputs!$C$48*(0.7*(0.45*SIN(2*PI()*((((Inputs!$I$7+(((A109)+1)/2)*(Inputs!$J$7-Inputs!$I$7)))/Inputs!$C$49)+Inputs!$C$47*0.137))+0.35*COS(2*PI()*(((Inputs!$C$6)/Inputs!$C$50)+Inputs!$C$47*0.173))+0.2*SIN(2*PI()*((((Inputs!$I$7+(((A109)+1)/2)*(Inputs!$J$7-Inputs!$I$7)))+(Inputs!$C$6))/(0.5*(Inputs!$C$49+Inputs!$C$50))+Inputs!$C$47*0.097)))+0.3*(2*((SIN((((Inputs!$I$7+(((A109)+1)/2)*(Inputs!$J$7-Inputs!$I$7)))*12.9898+(Inputs!$C$6)*78.233+Inputs!$C$47*37.719))*43758.5453)-INT((SIN((((Inputs!$I$7+(((A109)+1)/2)*(Inputs!$J$7-Inputs!$I$7)))*12.9898+(Inputs!$C$6)*78.233+Inputs!$C$47*37.719))*43758.5453)))-1))),NA())</f>
        <v/>
      </c>
      <c r="AU109" s="9">
        <f>IF(OR(Inputs!$F$8=TRUE,Inputs!$F$8="TRUE",Inputs!$F$8=1),IF(OR(Inputs!$C$27=TRUE,Inputs!$C$27="TRUE",Inputs!$C$27=1),1,0)*(Inputs!$C$51*(115*EXP(-(((Inputs!$C$6)-25)^2)/(4.5^2))+70*EXP(-(((Inputs!$C$6)+38)^2)/(7^2))*(0.55+0.45*SIN(2*PI()*((Inputs!$I$8+(((A109)+1)/2)*(Inputs!$J$8-Inputs!$I$8)))/45))+24*SIN(2*PI()*(Inputs!$C$6)/9+((Inputs!$I$8+(((A109)+1)/2)*(Inputs!$J$8-Inputs!$I$8)))/18)*EXP(-(((Inputs!$C$6)+5)^2)/(22^2))+18*SIN(2*PI()*((Inputs!$I$8+(((A109)+1)/2)*(Inputs!$J$8-Inputs!$I$8)))/70))+Inputs!$C$28*EXP(-((((Inputs!$I$8+(((A109)+1)/2)*(Inputs!$J$8-Inputs!$I$8)))-Inputs!$C$29)^2)/(2*Inputs!$C$31^2))*EXP(-(((Inputs!$C$6)-Inputs!$C$30)^2)/(2*Inputs!$C$32^2))+-Inputs!$C$33*EXP(-((((((Inputs!$I$8+(((A109)+1)/2)*(Inputs!$J$8-Inputs!$I$8)))-Inputs!$C$34)^2)+(((Inputs!$C$6)-Inputs!$C$35)^2))/(2*Inputs!$C$36^2)))+Inputs!$C$37*(0.55*SIN(2*PI()*((Inputs!$I$8+(((A109)+1)/2)*(Inputs!$J$8-Inputs!$I$8)))/Inputs!$C$39)+0.35*COS(2*PI()*(Inputs!$C$6)/Inputs!$C$40)+0.2*SIN(2*PI()*(((Inputs!$I$8+(((A109)+1)/2)*(Inputs!$J$8-Inputs!$I$8)))+(Inputs!$C$6))/(0.5*(Inputs!$C$39+Inputs!$C$40))))+Inputs!$C$38*SIN(2*PI()*((Inputs!$I$8+(((A109)+1)/2)*(Inputs!$J$8-Inputs!$I$8)))/Inputs!$C$39)*SIN(2*PI()*(Inputs!$C$6)/Inputs!$C$40)+-Inputs!$C$41*EXP(-(((Inputs!$C$6)-Inputs!$C$43)^2)/(2*Inputs!$C$44^2))*EXP(-((((Inputs!$I$8+(((A109)+1)/2)*(Inputs!$J$8-Inputs!$I$8)))-Inputs!$C$42)^2)/(2*Inputs!$C$45^2))+Inputs!$C$48*(0.7*(0.45*SIN(2*PI()*((((Inputs!$I$8+(((A109)+1)/2)*(Inputs!$J$8-Inputs!$I$8)))/Inputs!$C$49)+Inputs!$C$47*0.137))+0.35*COS(2*PI()*(((Inputs!$C$6)/Inputs!$C$50)+Inputs!$C$47*0.173))+0.2*SIN(2*PI()*((((Inputs!$I$8+(((A109)+1)/2)*(Inputs!$J$8-Inputs!$I$8)))+(Inputs!$C$6))/(0.5*(Inputs!$C$49+Inputs!$C$50))+Inputs!$C$47*0.097)))+0.3*(2*((SIN((((Inputs!$I$8+(((A109)+1)/2)*(Inputs!$J$8-Inputs!$I$8)))*12.9898+(Inputs!$C$6)*78.233+Inputs!$C$47*37.719))*43758.5453)-INT((SIN((((Inputs!$I$8+(((A109)+1)/2)*(Inputs!$J$8-Inputs!$I$8)))*12.9898+(Inputs!$C$6)*78.233+Inputs!$C$47*37.719))*43758.5453)))-1))),NA())</f>
        <v/>
      </c>
      <c r="AV109" s="9">
        <f>IF(OR(Inputs!$F$9=TRUE,Inputs!$F$9="TRUE",Inputs!$F$9=1),IF(OR(Inputs!$C$27=TRUE,Inputs!$C$27="TRUE",Inputs!$C$27=1),1,0)*(Inputs!$C$51*(115*EXP(-(((Inputs!$C$6)-25)^2)/(4.5^2))+70*EXP(-(((Inputs!$C$6)+38)^2)/(7^2))*(0.55+0.45*SIN(2*PI()*((Inputs!$I$9+(((A109)+1)/2)*(Inputs!$J$9-Inputs!$I$9)))/45))+24*SIN(2*PI()*(Inputs!$C$6)/9+((Inputs!$I$9+(((A109)+1)/2)*(Inputs!$J$9-Inputs!$I$9)))/18)*EXP(-(((Inputs!$C$6)+5)^2)/(22^2))+18*SIN(2*PI()*((Inputs!$I$9+(((A109)+1)/2)*(Inputs!$J$9-Inputs!$I$9)))/70))+Inputs!$C$28*EXP(-((((Inputs!$I$9+(((A109)+1)/2)*(Inputs!$J$9-Inputs!$I$9)))-Inputs!$C$29)^2)/(2*Inputs!$C$31^2))*EXP(-(((Inputs!$C$6)-Inputs!$C$30)^2)/(2*Inputs!$C$32^2))+-Inputs!$C$33*EXP(-((((((Inputs!$I$9+(((A109)+1)/2)*(Inputs!$J$9-Inputs!$I$9)))-Inputs!$C$34)^2)+(((Inputs!$C$6)-Inputs!$C$35)^2))/(2*Inputs!$C$36^2)))+Inputs!$C$37*(0.55*SIN(2*PI()*((Inputs!$I$9+(((A109)+1)/2)*(Inputs!$J$9-Inputs!$I$9)))/Inputs!$C$39)+0.35*COS(2*PI()*(Inputs!$C$6)/Inputs!$C$40)+0.2*SIN(2*PI()*(((Inputs!$I$9+(((A109)+1)/2)*(Inputs!$J$9-Inputs!$I$9)))+(Inputs!$C$6))/(0.5*(Inputs!$C$39+Inputs!$C$40))))+Inputs!$C$38*SIN(2*PI()*((Inputs!$I$9+(((A109)+1)/2)*(Inputs!$J$9-Inputs!$I$9)))/Inputs!$C$39)*SIN(2*PI()*(Inputs!$C$6)/Inputs!$C$40)+-Inputs!$C$41*EXP(-(((Inputs!$C$6)-Inputs!$C$43)^2)/(2*Inputs!$C$44^2))*EXP(-((((Inputs!$I$9+(((A109)+1)/2)*(Inputs!$J$9-Inputs!$I$9)))-Inputs!$C$42)^2)/(2*Inputs!$C$45^2))+Inputs!$C$48*(0.7*(0.45*SIN(2*PI()*((((Inputs!$I$9+(((A109)+1)/2)*(Inputs!$J$9-Inputs!$I$9)))/Inputs!$C$49)+Inputs!$C$47*0.137))+0.35*COS(2*PI()*(((Inputs!$C$6)/Inputs!$C$50)+Inputs!$C$47*0.173))+0.2*SIN(2*PI()*((((Inputs!$I$9+(((A109)+1)/2)*(Inputs!$J$9-Inputs!$I$9)))+(Inputs!$C$6))/(0.5*(Inputs!$C$49+Inputs!$C$50))+Inputs!$C$47*0.097)))+0.3*(2*((SIN((((Inputs!$I$9+(((A109)+1)/2)*(Inputs!$J$9-Inputs!$I$9)))*12.9898+(Inputs!$C$6)*78.233+Inputs!$C$47*37.719))*43758.5453)-INT((SIN((((Inputs!$I$9+(((A109)+1)/2)*(Inputs!$J$9-Inputs!$I$9)))*12.9898+(Inputs!$C$6)*78.233+Inputs!$C$47*37.719))*43758.5453)))-1))),NA())</f>
        <v/>
      </c>
      <c r="AW109" s="10" t="n"/>
      <c r="AX109" s="9">
        <f>A109</f>
        <v/>
      </c>
      <c r="AY109" s="9">
        <f>0</f>
        <v/>
      </c>
      <c r="AZ109" s="9">
        <f>IF(OR(Inputs!$F$6=TRUE,Inputs!$F$6="TRUE",Inputs!$F$6=1),(Inputs!$H$6+Inputs!$L$6*(((Inputs!$I$6+(((A109)+1)/2)*(Inputs!$J$6-Inputs!$I$6)))/Inputs!$K$6)^2),NA())</f>
        <v/>
      </c>
      <c r="BA109" s="9">
        <f>IF(OR(Inputs!$F$7=TRUE,Inputs!$F$7="TRUE",Inputs!$F$7=1),(Inputs!$H$7+Inputs!$L$7*(((Inputs!$I$7+(((A109)+1)/2)*(Inputs!$J$7-Inputs!$I$7)))/Inputs!$K$7)^2),NA())</f>
        <v/>
      </c>
      <c r="BB109" s="9">
        <f>IF(OR(Inputs!$F$8=TRUE,Inputs!$F$8="TRUE",Inputs!$F$8=1),(Inputs!$H$8+Inputs!$L$8*(((Inputs!$I$8+(((A109)+1)/2)*(Inputs!$J$8-Inputs!$I$8)))/Inputs!$K$8)^2),NA())</f>
        <v/>
      </c>
      <c r="BC109" s="9">
        <f>IF(OR(Inputs!$F$9=TRUE,Inputs!$F$9="TRUE",Inputs!$F$9=1),(Inputs!$H$9+Inputs!$L$9*(((Inputs!$I$9+(((A109)+1)/2)*(Inputs!$J$9-Inputs!$I$9)))/Inputs!$K$9)^2),NA())</f>
        <v/>
      </c>
      <c r="BD109" s="10" t="n"/>
      <c r="BE109" s="9">
        <f>A109</f>
        <v/>
      </c>
      <c r="BF109" s="9">
        <f>0</f>
        <v/>
      </c>
      <c r="BG109" s="9">
        <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f>
        <v/>
      </c>
      <c r="BH109" s="9">
        <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f>
        <v/>
      </c>
      <c r="BI109" s="9">
        <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f>
        <v/>
      </c>
      <c r="BJ109" s="9">
        <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f>
        <v/>
      </c>
    </row>
    <row r="110">
      <c r="A110" s="9">
        <f>ROUND(-1+108*2/240,3)</f>
        <v/>
      </c>
      <c r="B110" s="9">
        <f>IF(OR(Inputs!$F$6=TRUE,Inputs!$F$6="TRUE",Inputs!$F$6=1),(Inputs!$H$6+Inputs!$L$6*(((Inputs!$I$6+(((A110)+1)/2)*(Inputs!$J$6-Inputs!$I$6)))/Inputs!$K$6)^2),NA())</f>
        <v/>
      </c>
      <c r="C110" s="9">
        <f>IF(OR(Inputs!$F$7=TRUE,Inputs!$F$7="TRUE",Inputs!$F$7=1),(Inputs!$H$7+Inputs!$L$7*(((Inputs!$I$7+(((A110)+1)/2)*(Inputs!$J$7-Inputs!$I$7)))/Inputs!$K$7)^2),NA())</f>
        <v/>
      </c>
      <c r="D110" s="9">
        <f>IF(OR(Inputs!$F$8=TRUE,Inputs!$F$8="TRUE",Inputs!$F$8=1),(Inputs!$H$8+Inputs!$L$8*(((Inputs!$I$8+(((A110)+1)/2)*(Inputs!$J$8-Inputs!$I$8)))/Inputs!$K$8)^2),NA())</f>
        <v/>
      </c>
      <c r="E110" s="9">
        <f>IF(OR(Inputs!$F$9=TRUE,Inputs!$F$9="TRUE",Inputs!$F$9=1),(Inputs!$H$9+Inputs!$L$9*(((Inputs!$I$9+(((A110)+1)/2)*(Inputs!$J$9-Inputs!$I$9)))/Inputs!$K$9)^2),NA())</f>
        <v/>
      </c>
      <c r="F110" s="10" t="n"/>
      <c r="G110" s="9">
        <f>A110</f>
        <v/>
      </c>
      <c r="H110" s="9">
        <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f>
        <v/>
      </c>
      <c r="I110" s="9">
        <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f>
        <v/>
      </c>
      <c r="J110" s="9">
        <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f>
        <v/>
      </c>
      <c r="K110" s="9">
        <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f>
        <v/>
      </c>
      <c r="L110" s="10" t="n"/>
      <c r="M110" s="9">
        <f>A110</f>
        <v/>
      </c>
      <c r="N110" s="9">
        <f>IF(OR(Inputs!$F$6=TRUE,Inputs!$F$6="TRUE",Inputs!$F$6=1),(-2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NA())</f>
        <v/>
      </c>
      <c r="O110" s="9">
        <f>IF(OR(Inputs!$F$7=TRUE,Inputs!$F$7="TRUE",Inputs!$F$7=1),(-2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NA())</f>
        <v/>
      </c>
      <c r="P110" s="9">
        <f>IF(OR(Inputs!$F$8=TRUE,Inputs!$F$8="TRUE",Inputs!$F$8=1),(-2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NA())</f>
        <v/>
      </c>
      <c r="Q110" s="9">
        <f>IF(OR(Inputs!$F$9=TRUE,Inputs!$F$9="TRUE",Inputs!$F$9=1),(-2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NA())</f>
        <v/>
      </c>
      <c r="R110" s="10" t="n"/>
      <c r="S110" s="9">
        <f>A110</f>
        <v/>
      </c>
      <c r="T110" s="9">
        <f>(Inputs!$I$6+(((A110)+1)/2)*(Inputs!$J$6-Inputs!$I$6))</f>
        <v/>
      </c>
      <c r="U110" s="9">
        <f>(Inputs!$I$7+(((A110)+1)/2)*(Inputs!$J$7-Inputs!$I$7))</f>
        <v/>
      </c>
      <c r="V110" s="9">
        <f>(Inputs!$I$8+(((A110)+1)/2)*(Inputs!$J$8-Inputs!$I$8))</f>
        <v/>
      </c>
      <c r="W110" s="9">
        <f>(Inputs!$I$9+(((A110)+1)/2)*(Inputs!$J$9-Inputs!$I$9))</f>
        <v/>
      </c>
      <c r="X110" s="10" t="n"/>
      <c r="Y110" s="9">
        <f>A110</f>
        <v/>
      </c>
      <c r="Z110" s="9">
        <f>(Inputs!$H$6+Inputs!$L$6*(((Inputs!$I$6+(((A110)+1)/2)*(Inputs!$J$6-Inputs!$I$6)))/Inputs!$K$6)^2)</f>
        <v/>
      </c>
      <c r="AA110" s="9">
        <f>(Inputs!$H$7+Inputs!$L$7*(((Inputs!$I$7+(((A110)+1)/2)*(Inputs!$J$7-Inputs!$I$7)))/Inputs!$K$7)^2)</f>
        <v/>
      </c>
      <c r="AB110" s="9">
        <f>(Inputs!$H$8+Inputs!$L$8*(((Inputs!$I$8+(((A110)+1)/2)*(Inputs!$J$8-Inputs!$I$8)))/Inputs!$K$8)^2)</f>
        <v/>
      </c>
      <c r="AC110" s="9">
        <f>(Inputs!$H$9+Inputs!$L$9*(((Inputs!$I$9+(((A110)+1)/2)*(Inputs!$J$9-Inputs!$I$9)))/Inputs!$K$9)^2)</f>
        <v/>
      </c>
      <c r="AD110" s="10" t="n"/>
      <c r="AE110" s="9">
        <f>A110</f>
        <v/>
      </c>
      <c r="AF110" s="9">
        <f>(((SQRT((Inputs!$C$52+((Inputs!$H$6+Inputs!$L$6*(((Inputs!$I$6+(((A110)+1)/2)*(Inputs!$J$6-Inputs!$I$6)))/Inputs!$K$6)^2)))^2+Inputs!$C$52^2-2*(Inputs!$C$52+((Inputs!$H$6+Inputs!$L$6*(((Inputs!$I$6+(((A110)+1)/2)*(Inputs!$J$6-Inputs!$I$6)))/Inputs!$K$6)^2)))*Inputs!$C$52*COS(SQRT(((Inputs!$I$6+(((A110)+1)/2)*(Inputs!$J$6-Inputs!$I$6)))^2+Inputs!$C$6^2)/Inputs!$C$52)))-((Inputs!$H$6+Inputs!$L$6*(((Inputs!$I$6+(((A110)+1)/2)*(Inputs!$J$6-Inputs!$I$6)))/Inputs!$K$6)^2)))*1000/Inputs!$C$12)</f>
        <v/>
      </c>
      <c r="AG110" s="9">
        <f>(((SQRT((Inputs!$C$52+((Inputs!$H$7+Inputs!$L$7*(((Inputs!$I$7+(((A110)+1)/2)*(Inputs!$J$7-Inputs!$I$7)))/Inputs!$K$7)^2)))^2+Inputs!$C$52^2-2*(Inputs!$C$52+((Inputs!$H$7+Inputs!$L$7*(((Inputs!$I$7+(((A110)+1)/2)*(Inputs!$J$7-Inputs!$I$7)))/Inputs!$K$7)^2)))*Inputs!$C$52*COS(SQRT(((Inputs!$I$7+(((A110)+1)/2)*(Inputs!$J$7-Inputs!$I$7)))^2+Inputs!$C$6^2)/Inputs!$C$52)))-((Inputs!$H$7+Inputs!$L$7*(((Inputs!$I$7+(((A110)+1)/2)*(Inputs!$J$7-Inputs!$I$7)))/Inputs!$K$7)^2)))*1000/Inputs!$C$12)</f>
        <v/>
      </c>
      <c r="AH110" s="9">
        <f>(((SQRT((Inputs!$C$52+((Inputs!$H$8+Inputs!$L$8*(((Inputs!$I$8+(((A110)+1)/2)*(Inputs!$J$8-Inputs!$I$8)))/Inputs!$K$8)^2)))^2+Inputs!$C$52^2-2*(Inputs!$C$52+((Inputs!$H$8+Inputs!$L$8*(((Inputs!$I$8+(((A110)+1)/2)*(Inputs!$J$8-Inputs!$I$8)))/Inputs!$K$8)^2)))*Inputs!$C$52*COS(SQRT(((Inputs!$I$8+(((A110)+1)/2)*(Inputs!$J$8-Inputs!$I$8)))^2+Inputs!$C$6^2)/Inputs!$C$52)))-((Inputs!$H$8+Inputs!$L$8*(((Inputs!$I$8+(((A110)+1)/2)*(Inputs!$J$8-Inputs!$I$8)))/Inputs!$K$8)^2)))*1000/Inputs!$C$12)</f>
        <v/>
      </c>
      <c r="AI110" s="9">
        <f>(((SQRT((Inputs!$C$52+((Inputs!$H$9+Inputs!$L$9*(((Inputs!$I$9+(((A110)+1)/2)*(Inputs!$J$9-Inputs!$I$9)))/Inputs!$K$9)^2)))^2+Inputs!$C$52^2-2*(Inputs!$C$52+((Inputs!$H$9+Inputs!$L$9*(((Inputs!$I$9+(((A110)+1)/2)*(Inputs!$J$9-Inputs!$I$9)))/Inputs!$K$9)^2)))*Inputs!$C$52*COS(SQRT(((Inputs!$I$9+(((A110)+1)/2)*(Inputs!$J$9-Inputs!$I$9)))^2+Inputs!$C$6^2)/Inputs!$C$52)))-((Inputs!$H$9+Inputs!$L$9*(((Inputs!$I$9+(((A110)+1)/2)*(Inputs!$J$9-Inputs!$I$9)))/Inputs!$K$9)^2)))*1000/Inputs!$C$12)</f>
        <v/>
      </c>
      <c r="AJ110" s="10" t="n"/>
      <c r="AK110" s="9">
        <f>A110</f>
        <v/>
      </c>
      <c r="AL110" s="9">
        <f>(-2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f>
        <v/>
      </c>
      <c r="AM110" s="9">
        <f>(-2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f>
        <v/>
      </c>
      <c r="AN110" s="9">
        <f>(-2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f>
        <v/>
      </c>
      <c r="AO110" s="9">
        <f>(-2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f>
        <v/>
      </c>
      <c r="AP110" s="10" t="n"/>
      <c r="AQ110" s="9">
        <f>A110</f>
        <v/>
      </c>
      <c r="AR110" s="9">
        <f>0</f>
        <v/>
      </c>
      <c r="AS110" s="9">
        <f>IF(OR(Inputs!$F$6=TRUE,Inputs!$F$6="TRUE",Inputs!$F$6=1),IF(OR(Inputs!$C$27=TRUE,Inputs!$C$27="TRUE",Inputs!$C$27=1),1,0)*(Inputs!$C$51*(115*EXP(-(((Inputs!$C$6)-25)^2)/(4.5^2))+70*EXP(-(((Inputs!$C$6)+38)^2)/(7^2))*(0.55+0.45*SIN(2*PI()*((Inputs!$I$6+(((A110)+1)/2)*(Inputs!$J$6-Inputs!$I$6)))/45))+24*SIN(2*PI()*(Inputs!$C$6)/9+((Inputs!$I$6+(((A110)+1)/2)*(Inputs!$J$6-Inputs!$I$6)))/18)*EXP(-(((Inputs!$C$6)+5)^2)/(22^2))+18*SIN(2*PI()*((Inputs!$I$6+(((A110)+1)/2)*(Inputs!$J$6-Inputs!$I$6)))/70))+Inputs!$C$28*EXP(-((((Inputs!$I$6+(((A110)+1)/2)*(Inputs!$J$6-Inputs!$I$6)))-Inputs!$C$29)^2)/(2*Inputs!$C$31^2))*EXP(-(((Inputs!$C$6)-Inputs!$C$30)^2)/(2*Inputs!$C$32^2))+-Inputs!$C$33*EXP(-((((((Inputs!$I$6+(((A110)+1)/2)*(Inputs!$J$6-Inputs!$I$6)))-Inputs!$C$34)^2)+(((Inputs!$C$6)-Inputs!$C$35)^2))/(2*Inputs!$C$36^2)))+Inputs!$C$37*(0.55*SIN(2*PI()*((Inputs!$I$6+(((A110)+1)/2)*(Inputs!$J$6-Inputs!$I$6)))/Inputs!$C$39)+0.35*COS(2*PI()*(Inputs!$C$6)/Inputs!$C$40)+0.2*SIN(2*PI()*(((Inputs!$I$6+(((A110)+1)/2)*(Inputs!$J$6-Inputs!$I$6)))+(Inputs!$C$6))/(0.5*(Inputs!$C$39+Inputs!$C$40))))+Inputs!$C$38*SIN(2*PI()*((Inputs!$I$6+(((A110)+1)/2)*(Inputs!$J$6-Inputs!$I$6)))/Inputs!$C$39)*SIN(2*PI()*(Inputs!$C$6)/Inputs!$C$40)+-Inputs!$C$41*EXP(-(((Inputs!$C$6)-Inputs!$C$43)^2)/(2*Inputs!$C$44^2))*EXP(-((((Inputs!$I$6+(((A110)+1)/2)*(Inputs!$J$6-Inputs!$I$6)))-Inputs!$C$42)^2)/(2*Inputs!$C$45^2))+Inputs!$C$48*(0.7*(0.45*SIN(2*PI()*((((Inputs!$I$6+(((A110)+1)/2)*(Inputs!$J$6-Inputs!$I$6)))/Inputs!$C$49)+Inputs!$C$47*0.137))+0.35*COS(2*PI()*(((Inputs!$C$6)/Inputs!$C$50)+Inputs!$C$47*0.173))+0.2*SIN(2*PI()*((((Inputs!$I$6+(((A110)+1)/2)*(Inputs!$J$6-Inputs!$I$6)))+(Inputs!$C$6))/(0.5*(Inputs!$C$49+Inputs!$C$50))+Inputs!$C$47*0.097)))+0.3*(2*((SIN((((Inputs!$I$6+(((A110)+1)/2)*(Inputs!$J$6-Inputs!$I$6)))*12.9898+(Inputs!$C$6)*78.233+Inputs!$C$47*37.719))*43758.5453)-INT((SIN((((Inputs!$I$6+(((A110)+1)/2)*(Inputs!$J$6-Inputs!$I$6)))*12.9898+(Inputs!$C$6)*78.233+Inputs!$C$47*37.719))*43758.5453)))-1))),NA())</f>
        <v/>
      </c>
      <c r="AT110" s="9">
        <f>IF(OR(Inputs!$F$7=TRUE,Inputs!$F$7="TRUE",Inputs!$F$7=1),IF(OR(Inputs!$C$27=TRUE,Inputs!$C$27="TRUE",Inputs!$C$27=1),1,0)*(Inputs!$C$51*(115*EXP(-(((Inputs!$C$6)-25)^2)/(4.5^2))+70*EXP(-(((Inputs!$C$6)+38)^2)/(7^2))*(0.55+0.45*SIN(2*PI()*((Inputs!$I$7+(((A110)+1)/2)*(Inputs!$J$7-Inputs!$I$7)))/45))+24*SIN(2*PI()*(Inputs!$C$6)/9+((Inputs!$I$7+(((A110)+1)/2)*(Inputs!$J$7-Inputs!$I$7)))/18)*EXP(-(((Inputs!$C$6)+5)^2)/(22^2))+18*SIN(2*PI()*((Inputs!$I$7+(((A110)+1)/2)*(Inputs!$J$7-Inputs!$I$7)))/70))+Inputs!$C$28*EXP(-((((Inputs!$I$7+(((A110)+1)/2)*(Inputs!$J$7-Inputs!$I$7)))-Inputs!$C$29)^2)/(2*Inputs!$C$31^2))*EXP(-(((Inputs!$C$6)-Inputs!$C$30)^2)/(2*Inputs!$C$32^2))+-Inputs!$C$33*EXP(-((((((Inputs!$I$7+(((A110)+1)/2)*(Inputs!$J$7-Inputs!$I$7)))-Inputs!$C$34)^2)+(((Inputs!$C$6)-Inputs!$C$35)^2))/(2*Inputs!$C$36^2)))+Inputs!$C$37*(0.55*SIN(2*PI()*((Inputs!$I$7+(((A110)+1)/2)*(Inputs!$J$7-Inputs!$I$7)))/Inputs!$C$39)+0.35*COS(2*PI()*(Inputs!$C$6)/Inputs!$C$40)+0.2*SIN(2*PI()*(((Inputs!$I$7+(((A110)+1)/2)*(Inputs!$J$7-Inputs!$I$7)))+(Inputs!$C$6))/(0.5*(Inputs!$C$39+Inputs!$C$40))))+Inputs!$C$38*SIN(2*PI()*((Inputs!$I$7+(((A110)+1)/2)*(Inputs!$J$7-Inputs!$I$7)))/Inputs!$C$39)*SIN(2*PI()*(Inputs!$C$6)/Inputs!$C$40)+-Inputs!$C$41*EXP(-(((Inputs!$C$6)-Inputs!$C$43)^2)/(2*Inputs!$C$44^2))*EXP(-((((Inputs!$I$7+(((A110)+1)/2)*(Inputs!$J$7-Inputs!$I$7)))-Inputs!$C$42)^2)/(2*Inputs!$C$45^2))+Inputs!$C$48*(0.7*(0.45*SIN(2*PI()*((((Inputs!$I$7+(((A110)+1)/2)*(Inputs!$J$7-Inputs!$I$7)))/Inputs!$C$49)+Inputs!$C$47*0.137))+0.35*COS(2*PI()*(((Inputs!$C$6)/Inputs!$C$50)+Inputs!$C$47*0.173))+0.2*SIN(2*PI()*((((Inputs!$I$7+(((A110)+1)/2)*(Inputs!$J$7-Inputs!$I$7)))+(Inputs!$C$6))/(0.5*(Inputs!$C$49+Inputs!$C$50))+Inputs!$C$47*0.097)))+0.3*(2*((SIN((((Inputs!$I$7+(((A110)+1)/2)*(Inputs!$J$7-Inputs!$I$7)))*12.9898+(Inputs!$C$6)*78.233+Inputs!$C$47*37.719))*43758.5453)-INT((SIN((((Inputs!$I$7+(((A110)+1)/2)*(Inputs!$J$7-Inputs!$I$7)))*12.9898+(Inputs!$C$6)*78.233+Inputs!$C$47*37.719))*43758.5453)))-1))),NA())</f>
        <v/>
      </c>
      <c r="AU110" s="9">
        <f>IF(OR(Inputs!$F$8=TRUE,Inputs!$F$8="TRUE",Inputs!$F$8=1),IF(OR(Inputs!$C$27=TRUE,Inputs!$C$27="TRUE",Inputs!$C$27=1),1,0)*(Inputs!$C$51*(115*EXP(-(((Inputs!$C$6)-25)^2)/(4.5^2))+70*EXP(-(((Inputs!$C$6)+38)^2)/(7^2))*(0.55+0.45*SIN(2*PI()*((Inputs!$I$8+(((A110)+1)/2)*(Inputs!$J$8-Inputs!$I$8)))/45))+24*SIN(2*PI()*(Inputs!$C$6)/9+((Inputs!$I$8+(((A110)+1)/2)*(Inputs!$J$8-Inputs!$I$8)))/18)*EXP(-(((Inputs!$C$6)+5)^2)/(22^2))+18*SIN(2*PI()*((Inputs!$I$8+(((A110)+1)/2)*(Inputs!$J$8-Inputs!$I$8)))/70))+Inputs!$C$28*EXP(-((((Inputs!$I$8+(((A110)+1)/2)*(Inputs!$J$8-Inputs!$I$8)))-Inputs!$C$29)^2)/(2*Inputs!$C$31^2))*EXP(-(((Inputs!$C$6)-Inputs!$C$30)^2)/(2*Inputs!$C$32^2))+-Inputs!$C$33*EXP(-((((((Inputs!$I$8+(((A110)+1)/2)*(Inputs!$J$8-Inputs!$I$8)))-Inputs!$C$34)^2)+(((Inputs!$C$6)-Inputs!$C$35)^2))/(2*Inputs!$C$36^2)))+Inputs!$C$37*(0.55*SIN(2*PI()*((Inputs!$I$8+(((A110)+1)/2)*(Inputs!$J$8-Inputs!$I$8)))/Inputs!$C$39)+0.35*COS(2*PI()*(Inputs!$C$6)/Inputs!$C$40)+0.2*SIN(2*PI()*(((Inputs!$I$8+(((A110)+1)/2)*(Inputs!$J$8-Inputs!$I$8)))+(Inputs!$C$6))/(0.5*(Inputs!$C$39+Inputs!$C$40))))+Inputs!$C$38*SIN(2*PI()*((Inputs!$I$8+(((A110)+1)/2)*(Inputs!$J$8-Inputs!$I$8)))/Inputs!$C$39)*SIN(2*PI()*(Inputs!$C$6)/Inputs!$C$40)+-Inputs!$C$41*EXP(-(((Inputs!$C$6)-Inputs!$C$43)^2)/(2*Inputs!$C$44^2))*EXP(-((((Inputs!$I$8+(((A110)+1)/2)*(Inputs!$J$8-Inputs!$I$8)))-Inputs!$C$42)^2)/(2*Inputs!$C$45^2))+Inputs!$C$48*(0.7*(0.45*SIN(2*PI()*((((Inputs!$I$8+(((A110)+1)/2)*(Inputs!$J$8-Inputs!$I$8)))/Inputs!$C$49)+Inputs!$C$47*0.137))+0.35*COS(2*PI()*(((Inputs!$C$6)/Inputs!$C$50)+Inputs!$C$47*0.173))+0.2*SIN(2*PI()*((((Inputs!$I$8+(((A110)+1)/2)*(Inputs!$J$8-Inputs!$I$8)))+(Inputs!$C$6))/(0.5*(Inputs!$C$49+Inputs!$C$50))+Inputs!$C$47*0.097)))+0.3*(2*((SIN((((Inputs!$I$8+(((A110)+1)/2)*(Inputs!$J$8-Inputs!$I$8)))*12.9898+(Inputs!$C$6)*78.233+Inputs!$C$47*37.719))*43758.5453)-INT((SIN((((Inputs!$I$8+(((A110)+1)/2)*(Inputs!$J$8-Inputs!$I$8)))*12.9898+(Inputs!$C$6)*78.233+Inputs!$C$47*37.719))*43758.5453)))-1))),NA())</f>
        <v/>
      </c>
      <c r="AV110" s="9">
        <f>IF(OR(Inputs!$F$9=TRUE,Inputs!$F$9="TRUE",Inputs!$F$9=1),IF(OR(Inputs!$C$27=TRUE,Inputs!$C$27="TRUE",Inputs!$C$27=1),1,0)*(Inputs!$C$51*(115*EXP(-(((Inputs!$C$6)-25)^2)/(4.5^2))+70*EXP(-(((Inputs!$C$6)+38)^2)/(7^2))*(0.55+0.45*SIN(2*PI()*((Inputs!$I$9+(((A110)+1)/2)*(Inputs!$J$9-Inputs!$I$9)))/45))+24*SIN(2*PI()*(Inputs!$C$6)/9+((Inputs!$I$9+(((A110)+1)/2)*(Inputs!$J$9-Inputs!$I$9)))/18)*EXP(-(((Inputs!$C$6)+5)^2)/(22^2))+18*SIN(2*PI()*((Inputs!$I$9+(((A110)+1)/2)*(Inputs!$J$9-Inputs!$I$9)))/70))+Inputs!$C$28*EXP(-((((Inputs!$I$9+(((A110)+1)/2)*(Inputs!$J$9-Inputs!$I$9)))-Inputs!$C$29)^2)/(2*Inputs!$C$31^2))*EXP(-(((Inputs!$C$6)-Inputs!$C$30)^2)/(2*Inputs!$C$32^2))+-Inputs!$C$33*EXP(-((((((Inputs!$I$9+(((A110)+1)/2)*(Inputs!$J$9-Inputs!$I$9)))-Inputs!$C$34)^2)+(((Inputs!$C$6)-Inputs!$C$35)^2))/(2*Inputs!$C$36^2)))+Inputs!$C$37*(0.55*SIN(2*PI()*((Inputs!$I$9+(((A110)+1)/2)*(Inputs!$J$9-Inputs!$I$9)))/Inputs!$C$39)+0.35*COS(2*PI()*(Inputs!$C$6)/Inputs!$C$40)+0.2*SIN(2*PI()*(((Inputs!$I$9+(((A110)+1)/2)*(Inputs!$J$9-Inputs!$I$9)))+(Inputs!$C$6))/(0.5*(Inputs!$C$39+Inputs!$C$40))))+Inputs!$C$38*SIN(2*PI()*((Inputs!$I$9+(((A110)+1)/2)*(Inputs!$J$9-Inputs!$I$9)))/Inputs!$C$39)*SIN(2*PI()*(Inputs!$C$6)/Inputs!$C$40)+-Inputs!$C$41*EXP(-(((Inputs!$C$6)-Inputs!$C$43)^2)/(2*Inputs!$C$44^2))*EXP(-((((Inputs!$I$9+(((A110)+1)/2)*(Inputs!$J$9-Inputs!$I$9)))-Inputs!$C$42)^2)/(2*Inputs!$C$45^2))+Inputs!$C$48*(0.7*(0.45*SIN(2*PI()*((((Inputs!$I$9+(((A110)+1)/2)*(Inputs!$J$9-Inputs!$I$9)))/Inputs!$C$49)+Inputs!$C$47*0.137))+0.35*COS(2*PI()*(((Inputs!$C$6)/Inputs!$C$50)+Inputs!$C$47*0.173))+0.2*SIN(2*PI()*((((Inputs!$I$9+(((A110)+1)/2)*(Inputs!$J$9-Inputs!$I$9)))+(Inputs!$C$6))/(0.5*(Inputs!$C$49+Inputs!$C$50))+Inputs!$C$47*0.097)))+0.3*(2*((SIN((((Inputs!$I$9+(((A110)+1)/2)*(Inputs!$J$9-Inputs!$I$9)))*12.9898+(Inputs!$C$6)*78.233+Inputs!$C$47*37.719))*43758.5453)-INT((SIN((((Inputs!$I$9+(((A110)+1)/2)*(Inputs!$J$9-Inputs!$I$9)))*12.9898+(Inputs!$C$6)*78.233+Inputs!$C$47*37.719))*43758.5453)))-1))),NA())</f>
        <v/>
      </c>
      <c r="AW110" s="10" t="n"/>
      <c r="AX110" s="9">
        <f>A110</f>
        <v/>
      </c>
      <c r="AY110" s="9">
        <f>0</f>
        <v/>
      </c>
      <c r="AZ110" s="9">
        <f>IF(OR(Inputs!$F$6=TRUE,Inputs!$F$6="TRUE",Inputs!$F$6=1),(Inputs!$H$6+Inputs!$L$6*(((Inputs!$I$6+(((A110)+1)/2)*(Inputs!$J$6-Inputs!$I$6)))/Inputs!$K$6)^2),NA())</f>
        <v/>
      </c>
      <c r="BA110" s="9">
        <f>IF(OR(Inputs!$F$7=TRUE,Inputs!$F$7="TRUE",Inputs!$F$7=1),(Inputs!$H$7+Inputs!$L$7*(((Inputs!$I$7+(((A110)+1)/2)*(Inputs!$J$7-Inputs!$I$7)))/Inputs!$K$7)^2),NA())</f>
        <v/>
      </c>
      <c r="BB110" s="9">
        <f>IF(OR(Inputs!$F$8=TRUE,Inputs!$F$8="TRUE",Inputs!$F$8=1),(Inputs!$H$8+Inputs!$L$8*(((Inputs!$I$8+(((A110)+1)/2)*(Inputs!$J$8-Inputs!$I$8)))/Inputs!$K$8)^2),NA())</f>
        <v/>
      </c>
      <c r="BC110" s="9">
        <f>IF(OR(Inputs!$F$9=TRUE,Inputs!$F$9="TRUE",Inputs!$F$9=1),(Inputs!$H$9+Inputs!$L$9*(((Inputs!$I$9+(((A110)+1)/2)*(Inputs!$J$9-Inputs!$I$9)))/Inputs!$K$9)^2),NA())</f>
        <v/>
      </c>
      <c r="BD110" s="10" t="n"/>
      <c r="BE110" s="9">
        <f>A110</f>
        <v/>
      </c>
      <c r="BF110" s="9">
        <f>0</f>
        <v/>
      </c>
      <c r="BG110" s="9">
        <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f>
        <v/>
      </c>
      <c r="BH110" s="9">
        <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f>
        <v/>
      </c>
      <c r="BI110" s="9">
        <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f>
        <v/>
      </c>
      <c r="BJ110" s="9">
        <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f>
        <v/>
      </c>
    </row>
    <row r="111">
      <c r="A111" s="9">
        <f>ROUND(-1+109*2/240,3)</f>
        <v/>
      </c>
      <c r="B111" s="9">
        <f>IF(OR(Inputs!$F$6=TRUE,Inputs!$F$6="TRUE",Inputs!$F$6=1),(Inputs!$H$6+Inputs!$L$6*(((Inputs!$I$6+(((A111)+1)/2)*(Inputs!$J$6-Inputs!$I$6)))/Inputs!$K$6)^2),NA())</f>
        <v/>
      </c>
      <c r="C111" s="9">
        <f>IF(OR(Inputs!$F$7=TRUE,Inputs!$F$7="TRUE",Inputs!$F$7=1),(Inputs!$H$7+Inputs!$L$7*(((Inputs!$I$7+(((A111)+1)/2)*(Inputs!$J$7-Inputs!$I$7)))/Inputs!$K$7)^2),NA())</f>
        <v/>
      </c>
      <c r="D111" s="9">
        <f>IF(OR(Inputs!$F$8=TRUE,Inputs!$F$8="TRUE",Inputs!$F$8=1),(Inputs!$H$8+Inputs!$L$8*(((Inputs!$I$8+(((A111)+1)/2)*(Inputs!$J$8-Inputs!$I$8)))/Inputs!$K$8)^2),NA())</f>
        <v/>
      </c>
      <c r="E111" s="9">
        <f>IF(OR(Inputs!$F$9=TRUE,Inputs!$F$9="TRUE",Inputs!$F$9=1),(Inputs!$H$9+Inputs!$L$9*(((Inputs!$I$9+(((A111)+1)/2)*(Inputs!$J$9-Inputs!$I$9)))/Inputs!$K$9)^2),NA())</f>
        <v/>
      </c>
      <c r="F111" s="10" t="n"/>
      <c r="G111" s="9">
        <f>A111</f>
        <v/>
      </c>
      <c r="H111" s="9">
        <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f>
        <v/>
      </c>
      <c r="I111" s="9">
        <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f>
        <v/>
      </c>
      <c r="J111" s="9">
        <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f>
        <v/>
      </c>
      <c r="K111" s="9">
        <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f>
        <v/>
      </c>
      <c r="L111" s="10" t="n"/>
      <c r="M111" s="9">
        <f>A111</f>
        <v/>
      </c>
      <c r="N111" s="9">
        <f>IF(OR(Inputs!$F$6=TRUE,Inputs!$F$6="TRUE",Inputs!$F$6=1),(-2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NA())</f>
        <v/>
      </c>
      <c r="O111" s="9">
        <f>IF(OR(Inputs!$F$7=TRUE,Inputs!$F$7="TRUE",Inputs!$F$7=1),(-2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NA())</f>
        <v/>
      </c>
      <c r="P111" s="9">
        <f>IF(OR(Inputs!$F$8=TRUE,Inputs!$F$8="TRUE",Inputs!$F$8=1),(-2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NA())</f>
        <v/>
      </c>
      <c r="Q111" s="9">
        <f>IF(OR(Inputs!$F$9=TRUE,Inputs!$F$9="TRUE",Inputs!$F$9=1),(-2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NA())</f>
        <v/>
      </c>
      <c r="R111" s="10" t="n"/>
      <c r="S111" s="9">
        <f>A111</f>
        <v/>
      </c>
      <c r="T111" s="9">
        <f>(Inputs!$I$6+(((A111)+1)/2)*(Inputs!$J$6-Inputs!$I$6))</f>
        <v/>
      </c>
      <c r="U111" s="9">
        <f>(Inputs!$I$7+(((A111)+1)/2)*(Inputs!$J$7-Inputs!$I$7))</f>
        <v/>
      </c>
      <c r="V111" s="9">
        <f>(Inputs!$I$8+(((A111)+1)/2)*(Inputs!$J$8-Inputs!$I$8))</f>
        <v/>
      </c>
      <c r="W111" s="9">
        <f>(Inputs!$I$9+(((A111)+1)/2)*(Inputs!$J$9-Inputs!$I$9))</f>
        <v/>
      </c>
      <c r="X111" s="10" t="n"/>
      <c r="Y111" s="9">
        <f>A111</f>
        <v/>
      </c>
      <c r="Z111" s="9">
        <f>(Inputs!$H$6+Inputs!$L$6*(((Inputs!$I$6+(((A111)+1)/2)*(Inputs!$J$6-Inputs!$I$6)))/Inputs!$K$6)^2)</f>
        <v/>
      </c>
      <c r="AA111" s="9">
        <f>(Inputs!$H$7+Inputs!$L$7*(((Inputs!$I$7+(((A111)+1)/2)*(Inputs!$J$7-Inputs!$I$7)))/Inputs!$K$7)^2)</f>
        <v/>
      </c>
      <c r="AB111" s="9">
        <f>(Inputs!$H$8+Inputs!$L$8*(((Inputs!$I$8+(((A111)+1)/2)*(Inputs!$J$8-Inputs!$I$8)))/Inputs!$K$8)^2)</f>
        <v/>
      </c>
      <c r="AC111" s="9">
        <f>(Inputs!$H$9+Inputs!$L$9*(((Inputs!$I$9+(((A111)+1)/2)*(Inputs!$J$9-Inputs!$I$9)))/Inputs!$K$9)^2)</f>
        <v/>
      </c>
      <c r="AD111" s="10" t="n"/>
      <c r="AE111" s="9">
        <f>A111</f>
        <v/>
      </c>
      <c r="AF111" s="9">
        <f>(((SQRT((Inputs!$C$52+((Inputs!$H$6+Inputs!$L$6*(((Inputs!$I$6+(((A111)+1)/2)*(Inputs!$J$6-Inputs!$I$6)))/Inputs!$K$6)^2)))^2+Inputs!$C$52^2-2*(Inputs!$C$52+((Inputs!$H$6+Inputs!$L$6*(((Inputs!$I$6+(((A111)+1)/2)*(Inputs!$J$6-Inputs!$I$6)))/Inputs!$K$6)^2)))*Inputs!$C$52*COS(SQRT(((Inputs!$I$6+(((A111)+1)/2)*(Inputs!$J$6-Inputs!$I$6)))^2+Inputs!$C$6^2)/Inputs!$C$52)))-((Inputs!$H$6+Inputs!$L$6*(((Inputs!$I$6+(((A111)+1)/2)*(Inputs!$J$6-Inputs!$I$6)))/Inputs!$K$6)^2)))*1000/Inputs!$C$12)</f>
        <v/>
      </c>
      <c r="AG111" s="9">
        <f>(((SQRT((Inputs!$C$52+((Inputs!$H$7+Inputs!$L$7*(((Inputs!$I$7+(((A111)+1)/2)*(Inputs!$J$7-Inputs!$I$7)))/Inputs!$K$7)^2)))^2+Inputs!$C$52^2-2*(Inputs!$C$52+((Inputs!$H$7+Inputs!$L$7*(((Inputs!$I$7+(((A111)+1)/2)*(Inputs!$J$7-Inputs!$I$7)))/Inputs!$K$7)^2)))*Inputs!$C$52*COS(SQRT(((Inputs!$I$7+(((A111)+1)/2)*(Inputs!$J$7-Inputs!$I$7)))^2+Inputs!$C$6^2)/Inputs!$C$52)))-((Inputs!$H$7+Inputs!$L$7*(((Inputs!$I$7+(((A111)+1)/2)*(Inputs!$J$7-Inputs!$I$7)))/Inputs!$K$7)^2)))*1000/Inputs!$C$12)</f>
        <v/>
      </c>
      <c r="AH111" s="9">
        <f>(((SQRT((Inputs!$C$52+((Inputs!$H$8+Inputs!$L$8*(((Inputs!$I$8+(((A111)+1)/2)*(Inputs!$J$8-Inputs!$I$8)))/Inputs!$K$8)^2)))^2+Inputs!$C$52^2-2*(Inputs!$C$52+((Inputs!$H$8+Inputs!$L$8*(((Inputs!$I$8+(((A111)+1)/2)*(Inputs!$J$8-Inputs!$I$8)))/Inputs!$K$8)^2)))*Inputs!$C$52*COS(SQRT(((Inputs!$I$8+(((A111)+1)/2)*(Inputs!$J$8-Inputs!$I$8)))^2+Inputs!$C$6^2)/Inputs!$C$52)))-((Inputs!$H$8+Inputs!$L$8*(((Inputs!$I$8+(((A111)+1)/2)*(Inputs!$J$8-Inputs!$I$8)))/Inputs!$K$8)^2)))*1000/Inputs!$C$12)</f>
        <v/>
      </c>
      <c r="AI111" s="9">
        <f>(((SQRT((Inputs!$C$52+((Inputs!$H$9+Inputs!$L$9*(((Inputs!$I$9+(((A111)+1)/2)*(Inputs!$J$9-Inputs!$I$9)))/Inputs!$K$9)^2)))^2+Inputs!$C$52^2-2*(Inputs!$C$52+((Inputs!$H$9+Inputs!$L$9*(((Inputs!$I$9+(((A111)+1)/2)*(Inputs!$J$9-Inputs!$I$9)))/Inputs!$K$9)^2)))*Inputs!$C$52*COS(SQRT(((Inputs!$I$9+(((A111)+1)/2)*(Inputs!$J$9-Inputs!$I$9)))^2+Inputs!$C$6^2)/Inputs!$C$52)))-((Inputs!$H$9+Inputs!$L$9*(((Inputs!$I$9+(((A111)+1)/2)*(Inputs!$J$9-Inputs!$I$9)))/Inputs!$K$9)^2)))*1000/Inputs!$C$12)</f>
        <v/>
      </c>
      <c r="AJ111" s="10" t="n"/>
      <c r="AK111" s="9">
        <f>A111</f>
        <v/>
      </c>
      <c r="AL111" s="9">
        <f>(-2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f>
        <v/>
      </c>
      <c r="AM111" s="9">
        <f>(-2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f>
        <v/>
      </c>
      <c r="AN111" s="9">
        <f>(-2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f>
        <v/>
      </c>
      <c r="AO111" s="9">
        <f>(-2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f>
        <v/>
      </c>
      <c r="AP111" s="10" t="n"/>
      <c r="AQ111" s="9">
        <f>A111</f>
        <v/>
      </c>
      <c r="AR111" s="9">
        <f>0</f>
        <v/>
      </c>
      <c r="AS111" s="9">
        <f>IF(OR(Inputs!$F$6=TRUE,Inputs!$F$6="TRUE",Inputs!$F$6=1),IF(OR(Inputs!$C$27=TRUE,Inputs!$C$27="TRUE",Inputs!$C$27=1),1,0)*(Inputs!$C$51*(115*EXP(-(((Inputs!$C$6)-25)^2)/(4.5^2))+70*EXP(-(((Inputs!$C$6)+38)^2)/(7^2))*(0.55+0.45*SIN(2*PI()*((Inputs!$I$6+(((A111)+1)/2)*(Inputs!$J$6-Inputs!$I$6)))/45))+24*SIN(2*PI()*(Inputs!$C$6)/9+((Inputs!$I$6+(((A111)+1)/2)*(Inputs!$J$6-Inputs!$I$6)))/18)*EXP(-(((Inputs!$C$6)+5)^2)/(22^2))+18*SIN(2*PI()*((Inputs!$I$6+(((A111)+1)/2)*(Inputs!$J$6-Inputs!$I$6)))/70))+Inputs!$C$28*EXP(-((((Inputs!$I$6+(((A111)+1)/2)*(Inputs!$J$6-Inputs!$I$6)))-Inputs!$C$29)^2)/(2*Inputs!$C$31^2))*EXP(-(((Inputs!$C$6)-Inputs!$C$30)^2)/(2*Inputs!$C$32^2))+-Inputs!$C$33*EXP(-((((((Inputs!$I$6+(((A111)+1)/2)*(Inputs!$J$6-Inputs!$I$6)))-Inputs!$C$34)^2)+(((Inputs!$C$6)-Inputs!$C$35)^2))/(2*Inputs!$C$36^2)))+Inputs!$C$37*(0.55*SIN(2*PI()*((Inputs!$I$6+(((A111)+1)/2)*(Inputs!$J$6-Inputs!$I$6)))/Inputs!$C$39)+0.35*COS(2*PI()*(Inputs!$C$6)/Inputs!$C$40)+0.2*SIN(2*PI()*(((Inputs!$I$6+(((A111)+1)/2)*(Inputs!$J$6-Inputs!$I$6)))+(Inputs!$C$6))/(0.5*(Inputs!$C$39+Inputs!$C$40))))+Inputs!$C$38*SIN(2*PI()*((Inputs!$I$6+(((A111)+1)/2)*(Inputs!$J$6-Inputs!$I$6)))/Inputs!$C$39)*SIN(2*PI()*(Inputs!$C$6)/Inputs!$C$40)+-Inputs!$C$41*EXP(-(((Inputs!$C$6)-Inputs!$C$43)^2)/(2*Inputs!$C$44^2))*EXP(-((((Inputs!$I$6+(((A111)+1)/2)*(Inputs!$J$6-Inputs!$I$6)))-Inputs!$C$42)^2)/(2*Inputs!$C$45^2))+Inputs!$C$48*(0.7*(0.45*SIN(2*PI()*((((Inputs!$I$6+(((A111)+1)/2)*(Inputs!$J$6-Inputs!$I$6)))/Inputs!$C$49)+Inputs!$C$47*0.137))+0.35*COS(2*PI()*(((Inputs!$C$6)/Inputs!$C$50)+Inputs!$C$47*0.173))+0.2*SIN(2*PI()*((((Inputs!$I$6+(((A111)+1)/2)*(Inputs!$J$6-Inputs!$I$6)))+(Inputs!$C$6))/(0.5*(Inputs!$C$49+Inputs!$C$50))+Inputs!$C$47*0.097)))+0.3*(2*((SIN((((Inputs!$I$6+(((A111)+1)/2)*(Inputs!$J$6-Inputs!$I$6)))*12.9898+(Inputs!$C$6)*78.233+Inputs!$C$47*37.719))*43758.5453)-INT((SIN((((Inputs!$I$6+(((A111)+1)/2)*(Inputs!$J$6-Inputs!$I$6)))*12.9898+(Inputs!$C$6)*78.233+Inputs!$C$47*37.719))*43758.5453)))-1))),NA())</f>
        <v/>
      </c>
      <c r="AT111" s="9">
        <f>IF(OR(Inputs!$F$7=TRUE,Inputs!$F$7="TRUE",Inputs!$F$7=1),IF(OR(Inputs!$C$27=TRUE,Inputs!$C$27="TRUE",Inputs!$C$27=1),1,0)*(Inputs!$C$51*(115*EXP(-(((Inputs!$C$6)-25)^2)/(4.5^2))+70*EXP(-(((Inputs!$C$6)+38)^2)/(7^2))*(0.55+0.45*SIN(2*PI()*((Inputs!$I$7+(((A111)+1)/2)*(Inputs!$J$7-Inputs!$I$7)))/45))+24*SIN(2*PI()*(Inputs!$C$6)/9+((Inputs!$I$7+(((A111)+1)/2)*(Inputs!$J$7-Inputs!$I$7)))/18)*EXP(-(((Inputs!$C$6)+5)^2)/(22^2))+18*SIN(2*PI()*((Inputs!$I$7+(((A111)+1)/2)*(Inputs!$J$7-Inputs!$I$7)))/70))+Inputs!$C$28*EXP(-((((Inputs!$I$7+(((A111)+1)/2)*(Inputs!$J$7-Inputs!$I$7)))-Inputs!$C$29)^2)/(2*Inputs!$C$31^2))*EXP(-(((Inputs!$C$6)-Inputs!$C$30)^2)/(2*Inputs!$C$32^2))+-Inputs!$C$33*EXP(-((((((Inputs!$I$7+(((A111)+1)/2)*(Inputs!$J$7-Inputs!$I$7)))-Inputs!$C$34)^2)+(((Inputs!$C$6)-Inputs!$C$35)^2))/(2*Inputs!$C$36^2)))+Inputs!$C$37*(0.55*SIN(2*PI()*((Inputs!$I$7+(((A111)+1)/2)*(Inputs!$J$7-Inputs!$I$7)))/Inputs!$C$39)+0.35*COS(2*PI()*(Inputs!$C$6)/Inputs!$C$40)+0.2*SIN(2*PI()*(((Inputs!$I$7+(((A111)+1)/2)*(Inputs!$J$7-Inputs!$I$7)))+(Inputs!$C$6))/(0.5*(Inputs!$C$39+Inputs!$C$40))))+Inputs!$C$38*SIN(2*PI()*((Inputs!$I$7+(((A111)+1)/2)*(Inputs!$J$7-Inputs!$I$7)))/Inputs!$C$39)*SIN(2*PI()*(Inputs!$C$6)/Inputs!$C$40)+-Inputs!$C$41*EXP(-(((Inputs!$C$6)-Inputs!$C$43)^2)/(2*Inputs!$C$44^2))*EXP(-((((Inputs!$I$7+(((A111)+1)/2)*(Inputs!$J$7-Inputs!$I$7)))-Inputs!$C$42)^2)/(2*Inputs!$C$45^2))+Inputs!$C$48*(0.7*(0.45*SIN(2*PI()*((((Inputs!$I$7+(((A111)+1)/2)*(Inputs!$J$7-Inputs!$I$7)))/Inputs!$C$49)+Inputs!$C$47*0.137))+0.35*COS(2*PI()*(((Inputs!$C$6)/Inputs!$C$50)+Inputs!$C$47*0.173))+0.2*SIN(2*PI()*((((Inputs!$I$7+(((A111)+1)/2)*(Inputs!$J$7-Inputs!$I$7)))+(Inputs!$C$6))/(0.5*(Inputs!$C$49+Inputs!$C$50))+Inputs!$C$47*0.097)))+0.3*(2*((SIN((((Inputs!$I$7+(((A111)+1)/2)*(Inputs!$J$7-Inputs!$I$7)))*12.9898+(Inputs!$C$6)*78.233+Inputs!$C$47*37.719))*43758.5453)-INT((SIN((((Inputs!$I$7+(((A111)+1)/2)*(Inputs!$J$7-Inputs!$I$7)))*12.9898+(Inputs!$C$6)*78.233+Inputs!$C$47*37.719))*43758.5453)))-1))),NA())</f>
        <v/>
      </c>
      <c r="AU111" s="9">
        <f>IF(OR(Inputs!$F$8=TRUE,Inputs!$F$8="TRUE",Inputs!$F$8=1),IF(OR(Inputs!$C$27=TRUE,Inputs!$C$27="TRUE",Inputs!$C$27=1),1,0)*(Inputs!$C$51*(115*EXP(-(((Inputs!$C$6)-25)^2)/(4.5^2))+70*EXP(-(((Inputs!$C$6)+38)^2)/(7^2))*(0.55+0.45*SIN(2*PI()*((Inputs!$I$8+(((A111)+1)/2)*(Inputs!$J$8-Inputs!$I$8)))/45))+24*SIN(2*PI()*(Inputs!$C$6)/9+((Inputs!$I$8+(((A111)+1)/2)*(Inputs!$J$8-Inputs!$I$8)))/18)*EXP(-(((Inputs!$C$6)+5)^2)/(22^2))+18*SIN(2*PI()*((Inputs!$I$8+(((A111)+1)/2)*(Inputs!$J$8-Inputs!$I$8)))/70))+Inputs!$C$28*EXP(-((((Inputs!$I$8+(((A111)+1)/2)*(Inputs!$J$8-Inputs!$I$8)))-Inputs!$C$29)^2)/(2*Inputs!$C$31^2))*EXP(-(((Inputs!$C$6)-Inputs!$C$30)^2)/(2*Inputs!$C$32^2))+-Inputs!$C$33*EXP(-((((((Inputs!$I$8+(((A111)+1)/2)*(Inputs!$J$8-Inputs!$I$8)))-Inputs!$C$34)^2)+(((Inputs!$C$6)-Inputs!$C$35)^2))/(2*Inputs!$C$36^2)))+Inputs!$C$37*(0.55*SIN(2*PI()*((Inputs!$I$8+(((A111)+1)/2)*(Inputs!$J$8-Inputs!$I$8)))/Inputs!$C$39)+0.35*COS(2*PI()*(Inputs!$C$6)/Inputs!$C$40)+0.2*SIN(2*PI()*(((Inputs!$I$8+(((A111)+1)/2)*(Inputs!$J$8-Inputs!$I$8)))+(Inputs!$C$6))/(0.5*(Inputs!$C$39+Inputs!$C$40))))+Inputs!$C$38*SIN(2*PI()*((Inputs!$I$8+(((A111)+1)/2)*(Inputs!$J$8-Inputs!$I$8)))/Inputs!$C$39)*SIN(2*PI()*(Inputs!$C$6)/Inputs!$C$40)+-Inputs!$C$41*EXP(-(((Inputs!$C$6)-Inputs!$C$43)^2)/(2*Inputs!$C$44^2))*EXP(-((((Inputs!$I$8+(((A111)+1)/2)*(Inputs!$J$8-Inputs!$I$8)))-Inputs!$C$42)^2)/(2*Inputs!$C$45^2))+Inputs!$C$48*(0.7*(0.45*SIN(2*PI()*((((Inputs!$I$8+(((A111)+1)/2)*(Inputs!$J$8-Inputs!$I$8)))/Inputs!$C$49)+Inputs!$C$47*0.137))+0.35*COS(2*PI()*(((Inputs!$C$6)/Inputs!$C$50)+Inputs!$C$47*0.173))+0.2*SIN(2*PI()*((((Inputs!$I$8+(((A111)+1)/2)*(Inputs!$J$8-Inputs!$I$8)))+(Inputs!$C$6))/(0.5*(Inputs!$C$49+Inputs!$C$50))+Inputs!$C$47*0.097)))+0.3*(2*((SIN((((Inputs!$I$8+(((A111)+1)/2)*(Inputs!$J$8-Inputs!$I$8)))*12.9898+(Inputs!$C$6)*78.233+Inputs!$C$47*37.719))*43758.5453)-INT((SIN((((Inputs!$I$8+(((A111)+1)/2)*(Inputs!$J$8-Inputs!$I$8)))*12.9898+(Inputs!$C$6)*78.233+Inputs!$C$47*37.719))*43758.5453)))-1))),NA())</f>
        <v/>
      </c>
      <c r="AV111" s="9">
        <f>IF(OR(Inputs!$F$9=TRUE,Inputs!$F$9="TRUE",Inputs!$F$9=1),IF(OR(Inputs!$C$27=TRUE,Inputs!$C$27="TRUE",Inputs!$C$27=1),1,0)*(Inputs!$C$51*(115*EXP(-(((Inputs!$C$6)-25)^2)/(4.5^2))+70*EXP(-(((Inputs!$C$6)+38)^2)/(7^2))*(0.55+0.45*SIN(2*PI()*((Inputs!$I$9+(((A111)+1)/2)*(Inputs!$J$9-Inputs!$I$9)))/45))+24*SIN(2*PI()*(Inputs!$C$6)/9+((Inputs!$I$9+(((A111)+1)/2)*(Inputs!$J$9-Inputs!$I$9)))/18)*EXP(-(((Inputs!$C$6)+5)^2)/(22^2))+18*SIN(2*PI()*((Inputs!$I$9+(((A111)+1)/2)*(Inputs!$J$9-Inputs!$I$9)))/70))+Inputs!$C$28*EXP(-((((Inputs!$I$9+(((A111)+1)/2)*(Inputs!$J$9-Inputs!$I$9)))-Inputs!$C$29)^2)/(2*Inputs!$C$31^2))*EXP(-(((Inputs!$C$6)-Inputs!$C$30)^2)/(2*Inputs!$C$32^2))+-Inputs!$C$33*EXP(-((((((Inputs!$I$9+(((A111)+1)/2)*(Inputs!$J$9-Inputs!$I$9)))-Inputs!$C$34)^2)+(((Inputs!$C$6)-Inputs!$C$35)^2))/(2*Inputs!$C$36^2)))+Inputs!$C$37*(0.55*SIN(2*PI()*((Inputs!$I$9+(((A111)+1)/2)*(Inputs!$J$9-Inputs!$I$9)))/Inputs!$C$39)+0.35*COS(2*PI()*(Inputs!$C$6)/Inputs!$C$40)+0.2*SIN(2*PI()*(((Inputs!$I$9+(((A111)+1)/2)*(Inputs!$J$9-Inputs!$I$9)))+(Inputs!$C$6))/(0.5*(Inputs!$C$39+Inputs!$C$40))))+Inputs!$C$38*SIN(2*PI()*((Inputs!$I$9+(((A111)+1)/2)*(Inputs!$J$9-Inputs!$I$9)))/Inputs!$C$39)*SIN(2*PI()*(Inputs!$C$6)/Inputs!$C$40)+-Inputs!$C$41*EXP(-(((Inputs!$C$6)-Inputs!$C$43)^2)/(2*Inputs!$C$44^2))*EXP(-((((Inputs!$I$9+(((A111)+1)/2)*(Inputs!$J$9-Inputs!$I$9)))-Inputs!$C$42)^2)/(2*Inputs!$C$45^2))+Inputs!$C$48*(0.7*(0.45*SIN(2*PI()*((((Inputs!$I$9+(((A111)+1)/2)*(Inputs!$J$9-Inputs!$I$9)))/Inputs!$C$49)+Inputs!$C$47*0.137))+0.35*COS(2*PI()*(((Inputs!$C$6)/Inputs!$C$50)+Inputs!$C$47*0.173))+0.2*SIN(2*PI()*((((Inputs!$I$9+(((A111)+1)/2)*(Inputs!$J$9-Inputs!$I$9)))+(Inputs!$C$6))/(0.5*(Inputs!$C$49+Inputs!$C$50))+Inputs!$C$47*0.097)))+0.3*(2*((SIN((((Inputs!$I$9+(((A111)+1)/2)*(Inputs!$J$9-Inputs!$I$9)))*12.9898+(Inputs!$C$6)*78.233+Inputs!$C$47*37.719))*43758.5453)-INT((SIN((((Inputs!$I$9+(((A111)+1)/2)*(Inputs!$J$9-Inputs!$I$9)))*12.9898+(Inputs!$C$6)*78.233+Inputs!$C$47*37.719))*43758.5453)))-1))),NA())</f>
        <v/>
      </c>
      <c r="AW111" s="10" t="n"/>
      <c r="AX111" s="9">
        <f>A111</f>
        <v/>
      </c>
      <c r="AY111" s="9">
        <f>0</f>
        <v/>
      </c>
      <c r="AZ111" s="9">
        <f>IF(OR(Inputs!$F$6=TRUE,Inputs!$F$6="TRUE",Inputs!$F$6=1),(Inputs!$H$6+Inputs!$L$6*(((Inputs!$I$6+(((A111)+1)/2)*(Inputs!$J$6-Inputs!$I$6)))/Inputs!$K$6)^2),NA())</f>
        <v/>
      </c>
      <c r="BA111" s="9">
        <f>IF(OR(Inputs!$F$7=TRUE,Inputs!$F$7="TRUE",Inputs!$F$7=1),(Inputs!$H$7+Inputs!$L$7*(((Inputs!$I$7+(((A111)+1)/2)*(Inputs!$J$7-Inputs!$I$7)))/Inputs!$K$7)^2),NA())</f>
        <v/>
      </c>
      <c r="BB111" s="9">
        <f>IF(OR(Inputs!$F$8=TRUE,Inputs!$F$8="TRUE",Inputs!$F$8=1),(Inputs!$H$8+Inputs!$L$8*(((Inputs!$I$8+(((A111)+1)/2)*(Inputs!$J$8-Inputs!$I$8)))/Inputs!$K$8)^2),NA())</f>
        <v/>
      </c>
      <c r="BC111" s="9">
        <f>IF(OR(Inputs!$F$9=TRUE,Inputs!$F$9="TRUE",Inputs!$F$9=1),(Inputs!$H$9+Inputs!$L$9*(((Inputs!$I$9+(((A111)+1)/2)*(Inputs!$J$9-Inputs!$I$9)))/Inputs!$K$9)^2),NA())</f>
        <v/>
      </c>
      <c r="BD111" s="10" t="n"/>
      <c r="BE111" s="9">
        <f>A111</f>
        <v/>
      </c>
      <c r="BF111" s="9">
        <f>0</f>
        <v/>
      </c>
      <c r="BG111" s="9">
        <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f>
        <v/>
      </c>
      <c r="BH111" s="9">
        <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f>
        <v/>
      </c>
      <c r="BI111" s="9">
        <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f>
        <v/>
      </c>
      <c r="BJ111" s="9">
        <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f>
        <v/>
      </c>
    </row>
    <row r="112">
      <c r="A112" s="9">
        <f>ROUND(-1+110*2/240,3)</f>
        <v/>
      </c>
      <c r="B112" s="9">
        <f>IF(OR(Inputs!$F$6=TRUE,Inputs!$F$6="TRUE",Inputs!$F$6=1),(Inputs!$H$6+Inputs!$L$6*(((Inputs!$I$6+(((A112)+1)/2)*(Inputs!$J$6-Inputs!$I$6)))/Inputs!$K$6)^2),NA())</f>
        <v/>
      </c>
      <c r="C112" s="9">
        <f>IF(OR(Inputs!$F$7=TRUE,Inputs!$F$7="TRUE",Inputs!$F$7=1),(Inputs!$H$7+Inputs!$L$7*(((Inputs!$I$7+(((A112)+1)/2)*(Inputs!$J$7-Inputs!$I$7)))/Inputs!$K$7)^2),NA())</f>
        <v/>
      </c>
      <c r="D112" s="9">
        <f>IF(OR(Inputs!$F$8=TRUE,Inputs!$F$8="TRUE",Inputs!$F$8=1),(Inputs!$H$8+Inputs!$L$8*(((Inputs!$I$8+(((A112)+1)/2)*(Inputs!$J$8-Inputs!$I$8)))/Inputs!$K$8)^2),NA())</f>
        <v/>
      </c>
      <c r="E112" s="9">
        <f>IF(OR(Inputs!$F$9=TRUE,Inputs!$F$9="TRUE",Inputs!$F$9=1),(Inputs!$H$9+Inputs!$L$9*(((Inputs!$I$9+(((A112)+1)/2)*(Inputs!$J$9-Inputs!$I$9)))/Inputs!$K$9)^2),NA())</f>
        <v/>
      </c>
      <c r="F112" s="10" t="n"/>
      <c r="G112" s="9">
        <f>A112</f>
        <v/>
      </c>
      <c r="H112" s="9">
        <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f>
        <v/>
      </c>
      <c r="I112" s="9">
        <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f>
        <v/>
      </c>
      <c r="J112" s="9">
        <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f>
        <v/>
      </c>
      <c r="K112" s="9">
        <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f>
        <v/>
      </c>
      <c r="L112" s="10" t="n"/>
      <c r="M112" s="9">
        <f>A112</f>
        <v/>
      </c>
      <c r="N112" s="9">
        <f>IF(OR(Inputs!$F$6=TRUE,Inputs!$F$6="TRUE",Inputs!$F$6=1),(-2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NA())</f>
        <v/>
      </c>
      <c r="O112" s="9">
        <f>IF(OR(Inputs!$F$7=TRUE,Inputs!$F$7="TRUE",Inputs!$F$7=1),(-2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NA())</f>
        <v/>
      </c>
      <c r="P112" s="9">
        <f>IF(OR(Inputs!$F$8=TRUE,Inputs!$F$8="TRUE",Inputs!$F$8=1),(-2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NA())</f>
        <v/>
      </c>
      <c r="Q112" s="9">
        <f>IF(OR(Inputs!$F$9=TRUE,Inputs!$F$9="TRUE",Inputs!$F$9=1),(-2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NA())</f>
        <v/>
      </c>
      <c r="R112" s="10" t="n"/>
      <c r="S112" s="9">
        <f>A112</f>
        <v/>
      </c>
      <c r="T112" s="9">
        <f>(Inputs!$I$6+(((A112)+1)/2)*(Inputs!$J$6-Inputs!$I$6))</f>
        <v/>
      </c>
      <c r="U112" s="9">
        <f>(Inputs!$I$7+(((A112)+1)/2)*(Inputs!$J$7-Inputs!$I$7))</f>
        <v/>
      </c>
      <c r="V112" s="9">
        <f>(Inputs!$I$8+(((A112)+1)/2)*(Inputs!$J$8-Inputs!$I$8))</f>
        <v/>
      </c>
      <c r="W112" s="9">
        <f>(Inputs!$I$9+(((A112)+1)/2)*(Inputs!$J$9-Inputs!$I$9))</f>
        <v/>
      </c>
      <c r="X112" s="10" t="n"/>
      <c r="Y112" s="9">
        <f>A112</f>
        <v/>
      </c>
      <c r="Z112" s="9">
        <f>(Inputs!$H$6+Inputs!$L$6*(((Inputs!$I$6+(((A112)+1)/2)*(Inputs!$J$6-Inputs!$I$6)))/Inputs!$K$6)^2)</f>
        <v/>
      </c>
      <c r="AA112" s="9">
        <f>(Inputs!$H$7+Inputs!$L$7*(((Inputs!$I$7+(((A112)+1)/2)*(Inputs!$J$7-Inputs!$I$7)))/Inputs!$K$7)^2)</f>
        <v/>
      </c>
      <c r="AB112" s="9">
        <f>(Inputs!$H$8+Inputs!$L$8*(((Inputs!$I$8+(((A112)+1)/2)*(Inputs!$J$8-Inputs!$I$8)))/Inputs!$K$8)^2)</f>
        <v/>
      </c>
      <c r="AC112" s="9">
        <f>(Inputs!$H$9+Inputs!$L$9*(((Inputs!$I$9+(((A112)+1)/2)*(Inputs!$J$9-Inputs!$I$9)))/Inputs!$K$9)^2)</f>
        <v/>
      </c>
      <c r="AD112" s="10" t="n"/>
      <c r="AE112" s="9">
        <f>A112</f>
        <v/>
      </c>
      <c r="AF112" s="9">
        <f>(((SQRT((Inputs!$C$52+((Inputs!$H$6+Inputs!$L$6*(((Inputs!$I$6+(((A112)+1)/2)*(Inputs!$J$6-Inputs!$I$6)))/Inputs!$K$6)^2)))^2+Inputs!$C$52^2-2*(Inputs!$C$52+((Inputs!$H$6+Inputs!$L$6*(((Inputs!$I$6+(((A112)+1)/2)*(Inputs!$J$6-Inputs!$I$6)))/Inputs!$K$6)^2)))*Inputs!$C$52*COS(SQRT(((Inputs!$I$6+(((A112)+1)/2)*(Inputs!$J$6-Inputs!$I$6)))^2+Inputs!$C$6^2)/Inputs!$C$52)))-((Inputs!$H$6+Inputs!$L$6*(((Inputs!$I$6+(((A112)+1)/2)*(Inputs!$J$6-Inputs!$I$6)))/Inputs!$K$6)^2)))*1000/Inputs!$C$12)</f>
        <v/>
      </c>
      <c r="AG112" s="9">
        <f>(((SQRT((Inputs!$C$52+((Inputs!$H$7+Inputs!$L$7*(((Inputs!$I$7+(((A112)+1)/2)*(Inputs!$J$7-Inputs!$I$7)))/Inputs!$K$7)^2)))^2+Inputs!$C$52^2-2*(Inputs!$C$52+((Inputs!$H$7+Inputs!$L$7*(((Inputs!$I$7+(((A112)+1)/2)*(Inputs!$J$7-Inputs!$I$7)))/Inputs!$K$7)^2)))*Inputs!$C$52*COS(SQRT(((Inputs!$I$7+(((A112)+1)/2)*(Inputs!$J$7-Inputs!$I$7)))^2+Inputs!$C$6^2)/Inputs!$C$52)))-((Inputs!$H$7+Inputs!$L$7*(((Inputs!$I$7+(((A112)+1)/2)*(Inputs!$J$7-Inputs!$I$7)))/Inputs!$K$7)^2)))*1000/Inputs!$C$12)</f>
        <v/>
      </c>
      <c r="AH112" s="9">
        <f>(((SQRT((Inputs!$C$52+((Inputs!$H$8+Inputs!$L$8*(((Inputs!$I$8+(((A112)+1)/2)*(Inputs!$J$8-Inputs!$I$8)))/Inputs!$K$8)^2)))^2+Inputs!$C$52^2-2*(Inputs!$C$52+((Inputs!$H$8+Inputs!$L$8*(((Inputs!$I$8+(((A112)+1)/2)*(Inputs!$J$8-Inputs!$I$8)))/Inputs!$K$8)^2)))*Inputs!$C$52*COS(SQRT(((Inputs!$I$8+(((A112)+1)/2)*(Inputs!$J$8-Inputs!$I$8)))^2+Inputs!$C$6^2)/Inputs!$C$52)))-((Inputs!$H$8+Inputs!$L$8*(((Inputs!$I$8+(((A112)+1)/2)*(Inputs!$J$8-Inputs!$I$8)))/Inputs!$K$8)^2)))*1000/Inputs!$C$12)</f>
        <v/>
      </c>
      <c r="AI112" s="9">
        <f>(((SQRT((Inputs!$C$52+((Inputs!$H$9+Inputs!$L$9*(((Inputs!$I$9+(((A112)+1)/2)*(Inputs!$J$9-Inputs!$I$9)))/Inputs!$K$9)^2)))^2+Inputs!$C$52^2-2*(Inputs!$C$52+((Inputs!$H$9+Inputs!$L$9*(((Inputs!$I$9+(((A112)+1)/2)*(Inputs!$J$9-Inputs!$I$9)))/Inputs!$K$9)^2)))*Inputs!$C$52*COS(SQRT(((Inputs!$I$9+(((A112)+1)/2)*(Inputs!$J$9-Inputs!$I$9)))^2+Inputs!$C$6^2)/Inputs!$C$52)))-((Inputs!$H$9+Inputs!$L$9*(((Inputs!$I$9+(((A112)+1)/2)*(Inputs!$J$9-Inputs!$I$9)))/Inputs!$K$9)^2)))*1000/Inputs!$C$12)</f>
        <v/>
      </c>
      <c r="AJ112" s="10" t="n"/>
      <c r="AK112" s="9">
        <f>A112</f>
        <v/>
      </c>
      <c r="AL112" s="9">
        <f>(-2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f>
        <v/>
      </c>
      <c r="AM112" s="9">
        <f>(-2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f>
        <v/>
      </c>
      <c r="AN112" s="9">
        <f>(-2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f>
        <v/>
      </c>
      <c r="AO112" s="9">
        <f>(-2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f>
        <v/>
      </c>
      <c r="AP112" s="10" t="n"/>
      <c r="AQ112" s="9">
        <f>A112</f>
        <v/>
      </c>
      <c r="AR112" s="9">
        <f>0</f>
        <v/>
      </c>
      <c r="AS112" s="9">
        <f>IF(OR(Inputs!$F$6=TRUE,Inputs!$F$6="TRUE",Inputs!$F$6=1),IF(OR(Inputs!$C$27=TRUE,Inputs!$C$27="TRUE",Inputs!$C$27=1),1,0)*(Inputs!$C$51*(115*EXP(-(((Inputs!$C$6)-25)^2)/(4.5^2))+70*EXP(-(((Inputs!$C$6)+38)^2)/(7^2))*(0.55+0.45*SIN(2*PI()*((Inputs!$I$6+(((A112)+1)/2)*(Inputs!$J$6-Inputs!$I$6)))/45))+24*SIN(2*PI()*(Inputs!$C$6)/9+((Inputs!$I$6+(((A112)+1)/2)*(Inputs!$J$6-Inputs!$I$6)))/18)*EXP(-(((Inputs!$C$6)+5)^2)/(22^2))+18*SIN(2*PI()*((Inputs!$I$6+(((A112)+1)/2)*(Inputs!$J$6-Inputs!$I$6)))/70))+Inputs!$C$28*EXP(-((((Inputs!$I$6+(((A112)+1)/2)*(Inputs!$J$6-Inputs!$I$6)))-Inputs!$C$29)^2)/(2*Inputs!$C$31^2))*EXP(-(((Inputs!$C$6)-Inputs!$C$30)^2)/(2*Inputs!$C$32^2))+-Inputs!$C$33*EXP(-((((((Inputs!$I$6+(((A112)+1)/2)*(Inputs!$J$6-Inputs!$I$6)))-Inputs!$C$34)^2)+(((Inputs!$C$6)-Inputs!$C$35)^2))/(2*Inputs!$C$36^2)))+Inputs!$C$37*(0.55*SIN(2*PI()*((Inputs!$I$6+(((A112)+1)/2)*(Inputs!$J$6-Inputs!$I$6)))/Inputs!$C$39)+0.35*COS(2*PI()*(Inputs!$C$6)/Inputs!$C$40)+0.2*SIN(2*PI()*(((Inputs!$I$6+(((A112)+1)/2)*(Inputs!$J$6-Inputs!$I$6)))+(Inputs!$C$6))/(0.5*(Inputs!$C$39+Inputs!$C$40))))+Inputs!$C$38*SIN(2*PI()*((Inputs!$I$6+(((A112)+1)/2)*(Inputs!$J$6-Inputs!$I$6)))/Inputs!$C$39)*SIN(2*PI()*(Inputs!$C$6)/Inputs!$C$40)+-Inputs!$C$41*EXP(-(((Inputs!$C$6)-Inputs!$C$43)^2)/(2*Inputs!$C$44^2))*EXP(-((((Inputs!$I$6+(((A112)+1)/2)*(Inputs!$J$6-Inputs!$I$6)))-Inputs!$C$42)^2)/(2*Inputs!$C$45^2))+Inputs!$C$48*(0.7*(0.45*SIN(2*PI()*((((Inputs!$I$6+(((A112)+1)/2)*(Inputs!$J$6-Inputs!$I$6)))/Inputs!$C$49)+Inputs!$C$47*0.137))+0.35*COS(2*PI()*(((Inputs!$C$6)/Inputs!$C$50)+Inputs!$C$47*0.173))+0.2*SIN(2*PI()*((((Inputs!$I$6+(((A112)+1)/2)*(Inputs!$J$6-Inputs!$I$6)))+(Inputs!$C$6))/(0.5*(Inputs!$C$49+Inputs!$C$50))+Inputs!$C$47*0.097)))+0.3*(2*((SIN((((Inputs!$I$6+(((A112)+1)/2)*(Inputs!$J$6-Inputs!$I$6)))*12.9898+(Inputs!$C$6)*78.233+Inputs!$C$47*37.719))*43758.5453)-INT((SIN((((Inputs!$I$6+(((A112)+1)/2)*(Inputs!$J$6-Inputs!$I$6)))*12.9898+(Inputs!$C$6)*78.233+Inputs!$C$47*37.719))*43758.5453)))-1))),NA())</f>
        <v/>
      </c>
      <c r="AT112" s="9">
        <f>IF(OR(Inputs!$F$7=TRUE,Inputs!$F$7="TRUE",Inputs!$F$7=1),IF(OR(Inputs!$C$27=TRUE,Inputs!$C$27="TRUE",Inputs!$C$27=1),1,0)*(Inputs!$C$51*(115*EXP(-(((Inputs!$C$6)-25)^2)/(4.5^2))+70*EXP(-(((Inputs!$C$6)+38)^2)/(7^2))*(0.55+0.45*SIN(2*PI()*((Inputs!$I$7+(((A112)+1)/2)*(Inputs!$J$7-Inputs!$I$7)))/45))+24*SIN(2*PI()*(Inputs!$C$6)/9+((Inputs!$I$7+(((A112)+1)/2)*(Inputs!$J$7-Inputs!$I$7)))/18)*EXP(-(((Inputs!$C$6)+5)^2)/(22^2))+18*SIN(2*PI()*((Inputs!$I$7+(((A112)+1)/2)*(Inputs!$J$7-Inputs!$I$7)))/70))+Inputs!$C$28*EXP(-((((Inputs!$I$7+(((A112)+1)/2)*(Inputs!$J$7-Inputs!$I$7)))-Inputs!$C$29)^2)/(2*Inputs!$C$31^2))*EXP(-(((Inputs!$C$6)-Inputs!$C$30)^2)/(2*Inputs!$C$32^2))+-Inputs!$C$33*EXP(-((((((Inputs!$I$7+(((A112)+1)/2)*(Inputs!$J$7-Inputs!$I$7)))-Inputs!$C$34)^2)+(((Inputs!$C$6)-Inputs!$C$35)^2))/(2*Inputs!$C$36^2)))+Inputs!$C$37*(0.55*SIN(2*PI()*((Inputs!$I$7+(((A112)+1)/2)*(Inputs!$J$7-Inputs!$I$7)))/Inputs!$C$39)+0.35*COS(2*PI()*(Inputs!$C$6)/Inputs!$C$40)+0.2*SIN(2*PI()*(((Inputs!$I$7+(((A112)+1)/2)*(Inputs!$J$7-Inputs!$I$7)))+(Inputs!$C$6))/(0.5*(Inputs!$C$39+Inputs!$C$40))))+Inputs!$C$38*SIN(2*PI()*((Inputs!$I$7+(((A112)+1)/2)*(Inputs!$J$7-Inputs!$I$7)))/Inputs!$C$39)*SIN(2*PI()*(Inputs!$C$6)/Inputs!$C$40)+-Inputs!$C$41*EXP(-(((Inputs!$C$6)-Inputs!$C$43)^2)/(2*Inputs!$C$44^2))*EXP(-((((Inputs!$I$7+(((A112)+1)/2)*(Inputs!$J$7-Inputs!$I$7)))-Inputs!$C$42)^2)/(2*Inputs!$C$45^2))+Inputs!$C$48*(0.7*(0.45*SIN(2*PI()*((((Inputs!$I$7+(((A112)+1)/2)*(Inputs!$J$7-Inputs!$I$7)))/Inputs!$C$49)+Inputs!$C$47*0.137))+0.35*COS(2*PI()*(((Inputs!$C$6)/Inputs!$C$50)+Inputs!$C$47*0.173))+0.2*SIN(2*PI()*((((Inputs!$I$7+(((A112)+1)/2)*(Inputs!$J$7-Inputs!$I$7)))+(Inputs!$C$6))/(0.5*(Inputs!$C$49+Inputs!$C$50))+Inputs!$C$47*0.097)))+0.3*(2*((SIN((((Inputs!$I$7+(((A112)+1)/2)*(Inputs!$J$7-Inputs!$I$7)))*12.9898+(Inputs!$C$6)*78.233+Inputs!$C$47*37.719))*43758.5453)-INT((SIN((((Inputs!$I$7+(((A112)+1)/2)*(Inputs!$J$7-Inputs!$I$7)))*12.9898+(Inputs!$C$6)*78.233+Inputs!$C$47*37.719))*43758.5453)))-1))),NA())</f>
        <v/>
      </c>
      <c r="AU112" s="9">
        <f>IF(OR(Inputs!$F$8=TRUE,Inputs!$F$8="TRUE",Inputs!$F$8=1),IF(OR(Inputs!$C$27=TRUE,Inputs!$C$27="TRUE",Inputs!$C$27=1),1,0)*(Inputs!$C$51*(115*EXP(-(((Inputs!$C$6)-25)^2)/(4.5^2))+70*EXP(-(((Inputs!$C$6)+38)^2)/(7^2))*(0.55+0.45*SIN(2*PI()*((Inputs!$I$8+(((A112)+1)/2)*(Inputs!$J$8-Inputs!$I$8)))/45))+24*SIN(2*PI()*(Inputs!$C$6)/9+((Inputs!$I$8+(((A112)+1)/2)*(Inputs!$J$8-Inputs!$I$8)))/18)*EXP(-(((Inputs!$C$6)+5)^2)/(22^2))+18*SIN(2*PI()*((Inputs!$I$8+(((A112)+1)/2)*(Inputs!$J$8-Inputs!$I$8)))/70))+Inputs!$C$28*EXP(-((((Inputs!$I$8+(((A112)+1)/2)*(Inputs!$J$8-Inputs!$I$8)))-Inputs!$C$29)^2)/(2*Inputs!$C$31^2))*EXP(-(((Inputs!$C$6)-Inputs!$C$30)^2)/(2*Inputs!$C$32^2))+-Inputs!$C$33*EXP(-((((((Inputs!$I$8+(((A112)+1)/2)*(Inputs!$J$8-Inputs!$I$8)))-Inputs!$C$34)^2)+(((Inputs!$C$6)-Inputs!$C$35)^2))/(2*Inputs!$C$36^2)))+Inputs!$C$37*(0.55*SIN(2*PI()*((Inputs!$I$8+(((A112)+1)/2)*(Inputs!$J$8-Inputs!$I$8)))/Inputs!$C$39)+0.35*COS(2*PI()*(Inputs!$C$6)/Inputs!$C$40)+0.2*SIN(2*PI()*(((Inputs!$I$8+(((A112)+1)/2)*(Inputs!$J$8-Inputs!$I$8)))+(Inputs!$C$6))/(0.5*(Inputs!$C$39+Inputs!$C$40))))+Inputs!$C$38*SIN(2*PI()*((Inputs!$I$8+(((A112)+1)/2)*(Inputs!$J$8-Inputs!$I$8)))/Inputs!$C$39)*SIN(2*PI()*(Inputs!$C$6)/Inputs!$C$40)+-Inputs!$C$41*EXP(-(((Inputs!$C$6)-Inputs!$C$43)^2)/(2*Inputs!$C$44^2))*EXP(-((((Inputs!$I$8+(((A112)+1)/2)*(Inputs!$J$8-Inputs!$I$8)))-Inputs!$C$42)^2)/(2*Inputs!$C$45^2))+Inputs!$C$48*(0.7*(0.45*SIN(2*PI()*((((Inputs!$I$8+(((A112)+1)/2)*(Inputs!$J$8-Inputs!$I$8)))/Inputs!$C$49)+Inputs!$C$47*0.137))+0.35*COS(2*PI()*(((Inputs!$C$6)/Inputs!$C$50)+Inputs!$C$47*0.173))+0.2*SIN(2*PI()*((((Inputs!$I$8+(((A112)+1)/2)*(Inputs!$J$8-Inputs!$I$8)))+(Inputs!$C$6))/(0.5*(Inputs!$C$49+Inputs!$C$50))+Inputs!$C$47*0.097)))+0.3*(2*((SIN((((Inputs!$I$8+(((A112)+1)/2)*(Inputs!$J$8-Inputs!$I$8)))*12.9898+(Inputs!$C$6)*78.233+Inputs!$C$47*37.719))*43758.5453)-INT((SIN((((Inputs!$I$8+(((A112)+1)/2)*(Inputs!$J$8-Inputs!$I$8)))*12.9898+(Inputs!$C$6)*78.233+Inputs!$C$47*37.719))*43758.5453)))-1))),NA())</f>
        <v/>
      </c>
      <c r="AV112" s="9">
        <f>IF(OR(Inputs!$F$9=TRUE,Inputs!$F$9="TRUE",Inputs!$F$9=1),IF(OR(Inputs!$C$27=TRUE,Inputs!$C$27="TRUE",Inputs!$C$27=1),1,0)*(Inputs!$C$51*(115*EXP(-(((Inputs!$C$6)-25)^2)/(4.5^2))+70*EXP(-(((Inputs!$C$6)+38)^2)/(7^2))*(0.55+0.45*SIN(2*PI()*((Inputs!$I$9+(((A112)+1)/2)*(Inputs!$J$9-Inputs!$I$9)))/45))+24*SIN(2*PI()*(Inputs!$C$6)/9+((Inputs!$I$9+(((A112)+1)/2)*(Inputs!$J$9-Inputs!$I$9)))/18)*EXP(-(((Inputs!$C$6)+5)^2)/(22^2))+18*SIN(2*PI()*((Inputs!$I$9+(((A112)+1)/2)*(Inputs!$J$9-Inputs!$I$9)))/70))+Inputs!$C$28*EXP(-((((Inputs!$I$9+(((A112)+1)/2)*(Inputs!$J$9-Inputs!$I$9)))-Inputs!$C$29)^2)/(2*Inputs!$C$31^2))*EXP(-(((Inputs!$C$6)-Inputs!$C$30)^2)/(2*Inputs!$C$32^2))+-Inputs!$C$33*EXP(-((((((Inputs!$I$9+(((A112)+1)/2)*(Inputs!$J$9-Inputs!$I$9)))-Inputs!$C$34)^2)+(((Inputs!$C$6)-Inputs!$C$35)^2))/(2*Inputs!$C$36^2)))+Inputs!$C$37*(0.55*SIN(2*PI()*((Inputs!$I$9+(((A112)+1)/2)*(Inputs!$J$9-Inputs!$I$9)))/Inputs!$C$39)+0.35*COS(2*PI()*(Inputs!$C$6)/Inputs!$C$40)+0.2*SIN(2*PI()*(((Inputs!$I$9+(((A112)+1)/2)*(Inputs!$J$9-Inputs!$I$9)))+(Inputs!$C$6))/(0.5*(Inputs!$C$39+Inputs!$C$40))))+Inputs!$C$38*SIN(2*PI()*((Inputs!$I$9+(((A112)+1)/2)*(Inputs!$J$9-Inputs!$I$9)))/Inputs!$C$39)*SIN(2*PI()*(Inputs!$C$6)/Inputs!$C$40)+-Inputs!$C$41*EXP(-(((Inputs!$C$6)-Inputs!$C$43)^2)/(2*Inputs!$C$44^2))*EXP(-((((Inputs!$I$9+(((A112)+1)/2)*(Inputs!$J$9-Inputs!$I$9)))-Inputs!$C$42)^2)/(2*Inputs!$C$45^2))+Inputs!$C$48*(0.7*(0.45*SIN(2*PI()*((((Inputs!$I$9+(((A112)+1)/2)*(Inputs!$J$9-Inputs!$I$9)))/Inputs!$C$49)+Inputs!$C$47*0.137))+0.35*COS(2*PI()*(((Inputs!$C$6)/Inputs!$C$50)+Inputs!$C$47*0.173))+0.2*SIN(2*PI()*((((Inputs!$I$9+(((A112)+1)/2)*(Inputs!$J$9-Inputs!$I$9)))+(Inputs!$C$6))/(0.5*(Inputs!$C$49+Inputs!$C$50))+Inputs!$C$47*0.097)))+0.3*(2*((SIN((((Inputs!$I$9+(((A112)+1)/2)*(Inputs!$J$9-Inputs!$I$9)))*12.9898+(Inputs!$C$6)*78.233+Inputs!$C$47*37.719))*43758.5453)-INT((SIN((((Inputs!$I$9+(((A112)+1)/2)*(Inputs!$J$9-Inputs!$I$9)))*12.9898+(Inputs!$C$6)*78.233+Inputs!$C$47*37.719))*43758.5453)))-1))),NA())</f>
        <v/>
      </c>
      <c r="AW112" s="10" t="n"/>
      <c r="AX112" s="9">
        <f>A112</f>
        <v/>
      </c>
      <c r="AY112" s="9">
        <f>0</f>
        <v/>
      </c>
      <c r="AZ112" s="9">
        <f>IF(OR(Inputs!$F$6=TRUE,Inputs!$F$6="TRUE",Inputs!$F$6=1),(Inputs!$H$6+Inputs!$L$6*(((Inputs!$I$6+(((A112)+1)/2)*(Inputs!$J$6-Inputs!$I$6)))/Inputs!$K$6)^2),NA())</f>
        <v/>
      </c>
      <c r="BA112" s="9">
        <f>IF(OR(Inputs!$F$7=TRUE,Inputs!$F$7="TRUE",Inputs!$F$7=1),(Inputs!$H$7+Inputs!$L$7*(((Inputs!$I$7+(((A112)+1)/2)*(Inputs!$J$7-Inputs!$I$7)))/Inputs!$K$7)^2),NA())</f>
        <v/>
      </c>
      <c r="BB112" s="9">
        <f>IF(OR(Inputs!$F$8=TRUE,Inputs!$F$8="TRUE",Inputs!$F$8=1),(Inputs!$H$8+Inputs!$L$8*(((Inputs!$I$8+(((A112)+1)/2)*(Inputs!$J$8-Inputs!$I$8)))/Inputs!$K$8)^2),NA())</f>
        <v/>
      </c>
      <c r="BC112" s="9">
        <f>IF(OR(Inputs!$F$9=TRUE,Inputs!$F$9="TRUE",Inputs!$F$9=1),(Inputs!$H$9+Inputs!$L$9*(((Inputs!$I$9+(((A112)+1)/2)*(Inputs!$J$9-Inputs!$I$9)))/Inputs!$K$9)^2),NA())</f>
        <v/>
      </c>
      <c r="BD112" s="10" t="n"/>
      <c r="BE112" s="9">
        <f>A112</f>
        <v/>
      </c>
      <c r="BF112" s="9">
        <f>0</f>
        <v/>
      </c>
      <c r="BG112" s="9">
        <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f>
        <v/>
      </c>
      <c r="BH112" s="9">
        <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f>
        <v/>
      </c>
      <c r="BI112" s="9">
        <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f>
        <v/>
      </c>
      <c r="BJ112" s="9">
        <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f>
        <v/>
      </c>
    </row>
    <row r="113">
      <c r="A113" s="9">
        <f>ROUND(-1+111*2/240,3)</f>
        <v/>
      </c>
      <c r="B113" s="9">
        <f>IF(OR(Inputs!$F$6=TRUE,Inputs!$F$6="TRUE",Inputs!$F$6=1),(Inputs!$H$6+Inputs!$L$6*(((Inputs!$I$6+(((A113)+1)/2)*(Inputs!$J$6-Inputs!$I$6)))/Inputs!$K$6)^2),NA())</f>
        <v/>
      </c>
      <c r="C113" s="9">
        <f>IF(OR(Inputs!$F$7=TRUE,Inputs!$F$7="TRUE",Inputs!$F$7=1),(Inputs!$H$7+Inputs!$L$7*(((Inputs!$I$7+(((A113)+1)/2)*(Inputs!$J$7-Inputs!$I$7)))/Inputs!$K$7)^2),NA())</f>
        <v/>
      </c>
      <c r="D113" s="9">
        <f>IF(OR(Inputs!$F$8=TRUE,Inputs!$F$8="TRUE",Inputs!$F$8=1),(Inputs!$H$8+Inputs!$L$8*(((Inputs!$I$8+(((A113)+1)/2)*(Inputs!$J$8-Inputs!$I$8)))/Inputs!$K$8)^2),NA())</f>
        <v/>
      </c>
      <c r="E113" s="9">
        <f>IF(OR(Inputs!$F$9=TRUE,Inputs!$F$9="TRUE",Inputs!$F$9=1),(Inputs!$H$9+Inputs!$L$9*(((Inputs!$I$9+(((A113)+1)/2)*(Inputs!$J$9-Inputs!$I$9)))/Inputs!$K$9)^2),NA())</f>
        <v/>
      </c>
      <c r="F113" s="10" t="n"/>
      <c r="G113" s="9">
        <f>A113</f>
        <v/>
      </c>
      <c r="H113" s="9">
        <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f>
        <v/>
      </c>
      <c r="I113" s="9">
        <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f>
        <v/>
      </c>
      <c r="J113" s="9">
        <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f>
        <v/>
      </c>
      <c r="K113" s="9">
        <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f>
        <v/>
      </c>
      <c r="L113" s="10" t="n"/>
      <c r="M113" s="9">
        <f>A113</f>
        <v/>
      </c>
      <c r="N113" s="9">
        <f>IF(OR(Inputs!$F$6=TRUE,Inputs!$F$6="TRUE",Inputs!$F$6=1),(-2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NA())</f>
        <v/>
      </c>
      <c r="O113" s="9">
        <f>IF(OR(Inputs!$F$7=TRUE,Inputs!$F$7="TRUE",Inputs!$F$7=1),(-2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NA())</f>
        <v/>
      </c>
      <c r="P113" s="9">
        <f>IF(OR(Inputs!$F$8=TRUE,Inputs!$F$8="TRUE",Inputs!$F$8=1),(-2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NA())</f>
        <v/>
      </c>
      <c r="Q113" s="9">
        <f>IF(OR(Inputs!$F$9=TRUE,Inputs!$F$9="TRUE",Inputs!$F$9=1),(-2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NA())</f>
        <v/>
      </c>
      <c r="R113" s="10" t="n"/>
      <c r="S113" s="9">
        <f>A113</f>
        <v/>
      </c>
      <c r="T113" s="9">
        <f>(Inputs!$I$6+(((A113)+1)/2)*(Inputs!$J$6-Inputs!$I$6))</f>
        <v/>
      </c>
      <c r="U113" s="9">
        <f>(Inputs!$I$7+(((A113)+1)/2)*(Inputs!$J$7-Inputs!$I$7))</f>
        <v/>
      </c>
      <c r="V113" s="9">
        <f>(Inputs!$I$8+(((A113)+1)/2)*(Inputs!$J$8-Inputs!$I$8))</f>
        <v/>
      </c>
      <c r="W113" s="9">
        <f>(Inputs!$I$9+(((A113)+1)/2)*(Inputs!$J$9-Inputs!$I$9))</f>
        <v/>
      </c>
      <c r="X113" s="10" t="n"/>
      <c r="Y113" s="9">
        <f>A113</f>
        <v/>
      </c>
      <c r="Z113" s="9">
        <f>(Inputs!$H$6+Inputs!$L$6*(((Inputs!$I$6+(((A113)+1)/2)*(Inputs!$J$6-Inputs!$I$6)))/Inputs!$K$6)^2)</f>
        <v/>
      </c>
      <c r="AA113" s="9">
        <f>(Inputs!$H$7+Inputs!$L$7*(((Inputs!$I$7+(((A113)+1)/2)*(Inputs!$J$7-Inputs!$I$7)))/Inputs!$K$7)^2)</f>
        <v/>
      </c>
      <c r="AB113" s="9">
        <f>(Inputs!$H$8+Inputs!$L$8*(((Inputs!$I$8+(((A113)+1)/2)*(Inputs!$J$8-Inputs!$I$8)))/Inputs!$K$8)^2)</f>
        <v/>
      </c>
      <c r="AC113" s="9">
        <f>(Inputs!$H$9+Inputs!$L$9*(((Inputs!$I$9+(((A113)+1)/2)*(Inputs!$J$9-Inputs!$I$9)))/Inputs!$K$9)^2)</f>
        <v/>
      </c>
      <c r="AD113" s="10" t="n"/>
      <c r="AE113" s="9">
        <f>A113</f>
        <v/>
      </c>
      <c r="AF113" s="9">
        <f>(((SQRT((Inputs!$C$52+((Inputs!$H$6+Inputs!$L$6*(((Inputs!$I$6+(((A113)+1)/2)*(Inputs!$J$6-Inputs!$I$6)))/Inputs!$K$6)^2)))^2+Inputs!$C$52^2-2*(Inputs!$C$52+((Inputs!$H$6+Inputs!$L$6*(((Inputs!$I$6+(((A113)+1)/2)*(Inputs!$J$6-Inputs!$I$6)))/Inputs!$K$6)^2)))*Inputs!$C$52*COS(SQRT(((Inputs!$I$6+(((A113)+1)/2)*(Inputs!$J$6-Inputs!$I$6)))^2+Inputs!$C$6^2)/Inputs!$C$52)))-((Inputs!$H$6+Inputs!$L$6*(((Inputs!$I$6+(((A113)+1)/2)*(Inputs!$J$6-Inputs!$I$6)))/Inputs!$K$6)^2)))*1000/Inputs!$C$12)</f>
        <v/>
      </c>
      <c r="AG113" s="9">
        <f>(((SQRT((Inputs!$C$52+((Inputs!$H$7+Inputs!$L$7*(((Inputs!$I$7+(((A113)+1)/2)*(Inputs!$J$7-Inputs!$I$7)))/Inputs!$K$7)^2)))^2+Inputs!$C$52^2-2*(Inputs!$C$52+((Inputs!$H$7+Inputs!$L$7*(((Inputs!$I$7+(((A113)+1)/2)*(Inputs!$J$7-Inputs!$I$7)))/Inputs!$K$7)^2)))*Inputs!$C$52*COS(SQRT(((Inputs!$I$7+(((A113)+1)/2)*(Inputs!$J$7-Inputs!$I$7)))^2+Inputs!$C$6^2)/Inputs!$C$52)))-((Inputs!$H$7+Inputs!$L$7*(((Inputs!$I$7+(((A113)+1)/2)*(Inputs!$J$7-Inputs!$I$7)))/Inputs!$K$7)^2)))*1000/Inputs!$C$12)</f>
        <v/>
      </c>
      <c r="AH113" s="9">
        <f>(((SQRT((Inputs!$C$52+((Inputs!$H$8+Inputs!$L$8*(((Inputs!$I$8+(((A113)+1)/2)*(Inputs!$J$8-Inputs!$I$8)))/Inputs!$K$8)^2)))^2+Inputs!$C$52^2-2*(Inputs!$C$52+((Inputs!$H$8+Inputs!$L$8*(((Inputs!$I$8+(((A113)+1)/2)*(Inputs!$J$8-Inputs!$I$8)))/Inputs!$K$8)^2)))*Inputs!$C$52*COS(SQRT(((Inputs!$I$8+(((A113)+1)/2)*(Inputs!$J$8-Inputs!$I$8)))^2+Inputs!$C$6^2)/Inputs!$C$52)))-((Inputs!$H$8+Inputs!$L$8*(((Inputs!$I$8+(((A113)+1)/2)*(Inputs!$J$8-Inputs!$I$8)))/Inputs!$K$8)^2)))*1000/Inputs!$C$12)</f>
        <v/>
      </c>
      <c r="AI113" s="9">
        <f>(((SQRT((Inputs!$C$52+((Inputs!$H$9+Inputs!$L$9*(((Inputs!$I$9+(((A113)+1)/2)*(Inputs!$J$9-Inputs!$I$9)))/Inputs!$K$9)^2)))^2+Inputs!$C$52^2-2*(Inputs!$C$52+((Inputs!$H$9+Inputs!$L$9*(((Inputs!$I$9+(((A113)+1)/2)*(Inputs!$J$9-Inputs!$I$9)))/Inputs!$K$9)^2)))*Inputs!$C$52*COS(SQRT(((Inputs!$I$9+(((A113)+1)/2)*(Inputs!$J$9-Inputs!$I$9)))^2+Inputs!$C$6^2)/Inputs!$C$52)))-((Inputs!$H$9+Inputs!$L$9*(((Inputs!$I$9+(((A113)+1)/2)*(Inputs!$J$9-Inputs!$I$9)))/Inputs!$K$9)^2)))*1000/Inputs!$C$12)</f>
        <v/>
      </c>
      <c r="AJ113" s="10" t="n"/>
      <c r="AK113" s="9">
        <f>A113</f>
        <v/>
      </c>
      <c r="AL113" s="9">
        <f>(-2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f>
        <v/>
      </c>
      <c r="AM113" s="9">
        <f>(-2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f>
        <v/>
      </c>
      <c r="AN113" s="9">
        <f>(-2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f>
        <v/>
      </c>
      <c r="AO113" s="9">
        <f>(-2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f>
        <v/>
      </c>
      <c r="AP113" s="10" t="n"/>
      <c r="AQ113" s="9">
        <f>A113</f>
        <v/>
      </c>
      <c r="AR113" s="9">
        <f>0</f>
        <v/>
      </c>
      <c r="AS113" s="9">
        <f>IF(OR(Inputs!$F$6=TRUE,Inputs!$F$6="TRUE",Inputs!$F$6=1),IF(OR(Inputs!$C$27=TRUE,Inputs!$C$27="TRUE",Inputs!$C$27=1),1,0)*(Inputs!$C$51*(115*EXP(-(((Inputs!$C$6)-25)^2)/(4.5^2))+70*EXP(-(((Inputs!$C$6)+38)^2)/(7^2))*(0.55+0.45*SIN(2*PI()*((Inputs!$I$6+(((A113)+1)/2)*(Inputs!$J$6-Inputs!$I$6)))/45))+24*SIN(2*PI()*(Inputs!$C$6)/9+((Inputs!$I$6+(((A113)+1)/2)*(Inputs!$J$6-Inputs!$I$6)))/18)*EXP(-(((Inputs!$C$6)+5)^2)/(22^2))+18*SIN(2*PI()*((Inputs!$I$6+(((A113)+1)/2)*(Inputs!$J$6-Inputs!$I$6)))/70))+Inputs!$C$28*EXP(-((((Inputs!$I$6+(((A113)+1)/2)*(Inputs!$J$6-Inputs!$I$6)))-Inputs!$C$29)^2)/(2*Inputs!$C$31^2))*EXP(-(((Inputs!$C$6)-Inputs!$C$30)^2)/(2*Inputs!$C$32^2))+-Inputs!$C$33*EXP(-((((((Inputs!$I$6+(((A113)+1)/2)*(Inputs!$J$6-Inputs!$I$6)))-Inputs!$C$34)^2)+(((Inputs!$C$6)-Inputs!$C$35)^2))/(2*Inputs!$C$36^2)))+Inputs!$C$37*(0.55*SIN(2*PI()*((Inputs!$I$6+(((A113)+1)/2)*(Inputs!$J$6-Inputs!$I$6)))/Inputs!$C$39)+0.35*COS(2*PI()*(Inputs!$C$6)/Inputs!$C$40)+0.2*SIN(2*PI()*(((Inputs!$I$6+(((A113)+1)/2)*(Inputs!$J$6-Inputs!$I$6)))+(Inputs!$C$6))/(0.5*(Inputs!$C$39+Inputs!$C$40))))+Inputs!$C$38*SIN(2*PI()*((Inputs!$I$6+(((A113)+1)/2)*(Inputs!$J$6-Inputs!$I$6)))/Inputs!$C$39)*SIN(2*PI()*(Inputs!$C$6)/Inputs!$C$40)+-Inputs!$C$41*EXP(-(((Inputs!$C$6)-Inputs!$C$43)^2)/(2*Inputs!$C$44^2))*EXP(-((((Inputs!$I$6+(((A113)+1)/2)*(Inputs!$J$6-Inputs!$I$6)))-Inputs!$C$42)^2)/(2*Inputs!$C$45^2))+Inputs!$C$48*(0.7*(0.45*SIN(2*PI()*((((Inputs!$I$6+(((A113)+1)/2)*(Inputs!$J$6-Inputs!$I$6)))/Inputs!$C$49)+Inputs!$C$47*0.137))+0.35*COS(2*PI()*(((Inputs!$C$6)/Inputs!$C$50)+Inputs!$C$47*0.173))+0.2*SIN(2*PI()*((((Inputs!$I$6+(((A113)+1)/2)*(Inputs!$J$6-Inputs!$I$6)))+(Inputs!$C$6))/(0.5*(Inputs!$C$49+Inputs!$C$50))+Inputs!$C$47*0.097)))+0.3*(2*((SIN((((Inputs!$I$6+(((A113)+1)/2)*(Inputs!$J$6-Inputs!$I$6)))*12.9898+(Inputs!$C$6)*78.233+Inputs!$C$47*37.719))*43758.5453)-INT((SIN((((Inputs!$I$6+(((A113)+1)/2)*(Inputs!$J$6-Inputs!$I$6)))*12.9898+(Inputs!$C$6)*78.233+Inputs!$C$47*37.719))*43758.5453)))-1))),NA())</f>
        <v/>
      </c>
      <c r="AT113" s="9">
        <f>IF(OR(Inputs!$F$7=TRUE,Inputs!$F$7="TRUE",Inputs!$F$7=1),IF(OR(Inputs!$C$27=TRUE,Inputs!$C$27="TRUE",Inputs!$C$27=1),1,0)*(Inputs!$C$51*(115*EXP(-(((Inputs!$C$6)-25)^2)/(4.5^2))+70*EXP(-(((Inputs!$C$6)+38)^2)/(7^2))*(0.55+0.45*SIN(2*PI()*((Inputs!$I$7+(((A113)+1)/2)*(Inputs!$J$7-Inputs!$I$7)))/45))+24*SIN(2*PI()*(Inputs!$C$6)/9+((Inputs!$I$7+(((A113)+1)/2)*(Inputs!$J$7-Inputs!$I$7)))/18)*EXP(-(((Inputs!$C$6)+5)^2)/(22^2))+18*SIN(2*PI()*((Inputs!$I$7+(((A113)+1)/2)*(Inputs!$J$7-Inputs!$I$7)))/70))+Inputs!$C$28*EXP(-((((Inputs!$I$7+(((A113)+1)/2)*(Inputs!$J$7-Inputs!$I$7)))-Inputs!$C$29)^2)/(2*Inputs!$C$31^2))*EXP(-(((Inputs!$C$6)-Inputs!$C$30)^2)/(2*Inputs!$C$32^2))+-Inputs!$C$33*EXP(-((((((Inputs!$I$7+(((A113)+1)/2)*(Inputs!$J$7-Inputs!$I$7)))-Inputs!$C$34)^2)+(((Inputs!$C$6)-Inputs!$C$35)^2))/(2*Inputs!$C$36^2)))+Inputs!$C$37*(0.55*SIN(2*PI()*((Inputs!$I$7+(((A113)+1)/2)*(Inputs!$J$7-Inputs!$I$7)))/Inputs!$C$39)+0.35*COS(2*PI()*(Inputs!$C$6)/Inputs!$C$40)+0.2*SIN(2*PI()*(((Inputs!$I$7+(((A113)+1)/2)*(Inputs!$J$7-Inputs!$I$7)))+(Inputs!$C$6))/(0.5*(Inputs!$C$39+Inputs!$C$40))))+Inputs!$C$38*SIN(2*PI()*((Inputs!$I$7+(((A113)+1)/2)*(Inputs!$J$7-Inputs!$I$7)))/Inputs!$C$39)*SIN(2*PI()*(Inputs!$C$6)/Inputs!$C$40)+-Inputs!$C$41*EXP(-(((Inputs!$C$6)-Inputs!$C$43)^2)/(2*Inputs!$C$44^2))*EXP(-((((Inputs!$I$7+(((A113)+1)/2)*(Inputs!$J$7-Inputs!$I$7)))-Inputs!$C$42)^2)/(2*Inputs!$C$45^2))+Inputs!$C$48*(0.7*(0.45*SIN(2*PI()*((((Inputs!$I$7+(((A113)+1)/2)*(Inputs!$J$7-Inputs!$I$7)))/Inputs!$C$49)+Inputs!$C$47*0.137))+0.35*COS(2*PI()*(((Inputs!$C$6)/Inputs!$C$50)+Inputs!$C$47*0.173))+0.2*SIN(2*PI()*((((Inputs!$I$7+(((A113)+1)/2)*(Inputs!$J$7-Inputs!$I$7)))+(Inputs!$C$6))/(0.5*(Inputs!$C$49+Inputs!$C$50))+Inputs!$C$47*0.097)))+0.3*(2*((SIN((((Inputs!$I$7+(((A113)+1)/2)*(Inputs!$J$7-Inputs!$I$7)))*12.9898+(Inputs!$C$6)*78.233+Inputs!$C$47*37.719))*43758.5453)-INT((SIN((((Inputs!$I$7+(((A113)+1)/2)*(Inputs!$J$7-Inputs!$I$7)))*12.9898+(Inputs!$C$6)*78.233+Inputs!$C$47*37.719))*43758.5453)))-1))),NA())</f>
        <v/>
      </c>
      <c r="AU113" s="9">
        <f>IF(OR(Inputs!$F$8=TRUE,Inputs!$F$8="TRUE",Inputs!$F$8=1),IF(OR(Inputs!$C$27=TRUE,Inputs!$C$27="TRUE",Inputs!$C$27=1),1,0)*(Inputs!$C$51*(115*EXP(-(((Inputs!$C$6)-25)^2)/(4.5^2))+70*EXP(-(((Inputs!$C$6)+38)^2)/(7^2))*(0.55+0.45*SIN(2*PI()*((Inputs!$I$8+(((A113)+1)/2)*(Inputs!$J$8-Inputs!$I$8)))/45))+24*SIN(2*PI()*(Inputs!$C$6)/9+((Inputs!$I$8+(((A113)+1)/2)*(Inputs!$J$8-Inputs!$I$8)))/18)*EXP(-(((Inputs!$C$6)+5)^2)/(22^2))+18*SIN(2*PI()*((Inputs!$I$8+(((A113)+1)/2)*(Inputs!$J$8-Inputs!$I$8)))/70))+Inputs!$C$28*EXP(-((((Inputs!$I$8+(((A113)+1)/2)*(Inputs!$J$8-Inputs!$I$8)))-Inputs!$C$29)^2)/(2*Inputs!$C$31^2))*EXP(-(((Inputs!$C$6)-Inputs!$C$30)^2)/(2*Inputs!$C$32^2))+-Inputs!$C$33*EXP(-((((((Inputs!$I$8+(((A113)+1)/2)*(Inputs!$J$8-Inputs!$I$8)))-Inputs!$C$34)^2)+(((Inputs!$C$6)-Inputs!$C$35)^2))/(2*Inputs!$C$36^2)))+Inputs!$C$37*(0.55*SIN(2*PI()*((Inputs!$I$8+(((A113)+1)/2)*(Inputs!$J$8-Inputs!$I$8)))/Inputs!$C$39)+0.35*COS(2*PI()*(Inputs!$C$6)/Inputs!$C$40)+0.2*SIN(2*PI()*(((Inputs!$I$8+(((A113)+1)/2)*(Inputs!$J$8-Inputs!$I$8)))+(Inputs!$C$6))/(0.5*(Inputs!$C$39+Inputs!$C$40))))+Inputs!$C$38*SIN(2*PI()*((Inputs!$I$8+(((A113)+1)/2)*(Inputs!$J$8-Inputs!$I$8)))/Inputs!$C$39)*SIN(2*PI()*(Inputs!$C$6)/Inputs!$C$40)+-Inputs!$C$41*EXP(-(((Inputs!$C$6)-Inputs!$C$43)^2)/(2*Inputs!$C$44^2))*EXP(-((((Inputs!$I$8+(((A113)+1)/2)*(Inputs!$J$8-Inputs!$I$8)))-Inputs!$C$42)^2)/(2*Inputs!$C$45^2))+Inputs!$C$48*(0.7*(0.45*SIN(2*PI()*((((Inputs!$I$8+(((A113)+1)/2)*(Inputs!$J$8-Inputs!$I$8)))/Inputs!$C$49)+Inputs!$C$47*0.137))+0.35*COS(2*PI()*(((Inputs!$C$6)/Inputs!$C$50)+Inputs!$C$47*0.173))+0.2*SIN(2*PI()*((((Inputs!$I$8+(((A113)+1)/2)*(Inputs!$J$8-Inputs!$I$8)))+(Inputs!$C$6))/(0.5*(Inputs!$C$49+Inputs!$C$50))+Inputs!$C$47*0.097)))+0.3*(2*((SIN((((Inputs!$I$8+(((A113)+1)/2)*(Inputs!$J$8-Inputs!$I$8)))*12.9898+(Inputs!$C$6)*78.233+Inputs!$C$47*37.719))*43758.5453)-INT((SIN((((Inputs!$I$8+(((A113)+1)/2)*(Inputs!$J$8-Inputs!$I$8)))*12.9898+(Inputs!$C$6)*78.233+Inputs!$C$47*37.719))*43758.5453)))-1))),NA())</f>
        <v/>
      </c>
      <c r="AV113" s="9">
        <f>IF(OR(Inputs!$F$9=TRUE,Inputs!$F$9="TRUE",Inputs!$F$9=1),IF(OR(Inputs!$C$27=TRUE,Inputs!$C$27="TRUE",Inputs!$C$27=1),1,0)*(Inputs!$C$51*(115*EXP(-(((Inputs!$C$6)-25)^2)/(4.5^2))+70*EXP(-(((Inputs!$C$6)+38)^2)/(7^2))*(0.55+0.45*SIN(2*PI()*((Inputs!$I$9+(((A113)+1)/2)*(Inputs!$J$9-Inputs!$I$9)))/45))+24*SIN(2*PI()*(Inputs!$C$6)/9+((Inputs!$I$9+(((A113)+1)/2)*(Inputs!$J$9-Inputs!$I$9)))/18)*EXP(-(((Inputs!$C$6)+5)^2)/(22^2))+18*SIN(2*PI()*((Inputs!$I$9+(((A113)+1)/2)*(Inputs!$J$9-Inputs!$I$9)))/70))+Inputs!$C$28*EXP(-((((Inputs!$I$9+(((A113)+1)/2)*(Inputs!$J$9-Inputs!$I$9)))-Inputs!$C$29)^2)/(2*Inputs!$C$31^2))*EXP(-(((Inputs!$C$6)-Inputs!$C$30)^2)/(2*Inputs!$C$32^2))+-Inputs!$C$33*EXP(-((((((Inputs!$I$9+(((A113)+1)/2)*(Inputs!$J$9-Inputs!$I$9)))-Inputs!$C$34)^2)+(((Inputs!$C$6)-Inputs!$C$35)^2))/(2*Inputs!$C$36^2)))+Inputs!$C$37*(0.55*SIN(2*PI()*((Inputs!$I$9+(((A113)+1)/2)*(Inputs!$J$9-Inputs!$I$9)))/Inputs!$C$39)+0.35*COS(2*PI()*(Inputs!$C$6)/Inputs!$C$40)+0.2*SIN(2*PI()*(((Inputs!$I$9+(((A113)+1)/2)*(Inputs!$J$9-Inputs!$I$9)))+(Inputs!$C$6))/(0.5*(Inputs!$C$39+Inputs!$C$40))))+Inputs!$C$38*SIN(2*PI()*((Inputs!$I$9+(((A113)+1)/2)*(Inputs!$J$9-Inputs!$I$9)))/Inputs!$C$39)*SIN(2*PI()*(Inputs!$C$6)/Inputs!$C$40)+-Inputs!$C$41*EXP(-(((Inputs!$C$6)-Inputs!$C$43)^2)/(2*Inputs!$C$44^2))*EXP(-((((Inputs!$I$9+(((A113)+1)/2)*(Inputs!$J$9-Inputs!$I$9)))-Inputs!$C$42)^2)/(2*Inputs!$C$45^2))+Inputs!$C$48*(0.7*(0.45*SIN(2*PI()*((((Inputs!$I$9+(((A113)+1)/2)*(Inputs!$J$9-Inputs!$I$9)))/Inputs!$C$49)+Inputs!$C$47*0.137))+0.35*COS(2*PI()*(((Inputs!$C$6)/Inputs!$C$50)+Inputs!$C$47*0.173))+0.2*SIN(2*PI()*((((Inputs!$I$9+(((A113)+1)/2)*(Inputs!$J$9-Inputs!$I$9)))+(Inputs!$C$6))/(0.5*(Inputs!$C$49+Inputs!$C$50))+Inputs!$C$47*0.097)))+0.3*(2*((SIN((((Inputs!$I$9+(((A113)+1)/2)*(Inputs!$J$9-Inputs!$I$9)))*12.9898+(Inputs!$C$6)*78.233+Inputs!$C$47*37.719))*43758.5453)-INT((SIN((((Inputs!$I$9+(((A113)+1)/2)*(Inputs!$J$9-Inputs!$I$9)))*12.9898+(Inputs!$C$6)*78.233+Inputs!$C$47*37.719))*43758.5453)))-1))),NA())</f>
        <v/>
      </c>
      <c r="AW113" s="10" t="n"/>
      <c r="AX113" s="9">
        <f>A113</f>
        <v/>
      </c>
      <c r="AY113" s="9">
        <f>0</f>
        <v/>
      </c>
      <c r="AZ113" s="9">
        <f>IF(OR(Inputs!$F$6=TRUE,Inputs!$F$6="TRUE",Inputs!$F$6=1),(Inputs!$H$6+Inputs!$L$6*(((Inputs!$I$6+(((A113)+1)/2)*(Inputs!$J$6-Inputs!$I$6)))/Inputs!$K$6)^2),NA())</f>
        <v/>
      </c>
      <c r="BA113" s="9">
        <f>IF(OR(Inputs!$F$7=TRUE,Inputs!$F$7="TRUE",Inputs!$F$7=1),(Inputs!$H$7+Inputs!$L$7*(((Inputs!$I$7+(((A113)+1)/2)*(Inputs!$J$7-Inputs!$I$7)))/Inputs!$K$7)^2),NA())</f>
        <v/>
      </c>
      <c r="BB113" s="9">
        <f>IF(OR(Inputs!$F$8=TRUE,Inputs!$F$8="TRUE",Inputs!$F$8=1),(Inputs!$H$8+Inputs!$L$8*(((Inputs!$I$8+(((A113)+1)/2)*(Inputs!$J$8-Inputs!$I$8)))/Inputs!$K$8)^2),NA())</f>
        <v/>
      </c>
      <c r="BC113" s="9">
        <f>IF(OR(Inputs!$F$9=TRUE,Inputs!$F$9="TRUE",Inputs!$F$9=1),(Inputs!$H$9+Inputs!$L$9*(((Inputs!$I$9+(((A113)+1)/2)*(Inputs!$J$9-Inputs!$I$9)))/Inputs!$K$9)^2),NA())</f>
        <v/>
      </c>
      <c r="BD113" s="10" t="n"/>
      <c r="BE113" s="9">
        <f>A113</f>
        <v/>
      </c>
      <c r="BF113" s="9">
        <f>0</f>
        <v/>
      </c>
      <c r="BG113" s="9">
        <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f>
        <v/>
      </c>
      <c r="BH113" s="9">
        <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f>
        <v/>
      </c>
      <c r="BI113" s="9">
        <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f>
        <v/>
      </c>
      <c r="BJ113" s="9">
        <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f>
        <v/>
      </c>
    </row>
    <row r="114">
      <c r="A114" s="9">
        <f>ROUND(-1+112*2/240,3)</f>
        <v/>
      </c>
      <c r="B114" s="9">
        <f>IF(OR(Inputs!$F$6=TRUE,Inputs!$F$6="TRUE",Inputs!$F$6=1),(Inputs!$H$6+Inputs!$L$6*(((Inputs!$I$6+(((A114)+1)/2)*(Inputs!$J$6-Inputs!$I$6)))/Inputs!$K$6)^2),NA())</f>
        <v/>
      </c>
      <c r="C114" s="9">
        <f>IF(OR(Inputs!$F$7=TRUE,Inputs!$F$7="TRUE",Inputs!$F$7=1),(Inputs!$H$7+Inputs!$L$7*(((Inputs!$I$7+(((A114)+1)/2)*(Inputs!$J$7-Inputs!$I$7)))/Inputs!$K$7)^2),NA())</f>
        <v/>
      </c>
      <c r="D114" s="9">
        <f>IF(OR(Inputs!$F$8=TRUE,Inputs!$F$8="TRUE",Inputs!$F$8=1),(Inputs!$H$8+Inputs!$L$8*(((Inputs!$I$8+(((A114)+1)/2)*(Inputs!$J$8-Inputs!$I$8)))/Inputs!$K$8)^2),NA())</f>
        <v/>
      </c>
      <c r="E114" s="9">
        <f>IF(OR(Inputs!$F$9=TRUE,Inputs!$F$9="TRUE",Inputs!$F$9=1),(Inputs!$H$9+Inputs!$L$9*(((Inputs!$I$9+(((A114)+1)/2)*(Inputs!$J$9-Inputs!$I$9)))/Inputs!$K$9)^2),NA())</f>
        <v/>
      </c>
      <c r="F114" s="10" t="n"/>
      <c r="G114" s="9">
        <f>A114</f>
        <v/>
      </c>
      <c r="H114" s="9">
        <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f>
        <v/>
      </c>
      <c r="I114" s="9">
        <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f>
        <v/>
      </c>
      <c r="J114" s="9">
        <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f>
        <v/>
      </c>
      <c r="K114" s="9">
        <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f>
        <v/>
      </c>
      <c r="L114" s="10" t="n"/>
      <c r="M114" s="9">
        <f>A114</f>
        <v/>
      </c>
      <c r="N114" s="9">
        <f>IF(OR(Inputs!$F$6=TRUE,Inputs!$F$6="TRUE",Inputs!$F$6=1),(-2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NA())</f>
        <v/>
      </c>
      <c r="O114" s="9">
        <f>IF(OR(Inputs!$F$7=TRUE,Inputs!$F$7="TRUE",Inputs!$F$7=1),(-2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NA())</f>
        <v/>
      </c>
      <c r="P114" s="9">
        <f>IF(OR(Inputs!$F$8=TRUE,Inputs!$F$8="TRUE",Inputs!$F$8=1),(-2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NA())</f>
        <v/>
      </c>
      <c r="Q114" s="9">
        <f>IF(OR(Inputs!$F$9=TRUE,Inputs!$F$9="TRUE",Inputs!$F$9=1),(-2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NA())</f>
        <v/>
      </c>
      <c r="R114" s="10" t="n"/>
      <c r="S114" s="9">
        <f>A114</f>
        <v/>
      </c>
      <c r="T114" s="9">
        <f>(Inputs!$I$6+(((A114)+1)/2)*(Inputs!$J$6-Inputs!$I$6))</f>
        <v/>
      </c>
      <c r="U114" s="9">
        <f>(Inputs!$I$7+(((A114)+1)/2)*(Inputs!$J$7-Inputs!$I$7))</f>
        <v/>
      </c>
      <c r="V114" s="9">
        <f>(Inputs!$I$8+(((A114)+1)/2)*(Inputs!$J$8-Inputs!$I$8))</f>
        <v/>
      </c>
      <c r="W114" s="9">
        <f>(Inputs!$I$9+(((A114)+1)/2)*(Inputs!$J$9-Inputs!$I$9))</f>
        <v/>
      </c>
      <c r="X114" s="10" t="n"/>
      <c r="Y114" s="9">
        <f>A114</f>
        <v/>
      </c>
      <c r="Z114" s="9">
        <f>(Inputs!$H$6+Inputs!$L$6*(((Inputs!$I$6+(((A114)+1)/2)*(Inputs!$J$6-Inputs!$I$6)))/Inputs!$K$6)^2)</f>
        <v/>
      </c>
      <c r="AA114" s="9">
        <f>(Inputs!$H$7+Inputs!$L$7*(((Inputs!$I$7+(((A114)+1)/2)*(Inputs!$J$7-Inputs!$I$7)))/Inputs!$K$7)^2)</f>
        <v/>
      </c>
      <c r="AB114" s="9">
        <f>(Inputs!$H$8+Inputs!$L$8*(((Inputs!$I$8+(((A114)+1)/2)*(Inputs!$J$8-Inputs!$I$8)))/Inputs!$K$8)^2)</f>
        <v/>
      </c>
      <c r="AC114" s="9">
        <f>(Inputs!$H$9+Inputs!$L$9*(((Inputs!$I$9+(((A114)+1)/2)*(Inputs!$J$9-Inputs!$I$9)))/Inputs!$K$9)^2)</f>
        <v/>
      </c>
      <c r="AD114" s="10" t="n"/>
      <c r="AE114" s="9">
        <f>A114</f>
        <v/>
      </c>
      <c r="AF114" s="9">
        <f>(((SQRT((Inputs!$C$52+((Inputs!$H$6+Inputs!$L$6*(((Inputs!$I$6+(((A114)+1)/2)*(Inputs!$J$6-Inputs!$I$6)))/Inputs!$K$6)^2)))^2+Inputs!$C$52^2-2*(Inputs!$C$52+((Inputs!$H$6+Inputs!$L$6*(((Inputs!$I$6+(((A114)+1)/2)*(Inputs!$J$6-Inputs!$I$6)))/Inputs!$K$6)^2)))*Inputs!$C$52*COS(SQRT(((Inputs!$I$6+(((A114)+1)/2)*(Inputs!$J$6-Inputs!$I$6)))^2+Inputs!$C$6^2)/Inputs!$C$52)))-((Inputs!$H$6+Inputs!$L$6*(((Inputs!$I$6+(((A114)+1)/2)*(Inputs!$J$6-Inputs!$I$6)))/Inputs!$K$6)^2)))*1000/Inputs!$C$12)</f>
        <v/>
      </c>
      <c r="AG114" s="9">
        <f>(((SQRT((Inputs!$C$52+((Inputs!$H$7+Inputs!$L$7*(((Inputs!$I$7+(((A114)+1)/2)*(Inputs!$J$7-Inputs!$I$7)))/Inputs!$K$7)^2)))^2+Inputs!$C$52^2-2*(Inputs!$C$52+((Inputs!$H$7+Inputs!$L$7*(((Inputs!$I$7+(((A114)+1)/2)*(Inputs!$J$7-Inputs!$I$7)))/Inputs!$K$7)^2)))*Inputs!$C$52*COS(SQRT(((Inputs!$I$7+(((A114)+1)/2)*(Inputs!$J$7-Inputs!$I$7)))^2+Inputs!$C$6^2)/Inputs!$C$52)))-((Inputs!$H$7+Inputs!$L$7*(((Inputs!$I$7+(((A114)+1)/2)*(Inputs!$J$7-Inputs!$I$7)))/Inputs!$K$7)^2)))*1000/Inputs!$C$12)</f>
        <v/>
      </c>
      <c r="AH114" s="9">
        <f>(((SQRT((Inputs!$C$52+((Inputs!$H$8+Inputs!$L$8*(((Inputs!$I$8+(((A114)+1)/2)*(Inputs!$J$8-Inputs!$I$8)))/Inputs!$K$8)^2)))^2+Inputs!$C$52^2-2*(Inputs!$C$52+((Inputs!$H$8+Inputs!$L$8*(((Inputs!$I$8+(((A114)+1)/2)*(Inputs!$J$8-Inputs!$I$8)))/Inputs!$K$8)^2)))*Inputs!$C$52*COS(SQRT(((Inputs!$I$8+(((A114)+1)/2)*(Inputs!$J$8-Inputs!$I$8)))^2+Inputs!$C$6^2)/Inputs!$C$52)))-((Inputs!$H$8+Inputs!$L$8*(((Inputs!$I$8+(((A114)+1)/2)*(Inputs!$J$8-Inputs!$I$8)))/Inputs!$K$8)^2)))*1000/Inputs!$C$12)</f>
        <v/>
      </c>
      <c r="AI114" s="9">
        <f>(((SQRT((Inputs!$C$52+((Inputs!$H$9+Inputs!$L$9*(((Inputs!$I$9+(((A114)+1)/2)*(Inputs!$J$9-Inputs!$I$9)))/Inputs!$K$9)^2)))^2+Inputs!$C$52^2-2*(Inputs!$C$52+((Inputs!$H$9+Inputs!$L$9*(((Inputs!$I$9+(((A114)+1)/2)*(Inputs!$J$9-Inputs!$I$9)))/Inputs!$K$9)^2)))*Inputs!$C$52*COS(SQRT(((Inputs!$I$9+(((A114)+1)/2)*(Inputs!$J$9-Inputs!$I$9)))^2+Inputs!$C$6^2)/Inputs!$C$52)))-((Inputs!$H$9+Inputs!$L$9*(((Inputs!$I$9+(((A114)+1)/2)*(Inputs!$J$9-Inputs!$I$9)))/Inputs!$K$9)^2)))*1000/Inputs!$C$12)</f>
        <v/>
      </c>
      <c r="AJ114" s="10" t="n"/>
      <c r="AK114" s="9">
        <f>A114</f>
        <v/>
      </c>
      <c r="AL114" s="9">
        <f>(-2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f>
        <v/>
      </c>
      <c r="AM114" s="9">
        <f>(-2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f>
        <v/>
      </c>
      <c r="AN114" s="9">
        <f>(-2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f>
        <v/>
      </c>
      <c r="AO114" s="9">
        <f>(-2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f>
        <v/>
      </c>
      <c r="AP114" s="10" t="n"/>
      <c r="AQ114" s="9">
        <f>A114</f>
        <v/>
      </c>
      <c r="AR114" s="9">
        <f>0</f>
        <v/>
      </c>
      <c r="AS114" s="9">
        <f>IF(OR(Inputs!$F$6=TRUE,Inputs!$F$6="TRUE",Inputs!$F$6=1),IF(OR(Inputs!$C$27=TRUE,Inputs!$C$27="TRUE",Inputs!$C$27=1),1,0)*(Inputs!$C$51*(115*EXP(-(((Inputs!$C$6)-25)^2)/(4.5^2))+70*EXP(-(((Inputs!$C$6)+38)^2)/(7^2))*(0.55+0.45*SIN(2*PI()*((Inputs!$I$6+(((A114)+1)/2)*(Inputs!$J$6-Inputs!$I$6)))/45))+24*SIN(2*PI()*(Inputs!$C$6)/9+((Inputs!$I$6+(((A114)+1)/2)*(Inputs!$J$6-Inputs!$I$6)))/18)*EXP(-(((Inputs!$C$6)+5)^2)/(22^2))+18*SIN(2*PI()*((Inputs!$I$6+(((A114)+1)/2)*(Inputs!$J$6-Inputs!$I$6)))/70))+Inputs!$C$28*EXP(-((((Inputs!$I$6+(((A114)+1)/2)*(Inputs!$J$6-Inputs!$I$6)))-Inputs!$C$29)^2)/(2*Inputs!$C$31^2))*EXP(-(((Inputs!$C$6)-Inputs!$C$30)^2)/(2*Inputs!$C$32^2))+-Inputs!$C$33*EXP(-((((((Inputs!$I$6+(((A114)+1)/2)*(Inputs!$J$6-Inputs!$I$6)))-Inputs!$C$34)^2)+(((Inputs!$C$6)-Inputs!$C$35)^2))/(2*Inputs!$C$36^2)))+Inputs!$C$37*(0.55*SIN(2*PI()*((Inputs!$I$6+(((A114)+1)/2)*(Inputs!$J$6-Inputs!$I$6)))/Inputs!$C$39)+0.35*COS(2*PI()*(Inputs!$C$6)/Inputs!$C$40)+0.2*SIN(2*PI()*(((Inputs!$I$6+(((A114)+1)/2)*(Inputs!$J$6-Inputs!$I$6)))+(Inputs!$C$6))/(0.5*(Inputs!$C$39+Inputs!$C$40))))+Inputs!$C$38*SIN(2*PI()*((Inputs!$I$6+(((A114)+1)/2)*(Inputs!$J$6-Inputs!$I$6)))/Inputs!$C$39)*SIN(2*PI()*(Inputs!$C$6)/Inputs!$C$40)+-Inputs!$C$41*EXP(-(((Inputs!$C$6)-Inputs!$C$43)^2)/(2*Inputs!$C$44^2))*EXP(-((((Inputs!$I$6+(((A114)+1)/2)*(Inputs!$J$6-Inputs!$I$6)))-Inputs!$C$42)^2)/(2*Inputs!$C$45^2))+Inputs!$C$48*(0.7*(0.45*SIN(2*PI()*((((Inputs!$I$6+(((A114)+1)/2)*(Inputs!$J$6-Inputs!$I$6)))/Inputs!$C$49)+Inputs!$C$47*0.137))+0.35*COS(2*PI()*(((Inputs!$C$6)/Inputs!$C$50)+Inputs!$C$47*0.173))+0.2*SIN(2*PI()*((((Inputs!$I$6+(((A114)+1)/2)*(Inputs!$J$6-Inputs!$I$6)))+(Inputs!$C$6))/(0.5*(Inputs!$C$49+Inputs!$C$50))+Inputs!$C$47*0.097)))+0.3*(2*((SIN((((Inputs!$I$6+(((A114)+1)/2)*(Inputs!$J$6-Inputs!$I$6)))*12.9898+(Inputs!$C$6)*78.233+Inputs!$C$47*37.719))*43758.5453)-INT((SIN((((Inputs!$I$6+(((A114)+1)/2)*(Inputs!$J$6-Inputs!$I$6)))*12.9898+(Inputs!$C$6)*78.233+Inputs!$C$47*37.719))*43758.5453)))-1))),NA())</f>
        <v/>
      </c>
      <c r="AT114" s="9">
        <f>IF(OR(Inputs!$F$7=TRUE,Inputs!$F$7="TRUE",Inputs!$F$7=1),IF(OR(Inputs!$C$27=TRUE,Inputs!$C$27="TRUE",Inputs!$C$27=1),1,0)*(Inputs!$C$51*(115*EXP(-(((Inputs!$C$6)-25)^2)/(4.5^2))+70*EXP(-(((Inputs!$C$6)+38)^2)/(7^2))*(0.55+0.45*SIN(2*PI()*((Inputs!$I$7+(((A114)+1)/2)*(Inputs!$J$7-Inputs!$I$7)))/45))+24*SIN(2*PI()*(Inputs!$C$6)/9+((Inputs!$I$7+(((A114)+1)/2)*(Inputs!$J$7-Inputs!$I$7)))/18)*EXP(-(((Inputs!$C$6)+5)^2)/(22^2))+18*SIN(2*PI()*((Inputs!$I$7+(((A114)+1)/2)*(Inputs!$J$7-Inputs!$I$7)))/70))+Inputs!$C$28*EXP(-((((Inputs!$I$7+(((A114)+1)/2)*(Inputs!$J$7-Inputs!$I$7)))-Inputs!$C$29)^2)/(2*Inputs!$C$31^2))*EXP(-(((Inputs!$C$6)-Inputs!$C$30)^2)/(2*Inputs!$C$32^2))+-Inputs!$C$33*EXP(-((((((Inputs!$I$7+(((A114)+1)/2)*(Inputs!$J$7-Inputs!$I$7)))-Inputs!$C$34)^2)+(((Inputs!$C$6)-Inputs!$C$35)^2))/(2*Inputs!$C$36^2)))+Inputs!$C$37*(0.55*SIN(2*PI()*((Inputs!$I$7+(((A114)+1)/2)*(Inputs!$J$7-Inputs!$I$7)))/Inputs!$C$39)+0.35*COS(2*PI()*(Inputs!$C$6)/Inputs!$C$40)+0.2*SIN(2*PI()*(((Inputs!$I$7+(((A114)+1)/2)*(Inputs!$J$7-Inputs!$I$7)))+(Inputs!$C$6))/(0.5*(Inputs!$C$39+Inputs!$C$40))))+Inputs!$C$38*SIN(2*PI()*((Inputs!$I$7+(((A114)+1)/2)*(Inputs!$J$7-Inputs!$I$7)))/Inputs!$C$39)*SIN(2*PI()*(Inputs!$C$6)/Inputs!$C$40)+-Inputs!$C$41*EXP(-(((Inputs!$C$6)-Inputs!$C$43)^2)/(2*Inputs!$C$44^2))*EXP(-((((Inputs!$I$7+(((A114)+1)/2)*(Inputs!$J$7-Inputs!$I$7)))-Inputs!$C$42)^2)/(2*Inputs!$C$45^2))+Inputs!$C$48*(0.7*(0.45*SIN(2*PI()*((((Inputs!$I$7+(((A114)+1)/2)*(Inputs!$J$7-Inputs!$I$7)))/Inputs!$C$49)+Inputs!$C$47*0.137))+0.35*COS(2*PI()*(((Inputs!$C$6)/Inputs!$C$50)+Inputs!$C$47*0.173))+0.2*SIN(2*PI()*((((Inputs!$I$7+(((A114)+1)/2)*(Inputs!$J$7-Inputs!$I$7)))+(Inputs!$C$6))/(0.5*(Inputs!$C$49+Inputs!$C$50))+Inputs!$C$47*0.097)))+0.3*(2*((SIN((((Inputs!$I$7+(((A114)+1)/2)*(Inputs!$J$7-Inputs!$I$7)))*12.9898+(Inputs!$C$6)*78.233+Inputs!$C$47*37.719))*43758.5453)-INT((SIN((((Inputs!$I$7+(((A114)+1)/2)*(Inputs!$J$7-Inputs!$I$7)))*12.9898+(Inputs!$C$6)*78.233+Inputs!$C$47*37.719))*43758.5453)))-1))),NA())</f>
        <v/>
      </c>
      <c r="AU114" s="9">
        <f>IF(OR(Inputs!$F$8=TRUE,Inputs!$F$8="TRUE",Inputs!$F$8=1),IF(OR(Inputs!$C$27=TRUE,Inputs!$C$27="TRUE",Inputs!$C$27=1),1,0)*(Inputs!$C$51*(115*EXP(-(((Inputs!$C$6)-25)^2)/(4.5^2))+70*EXP(-(((Inputs!$C$6)+38)^2)/(7^2))*(0.55+0.45*SIN(2*PI()*((Inputs!$I$8+(((A114)+1)/2)*(Inputs!$J$8-Inputs!$I$8)))/45))+24*SIN(2*PI()*(Inputs!$C$6)/9+((Inputs!$I$8+(((A114)+1)/2)*(Inputs!$J$8-Inputs!$I$8)))/18)*EXP(-(((Inputs!$C$6)+5)^2)/(22^2))+18*SIN(2*PI()*((Inputs!$I$8+(((A114)+1)/2)*(Inputs!$J$8-Inputs!$I$8)))/70))+Inputs!$C$28*EXP(-((((Inputs!$I$8+(((A114)+1)/2)*(Inputs!$J$8-Inputs!$I$8)))-Inputs!$C$29)^2)/(2*Inputs!$C$31^2))*EXP(-(((Inputs!$C$6)-Inputs!$C$30)^2)/(2*Inputs!$C$32^2))+-Inputs!$C$33*EXP(-((((((Inputs!$I$8+(((A114)+1)/2)*(Inputs!$J$8-Inputs!$I$8)))-Inputs!$C$34)^2)+(((Inputs!$C$6)-Inputs!$C$35)^2))/(2*Inputs!$C$36^2)))+Inputs!$C$37*(0.55*SIN(2*PI()*((Inputs!$I$8+(((A114)+1)/2)*(Inputs!$J$8-Inputs!$I$8)))/Inputs!$C$39)+0.35*COS(2*PI()*(Inputs!$C$6)/Inputs!$C$40)+0.2*SIN(2*PI()*(((Inputs!$I$8+(((A114)+1)/2)*(Inputs!$J$8-Inputs!$I$8)))+(Inputs!$C$6))/(0.5*(Inputs!$C$39+Inputs!$C$40))))+Inputs!$C$38*SIN(2*PI()*((Inputs!$I$8+(((A114)+1)/2)*(Inputs!$J$8-Inputs!$I$8)))/Inputs!$C$39)*SIN(2*PI()*(Inputs!$C$6)/Inputs!$C$40)+-Inputs!$C$41*EXP(-(((Inputs!$C$6)-Inputs!$C$43)^2)/(2*Inputs!$C$44^2))*EXP(-((((Inputs!$I$8+(((A114)+1)/2)*(Inputs!$J$8-Inputs!$I$8)))-Inputs!$C$42)^2)/(2*Inputs!$C$45^2))+Inputs!$C$48*(0.7*(0.45*SIN(2*PI()*((((Inputs!$I$8+(((A114)+1)/2)*(Inputs!$J$8-Inputs!$I$8)))/Inputs!$C$49)+Inputs!$C$47*0.137))+0.35*COS(2*PI()*(((Inputs!$C$6)/Inputs!$C$50)+Inputs!$C$47*0.173))+0.2*SIN(2*PI()*((((Inputs!$I$8+(((A114)+1)/2)*(Inputs!$J$8-Inputs!$I$8)))+(Inputs!$C$6))/(0.5*(Inputs!$C$49+Inputs!$C$50))+Inputs!$C$47*0.097)))+0.3*(2*((SIN((((Inputs!$I$8+(((A114)+1)/2)*(Inputs!$J$8-Inputs!$I$8)))*12.9898+(Inputs!$C$6)*78.233+Inputs!$C$47*37.719))*43758.5453)-INT((SIN((((Inputs!$I$8+(((A114)+1)/2)*(Inputs!$J$8-Inputs!$I$8)))*12.9898+(Inputs!$C$6)*78.233+Inputs!$C$47*37.719))*43758.5453)))-1))),NA())</f>
        <v/>
      </c>
      <c r="AV114" s="9">
        <f>IF(OR(Inputs!$F$9=TRUE,Inputs!$F$9="TRUE",Inputs!$F$9=1),IF(OR(Inputs!$C$27=TRUE,Inputs!$C$27="TRUE",Inputs!$C$27=1),1,0)*(Inputs!$C$51*(115*EXP(-(((Inputs!$C$6)-25)^2)/(4.5^2))+70*EXP(-(((Inputs!$C$6)+38)^2)/(7^2))*(0.55+0.45*SIN(2*PI()*((Inputs!$I$9+(((A114)+1)/2)*(Inputs!$J$9-Inputs!$I$9)))/45))+24*SIN(2*PI()*(Inputs!$C$6)/9+((Inputs!$I$9+(((A114)+1)/2)*(Inputs!$J$9-Inputs!$I$9)))/18)*EXP(-(((Inputs!$C$6)+5)^2)/(22^2))+18*SIN(2*PI()*((Inputs!$I$9+(((A114)+1)/2)*(Inputs!$J$9-Inputs!$I$9)))/70))+Inputs!$C$28*EXP(-((((Inputs!$I$9+(((A114)+1)/2)*(Inputs!$J$9-Inputs!$I$9)))-Inputs!$C$29)^2)/(2*Inputs!$C$31^2))*EXP(-(((Inputs!$C$6)-Inputs!$C$30)^2)/(2*Inputs!$C$32^2))+-Inputs!$C$33*EXP(-((((((Inputs!$I$9+(((A114)+1)/2)*(Inputs!$J$9-Inputs!$I$9)))-Inputs!$C$34)^2)+(((Inputs!$C$6)-Inputs!$C$35)^2))/(2*Inputs!$C$36^2)))+Inputs!$C$37*(0.55*SIN(2*PI()*((Inputs!$I$9+(((A114)+1)/2)*(Inputs!$J$9-Inputs!$I$9)))/Inputs!$C$39)+0.35*COS(2*PI()*(Inputs!$C$6)/Inputs!$C$40)+0.2*SIN(2*PI()*(((Inputs!$I$9+(((A114)+1)/2)*(Inputs!$J$9-Inputs!$I$9)))+(Inputs!$C$6))/(0.5*(Inputs!$C$39+Inputs!$C$40))))+Inputs!$C$38*SIN(2*PI()*((Inputs!$I$9+(((A114)+1)/2)*(Inputs!$J$9-Inputs!$I$9)))/Inputs!$C$39)*SIN(2*PI()*(Inputs!$C$6)/Inputs!$C$40)+-Inputs!$C$41*EXP(-(((Inputs!$C$6)-Inputs!$C$43)^2)/(2*Inputs!$C$44^2))*EXP(-((((Inputs!$I$9+(((A114)+1)/2)*(Inputs!$J$9-Inputs!$I$9)))-Inputs!$C$42)^2)/(2*Inputs!$C$45^2))+Inputs!$C$48*(0.7*(0.45*SIN(2*PI()*((((Inputs!$I$9+(((A114)+1)/2)*(Inputs!$J$9-Inputs!$I$9)))/Inputs!$C$49)+Inputs!$C$47*0.137))+0.35*COS(2*PI()*(((Inputs!$C$6)/Inputs!$C$50)+Inputs!$C$47*0.173))+0.2*SIN(2*PI()*((((Inputs!$I$9+(((A114)+1)/2)*(Inputs!$J$9-Inputs!$I$9)))+(Inputs!$C$6))/(0.5*(Inputs!$C$49+Inputs!$C$50))+Inputs!$C$47*0.097)))+0.3*(2*((SIN((((Inputs!$I$9+(((A114)+1)/2)*(Inputs!$J$9-Inputs!$I$9)))*12.9898+(Inputs!$C$6)*78.233+Inputs!$C$47*37.719))*43758.5453)-INT((SIN((((Inputs!$I$9+(((A114)+1)/2)*(Inputs!$J$9-Inputs!$I$9)))*12.9898+(Inputs!$C$6)*78.233+Inputs!$C$47*37.719))*43758.5453)))-1))),NA())</f>
        <v/>
      </c>
      <c r="AW114" s="10" t="n"/>
      <c r="AX114" s="9">
        <f>A114</f>
        <v/>
      </c>
      <c r="AY114" s="9">
        <f>0</f>
        <v/>
      </c>
      <c r="AZ114" s="9">
        <f>IF(OR(Inputs!$F$6=TRUE,Inputs!$F$6="TRUE",Inputs!$F$6=1),(Inputs!$H$6+Inputs!$L$6*(((Inputs!$I$6+(((A114)+1)/2)*(Inputs!$J$6-Inputs!$I$6)))/Inputs!$K$6)^2),NA())</f>
        <v/>
      </c>
      <c r="BA114" s="9">
        <f>IF(OR(Inputs!$F$7=TRUE,Inputs!$F$7="TRUE",Inputs!$F$7=1),(Inputs!$H$7+Inputs!$L$7*(((Inputs!$I$7+(((A114)+1)/2)*(Inputs!$J$7-Inputs!$I$7)))/Inputs!$K$7)^2),NA())</f>
        <v/>
      </c>
      <c r="BB114" s="9">
        <f>IF(OR(Inputs!$F$8=TRUE,Inputs!$F$8="TRUE",Inputs!$F$8=1),(Inputs!$H$8+Inputs!$L$8*(((Inputs!$I$8+(((A114)+1)/2)*(Inputs!$J$8-Inputs!$I$8)))/Inputs!$K$8)^2),NA())</f>
        <v/>
      </c>
      <c r="BC114" s="9">
        <f>IF(OR(Inputs!$F$9=TRUE,Inputs!$F$9="TRUE",Inputs!$F$9=1),(Inputs!$H$9+Inputs!$L$9*(((Inputs!$I$9+(((A114)+1)/2)*(Inputs!$J$9-Inputs!$I$9)))/Inputs!$K$9)^2),NA())</f>
        <v/>
      </c>
      <c r="BD114" s="10" t="n"/>
      <c r="BE114" s="9">
        <f>A114</f>
        <v/>
      </c>
      <c r="BF114" s="9">
        <f>0</f>
        <v/>
      </c>
      <c r="BG114" s="9">
        <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f>
        <v/>
      </c>
      <c r="BH114" s="9">
        <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f>
        <v/>
      </c>
      <c r="BI114" s="9">
        <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f>
        <v/>
      </c>
      <c r="BJ114" s="9">
        <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f>
        <v/>
      </c>
    </row>
    <row r="115">
      <c r="A115" s="9">
        <f>ROUND(-1+113*2/240,3)</f>
        <v/>
      </c>
      <c r="B115" s="9">
        <f>IF(OR(Inputs!$F$6=TRUE,Inputs!$F$6="TRUE",Inputs!$F$6=1),(Inputs!$H$6+Inputs!$L$6*(((Inputs!$I$6+(((A115)+1)/2)*(Inputs!$J$6-Inputs!$I$6)))/Inputs!$K$6)^2),NA())</f>
        <v/>
      </c>
      <c r="C115" s="9">
        <f>IF(OR(Inputs!$F$7=TRUE,Inputs!$F$7="TRUE",Inputs!$F$7=1),(Inputs!$H$7+Inputs!$L$7*(((Inputs!$I$7+(((A115)+1)/2)*(Inputs!$J$7-Inputs!$I$7)))/Inputs!$K$7)^2),NA())</f>
        <v/>
      </c>
      <c r="D115" s="9">
        <f>IF(OR(Inputs!$F$8=TRUE,Inputs!$F$8="TRUE",Inputs!$F$8=1),(Inputs!$H$8+Inputs!$L$8*(((Inputs!$I$8+(((A115)+1)/2)*(Inputs!$J$8-Inputs!$I$8)))/Inputs!$K$8)^2),NA())</f>
        <v/>
      </c>
      <c r="E115" s="9">
        <f>IF(OR(Inputs!$F$9=TRUE,Inputs!$F$9="TRUE",Inputs!$F$9=1),(Inputs!$H$9+Inputs!$L$9*(((Inputs!$I$9+(((A115)+1)/2)*(Inputs!$J$9-Inputs!$I$9)))/Inputs!$K$9)^2),NA())</f>
        <v/>
      </c>
      <c r="F115" s="10" t="n"/>
      <c r="G115" s="9">
        <f>A115</f>
        <v/>
      </c>
      <c r="H115" s="9">
        <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f>
        <v/>
      </c>
      <c r="I115" s="9">
        <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f>
        <v/>
      </c>
      <c r="J115" s="9">
        <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f>
        <v/>
      </c>
      <c r="K115" s="9">
        <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f>
        <v/>
      </c>
      <c r="L115" s="10" t="n"/>
      <c r="M115" s="9">
        <f>A115</f>
        <v/>
      </c>
      <c r="N115" s="9">
        <f>IF(OR(Inputs!$F$6=TRUE,Inputs!$F$6="TRUE",Inputs!$F$6=1),(-2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NA())</f>
        <v/>
      </c>
      <c r="O115" s="9">
        <f>IF(OR(Inputs!$F$7=TRUE,Inputs!$F$7="TRUE",Inputs!$F$7=1),(-2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NA())</f>
        <v/>
      </c>
      <c r="P115" s="9">
        <f>IF(OR(Inputs!$F$8=TRUE,Inputs!$F$8="TRUE",Inputs!$F$8=1),(-2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NA())</f>
        <v/>
      </c>
      <c r="Q115" s="9">
        <f>IF(OR(Inputs!$F$9=TRUE,Inputs!$F$9="TRUE",Inputs!$F$9=1),(-2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NA())</f>
        <v/>
      </c>
      <c r="R115" s="10" t="n"/>
      <c r="S115" s="9">
        <f>A115</f>
        <v/>
      </c>
      <c r="T115" s="9">
        <f>(Inputs!$I$6+(((A115)+1)/2)*(Inputs!$J$6-Inputs!$I$6))</f>
        <v/>
      </c>
      <c r="U115" s="9">
        <f>(Inputs!$I$7+(((A115)+1)/2)*(Inputs!$J$7-Inputs!$I$7))</f>
        <v/>
      </c>
      <c r="V115" s="9">
        <f>(Inputs!$I$8+(((A115)+1)/2)*(Inputs!$J$8-Inputs!$I$8))</f>
        <v/>
      </c>
      <c r="W115" s="9">
        <f>(Inputs!$I$9+(((A115)+1)/2)*(Inputs!$J$9-Inputs!$I$9))</f>
        <v/>
      </c>
      <c r="X115" s="10" t="n"/>
      <c r="Y115" s="9">
        <f>A115</f>
        <v/>
      </c>
      <c r="Z115" s="9">
        <f>(Inputs!$H$6+Inputs!$L$6*(((Inputs!$I$6+(((A115)+1)/2)*(Inputs!$J$6-Inputs!$I$6)))/Inputs!$K$6)^2)</f>
        <v/>
      </c>
      <c r="AA115" s="9">
        <f>(Inputs!$H$7+Inputs!$L$7*(((Inputs!$I$7+(((A115)+1)/2)*(Inputs!$J$7-Inputs!$I$7)))/Inputs!$K$7)^2)</f>
        <v/>
      </c>
      <c r="AB115" s="9">
        <f>(Inputs!$H$8+Inputs!$L$8*(((Inputs!$I$8+(((A115)+1)/2)*(Inputs!$J$8-Inputs!$I$8)))/Inputs!$K$8)^2)</f>
        <v/>
      </c>
      <c r="AC115" s="9">
        <f>(Inputs!$H$9+Inputs!$L$9*(((Inputs!$I$9+(((A115)+1)/2)*(Inputs!$J$9-Inputs!$I$9)))/Inputs!$K$9)^2)</f>
        <v/>
      </c>
      <c r="AD115" s="10" t="n"/>
      <c r="AE115" s="9">
        <f>A115</f>
        <v/>
      </c>
      <c r="AF115" s="9">
        <f>(((SQRT((Inputs!$C$52+((Inputs!$H$6+Inputs!$L$6*(((Inputs!$I$6+(((A115)+1)/2)*(Inputs!$J$6-Inputs!$I$6)))/Inputs!$K$6)^2)))^2+Inputs!$C$52^2-2*(Inputs!$C$52+((Inputs!$H$6+Inputs!$L$6*(((Inputs!$I$6+(((A115)+1)/2)*(Inputs!$J$6-Inputs!$I$6)))/Inputs!$K$6)^2)))*Inputs!$C$52*COS(SQRT(((Inputs!$I$6+(((A115)+1)/2)*(Inputs!$J$6-Inputs!$I$6)))^2+Inputs!$C$6^2)/Inputs!$C$52)))-((Inputs!$H$6+Inputs!$L$6*(((Inputs!$I$6+(((A115)+1)/2)*(Inputs!$J$6-Inputs!$I$6)))/Inputs!$K$6)^2)))*1000/Inputs!$C$12)</f>
        <v/>
      </c>
      <c r="AG115" s="9">
        <f>(((SQRT((Inputs!$C$52+((Inputs!$H$7+Inputs!$L$7*(((Inputs!$I$7+(((A115)+1)/2)*(Inputs!$J$7-Inputs!$I$7)))/Inputs!$K$7)^2)))^2+Inputs!$C$52^2-2*(Inputs!$C$52+((Inputs!$H$7+Inputs!$L$7*(((Inputs!$I$7+(((A115)+1)/2)*(Inputs!$J$7-Inputs!$I$7)))/Inputs!$K$7)^2)))*Inputs!$C$52*COS(SQRT(((Inputs!$I$7+(((A115)+1)/2)*(Inputs!$J$7-Inputs!$I$7)))^2+Inputs!$C$6^2)/Inputs!$C$52)))-((Inputs!$H$7+Inputs!$L$7*(((Inputs!$I$7+(((A115)+1)/2)*(Inputs!$J$7-Inputs!$I$7)))/Inputs!$K$7)^2)))*1000/Inputs!$C$12)</f>
        <v/>
      </c>
      <c r="AH115" s="9">
        <f>(((SQRT((Inputs!$C$52+((Inputs!$H$8+Inputs!$L$8*(((Inputs!$I$8+(((A115)+1)/2)*(Inputs!$J$8-Inputs!$I$8)))/Inputs!$K$8)^2)))^2+Inputs!$C$52^2-2*(Inputs!$C$52+((Inputs!$H$8+Inputs!$L$8*(((Inputs!$I$8+(((A115)+1)/2)*(Inputs!$J$8-Inputs!$I$8)))/Inputs!$K$8)^2)))*Inputs!$C$52*COS(SQRT(((Inputs!$I$8+(((A115)+1)/2)*(Inputs!$J$8-Inputs!$I$8)))^2+Inputs!$C$6^2)/Inputs!$C$52)))-((Inputs!$H$8+Inputs!$L$8*(((Inputs!$I$8+(((A115)+1)/2)*(Inputs!$J$8-Inputs!$I$8)))/Inputs!$K$8)^2)))*1000/Inputs!$C$12)</f>
        <v/>
      </c>
      <c r="AI115" s="9">
        <f>(((SQRT((Inputs!$C$52+((Inputs!$H$9+Inputs!$L$9*(((Inputs!$I$9+(((A115)+1)/2)*(Inputs!$J$9-Inputs!$I$9)))/Inputs!$K$9)^2)))^2+Inputs!$C$52^2-2*(Inputs!$C$52+((Inputs!$H$9+Inputs!$L$9*(((Inputs!$I$9+(((A115)+1)/2)*(Inputs!$J$9-Inputs!$I$9)))/Inputs!$K$9)^2)))*Inputs!$C$52*COS(SQRT(((Inputs!$I$9+(((A115)+1)/2)*(Inputs!$J$9-Inputs!$I$9)))^2+Inputs!$C$6^2)/Inputs!$C$52)))-((Inputs!$H$9+Inputs!$L$9*(((Inputs!$I$9+(((A115)+1)/2)*(Inputs!$J$9-Inputs!$I$9)))/Inputs!$K$9)^2)))*1000/Inputs!$C$12)</f>
        <v/>
      </c>
      <c r="AJ115" s="10" t="n"/>
      <c r="AK115" s="9">
        <f>A115</f>
        <v/>
      </c>
      <c r="AL115" s="9">
        <f>(-2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f>
        <v/>
      </c>
      <c r="AM115" s="9">
        <f>(-2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f>
        <v/>
      </c>
      <c r="AN115" s="9">
        <f>(-2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f>
        <v/>
      </c>
      <c r="AO115" s="9">
        <f>(-2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f>
        <v/>
      </c>
      <c r="AP115" s="10" t="n"/>
      <c r="AQ115" s="9">
        <f>A115</f>
        <v/>
      </c>
      <c r="AR115" s="9">
        <f>0</f>
        <v/>
      </c>
      <c r="AS115" s="9">
        <f>IF(OR(Inputs!$F$6=TRUE,Inputs!$F$6="TRUE",Inputs!$F$6=1),IF(OR(Inputs!$C$27=TRUE,Inputs!$C$27="TRUE",Inputs!$C$27=1),1,0)*(Inputs!$C$51*(115*EXP(-(((Inputs!$C$6)-25)^2)/(4.5^2))+70*EXP(-(((Inputs!$C$6)+38)^2)/(7^2))*(0.55+0.45*SIN(2*PI()*((Inputs!$I$6+(((A115)+1)/2)*(Inputs!$J$6-Inputs!$I$6)))/45))+24*SIN(2*PI()*(Inputs!$C$6)/9+((Inputs!$I$6+(((A115)+1)/2)*(Inputs!$J$6-Inputs!$I$6)))/18)*EXP(-(((Inputs!$C$6)+5)^2)/(22^2))+18*SIN(2*PI()*((Inputs!$I$6+(((A115)+1)/2)*(Inputs!$J$6-Inputs!$I$6)))/70))+Inputs!$C$28*EXP(-((((Inputs!$I$6+(((A115)+1)/2)*(Inputs!$J$6-Inputs!$I$6)))-Inputs!$C$29)^2)/(2*Inputs!$C$31^2))*EXP(-(((Inputs!$C$6)-Inputs!$C$30)^2)/(2*Inputs!$C$32^2))+-Inputs!$C$33*EXP(-((((((Inputs!$I$6+(((A115)+1)/2)*(Inputs!$J$6-Inputs!$I$6)))-Inputs!$C$34)^2)+(((Inputs!$C$6)-Inputs!$C$35)^2))/(2*Inputs!$C$36^2)))+Inputs!$C$37*(0.55*SIN(2*PI()*((Inputs!$I$6+(((A115)+1)/2)*(Inputs!$J$6-Inputs!$I$6)))/Inputs!$C$39)+0.35*COS(2*PI()*(Inputs!$C$6)/Inputs!$C$40)+0.2*SIN(2*PI()*(((Inputs!$I$6+(((A115)+1)/2)*(Inputs!$J$6-Inputs!$I$6)))+(Inputs!$C$6))/(0.5*(Inputs!$C$39+Inputs!$C$40))))+Inputs!$C$38*SIN(2*PI()*((Inputs!$I$6+(((A115)+1)/2)*(Inputs!$J$6-Inputs!$I$6)))/Inputs!$C$39)*SIN(2*PI()*(Inputs!$C$6)/Inputs!$C$40)+-Inputs!$C$41*EXP(-(((Inputs!$C$6)-Inputs!$C$43)^2)/(2*Inputs!$C$44^2))*EXP(-((((Inputs!$I$6+(((A115)+1)/2)*(Inputs!$J$6-Inputs!$I$6)))-Inputs!$C$42)^2)/(2*Inputs!$C$45^2))+Inputs!$C$48*(0.7*(0.45*SIN(2*PI()*((((Inputs!$I$6+(((A115)+1)/2)*(Inputs!$J$6-Inputs!$I$6)))/Inputs!$C$49)+Inputs!$C$47*0.137))+0.35*COS(2*PI()*(((Inputs!$C$6)/Inputs!$C$50)+Inputs!$C$47*0.173))+0.2*SIN(2*PI()*((((Inputs!$I$6+(((A115)+1)/2)*(Inputs!$J$6-Inputs!$I$6)))+(Inputs!$C$6))/(0.5*(Inputs!$C$49+Inputs!$C$50))+Inputs!$C$47*0.097)))+0.3*(2*((SIN((((Inputs!$I$6+(((A115)+1)/2)*(Inputs!$J$6-Inputs!$I$6)))*12.9898+(Inputs!$C$6)*78.233+Inputs!$C$47*37.719))*43758.5453)-INT((SIN((((Inputs!$I$6+(((A115)+1)/2)*(Inputs!$J$6-Inputs!$I$6)))*12.9898+(Inputs!$C$6)*78.233+Inputs!$C$47*37.719))*43758.5453)))-1))),NA())</f>
        <v/>
      </c>
      <c r="AT115" s="9">
        <f>IF(OR(Inputs!$F$7=TRUE,Inputs!$F$7="TRUE",Inputs!$F$7=1),IF(OR(Inputs!$C$27=TRUE,Inputs!$C$27="TRUE",Inputs!$C$27=1),1,0)*(Inputs!$C$51*(115*EXP(-(((Inputs!$C$6)-25)^2)/(4.5^2))+70*EXP(-(((Inputs!$C$6)+38)^2)/(7^2))*(0.55+0.45*SIN(2*PI()*((Inputs!$I$7+(((A115)+1)/2)*(Inputs!$J$7-Inputs!$I$7)))/45))+24*SIN(2*PI()*(Inputs!$C$6)/9+((Inputs!$I$7+(((A115)+1)/2)*(Inputs!$J$7-Inputs!$I$7)))/18)*EXP(-(((Inputs!$C$6)+5)^2)/(22^2))+18*SIN(2*PI()*((Inputs!$I$7+(((A115)+1)/2)*(Inputs!$J$7-Inputs!$I$7)))/70))+Inputs!$C$28*EXP(-((((Inputs!$I$7+(((A115)+1)/2)*(Inputs!$J$7-Inputs!$I$7)))-Inputs!$C$29)^2)/(2*Inputs!$C$31^2))*EXP(-(((Inputs!$C$6)-Inputs!$C$30)^2)/(2*Inputs!$C$32^2))+-Inputs!$C$33*EXP(-((((((Inputs!$I$7+(((A115)+1)/2)*(Inputs!$J$7-Inputs!$I$7)))-Inputs!$C$34)^2)+(((Inputs!$C$6)-Inputs!$C$35)^2))/(2*Inputs!$C$36^2)))+Inputs!$C$37*(0.55*SIN(2*PI()*((Inputs!$I$7+(((A115)+1)/2)*(Inputs!$J$7-Inputs!$I$7)))/Inputs!$C$39)+0.35*COS(2*PI()*(Inputs!$C$6)/Inputs!$C$40)+0.2*SIN(2*PI()*(((Inputs!$I$7+(((A115)+1)/2)*(Inputs!$J$7-Inputs!$I$7)))+(Inputs!$C$6))/(0.5*(Inputs!$C$39+Inputs!$C$40))))+Inputs!$C$38*SIN(2*PI()*((Inputs!$I$7+(((A115)+1)/2)*(Inputs!$J$7-Inputs!$I$7)))/Inputs!$C$39)*SIN(2*PI()*(Inputs!$C$6)/Inputs!$C$40)+-Inputs!$C$41*EXP(-(((Inputs!$C$6)-Inputs!$C$43)^2)/(2*Inputs!$C$44^2))*EXP(-((((Inputs!$I$7+(((A115)+1)/2)*(Inputs!$J$7-Inputs!$I$7)))-Inputs!$C$42)^2)/(2*Inputs!$C$45^2))+Inputs!$C$48*(0.7*(0.45*SIN(2*PI()*((((Inputs!$I$7+(((A115)+1)/2)*(Inputs!$J$7-Inputs!$I$7)))/Inputs!$C$49)+Inputs!$C$47*0.137))+0.35*COS(2*PI()*(((Inputs!$C$6)/Inputs!$C$50)+Inputs!$C$47*0.173))+0.2*SIN(2*PI()*((((Inputs!$I$7+(((A115)+1)/2)*(Inputs!$J$7-Inputs!$I$7)))+(Inputs!$C$6))/(0.5*(Inputs!$C$49+Inputs!$C$50))+Inputs!$C$47*0.097)))+0.3*(2*((SIN((((Inputs!$I$7+(((A115)+1)/2)*(Inputs!$J$7-Inputs!$I$7)))*12.9898+(Inputs!$C$6)*78.233+Inputs!$C$47*37.719))*43758.5453)-INT((SIN((((Inputs!$I$7+(((A115)+1)/2)*(Inputs!$J$7-Inputs!$I$7)))*12.9898+(Inputs!$C$6)*78.233+Inputs!$C$47*37.719))*43758.5453)))-1))),NA())</f>
        <v/>
      </c>
      <c r="AU115" s="9">
        <f>IF(OR(Inputs!$F$8=TRUE,Inputs!$F$8="TRUE",Inputs!$F$8=1),IF(OR(Inputs!$C$27=TRUE,Inputs!$C$27="TRUE",Inputs!$C$27=1),1,0)*(Inputs!$C$51*(115*EXP(-(((Inputs!$C$6)-25)^2)/(4.5^2))+70*EXP(-(((Inputs!$C$6)+38)^2)/(7^2))*(0.55+0.45*SIN(2*PI()*((Inputs!$I$8+(((A115)+1)/2)*(Inputs!$J$8-Inputs!$I$8)))/45))+24*SIN(2*PI()*(Inputs!$C$6)/9+((Inputs!$I$8+(((A115)+1)/2)*(Inputs!$J$8-Inputs!$I$8)))/18)*EXP(-(((Inputs!$C$6)+5)^2)/(22^2))+18*SIN(2*PI()*((Inputs!$I$8+(((A115)+1)/2)*(Inputs!$J$8-Inputs!$I$8)))/70))+Inputs!$C$28*EXP(-((((Inputs!$I$8+(((A115)+1)/2)*(Inputs!$J$8-Inputs!$I$8)))-Inputs!$C$29)^2)/(2*Inputs!$C$31^2))*EXP(-(((Inputs!$C$6)-Inputs!$C$30)^2)/(2*Inputs!$C$32^2))+-Inputs!$C$33*EXP(-((((((Inputs!$I$8+(((A115)+1)/2)*(Inputs!$J$8-Inputs!$I$8)))-Inputs!$C$34)^2)+(((Inputs!$C$6)-Inputs!$C$35)^2))/(2*Inputs!$C$36^2)))+Inputs!$C$37*(0.55*SIN(2*PI()*((Inputs!$I$8+(((A115)+1)/2)*(Inputs!$J$8-Inputs!$I$8)))/Inputs!$C$39)+0.35*COS(2*PI()*(Inputs!$C$6)/Inputs!$C$40)+0.2*SIN(2*PI()*(((Inputs!$I$8+(((A115)+1)/2)*(Inputs!$J$8-Inputs!$I$8)))+(Inputs!$C$6))/(0.5*(Inputs!$C$39+Inputs!$C$40))))+Inputs!$C$38*SIN(2*PI()*((Inputs!$I$8+(((A115)+1)/2)*(Inputs!$J$8-Inputs!$I$8)))/Inputs!$C$39)*SIN(2*PI()*(Inputs!$C$6)/Inputs!$C$40)+-Inputs!$C$41*EXP(-(((Inputs!$C$6)-Inputs!$C$43)^2)/(2*Inputs!$C$44^2))*EXP(-((((Inputs!$I$8+(((A115)+1)/2)*(Inputs!$J$8-Inputs!$I$8)))-Inputs!$C$42)^2)/(2*Inputs!$C$45^2))+Inputs!$C$48*(0.7*(0.45*SIN(2*PI()*((((Inputs!$I$8+(((A115)+1)/2)*(Inputs!$J$8-Inputs!$I$8)))/Inputs!$C$49)+Inputs!$C$47*0.137))+0.35*COS(2*PI()*(((Inputs!$C$6)/Inputs!$C$50)+Inputs!$C$47*0.173))+0.2*SIN(2*PI()*((((Inputs!$I$8+(((A115)+1)/2)*(Inputs!$J$8-Inputs!$I$8)))+(Inputs!$C$6))/(0.5*(Inputs!$C$49+Inputs!$C$50))+Inputs!$C$47*0.097)))+0.3*(2*((SIN((((Inputs!$I$8+(((A115)+1)/2)*(Inputs!$J$8-Inputs!$I$8)))*12.9898+(Inputs!$C$6)*78.233+Inputs!$C$47*37.719))*43758.5453)-INT((SIN((((Inputs!$I$8+(((A115)+1)/2)*(Inputs!$J$8-Inputs!$I$8)))*12.9898+(Inputs!$C$6)*78.233+Inputs!$C$47*37.719))*43758.5453)))-1))),NA())</f>
        <v/>
      </c>
      <c r="AV115" s="9">
        <f>IF(OR(Inputs!$F$9=TRUE,Inputs!$F$9="TRUE",Inputs!$F$9=1),IF(OR(Inputs!$C$27=TRUE,Inputs!$C$27="TRUE",Inputs!$C$27=1),1,0)*(Inputs!$C$51*(115*EXP(-(((Inputs!$C$6)-25)^2)/(4.5^2))+70*EXP(-(((Inputs!$C$6)+38)^2)/(7^2))*(0.55+0.45*SIN(2*PI()*((Inputs!$I$9+(((A115)+1)/2)*(Inputs!$J$9-Inputs!$I$9)))/45))+24*SIN(2*PI()*(Inputs!$C$6)/9+((Inputs!$I$9+(((A115)+1)/2)*(Inputs!$J$9-Inputs!$I$9)))/18)*EXP(-(((Inputs!$C$6)+5)^2)/(22^2))+18*SIN(2*PI()*((Inputs!$I$9+(((A115)+1)/2)*(Inputs!$J$9-Inputs!$I$9)))/70))+Inputs!$C$28*EXP(-((((Inputs!$I$9+(((A115)+1)/2)*(Inputs!$J$9-Inputs!$I$9)))-Inputs!$C$29)^2)/(2*Inputs!$C$31^2))*EXP(-(((Inputs!$C$6)-Inputs!$C$30)^2)/(2*Inputs!$C$32^2))+-Inputs!$C$33*EXP(-((((((Inputs!$I$9+(((A115)+1)/2)*(Inputs!$J$9-Inputs!$I$9)))-Inputs!$C$34)^2)+(((Inputs!$C$6)-Inputs!$C$35)^2))/(2*Inputs!$C$36^2)))+Inputs!$C$37*(0.55*SIN(2*PI()*((Inputs!$I$9+(((A115)+1)/2)*(Inputs!$J$9-Inputs!$I$9)))/Inputs!$C$39)+0.35*COS(2*PI()*(Inputs!$C$6)/Inputs!$C$40)+0.2*SIN(2*PI()*(((Inputs!$I$9+(((A115)+1)/2)*(Inputs!$J$9-Inputs!$I$9)))+(Inputs!$C$6))/(0.5*(Inputs!$C$39+Inputs!$C$40))))+Inputs!$C$38*SIN(2*PI()*((Inputs!$I$9+(((A115)+1)/2)*(Inputs!$J$9-Inputs!$I$9)))/Inputs!$C$39)*SIN(2*PI()*(Inputs!$C$6)/Inputs!$C$40)+-Inputs!$C$41*EXP(-(((Inputs!$C$6)-Inputs!$C$43)^2)/(2*Inputs!$C$44^2))*EXP(-((((Inputs!$I$9+(((A115)+1)/2)*(Inputs!$J$9-Inputs!$I$9)))-Inputs!$C$42)^2)/(2*Inputs!$C$45^2))+Inputs!$C$48*(0.7*(0.45*SIN(2*PI()*((((Inputs!$I$9+(((A115)+1)/2)*(Inputs!$J$9-Inputs!$I$9)))/Inputs!$C$49)+Inputs!$C$47*0.137))+0.35*COS(2*PI()*(((Inputs!$C$6)/Inputs!$C$50)+Inputs!$C$47*0.173))+0.2*SIN(2*PI()*((((Inputs!$I$9+(((A115)+1)/2)*(Inputs!$J$9-Inputs!$I$9)))+(Inputs!$C$6))/(0.5*(Inputs!$C$49+Inputs!$C$50))+Inputs!$C$47*0.097)))+0.3*(2*((SIN((((Inputs!$I$9+(((A115)+1)/2)*(Inputs!$J$9-Inputs!$I$9)))*12.9898+(Inputs!$C$6)*78.233+Inputs!$C$47*37.719))*43758.5453)-INT((SIN((((Inputs!$I$9+(((A115)+1)/2)*(Inputs!$J$9-Inputs!$I$9)))*12.9898+(Inputs!$C$6)*78.233+Inputs!$C$47*37.719))*43758.5453)))-1))),NA())</f>
        <v/>
      </c>
      <c r="AW115" s="10" t="n"/>
      <c r="AX115" s="9">
        <f>A115</f>
        <v/>
      </c>
      <c r="AY115" s="9">
        <f>0</f>
        <v/>
      </c>
      <c r="AZ115" s="9">
        <f>IF(OR(Inputs!$F$6=TRUE,Inputs!$F$6="TRUE",Inputs!$F$6=1),(Inputs!$H$6+Inputs!$L$6*(((Inputs!$I$6+(((A115)+1)/2)*(Inputs!$J$6-Inputs!$I$6)))/Inputs!$K$6)^2),NA())</f>
        <v/>
      </c>
      <c r="BA115" s="9">
        <f>IF(OR(Inputs!$F$7=TRUE,Inputs!$F$7="TRUE",Inputs!$F$7=1),(Inputs!$H$7+Inputs!$L$7*(((Inputs!$I$7+(((A115)+1)/2)*(Inputs!$J$7-Inputs!$I$7)))/Inputs!$K$7)^2),NA())</f>
        <v/>
      </c>
      <c r="BB115" s="9">
        <f>IF(OR(Inputs!$F$8=TRUE,Inputs!$F$8="TRUE",Inputs!$F$8=1),(Inputs!$H$8+Inputs!$L$8*(((Inputs!$I$8+(((A115)+1)/2)*(Inputs!$J$8-Inputs!$I$8)))/Inputs!$K$8)^2),NA())</f>
        <v/>
      </c>
      <c r="BC115" s="9">
        <f>IF(OR(Inputs!$F$9=TRUE,Inputs!$F$9="TRUE",Inputs!$F$9=1),(Inputs!$H$9+Inputs!$L$9*(((Inputs!$I$9+(((A115)+1)/2)*(Inputs!$J$9-Inputs!$I$9)))/Inputs!$K$9)^2),NA())</f>
        <v/>
      </c>
      <c r="BD115" s="10" t="n"/>
      <c r="BE115" s="9">
        <f>A115</f>
        <v/>
      </c>
      <c r="BF115" s="9">
        <f>0</f>
        <v/>
      </c>
      <c r="BG115" s="9">
        <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f>
        <v/>
      </c>
      <c r="BH115" s="9">
        <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f>
        <v/>
      </c>
      <c r="BI115" s="9">
        <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f>
        <v/>
      </c>
      <c r="BJ115" s="9">
        <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f>
        <v/>
      </c>
    </row>
    <row r="116">
      <c r="A116" s="9">
        <f>ROUND(-1+114*2/240,3)</f>
        <v/>
      </c>
      <c r="B116" s="9">
        <f>IF(OR(Inputs!$F$6=TRUE,Inputs!$F$6="TRUE",Inputs!$F$6=1),(Inputs!$H$6+Inputs!$L$6*(((Inputs!$I$6+(((A116)+1)/2)*(Inputs!$J$6-Inputs!$I$6)))/Inputs!$K$6)^2),NA())</f>
        <v/>
      </c>
      <c r="C116" s="9">
        <f>IF(OR(Inputs!$F$7=TRUE,Inputs!$F$7="TRUE",Inputs!$F$7=1),(Inputs!$H$7+Inputs!$L$7*(((Inputs!$I$7+(((A116)+1)/2)*(Inputs!$J$7-Inputs!$I$7)))/Inputs!$K$7)^2),NA())</f>
        <v/>
      </c>
      <c r="D116" s="9">
        <f>IF(OR(Inputs!$F$8=TRUE,Inputs!$F$8="TRUE",Inputs!$F$8=1),(Inputs!$H$8+Inputs!$L$8*(((Inputs!$I$8+(((A116)+1)/2)*(Inputs!$J$8-Inputs!$I$8)))/Inputs!$K$8)^2),NA())</f>
        <v/>
      </c>
      <c r="E116" s="9">
        <f>IF(OR(Inputs!$F$9=TRUE,Inputs!$F$9="TRUE",Inputs!$F$9=1),(Inputs!$H$9+Inputs!$L$9*(((Inputs!$I$9+(((A116)+1)/2)*(Inputs!$J$9-Inputs!$I$9)))/Inputs!$K$9)^2),NA())</f>
        <v/>
      </c>
      <c r="F116" s="10" t="n"/>
      <c r="G116" s="9">
        <f>A116</f>
        <v/>
      </c>
      <c r="H116" s="9">
        <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f>
        <v/>
      </c>
      <c r="I116" s="9">
        <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f>
        <v/>
      </c>
      <c r="J116" s="9">
        <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f>
        <v/>
      </c>
      <c r="K116" s="9">
        <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f>
        <v/>
      </c>
      <c r="L116" s="10" t="n"/>
      <c r="M116" s="9">
        <f>A116</f>
        <v/>
      </c>
      <c r="N116" s="9">
        <f>IF(OR(Inputs!$F$6=TRUE,Inputs!$F$6="TRUE",Inputs!$F$6=1),(-2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NA())</f>
        <v/>
      </c>
      <c r="O116" s="9">
        <f>IF(OR(Inputs!$F$7=TRUE,Inputs!$F$7="TRUE",Inputs!$F$7=1),(-2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NA())</f>
        <v/>
      </c>
      <c r="P116" s="9">
        <f>IF(OR(Inputs!$F$8=TRUE,Inputs!$F$8="TRUE",Inputs!$F$8=1),(-2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NA())</f>
        <v/>
      </c>
      <c r="Q116" s="9">
        <f>IF(OR(Inputs!$F$9=TRUE,Inputs!$F$9="TRUE",Inputs!$F$9=1),(-2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NA())</f>
        <v/>
      </c>
      <c r="R116" s="10" t="n"/>
      <c r="S116" s="9">
        <f>A116</f>
        <v/>
      </c>
      <c r="T116" s="9">
        <f>(Inputs!$I$6+(((A116)+1)/2)*(Inputs!$J$6-Inputs!$I$6))</f>
        <v/>
      </c>
      <c r="U116" s="9">
        <f>(Inputs!$I$7+(((A116)+1)/2)*(Inputs!$J$7-Inputs!$I$7))</f>
        <v/>
      </c>
      <c r="V116" s="9">
        <f>(Inputs!$I$8+(((A116)+1)/2)*(Inputs!$J$8-Inputs!$I$8))</f>
        <v/>
      </c>
      <c r="W116" s="9">
        <f>(Inputs!$I$9+(((A116)+1)/2)*(Inputs!$J$9-Inputs!$I$9))</f>
        <v/>
      </c>
      <c r="X116" s="10" t="n"/>
      <c r="Y116" s="9">
        <f>A116</f>
        <v/>
      </c>
      <c r="Z116" s="9">
        <f>(Inputs!$H$6+Inputs!$L$6*(((Inputs!$I$6+(((A116)+1)/2)*(Inputs!$J$6-Inputs!$I$6)))/Inputs!$K$6)^2)</f>
        <v/>
      </c>
      <c r="AA116" s="9">
        <f>(Inputs!$H$7+Inputs!$L$7*(((Inputs!$I$7+(((A116)+1)/2)*(Inputs!$J$7-Inputs!$I$7)))/Inputs!$K$7)^2)</f>
        <v/>
      </c>
      <c r="AB116" s="9">
        <f>(Inputs!$H$8+Inputs!$L$8*(((Inputs!$I$8+(((A116)+1)/2)*(Inputs!$J$8-Inputs!$I$8)))/Inputs!$K$8)^2)</f>
        <v/>
      </c>
      <c r="AC116" s="9">
        <f>(Inputs!$H$9+Inputs!$L$9*(((Inputs!$I$9+(((A116)+1)/2)*(Inputs!$J$9-Inputs!$I$9)))/Inputs!$K$9)^2)</f>
        <v/>
      </c>
      <c r="AD116" s="10" t="n"/>
      <c r="AE116" s="9">
        <f>A116</f>
        <v/>
      </c>
      <c r="AF116" s="9">
        <f>(((SQRT((Inputs!$C$52+((Inputs!$H$6+Inputs!$L$6*(((Inputs!$I$6+(((A116)+1)/2)*(Inputs!$J$6-Inputs!$I$6)))/Inputs!$K$6)^2)))^2+Inputs!$C$52^2-2*(Inputs!$C$52+((Inputs!$H$6+Inputs!$L$6*(((Inputs!$I$6+(((A116)+1)/2)*(Inputs!$J$6-Inputs!$I$6)))/Inputs!$K$6)^2)))*Inputs!$C$52*COS(SQRT(((Inputs!$I$6+(((A116)+1)/2)*(Inputs!$J$6-Inputs!$I$6)))^2+Inputs!$C$6^2)/Inputs!$C$52)))-((Inputs!$H$6+Inputs!$L$6*(((Inputs!$I$6+(((A116)+1)/2)*(Inputs!$J$6-Inputs!$I$6)))/Inputs!$K$6)^2)))*1000/Inputs!$C$12)</f>
        <v/>
      </c>
      <c r="AG116" s="9">
        <f>(((SQRT((Inputs!$C$52+((Inputs!$H$7+Inputs!$L$7*(((Inputs!$I$7+(((A116)+1)/2)*(Inputs!$J$7-Inputs!$I$7)))/Inputs!$K$7)^2)))^2+Inputs!$C$52^2-2*(Inputs!$C$52+((Inputs!$H$7+Inputs!$L$7*(((Inputs!$I$7+(((A116)+1)/2)*(Inputs!$J$7-Inputs!$I$7)))/Inputs!$K$7)^2)))*Inputs!$C$52*COS(SQRT(((Inputs!$I$7+(((A116)+1)/2)*(Inputs!$J$7-Inputs!$I$7)))^2+Inputs!$C$6^2)/Inputs!$C$52)))-((Inputs!$H$7+Inputs!$L$7*(((Inputs!$I$7+(((A116)+1)/2)*(Inputs!$J$7-Inputs!$I$7)))/Inputs!$K$7)^2)))*1000/Inputs!$C$12)</f>
        <v/>
      </c>
      <c r="AH116" s="9">
        <f>(((SQRT((Inputs!$C$52+((Inputs!$H$8+Inputs!$L$8*(((Inputs!$I$8+(((A116)+1)/2)*(Inputs!$J$8-Inputs!$I$8)))/Inputs!$K$8)^2)))^2+Inputs!$C$52^2-2*(Inputs!$C$52+((Inputs!$H$8+Inputs!$L$8*(((Inputs!$I$8+(((A116)+1)/2)*(Inputs!$J$8-Inputs!$I$8)))/Inputs!$K$8)^2)))*Inputs!$C$52*COS(SQRT(((Inputs!$I$8+(((A116)+1)/2)*(Inputs!$J$8-Inputs!$I$8)))^2+Inputs!$C$6^2)/Inputs!$C$52)))-((Inputs!$H$8+Inputs!$L$8*(((Inputs!$I$8+(((A116)+1)/2)*(Inputs!$J$8-Inputs!$I$8)))/Inputs!$K$8)^2)))*1000/Inputs!$C$12)</f>
        <v/>
      </c>
      <c r="AI116" s="9">
        <f>(((SQRT((Inputs!$C$52+((Inputs!$H$9+Inputs!$L$9*(((Inputs!$I$9+(((A116)+1)/2)*(Inputs!$J$9-Inputs!$I$9)))/Inputs!$K$9)^2)))^2+Inputs!$C$52^2-2*(Inputs!$C$52+((Inputs!$H$9+Inputs!$L$9*(((Inputs!$I$9+(((A116)+1)/2)*(Inputs!$J$9-Inputs!$I$9)))/Inputs!$K$9)^2)))*Inputs!$C$52*COS(SQRT(((Inputs!$I$9+(((A116)+1)/2)*(Inputs!$J$9-Inputs!$I$9)))^2+Inputs!$C$6^2)/Inputs!$C$52)))-((Inputs!$H$9+Inputs!$L$9*(((Inputs!$I$9+(((A116)+1)/2)*(Inputs!$J$9-Inputs!$I$9)))/Inputs!$K$9)^2)))*1000/Inputs!$C$12)</f>
        <v/>
      </c>
      <c r="AJ116" s="10" t="n"/>
      <c r="AK116" s="9">
        <f>A116</f>
        <v/>
      </c>
      <c r="AL116" s="9">
        <f>(-2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f>
        <v/>
      </c>
      <c r="AM116" s="9">
        <f>(-2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f>
        <v/>
      </c>
      <c r="AN116" s="9">
        <f>(-2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f>
        <v/>
      </c>
      <c r="AO116" s="9">
        <f>(-2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f>
        <v/>
      </c>
      <c r="AP116" s="10" t="n"/>
      <c r="AQ116" s="9">
        <f>A116</f>
        <v/>
      </c>
      <c r="AR116" s="9">
        <f>0</f>
        <v/>
      </c>
      <c r="AS116" s="9">
        <f>IF(OR(Inputs!$F$6=TRUE,Inputs!$F$6="TRUE",Inputs!$F$6=1),IF(OR(Inputs!$C$27=TRUE,Inputs!$C$27="TRUE",Inputs!$C$27=1),1,0)*(Inputs!$C$51*(115*EXP(-(((Inputs!$C$6)-25)^2)/(4.5^2))+70*EXP(-(((Inputs!$C$6)+38)^2)/(7^2))*(0.55+0.45*SIN(2*PI()*((Inputs!$I$6+(((A116)+1)/2)*(Inputs!$J$6-Inputs!$I$6)))/45))+24*SIN(2*PI()*(Inputs!$C$6)/9+((Inputs!$I$6+(((A116)+1)/2)*(Inputs!$J$6-Inputs!$I$6)))/18)*EXP(-(((Inputs!$C$6)+5)^2)/(22^2))+18*SIN(2*PI()*((Inputs!$I$6+(((A116)+1)/2)*(Inputs!$J$6-Inputs!$I$6)))/70))+Inputs!$C$28*EXP(-((((Inputs!$I$6+(((A116)+1)/2)*(Inputs!$J$6-Inputs!$I$6)))-Inputs!$C$29)^2)/(2*Inputs!$C$31^2))*EXP(-(((Inputs!$C$6)-Inputs!$C$30)^2)/(2*Inputs!$C$32^2))+-Inputs!$C$33*EXP(-((((((Inputs!$I$6+(((A116)+1)/2)*(Inputs!$J$6-Inputs!$I$6)))-Inputs!$C$34)^2)+(((Inputs!$C$6)-Inputs!$C$35)^2))/(2*Inputs!$C$36^2)))+Inputs!$C$37*(0.55*SIN(2*PI()*((Inputs!$I$6+(((A116)+1)/2)*(Inputs!$J$6-Inputs!$I$6)))/Inputs!$C$39)+0.35*COS(2*PI()*(Inputs!$C$6)/Inputs!$C$40)+0.2*SIN(2*PI()*(((Inputs!$I$6+(((A116)+1)/2)*(Inputs!$J$6-Inputs!$I$6)))+(Inputs!$C$6))/(0.5*(Inputs!$C$39+Inputs!$C$40))))+Inputs!$C$38*SIN(2*PI()*((Inputs!$I$6+(((A116)+1)/2)*(Inputs!$J$6-Inputs!$I$6)))/Inputs!$C$39)*SIN(2*PI()*(Inputs!$C$6)/Inputs!$C$40)+-Inputs!$C$41*EXP(-(((Inputs!$C$6)-Inputs!$C$43)^2)/(2*Inputs!$C$44^2))*EXP(-((((Inputs!$I$6+(((A116)+1)/2)*(Inputs!$J$6-Inputs!$I$6)))-Inputs!$C$42)^2)/(2*Inputs!$C$45^2))+Inputs!$C$48*(0.7*(0.45*SIN(2*PI()*((((Inputs!$I$6+(((A116)+1)/2)*(Inputs!$J$6-Inputs!$I$6)))/Inputs!$C$49)+Inputs!$C$47*0.137))+0.35*COS(2*PI()*(((Inputs!$C$6)/Inputs!$C$50)+Inputs!$C$47*0.173))+0.2*SIN(2*PI()*((((Inputs!$I$6+(((A116)+1)/2)*(Inputs!$J$6-Inputs!$I$6)))+(Inputs!$C$6))/(0.5*(Inputs!$C$49+Inputs!$C$50))+Inputs!$C$47*0.097)))+0.3*(2*((SIN((((Inputs!$I$6+(((A116)+1)/2)*(Inputs!$J$6-Inputs!$I$6)))*12.9898+(Inputs!$C$6)*78.233+Inputs!$C$47*37.719))*43758.5453)-INT((SIN((((Inputs!$I$6+(((A116)+1)/2)*(Inputs!$J$6-Inputs!$I$6)))*12.9898+(Inputs!$C$6)*78.233+Inputs!$C$47*37.719))*43758.5453)))-1))),NA())</f>
        <v/>
      </c>
      <c r="AT116" s="9">
        <f>IF(OR(Inputs!$F$7=TRUE,Inputs!$F$7="TRUE",Inputs!$F$7=1),IF(OR(Inputs!$C$27=TRUE,Inputs!$C$27="TRUE",Inputs!$C$27=1),1,0)*(Inputs!$C$51*(115*EXP(-(((Inputs!$C$6)-25)^2)/(4.5^2))+70*EXP(-(((Inputs!$C$6)+38)^2)/(7^2))*(0.55+0.45*SIN(2*PI()*((Inputs!$I$7+(((A116)+1)/2)*(Inputs!$J$7-Inputs!$I$7)))/45))+24*SIN(2*PI()*(Inputs!$C$6)/9+((Inputs!$I$7+(((A116)+1)/2)*(Inputs!$J$7-Inputs!$I$7)))/18)*EXP(-(((Inputs!$C$6)+5)^2)/(22^2))+18*SIN(2*PI()*((Inputs!$I$7+(((A116)+1)/2)*(Inputs!$J$7-Inputs!$I$7)))/70))+Inputs!$C$28*EXP(-((((Inputs!$I$7+(((A116)+1)/2)*(Inputs!$J$7-Inputs!$I$7)))-Inputs!$C$29)^2)/(2*Inputs!$C$31^2))*EXP(-(((Inputs!$C$6)-Inputs!$C$30)^2)/(2*Inputs!$C$32^2))+-Inputs!$C$33*EXP(-((((((Inputs!$I$7+(((A116)+1)/2)*(Inputs!$J$7-Inputs!$I$7)))-Inputs!$C$34)^2)+(((Inputs!$C$6)-Inputs!$C$35)^2))/(2*Inputs!$C$36^2)))+Inputs!$C$37*(0.55*SIN(2*PI()*((Inputs!$I$7+(((A116)+1)/2)*(Inputs!$J$7-Inputs!$I$7)))/Inputs!$C$39)+0.35*COS(2*PI()*(Inputs!$C$6)/Inputs!$C$40)+0.2*SIN(2*PI()*(((Inputs!$I$7+(((A116)+1)/2)*(Inputs!$J$7-Inputs!$I$7)))+(Inputs!$C$6))/(0.5*(Inputs!$C$39+Inputs!$C$40))))+Inputs!$C$38*SIN(2*PI()*((Inputs!$I$7+(((A116)+1)/2)*(Inputs!$J$7-Inputs!$I$7)))/Inputs!$C$39)*SIN(2*PI()*(Inputs!$C$6)/Inputs!$C$40)+-Inputs!$C$41*EXP(-(((Inputs!$C$6)-Inputs!$C$43)^2)/(2*Inputs!$C$44^2))*EXP(-((((Inputs!$I$7+(((A116)+1)/2)*(Inputs!$J$7-Inputs!$I$7)))-Inputs!$C$42)^2)/(2*Inputs!$C$45^2))+Inputs!$C$48*(0.7*(0.45*SIN(2*PI()*((((Inputs!$I$7+(((A116)+1)/2)*(Inputs!$J$7-Inputs!$I$7)))/Inputs!$C$49)+Inputs!$C$47*0.137))+0.35*COS(2*PI()*(((Inputs!$C$6)/Inputs!$C$50)+Inputs!$C$47*0.173))+0.2*SIN(2*PI()*((((Inputs!$I$7+(((A116)+1)/2)*(Inputs!$J$7-Inputs!$I$7)))+(Inputs!$C$6))/(0.5*(Inputs!$C$49+Inputs!$C$50))+Inputs!$C$47*0.097)))+0.3*(2*((SIN((((Inputs!$I$7+(((A116)+1)/2)*(Inputs!$J$7-Inputs!$I$7)))*12.9898+(Inputs!$C$6)*78.233+Inputs!$C$47*37.719))*43758.5453)-INT((SIN((((Inputs!$I$7+(((A116)+1)/2)*(Inputs!$J$7-Inputs!$I$7)))*12.9898+(Inputs!$C$6)*78.233+Inputs!$C$47*37.719))*43758.5453)))-1))),NA())</f>
        <v/>
      </c>
      <c r="AU116" s="9">
        <f>IF(OR(Inputs!$F$8=TRUE,Inputs!$F$8="TRUE",Inputs!$F$8=1),IF(OR(Inputs!$C$27=TRUE,Inputs!$C$27="TRUE",Inputs!$C$27=1),1,0)*(Inputs!$C$51*(115*EXP(-(((Inputs!$C$6)-25)^2)/(4.5^2))+70*EXP(-(((Inputs!$C$6)+38)^2)/(7^2))*(0.55+0.45*SIN(2*PI()*((Inputs!$I$8+(((A116)+1)/2)*(Inputs!$J$8-Inputs!$I$8)))/45))+24*SIN(2*PI()*(Inputs!$C$6)/9+((Inputs!$I$8+(((A116)+1)/2)*(Inputs!$J$8-Inputs!$I$8)))/18)*EXP(-(((Inputs!$C$6)+5)^2)/(22^2))+18*SIN(2*PI()*((Inputs!$I$8+(((A116)+1)/2)*(Inputs!$J$8-Inputs!$I$8)))/70))+Inputs!$C$28*EXP(-((((Inputs!$I$8+(((A116)+1)/2)*(Inputs!$J$8-Inputs!$I$8)))-Inputs!$C$29)^2)/(2*Inputs!$C$31^2))*EXP(-(((Inputs!$C$6)-Inputs!$C$30)^2)/(2*Inputs!$C$32^2))+-Inputs!$C$33*EXP(-((((((Inputs!$I$8+(((A116)+1)/2)*(Inputs!$J$8-Inputs!$I$8)))-Inputs!$C$34)^2)+(((Inputs!$C$6)-Inputs!$C$35)^2))/(2*Inputs!$C$36^2)))+Inputs!$C$37*(0.55*SIN(2*PI()*((Inputs!$I$8+(((A116)+1)/2)*(Inputs!$J$8-Inputs!$I$8)))/Inputs!$C$39)+0.35*COS(2*PI()*(Inputs!$C$6)/Inputs!$C$40)+0.2*SIN(2*PI()*(((Inputs!$I$8+(((A116)+1)/2)*(Inputs!$J$8-Inputs!$I$8)))+(Inputs!$C$6))/(0.5*(Inputs!$C$39+Inputs!$C$40))))+Inputs!$C$38*SIN(2*PI()*((Inputs!$I$8+(((A116)+1)/2)*(Inputs!$J$8-Inputs!$I$8)))/Inputs!$C$39)*SIN(2*PI()*(Inputs!$C$6)/Inputs!$C$40)+-Inputs!$C$41*EXP(-(((Inputs!$C$6)-Inputs!$C$43)^2)/(2*Inputs!$C$44^2))*EXP(-((((Inputs!$I$8+(((A116)+1)/2)*(Inputs!$J$8-Inputs!$I$8)))-Inputs!$C$42)^2)/(2*Inputs!$C$45^2))+Inputs!$C$48*(0.7*(0.45*SIN(2*PI()*((((Inputs!$I$8+(((A116)+1)/2)*(Inputs!$J$8-Inputs!$I$8)))/Inputs!$C$49)+Inputs!$C$47*0.137))+0.35*COS(2*PI()*(((Inputs!$C$6)/Inputs!$C$50)+Inputs!$C$47*0.173))+0.2*SIN(2*PI()*((((Inputs!$I$8+(((A116)+1)/2)*(Inputs!$J$8-Inputs!$I$8)))+(Inputs!$C$6))/(0.5*(Inputs!$C$49+Inputs!$C$50))+Inputs!$C$47*0.097)))+0.3*(2*((SIN((((Inputs!$I$8+(((A116)+1)/2)*(Inputs!$J$8-Inputs!$I$8)))*12.9898+(Inputs!$C$6)*78.233+Inputs!$C$47*37.719))*43758.5453)-INT((SIN((((Inputs!$I$8+(((A116)+1)/2)*(Inputs!$J$8-Inputs!$I$8)))*12.9898+(Inputs!$C$6)*78.233+Inputs!$C$47*37.719))*43758.5453)))-1))),NA())</f>
        <v/>
      </c>
      <c r="AV116" s="9">
        <f>IF(OR(Inputs!$F$9=TRUE,Inputs!$F$9="TRUE",Inputs!$F$9=1),IF(OR(Inputs!$C$27=TRUE,Inputs!$C$27="TRUE",Inputs!$C$27=1),1,0)*(Inputs!$C$51*(115*EXP(-(((Inputs!$C$6)-25)^2)/(4.5^2))+70*EXP(-(((Inputs!$C$6)+38)^2)/(7^2))*(0.55+0.45*SIN(2*PI()*((Inputs!$I$9+(((A116)+1)/2)*(Inputs!$J$9-Inputs!$I$9)))/45))+24*SIN(2*PI()*(Inputs!$C$6)/9+((Inputs!$I$9+(((A116)+1)/2)*(Inputs!$J$9-Inputs!$I$9)))/18)*EXP(-(((Inputs!$C$6)+5)^2)/(22^2))+18*SIN(2*PI()*((Inputs!$I$9+(((A116)+1)/2)*(Inputs!$J$9-Inputs!$I$9)))/70))+Inputs!$C$28*EXP(-((((Inputs!$I$9+(((A116)+1)/2)*(Inputs!$J$9-Inputs!$I$9)))-Inputs!$C$29)^2)/(2*Inputs!$C$31^2))*EXP(-(((Inputs!$C$6)-Inputs!$C$30)^2)/(2*Inputs!$C$32^2))+-Inputs!$C$33*EXP(-((((((Inputs!$I$9+(((A116)+1)/2)*(Inputs!$J$9-Inputs!$I$9)))-Inputs!$C$34)^2)+(((Inputs!$C$6)-Inputs!$C$35)^2))/(2*Inputs!$C$36^2)))+Inputs!$C$37*(0.55*SIN(2*PI()*((Inputs!$I$9+(((A116)+1)/2)*(Inputs!$J$9-Inputs!$I$9)))/Inputs!$C$39)+0.35*COS(2*PI()*(Inputs!$C$6)/Inputs!$C$40)+0.2*SIN(2*PI()*(((Inputs!$I$9+(((A116)+1)/2)*(Inputs!$J$9-Inputs!$I$9)))+(Inputs!$C$6))/(0.5*(Inputs!$C$39+Inputs!$C$40))))+Inputs!$C$38*SIN(2*PI()*((Inputs!$I$9+(((A116)+1)/2)*(Inputs!$J$9-Inputs!$I$9)))/Inputs!$C$39)*SIN(2*PI()*(Inputs!$C$6)/Inputs!$C$40)+-Inputs!$C$41*EXP(-(((Inputs!$C$6)-Inputs!$C$43)^2)/(2*Inputs!$C$44^2))*EXP(-((((Inputs!$I$9+(((A116)+1)/2)*(Inputs!$J$9-Inputs!$I$9)))-Inputs!$C$42)^2)/(2*Inputs!$C$45^2))+Inputs!$C$48*(0.7*(0.45*SIN(2*PI()*((((Inputs!$I$9+(((A116)+1)/2)*(Inputs!$J$9-Inputs!$I$9)))/Inputs!$C$49)+Inputs!$C$47*0.137))+0.35*COS(2*PI()*(((Inputs!$C$6)/Inputs!$C$50)+Inputs!$C$47*0.173))+0.2*SIN(2*PI()*((((Inputs!$I$9+(((A116)+1)/2)*(Inputs!$J$9-Inputs!$I$9)))+(Inputs!$C$6))/(0.5*(Inputs!$C$49+Inputs!$C$50))+Inputs!$C$47*0.097)))+0.3*(2*((SIN((((Inputs!$I$9+(((A116)+1)/2)*(Inputs!$J$9-Inputs!$I$9)))*12.9898+(Inputs!$C$6)*78.233+Inputs!$C$47*37.719))*43758.5453)-INT((SIN((((Inputs!$I$9+(((A116)+1)/2)*(Inputs!$J$9-Inputs!$I$9)))*12.9898+(Inputs!$C$6)*78.233+Inputs!$C$47*37.719))*43758.5453)))-1))),NA())</f>
        <v/>
      </c>
      <c r="AW116" s="10" t="n"/>
      <c r="AX116" s="9">
        <f>A116</f>
        <v/>
      </c>
      <c r="AY116" s="9">
        <f>0</f>
        <v/>
      </c>
      <c r="AZ116" s="9">
        <f>IF(OR(Inputs!$F$6=TRUE,Inputs!$F$6="TRUE",Inputs!$F$6=1),(Inputs!$H$6+Inputs!$L$6*(((Inputs!$I$6+(((A116)+1)/2)*(Inputs!$J$6-Inputs!$I$6)))/Inputs!$K$6)^2),NA())</f>
        <v/>
      </c>
      <c r="BA116" s="9">
        <f>IF(OR(Inputs!$F$7=TRUE,Inputs!$F$7="TRUE",Inputs!$F$7=1),(Inputs!$H$7+Inputs!$L$7*(((Inputs!$I$7+(((A116)+1)/2)*(Inputs!$J$7-Inputs!$I$7)))/Inputs!$K$7)^2),NA())</f>
        <v/>
      </c>
      <c r="BB116" s="9">
        <f>IF(OR(Inputs!$F$8=TRUE,Inputs!$F$8="TRUE",Inputs!$F$8=1),(Inputs!$H$8+Inputs!$L$8*(((Inputs!$I$8+(((A116)+1)/2)*(Inputs!$J$8-Inputs!$I$8)))/Inputs!$K$8)^2),NA())</f>
        <v/>
      </c>
      <c r="BC116" s="9">
        <f>IF(OR(Inputs!$F$9=TRUE,Inputs!$F$9="TRUE",Inputs!$F$9=1),(Inputs!$H$9+Inputs!$L$9*(((Inputs!$I$9+(((A116)+1)/2)*(Inputs!$J$9-Inputs!$I$9)))/Inputs!$K$9)^2),NA())</f>
        <v/>
      </c>
      <c r="BD116" s="10" t="n"/>
      <c r="BE116" s="9">
        <f>A116</f>
        <v/>
      </c>
      <c r="BF116" s="9">
        <f>0</f>
        <v/>
      </c>
      <c r="BG116" s="9">
        <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f>
        <v/>
      </c>
      <c r="BH116" s="9">
        <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f>
        <v/>
      </c>
      <c r="BI116" s="9">
        <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f>
        <v/>
      </c>
      <c r="BJ116" s="9">
        <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f>
        <v/>
      </c>
    </row>
    <row r="117">
      <c r="A117" s="9">
        <f>ROUND(-1+115*2/240,3)</f>
        <v/>
      </c>
      <c r="B117" s="9">
        <f>IF(OR(Inputs!$F$6=TRUE,Inputs!$F$6="TRUE",Inputs!$F$6=1),(Inputs!$H$6+Inputs!$L$6*(((Inputs!$I$6+(((A117)+1)/2)*(Inputs!$J$6-Inputs!$I$6)))/Inputs!$K$6)^2),NA())</f>
        <v/>
      </c>
      <c r="C117" s="9">
        <f>IF(OR(Inputs!$F$7=TRUE,Inputs!$F$7="TRUE",Inputs!$F$7=1),(Inputs!$H$7+Inputs!$L$7*(((Inputs!$I$7+(((A117)+1)/2)*(Inputs!$J$7-Inputs!$I$7)))/Inputs!$K$7)^2),NA())</f>
        <v/>
      </c>
      <c r="D117" s="9">
        <f>IF(OR(Inputs!$F$8=TRUE,Inputs!$F$8="TRUE",Inputs!$F$8=1),(Inputs!$H$8+Inputs!$L$8*(((Inputs!$I$8+(((A117)+1)/2)*(Inputs!$J$8-Inputs!$I$8)))/Inputs!$K$8)^2),NA())</f>
        <v/>
      </c>
      <c r="E117" s="9">
        <f>IF(OR(Inputs!$F$9=TRUE,Inputs!$F$9="TRUE",Inputs!$F$9=1),(Inputs!$H$9+Inputs!$L$9*(((Inputs!$I$9+(((A117)+1)/2)*(Inputs!$J$9-Inputs!$I$9)))/Inputs!$K$9)^2),NA())</f>
        <v/>
      </c>
      <c r="F117" s="10" t="n"/>
      <c r="G117" s="9">
        <f>A117</f>
        <v/>
      </c>
      <c r="H117" s="9">
        <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f>
        <v/>
      </c>
      <c r="I117" s="9">
        <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f>
        <v/>
      </c>
      <c r="J117" s="9">
        <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f>
        <v/>
      </c>
      <c r="K117" s="9">
        <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f>
        <v/>
      </c>
      <c r="L117" s="10" t="n"/>
      <c r="M117" s="9">
        <f>A117</f>
        <v/>
      </c>
      <c r="N117" s="9">
        <f>IF(OR(Inputs!$F$6=TRUE,Inputs!$F$6="TRUE",Inputs!$F$6=1),(-2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NA())</f>
        <v/>
      </c>
      <c r="O117" s="9">
        <f>IF(OR(Inputs!$F$7=TRUE,Inputs!$F$7="TRUE",Inputs!$F$7=1),(-2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NA())</f>
        <v/>
      </c>
      <c r="P117" s="9">
        <f>IF(OR(Inputs!$F$8=TRUE,Inputs!$F$8="TRUE",Inputs!$F$8=1),(-2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NA())</f>
        <v/>
      </c>
      <c r="Q117" s="9">
        <f>IF(OR(Inputs!$F$9=TRUE,Inputs!$F$9="TRUE",Inputs!$F$9=1),(-2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NA())</f>
        <v/>
      </c>
      <c r="R117" s="10" t="n"/>
      <c r="S117" s="9">
        <f>A117</f>
        <v/>
      </c>
      <c r="T117" s="9">
        <f>(Inputs!$I$6+(((A117)+1)/2)*(Inputs!$J$6-Inputs!$I$6))</f>
        <v/>
      </c>
      <c r="U117" s="9">
        <f>(Inputs!$I$7+(((A117)+1)/2)*(Inputs!$J$7-Inputs!$I$7))</f>
        <v/>
      </c>
      <c r="V117" s="9">
        <f>(Inputs!$I$8+(((A117)+1)/2)*(Inputs!$J$8-Inputs!$I$8))</f>
        <v/>
      </c>
      <c r="W117" s="9">
        <f>(Inputs!$I$9+(((A117)+1)/2)*(Inputs!$J$9-Inputs!$I$9))</f>
        <v/>
      </c>
      <c r="X117" s="10" t="n"/>
      <c r="Y117" s="9">
        <f>A117</f>
        <v/>
      </c>
      <c r="Z117" s="9">
        <f>(Inputs!$H$6+Inputs!$L$6*(((Inputs!$I$6+(((A117)+1)/2)*(Inputs!$J$6-Inputs!$I$6)))/Inputs!$K$6)^2)</f>
        <v/>
      </c>
      <c r="AA117" s="9">
        <f>(Inputs!$H$7+Inputs!$L$7*(((Inputs!$I$7+(((A117)+1)/2)*(Inputs!$J$7-Inputs!$I$7)))/Inputs!$K$7)^2)</f>
        <v/>
      </c>
      <c r="AB117" s="9">
        <f>(Inputs!$H$8+Inputs!$L$8*(((Inputs!$I$8+(((A117)+1)/2)*(Inputs!$J$8-Inputs!$I$8)))/Inputs!$K$8)^2)</f>
        <v/>
      </c>
      <c r="AC117" s="9">
        <f>(Inputs!$H$9+Inputs!$L$9*(((Inputs!$I$9+(((A117)+1)/2)*(Inputs!$J$9-Inputs!$I$9)))/Inputs!$K$9)^2)</f>
        <v/>
      </c>
      <c r="AD117" s="10" t="n"/>
      <c r="AE117" s="9">
        <f>A117</f>
        <v/>
      </c>
      <c r="AF117" s="9">
        <f>(((SQRT((Inputs!$C$52+((Inputs!$H$6+Inputs!$L$6*(((Inputs!$I$6+(((A117)+1)/2)*(Inputs!$J$6-Inputs!$I$6)))/Inputs!$K$6)^2)))^2+Inputs!$C$52^2-2*(Inputs!$C$52+((Inputs!$H$6+Inputs!$L$6*(((Inputs!$I$6+(((A117)+1)/2)*(Inputs!$J$6-Inputs!$I$6)))/Inputs!$K$6)^2)))*Inputs!$C$52*COS(SQRT(((Inputs!$I$6+(((A117)+1)/2)*(Inputs!$J$6-Inputs!$I$6)))^2+Inputs!$C$6^2)/Inputs!$C$52)))-((Inputs!$H$6+Inputs!$L$6*(((Inputs!$I$6+(((A117)+1)/2)*(Inputs!$J$6-Inputs!$I$6)))/Inputs!$K$6)^2)))*1000/Inputs!$C$12)</f>
        <v/>
      </c>
      <c r="AG117" s="9">
        <f>(((SQRT((Inputs!$C$52+((Inputs!$H$7+Inputs!$L$7*(((Inputs!$I$7+(((A117)+1)/2)*(Inputs!$J$7-Inputs!$I$7)))/Inputs!$K$7)^2)))^2+Inputs!$C$52^2-2*(Inputs!$C$52+((Inputs!$H$7+Inputs!$L$7*(((Inputs!$I$7+(((A117)+1)/2)*(Inputs!$J$7-Inputs!$I$7)))/Inputs!$K$7)^2)))*Inputs!$C$52*COS(SQRT(((Inputs!$I$7+(((A117)+1)/2)*(Inputs!$J$7-Inputs!$I$7)))^2+Inputs!$C$6^2)/Inputs!$C$52)))-((Inputs!$H$7+Inputs!$L$7*(((Inputs!$I$7+(((A117)+1)/2)*(Inputs!$J$7-Inputs!$I$7)))/Inputs!$K$7)^2)))*1000/Inputs!$C$12)</f>
        <v/>
      </c>
      <c r="AH117" s="9">
        <f>(((SQRT((Inputs!$C$52+((Inputs!$H$8+Inputs!$L$8*(((Inputs!$I$8+(((A117)+1)/2)*(Inputs!$J$8-Inputs!$I$8)))/Inputs!$K$8)^2)))^2+Inputs!$C$52^2-2*(Inputs!$C$52+((Inputs!$H$8+Inputs!$L$8*(((Inputs!$I$8+(((A117)+1)/2)*(Inputs!$J$8-Inputs!$I$8)))/Inputs!$K$8)^2)))*Inputs!$C$52*COS(SQRT(((Inputs!$I$8+(((A117)+1)/2)*(Inputs!$J$8-Inputs!$I$8)))^2+Inputs!$C$6^2)/Inputs!$C$52)))-((Inputs!$H$8+Inputs!$L$8*(((Inputs!$I$8+(((A117)+1)/2)*(Inputs!$J$8-Inputs!$I$8)))/Inputs!$K$8)^2)))*1000/Inputs!$C$12)</f>
        <v/>
      </c>
      <c r="AI117" s="9">
        <f>(((SQRT((Inputs!$C$52+((Inputs!$H$9+Inputs!$L$9*(((Inputs!$I$9+(((A117)+1)/2)*(Inputs!$J$9-Inputs!$I$9)))/Inputs!$K$9)^2)))^2+Inputs!$C$52^2-2*(Inputs!$C$52+((Inputs!$H$9+Inputs!$L$9*(((Inputs!$I$9+(((A117)+1)/2)*(Inputs!$J$9-Inputs!$I$9)))/Inputs!$K$9)^2)))*Inputs!$C$52*COS(SQRT(((Inputs!$I$9+(((A117)+1)/2)*(Inputs!$J$9-Inputs!$I$9)))^2+Inputs!$C$6^2)/Inputs!$C$52)))-((Inputs!$H$9+Inputs!$L$9*(((Inputs!$I$9+(((A117)+1)/2)*(Inputs!$J$9-Inputs!$I$9)))/Inputs!$K$9)^2)))*1000/Inputs!$C$12)</f>
        <v/>
      </c>
      <c r="AJ117" s="10" t="n"/>
      <c r="AK117" s="9">
        <f>A117</f>
        <v/>
      </c>
      <c r="AL117" s="9">
        <f>(-2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f>
        <v/>
      </c>
      <c r="AM117" s="9">
        <f>(-2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f>
        <v/>
      </c>
      <c r="AN117" s="9">
        <f>(-2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f>
        <v/>
      </c>
      <c r="AO117" s="9">
        <f>(-2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f>
        <v/>
      </c>
      <c r="AP117" s="10" t="n"/>
      <c r="AQ117" s="9">
        <f>A117</f>
        <v/>
      </c>
      <c r="AR117" s="9">
        <f>0</f>
        <v/>
      </c>
      <c r="AS117" s="9">
        <f>IF(OR(Inputs!$F$6=TRUE,Inputs!$F$6="TRUE",Inputs!$F$6=1),IF(OR(Inputs!$C$27=TRUE,Inputs!$C$27="TRUE",Inputs!$C$27=1),1,0)*(Inputs!$C$51*(115*EXP(-(((Inputs!$C$6)-25)^2)/(4.5^2))+70*EXP(-(((Inputs!$C$6)+38)^2)/(7^2))*(0.55+0.45*SIN(2*PI()*((Inputs!$I$6+(((A117)+1)/2)*(Inputs!$J$6-Inputs!$I$6)))/45))+24*SIN(2*PI()*(Inputs!$C$6)/9+((Inputs!$I$6+(((A117)+1)/2)*(Inputs!$J$6-Inputs!$I$6)))/18)*EXP(-(((Inputs!$C$6)+5)^2)/(22^2))+18*SIN(2*PI()*((Inputs!$I$6+(((A117)+1)/2)*(Inputs!$J$6-Inputs!$I$6)))/70))+Inputs!$C$28*EXP(-((((Inputs!$I$6+(((A117)+1)/2)*(Inputs!$J$6-Inputs!$I$6)))-Inputs!$C$29)^2)/(2*Inputs!$C$31^2))*EXP(-(((Inputs!$C$6)-Inputs!$C$30)^2)/(2*Inputs!$C$32^2))+-Inputs!$C$33*EXP(-((((((Inputs!$I$6+(((A117)+1)/2)*(Inputs!$J$6-Inputs!$I$6)))-Inputs!$C$34)^2)+(((Inputs!$C$6)-Inputs!$C$35)^2))/(2*Inputs!$C$36^2)))+Inputs!$C$37*(0.55*SIN(2*PI()*((Inputs!$I$6+(((A117)+1)/2)*(Inputs!$J$6-Inputs!$I$6)))/Inputs!$C$39)+0.35*COS(2*PI()*(Inputs!$C$6)/Inputs!$C$40)+0.2*SIN(2*PI()*(((Inputs!$I$6+(((A117)+1)/2)*(Inputs!$J$6-Inputs!$I$6)))+(Inputs!$C$6))/(0.5*(Inputs!$C$39+Inputs!$C$40))))+Inputs!$C$38*SIN(2*PI()*((Inputs!$I$6+(((A117)+1)/2)*(Inputs!$J$6-Inputs!$I$6)))/Inputs!$C$39)*SIN(2*PI()*(Inputs!$C$6)/Inputs!$C$40)+-Inputs!$C$41*EXP(-(((Inputs!$C$6)-Inputs!$C$43)^2)/(2*Inputs!$C$44^2))*EXP(-((((Inputs!$I$6+(((A117)+1)/2)*(Inputs!$J$6-Inputs!$I$6)))-Inputs!$C$42)^2)/(2*Inputs!$C$45^2))+Inputs!$C$48*(0.7*(0.45*SIN(2*PI()*((((Inputs!$I$6+(((A117)+1)/2)*(Inputs!$J$6-Inputs!$I$6)))/Inputs!$C$49)+Inputs!$C$47*0.137))+0.35*COS(2*PI()*(((Inputs!$C$6)/Inputs!$C$50)+Inputs!$C$47*0.173))+0.2*SIN(2*PI()*((((Inputs!$I$6+(((A117)+1)/2)*(Inputs!$J$6-Inputs!$I$6)))+(Inputs!$C$6))/(0.5*(Inputs!$C$49+Inputs!$C$50))+Inputs!$C$47*0.097)))+0.3*(2*((SIN((((Inputs!$I$6+(((A117)+1)/2)*(Inputs!$J$6-Inputs!$I$6)))*12.9898+(Inputs!$C$6)*78.233+Inputs!$C$47*37.719))*43758.5453)-INT((SIN((((Inputs!$I$6+(((A117)+1)/2)*(Inputs!$J$6-Inputs!$I$6)))*12.9898+(Inputs!$C$6)*78.233+Inputs!$C$47*37.719))*43758.5453)))-1))),NA())</f>
        <v/>
      </c>
      <c r="AT117" s="9">
        <f>IF(OR(Inputs!$F$7=TRUE,Inputs!$F$7="TRUE",Inputs!$F$7=1),IF(OR(Inputs!$C$27=TRUE,Inputs!$C$27="TRUE",Inputs!$C$27=1),1,0)*(Inputs!$C$51*(115*EXP(-(((Inputs!$C$6)-25)^2)/(4.5^2))+70*EXP(-(((Inputs!$C$6)+38)^2)/(7^2))*(0.55+0.45*SIN(2*PI()*((Inputs!$I$7+(((A117)+1)/2)*(Inputs!$J$7-Inputs!$I$7)))/45))+24*SIN(2*PI()*(Inputs!$C$6)/9+((Inputs!$I$7+(((A117)+1)/2)*(Inputs!$J$7-Inputs!$I$7)))/18)*EXP(-(((Inputs!$C$6)+5)^2)/(22^2))+18*SIN(2*PI()*((Inputs!$I$7+(((A117)+1)/2)*(Inputs!$J$7-Inputs!$I$7)))/70))+Inputs!$C$28*EXP(-((((Inputs!$I$7+(((A117)+1)/2)*(Inputs!$J$7-Inputs!$I$7)))-Inputs!$C$29)^2)/(2*Inputs!$C$31^2))*EXP(-(((Inputs!$C$6)-Inputs!$C$30)^2)/(2*Inputs!$C$32^2))+-Inputs!$C$33*EXP(-((((((Inputs!$I$7+(((A117)+1)/2)*(Inputs!$J$7-Inputs!$I$7)))-Inputs!$C$34)^2)+(((Inputs!$C$6)-Inputs!$C$35)^2))/(2*Inputs!$C$36^2)))+Inputs!$C$37*(0.55*SIN(2*PI()*((Inputs!$I$7+(((A117)+1)/2)*(Inputs!$J$7-Inputs!$I$7)))/Inputs!$C$39)+0.35*COS(2*PI()*(Inputs!$C$6)/Inputs!$C$40)+0.2*SIN(2*PI()*(((Inputs!$I$7+(((A117)+1)/2)*(Inputs!$J$7-Inputs!$I$7)))+(Inputs!$C$6))/(0.5*(Inputs!$C$39+Inputs!$C$40))))+Inputs!$C$38*SIN(2*PI()*((Inputs!$I$7+(((A117)+1)/2)*(Inputs!$J$7-Inputs!$I$7)))/Inputs!$C$39)*SIN(2*PI()*(Inputs!$C$6)/Inputs!$C$40)+-Inputs!$C$41*EXP(-(((Inputs!$C$6)-Inputs!$C$43)^2)/(2*Inputs!$C$44^2))*EXP(-((((Inputs!$I$7+(((A117)+1)/2)*(Inputs!$J$7-Inputs!$I$7)))-Inputs!$C$42)^2)/(2*Inputs!$C$45^2))+Inputs!$C$48*(0.7*(0.45*SIN(2*PI()*((((Inputs!$I$7+(((A117)+1)/2)*(Inputs!$J$7-Inputs!$I$7)))/Inputs!$C$49)+Inputs!$C$47*0.137))+0.35*COS(2*PI()*(((Inputs!$C$6)/Inputs!$C$50)+Inputs!$C$47*0.173))+0.2*SIN(2*PI()*((((Inputs!$I$7+(((A117)+1)/2)*(Inputs!$J$7-Inputs!$I$7)))+(Inputs!$C$6))/(0.5*(Inputs!$C$49+Inputs!$C$50))+Inputs!$C$47*0.097)))+0.3*(2*((SIN((((Inputs!$I$7+(((A117)+1)/2)*(Inputs!$J$7-Inputs!$I$7)))*12.9898+(Inputs!$C$6)*78.233+Inputs!$C$47*37.719))*43758.5453)-INT((SIN((((Inputs!$I$7+(((A117)+1)/2)*(Inputs!$J$7-Inputs!$I$7)))*12.9898+(Inputs!$C$6)*78.233+Inputs!$C$47*37.719))*43758.5453)))-1))),NA())</f>
        <v/>
      </c>
      <c r="AU117" s="9">
        <f>IF(OR(Inputs!$F$8=TRUE,Inputs!$F$8="TRUE",Inputs!$F$8=1),IF(OR(Inputs!$C$27=TRUE,Inputs!$C$27="TRUE",Inputs!$C$27=1),1,0)*(Inputs!$C$51*(115*EXP(-(((Inputs!$C$6)-25)^2)/(4.5^2))+70*EXP(-(((Inputs!$C$6)+38)^2)/(7^2))*(0.55+0.45*SIN(2*PI()*((Inputs!$I$8+(((A117)+1)/2)*(Inputs!$J$8-Inputs!$I$8)))/45))+24*SIN(2*PI()*(Inputs!$C$6)/9+((Inputs!$I$8+(((A117)+1)/2)*(Inputs!$J$8-Inputs!$I$8)))/18)*EXP(-(((Inputs!$C$6)+5)^2)/(22^2))+18*SIN(2*PI()*((Inputs!$I$8+(((A117)+1)/2)*(Inputs!$J$8-Inputs!$I$8)))/70))+Inputs!$C$28*EXP(-((((Inputs!$I$8+(((A117)+1)/2)*(Inputs!$J$8-Inputs!$I$8)))-Inputs!$C$29)^2)/(2*Inputs!$C$31^2))*EXP(-(((Inputs!$C$6)-Inputs!$C$30)^2)/(2*Inputs!$C$32^2))+-Inputs!$C$33*EXP(-((((((Inputs!$I$8+(((A117)+1)/2)*(Inputs!$J$8-Inputs!$I$8)))-Inputs!$C$34)^2)+(((Inputs!$C$6)-Inputs!$C$35)^2))/(2*Inputs!$C$36^2)))+Inputs!$C$37*(0.55*SIN(2*PI()*((Inputs!$I$8+(((A117)+1)/2)*(Inputs!$J$8-Inputs!$I$8)))/Inputs!$C$39)+0.35*COS(2*PI()*(Inputs!$C$6)/Inputs!$C$40)+0.2*SIN(2*PI()*(((Inputs!$I$8+(((A117)+1)/2)*(Inputs!$J$8-Inputs!$I$8)))+(Inputs!$C$6))/(0.5*(Inputs!$C$39+Inputs!$C$40))))+Inputs!$C$38*SIN(2*PI()*((Inputs!$I$8+(((A117)+1)/2)*(Inputs!$J$8-Inputs!$I$8)))/Inputs!$C$39)*SIN(2*PI()*(Inputs!$C$6)/Inputs!$C$40)+-Inputs!$C$41*EXP(-(((Inputs!$C$6)-Inputs!$C$43)^2)/(2*Inputs!$C$44^2))*EXP(-((((Inputs!$I$8+(((A117)+1)/2)*(Inputs!$J$8-Inputs!$I$8)))-Inputs!$C$42)^2)/(2*Inputs!$C$45^2))+Inputs!$C$48*(0.7*(0.45*SIN(2*PI()*((((Inputs!$I$8+(((A117)+1)/2)*(Inputs!$J$8-Inputs!$I$8)))/Inputs!$C$49)+Inputs!$C$47*0.137))+0.35*COS(2*PI()*(((Inputs!$C$6)/Inputs!$C$50)+Inputs!$C$47*0.173))+0.2*SIN(2*PI()*((((Inputs!$I$8+(((A117)+1)/2)*(Inputs!$J$8-Inputs!$I$8)))+(Inputs!$C$6))/(0.5*(Inputs!$C$49+Inputs!$C$50))+Inputs!$C$47*0.097)))+0.3*(2*((SIN((((Inputs!$I$8+(((A117)+1)/2)*(Inputs!$J$8-Inputs!$I$8)))*12.9898+(Inputs!$C$6)*78.233+Inputs!$C$47*37.719))*43758.5453)-INT((SIN((((Inputs!$I$8+(((A117)+1)/2)*(Inputs!$J$8-Inputs!$I$8)))*12.9898+(Inputs!$C$6)*78.233+Inputs!$C$47*37.719))*43758.5453)))-1))),NA())</f>
        <v/>
      </c>
      <c r="AV117" s="9">
        <f>IF(OR(Inputs!$F$9=TRUE,Inputs!$F$9="TRUE",Inputs!$F$9=1),IF(OR(Inputs!$C$27=TRUE,Inputs!$C$27="TRUE",Inputs!$C$27=1),1,0)*(Inputs!$C$51*(115*EXP(-(((Inputs!$C$6)-25)^2)/(4.5^2))+70*EXP(-(((Inputs!$C$6)+38)^2)/(7^2))*(0.55+0.45*SIN(2*PI()*((Inputs!$I$9+(((A117)+1)/2)*(Inputs!$J$9-Inputs!$I$9)))/45))+24*SIN(2*PI()*(Inputs!$C$6)/9+((Inputs!$I$9+(((A117)+1)/2)*(Inputs!$J$9-Inputs!$I$9)))/18)*EXP(-(((Inputs!$C$6)+5)^2)/(22^2))+18*SIN(2*PI()*((Inputs!$I$9+(((A117)+1)/2)*(Inputs!$J$9-Inputs!$I$9)))/70))+Inputs!$C$28*EXP(-((((Inputs!$I$9+(((A117)+1)/2)*(Inputs!$J$9-Inputs!$I$9)))-Inputs!$C$29)^2)/(2*Inputs!$C$31^2))*EXP(-(((Inputs!$C$6)-Inputs!$C$30)^2)/(2*Inputs!$C$32^2))+-Inputs!$C$33*EXP(-((((((Inputs!$I$9+(((A117)+1)/2)*(Inputs!$J$9-Inputs!$I$9)))-Inputs!$C$34)^2)+(((Inputs!$C$6)-Inputs!$C$35)^2))/(2*Inputs!$C$36^2)))+Inputs!$C$37*(0.55*SIN(2*PI()*((Inputs!$I$9+(((A117)+1)/2)*(Inputs!$J$9-Inputs!$I$9)))/Inputs!$C$39)+0.35*COS(2*PI()*(Inputs!$C$6)/Inputs!$C$40)+0.2*SIN(2*PI()*(((Inputs!$I$9+(((A117)+1)/2)*(Inputs!$J$9-Inputs!$I$9)))+(Inputs!$C$6))/(0.5*(Inputs!$C$39+Inputs!$C$40))))+Inputs!$C$38*SIN(2*PI()*((Inputs!$I$9+(((A117)+1)/2)*(Inputs!$J$9-Inputs!$I$9)))/Inputs!$C$39)*SIN(2*PI()*(Inputs!$C$6)/Inputs!$C$40)+-Inputs!$C$41*EXP(-(((Inputs!$C$6)-Inputs!$C$43)^2)/(2*Inputs!$C$44^2))*EXP(-((((Inputs!$I$9+(((A117)+1)/2)*(Inputs!$J$9-Inputs!$I$9)))-Inputs!$C$42)^2)/(2*Inputs!$C$45^2))+Inputs!$C$48*(0.7*(0.45*SIN(2*PI()*((((Inputs!$I$9+(((A117)+1)/2)*(Inputs!$J$9-Inputs!$I$9)))/Inputs!$C$49)+Inputs!$C$47*0.137))+0.35*COS(2*PI()*(((Inputs!$C$6)/Inputs!$C$50)+Inputs!$C$47*0.173))+0.2*SIN(2*PI()*((((Inputs!$I$9+(((A117)+1)/2)*(Inputs!$J$9-Inputs!$I$9)))+(Inputs!$C$6))/(0.5*(Inputs!$C$49+Inputs!$C$50))+Inputs!$C$47*0.097)))+0.3*(2*((SIN((((Inputs!$I$9+(((A117)+1)/2)*(Inputs!$J$9-Inputs!$I$9)))*12.9898+(Inputs!$C$6)*78.233+Inputs!$C$47*37.719))*43758.5453)-INT((SIN((((Inputs!$I$9+(((A117)+1)/2)*(Inputs!$J$9-Inputs!$I$9)))*12.9898+(Inputs!$C$6)*78.233+Inputs!$C$47*37.719))*43758.5453)))-1))),NA())</f>
        <v/>
      </c>
      <c r="AW117" s="10" t="n"/>
      <c r="AX117" s="9">
        <f>A117</f>
        <v/>
      </c>
      <c r="AY117" s="9">
        <f>0</f>
        <v/>
      </c>
      <c r="AZ117" s="9">
        <f>IF(OR(Inputs!$F$6=TRUE,Inputs!$F$6="TRUE",Inputs!$F$6=1),(Inputs!$H$6+Inputs!$L$6*(((Inputs!$I$6+(((A117)+1)/2)*(Inputs!$J$6-Inputs!$I$6)))/Inputs!$K$6)^2),NA())</f>
        <v/>
      </c>
      <c r="BA117" s="9">
        <f>IF(OR(Inputs!$F$7=TRUE,Inputs!$F$7="TRUE",Inputs!$F$7=1),(Inputs!$H$7+Inputs!$L$7*(((Inputs!$I$7+(((A117)+1)/2)*(Inputs!$J$7-Inputs!$I$7)))/Inputs!$K$7)^2),NA())</f>
        <v/>
      </c>
      <c r="BB117" s="9">
        <f>IF(OR(Inputs!$F$8=TRUE,Inputs!$F$8="TRUE",Inputs!$F$8=1),(Inputs!$H$8+Inputs!$L$8*(((Inputs!$I$8+(((A117)+1)/2)*(Inputs!$J$8-Inputs!$I$8)))/Inputs!$K$8)^2),NA())</f>
        <v/>
      </c>
      <c r="BC117" s="9">
        <f>IF(OR(Inputs!$F$9=TRUE,Inputs!$F$9="TRUE",Inputs!$F$9=1),(Inputs!$H$9+Inputs!$L$9*(((Inputs!$I$9+(((A117)+1)/2)*(Inputs!$J$9-Inputs!$I$9)))/Inputs!$K$9)^2),NA())</f>
        <v/>
      </c>
      <c r="BD117" s="10" t="n"/>
      <c r="BE117" s="9">
        <f>A117</f>
        <v/>
      </c>
      <c r="BF117" s="9">
        <f>0</f>
        <v/>
      </c>
      <c r="BG117" s="9">
        <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f>
        <v/>
      </c>
      <c r="BH117" s="9">
        <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f>
        <v/>
      </c>
      <c r="BI117" s="9">
        <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f>
        <v/>
      </c>
      <c r="BJ117" s="9">
        <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f>
        <v/>
      </c>
    </row>
    <row r="118">
      <c r="A118" s="9">
        <f>ROUND(-1+116*2/240,3)</f>
        <v/>
      </c>
      <c r="B118" s="9">
        <f>IF(OR(Inputs!$F$6=TRUE,Inputs!$F$6="TRUE",Inputs!$F$6=1),(Inputs!$H$6+Inputs!$L$6*(((Inputs!$I$6+(((A118)+1)/2)*(Inputs!$J$6-Inputs!$I$6)))/Inputs!$K$6)^2),NA())</f>
        <v/>
      </c>
      <c r="C118" s="9">
        <f>IF(OR(Inputs!$F$7=TRUE,Inputs!$F$7="TRUE",Inputs!$F$7=1),(Inputs!$H$7+Inputs!$L$7*(((Inputs!$I$7+(((A118)+1)/2)*(Inputs!$J$7-Inputs!$I$7)))/Inputs!$K$7)^2),NA())</f>
        <v/>
      </c>
      <c r="D118" s="9">
        <f>IF(OR(Inputs!$F$8=TRUE,Inputs!$F$8="TRUE",Inputs!$F$8=1),(Inputs!$H$8+Inputs!$L$8*(((Inputs!$I$8+(((A118)+1)/2)*(Inputs!$J$8-Inputs!$I$8)))/Inputs!$K$8)^2),NA())</f>
        <v/>
      </c>
      <c r="E118" s="9">
        <f>IF(OR(Inputs!$F$9=TRUE,Inputs!$F$9="TRUE",Inputs!$F$9=1),(Inputs!$H$9+Inputs!$L$9*(((Inputs!$I$9+(((A118)+1)/2)*(Inputs!$J$9-Inputs!$I$9)))/Inputs!$K$9)^2),NA())</f>
        <v/>
      </c>
      <c r="F118" s="10" t="n"/>
      <c r="G118" s="9">
        <f>A118</f>
        <v/>
      </c>
      <c r="H118" s="9">
        <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f>
        <v/>
      </c>
      <c r="I118" s="9">
        <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f>
        <v/>
      </c>
      <c r="J118" s="9">
        <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f>
        <v/>
      </c>
      <c r="K118" s="9">
        <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f>
        <v/>
      </c>
      <c r="L118" s="10" t="n"/>
      <c r="M118" s="9">
        <f>A118</f>
        <v/>
      </c>
      <c r="N118" s="9">
        <f>IF(OR(Inputs!$F$6=TRUE,Inputs!$F$6="TRUE",Inputs!$F$6=1),(-2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NA())</f>
        <v/>
      </c>
      <c r="O118" s="9">
        <f>IF(OR(Inputs!$F$7=TRUE,Inputs!$F$7="TRUE",Inputs!$F$7=1),(-2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NA())</f>
        <v/>
      </c>
      <c r="P118" s="9">
        <f>IF(OR(Inputs!$F$8=TRUE,Inputs!$F$8="TRUE",Inputs!$F$8=1),(-2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NA())</f>
        <v/>
      </c>
      <c r="Q118" s="9">
        <f>IF(OR(Inputs!$F$9=TRUE,Inputs!$F$9="TRUE",Inputs!$F$9=1),(-2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NA())</f>
        <v/>
      </c>
      <c r="R118" s="10" t="n"/>
      <c r="S118" s="9">
        <f>A118</f>
        <v/>
      </c>
      <c r="T118" s="9">
        <f>(Inputs!$I$6+(((A118)+1)/2)*(Inputs!$J$6-Inputs!$I$6))</f>
        <v/>
      </c>
      <c r="U118" s="9">
        <f>(Inputs!$I$7+(((A118)+1)/2)*(Inputs!$J$7-Inputs!$I$7))</f>
        <v/>
      </c>
      <c r="V118" s="9">
        <f>(Inputs!$I$8+(((A118)+1)/2)*(Inputs!$J$8-Inputs!$I$8))</f>
        <v/>
      </c>
      <c r="W118" s="9">
        <f>(Inputs!$I$9+(((A118)+1)/2)*(Inputs!$J$9-Inputs!$I$9))</f>
        <v/>
      </c>
      <c r="X118" s="10" t="n"/>
      <c r="Y118" s="9">
        <f>A118</f>
        <v/>
      </c>
      <c r="Z118" s="9">
        <f>(Inputs!$H$6+Inputs!$L$6*(((Inputs!$I$6+(((A118)+1)/2)*(Inputs!$J$6-Inputs!$I$6)))/Inputs!$K$6)^2)</f>
        <v/>
      </c>
      <c r="AA118" s="9">
        <f>(Inputs!$H$7+Inputs!$L$7*(((Inputs!$I$7+(((A118)+1)/2)*(Inputs!$J$7-Inputs!$I$7)))/Inputs!$K$7)^2)</f>
        <v/>
      </c>
      <c r="AB118" s="9">
        <f>(Inputs!$H$8+Inputs!$L$8*(((Inputs!$I$8+(((A118)+1)/2)*(Inputs!$J$8-Inputs!$I$8)))/Inputs!$K$8)^2)</f>
        <v/>
      </c>
      <c r="AC118" s="9">
        <f>(Inputs!$H$9+Inputs!$L$9*(((Inputs!$I$9+(((A118)+1)/2)*(Inputs!$J$9-Inputs!$I$9)))/Inputs!$K$9)^2)</f>
        <v/>
      </c>
      <c r="AD118" s="10" t="n"/>
      <c r="AE118" s="9">
        <f>A118</f>
        <v/>
      </c>
      <c r="AF118" s="9">
        <f>(((SQRT((Inputs!$C$52+((Inputs!$H$6+Inputs!$L$6*(((Inputs!$I$6+(((A118)+1)/2)*(Inputs!$J$6-Inputs!$I$6)))/Inputs!$K$6)^2)))^2+Inputs!$C$52^2-2*(Inputs!$C$52+((Inputs!$H$6+Inputs!$L$6*(((Inputs!$I$6+(((A118)+1)/2)*(Inputs!$J$6-Inputs!$I$6)))/Inputs!$K$6)^2)))*Inputs!$C$52*COS(SQRT(((Inputs!$I$6+(((A118)+1)/2)*(Inputs!$J$6-Inputs!$I$6)))^2+Inputs!$C$6^2)/Inputs!$C$52)))-((Inputs!$H$6+Inputs!$L$6*(((Inputs!$I$6+(((A118)+1)/2)*(Inputs!$J$6-Inputs!$I$6)))/Inputs!$K$6)^2)))*1000/Inputs!$C$12)</f>
        <v/>
      </c>
      <c r="AG118" s="9">
        <f>(((SQRT((Inputs!$C$52+((Inputs!$H$7+Inputs!$L$7*(((Inputs!$I$7+(((A118)+1)/2)*(Inputs!$J$7-Inputs!$I$7)))/Inputs!$K$7)^2)))^2+Inputs!$C$52^2-2*(Inputs!$C$52+((Inputs!$H$7+Inputs!$L$7*(((Inputs!$I$7+(((A118)+1)/2)*(Inputs!$J$7-Inputs!$I$7)))/Inputs!$K$7)^2)))*Inputs!$C$52*COS(SQRT(((Inputs!$I$7+(((A118)+1)/2)*(Inputs!$J$7-Inputs!$I$7)))^2+Inputs!$C$6^2)/Inputs!$C$52)))-((Inputs!$H$7+Inputs!$L$7*(((Inputs!$I$7+(((A118)+1)/2)*(Inputs!$J$7-Inputs!$I$7)))/Inputs!$K$7)^2)))*1000/Inputs!$C$12)</f>
        <v/>
      </c>
      <c r="AH118" s="9">
        <f>(((SQRT((Inputs!$C$52+((Inputs!$H$8+Inputs!$L$8*(((Inputs!$I$8+(((A118)+1)/2)*(Inputs!$J$8-Inputs!$I$8)))/Inputs!$K$8)^2)))^2+Inputs!$C$52^2-2*(Inputs!$C$52+((Inputs!$H$8+Inputs!$L$8*(((Inputs!$I$8+(((A118)+1)/2)*(Inputs!$J$8-Inputs!$I$8)))/Inputs!$K$8)^2)))*Inputs!$C$52*COS(SQRT(((Inputs!$I$8+(((A118)+1)/2)*(Inputs!$J$8-Inputs!$I$8)))^2+Inputs!$C$6^2)/Inputs!$C$52)))-((Inputs!$H$8+Inputs!$L$8*(((Inputs!$I$8+(((A118)+1)/2)*(Inputs!$J$8-Inputs!$I$8)))/Inputs!$K$8)^2)))*1000/Inputs!$C$12)</f>
        <v/>
      </c>
      <c r="AI118" s="9">
        <f>(((SQRT((Inputs!$C$52+((Inputs!$H$9+Inputs!$L$9*(((Inputs!$I$9+(((A118)+1)/2)*(Inputs!$J$9-Inputs!$I$9)))/Inputs!$K$9)^2)))^2+Inputs!$C$52^2-2*(Inputs!$C$52+((Inputs!$H$9+Inputs!$L$9*(((Inputs!$I$9+(((A118)+1)/2)*(Inputs!$J$9-Inputs!$I$9)))/Inputs!$K$9)^2)))*Inputs!$C$52*COS(SQRT(((Inputs!$I$9+(((A118)+1)/2)*(Inputs!$J$9-Inputs!$I$9)))^2+Inputs!$C$6^2)/Inputs!$C$52)))-((Inputs!$H$9+Inputs!$L$9*(((Inputs!$I$9+(((A118)+1)/2)*(Inputs!$J$9-Inputs!$I$9)))/Inputs!$K$9)^2)))*1000/Inputs!$C$12)</f>
        <v/>
      </c>
      <c r="AJ118" s="10" t="n"/>
      <c r="AK118" s="9">
        <f>A118</f>
        <v/>
      </c>
      <c r="AL118" s="9">
        <f>(-2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f>
        <v/>
      </c>
      <c r="AM118" s="9">
        <f>(-2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f>
        <v/>
      </c>
      <c r="AN118" s="9">
        <f>(-2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f>
        <v/>
      </c>
      <c r="AO118" s="9">
        <f>(-2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f>
        <v/>
      </c>
      <c r="AP118" s="10" t="n"/>
      <c r="AQ118" s="9">
        <f>A118</f>
        <v/>
      </c>
      <c r="AR118" s="9">
        <f>0</f>
        <v/>
      </c>
      <c r="AS118" s="9">
        <f>IF(OR(Inputs!$F$6=TRUE,Inputs!$F$6="TRUE",Inputs!$F$6=1),IF(OR(Inputs!$C$27=TRUE,Inputs!$C$27="TRUE",Inputs!$C$27=1),1,0)*(Inputs!$C$51*(115*EXP(-(((Inputs!$C$6)-25)^2)/(4.5^2))+70*EXP(-(((Inputs!$C$6)+38)^2)/(7^2))*(0.55+0.45*SIN(2*PI()*((Inputs!$I$6+(((A118)+1)/2)*(Inputs!$J$6-Inputs!$I$6)))/45))+24*SIN(2*PI()*(Inputs!$C$6)/9+((Inputs!$I$6+(((A118)+1)/2)*(Inputs!$J$6-Inputs!$I$6)))/18)*EXP(-(((Inputs!$C$6)+5)^2)/(22^2))+18*SIN(2*PI()*((Inputs!$I$6+(((A118)+1)/2)*(Inputs!$J$6-Inputs!$I$6)))/70))+Inputs!$C$28*EXP(-((((Inputs!$I$6+(((A118)+1)/2)*(Inputs!$J$6-Inputs!$I$6)))-Inputs!$C$29)^2)/(2*Inputs!$C$31^2))*EXP(-(((Inputs!$C$6)-Inputs!$C$30)^2)/(2*Inputs!$C$32^2))+-Inputs!$C$33*EXP(-((((((Inputs!$I$6+(((A118)+1)/2)*(Inputs!$J$6-Inputs!$I$6)))-Inputs!$C$34)^2)+(((Inputs!$C$6)-Inputs!$C$35)^2))/(2*Inputs!$C$36^2)))+Inputs!$C$37*(0.55*SIN(2*PI()*((Inputs!$I$6+(((A118)+1)/2)*(Inputs!$J$6-Inputs!$I$6)))/Inputs!$C$39)+0.35*COS(2*PI()*(Inputs!$C$6)/Inputs!$C$40)+0.2*SIN(2*PI()*(((Inputs!$I$6+(((A118)+1)/2)*(Inputs!$J$6-Inputs!$I$6)))+(Inputs!$C$6))/(0.5*(Inputs!$C$39+Inputs!$C$40))))+Inputs!$C$38*SIN(2*PI()*((Inputs!$I$6+(((A118)+1)/2)*(Inputs!$J$6-Inputs!$I$6)))/Inputs!$C$39)*SIN(2*PI()*(Inputs!$C$6)/Inputs!$C$40)+-Inputs!$C$41*EXP(-(((Inputs!$C$6)-Inputs!$C$43)^2)/(2*Inputs!$C$44^2))*EXP(-((((Inputs!$I$6+(((A118)+1)/2)*(Inputs!$J$6-Inputs!$I$6)))-Inputs!$C$42)^2)/(2*Inputs!$C$45^2))+Inputs!$C$48*(0.7*(0.45*SIN(2*PI()*((((Inputs!$I$6+(((A118)+1)/2)*(Inputs!$J$6-Inputs!$I$6)))/Inputs!$C$49)+Inputs!$C$47*0.137))+0.35*COS(2*PI()*(((Inputs!$C$6)/Inputs!$C$50)+Inputs!$C$47*0.173))+0.2*SIN(2*PI()*((((Inputs!$I$6+(((A118)+1)/2)*(Inputs!$J$6-Inputs!$I$6)))+(Inputs!$C$6))/(0.5*(Inputs!$C$49+Inputs!$C$50))+Inputs!$C$47*0.097)))+0.3*(2*((SIN((((Inputs!$I$6+(((A118)+1)/2)*(Inputs!$J$6-Inputs!$I$6)))*12.9898+(Inputs!$C$6)*78.233+Inputs!$C$47*37.719))*43758.5453)-INT((SIN((((Inputs!$I$6+(((A118)+1)/2)*(Inputs!$J$6-Inputs!$I$6)))*12.9898+(Inputs!$C$6)*78.233+Inputs!$C$47*37.719))*43758.5453)))-1))),NA())</f>
        <v/>
      </c>
      <c r="AT118" s="9">
        <f>IF(OR(Inputs!$F$7=TRUE,Inputs!$F$7="TRUE",Inputs!$F$7=1),IF(OR(Inputs!$C$27=TRUE,Inputs!$C$27="TRUE",Inputs!$C$27=1),1,0)*(Inputs!$C$51*(115*EXP(-(((Inputs!$C$6)-25)^2)/(4.5^2))+70*EXP(-(((Inputs!$C$6)+38)^2)/(7^2))*(0.55+0.45*SIN(2*PI()*((Inputs!$I$7+(((A118)+1)/2)*(Inputs!$J$7-Inputs!$I$7)))/45))+24*SIN(2*PI()*(Inputs!$C$6)/9+((Inputs!$I$7+(((A118)+1)/2)*(Inputs!$J$7-Inputs!$I$7)))/18)*EXP(-(((Inputs!$C$6)+5)^2)/(22^2))+18*SIN(2*PI()*((Inputs!$I$7+(((A118)+1)/2)*(Inputs!$J$7-Inputs!$I$7)))/70))+Inputs!$C$28*EXP(-((((Inputs!$I$7+(((A118)+1)/2)*(Inputs!$J$7-Inputs!$I$7)))-Inputs!$C$29)^2)/(2*Inputs!$C$31^2))*EXP(-(((Inputs!$C$6)-Inputs!$C$30)^2)/(2*Inputs!$C$32^2))+-Inputs!$C$33*EXP(-((((((Inputs!$I$7+(((A118)+1)/2)*(Inputs!$J$7-Inputs!$I$7)))-Inputs!$C$34)^2)+(((Inputs!$C$6)-Inputs!$C$35)^2))/(2*Inputs!$C$36^2)))+Inputs!$C$37*(0.55*SIN(2*PI()*((Inputs!$I$7+(((A118)+1)/2)*(Inputs!$J$7-Inputs!$I$7)))/Inputs!$C$39)+0.35*COS(2*PI()*(Inputs!$C$6)/Inputs!$C$40)+0.2*SIN(2*PI()*(((Inputs!$I$7+(((A118)+1)/2)*(Inputs!$J$7-Inputs!$I$7)))+(Inputs!$C$6))/(0.5*(Inputs!$C$39+Inputs!$C$40))))+Inputs!$C$38*SIN(2*PI()*((Inputs!$I$7+(((A118)+1)/2)*(Inputs!$J$7-Inputs!$I$7)))/Inputs!$C$39)*SIN(2*PI()*(Inputs!$C$6)/Inputs!$C$40)+-Inputs!$C$41*EXP(-(((Inputs!$C$6)-Inputs!$C$43)^2)/(2*Inputs!$C$44^2))*EXP(-((((Inputs!$I$7+(((A118)+1)/2)*(Inputs!$J$7-Inputs!$I$7)))-Inputs!$C$42)^2)/(2*Inputs!$C$45^2))+Inputs!$C$48*(0.7*(0.45*SIN(2*PI()*((((Inputs!$I$7+(((A118)+1)/2)*(Inputs!$J$7-Inputs!$I$7)))/Inputs!$C$49)+Inputs!$C$47*0.137))+0.35*COS(2*PI()*(((Inputs!$C$6)/Inputs!$C$50)+Inputs!$C$47*0.173))+0.2*SIN(2*PI()*((((Inputs!$I$7+(((A118)+1)/2)*(Inputs!$J$7-Inputs!$I$7)))+(Inputs!$C$6))/(0.5*(Inputs!$C$49+Inputs!$C$50))+Inputs!$C$47*0.097)))+0.3*(2*((SIN((((Inputs!$I$7+(((A118)+1)/2)*(Inputs!$J$7-Inputs!$I$7)))*12.9898+(Inputs!$C$6)*78.233+Inputs!$C$47*37.719))*43758.5453)-INT((SIN((((Inputs!$I$7+(((A118)+1)/2)*(Inputs!$J$7-Inputs!$I$7)))*12.9898+(Inputs!$C$6)*78.233+Inputs!$C$47*37.719))*43758.5453)))-1))),NA())</f>
        <v/>
      </c>
      <c r="AU118" s="9">
        <f>IF(OR(Inputs!$F$8=TRUE,Inputs!$F$8="TRUE",Inputs!$F$8=1),IF(OR(Inputs!$C$27=TRUE,Inputs!$C$27="TRUE",Inputs!$C$27=1),1,0)*(Inputs!$C$51*(115*EXP(-(((Inputs!$C$6)-25)^2)/(4.5^2))+70*EXP(-(((Inputs!$C$6)+38)^2)/(7^2))*(0.55+0.45*SIN(2*PI()*((Inputs!$I$8+(((A118)+1)/2)*(Inputs!$J$8-Inputs!$I$8)))/45))+24*SIN(2*PI()*(Inputs!$C$6)/9+((Inputs!$I$8+(((A118)+1)/2)*(Inputs!$J$8-Inputs!$I$8)))/18)*EXP(-(((Inputs!$C$6)+5)^2)/(22^2))+18*SIN(2*PI()*((Inputs!$I$8+(((A118)+1)/2)*(Inputs!$J$8-Inputs!$I$8)))/70))+Inputs!$C$28*EXP(-((((Inputs!$I$8+(((A118)+1)/2)*(Inputs!$J$8-Inputs!$I$8)))-Inputs!$C$29)^2)/(2*Inputs!$C$31^2))*EXP(-(((Inputs!$C$6)-Inputs!$C$30)^2)/(2*Inputs!$C$32^2))+-Inputs!$C$33*EXP(-((((((Inputs!$I$8+(((A118)+1)/2)*(Inputs!$J$8-Inputs!$I$8)))-Inputs!$C$34)^2)+(((Inputs!$C$6)-Inputs!$C$35)^2))/(2*Inputs!$C$36^2)))+Inputs!$C$37*(0.55*SIN(2*PI()*((Inputs!$I$8+(((A118)+1)/2)*(Inputs!$J$8-Inputs!$I$8)))/Inputs!$C$39)+0.35*COS(2*PI()*(Inputs!$C$6)/Inputs!$C$40)+0.2*SIN(2*PI()*(((Inputs!$I$8+(((A118)+1)/2)*(Inputs!$J$8-Inputs!$I$8)))+(Inputs!$C$6))/(0.5*(Inputs!$C$39+Inputs!$C$40))))+Inputs!$C$38*SIN(2*PI()*((Inputs!$I$8+(((A118)+1)/2)*(Inputs!$J$8-Inputs!$I$8)))/Inputs!$C$39)*SIN(2*PI()*(Inputs!$C$6)/Inputs!$C$40)+-Inputs!$C$41*EXP(-(((Inputs!$C$6)-Inputs!$C$43)^2)/(2*Inputs!$C$44^2))*EXP(-((((Inputs!$I$8+(((A118)+1)/2)*(Inputs!$J$8-Inputs!$I$8)))-Inputs!$C$42)^2)/(2*Inputs!$C$45^2))+Inputs!$C$48*(0.7*(0.45*SIN(2*PI()*((((Inputs!$I$8+(((A118)+1)/2)*(Inputs!$J$8-Inputs!$I$8)))/Inputs!$C$49)+Inputs!$C$47*0.137))+0.35*COS(2*PI()*(((Inputs!$C$6)/Inputs!$C$50)+Inputs!$C$47*0.173))+0.2*SIN(2*PI()*((((Inputs!$I$8+(((A118)+1)/2)*(Inputs!$J$8-Inputs!$I$8)))+(Inputs!$C$6))/(0.5*(Inputs!$C$49+Inputs!$C$50))+Inputs!$C$47*0.097)))+0.3*(2*((SIN((((Inputs!$I$8+(((A118)+1)/2)*(Inputs!$J$8-Inputs!$I$8)))*12.9898+(Inputs!$C$6)*78.233+Inputs!$C$47*37.719))*43758.5453)-INT((SIN((((Inputs!$I$8+(((A118)+1)/2)*(Inputs!$J$8-Inputs!$I$8)))*12.9898+(Inputs!$C$6)*78.233+Inputs!$C$47*37.719))*43758.5453)))-1))),NA())</f>
        <v/>
      </c>
      <c r="AV118" s="9">
        <f>IF(OR(Inputs!$F$9=TRUE,Inputs!$F$9="TRUE",Inputs!$F$9=1),IF(OR(Inputs!$C$27=TRUE,Inputs!$C$27="TRUE",Inputs!$C$27=1),1,0)*(Inputs!$C$51*(115*EXP(-(((Inputs!$C$6)-25)^2)/(4.5^2))+70*EXP(-(((Inputs!$C$6)+38)^2)/(7^2))*(0.55+0.45*SIN(2*PI()*((Inputs!$I$9+(((A118)+1)/2)*(Inputs!$J$9-Inputs!$I$9)))/45))+24*SIN(2*PI()*(Inputs!$C$6)/9+((Inputs!$I$9+(((A118)+1)/2)*(Inputs!$J$9-Inputs!$I$9)))/18)*EXP(-(((Inputs!$C$6)+5)^2)/(22^2))+18*SIN(2*PI()*((Inputs!$I$9+(((A118)+1)/2)*(Inputs!$J$9-Inputs!$I$9)))/70))+Inputs!$C$28*EXP(-((((Inputs!$I$9+(((A118)+1)/2)*(Inputs!$J$9-Inputs!$I$9)))-Inputs!$C$29)^2)/(2*Inputs!$C$31^2))*EXP(-(((Inputs!$C$6)-Inputs!$C$30)^2)/(2*Inputs!$C$32^2))+-Inputs!$C$33*EXP(-((((((Inputs!$I$9+(((A118)+1)/2)*(Inputs!$J$9-Inputs!$I$9)))-Inputs!$C$34)^2)+(((Inputs!$C$6)-Inputs!$C$35)^2))/(2*Inputs!$C$36^2)))+Inputs!$C$37*(0.55*SIN(2*PI()*((Inputs!$I$9+(((A118)+1)/2)*(Inputs!$J$9-Inputs!$I$9)))/Inputs!$C$39)+0.35*COS(2*PI()*(Inputs!$C$6)/Inputs!$C$40)+0.2*SIN(2*PI()*(((Inputs!$I$9+(((A118)+1)/2)*(Inputs!$J$9-Inputs!$I$9)))+(Inputs!$C$6))/(0.5*(Inputs!$C$39+Inputs!$C$40))))+Inputs!$C$38*SIN(2*PI()*((Inputs!$I$9+(((A118)+1)/2)*(Inputs!$J$9-Inputs!$I$9)))/Inputs!$C$39)*SIN(2*PI()*(Inputs!$C$6)/Inputs!$C$40)+-Inputs!$C$41*EXP(-(((Inputs!$C$6)-Inputs!$C$43)^2)/(2*Inputs!$C$44^2))*EXP(-((((Inputs!$I$9+(((A118)+1)/2)*(Inputs!$J$9-Inputs!$I$9)))-Inputs!$C$42)^2)/(2*Inputs!$C$45^2))+Inputs!$C$48*(0.7*(0.45*SIN(2*PI()*((((Inputs!$I$9+(((A118)+1)/2)*(Inputs!$J$9-Inputs!$I$9)))/Inputs!$C$49)+Inputs!$C$47*0.137))+0.35*COS(2*PI()*(((Inputs!$C$6)/Inputs!$C$50)+Inputs!$C$47*0.173))+0.2*SIN(2*PI()*((((Inputs!$I$9+(((A118)+1)/2)*(Inputs!$J$9-Inputs!$I$9)))+(Inputs!$C$6))/(0.5*(Inputs!$C$49+Inputs!$C$50))+Inputs!$C$47*0.097)))+0.3*(2*((SIN((((Inputs!$I$9+(((A118)+1)/2)*(Inputs!$J$9-Inputs!$I$9)))*12.9898+(Inputs!$C$6)*78.233+Inputs!$C$47*37.719))*43758.5453)-INT((SIN((((Inputs!$I$9+(((A118)+1)/2)*(Inputs!$J$9-Inputs!$I$9)))*12.9898+(Inputs!$C$6)*78.233+Inputs!$C$47*37.719))*43758.5453)))-1))),NA())</f>
        <v/>
      </c>
      <c r="AW118" s="10" t="n"/>
      <c r="AX118" s="9">
        <f>A118</f>
        <v/>
      </c>
      <c r="AY118" s="9">
        <f>0</f>
        <v/>
      </c>
      <c r="AZ118" s="9">
        <f>IF(OR(Inputs!$F$6=TRUE,Inputs!$F$6="TRUE",Inputs!$F$6=1),(Inputs!$H$6+Inputs!$L$6*(((Inputs!$I$6+(((A118)+1)/2)*(Inputs!$J$6-Inputs!$I$6)))/Inputs!$K$6)^2),NA())</f>
        <v/>
      </c>
      <c r="BA118" s="9">
        <f>IF(OR(Inputs!$F$7=TRUE,Inputs!$F$7="TRUE",Inputs!$F$7=1),(Inputs!$H$7+Inputs!$L$7*(((Inputs!$I$7+(((A118)+1)/2)*(Inputs!$J$7-Inputs!$I$7)))/Inputs!$K$7)^2),NA())</f>
        <v/>
      </c>
      <c r="BB118" s="9">
        <f>IF(OR(Inputs!$F$8=TRUE,Inputs!$F$8="TRUE",Inputs!$F$8=1),(Inputs!$H$8+Inputs!$L$8*(((Inputs!$I$8+(((A118)+1)/2)*(Inputs!$J$8-Inputs!$I$8)))/Inputs!$K$8)^2),NA())</f>
        <v/>
      </c>
      <c r="BC118" s="9">
        <f>IF(OR(Inputs!$F$9=TRUE,Inputs!$F$9="TRUE",Inputs!$F$9=1),(Inputs!$H$9+Inputs!$L$9*(((Inputs!$I$9+(((A118)+1)/2)*(Inputs!$J$9-Inputs!$I$9)))/Inputs!$K$9)^2),NA())</f>
        <v/>
      </c>
      <c r="BD118" s="10" t="n"/>
      <c r="BE118" s="9">
        <f>A118</f>
        <v/>
      </c>
      <c r="BF118" s="9">
        <f>0</f>
        <v/>
      </c>
      <c r="BG118" s="9">
        <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f>
        <v/>
      </c>
      <c r="BH118" s="9">
        <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f>
        <v/>
      </c>
      <c r="BI118" s="9">
        <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f>
        <v/>
      </c>
      <c r="BJ118" s="9">
        <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f>
        <v/>
      </c>
    </row>
    <row r="119">
      <c r="A119" s="9">
        <f>ROUND(-1+117*2/240,3)</f>
        <v/>
      </c>
      <c r="B119" s="9">
        <f>IF(OR(Inputs!$F$6=TRUE,Inputs!$F$6="TRUE",Inputs!$F$6=1),(Inputs!$H$6+Inputs!$L$6*(((Inputs!$I$6+(((A119)+1)/2)*(Inputs!$J$6-Inputs!$I$6)))/Inputs!$K$6)^2),NA())</f>
        <v/>
      </c>
      <c r="C119" s="9">
        <f>IF(OR(Inputs!$F$7=TRUE,Inputs!$F$7="TRUE",Inputs!$F$7=1),(Inputs!$H$7+Inputs!$L$7*(((Inputs!$I$7+(((A119)+1)/2)*(Inputs!$J$7-Inputs!$I$7)))/Inputs!$K$7)^2),NA())</f>
        <v/>
      </c>
      <c r="D119" s="9">
        <f>IF(OR(Inputs!$F$8=TRUE,Inputs!$F$8="TRUE",Inputs!$F$8=1),(Inputs!$H$8+Inputs!$L$8*(((Inputs!$I$8+(((A119)+1)/2)*(Inputs!$J$8-Inputs!$I$8)))/Inputs!$K$8)^2),NA())</f>
        <v/>
      </c>
      <c r="E119" s="9">
        <f>IF(OR(Inputs!$F$9=TRUE,Inputs!$F$9="TRUE",Inputs!$F$9=1),(Inputs!$H$9+Inputs!$L$9*(((Inputs!$I$9+(((A119)+1)/2)*(Inputs!$J$9-Inputs!$I$9)))/Inputs!$K$9)^2),NA())</f>
        <v/>
      </c>
      <c r="F119" s="10" t="n"/>
      <c r="G119" s="9">
        <f>A119</f>
        <v/>
      </c>
      <c r="H119" s="9">
        <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f>
        <v/>
      </c>
      <c r="I119" s="9">
        <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f>
        <v/>
      </c>
      <c r="J119" s="9">
        <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f>
        <v/>
      </c>
      <c r="K119" s="9">
        <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f>
        <v/>
      </c>
      <c r="L119" s="10" t="n"/>
      <c r="M119" s="9">
        <f>A119</f>
        <v/>
      </c>
      <c r="N119" s="9">
        <f>IF(OR(Inputs!$F$6=TRUE,Inputs!$F$6="TRUE",Inputs!$F$6=1),(-2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NA())</f>
        <v/>
      </c>
      <c r="O119" s="9">
        <f>IF(OR(Inputs!$F$7=TRUE,Inputs!$F$7="TRUE",Inputs!$F$7=1),(-2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NA())</f>
        <v/>
      </c>
      <c r="P119" s="9">
        <f>IF(OR(Inputs!$F$8=TRUE,Inputs!$F$8="TRUE",Inputs!$F$8=1),(-2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NA())</f>
        <v/>
      </c>
      <c r="Q119" s="9">
        <f>IF(OR(Inputs!$F$9=TRUE,Inputs!$F$9="TRUE",Inputs!$F$9=1),(-2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NA())</f>
        <v/>
      </c>
      <c r="R119" s="10" t="n"/>
      <c r="S119" s="9">
        <f>A119</f>
        <v/>
      </c>
      <c r="T119" s="9">
        <f>(Inputs!$I$6+(((A119)+1)/2)*(Inputs!$J$6-Inputs!$I$6))</f>
        <v/>
      </c>
      <c r="U119" s="9">
        <f>(Inputs!$I$7+(((A119)+1)/2)*(Inputs!$J$7-Inputs!$I$7))</f>
        <v/>
      </c>
      <c r="V119" s="9">
        <f>(Inputs!$I$8+(((A119)+1)/2)*(Inputs!$J$8-Inputs!$I$8))</f>
        <v/>
      </c>
      <c r="W119" s="9">
        <f>(Inputs!$I$9+(((A119)+1)/2)*(Inputs!$J$9-Inputs!$I$9))</f>
        <v/>
      </c>
      <c r="X119" s="10" t="n"/>
      <c r="Y119" s="9">
        <f>A119</f>
        <v/>
      </c>
      <c r="Z119" s="9">
        <f>(Inputs!$H$6+Inputs!$L$6*(((Inputs!$I$6+(((A119)+1)/2)*(Inputs!$J$6-Inputs!$I$6)))/Inputs!$K$6)^2)</f>
        <v/>
      </c>
      <c r="AA119" s="9">
        <f>(Inputs!$H$7+Inputs!$L$7*(((Inputs!$I$7+(((A119)+1)/2)*(Inputs!$J$7-Inputs!$I$7)))/Inputs!$K$7)^2)</f>
        <v/>
      </c>
      <c r="AB119" s="9">
        <f>(Inputs!$H$8+Inputs!$L$8*(((Inputs!$I$8+(((A119)+1)/2)*(Inputs!$J$8-Inputs!$I$8)))/Inputs!$K$8)^2)</f>
        <v/>
      </c>
      <c r="AC119" s="9">
        <f>(Inputs!$H$9+Inputs!$L$9*(((Inputs!$I$9+(((A119)+1)/2)*(Inputs!$J$9-Inputs!$I$9)))/Inputs!$K$9)^2)</f>
        <v/>
      </c>
      <c r="AD119" s="10" t="n"/>
      <c r="AE119" s="9">
        <f>A119</f>
        <v/>
      </c>
      <c r="AF119" s="9">
        <f>(((SQRT((Inputs!$C$52+((Inputs!$H$6+Inputs!$L$6*(((Inputs!$I$6+(((A119)+1)/2)*(Inputs!$J$6-Inputs!$I$6)))/Inputs!$K$6)^2)))^2+Inputs!$C$52^2-2*(Inputs!$C$52+((Inputs!$H$6+Inputs!$L$6*(((Inputs!$I$6+(((A119)+1)/2)*(Inputs!$J$6-Inputs!$I$6)))/Inputs!$K$6)^2)))*Inputs!$C$52*COS(SQRT(((Inputs!$I$6+(((A119)+1)/2)*(Inputs!$J$6-Inputs!$I$6)))^2+Inputs!$C$6^2)/Inputs!$C$52)))-((Inputs!$H$6+Inputs!$L$6*(((Inputs!$I$6+(((A119)+1)/2)*(Inputs!$J$6-Inputs!$I$6)))/Inputs!$K$6)^2)))*1000/Inputs!$C$12)</f>
        <v/>
      </c>
      <c r="AG119" s="9">
        <f>(((SQRT((Inputs!$C$52+((Inputs!$H$7+Inputs!$L$7*(((Inputs!$I$7+(((A119)+1)/2)*(Inputs!$J$7-Inputs!$I$7)))/Inputs!$K$7)^2)))^2+Inputs!$C$52^2-2*(Inputs!$C$52+((Inputs!$H$7+Inputs!$L$7*(((Inputs!$I$7+(((A119)+1)/2)*(Inputs!$J$7-Inputs!$I$7)))/Inputs!$K$7)^2)))*Inputs!$C$52*COS(SQRT(((Inputs!$I$7+(((A119)+1)/2)*(Inputs!$J$7-Inputs!$I$7)))^2+Inputs!$C$6^2)/Inputs!$C$52)))-((Inputs!$H$7+Inputs!$L$7*(((Inputs!$I$7+(((A119)+1)/2)*(Inputs!$J$7-Inputs!$I$7)))/Inputs!$K$7)^2)))*1000/Inputs!$C$12)</f>
        <v/>
      </c>
      <c r="AH119" s="9">
        <f>(((SQRT((Inputs!$C$52+((Inputs!$H$8+Inputs!$L$8*(((Inputs!$I$8+(((A119)+1)/2)*(Inputs!$J$8-Inputs!$I$8)))/Inputs!$K$8)^2)))^2+Inputs!$C$52^2-2*(Inputs!$C$52+((Inputs!$H$8+Inputs!$L$8*(((Inputs!$I$8+(((A119)+1)/2)*(Inputs!$J$8-Inputs!$I$8)))/Inputs!$K$8)^2)))*Inputs!$C$52*COS(SQRT(((Inputs!$I$8+(((A119)+1)/2)*(Inputs!$J$8-Inputs!$I$8)))^2+Inputs!$C$6^2)/Inputs!$C$52)))-((Inputs!$H$8+Inputs!$L$8*(((Inputs!$I$8+(((A119)+1)/2)*(Inputs!$J$8-Inputs!$I$8)))/Inputs!$K$8)^2)))*1000/Inputs!$C$12)</f>
        <v/>
      </c>
      <c r="AI119" s="9">
        <f>(((SQRT((Inputs!$C$52+((Inputs!$H$9+Inputs!$L$9*(((Inputs!$I$9+(((A119)+1)/2)*(Inputs!$J$9-Inputs!$I$9)))/Inputs!$K$9)^2)))^2+Inputs!$C$52^2-2*(Inputs!$C$52+((Inputs!$H$9+Inputs!$L$9*(((Inputs!$I$9+(((A119)+1)/2)*(Inputs!$J$9-Inputs!$I$9)))/Inputs!$K$9)^2)))*Inputs!$C$52*COS(SQRT(((Inputs!$I$9+(((A119)+1)/2)*(Inputs!$J$9-Inputs!$I$9)))^2+Inputs!$C$6^2)/Inputs!$C$52)))-((Inputs!$H$9+Inputs!$L$9*(((Inputs!$I$9+(((A119)+1)/2)*(Inputs!$J$9-Inputs!$I$9)))/Inputs!$K$9)^2)))*1000/Inputs!$C$12)</f>
        <v/>
      </c>
      <c r="AJ119" s="10" t="n"/>
      <c r="AK119" s="9">
        <f>A119</f>
        <v/>
      </c>
      <c r="AL119" s="9">
        <f>(-2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f>
        <v/>
      </c>
      <c r="AM119" s="9">
        <f>(-2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f>
        <v/>
      </c>
      <c r="AN119" s="9">
        <f>(-2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f>
        <v/>
      </c>
      <c r="AO119" s="9">
        <f>(-2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f>
        <v/>
      </c>
      <c r="AP119" s="10" t="n"/>
      <c r="AQ119" s="9">
        <f>A119</f>
        <v/>
      </c>
      <c r="AR119" s="9">
        <f>0</f>
        <v/>
      </c>
      <c r="AS119" s="9">
        <f>IF(OR(Inputs!$F$6=TRUE,Inputs!$F$6="TRUE",Inputs!$F$6=1),IF(OR(Inputs!$C$27=TRUE,Inputs!$C$27="TRUE",Inputs!$C$27=1),1,0)*(Inputs!$C$51*(115*EXP(-(((Inputs!$C$6)-25)^2)/(4.5^2))+70*EXP(-(((Inputs!$C$6)+38)^2)/(7^2))*(0.55+0.45*SIN(2*PI()*((Inputs!$I$6+(((A119)+1)/2)*(Inputs!$J$6-Inputs!$I$6)))/45))+24*SIN(2*PI()*(Inputs!$C$6)/9+((Inputs!$I$6+(((A119)+1)/2)*(Inputs!$J$6-Inputs!$I$6)))/18)*EXP(-(((Inputs!$C$6)+5)^2)/(22^2))+18*SIN(2*PI()*((Inputs!$I$6+(((A119)+1)/2)*(Inputs!$J$6-Inputs!$I$6)))/70))+Inputs!$C$28*EXP(-((((Inputs!$I$6+(((A119)+1)/2)*(Inputs!$J$6-Inputs!$I$6)))-Inputs!$C$29)^2)/(2*Inputs!$C$31^2))*EXP(-(((Inputs!$C$6)-Inputs!$C$30)^2)/(2*Inputs!$C$32^2))+-Inputs!$C$33*EXP(-((((((Inputs!$I$6+(((A119)+1)/2)*(Inputs!$J$6-Inputs!$I$6)))-Inputs!$C$34)^2)+(((Inputs!$C$6)-Inputs!$C$35)^2))/(2*Inputs!$C$36^2)))+Inputs!$C$37*(0.55*SIN(2*PI()*((Inputs!$I$6+(((A119)+1)/2)*(Inputs!$J$6-Inputs!$I$6)))/Inputs!$C$39)+0.35*COS(2*PI()*(Inputs!$C$6)/Inputs!$C$40)+0.2*SIN(2*PI()*(((Inputs!$I$6+(((A119)+1)/2)*(Inputs!$J$6-Inputs!$I$6)))+(Inputs!$C$6))/(0.5*(Inputs!$C$39+Inputs!$C$40))))+Inputs!$C$38*SIN(2*PI()*((Inputs!$I$6+(((A119)+1)/2)*(Inputs!$J$6-Inputs!$I$6)))/Inputs!$C$39)*SIN(2*PI()*(Inputs!$C$6)/Inputs!$C$40)+-Inputs!$C$41*EXP(-(((Inputs!$C$6)-Inputs!$C$43)^2)/(2*Inputs!$C$44^2))*EXP(-((((Inputs!$I$6+(((A119)+1)/2)*(Inputs!$J$6-Inputs!$I$6)))-Inputs!$C$42)^2)/(2*Inputs!$C$45^2))+Inputs!$C$48*(0.7*(0.45*SIN(2*PI()*((((Inputs!$I$6+(((A119)+1)/2)*(Inputs!$J$6-Inputs!$I$6)))/Inputs!$C$49)+Inputs!$C$47*0.137))+0.35*COS(2*PI()*(((Inputs!$C$6)/Inputs!$C$50)+Inputs!$C$47*0.173))+0.2*SIN(2*PI()*((((Inputs!$I$6+(((A119)+1)/2)*(Inputs!$J$6-Inputs!$I$6)))+(Inputs!$C$6))/(0.5*(Inputs!$C$49+Inputs!$C$50))+Inputs!$C$47*0.097)))+0.3*(2*((SIN((((Inputs!$I$6+(((A119)+1)/2)*(Inputs!$J$6-Inputs!$I$6)))*12.9898+(Inputs!$C$6)*78.233+Inputs!$C$47*37.719))*43758.5453)-INT((SIN((((Inputs!$I$6+(((A119)+1)/2)*(Inputs!$J$6-Inputs!$I$6)))*12.9898+(Inputs!$C$6)*78.233+Inputs!$C$47*37.719))*43758.5453)))-1))),NA())</f>
        <v/>
      </c>
      <c r="AT119" s="9">
        <f>IF(OR(Inputs!$F$7=TRUE,Inputs!$F$7="TRUE",Inputs!$F$7=1),IF(OR(Inputs!$C$27=TRUE,Inputs!$C$27="TRUE",Inputs!$C$27=1),1,0)*(Inputs!$C$51*(115*EXP(-(((Inputs!$C$6)-25)^2)/(4.5^2))+70*EXP(-(((Inputs!$C$6)+38)^2)/(7^2))*(0.55+0.45*SIN(2*PI()*((Inputs!$I$7+(((A119)+1)/2)*(Inputs!$J$7-Inputs!$I$7)))/45))+24*SIN(2*PI()*(Inputs!$C$6)/9+((Inputs!$I$7+(((A119)+1)/2)*(Inputs!$J$7-Inputs!$I$7)))/18)*EXP(-(((Inputs!$C$6)+5)^2)/(22^2))+18*SIN(2*PI()*((Inputs!$I$7+(((A119)+1)/2)*(Inputs!$J$7-Inputs!$I$7)))/70))+Inputs!$C$28*EXP(-((((Inputs!$I$7+(((A119)+1)/2)*(Inputs!$J$7-Inputs!$I$7)))-Inputs!$C$29)^2)/(2*Inputs!$C$31^2))*EXP(-(((Inputs!$C$6)-Inputs!$C$30)^2)/(2*Inputs!$C$32^2))+-Inputs!$C$33*EXP(-((((((Inputs!$I$7+(((A119)+1)/2)*(Inputs!$J$7-Inputs!$I$7)))-Inputs!$C$34)^2)+(((Inputs!$C$6)-Inputs!$C$35)^2))/(2*Inputs!$C$36^2)))+Inputs!$C$37*(0.55*SIN(2*PI()*((Inputs!$I$7+(((A119)+1)/2)*(Inputs!$J$7-Inputs!$I$7)))/Inputs!$C$39)+0.35*COS(2*PI()*(Inputs!$C$6)/Inputs!$C$40)+0.2*SIN(2*PI()*(((Inputs!$I$7+(((A119)+1)/2)*(Inputs!$J$7-Inputs!$I$7)))+(Inputs!$C$6))/(0.5*(Inputs!$C$39+Inputs!$C$40))))+Inputs!$C$38*SIN(2*PI()*((Inputs!$I$7+(((A119)+1)/2)*(Inputs!$J$7-Inputs!$I$7)))/Inputs!$C$39)*SIN(2*PI()*(Inputs!$C$6)/Inputs!$C$40)+-Inputs!$C$41*EXP(-(((Inputs!$C$6)-Inputs!$C$43)^2)/(2*Inputs!$C$44^2))*EXP(-((((Inputs!$I$7+(((A119)+1)/2)*(Inputs!$J$7-Inputs!$I$7)))-Inputs!$C$42)^2)/(2*Inputs!$C$45^2))+Inputs!$C$48*(0.7*(0.45*SIN(2*PI()*((((Inputs!$I$7+(((A119)+1)/2)*(Inputs!$J$7-Inputs!$I$7)))/Inputs!$C$49)+Inputs!$C$47*0.137))+0.35*COS(2*PI()*(((Inputs!$C$6)/Inputs!$C$50)+Inputs!$C$47*0.173))+0.2*SIN(2*PI()*((((Inputs!$I$7+(((A119)+1)/2)*(Inputs!$J$7-Inputs!$I$7)))+(Inputs!$C$6))/(0.5*(Inputs!$C$49+Inputs!$C$50))+Inputs!$C$47*0.097)))+0.3*(2*((SIN((((Inputs!$I$7+(((A119)+1)/2)*(Inputs!$J$7-Inputs!$I$7)))*12.9898+(Inputs!$C$6)*78.233+Inputs!$C$47*37.719))*43758.5453)-INT((SIN((((Inputs!$I$7+(((A119)+1)/2)*(Inputs!$J$7-Inputs!$I$7)))*12.9898+(Inputs!$C$6)*78.233+Inputs!$C$47*37.719))*43758.5453)))-1))),NA())</f>
        <v/>
      </c>
      <c r="AU119" s="9">
        <f>IF(OR(Inputs!$F$8=TRUE,Inputs!$F$8="TRUE",Inputs!$F$8=1),IF(OR(Inputs!$C$27=TRUE,Inputs!$C$27="TRUE",Inputs!$C$27=1),1,0)*(Inputs!$C$51*(115*EXP(-(((Inputs!$C$6)-25)^2)/(4.5^2))+70*EXP(-(((Inputs!$C$6)+38)^2)/(7^2))*(0.55+0.45*SIN(2*PI()*((Inputs!$I$8+(((A119)+1)/2)*(Inputs!$J$8-Inputs!$I$8)))/45))+24*SIN(2*PI()*(Inputs!$C$6)/9+((Inputs!$I$8+(((A119)+1)/2)*(Inputs!$J$8-Inputs!$I$8)))/18)*EXP(-(((Inputs!$C$6)+5)^2)/(22^2))+18*SIN(2*PI()*((Inputs!$I$8+(((A119)+1)/2)*(Inputs!$J$8-Inputs!$I$8)))/70))+Inputs!$C$28*EXP(-((((Inputs!$I$8+(((A119)+1)/2)*(Inputs!$J$8-Inputs!$I$8)))-Inputs!$C$29)^2)/(2*Inputs!$C$31^2))*EXP(-(((Inputs!$C$6)-Inputs!$C$30)^2)/(2*Inputs!$C$32^2))+-Inputs!$C$33*EXP(-((((((Inputs!$I$8+(((A119)+1)/2)*(Inputs!$J$8-Inputs!$I$8)))-Inputs!$C$34)^2)+(((Inputs!$C$6)-Inputs!$C$35)^2))/(2*Inputs!$C$36^2)))+Inputs!$C$37*(0.55*SIN(2*PI()*((Inputs!$I$8+(((A119)+1)/2)*(Inputs!$J$8-Inputs!$I$8)))/Inputs!$C$39)+0.35*COS(2*PI()*(Inputs!$C$6)/Inputs!$C$40)+0.2*SIN(2*PI()*(((Inputs!$I$8+(((A119)+1)/2)*(Inputs!$J$8-Inputs!$I$8)))+(Inputs!$C$6))/(0.5*(Inputs!$C$39+Inputs!$C$40))))+Inputs!$C$38*SIN(2*PI()*((Inputs!$I$8+(((A119)+1)/2)*(Inputs!$J$8-Inputs!$I$8)))/Inputs!$C$39)*SIN(2*PI()*(Inputs!$C$6)/Inputs!$C$40)+-Inputs!$C$41*EXP(-(((Inputs!$C$6)-Inputs!$C$43)^2)/(2*Inputs!$C$44^2))*EXP(-((((Inputs!$I$8+(((A119)+1)/2)*(Inputs!$J$8-Inputs!$I$8)))-Inputs!$C$42)^2)/(2*Inputs!$C$45^2))+Inputs!$C$48*(0.7*(0.45*SIN(2*PI()*((((Inputs!$I$8+(((A119)+1)/2)*(Inputs!$J$8-Inputs!$I$8)))/Inputs!$C$49)+Inputs!$C$47*0.137))+0.35*COS(2*PI()*(((Inputs!$C$6)/Inputs!$C$50)+Inputs!$C$47*0.173))+0.2*SIN(2*PI()*((((Inputs!$I$8+(((A119)+1)/2)*(Inputs!$J$8-Inputs!$I$8)))+(Inputs!$C$6))/(0.5*(Inputs!$C$49+Inputs!$C$50))+Inputs!$C$47*0.097)))+0.3*(2*((SIN((((Inputs!$I$8+(((A119)+1)/2)*(Inputs!$J$8-Inputs!$I$8)))*12.9898+(Inputs!$C$6)*78.233+Inputs!$C$47*37.719))*43758.5453)-INT((SIN((((Inputs!$I$8+(((A119)+1)/2)*(Inputs!$J$8-Inputs!$I$8)))*12.9898+(Inputs!$C$6)*78.233+Inputs!$C$47*37.719))*43758.5453)))-1))),NA())</f>
        <v/>
      </c>
      <c r="AV119" s="9">
        <f>IF(OR(Inputs!$F$9=TRUE,Inputs!$F$9="TRUE",Inputs!$F$9=1),IF(OR(Inputs!$C$27=TRUE,Inputs!$C$27="TRUE",Inputs!$C$27=1),1,0)*(Inputs!$C$51*(115*EXP(-(((Inputs!$C$6)-25)^2)/(4.5^2))+70*EXP(-(((Inputs!$C$6)+38)^2)/(7^2))*(0.55+0.45*SIN(2*PI()*((Inputs!$I$9+(((A119)+1)/2)*(Inputs!$J$9-Inputs!$I$9)))/45))+24*SIN(2*PI()*(Inputs!$C$6)/9+((Inputs!$I$9+(((A119)+1)/2)*(Inputs!$J$9-Inputs!$I$9)))/18)*EXP(-(((Inputs!$C$6)+5)^2)/(22^2))+18*SIN(2*PI()*((Inputs!$I$9+(((A119)+1)/2)*(Inputs!$J$9-Inputs!$I$9)))/70))+Inputs!$C$28*EXP(-((((Inputs!$I$9+(((A119)+1)/2)*(Inputs!$J$9-Inputs!$I$9)))-Inputs!$C$29)^2)/(2*Inputs!$C$31^2))*EXP(-(((Inputs!$C$6)-Inputs!$C$30)^2)/(2*Inputs!$C$32^2))+-Inputs!$C$33*EXP(-((((((Inputs!$I$9+(((A119)+1)/2)*(Inputs!$J$9-Inputs!$I$9)))-Inputs!$C$34)^2)+(((Inputs!$C$6)-Inputs!$C$35)^2))/(2*Inputs!$C$36^2)))+Inputs!$C$37*(0.55*SIN(2*PI()*((Inputs!$I$9+(((A119)+1)/2)*(Inputs!$J$9-Inputs!$I$9)))/Inputs!$C$39)+0.35*COS(2*PI()*(Inputs!$C$6)/Inputs!$C$40)+0.2*SIN(2*PI()*(((Inputs!$I$9+(((A119)+1)/2)*(Inputs!$J$9-Inputs!$I$9)))+(Inputs!$C$6))/(0.5*(Inputs!$C$39+Inputs!$C$40))))+Inputs!$C$38*SIN(2*PI()*((Inputs!$I$9+(((A119)+1)/2)*(Inputs!$J$9-Inputs!$I$9)))/Inputs!$C$39)*SIN(2*PI()*(Inputs!$C$6)/Inputs!$C$40)+-Inputs!$C$41*EXP(-(((Inputs!$C$6)-Inputs!$C$43)^2)/(2*Inputs!$C$44^2))*EXP(-((((Inputs!$I$9+(((A119)+1)/2)*(Inputs!$J$9-Inputs!$I$9)))-Inputs!$C$42)^2)/(2*Inputs!$C$45^2))+Inputs!$C$48*(0.7*(0.45*SIN(2*PI()*((((Inputs!$I$9+(((A119)+1)/2)*(Inputs!$J$9-Inputs!$I$9)))/Inputs!$C$49)+Inputs!$C$47*0.137))+0.35*COS(2*PI()*(((Inputs!$C$6)/Inputs!$C$50)+Inputs!$C$47*0.173))+0.2*SIN(2*PI()*((((Inputs!$I$9+(((A119)+1)/2)*(Inputs!$J$9-Inputs!$I$9)))+(Inputs!$C$6))/(0.5*(Inputs!$C$49+Inputs!$C$50))+Inputs!$C$47*0.097)))+0.3*(2*((SIN((((Inputs!$I$9+(((A119)+1)/2)*(Inputs!$J$9-Inputs!$I$9)))*12.9898+(Inputs!$C$6)*78.233+Inputs!$C$47*37.719))*43758.5453)-INT((SIN((((Inputs!$I$9+(((A119)+1)/2)*(Inputs!$J$9-Inputs!$I$9)))*12.9898+(Inputs!$C$6)*78.233+Inputs!$C$47*37.719))*43758.5453)))-1))),NA())</f>
        <v/>
      </c>
      <c r="AW119" s="10" t="n"/>
      <c r="AX119" s="9">
        <f>A119</f>
        <v/>
      </c>
      <c r="AY119" s="9">
        <f>0</f>
        <v/>
      </c>
      <c r="AZ119" s="9">
        <f>IF(OR(Inputs!$F$6=TRUE,Inputs!$F$6="TRUE",Inputs!$F$6=1),(Inputs!$H$6+Inputs!$L$6*(((Inputs!$I$6+(((A119)+1)/2)*(Inputs!$J$6-Inputs!$I$6)))/Inputs!$K$6)^2),NA())</f>
        <v/>
      </c>
      <c r="BA119" s="9">
        <f>IF(OR(Inputs!$F$7=TRUE,Inputs!$F$7="TRUE",Inputs!$F$7=1),(Inputs!$H$7+Inputs!$L$7*(((Inputs!$I$7+(((A119)+1)/2)*(Inputs!$J$7-Inputs!$I$7)))/Inputs!$K$7)^2),NA())</f>
        <v/>
      </c>
      <c r="BB119" s="9">
        <f>IF(OR(Inputs!$F$8=TRUE,Inputs!$F$8="TRUE",Inputs!$F$8=1),(Inputs!$H$8+Inputs!$L$8*(((Inputs!$I$8+(((A119)+1)/2)*(Inputs!$J$8-Inputs!$I$8)))/Inputs!$K$8)^2),NA())</f>
        <v/>
      </c>
      <c r="BC119" s="9">
        <f>IF(OR(Inputs!$F$9=TRUE,Inputs!$F$9="TRUE",Inputs!$F$9=1),(Inputs!$H$9+Inputs!$L$9*(((Inputs!$I$9+(((A119)+1)/2)*(Inputs!$J$9-Inputs!$I$9)))/Inputs!$K$9)^2),NA())</f>
        <v/>
      </c>
      <c r="BD119" s="10" t="n"/>
      <c r="BE119" s="9">
        <f>A119</f>
        <v/>
      </c>
      <c r="BF119" s="9">
        <f>0</f>
        <v/>
      </c>
      <c r="BG119" s="9">
        <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f>
        <v/>
      </c>
      <c r="BH119" s="9">
        <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f>
        <v/>
      </c>
      <c r="BI119" s="9">
        <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f>
        <v/>
      </c>
      <c r="BJ119" s="9">
        <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f>
        <v/>
      </c>
    </row>
    <row r="120">
      <c r="A120" s="9">
        <f>ROUND(-1+118*2/240,3)</f>
        <v/>
      </c>
      <c r="B120" s="9">
        <f>IF(OR(Inputs!$F$6=TRUE,Inputs!$F$6="TRUE",Inputs!$F$6=1),(Inputs!$H$6+Inputs!$L$6*(((Inputs!$I$6+(((A120)+1)/2)*(Inputs!$J$6-Inputs!$I$6)))/Inputs!$K$6)^2),NA())</f>
        <v/>
      </c>
      <c r="C120" s="9">
        <f>IF(OR(Inputs!$F$7=TRUE,Inputs!$F$7="TRUE",Inputs!$F$7=1),(Inputs!$H$7+Inputs!$L$7*(((Inputs!$I$7+(((A120)+1)/2)*(Inputs!$J$7-Inputs!$I$7)))/Inputs!$K$7)^2),NA())</f>
        <v/>
      </c>
      <c r="D120" s="9">
        <f>IF(OR(Inputs!$F$8=TRUE,Inputs!$F$8="TRUE",Inputs!$F$8=1),(Inputs!$H$8+Inputs!$L$8*(((Inputs!$I$8+(((A120)+1)/2)*(Inputs!$J$8-Inputs!$I$8)))/Inputs!$K$8)^2),NA())</f>
        <v/>
      </c>
      <c r="E120" s="9">
        <f>IF(OR(Inputs!$F$9=TRUE,Inputs!$F$9="TRUE",Inputs!$F$9=1),(Inputs!$H$9+Inputs!$L$9*(((Inputs!$I$9+(((A120)+1)/2)*(Inputs!$J$9-Inputs!$I$9)))/Inputs!$K$9)^2),NA())</f>
        <v/>
      </c>
      <c r="F120" s="10" t="n"/>
      <c r="G120" s="9">
        <f>A120</f>
        <v/>
      </c>
      <c r="H120" s="9">
        <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f>
        <v/>
      </c>
      <c r="I120" s="9">
        <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f>
        <v/>
      </c>
      <c r="J120" s="9">
        <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f>
        <v/>
      </c>
      <c r="K120" s="9">
        <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f>
        <v/>
      </c>
      <c r="L120" s="10" t="n"/>
      <c r="M120" s="9">
        <f>A120</f>
        <v/>
      </c>
      <c r="N120" s="9">
        <f>IF(OR(Inputs!$F$6=TRUE,Inputs!$F$6="TRUE",Inputs!$F$6=1),(-2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NA())</f>
        <v/>
      </c>
      <c r="O120" s="9">
        <f>IF(OR(Inputs!$F$7=TRUE,Inputs!$F$7="TRUE",Inputs!$F$7=1),(-2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NA())</f>
        <v/>
      </c>
      <c r="P120" s="9">
        <f>IF(OR(Inputs!$F$8=TRUE,Inputs!$F$8="TRUE",Inputs!$F$8=1),(-2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NA())</f>
        <v/>
      </c>
      <c r="Q120" s="9">
        <f>IF(OR(Inputs!$F$9=TRUE,Inputs!$F$9="TRUE",Inputs!$F$9=1),(-2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NA())</f>
        <v/>
      </c>
      <c r="R120" s="10" t="n"/>
      <c r="S120" s="9">
        <f>A120</f>
        <v/>
      </c>
      <c r="T120" s="9">
        <f>(Inputs!$I$6+(((A120)+1)/2)*(Inputs!$J$6-Inputs!$I$6))</f>
        <v/>
      </c>
      <c r="U120" s="9">
        <f>(Inputs!$I$7+(((A120)+1)/2)*(Inputs!$J$7-Inputs!$I$7))</f>
        <v/>
      </c>
      <c r="V120" s="9">
        <f>(Inputs!$I$8+(((A120)+1)/2)*(Inputs!$J$8-Inputs!$I$8))</f>
        <v/>
      </c>
      <c r="W120" s="9">
        <f>(Inputs!$I$9+(((A120)+1)/2)*(Inputs!$J$9-Inputs!$I$9))</f>
        <v/>
      </c>
      <c r="X120" s="10" t="n"/>
      <c r="Y120" s="9">
        <f>A120</f>
        <v/>
      </c>
      <c r="Z120" s="9">
        <f>(Inputs!$H$6+Inputs!$L$6*(((Inputs!$I$6+(((A120)+1)/2)*(Inputs!$J$6-Inputs!$I$6)))/Inputs!$K$6)^2)</f>
        <v/>
      </c>
      <c r="AA120" s="9">
        <f>(Inputs!$H$7+Inputs!$L$7*(((Inputs!$I$7+(((A120)+1)/2)*(Inputs!$J$7-Inputs!$I$7)))/Inputs!$K$7)^2)</f>
        <v/>
      </c>
      <c r="AB120" s="9">
        <f>(Inputs!$H$8+Inputs!$L$8*(((Inputs!$I$8+(((A120)+1)/2)*(Inputs!$J$8-Inputs!$I$8)))/Inputs!$K$8)^2)</f>
        <v/>
      </c>
      <c r="AC120" s="9">
        <f>(Inputs!$H$9+Inputs!$L$9*(((Inputs!$I$9+(((A120)+1)/2)*(Inputs!$J$9-Inputs!$I$9)))/Inputs!$K$9)^2)</f>
        <v/>
      </c>
      <c r="AD120" s="10" t="n"/>
      <c r="AE120" s="9">
        <f>A120</f>
        <v/>
      </c>
      <c r="AF120" s="9">
        <f>(((SQRT((Inputs!$C$52+((Inputs!$H$6+Inputs!$L$6*(((Inputs!$I$6+(((A120)+1)/2)*(Inputs!$J$6-Inputs!$I$6)))/Inputs!$K$6)^2)))^2+Inputs!$C$52^2-2*(Inputs!$C$52+((Inputs!$H$6+Inputs!$L$6*(((Inputs!$I$6+(((A120)+1)/2)*(Inputs!$J$6-Inputs!$I$6)))/Inputs!$K$6)^2)))*Inputs!$C$52*COS(SQRT(((Inputs!$I$6+(((A120)+1)/2)*(Inputs!$J$6-Inputs!$I$6)))^2+Inputs!$C$6^2)/Inputs!$C$52)))-((Inputs!$H$6+Inputs!$L$6*(((Inputs!$I$6+(((A120)+1)/2)*(Inputs!$J$6-Inputs!$I$6)))/Inputs!$K$6)^2)))*1000/Inputs!$C$12)</f>
        <v/>
      </c>
      <c r="AG120" s="9">
        <f>(((SQRT((Inputs!$C$52+((Inputs!$H$7+Inputs!$L$7*(((Inputs!$I$7+(((A120)+1)/2)*(Inputs!$J$7-Inputs!$I$7)))/Inputs!$K$7)^2)))^2+Inputs!$C$52^2-2*(Inputs!$C$52+((Inputs!$H$7+Inputs!$L$7*(((Inputs!$I$7+(((A120)+1)/2)*(Inputs!$J$7-Inputs!$I$7)))/Inputs!$K$7)^2)))*Inputs!$C$52*COS(SQRT(((Inputs!$I$7+(((A120)+1)/2)*(Inputs!$J$7-Inputs!$I$7)))^2+Inputs!$C$6^2)/Inputs!$C$52)))-((Inputs!$H$7+Inputs!$L$7*(((Inputs!$I$7+(((A120)+1)/2)*(Inputs!$J$7-Inputs!$I$7)))/Inputs!$K$7)^2)))*1000/Inputs!$C$12)</f>
        <v/>
      </c>
      <c r="AH120" s="9">
        <f>(((SQRT((Inputs!$C$52+((Inputs!$H$8+Inputs!$L$8*(((Inputs!$I$8+(((A120)+1)/2)*(Inputs!$J$8-Inputs!$I$8)))/Inputs!$K$8)^2)))^2+Inputs!$C$52^2-2*(Inputs!$C$52+((Inputs!$H$8+Inputs!$L$8*(((Inputs!$I$8+(((A120)+1)/2)*(Inputs!$J$8-Inputs!$I$8)))/Inputs!$K$8)^2)))*Inputs!$C$52*COS(SQRT(((Inputs!$I$8+(((A120)+1)/2)*(Inputs!$J$8-Inputs!$I$8)))^2+Inputs!$C$6^2)/Inputs!$C$52)))-((Inputs!$H$8+Inputs!$L$8*(((Inputs!$I$8+(((A120)+1)/2)*(Inputs!$J$8-Inputs!$I$8)))/Inputs!$K$8)^2)))*1000/Inputs!$C$12)</f>
        <v/>
      </c>
      <c r="AI120" s="9">
        <f>(((SQRT((Inputs!$C$52+((Inputs!$H$9+Inputs!$L$9*(((Inputs!$I$9+(((A120)+1)/2)*(Inputs!$J$9-Inputs!$I$9)))/Inputs!$K$9)^2)))^2+Inputs!$C$52^2-2*(Inputs!$C$52+((Inputs!$H$9+Inputs!$L$9*(((Inputs!$I$9+(((A120)+1)/2)*(Inputs!$J$9-Inputs!$I$9)))/Inputs!$K$9)^2)))*Inputs!$C$52*COS(SQRT(((Inputs!$I$9+(((A120)+1)/2)*(Inputs!$J$9-Inputs!$I$9)))^2+Inputs!$C$6^2)/Inputs!$C$52)))-((Inputs!$H$9+Inputs!$L$9*(((Inputs!$I$9+(((A120)+1)/2)*(Inputs!$J$9-Inputs!$I$9)))/Inputs!$K$9)^2)))*1000/Inputs!$C$12)</f>
        <v/>
      </c>
      <c r="AJ120" s="10" t="n"/>
      <c r="AK120" s="9">
        <f>A120</f>
        <v/>
      </c>
      <c r="AL120" s="9">
        <f>(-2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f>
        <v/>
      </c>
      <c r="AM120" s="9">
        <f>(-2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f>
        <v/>
      </c>
      <c r="AN120" s="9">
        <f>(-2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f>
        <v/>
      </c>
      <c r="AO120" s="9">
        <f>(-2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f>
        <v/>
      </c>
      <c r="AP120" s="10" t="n"/>
      <c r="AQ120" s="9">
        <f>A120</f>
        <v/>
      </c>
      <c r="AR120" s="9">
        <f>0</f>
        <v/>
      </c>
      <c r="AS120" s="9">
        <f>IF(OR(Inputs!$F$6=TRUE,Inputs!$F$6="TRUE",Inputs!$F$6=1),IF(OR(Inputs!$C$27=TRUE,Inputs!$C$27="TRUE",Inputs!$C$27=1),1,0)*(Inputs!$C$51*(115*EXP(-(((Inputs!$C$6)-25)^2)/(4.5^2))+70*EXP(-(((Inputs!$C$6)+38)^2)/(7^2))*(0.55+0.45*SIN(2*PI()*((Inputs!$I$6+(((A120)+1)/2)*(Inputs!$J$6-Inputs!$I$6)))/45))+24*SIN(2*PI()*(Inputs!$C$6)/9+((Inputs!$I$6+(((A120)+1)/2)*(Inputs!$J$6-Inputs!$I$6)))/18)*EXP(-(((Inputs!$C$6)+5)^2)/(22^2))+18*SIN(2*PI()*((Inputs!$I$6+(((A120)+1)/2)*(Inputs!$J$6-Inputs!$I$6)))/70))+Inputs!$C$28*EXP(-((((Inputs!$I$6+(((A120)+1)/2)*(Inputs!$J$6-Inputs!$I$6)))-Inputs!$C$29)^2)/(2*Inputs!$C$31^2))*EXP(-(((Inputs!$C$6)-Inputs!$C$30)^2)/(2*Inputs!$C$32^2))+-Inputs!$C$33*EXP(-((((((Inputs!$I$6+(((A120)+1)/2)*(Inputs!$J$6-Inputs!$I$6)))-Inputs!$C$34)^2)+(((Inputs!$C$6)-Inputs!$C$35)^2))/(2*Inputs!$C$36^2)))+Inputs!$C$37*(0.55*SIN(2*PI()*((Inputs!$I$6+(((A120)+1)/2)*(Inputs!$J$6-Inputs!$I$6)))/Inputs!$C$39)+0.35*COS(2*PI()*(Inputs!$C$6)/Inputs!$C$40)+0.2*SIN(2*PI()*(((Inputs!$I$6+(((A120)+1)/2)*(Inputs!$J$6-Inputs!$I$6)))+(Inputs!$C$6))/(0.5*(Inputs!$C$39+Inputs!$C$40))))+Inputs!$C$38*SIN(2*PI()*((Inputs!$I$6+(((A120)+1)/2)*(Inputs!$J$6-Inputs!$I$6)))/Inputs!$C$39)*SIN(2*PI()*(Inputs!$C$6)/Inputs!$C$40)+-Inputs!$C$41*EXP(-(((Inputs!$C$6)-Inputs!$C$43)^2)/(2*Inputs!$C$44^2))*EXP(-((((Inputs!$I$6+(((A120)+1)/2)*(Inputs!$J$6-Inputs!$I$6)))-Inputs!$C$42)^2)/(2*Inputs!$C$45^2))+Inputs!$C$48*(0.7*(0.45*SIN(2*PI()*((((Inputs!$I$6+(((A120)+1)/2)*(Inputs!$J$6-Inputs!$I$6)))/Inputs!$C$49)+Inputs!$C$47*0.137))+0.35*COS(2*PI()*(((Inputs!$C$6)/Inputs!$C$50)+Inputs!$C$47*0.173))+0.2*SIN(2*PI()*((((Inputs!$I$6+(((A120)+1)/2)*(Inputs!$J$6-Inputs!$I$6)))+(Inputs!$C$6))/(0.5*(Inputs!$C$49+Inputs!$C$50))+Inputs!$C$47*0.097)))+0.3*(2*((SIN((((Inputs!$I$6+(((A120)+1)/2)*(Inputs!$J$6-Inputs!$I$6)))*12.9898+(Inputs!$C$6)*78.233+Inputs!$C$47*37.719))*43758.5453)-INT((SIN((((Inputs!$I$6+(((A120)+1)/2)*(Inputs!$J$6-Inputs!$I$6)))*12.9898+(Inputs!$C$6)*78.233+Inputs!$C$47*37.719))*43758.5453)))-1))),NA())</f>
        <v/>
      </c>
      <c r="AT120" s="9">
        <f>IF(OR(Inputs!$F$7=TRUE,Inputs!$F$7="TRUE",Inputs!$F$7=1),IF(OR(Inputs!$C$27=TRUE,Inputs!$C$27="TRUE",Inputs!$C$27=1),1,0)*(Inputs!$C$51*(115*EXP(-(((Inputs!$C$6)-25)^2)/(4.5^2))+70*EXP(-(((Inputs!$C$6)+38)^2)/(7^2))*(0.55+0.45*SIN(2*PI()*((Inputs!$I$7+(((A120)+1)/2)*(Inputs!$J$7-Inputs!$I$7)))/45))+24*SIN(2*PI()*(Inputs!$C$6)/9+((Inputs!$I$7+(((A120)+1)/2)*(Inputs!$J$7-Inputs!$I$7)))/18)*EXP(-(((Inputs!$C$6)+5)^2)/(22^2))+18*SIN(2*PI()*((Inputs!$I$7+(((A120)+1)/2)*(Inputs!$J$7-Inputs!$I$7)))/70))+Inputs!$C$28*EXP(-((((Inputs!$I$7+(((A120)+1)/2)*(Inputs!$J$7-Inputs!$I$7)))-Inputs!$C$29)^2)/(2*Inputs!$C$31^2))*EXP(-(((Inputs!$C$6)-Inputs!$C$30)^2)/(2*Inputs!$C$32^2))+-Inputs!$C$33*EXP(-((((((Inputs!$I$7+(((A120)+1)/2)*(Inputs!$J$7-Inputs!$I$7)))-Inputs!$C$34)^2)+(((Inputs!$C$6)-Inputs!$C$35)^2))/(2*Inputs!$C$36^2)))+Inputs!$C$37*(0.55*SIN(2*PI()*((Inputs!$I$7+(((A120)+1)/2)*(Inputs!$J$7-Inputs!$I$7)))/Inputs!$C$39)+0.35*COS(2*PI()*(Inputs!$C$6)/Inputs!$C$40)+0.2*SIN(2*PI()*(((Inputs!$I$7+(((A120)+1)/2)*(Inputs!$J$7-Inputs!$I$7)))+(Inputs!$C$6))/(0.5*(Inputs!$C$39+Inputs!$C$40))))+Inputs!$C$38*SIN(2*PI()*((Inputs!$I$7+(((A120)+1)/2)*(Inputs!$J$7-Inputs!$I$7)))/Inputs!$C$39)*SIN(2*PI()*(Inputs!$C$6)/Inputs!$C$40)+-Inputs!$C$41*EXP(-(((Inputs!$C$6)-Inputs!$C$43)^2)/(2*Inputs!$C$44^2))*EXP(-((((Inputs!$I$7+(((A120)+1)/2)*(Inputs!$J$7-Inputs!$I$7)))-Inputs!$C$42)^2)/(2*Inputs!$C$45^2))+Inputs!$C$48*(0.7*(0.45*SIN(2*PI()*((((Inputs!$I$7+(((A120)+1)/2)*(Inputs!$J$7-Inputs!$I$7)))/Inputs!$C$49)+Inputs!$C$47*0.137))+0.35*COS(2*PI()*(((Inputs!$C$6)/Inputs!$C$50)+Inputs!$C$47*0.173))+0.2*SIN(2*PI()*((((Inputs!$I$7+(((A120)+1)/2)*(Inputs!$J$7-Inputs!$I$7)))+(Inputs!$C$6))/(0.5*(Inputs!$C$49+Inputs!$C$50))+Inputs!$C$47*0.097)))+0.3*(2*((SIN((((Inputs!$I$7+(((A120)+1)/2)*(Inputs!$J$7-Inputs!$I$7)))*12.9898+(Inputs!$C$6)*78.233+Inputs!$C$47*37.719))*43758.5453)-INT((SIN((((Inputs!$I$7+(((A120)+1)/2)*(Inputs!$J$7-Inputs!$I$7)))*12.9898+(Inputs!$C$6)*78.233+Inputs!$C$47*37.719))*43758.5453)))-1))),NA())</f>
        <v/>
      </c>
      <c r="AU120" s="9">
        <f>IF(OR(Inputs!$F$8=TRUE,Inputs!$F$8="TRUE",Inputs!$F$8=1),IF(OR(Inputs!$C$27=TRUE,Inputs!$C$27="TRUE",Inputs!$C$27=1),1,0)*(Inputs!$C$51*(115*EXP(-(((Inputs!$C$6)-25)^2)/(4.5^2))+70*EXP(-(((Inputs!$C$6)+38)^2)/(7^2))*(0.55+0.45*SIN(2*PI()*((Inputs!$I$8+(((A120)+1)/2)*(Inputs!$J$8-Inputs!$I$8)))/45))+24*SIN(2*PI()*(Inputs!$C$6)/9+((Inputs!$I$8+(((A120)+1)/2)*(Inputs!$J$8-Inputs!$I$8)))/18)*EXP(-(((Inputs!$C$6)+5)^2)/(22^2))+18*SIN(2*PI()*((Inputs!$I$8+(((A120)+1)/2)*(Inputs!$J$8-Inputs!$I$8)))/70))+Inputs!$C$28*EXP(-((((Inputs!$I$8+(((A120)+1)/2)*(Inputs!$J$8-Inputs!$I$8)))-Inputs!$C$29)^2)/(2*Inputs!$C$31^2))*EXP(-(((Inputs!$C$6)-Inputs!$C$30)^2)/(2*Inputs!$C$32^2))+-Inputs!$C$33*EXP(-((((((Inputs!$I$8+(((A120)+1)/2)*(Inputs!$J$8-Inputs!$I$8)))-Inputs!$C$34)^2)+(((Inputs!$C$6)-Inputs!$C$35)^2))/(2*Inputs!$C$36^2)))+Inputs!$C$37*(0.55*SIN(2*PI()*((Inputs!$I$8+(((A120)+1)/2)*(Inputs!$J$8-Inputs!$I$8)))/Inputs!$C$39)+0.35*COS(2*PI()*(Inputs!$C$6)/Inputs!$C$40)+0.2*SIN(2*PI()*(((Inputs!$I$8+(((A120)+1)/2)*(Inputs!$J$8-Inputs!$I$8)))+(Inputs!$C$6))/(0.5*(Inputs!$C$39+Inputs!$C$40))))+Inputs!$C$38*SIN(2*PI()*((Inputs!$I$8+(((A120)+1)/2)*(Inputs!$J$8-Inputs!$I$8)))/Inputs!$C$39)*SIN(2*PI()*(Inputs!$C$6)/Inputs!$C$40)+-Inputs!$C$41*EXP(-(((Inputs!$C$6)-Inputs!$C$43)^2)/(2*Inputs!$C$44^2))*EXP(-((((Inputs!$I$8+(((A120)+1)/2)*(Inputs!$J$8-Inputs!$I$8)))-Inputs!$C$42)^2)/(2*Inputs!$C$45^2))+Inputs!$C$48*(0.7*(0.45*SIN(2*PI()*((((Inputs!$I$8+(((A120)+1)/2)*(Inputs!$J$8-Inputs!$I$8)))/Inputs!$C$49)+Inputs!$C$47*0.137))+0.35*COS(2*PI()*(((Inputs!$C$6)/Inputs!$C$50)+Inputs!$C$47*0.173))+0.2*SIN(2*PI()*((((Inputs!$I$8+(((A120)+1)/2)*(Inputs!$J$8-Inputs!$I$8)))+(Inputs!$C$6))/(0.5*(Inputs!$C$49+Inputs!$C$50))+Inputs!$C$47*0.097)))+0.3*(2*((SIN((((Inputs!$I$8+(((A120)+1)/2)*(Inputs!$J$8-Inputs!$I$8)))*12.9898+(Inputs!$C$6)*78.233+Inputs!$C$47*37.719))*43758.5453)-INT((SIN((((Inputs!$I$8+(((A120)+1)/2)*(Inputs!$J$8-Inputs!$I$8)))*12.9898+(Inputs!$C$6)*78.233+Inputs!$C$47*37.719))*43758.5453)))-1))),NA())</f>
        <v/>
      </c>
      <c r="AV120" s="9">
        <f>IF(OR(Inputs!$F$9=TRUE,Inputs!$F$9="TRUE",Inputs!$F$9=1),IF(OR(Inputs!$C$27=TRUE,Inputs!$C$27="TRUE",Inputs!$C$27=1),1,0)*(Inputs!$C$51*(115*EXP(-(((Inputs!$C$6)-25)^2)/(4.5^2))+70*EXP(-(((Inputs!$C$6)+38)^2)/(7^2))*(0.55+0.45*SIN(2*PI()*((Inputs!$I$9+(((A120)+1)/2)*(Inputs!$J$9-Inputs!$I$9)))/45))+24*SIN(2*PI()*(Inputs!$C$6)/9+((Inputs!$I$9+(((A120)+1)/2)*(Inputs!$J$9-Inputs!$I$9)))/18)*EXP(-(((Inputs!$C$6)+5)^2)/(22^2))+18*SIN(2*PI()*((Inputs!$I$9+(((A120)+1)/2)*(Inputs!$J$9-Inputs!$I$9)))/70))+Inputs!$C$28*EXP(-((((Inputs!$I$9+(((A120)+1)/2)*(Inputs!$J$9-Inputs!$I$9)))-Inputs!$C$29)^2)/(2*Inputs!$C$31^2))*EXP(-(((Inputs!$C$6)-Inputs!$C$30)^2)/(2*Inputs!$C$32^2))+-Inputs!$C$33*EXP(-((((((Inputs!$I$9+(((A120)+1)/2)*(Inputs!$J$9-Inputs!$I$9)))-Inputs!$C$34)^2)+(((Inputs!$C$6)-Inputs!$C$35)^2))/(2*Inputs!$C$36^2)))+Inputs!$C$37*(0.55*SIN(2*PI()*((Inputs!$I$9+(((A120)+1)/2)*(Inputs!$J$9-Inputs!$I$9)))/Inputs!$C$39)+0.35*COS(2*PI()*(Inputs!$C$6)/Inputs!$C$40)+0.2*SIN(2*PI()*(((Inputs!$I$9+(((A120)+1)/2)*(Inputs!$J$9-Inputs!$I$9)))+(Inputs!$C$6))/(0.5*(Inputs!$C$39+Inputs!$C$40))))+Inputs!$C$38*SIN(2*PI()*((Inputs!$I$9+(((A120)+1)/2)*(Inputs!$J$9-Inputs!$I$9)))/Inputs!$C$39)*SIN(2*PI()*(Inputs!$C$6)/Inputs!$C$40)+-Inputs!$C$41*EXP(-(((Inputs!$C$6)-Inputs!$C$43)^2)/(2*Inputs!$C$44^2))*EXP(-((((Inputs!$I$9+(((A120)+1)/2)*(Inputs!$J$9-Inputs!$I$9)))-Inputs!$C$42)^2)/(2*Inputs!$C$45^2))+Inputs!$C$48*(0.7*(0.45*SIN(2*PI()*((((Inputs!$I$9+(((A120)+1)/2)*(Inputs!$J$9-Inputs!$I$9)))/Inputs!$C$49)+Inputs!$C$47*0.137))+0.35*COS(2*PI()*(((Inputs!$C$6)/Inputs!$C$50)+Inputs!$C$47*0.173))+0.2*SIN(2*PI()*((((Inputs!$I$9+(((A120)+1)/2)*(Inputs!$J$9-Inputs!$I$9)))+(Inputs!$C$6))/(0.5*(Inputs!$C$49+Inputs!$C$50))+Inputs!$C$47*0.097)))+0.3*(2*((SIN((((Inputs!$I$9+(((A120)+1)/2)*(Inputs!$J$9-Inputs!$I$9)))*12.9898+(Inputs!$C$6)*78.233+Inputs!$C$47*37.719))*43758.5453)-INT((SIN((((Inputs!$I$9+(((A120)+1)/2)*(Inputs!$J$9-Inputs!$I$9)))*12.9898+(Inputs!$C$6)*78.233+Inputs!$C$47*37.719))*43758.5453)))-1))),NA())</f>
        <v/>
      </c>
      <c r="AW120" s="10" t="n"/>
      <c r="AX120" s="9">
        <f>A120</f>
        <v/>
      </c>
      <c r="AY120" s="9">
        <f>0</f>
        <v/>
      </c>
      <c r="AZ120" s="9">
        <f>IF(OR(Inputs!$F$6=TRUE,Inputs!$F$6="TRUE",Inputs!$F$6=1),(Inputs!$H$6+Inputs!$L$6*(((Inputs!$I$6+(((A120)+1)/2)*(Inputs!$J$6-Inputs!$I$6)))/Inputs!$K$6)^2),NA())</f>
        <v/>
      </c>
      <c r="BA120" s="9">
        <f>IF(OR(Inputs!$F$7=TRUE,Inputs!$F$7="TRUE",Inputs!$F$7=1),(Inputs!$H$7+Inputs!$L$7*(((Inputs!$I$7+(((A120)+1)/2)*(Inputs!$J$7-Inputs!$I$7)))/Inputs!$K$7)^2),NA())</f>
        <v/>
      </c>
      <c r="BB120" s="9">
        <f>IF(OR(Inputs!$F$8=TRUE,Inputs!$F$8="TRUE",Inputs!$F$8=1),(Inputs!$H$8+Inputs!$L$8*(((Inputs!$I$8+(((A120)+1)/2)*(Inputs!$J$8-Inputs!$I$8)))/Inputs!$K$8)^2),NA())</f>
        <v/>
      </c>
      <c r="BC120" s="9">
        <f>IF(OR(Inputs!$F$9=TRUE,Inputs!$F$9="TRUE",Inputs!$F$9=1),(Inputs!$H$9+Inputs!$L$9*(((Inputs!$I$9+(((A120)+1)/2)*(Inputs!$J$9-Inputs!$I$9)))/Inputs!$K$9)^2),NA())</f>
        <v/>
      </c>
      <c r="BD120" s="10" t="n"/>
      <c r="BE120" s="9">
        <f>A120</f>
        <v/>
      </c>
      <c r="BF120" s="9">
        <f>0</f>
        <v/>
      </c>
      <c r="BG120" s="9">
        <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f>
        <v/>
      </c>
      <c r="BH120" s="9">
        <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f>
        <v/>
      </c>
      <c r="BI120" s="9">
        <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f>
        <v/>
      </c>
      <c r="BJ120" s="9">
        <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f>
        <v/>
      </c>
    </row>
    <row r="121">
      <c r="A121" s="9">
        <f>ROUND(-1+119*2/240,3)</f>
        <v/>
      </c>
      <c r="B121" s="9">
        <f>IF(OR(Inputs!$F$6=TRUE,Inputs!$F$6="TRUE",Inputs!$F$6=1),(Inputs!$H$6+Inputs!$L$6*(((Inputs!$I$6+(((A121)+1)/2)*(Inputs!$J$6-Inputs!$I$6)))/Inputs!$K$6)^2),NA())</f>
        <v/>
      </c>
      <c r="C121" s="9">
        <f>IF(OR(Inputs!$F$7=TRUE,Inputs!$F$7="TRUE",Inputs!$F$7=1),(Inputs!$H$7+Inputs!$L$7*(((Inputs!$I$7+(((A121)+1)/2)*(Inputs!$J$7-Inputs!$I$7)))/Inputs!$K$7)^2),NA())</f>
        <v/>
      </c>
      <c r="D121" s="9">
        <f>IF(OR(Inputs!$F$8=TRUE,Inputs!$F$8="TRUE",Inputs!$F$8=1),(Inputs!$H$8+Inputs!$L$8*(((Inputs!$I$8+(((A121)+1)/2)*(Inputs!$J$8-Inputs!$I$8)))/Inputs!$K$8)^2),NA())</f>
        <v/>
      </c>
      <c r="E121" s="9">
        <f>IF(OR(Inputs!$F$9=TRUE,Inputs!$F$9="TRUE",Inputs!$F$9=1),(Inputs!$H$9+Inputs!$L$9*(((Inputs!$I$9+(((A121)+1)/2)*(Inputs!$J$9-Inputs!$I$9)))/Inputs!$K$9)^2),NA())</f>
        <v/>
      </c>
      <c r="F121" s="10" t="n"/>
      <c r="G121" s="9">
        <f>A121</f>
        <v/>
      </c>
      <c r="H121" s="9">
        <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f>
        <v/>
      </c>
      <c r="I121" s="9">
        <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f>
        <v/>
      </c>
      <c r="J121" s="9">
        <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f>
        <v/>
      </c>
      <c r="K121" s="9">
        <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f>
        <v/>
      </c>
      <c r="L121" s="10" t="n"/>
      <c r="M121" s="9">
        <f>A121</f>
        <v/>
      </c>
      <c r="N121" s="9">
        <f>IF(OR(Inputs!$F$6=TRUE,Inputs!$F$6="TRUE",Inputs!$F$6=1),(-2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NA())</f>
        <v/>
      </c>
      <c r="O121" s="9">
        <f>IF(OR(Inputs!$F$7=TRUE,Inputs!$F$7="TRUE",Inputs!$F$7=1),(-2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NA())</f>
        <v/>
      </c>
      <c r="P121" s="9">
        <f>IF(OR(Inputs!$F$8=TRUE,Inputs!$F$8="TRUE",Inputs!$F$8=1),(-2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NA())</f>
        <v/>
      </c>
      <c r="Q121" s="9">
        <f>IF(OR(Inputs!$F$9=TRUE,Inputs!$F$9="TRUE",Inputs!$F$9=1),(-2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NA())</f>
        <v/>
      </c>
      <c r="R121" s="10" t="n"/>
      <c r="S121" s="9">
        <f>A121</f>
        <v/>
      </c>
      <c r="T121" s="9">
        <f>(Inputs!$I$6+(((A121)+1)/2)*(Inputs!$J$6-Inputs!$I$6))</f>
        <v/>
      </c>
      <c r="U121" s="9">
        <f>(Inputs!$I$7+(((A121)+1)/2)*(Inputs!$J$7-Inputs!$I$7))</f>
        <v/>
      </c>
      <c r="V121" s="9">
        <f>(Inputs!$I$8+(((A121)+1)/2)*(Inputs!$J$8-Inputs!$I$8))</f>
        <v/>
      </c>
      <c r="W121" s="9">
        <f>(Inputs!$I$9+(((A121)+1)/2)*(Inputs!$J$9-Inputs!$I$9))</f>
        <v/>
      </c>
      <c r="X121" s="10" t="n"/>
      <c r="Y121" s="9">
        <f>A121</f>
        <v/>
      </c>
      <c r="Z121" s="9">
        <f>(Inputs!$H$6+Inputs!$L$6*(((Inputs!$I$6+(((A121)+1)/2)*(Inputs!$J$6-Inputs!$I$6)))/Inputs!$K$6)^2)</f>
        <v/>
      </c>
      <c r="AA121" s="9">
        <f>(Inputs!$H$7+Inputs!$L$7*(((Inputs!$I$7+(((A121)+1)/2)*(Inputs!$J$7-Inputs!$I$7)))/Inputs!$K$7)^2)</f>
        <v/>
      </c>
      <c r="AB121" s="9">
        <f>(Inputs!$H$8+Inputs!$L$8*(((Inputs!$I$8+(((A121)+1)/2)*(Inputs!$J$8-Inputs!$I$8)))/Inputs!$K$8)^2)</f>
        <v/>
      </c>
      <c r="AC121" s="9">
        <f>(Inputs!$H$9+Inputs!$L$9*(((Inputs!$I$9+(((A121)+1)/2)*(Inputs!$J$9-Inputs!$I$9)))/Inputs!$K$9)^2)</f>
        <v/>
      </c>
      <c r="AD121" s="10" t="n"/>
      <c r="AE121" s="9">
        <f>A121</f>
        <v/>
      </c>
      <c r="AF121" s="9">
        <f>(((SQRT((Inputs!$C$52+((Inputs!$H$6+Inputs!$L$6*(((Inputs!$I$6+(((A121)+1)/2)*(Inputs!$J$6-Inputs!$I$6)))/Inputs!$K$6)^2)))^2+Inputs!$C$52^2-2*(Inputs!$C$52+((Inputs!$H$6+Inputs!$L$6*(((Inputs!$I$6+(((A121)+1)/2)*(Inputs!$J$6-Inputs!$I$6)))/Inputs!$K$6)^2)))*Inputs!$C$52*COS(SQRT(((Inputs!$I$6+(((A121)+1)/2)*(Inputs!$J$6-Inputs!$I$6)))^2+Inputs!$C$6^2)/Inputs!$C$52)))-((Inputs!$H$6+Inputs!$L$6*(((Inputs!$I$6+(((A121)+1)/2)*(Inputs!$J$6-Inputs!$I$6)))/Inputs!$K$6)^2)))*1000/Inputs!$C$12)</f>
        <v/>
      </c>
      <c r="AG121" s="9">
        <f>(((SQRT((Inputs!$C$52+((Inputs!$H$7+Inputs!$L$7*(((Inputs!$I$7+(((A121)+1)/2)*(Inputs!$J$7-Inputs!$I$7)))/Inputs!$K$7)^2)))^2+Inputs!$C$52^2-2*(Inputs!$C$52+((Inputs!$H$7+Inputs!$L$7*(((Inputs!$I$7+(((A121)+1)/2)*(Inputs!$J$7-Inputs!$I$7)))/Inputs!$K$7)^2)))*Inputs!$C$52*COS(SQRT(((Inputs!$I$7+(((A121)+1)/2)*(Inputs!$J$7-Inputs!$I$7)))^2+Inputs!$C$6^2)/Inputs!$C$52)))-((Inputs!$H$7+Inputs!$L$7*(((Inputs!$I$7+(((A121)+1)/2)*(Inputs!$J$7-Inputs!$I$7)))/Inputs!$K$7)^2)))*1000/Inputs!$C$12)</f>
        <v/>
      </c>
      <c r="AH121" s="9">
        <f>(((SQRT((Inputs!$C$52+((Inputs!$H$8+Inputs!$L$8*(((Inputs!$I$8+(((A121)+1)/2)*(Inputs!$J$8-Inputs!$I$8)))/Inputs!$K$8)^2)))^2+Inputs!$C$52^2-2*(Inputs!$C$52+((Inputs!$H$8+Inputs!$L$8*(((Inputs!$I$8+(((A121)+1)/2)*(Inputs!$J$8-Inputs!$I$8)))/Inputs!$K$8)^2)))*Inputs!$C$52*COS(SQRT(((Inputs!$I$8+(((A121)+1)/2)*(Inputs!$J$8-Inputs!$I$8)))^2+Inputs!$C$6^2)/Inputs!$C$52)))-((Inputs!$H$8+Inputs!$L$8*(((Inputs!$I$8+(((A121)+1)/2)*(Inputs!$J$8-Inputs!$I$8)))/Inputs!$K$8)^2)))*1000/Inputs!$C$12)</f>
        <v/>
      </c>
      <c r="AI121" s="9">
        <f>(((SQRT((Inputs!$C$52+((Inputs!$H$9+Inputs!$L$9*(((Inputs!$I$9+(((A121)+1)/2)*(Inputs!$J$9-Inputs!$I$9)))/Inputs!$K$9)^2)))^2+Inputs!$C$52^2-2*(Inputs!$C$52+((Inputs!$H$9+Inputs!$L$9*(((Inputs!$I$9+(((A121)+1)/2)*(Inputs!$J$9-Inputs!$I$9)))/Inputs!$K$9)^2)))*Inputs!$C$52*COS(SQRT(((Inputs!$I$9+(((A121)+1)/2)*(Inputs!$J$9-Inputs!$I$9)))^2+Inputs!$C$6^2)/Inputs!$C$52)))-((Inputs!$H$9+Inputs!$L$9*(((Inputs!$I$9+(((A121)+1)/2)*(Inputs!$J$9-Inputs!$I$9)))/Inputs!$K$9)^2)))*1000/Inputs!$C$12)</f>
        <v/>
      </c>
      <c r="AJ121" s="10" t="n"/>
      <c r="AK121" s="9">
        <f>A121</f>
        <v/>
      </c>
      <c r="AL121" s="9">
        <f>(-2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f>
        <v/>
      </c>
      <c r="AM121" s="9">
        <f>(-2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f>
        <v/>
      </c>
      <c r="AN121" s="9">
        <f>(-2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f>
        <v/>
      </c>
      <c r="AO121" s="9">
        <f>(-2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f>
        <v/>
      </c>
      <c r="AP121" s="10" t="n"/>
      <c r="AQ121" s="9">
        <f>A121</f>
        <v/>
      </c>
      <c r="AR121" s="9">
        <f>0</f>
        <v/>
      </c>
      <c r="AS121" s="9">
        <f>IF(OR(Inputs!$F$6=TRUE,Inputs!$F$6="TRUE",Inputs!$F$6=1),IF(OR(Inputs!$C$27=TRUE,Inputs!$C$27="TRUE",Inputs!$C$27=1),1,0)*(Inputs!$C$51*(115*EXP(-(((Inputs!$C$6)-25)^2)/(4.5^2))+70*EXP(-(((Inputs!$C$6)+38)^2)/(7^2))*(0.55+0.45*SIN(2*PI()*((Inputs!$I$6+(((A121)+1)/2)*(Inputs!$J$6-Inputs!$I$6)))/45))+24*SIN(2*PI()*(Inputs!$C$6)/9+((Inputs!$I$6+(((A121)+1)/2)*(Inputs!$J$6-Inputs!$I$6)))/18)*EXP(-(((Inputs!$C$6)+5)^2)/(22^2))+18*SIN(2*PI()*((Inputs!$I$6+(((A121)+1)/2)*(Inputs!$J$6-Inputs!$I$6)))/70))+Inputs!$C$28*EXP(-((((Inputs!$I$6+(((A121)+1)/2)*(Inputs!$J$6-Inputs!$I$6)))-Inputs!$C$29)^2)/(2*Inputs!$C$31^2))*EXP(-(((Inputs!$C$6)-Inputs!$C$30)^2)/(2*Inputs!$C$32^2))+-Inputs!$C$33*EXP(-((((((Inputs!$I$6+(((A121)+1)/2)*(Inputs!$J$6-Inputs!$I$6)))-Inputs!$C$34)^2)+(((Inputs!$C$6)-Inputs!$C$35)^2))/(2*Inputs!$C$36^2)))+Inputs!$C$37*(0.55*SIN(2*PI()*((Inputs!$I$6+(((A121)+1)/2)*(Inputs!$J$6-Inputs!$I$6)))/Inputs!$C$39)+0.35*COS(2*PI()*(Inputs!$C$6)/Inputs!$C$40)+0.2*SIN(2*PI()*(((Inputs!$I$6+(((A121)+1)/2)*(Inputs!$J$6-Inputs!$I$6)))+(Inputs!$C$6))/(0.5*(Inputs!$C$39+Inputs!$C$40))))+Inputs!$C$38*SIN(2*PI()*((Inputs!$I$6+(((A121)+1)/2)*(Inputs!$J$6-Inputs!$I$6)))/Inputs!$C$39)*SIN(2*PI()*(Inputs!$C$6)/Inputs!$C$40)+-Inputs!$C$41*EXP(-(((Inputs!$C$6)-Inputs!$C$43)^2)/(2*Inputs!$C$44^2))*EXP(-((((Inputs!$I$6+(((A121)+1)/2)*(Inputs!$J$6-Inputs!$I$6)))-Inputs!$C$42)^2)/(2*Inputs!$C$45^2))+Inputs!$C$48*(0.7*(0.45*SIN(2*PI()*((((Inputs!$I$6+(((A121)+1)/2)*(Inputs!$J$6-Inputs!$I$6)))/Inputs!$C$49)+Inputs!$C$47*0.137))+0.35*COS(2*PI()*(((Inputs!$C$6)/Inputs!$C$50)+Inputs!$C$47*0.173))+0.2*SIN(2*PI()*((((Inputs!$I$6+(((A121)+1)/2)*(Inputs!$J$6-Inputs!$I$6)))+(Inputs!$C$6))/(0.5*(Inputs!$C$49+Inputs!$C$50))+Inputs!$C$47*0.097)))+0.3*(2*((SIN((((Inputs!$I$6+(((A121)+1)/2)*(Inputs!$J$6-Inputs!$I$6)))*12.9898+(Inputs!$C$6)*78.233+Inputs!$C$47*37.719))*43758.5453)-INT((SIN((((Inputs!$I$6+(((A121)+1)/2)*(Inputs!$J$6-Inputs!$I$6)))*12.9898+(Inputs!$C$6)*78.233+Inputs!$C$47*37.719))*43758.5453)))-1))),NA())</f>
        <v/>
      </c>
      <c r="AT121" s="9">
        <f>IF(OR(Inputs!$F$7=TRUE,Inputs!$F$7="TRUE",Inputs!$F$7=1),IF(OR(Inputs!$C$27=TRUE,Inputs!$C$27="TRUE",Inputs!$C$27=1),1,0)*(Inputs!$C$51*(115*EXP(-(((Inputs!$C$6)-25)^2)/(4.5^2))+70*EXP(-(((Inputs!$C$6)+38)^2)/(7^2))*(0.55+0.45*SIN(2*PI()*((Inputs!$I$7+(((A121)+1)/2)*(Inputs!$J$7-Inputs!$I$7)))/45))+24*SIN(2*PI()*(Inputs!$C$6)/9+((Inputs!$I$7+(((A121)+1)/2)*(Inputs!$J$7-Inputs!$I$7)))/18)*EXP(-(((Inputs!$C$6)+5)^2)/(22^2))+18*SIN(2*PI()*((Inputs!$I$7+(((A121)+1)/2)*(Inputs!$J$7-Inputs!$I$7)))/70))+Inputs!$C$28*EXP(-((((Inputs!$I$7+(((A121)+1)/2)*(Inputs!$J$7-Inputs!$I$7)))-Inputs!$C$29)^2)/(2*Inputs!$C$31^2))*EXP(-(((Inputs!$C$6)-Inputs!$C$30)^2)/(2*Inputs!$C$32^2))+-Inputs!$C$33*EXP(-((((((Inputs!$I$7+(((A121)+1)/2)*(Inputs!$J$7-Inputs!$I$7)))-Inputs!$C$34)^2)+(((Inputs!$C$6)-Inputs!$C$35)^2))/(2*Inputs!$C$36^2)))+Inputs!$C$37*(0.55*SIN(2*PI()*((Inputs!$I$7+(((A121)+1)/2)*(Inputs!$J$7-Inputs!$I$7)))/Inputs!$C$39)+0.35*COS(2*PI()*(Inputs!$C$6)/Inputs!$C$40)+0.2*SIN(2*PI()*(((Inputs!$I$7+(((A121)+1)/2)*(Inputs!$J$7-Inputs!$I$7)))+(Inputs!$C$6))/(0.5*(Inputs!$C$39+Inputs!$C$40))))+Inputs!$C$38*SIN(2*PI()*((Inputs!$I$7+(((A121)+1)/2)*(Inputs!$J$7-Inputs!$I$7)))/Inputs!$C$39)*SIN(2*PI()*(Inputs!$C$6)/Inputs!$C$40)+-Inputs!$C$41*EXP(-(((Inputs!$C$6)-Inputs!$C$43)^2)/(2*Inputs!$C$44^2))*EXP(-((((Inputs!$I$7+(((A121)+1)/2)*(Inputs!$J$7-Inputs!$I$7)))-Inputs!$C$42)^2)/(2*Inputs!$C$45^2))+Inputs!$C$48*(0.7*(0.45*SIN(2*PI()*((((Inputs!$I$7+(((A121)+1)/2)*(Inputs!$J$7-Inputs!$I$7)))/Inputs!$C$49)+Inputs!$C$47*0.137))+0.35*COS(2*PI()*(((Inputs!$C$6)/Inputs!$C$50)+Inputs!$C$47*0.173))+0.2*SIN(2*PI()*((((Inputs!$I$7+(((A121)+1)/2)*(Inputs!$J$7-Inputs!$I$7)))+(Inputs!$C$6))/(0.5*(Inputs!$C$49+Inputs!$C$50))+Inputs!$C$47*0.097)))+0.3*(2*((SIN((((Inputs!$I$7+(((A121)+1)/2)*(Inputs!$J$7-Inputs!$I$7)))*12.9898+(Inputs!$C$6)*78.233+Inputs!$C$47*37.719))*43758.5453)-INT((SIN((((Inputs!$I$7+(((A121)+1)/2)*(Inputs!$J$7-Inputs!$I$7)))*12.9898+(Inputs!$C$6)*78.233+Inputs!$C$47*37.719))*43758.5453)))-1))),NA())</f>
        <v/>
      </c>
      <c r="AU121" s="9">
        <f>IF(OR(Inputs!$F$8=TRUE,Inputs!$F$8="TRUE",Inputs!$F$8=1),IF(OR(Inputs!$C$27=TRUE,Inputs!$C$27="TRUE",Inputs!$C$27=1),1,0)*(Inputs!$C$51*(115*EXP(-(((Inputs!$C$6)-25)^2)/(4.5^2))+70*EXP(-(((Inputs!$C$6)+38)^2)/(7^2))*(0.55+0.45*SIN(2*PI()*((Inputs!$I$8+(((A121)+1)/2)*(Inputs!$J$8-Inputs!$I$8)))/45))+24*SIN(2*PI()*(Inputs!$C$6)/9+((Inputs!$I$8+(((A121)+1)/2)*(Inputs!$J$8-Inputs!$I$8)))/18)*EXP(-(((Inputs!$C$6)+5)^2)/(22^2))+18*SIN(2*PI()*((Inputs!$I$8+(((A121)+1)/2)*(Inputs!$J$8-Inputs!$I$8)))/70))+Inputs!$C$28*EXP(-((((Inputs!$I$8+(((A121)+1)/2)*(Inputs!$J$8-Inputs!$I$8)))-Inputs!$C$29)^2)/(2*Inputs!$C$31^2))*EXP(-(((Inputs!$C$6)-Inputs!$C$30)^2)/(2*Inputs!$C$32^2))+-Inputs!$C$33*EXP(-((((((Inputs!$I$8+(((A121)+1)/2)*(Inputs!$J$8-Inputs!$I$8)))-Inputs!$C$34)^2)+(((Inputs!$C$6)-Inputs!$C$35)^2))/(2*Inputs!$C$36^2)))+Inputs!$C$37*(0.55*SIN(2*PI()*((Inputs!$I$8+(((A121)+1)/2)*(Inputs!$J$8-Inputs!$I$8)))/Inputs!$C$39)+0.35*COS(2*PI()*(Inputs!$C$6)/Inputs!$C$40)+0.2*SIN(2*PI()*(((Inputs!$I$8+(((A121)+1)/2)*(Inputs!$J$8-Inputs!$I$8)))+(Inputs!$C$6))/(0.5*(Inputs!$C$39+Inputs!$C$40))))+Inputs!$C$38*SIN(2*PI()*((Inputs!$I$8+(((A121)+1)/2)*(Inputs!$J$8-Inputs!$I$8)))/Inputs!$C$39)*SIN(2*PI()*(Inputs!$C$6)/Inputs!$C$40)+-Inputs!$C$41*EXP(-(((Inputs!$C$6)-Inputs!$C$43)^2)/(2*Inputs!$C$44^2))*EXP(-((((Inputs!$I$8+(((A121)+1)/2)*(Inputs!$J$8-Inputs!$I$8)))-Inputs!$C$42)^2)/(2*Inputs!$C$45^2))+Inputs!$C$48*(0.7*(0.45*SIN(2*PI()*((((Inputs!$I$8+(((A121)+1)/2)*(Inputs!$J$8-Inputs!$I$8)))/Inputs!$C$49)+Inputs!$C$47*0.137))+0.35*COS(2*PI()*(((Inputs!$C$6)/Inputs!$C$50)+Inputs!$C$47*0.173))+0.2*SIN(2*PI()*((((Inputs!$I$8+(((A121)+1)/2)*(Inputs!$J$8-Inputs!$I$8)))+(Inputs!$C$6))/(0.5*(Inputs!$C$49+Inputs!$C$50))+Inputs!$C$47*0.097)))+0.3*(2*((SIN((((Inputs!$I$8+(((A121)+1)/2)*(Inputs!$J$8-Inputs!$I$8)))*12.9898+(Inputs!$C$6)*78.233+Inputs!$C$47*37.719))*43758.5453)-INT((SIN((((Inputs!$I$8+(((A121)+1)/2)*(Inputs!$J$8-Inputs!$I$8)))*12.9898+(Inputs!$C$6)*78.233+Inputs!$C$47*37.719))*43758.5453)))-1))),NA())</f>
        <v/>
      </c>
      <c r="AV121" s="9">
        <f>IF(OR(Inputs!$F$9=TRUE,Inputs!$F$9="TRUE",Inputs!$F$9=1),IF(OR(Inputs!$C$27=TRUE,Inputs!$C$27="TRUE",Inputs!$C$27=1),1,0)*(Inputs!$C$51*(115*EXP(-(((Inputs!$C$6)-25)^2)/(4.5^2))+70*EXP(-(((Inputs!$C$6)+38)^2)/(7^2))*(0.55+0.45*SIN(2*PI()*((Inputs!$I$9+(((A121)+1)/2)*(Inputs!$J$9-Inputs!$I$9)))/45))+24*SIN(2*PI()*(Inputs!$C$6)/9+((Inputs!$I$9+(((A121)+1)/2)*(Inputs!$J$9-Inputs!$I$9)))/18)*EXP(-(((Inputs!$C$6)+5)^2)/(22^2))+18*SIN(2*PI()*((Inputs!$I$9+(((A121)+1)/2)*(Inputs!$J$9-Inputs!$I$9)))/70))+Inputs!$C$28*EXP(-((((Inputs!$I$9+(((A121)+1)/2)*(Inputs!$J$9-Inputs!$I$9)))-Inputs!$C$29)^2)/(2*Inputs!$C$31^2))*EXP(-(((Inputs!$C$6)-Inputs!$C$30)^2)/(2*Inputs!$C$32^2))+-Inputs!$C$33*EXP(-((((((Inputs!$I$9+(((A121)+1)/2)*(Inputs!$J$9-Inputs!$I$9)))-Inputs!$C$34)^2)+(((Inputs!$C$6)-Inputs!$C$35)^2))/(2*Inputs!$C$36^2)))+Inputs!$C$37*(0.55*SIN(2*PI()*((Inputs!$I$9+(((A121)+1)/2)*(Inputs!$J$9-Inputs!$I$9)))/Inputs!$C$39)+0.35*COS(2*PI()*(Inputs!$C$6)/Inputs!$C$40)+0.2*SIN(2*PI()*(((Inputs!$I$9+(((A121)+1)/2)*(Inputs!$J$9-Inputs!$I$9)))+(Inputs!$C$6))/(0.5*(Inputs!$C$39+Inputs!$C$40))))+Inputs!$C$38*SIN(2*PI()*((Inputs!$I$9+(((A121)+1)/2)*(Inputs!$J$9-Inputs!$I$9)))/Inputs!$C$39)*SIN(2*PI()*(Inputs!$C$6)/Inputs!$C$40)+-Inputs!$C$41*EXP(-(((Inputs!$C$6)-Inputs!$C$43)^2)/(2*Inputs!$C$44^2))*EXP(-((((Inputs!$I$9+(((A121)+1)/2)*(Inputs!$J$9-Inputs!$I$9)))-Inputs!$C$42)^2)/(2*Inputs!$C$45^2))+Inputs!$C$48*(0.7*(0.45*SIN(2*PI()*((((Inputs!$I$9+(((A121)+1)/2)*(Inputs!$J$9-Inputs!$I$9)))/Inputs!$C$49)+Inputs!$C$47*0.137))+0.35*COS(2*PI()*(((Inputs!$C$6)/Inputs!$C$50)+Inputs!$C$47*0.173))+0.2*SIN(2*PI()*((((Inputs!$I$9+(((A121)+1)/2)*(Inputs!$J$9-Inputs!$I$9)))+(Inputs!$C$6))/(0.5*(Inputs!$C$49+Inputs!$C$50))+Inputs!$C$47*0.097)))+0.3*(2*((SIN((((Inputs!$I$9+(((A121)+1)/2)*(Inputs!$J$9-Inputs!$I$9)))*12.9898+(Inputs!$C$6)*78.233+Inputs!$C$47*37.719))*43758.5453)-INT((SIN((((Inputs!$I$9+(((A121)+1)/2)*(Inputs!$J$9-Inputs!$I$9)))*12.9898+(Inputs!$C$6)*78.233+Inputs!$C$47*37.719))*43758.5453)))-1))),NA())</f>
        <v/>
      </c>
      <c r="AW121" s="10" t="n"/>
      <c r="AX121" s="9">
        <f>A121</f>
        <v/>
      </c>
      <c r="AY121" s="9">
        <f>0</f>
        <v/>
      </c>
      <c r="AZ121" s="9">
        <f>IF(OR(Inputs!$F$6=TRUE,Inputs!$F$6="TRUE",Inputs!$F$6=1),(Inputs!$H$6+Inputs!$L$6*(((Inputs!$I$6+(((A121)+1)/2)*(Inputs!$J$6-Inputs!$I$6)))/Inputs!$K$6)^2),NA())</f>
        <v/>
      </c>
      <c r="BA121" s="9">
        <f>IF(OR(Inputs!$F$7=TRUE,Inputs!$F$7="TRUE",Inputs!$F$7=1),(Inputs!$H$7+Inputs!$L$7*(((Inputs!$I$7+(((A121)+1)/2)*(Inputs!$J$7-Inputs!$I$7)))/Inputs!$K$7)^2),NA())</f>
        <v/>
      </c>
      <c r="BB121" s="9">
        <f>IF(OR(Inputs!$F$8=TRUE,Inputs!$F$8="TRUE",Inputs!$F$8=1),(Inputs!$H$8+Inputs!$L$8*(((Inputs!$I$8+(((A121)+1)/2)*(Inputs!$J$8-Inputs!$I$8)))/Inputs!$K$8)^2),NA())</f>
        <v/>
      </c>
      <c r="BC121" s="9">
        <f>IF(OR(Inputs!$F$9=TRUE,Inputs!$F$9="TRUE",Inputs!$F$9=1),(Inputs!$H$9+Inputs!$L$9*(((Inputs!$I$9+(((A121)+1)/2)*(Inputs!$J$9-Inputs!$I$9)))/Inputs!$K$9)^2),NA())</f>
        <v/>
      </c>
      <c r="BD121" s="10" t="n"/>
      <c r="BE121" s="9">
        <f>A121</f>
        <v/>
      </c>
      <c r="BF121" s="9">
        <f>0</f>
        <v/>
      </c>
      <c r="BG121" s="9">
        <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f>
        <v/>
      </c>
      <c r="BH121" s="9">
        <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f>
        <v/>
      </c>
      <c r="BI121" s="9">
        <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f>
        <v/>
      </c>
      <c r="BJ121" s="9">
        <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f>
        <v/>
      </c>
    </row>
    <row r="122">
      <c r="A122" s="9">
        <f>ROUND(-1+120*2/240,3)</f>
        <v/>
      </c>
      <c r="B122" s="9">
        <f>IF(OR(Inputs!$F$6=TRUE,Inputs!$F$6="TRUE",Inputs!$F$6=1),(Inputs!$H$6+Inputs!$L$6*(((Inputs!$I$6+(((A122)+1)/2)*(Inputs!$J$6-Inputs!$I$6)))/Inputs!$K$6)^2),NA())</f>
        <v/>
      </c>
      <c r="C122" s="9">
        <f>IF(OR(Inputs!$F$7=TRUE,Inputs!$F$7="TRUE",Inputs!$F$7=1),(Inputs!$H$7+Inputs!$L$7*(((Inputs!$I$7+(((A122)+1)/2)*(Inputs!$J$7-Inputs!$I$7)))/Inputs!$K$7)^2),NA())</f>
        <v/>
      </c>
      <c r="D122" s="9">
        <f>IF(OR(Inputs!$F$8=TRUE,Inputs!$F$8="TRUE",Inputs!$F$8=1),(Inputs!$H$8+Inputs!$L$8*(((Inputs!$I$8+(((A122)+1)/2)*(Inputs!$J$8-Inputs!$I$8)))/Inputs!$K$8)^2),NA())</f>
        <v/>
      </c>
      <c r="E122" s="9">
        <f>IF(OR(Inputs!$F$9=TRUE,Inputs!$F$9="TRUE",Inputs!$F$9=1),(Inputs!$H$9+Inputs!$L$9*(((Inputs!$I$9+(((A122)+1)/2)*(Inputs!$J$9-Inputs!$I$9)))/Inputs!$K$9)^2),NA())</f>
        <v/>
      </c>
      <c r="F122" s="10" t="n"/>
      <c r="G122" s="9">
        <f>A122</f>
        <v/>
      </c>
      <c r="H122" s="9">
        <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f>
        <v/>
      </c>
      <c r="I122" s="9">
        <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f>
        <v/>
      </c>
      <c r="J122" s="9">
        <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f>
        <v/>
      </c>
      <c r="K122" s="9">
        <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f>
        <v/>
      </c>
      <c r="L122" s="10" t="n"/>
      <c r="M122" s="9">
        <f>A122</f>
        <v/>
      </c>
      <c r="N122" s="9">
        <f>IF(OR(Inputs!$F$6=TRUE,Inputs!$F$6="TRUE",Inputs!$F$6=1),(-2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NA())</f>
        <v/>
      </c>
      <c r="O122" s="9">
        <f>IF(OR(Inputs!$F$7=TRUE,Inputs!$F$7="TRUE",Inputs!$F$7=1),(-2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NA())</f>
        <v/>
      </c>
      <c r="P122" s="9">
        <f>IF(OR(Inputs!$F$8=TRUE,Inputs!$F$8="TRUE",Inputs!$F$8=1),(-2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NA())</f>
        <v/>
      </c>
      <c r="Q122" s="9">
        <f>IF(OR(Inputs!$F$9=TRUE,Inputs!$F$9="TRUE",Inputs!$F$9=1),(-2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NA())</f>
        <v/>
      </c>
      <c r="R122" s="10" t="n"/>
      <c r="S122" s="9">
        <f>A122</f>
        <v/>
      </c>
      <c r="T122" s="9">
        <f>(Inputs!$I$6+(((A122)+1)/2)*(Inputs!$J$6-Inputs!$I$6))</f>
        <v/>
      </c>
      <c r="U122" s="9">
        <f>(Inputs!$I$7+(((A122)+1)/2)*(Inputs!$J$7-Inputs!$I$7))</f>
        <v/>
      </c>
      <c r="V122" s="9">
        <f>(Inputs!$I$8+(((A122)+1)/2)*(Inputs!$J$8-Inputs!$I$8))</f>
        <v/>
      </c>
      <c r="W122" s="9">
        <f>(Inputs!$I$9+(((A122)+1)/2)*(Inputs!$J$9-Inputs!$I$9))</f>
        <v/>
      </c>
      <c r="X122" s="10" t="n"/>
      <c r="Y122" s="9">
        <f>A122</f>
        <v/>
      </c>
      <c r="Z122" s="9">
        <f>(Inputs!$H$6+Inputs!$L$6*(((Inputs!$I$6+(((A122)+1)/2)*(Inputs!$J$6-Inputs!$I$6)))/Inputs!$K$6)^2)</f>
        <v/>
      </c>
      <c r="AA122" s="9">
        <f>(Inputs!$H$7+Inputs!$L$7*(((Inputs!$I$7+(((A122)+1)/2)*(Inputs!$J$7-Inputs!$I$7)))/Inputs!$K$7)^2)</f>
        <v/>
      </c>
      <c r="AB122" s="9">
        <f>(Inputs!$H$8+Inputs!$L$8*(((Inputs!$I$8+(((A122)+1)/2)*(Inputs!$J$8-Inputs!$I$8)))/Inputs!$K$8)^2)</f>
        <v/>
      </c>
      <c r="AC122" s="9">
        <f>(Inputs!$H$9+Inputs!$L$9*(((Inputs!$I$9+(((A122)+1)/2)*(Inputs!$J$9-Inputs!$I$9)))/Inputs!$K$9)^2)</f>
        <v/>
      </c>
      <c r="AD122" s="10" t="n"/>
      <c r="AE122" s="9">
        <f>A122</f>
        <v/>
      </c>
      <c r="AF122" s="9">
        <f>(((SQRT((Inputs!$C$52+((Inputs!$H$6+Inputs!$L$6*(((Inputs!$I$6+(((A122)+1)/2)*(Inputs!$J$6-Inputs!$I$6)))/Inputs!$K$6)^2)))^2+Inputs!$C$52^2-2*(Inputs!$C$52+((Inputs!$H$6+Inputs!$L$6*(((Inputs!$I$6+(((A122)+1)/2)*(Inputs!$J$6-Inputs!$I$6)))/Inputs!$K$6)^2)))*Inputs!$C$52*COS(SQRT(((Inputs!$I$6+(((A122)+1)/2)*(Inputs!$J$6-Inputs!$I$6)))^2+Inputs!$C$6^2)/Inputs!$C$52)))-((Inputs!$H$6+Inputs!$L$6*(((Inputs!$I$6+(((A122)+1)/2)*(Inputs!$J$6-Inputs!$I$6)))/Inputs!$K$6)^2)))*1000/Inputs!$C$12)</f>
        <v/>
      </c>
      <c r="AG122" s="9">
        <f>(((SQRT((Inputs!$C$52+((Inputs!$H$7+Inputs!$L$7*(((Inputs!$I$7+(((A122)+1)/2)*(Inputs!$J$7-Inputs!$I$7)))/Inputs!$K$7)^2)))^2+Inputs!$C$52^2-2*(Inputs!$C$52+((Inputs!$H$7+Inputs!$L$7*(((Inputs!$I$7+(((A122)+1)/2)*(Inputs!$J$7-Inputs!$I$7)))/Inputs!$K$7)^2)))*Inputs!$C$52*COS(SQRT(((Inputs!$I$7+(((A122)+1)/2)*(Inputs!$J$7-Inputs!$I$7)))^2+Inputs!$C$6^2)/Inputs!$C$52)))-((Inputs!$H$7+Inputs!$L$7*(((Inputs!$I$7+(((A122)+1)/2)*(Inputs!$J$7-Inputs!$I$7)))/Inputs!$K$7)^2)))*1000/Inputs!$C$12)</f>
        <v/>
      </c>
      <c r="AH122" s="9">
        <f>(((SQRT((Inputs!$C$52+((Inputs!$H$8+Inputs!$L$8*(((Inputs!$I$8+(((A122)+1)/2)*(Inputs!$J$8-Inputs!$I$8)))/Inputs!$K$8)^2)))^2+Inputs!$C$52^2-2*(Inputs!$C$52+((Inputs!$H$8+Inputs!$L$8*(((Inputs!$I$8+(((A122)+1)/2)*(Inputs!$J$8-Inputs!$I$8)))/Inputs!$K$8)^2)))*Inputs!$C$52*COS(SQRT(((Inputs!$I$8+(((A122)+1)/2)*(Inputs!$J$8-Inputs!$I$8)))^2+Inputs!$C$6^2)/Inputs!$C$52)))-((Inputs!$H$8+Inputs!$L$8*(((Inputs!$I$8+(((A122)+1)/2)*(Inputs!$J$8-Inputs!$I$8)))/Inputs!$K$8)^2)))*1000/Inputs!$C$12)</f>
        <v/>
      </c>
      <c r="AI122" s="9">
        <f>(((SQRT((Inputs!$C$52+((Inputs!$H$9+Inputs!$L$9*(((Inputs!$I$9+(((A122)+1)/2)*(Inputs!$J$9-Inputs!$I$9)))/Inputs!$K$9)^2)))^2+Inputs!$C$52^2-2*(Inputs!$C$52+((Inputs!$H$9+Inputs!$L$9*(((Inputs!$I$9+(((A122)+1)/2)*(Inputs!$J$9-Inputs!$I$9)))/Inputs!$K$9)^2)))*Inputs!$C$52*COS(SQRT(((Inputs!$I$9+(((A122)+1)/2)*(Inputs!$J$9-Inputs!$I$9)))^2+Inputs!$C$6^2)/Inputs!$C$52)))-((Inputs!$H$9+Inputs!$L$9*(((Inputs!$I$9+(((A122)+1)/2)*(Inputs!$J$9-Inputs!$I$9)))/Inputs!$K$9)^2)))*1000/Inputs!$C$12)</f>
        <v/>
      </c>
      <c r="AJ122" s="10" t="n"/>
      <c r="AK122" s="9">
        <f>A122</f>
        <v/>
      </c>
      <c r="AL122" s="9">
        <f>(-2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f>
        <v/>
      </c>
      <c r="AM122" s="9">
        <f>(-2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f>
        <v/>
      </c>
      <c r="AN122" s="9">
        <f>(-2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f>
        <v/>
      </c>
      <c r="AO122" s="9">
        <f>(-2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f>
        <v/>
      </c>
      <c r="AP122" s="10" t="n"/>
      <c r="AQ122" s="9">
        <f>A122</f>
        <v/>
      </c>
      <c r="AR122" s="9">
        <f>0</f>
        <v/>
      </c>
      <c r="AS122" s="9">
        <f>IF(OR(Inputs!$F$6=TRUE,Inputs!$F$6="TRUE",Inputs!$F$6=1),IF(OR(Inputs!$C$27=TRUE,Inputs!$C$27="TRUE",Inputs!$C$27=1),1,0)*(Inputs!$C$51*(115*EXP(-(((Inputs!$C$6)-25)^2)/(4.5^2))+70*EXP(-(((Inputs!$C$6)+38)^2)/(7^2))*(0.55+0.45*SIN(2*PI()*((Inputs!$I$6+(((A122)+1)/2)*(Inputs!$J$6-Inputs!$I$6)))/45))+24*SIN(2*PI()*(Inputs!$C$6)/9+((Inputs!$I$6+(((A122)+1)/2)*(Inputs!$J$6-Inputs!$I$6)))/18)*EXP(-(((Inputs!$C$6)+5)^2)/(22^2))+18*SIN(2*PI()*((Inputs!$I$6+(((A122)+1)/2)*(Inputs!$J$6-Inputs!$I$6)))/70))+Inputs!$C$28*EXP(-((((Inputs!$I$6+(((A122)+1)/2)*(Inputs!$J$6-Inputs!$I$6)))-Inputs!$C$29)^2)/(2*Inputs!$C$31^2))*EXP(-(((Inputs!$C$6)-Inputs!$C$30)^2)/(2*Inputs!$C$32^2))+-Inputs!$C$33*EXP(-((((((Inputs!$I$6+(((A122)+1)/2)*(Inputs!$J$6-Inputs!$I$6)))-Inputs!$C$34)^2)+(((Inputs!$C$6)-Inputs!$C$35)^2))/(2*Inputs!$C$36^2)))+Inputs!$C$37*(0.55*SIN(2*PI()*((Inputs!$I$6+(((A122)+1)/2)*(Inputs!$J$6-Inputs!$I$6)))/Inputs!$C$39)+0.35*COS(2*PI()*(Inputs!$C$6)/Inputs!$C$40)+0.2*SIN(2*PI()*(((Inputs!$I$6+(((A122)+1)/2)*(Inputs!$J$6-Inputs!$I$6)))+(Inputs!$C$6))/(0.5*(Inputs!$C$39+Inputs!$C$40))))+Inputs!$C$38*SIN(2*PI()*((Inputs!$I$6+(((A122)+1)/2)*(Inputs!$J$6-Inputs!$I$6)))/Inputs!$C$39)*SIN(2*PI()*(Inputs!$C$6)/Inputs!$C$40)+-Inputs!$C$41*EXP(-(((Inputs!$C$6)-Inputs!$C$43)^2)/(2*Inputs!$C$44^2))*EXP(-((((Inputs!$I$6+(((A122)+1)/2)*(Inputs!$J$6-Inputs!$I$6)))-Inputs!$C$42)^2)/(2*Inputs!$C$45^2))+Inputs!$C$48*(0.7*(0.45*SIN(2*PI()*((((Inputs!$I$6+(((A122)+1)/2)*(Inputs!$J$6-Inputs!$I$6)))/Inputs!$C$49)+Inputs!$C$47*0.137))+0.35*COS(2*PI()*(((Inputs!$C$6)/Inputs!$C$50)+Inputs!$C$47*0.173))+0.2*SIN(2*PI()*((((Inputs!$I$6+(((A122)+1)/2)*(Inputs!$J$6-Inputs!$I$6)))+(Inputs!$C$6))/(0.5*(Inputs!$C$49+Inputs!$C$50))+Inputs!$C$47*0.097)))+0.3*(2*((SIN((((Inputs!$I$6+(((A122)+1)/2)*(Inputs!$J$6-Inputs!$I$6)))*12.9898+(Inputs!$C$6)*78.233+Inputs!$C$47*37.719))*43758.5453)-INT((SIN((((Inputs!$I$6+(((A122)+1)/2)*(Inputs!$J$6-Inputs!$I$6)))*12.9898+(Inputs!$C$6)*78.233+Inputs!$C$47*37.719))*43758.5453)))-1))),NA())</f>
        <v/>
      </c>
      <c r="AT122" s="9">
        <f>IF(OR(Inputs!$F$7=TRUE,Inputs!$F$7="TRUE",Inputs!$F$7=1),IF(OR(Inputs!$C$27=TRUE,Inputs!$C$27="TRUE",Inputs!$C$27=1),1,0)*(Inputs!$C$51*(115*EXP(-(((Inputs!$C$6)-25)^2)/(4.5^2))+70*EXP(-(((Inputs!$C$6)+38)^2)/(7^2))*(0.55+0.45*SIN(2*PI()*((Inputs!$I$7+(((A122)+1)/2)*(Inputs!$J$7-Inputs!$I$7)))/45))+24*SIN(2*PI()*(Inputs!$C$6)/9+((Inputs!$I$7+(((A122)+1)/2)*(Inputs!$J$7-Inputs!$I$7)))/18)*EXP(-(((Inputs!$C$6)+5)^2)/(22^2))+18*SIN(2*PI()*((Inputs!$I$7+(((A122)+1)/2)*(Inputs!$J$7-Inputs!$I$7)))/70))+Inputs!$C$28*EXP(-((((Inputs!$I$7+(((A122)+1)/2)*(Inputs!$J$7-Inputs!$I$7)))-Inputs!$C$29)^2)/(2*Inputs!$C$31^2))*EXP(-(((Inputs!$C$6)-Inputs!$C$30)^2)/(2*Inputs!$C$32^2))+-Inputs!$C$33*EXP(-((((((Inputs!$I$7+(((A122)+1)/2)*(Inputs!$J$7-Inputs!$I$7)))-Inputs!$C$34)^2)+(((Inputs!$C$6)-Inputs!$C$35)^2))/(2*Inputs!$C$36^2)))+Inputs!$C$37*(0.55*SIN(2*PI()*((Inputs!$I$7+(((A122)+1)/2)*(Inputs!$J$7-Inputs!$I$7)))/Inputs!$C$39)+0.35*COS(2*PI()*(Inputs!$C$6)/Inputs!$C$40)+0.2*SIN(2*PI()*(((Inputs!$I$7+(((A122)+1)/2)*(Inputs!$J$7-Inputs!$I$7)))+(Inputs!$C$6))/(0.5*(Inputs!$C$39+Inputs!$C$40))))+Inputs!$C$38*SIN(2*PI()*((Inputs!$I$7+(((A122)+1)/2)*(Inputs!$J$7-Inputs!$I$7)))/Inputs!$C$39)*SIN(2*PI()*(Inputs!$C$6)/Inputs!$C$40)+-Inputs!$C$41*EXP(-(((Inputs!$C$6)-Inputs!$C$43)^2)/(2*Inputs!$C$44^2))*EXP(-((((Inputs!$I$7+(((A122)+1)/2)*(Inputs!$J$7-Inputs!$I$7)))-Inputs!$C$42)^2)/(2*Inputs!$C$45^2))+Inputs!$C$48*(0.7*(0.45*SIN(2*PI()*((((Inputs!$I$7+(((A122)+1)/2)*(Inputs!$J$7-Inputs!$I$7)))/Inputs!$C$49)+Inputs!$C$47*0.137))+0.35*COS(2*PI()*(((Inputs!$C$6)/Inputs!$C$50)+Inputs!$C$47*0.173))+0.2*SIN(2*PI()*((((Inputs!$I$7+(((A122)+1)/2)*(Inputs!$J$7-Inputs!$I$7)))+(Inputs!$C$6))/(0.5*(Inputs!$C$49+Inputs!$C$50))+Inputs!$C$47*0.097)))+0.3*(2*((SIN((((Inputs!$I$7+(((A122)+1)/2)*(Inputs!$J$7-Inputs!$I$7)))*12.9898+(Inputs!$C$6)*78.233+Inputs!$C$47*37.719))*43758.5453)-INT((SIN((((Inputs!$I$7+(((A122)+1)/2)*(Inputs!$J$7-Inputs!$I$7)))*12.9898+(Inputs!$C$6)*78.233+Inputs!$C$47*37.719))*43758.5453)))-1))),NA())</f>
        <v/>
      </c>
      <c r="AU122" s="9">
        <f>IF(OR(Inputs!$F$8=TRUE,Inputs!$F$8="TRUE",Inputs!$F$8=1),IF(OR(Inputs!$C$27=TRUE,Inputs!$C$27="TRUE",Inputs!$C$27=1),1,0)*(Inputs!$C$51*(115*EXP(-(((Inputs!$C$6)-25)^2)/(4.5^2))+70*EXP(-(((Inputs!$C$6)+38)^2)/(7^2))*(0.55+0.45*SIN(2*PI()*((Inputs!$I$8+(((A122)+1)/2)*(Inputs!$J$8-Inputs!$I$8)))/45))+24*SIN(2*PI()*(Inputs!$C$6)/9+((Inputs!$I$8+(((A122)+1)/2)*(Inputs!$J$8-Inputs!$I$8)))/18)*EXP(-(((Inputs!$C$6)+5)^2)/(22^2))+18*SIN(2*PI()*((Inputs!$I$8+(((A122)+1)/2)*(Inputs!$J$8-Inputs!$I$8)))/70))+Inputs!$C$28*EXP(-((((Inputs!$I$8+(((A122)+1)/2)*(Inputs!$J$8-Inputs!$I$8)))-Inputs!$C$29)^2)/(2*Inputs!$C$31^2))*EXP(-(((Inputs!$C$6)-Inputs!$C$30)^2)/(2*Inputs!$C$32^2))+-Inputs!$C$33*EXP(-((((((Inputs!$I$8+(((A122)+1)/2)*(Inputs!$J$8-Inputs!$I$8)))-Inputs!$C$34)^2)+(((Inputs!$C$6)-Inputs!$C$35)^2))/(2*Inputs!$C$36^2)))+Inputs!$C$37*(0.55*SIN(2*PI()*((Inputs!$I$8+(((A122)+1)/2)*(Inputs!$J$8-Inputs!$I$8)))/Inputs!$C$39)+0.35*COS(2*PI()*(Inputs!$C$6)/Inputs!$C$40)+0.2*SIN(2*PI()*(((Inputs!$I$8+(((A122)+1)/2)*(Inputs!$J$8-Inputs!$I$8)))+(Inputs!$C$6))/(0.5*(Inputs!$C$39+Inputs!$C$40))))+Inputs!$C$38*SIN(2*PI()*((Inputs!$I$8+(((A122)+1)/2)*(Inputs!$J$8-Inputs!$I$8)))/Inputs!$C$39)*SIN(2*PI()*(Inputs!$C$6)/Inputs!$C$40)+-Inputs!$C$41*EXP(-(((Inputs!$C$6)-Inputs!$C$43)^2)/(2*Inputs!$C$44^2))*EXP(-((((Inputs!$I$8+(((A122)+1)/2)*(Inputs!$J$8-Inputs!$I$8)))-Inputs!$C$42)^2)/(2*Inputs!$C$45^2))+Inputs!$C$48*(0.7*(0.45*SIN(2*PI()*((((Inputs!$I$8+(((A122)+1)/2)*(Inputs!$J$8-Inputs!$I$8)))/Inputs!$C$49)+Inputs!$C$47*0.137))+0.35*COS(2*PI()*(((Inputs!$C$6)/Inputs!$C$50)+Inputs!$C$47*0.173))+0.2*SIN(2*PI()*((((Inputs!$I$8+(((A122)+1)/2)*(Inputs!$J$8-Inputs!$I$8)))+(Inputs!$C$6))/(0.5*(Inputs!$C$49+Inputs!$C$50))+Inputs!$C$47*0.097)))+0.3*(2*((SIN((((Inputs!$I$8+(((A122)+1)/2)*(Inputs!$J$8-Inputs!$I$8)))*12.9898+(Inputs!$C$6)*78.233+Inputs!$C$47*37.719))*43758.5453)-INT((SIN((((Inputs!$I$8+(((A122)+1)/2)*(Inputs!$J$8-Inputs!$I$8)))*12.9898+(Inputs!$C$6)*78.233+Inputs!$C$47*37.719))*43758.5453)))-1))),NA())</f>
        <v/>
      </c>
      <c r="AV122" s="9">
        <f>IF(OR(Inputs!$F$9=TRUE,Inputs!$F$9="TRUE",Inputs!$F$9=1),IF(OR(Inputs!$C$27=TRUE,Inputs!$C$27="TRUE",Inputs!$C$27=1),1,0)*(Inputs!$C$51*(115*EXP(-(((Inputs!$C$6)-25)^2)/(4.5^2))+70*EXP(-(((Inputs!$C$6)+38)^2)/(7^2))*(0.55+0.45*SIN(2*PI()*((Inputs!$I$9+(((A122)+1)/2)*(Inputs!$J$9-Inputs!$I$9)))/45))+24*SIN(2*PI()*(Inputs!$C$6)/9+((Inputs!$I$9+(((A122)+1)/2)*(Inputs!$J$9-Inputs!$I$9)))/18)*EXP(-(((Inputs!$C$6)+5)^2)/(22^2))+18*SIN(2*PI()*((Inputs!$I$9+(((A122)+1)/2)*(Inputs!$J$9-Inputs!$I$9)))/70))+Inputs!$C$28*EXP(-((((Inputs!$I$9+(((A122)+1)/2)*(Inputs!$J$9-Inputs!$I$9)))-Inputs!$C$29)^2)/(2*Inputs!$C$31^2))*EXP(-(((Inputs!$C$6)-Inputs!$C$30)^2)/(2*Inputs!$C$32^2))+-Inputs!$C$33*EXP(-((((((Inputs!$I$9+(((A122)+1)/2)*(Inputs!$J$9-Inputs!$I$9)))-Inputs!$C$34)^2)+(((Inputs!$C$6)-Inputs!$C$35)^2))/(2*Inputs!$C$36^2)))+Inputs!$C$37*(0.55*SIN(2*PI()*((Inputs!$I$9+(((A122)+1)/2)*(Inputs!$J$9-Inputs!$I$9)))/Inputs!$C$39)+0.35*COS(2*PI()*(Inputs!$C$6)/Inputs!$C$40)+0.2*SIN(2*PI()*(((Inputs!$I$9+(((A122)+1)/2)*(Inputs!$J$9-Inputs!$I$9)))+(Inputs!$C$6))/(0.5*(Inputs!$C$39+Inputs!$C$40))))+Inputs!$C$38*SIN(2*PI()*((Inputs!$I$9+(((A122)+1)/2)*(Inputs!$J$9-Inputs!$I$9)))/Inputs!$C$39)*SIN(2*PI()*(Inputs!$C$6)/Inputs!$C$40)+-Inputs!$C$41*EXP(-(((Inputs!$C$6)-Inputs!$C$43)^2)/(2*Inputs!$C$44^2))*EXP(-((((Inputs!$I$9+(((A122)+1)/2)*(Inputs!$J$9-Inputs!$I$9)))-Inputs!$C$42)^2)/(2*Inputs!$C$45^2))+Inputs!$C$48*(0.7*(0.45*SIN(2*PI()*((((Inputs!$I$9+(((A122)+1)/2)*(Inputs!$J$9-Inputs!$I$9)))/Inputs!$C$49)+Inputs!$C$47*0.137))+0.35*COS(2*PI()*(((Inputs!$C$6)/Inputs!$C$50)+Inputs!$C$47*0.173))+0.2*SIN(2*PI()*((((Inputs!$I$9+(((A122)+1)/2)*(Inputs!$J$9-Inputs!$I$9)))+(Inputs!$C$6))/(0.5*(Inputs!$C$49+Inputs!$C$50))+Inputs!$C$47*0.097)))+0.3*(2*((SIN((((Inputs!$I$9+(((A122)+1)/2)*(Inputs!$J$9-Inputs!$I$9)))*12.9898+(Inputs!$C$6)*78.233+Inputs!$C$47*37.719))*43758.5453)-INT((SIN((((Inputs!$I$9+(((A122)+1)/2)*(Inputs!$J$9-Inputs!$I$9)))*12.9898+(Inputs!$C$6)*78.233+Inputs!$C$47*37.719))*43758.5453)))-1))),NA())</f>
        <v/>
      </c>
      <c r="AW122" s="10" t="n"/>
      <c r="AX122" s="9">
        <f>A122</f>
        <v/>
      </c>
      <c r="AY122" s="9">
        <f>0</f>
        <v/>
      </c>
      <c r="AZ122" s="9">
        <f>IF(OR(Inputs!$F$6=TRUE,Inputs!$F$6="TRUE",Inputs!$F$6=1),(Inputs!$H$6+Inputs!$L$6*(((Inputs!$I$6+(((A122)+1)/2)*(Inputs!$J$6-Inputs!$I$6)))/Inputs!$K$6)^2),NA())</f>
        <v/>
      </c>
      <c r="BA122" s="9">
        <f>IF(OR(Inputs!$F$7=TRUE,Inputs!$F$7="TRUE",Inputs!$F$7=1),(Inputs!$H$7+Inputs!$L$7*(((Inputs!$I$7+(((A122)+1)/2)*(Inputs!$J$7-Inputs!$I$7)))/Inputs!$K$7)^2),NA())</f>
        <v/>
      </c>
      <c r="BB122" s="9">
        <f>IF(OR(Inputs!$F$8=TRUE,Inputs!$F$8="TRUE",Inputs!$F$8=1),(Inputs!$H$8+Inputs!$L$8*(((Inputs!$I$8+(((A122)+1)/2)*(Inputs!$J$8-Inputs!$I$8)))/Inputs!$K$8)^2),NA())</f>
        <v/>
      </c>
      <c r="BC122" s="9">
        <f>IF(OR(Inputs!$F$9=TRUE,Inputs!$F$9="TRUE",Inputs!$F$9=1),(Inputs!$H$9+Inputs!$L$9*(((Inputs!$I$9+(((A122)+1)/2)*(Inputs!$J$9-Inputs!$I$9)))/Inputs!$K$9)^2),NA())</f>
        <v/>
      </c>
      <c r="BD122" s="10" t="n"/>
      <c r="BE122" s="9">
        <f>A122</f>
        <v/>
      </c>
      <c r="BF122" s="9">
        <f>0</f>
        <v/>
      </c>
      <c r="BG122" s="9">
        <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f>
        <v/>
      </c>
      <c r="BH122" s="9">
        <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f>
        <v/>
      </c>
      <c r="BI122" s="9">
        <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f>
        <v/>
      </c>
      <c r="BJ122" s="9">
        <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f>
        <v/>
      </c>
    </row>
    <row r="123">
      <c r="A123" s="9">
        <f>ROUND(-1+121*2/240,3)</f>
        <v/>
      </c>
      <c r="B123" s="9">
        <f>IF(OR(Inputs!$F$6=TRUE,Inputs!$F$6="TRUE",Inputs!$F$6=1),(Inputs!$H$6+Inputs!$L$6*(((Inputs!$I$6+(((A123)+1)/2)*(Inputs!$J$6-Inputs!$I$6)))/Inputs!$K$6)^2),NA())</f>
        <v/>
      </c>
      <c r="C123" s="9">
        <f>IF(OR(Inputs!$F$7=TRUE,Inputs!$F$7="TRUE",Inputs!$F$7=1),(Inputs!$H$7+Inputs!$L$7*(((Inputs!$I$7+(((A123)+1)/2)*(Inputs!$J$7-Inputs!$I$7)))/Inputs!$K$7)^2),NA())</f>
        <v/>
      </c>
      <c r="D123" s="9">
        <f>IF(OR(Inputs!$F$8=TRUE,Inputs!$F$8="TRUE",Inputs!$F$8=1),(Inputs!$H$8+Inputs!$L$8*(((Inputs!$I$8+(((A123)+1)/2)*(Inputs!$J$8-Inputs!$I$8)))/Inputs!$K$8)^2),NA())</f>
        <v/>
      </c>
      <c r="E123" s="9">
        <f>IF(OR(Inputs!$F$9=TRUE,Inputs!$F$9="TRUE",Inputs!$F$9=1),(Inputs!$H$9+Inputs!$L$9*(((Inputs!$I$9+(((A123)+1)/2)*(Inputs!$J$9-Inputs!$I$9)))/Inputs!$K$9)^2),NA())</f>
        <v/>
      </c>
      <c r="F123" s="10" t="n"/>
      <c r="G123" s="9">
        <f>A123</f>
        <v/>
      </c>
      <c r="H123" s="9">
        <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f>
        <v/>
      </c>
      <c r="I123" s="9">
        <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f>
        <v/>
      </c>
      <c r="J123" s="9">
        <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f>
        <v/>
      </c>
      <c r="K123" s="9">
        <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f>
        <v/>
      </c>
      <c r="L123" s="10" t="n"/>
      <c r="M123" s="9">
        <f>A123</f>
        <v/>
      </c>
      <c r="N123" s="9">
        <f>IF(OR(Inputs!$F$6=TRUE,Inputs!$F$6="TRUE",Inputs!$F$6=1),(-2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NA())</f>
        <v/>
      </c>
      <c r="O123" s="9">
        <f>IF(OR(Inputs!$F$7=TRUE,Inputs!$F$7="TRUE",Inputs!$F$7=1),(-2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NA())</f>
        <v/>
      </c>
      <c r="P123" s="9">
        <f>IF(OR(Inputs!$F$8=TRUE,Inputs!$F$8="TRUE",Inputs!$F$8=1),(-2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NA())</f>
        <v/>
      </c>
      <c r="Q123" s="9">
        <f>IF(OR(Inputs!$F$9=TRUE,Inputs!$F$9="TRUE",Inputs!$F$9=1),(-2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NA())</f>
        <v/>
      </c>
      <c r="R123" s="10" t="n"/>
      <c r="S123" s="9">
        <f>A123</f>
        <v/>
      </c>
      <c r="T123" s="9">
        <f>(Inputs!$I$6+(((A123)+1)/2)*(Inputs!$J$6-Inputs!$I$6))</f>
        <v/>
      </c>
      <c r="U123" s="9">
        <f>(Inputs!$I$7+(((A123)+1)/2)*(Inputs!$J$7-Inputs!$I$7))</f>
        <v/>
      </c>
      <c r="V123" s="9">
        <f>(Inputs!$I$8+(((A123)+1)/2)*(Inputs!$J$8-Inputs!$I$8))</f>
        <v/>
      </c>
      <c r="W123" s="9">
        <f>(Inputs!$I$9+(((A123)+1)/2)*(Inputs!$J$9-Inputs!$I$9))</f>
        <v/>
      </c>
      <c r="X123" s="10" t="n"/>
      <c r="Y123" s="9">
        <f>A123</f>
        <v/>
      </c>
      <c r="Z123" s="9">
        <f>(Inputs!$H$6+Inputs!$L$6*(((Inputs!$I$6+(((A123)+1)/2)*(Inputs!$J$6-Inputs!$I$6)))/Inputs!$K$6)^2)</f>
        <v/>
      </c>
      <c r="AA123" s="9">
        <f>(Inputs!$H$7+Inputs!$L$7*(((Inputs!$I$7+(((A123)+1)/2)*(Inputs!$J$7-Inputs!$I$7)))/Inputs!$K$7)^2)</f>
        <v/>
      </c>
      <c r="AB123" s="9">
        <f>(Inputs!$H$8+Inputs!$L$8*(((Inputs!$I$8+(((A123)+1)/2)*(Inputs!$J$8-Inputs!$I$8)))/Inputs!$K$8)^2)</f>
        <v/>
      </c>
      <c r="AC123" s="9">
        <f>(Inputs!$H$9+Inputs!$L$9*(((Inputs!$I$9+(((A123)+1)/2)*(Inputs!$J$9-Inputs!$I$9)))/Inputs!$K$9)^2)</f>
        <v/>
      </c>
      <c r="AD123" s="10" t="n"/>
      <c r="AE123" s="9">
        <f>A123</f>
        <v/>
      </c>
      <c r="AF123" s="9">
        <f>(((SQRT((Inputs!$C$52+((Inputs!$H$6+Inputs!$L$6*(((Inputs!$I$6+(((A123)+1)/2)*(Inputs!$J$6-Inputs!$I$6)))/Inputs!$K$6)^2)))^2+Inputs!$C$52^2-2*(Inputs!$C$52+((Inputs!$H$6+Inputs!$L$6*(((Inputs!$I$6+(((A123)+1)/2)*(Inputs!$J$6-Inputs!$I$6)))/Inputs!$K$6)^2)))*Inputs!$C$52*COS(SQRT(((Inputs!$I$6+(((A123)+1)/2)*(Inputs!$J$6-Inputs!$I$6)))^2+Inputs!$C$6^2)/Inputs!$C$52)))-((Inputs!$H$6+Inputs!$L$6*(((Inputs!$I$6+(((A123)+1)/2)*(Inputs!$J$6-Inputs!$I$6)))/Inputs!$K$6)^2)))*1000/Inputs!$C$12)</f>
        <v/>
      </c>
      <c r="AG123" s="9">
        <f>(((SQRT((Inputs!$C$52+((Inputs!$H$7+Inputs!$L$7*(((Inputs!$I$7+(((A123)+1)/2)*(Inputs!$J$7-Inputs!$I$7)))/Inputs!$K$7)^2)))^2+Inputs!$C$52^2-2*(Inputs!$C$52+((Inputs!$H$7+Inputs!$L$7*(((Inputs!$I$7+(((A123)+1)/2)*(Inputs!$J$7-Inputs!$I$7)))/Inputs!$K$7)^2)))*Inputs!$C$52*COS(SQRT(((Inputs!$I$7+(((A123)+1)/2)*(Inputs!$J$7-Inputs!$I$7)))^2+Inputs!$C$6^2)/Inputs!$C$52)))-((Inputs!$H$7+Inputs!$L$7*(((Inputs!$I$7+(((A123)+1)/2)*(Inputs!$J$7-Inputs!$I$7)))/Inputs!$K$7)^2)))*1000/Inputs!$C$12)</f>
        <v/>
      </c>
      <c r="AH123" s="9">
        <f>(((SQRT((Inputs!$C$52+((Inputs!$H$8+Inputs!$L$8*(((Inputs!$I$8+(((A123)+1)/2)*(Inputs!$J$8-Inputs!$I$8)))/Inputs!$K$8)^2)))^2+Inputs!$C$52^2-2*(Inputs!$C$52+((Inputs!$H$8+Inputs!$L$8*(((Inputs!$I$8+(((A123)+1)/2)*(Inputs!$J$8-Inputs!$I$8)))/Inputs!$K$8)^2)))*Inputs!$C$52*COS(SQRT(((Inputs!$I$8+(((A123)+1)/2)*(Inputs!$J$8-Inputs!$I$8)))^2+Inputs!$C$6^2)/Inputs!$C$52)))-((Inputs!$H$8+Inputs!$L$8*(((Inputs!$I$8+(((A123)+1)/2)*(Inputs!$J$8-Inputs!$I$8)))/Inputs!$K$8)^2)))*1000/Inputs!$C$12)</f>
        <v/>
      </c>
      <c r="AI123" s="9">
        <f>(((SQRT((Inputs!$C$52+((Inputs!$H$9+Inputs!$L$9*(((Inputs!$I$9+(((A123)+1)/2)*(Inputs!$J$9-Inputs!$I$9)))/Inputs!$K$9)^2)))^2+Inputs!$C$52^2-2*(Inputs!$C$52+((Inputs!$H$9+Inputs!$L$9*(((Inputs!$I$9+(((A123)+1)/2)*(Inputs!$J$9-Inputs!$I$9)))/Inputs!$K$9)^2)))*Inputs!$C$52*COS(SQRT(((Inputs!$I$9+(((A123)+1)/2)*(Inputs!$J$9-Inputs!$I$9)))^2+Inputs!$C$6^2)/Inputs!$C$52)))-((Inputs!$H$9+Inputs!$L$9*(((Inputs!$I$9+(((A123)+1)/2)*(Inputs!$J$9-Inputs!$I$9)))/Inputs!$K$9)^2)))*1000/Inputs!$C$12)</f>
        <v/>
      </c>
      <c r="AJ123" s="10" t="n"/>
      <c r="AK123" s="9">
        <f>A123</f>
        <v/>
      </c>
      <c r="AL123" s="9">
        <f>(-2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f>
        <v/>
      </c>
      <c r="AM123" s="9">
        <f>(-2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f>
        <v/>
      </c>
      <c r="AN123" s="9">
        <f>(-2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f>
        <v/>
      </c>
      <c r="AO123" s="9">
        <f>(-2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f>
        <v/>
      </c>
      <c r="AP123" s="10" t="n"/>
      <c r="AQ123" s="9">
        <f>A123</f>
        <v/>
      </c>
      <c r="AR123" s="9">
        <f>0</f>
        <v/>
      </c>
      <c r="AS123" s="9">
        <f>IF(OR(Inputs!$F$6=TRUE,Inputs!$F$6="TRUE",Inputs!$F$6=1),IF(OR(Inputs!$C$27=TRUE,Inputs!$C$27="TRUE",Inputs!$C$27=1),1,0)*(Inputs!$C$51*(115*EXP(-(((Inputs!$C$6)-25)^2)/(4.5^2))+70*EXP(-(((Inputs!$C$6)+38)^2)/(7^2))*(0.55+0.45*SIN(2*PI()*((Inputs!$I$6+(((A123)+1)/2)*(Inputs!$J$6-Inputs!$I$6)))/45))+24*SIN(2*PI()*(Inputs!$C$6)/9+((Inputs!$I$6+(((A123)+1)/2)*(Inputs!$J$6-Inputs!$I$6)))/18)*EXP(-(((Inputs!$C$6)+5)^2)/(22^2))+18*SIN(2*PI()*((Inputs!$I$6+(((A123)+1)/2)*(Inputs!$J$6-Inputs!$I$6)))/70))+Inputs!$C$28*EXP(-((((Inputs!$I$6+(((A123)+1)/2)*(Inputs!$J$6-Inputs!$I$6)))-Inputs!$C$29)^2)/(2*Inputs!$C$31^2))*EXP(-(((Inputs!$C$6)-Inputs!$C$30)^2)/(2*Inputs!$C$32^2))+-Inputs!$C$33*EXP(-((((((Inputs!$I$6+(((A123)+1)/2)*(Inputs!$J$6-Inputs!$I$6)))-Inputs!$C$34)^2)+(((Inputs!$C$6)-Inputs!$C$35)^2))/(2*Inputs!$C$36^2)))+Inputs!$C$37*(0.55*SIN(2*PI()*((Inputs!$I$6+(((A123)+1)/2)*(Inputs!$J$6-Inputs!$I$6)))/Inputs!$C$39)+0.35*COS(2*PI()*(Inputs!$C$6)/Inputs!$C$40)+0.2*SIN(2*PI()*(((Inputs!$I$6+(((A123)+1)/2)*(Inputs!$J$6-Inputs!$I$6)))+(Inputs!$C$6))/(0.5*(Inputs!$C$39+Inputs!$C$40))))+Inputs!$C$38*SIN(2*PI()*((Inputs!$I$6+(((A123)+1)/2)*(Inputs!$J$6-Inputs!$I$6)))/Inputs!$C$39)*SIN(2*PI()*(Inputs!$C$6)/Inputs!$C$40)+-Inputs!$C$41*EXP(-(((Inputs!$C$6)-Inputs!$C$43)^2)/(2*Inputs!$C$44^2))*EXP(-((((Inputs!$I$6+(((A123)+1)/2)*(Inputs!$J$6-Inputs!$I$6)))-Inputs!$C$42)^2)/(2*Inputs!$C$45^2))+Inputs!$C$48*(0.7*(0.45*SIN(2*PI()*((((Inputs!$I$6+(((A123)+1)/2)*(Inputs!$J$6-Inputs!$I$6)))/Inputs!$C$49)+Inputs!$C$47*0.137))+0.35*COS(2*PI()*(((Inputs!$C$6)/Inputs!$C$50)+Inputs!$C$47*0.173))+0.2*SIN(2*PI()*((((Inputs!$I$6+(((A123)+1)/2)*(Inputs!$J$6-Inputs!$I$6)))+(Inputs!$C$6))/(0.5*(Inputs!$C$49+Inputs!$C$50))+Inputs!$C$47*0.097)))+0.3*(2*((SIN((((Inputs!$I$6+(((A123)+1)/2)*(Inputs!$J$6-Inputs!$I$6)))*12.9898+(Inputs!$C$6)*78.233+Inputs!$C$47*37.719))*43758.5453)-INT((SIN((((Inputs!$I$6+(((A123)+1)/2)*(Inputs!$J$6-Inputs!$I$6)))*12.9898+(Inputs!$C$6)*78.233+Inputs!$C$47*37.719))*43758.5453)))-1))),NA())</f>
        <v/>
      </c>
      <c r="AT123" s="9">
        <f>IF(OR(Inputs!$F$7=TRUE,Inputs!$F$7="TRUE",Inputs!$F$7=1),IF(OR(Inputs!$C$27=TRUE,Inputs!$C$27="TRUE",Inputs!$C$27=1),1,0)*(Inputs!$C$51*(115*EXP(-(((Inputs!$C$6)-25)^2)/(4.5^2))+70*EXP(-(((Inputs!$C$6)+38)^2)/(7^2))*(0.55+0.45*SIN(2*PI()*((Inputs!$I$7+(((A123)+1)/2)*(Inputs!$J$7-Inputs!$I$7)))/45))+24*SIN(2*PI()*(Inputs!$C$6)/9+((Inputs!$I$7+(((A123)+1)/2)*(Inputs!$J$7-Inputs!$I$7)))/18)*EXP(-(((Inputs!$C$6)+5)^2)/(22^2))+18*SIN(2*PI()*((Inputs!$I$7+(((A123)+1)/2)*(Inputs!$J$7-Inputs!$I$7)))/70))+Inputs!$C$28*EXP(-((((Inputs!$I$7+(((A123)+1)/2)*(Inputs!$J$7-Inputs!$I$7)))-Inputs!$C$29)^2)/(2*Inputs!$C$31^2))*EXP(-(((Inputs!$C$6)-Inputs!$C$30)^2)/(2*Inputs!$C$32^2))+-Inputs!$C$33*EXP(-((((((Inputs!$I$7+(((A123)+1)/2)*(Inputs!$J$7-Inputs!$I$7)))-Inputs!$C$34)^2)+(((Inputs!$C$6)-Inputs!$C$35)^2))/(2*Inputs!$C$36^2)))+Inputs!$C$37*(0.55*SIN(2*PI()*((Inputs!$I$7+(((A123)+1)/2)*(Inputs!$J$7-Inputs!$I$7)))/Inputs!$C$39)+0.35*COS(2*PI()*(Inputs!$C$6)/Inputs!$C$40)+0.2*SIN(2*PI()*(((Inputs!$I$7+(((A123)+1)/2)*(Inputs!$J$7-Inputs!$I$7)))+(Inputs!$C$6))/(0.5*(Inputs!$C$39+Inputs!$C$40))))+Inputs!$C$38*SIN(2*PI()*((Inputs!$I$7+(((A123)+1)/2)*(Inputs!$J$7-Inputs!$I$7)))/Inputs!$C$39)*SIN(2*PI()*(Inputs!$C$6)/Inputs!$C$40)+-Inputs!$C$41*EXP(-(((Inputs!$C$6)-Inputs!$C$43)^2)/(2*Inputs!$C$44^2))*EXP(-((((Inputs!$I$7+(((A123)+1)/2)*(Inputs!$J$7-Inputs!$I$7)))-Inputs!$C$42)^2)/(2*Inputs!$C$45^2))+Inputs!$C$48*(0.7*(0.45*SIN(2*PI()*((((Inputs!$I$7+(((A123)+1)/2)*(Inputs!$J$7-Inputs!$I$7)))/Inputs!$C$49)+Inputs!$C$47*0.137))+0.35*COS(2*PI()*(((Inputs!$C$6)/Inputs!$C$50)+Inputs!$C$47*0.173))+0.2*SIN(2*PI()*((((Inputs!$I$7+(((A123)+1)/2)*(Inputs!$J$7-Inputs!$I$7)))+(Inputs!$C$6))/(0.5*(Inputs!$C$49+Inputs!$C$50))+Inputs!$C$47*0.097)))+0.3*(2*((SIN((((Inputs!$I$7+(((A123)+1)/2)*(Inputs!$J$7-Inputs!$I$7)))*12.9898+(Inputs!$C$6)*78.233+Inputs!$C$47*37.719))*43758.5453)-INT((SIN((((Inputs!$I$7+(((A123)+1)/2)*(Inputs!$J$7-Inputs!$I$7)))*12.9898+(Inputs!$C$6)*78.233+Inputs!$C$47*37.719))*43758.5453)))-1))),NA())</f>
        <v/>
      </c>
      <c r="AU123" s="9">
        <f>IF(OR(Inputs!$F$8=TRUE,Inputs!$F$8="TRUE",Inputs!$F$8=1),IF(OR(Inputs!$C$27=TRUE,Inputs!$C$27="TRUE",Inputs!$C$27=1),1,0)*(Inputs!$C$51*(115*EXP(-(((Inputs!$C$6)-25)^2)/(4.5^2))+70*EXP(-(((Inputs!$C$6)+38)^2)/(7^2))*(0.55+0.45*SIN(2*PI()*((Inputs!$I$8+(((A123)+1)/2)*(Inputs!$J$8-Inputs!$I$8)))/45))+24*SIN(2*PI()*(Inputs!$C$6)/9+((Inputs!$I$8+(((A123)+1)/2)*(Inputs!$J$8-Inputs!$I$8)))/18)*EXP(-(((Inputs!$C$6)+5)^2)/(22^2))+18*SIN(2*PI()*((Inputs!$I$8+(((A123)+1)/2)*(Inputs!$J$8-Inputs!$I$8)))/70))+Inputs!$C$28*EXP(-((((Inputs!$I$8+(((A123)+1)/2)*(Inputs!$J$8-Inputs!$I$8)))-Inputs!$C$29)^2)/(2*Inputs!$C$31^2))*EXP(-(((Inputs!$C$6)-Inputs!$C$30)^2)/(2*Inputs!$C$32^2))+-Inputs!$C$33*EXP(-((((((Inputs!$I$8+(((A123)+1)/2)*(Inputs!$J$8-Inputs!$I$8)))-Inputs!$C$34)^2)+(((Inputs!$C$6)-Inputs!$C$35)^2))/(2*Inputs!$C$36^2)))+Inputs!$C$37*(0.55*SIN(2*PI()*((Inputs!$I$8+(((A123)+1)/2)*(Inputs!$J$8-Inputs!$I$8)))/Inputs!$C$39)+0.35*COS(2*PI()*(Inputs!$C$6)/Inputs!$C$40)+0.2*SIN(2*PI()*(((Inputs!$I$8+(((A123)+1)/2)*(Inputs!$J$8-Inputs!$I$8)))+(Inputs!$C$6))/(0.5*(Inputs!$C$39+Inputs!$C$40))))+Inputs!$C$38*SIN(2*PI()*((Inputs!$I$8+(((A123)+1)/2)*(Inputs!$J$8-Inputs!$I$8)))/Inputs!$C$39)*SIN(2*PI()*(Inputs!$C$6)/Inputs!$C$40)+-Inputs!$C$41*EXP(-(((Inputs!$C$6)-Inputs!$C$43)^2)/(2*Inputs!$C$44^2))*EXP(-((((Inputs!$I$8+(((A123)+1)/2)*(Inputs!$J$8-Inputs!$I$8)))-Inputs!$C$42)^2)/(2*Inputs!$C$45^2))+Inputs!$C$48*(0.7*(0.45*SIN(2*PI()*((((Inputs!$I$8+(((A123)+1)/2)*(Inputs!$J$8-Inputs!$I$8)))/Inputs!$C$49)+Inputs!$C$47*0.137))+0.35*COS(2*PI()*(((Inputs!$C$6)/Inputs!$C$50)+Inputs!$C$47*0.173))+0.2*SIN(2*PI()*((((Inputs!$I$8+(((A123)+1)/2)*(Inputs!$J$8-Inputs!$I$8)))+(Inputs!$C$6))/(0.5*(Inputs!$C$49+Inputs!$C$50))+Inputs!$C$47*0.097)))+0.3*(2*((SIN((((Inputs!$I$8+(((A123)+1)/2)*(Inputs!$J$8-Inputs!$I$8)))*12.9898+(Inputs!$C$6)*78.233+Inputs!$C$47*37.719))*43758.5453)-INT((SIN((((Inputs!$I$8+(((A123)+1)/2)*(Inputs!$J$8-Inputs!$I$8)))*12.9898+(Inputs!$C$6)*78.233+Inputs!$C$47*37.719))*43758.5453)))-1))),NA())</f>
        <v/>
      </c>
      <c r="AV123" s="9">
        <f>IF(OR(Inputs!$F$9=TRUE,Inputs!$F$9="TRUE",Inputs!$F$9=1),IF(OR(Inputs!$C$27=TRUE,Inputs!$C$27="TRUE",Inputs!$C$27=1),1,0)*(Inputs!$C$51*(115*EXP(-(((Inputs!$C$6)-25)^2)/(4.5^2))+70*EXP(-(((Inputs!$C$6)+38)^2)/(7^2))*(0.55+0.45*SIN(2*PI()*((Inputs!$I$9+(((A123)+1)/2)*(Inputs!$J$9-Inputs!$I$9)))/45))+24*SIN(2*PI()*(Inputs!$C$6)/9+((Inputs!$I$9+(((A123)+1)/2)*(Inputs!$J$9-Inputs!$I$9)))/18)*EXP(-(((Inputs!$C$6)+5)^2)/(22^2))+18*SIN(2*PI()*((Inputs!$I$9+(((A123)+1)/2)*(Inputs!$J$9-Inputs!$I$9)))/70))+Inputs!$C$28*EXP(-((((Inputs!$I$9+(((A123)+1)/2)*(Inputs!$J$9-Inputs!$I$9)))-Inputs!$C$29)^2)/(2*Inputs!$C$31^2))*EXP(-(((Inputs!$C$6)-Inputs!$C$30)^2)/(2*Inputs!$C$32^2))+-Inputs!$C$33*EXP(-((((((Inputs!$I$9+(((A123)+1)/2)*(Inputs!$J$9-Inputs!$I$9)))-Inputs!$C$34)^2)+(((Inputs!$C$6)-Inputs!$C$35)^2))/(2*Inputs!$C$36^2)))+Inputs!$C$37*(0.55*SIN(2*PI()*((Inputs!$I$9+(((A123)+1)/2)*(Inputs!$J$9-Inputs!$I$9)))/Inputs!$C$39)+0.35*COS(2*PI()*(Inputs!$C$6)/Inputs!$C$40)+0.2*SIN(2*PI()*(((Inputs!$I$9+(((A123)+1)/2)*(Inputs!$J$9-Inputs!$I$9)))+(Inputs!$C$6))/(0.5*(Inputs!$C$39+Inputs!$C$40))))+Inputs!$C$38*SIN(2*PI()*((Inputs!$I$9+(((A123)+1)/2)*(Inputs!$J$9-Inputs!$I$9)))/Inputs!$C$39)*SIN(2*PI()*(Inputs!$C$6)/Inputs!$C$40)+-Inputs!$C$41*EXP(-(((Inputs!$C$6)-Inputs!$C$43)^2)/(2*Inputs!$C$44^2))*EXP(-((((Inputs!$I$9+(((A123)+1)/2)*(Inputs!$J$9-Inputs!$I$9)))-Inputs!$C$42)^2)/(2*Inputs!$C$45^2))+Inputs!$C$48*(0.7*(0.45*SIN(2*PI()*((((Inputs!$I$9+(((A123)+1)/2)*(Inputs!$J$9-Inputs!$I$9)))/Inputs!$C$49)+Inputs!$C$47*0.137))+0.35*COS(2*PI()*(((Inputs!$C$6)/Inputs!$C$50)+Inputs!$C$47*0.173))+0.2*SIN(2*PI()*((((Inputs!$I$9+(((A123)+1)/2)*(Inputs!$J$9-Inputs!$I$9)))+(Inputs!$C$6))/(0.5*(Inputs!$C$49+Inputs!$C$50))+Inputs!$C$47*0.097)))+0.3*(2*((SIN((((Inputs!$I$9+(((A123)+1)/2)*(Inputs!$J$9-Inputs!$I$9)))*12.9898+(Inputs!$C$6)*78.233+Inputs!$C$47*37.719))*43758.5453)-INT((SIN((((Inputs!$I$9+(((A123)+1)/2)*(Inputs!$J$9-Inputs!$I$9)))*12.9898+(Inputs!$C$6)*78.233+Inputs!$C$47*37.719))*43758.5453)))-1))),NA())</f>
        <v/>
      </c>
      <c r="AW123" s="10" t="n"/>
      <c r="AX123" s="9">
        <f>A123</f>
        <v/>
      </c>
      <c r="AY123" s="9">
        <f>0</f>
        <v/>
      </c>
      <c r="AZ123" s="9">
        <f>IF(OR(Inputs!$F$6=TRUE,Inputs!$F$6="TRUE",Inputs!$F$6=1),(Inputs!$H$6+Inputs!$L$6*(((Inputs!$I$6+(((A123)+1)/2)*(Inputs!$J$6-Inputs!$I$6)))/Inputs!$K$6)^2),NA())</f>
        <v/>
      </c>
      <c r="BA123" s="9">
        <f>IF(OR(Inputs!$F$7=TRUE,Inputs!$F$7="TRUE",Inputs!$F$7=1),(Inputs!$H$7+Inputs!$L$7*(((Inputs!$I$7+(((A123)+1)/2)*(Inputs!$J$7-Inputs!$I$7)))/Inputs!$K$7)^2),NA())</f>
        <v/>
      </c>
      <c r="BB123" s="9">
        <f>IF(OR(Inputs!$F$8=TRUE,Inputs!$F$8="TRUE",Inputs!$F$8=1),(Inputs!$H$8+Inputs!$L$8*(((Inputs!$I$8+(((A123)+1)/2)*(Inputs!$J$8-Inputs!$I$8)))/Inputs!$K$8)^2),NA())</f>
        <v/>
      </c>
      <c r="BC123" s="9">
        <f>IF(OR(Inputs!$F$9=TRUE,Inputs!$F$9="TRUE",Inputs!$F$9=1),(Inputs!$H$9+Inputs!$L$9*(((Inputs!$I$9+(((A123)+1)/2)*(Inputs!$J$9-Inputs!$I$9)))/Inputs!$K$9)^2),NA())</f>
        <v/>
      </c>
      <c r="BD123" s="10" t="n"/>
      <c r="BE123" s="9">
        <f>A123</f>
        <v/>
      </c>
      <c r="BF123" s="9">
        <f>0</f>
        <v/>
      </c>
      <c r="BG123" s="9">
        <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f>
        <v/>
      </c>
      <c r="BH123" s="9">
        <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f>
        <v/>
      </c>
      <c r="BI123" s="9">
        <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f>
        <v/>
      </c>
      <c r="BJ123" s="9">
        <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f>
        <v/>
      </c>
    </row>
    <row r="124">
      <c r="A124" s="9">
        <f>ROUND(-1+122*2/240,3)</f>
        <v/>
      </c>
      <c r="B124" s="9">
        <f>IF(OR(Inputs!$F$6=TRUE,Inputs!$F$6="TRUE",Inputs!$F$6=1),(Inputs!$H$6+Inputs!$L$6*(((Inputs!$I$6+(((A124)+1)/2)*(Inputs!$J$6-Inputs!$I$6)))/Inputs!$K$6)^2),NA())</f>
        <v/>
      </c>
      <c r="C124" s="9">
        <f>IF(OR(Inputs!$F$7=TRUE,Inputs!$F$7="TRUE",Inputs!$F$7=1),(Inputs!$H$7+Inputs!$L$7*(((Inputs!$I$7+(((A124)+1)/2)*(Inputs!$J$7-Inputs!$I$7)))/Inputs!$K$7)^2),NA())</f>
        <v/>
      </c>
      <c r="D124" s="9">
        <f>IF(OR(Inputs!$F$8=TRUE,Inputs!$F$8="TRUE",Inputs!$F$8=1),(Inputs!$H$8+Inputs!$L$8*(((Inputs!$I$8+(((A124)+1)/2)*(Inputs!$J$8-Inputs!$I$8)))/Inputs!$K$8)^2),NA())</f>
        <v/>
      </c>
      <c r="E124" s="9">
        <f>IF(OR(Inputs!$F$9=TRUE,Inputs!$F$9="TRUE",Inputs!$F$9=1),(Inputs!$H$9+Inputs!$L$9*(((Inputs!$I$9+(((A124)+1)/2)*(Inputs!$J$9-Inputs!$I$9)))/Inputs!$K$9)^2),NA())</f>
        <v/>
      </c>
      <c r="F124" s="10" t="n"/>
      <c r="G124" s="9">
        <f>A124</f>
        <v/>
      </c>
      <c r="H124" s="9">
        <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f>
        <v/>
      </c>
      <c r="I124" s="9">
        <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f>
        <v/>
      </c>
      <c r="J124" s="9">
        <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f>
        <v/>
      </c>
      <c r="K124" s="9">
        <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f>
        <v/>
      </c>
      <c r="L124" s="10" t="n"/>
      <c r="M124" s="9">
        <f>A124</f>
        <v/>
      </c>
      <c r="N124" s="9">
        <f>IF(OR(Inputs!$F$6=TRUE,Inputs!$F$6="TRUE",Inputs!$F$6=1),(-2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NA())</f>
        <v/>
      </c>
      <c r="O124" s="9">
        <f>IF(OR(Inputs!$F$7=TRUE,Inputs!$F$7="TRUE",Inputs!$F$7=1),(-2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NA())</f>
        <v/>
      </c>
      <c r="P124" s="9">
        <f>IF(OR(Inputs!$F$8=TRUE,Inputs!$F$8="TRUE",Inputs!$F$8=1),(-2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NA())</f>
        <v/>
      </c>
      <c r="Q124" s="9">
        <f>IF(OR(Inputs!$F$9=TRUE,Inputs!$F$9="TRUE",Inputs!$F$9=1),(-2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NA())</f>
        <v/>
      </c>
      <c r="R124" s="10" t="n"/>
      <c r="S124" s="9">
        <f>A124</f>
        <v/>
      </c>
      <c r="T124" s="9">
        <f>(Inputs!$I$6+(((A124)+1)/2)*(Inputs!$J$6-Inputs!$I$6))</f>
        <v/>
      </c>
      <c r="U124" s="9">
        <f>(Inputs!$I$7+(((A124)+1)/2)*(Inputs!$J$7-Inputs!$I$7))</f>
        <v/>
      </c>
      <c r="V124" s="9">
        <f>(Inputs!$I$8+(((A124)+1)/2)*(Inputs!$J$8-Inputs!$I$8))</f>
        <v/>
      </c>
      <c r="W124" s="9">
        <f>(Inputs!$I$9+(((A124)+1)/2)*(Inputs!$J$9-Inputs!$I$9))</f>
        <v/>
      </c>
      <c r="X124" s="10" t="n"/>
      <c r="Y124" s="9">
        <f>A124</f>
        <v/>
      </c>
      <c r="Z124" s="9">
        <f>(Inputs!$H$6+Inputs!$L$6*(((Inputs!$I$6+(((A124)+1)/2)*(Inputs!$J$6-Inputs!$I$6)))/Inputs!$K$6)^2)</f>
        <v/>
      </c>
      <c r="AA124" s="9">
        <f>(Inputs!$H$7+Inputs!$L$7*(((Inputs!$I$7+(((A124)+1)/2)*(Inputs!$J$7-Inputs!$I$7)))/Inputs!$K$7)^2)</f>
        <v/>
      </c>
      <c r="AB124" s="9">
        <f>(Inputs!$H$8+Inputs!$L$8*(((Inputs!$I$8+(((A124)+1)/2)*(Inputs!$J$8-Inputs!$I$8)))/Inputs!$K$8)^2)</f>
        <v/>
      </c>
      <c r="AC124" s="9">
        <f>(Inputs!$H$9+Inputs!$L$9*(((Inputs!$I$9+(((A124)+1)/2)*(Inputs!$J$9-Inputs!$I$9)))/Inputs!$K$9)^2)</f>
        <v/>
      </c>
      <c r="AD124" s="10" t="n"/>
      <c r="AE124" s="9">
        <f>A124</f>
        <v/>
      </c>
      <c r="AF124" s="9">
        <f>(((SQRT((Inputs!$C$52+((Inputs!$H$6+Inputs!$L$6*(((Inputs!$I$6+(((A124)+1)/2)*(Inputs!$J$6-Inputs!$I$6)))/Inputs!$K$6)^2)))^2+Inputs!$C$52^2-2*(Inputs!$C$52+((Inputs!$H$6+Inputs!$L$6*(((Inputs!$I$6+(((A124)+1)/2)*(Inputs!$J$6-Inputs!$I$6)))/Inputs!$K$6)^2)))*Inputs!$C$52*COS(SQRT(((Inputs!$I$6+(((A124)+1)/2)*(Inputs!$J$6-Inputs!$I$6)))^2+Inputs!$C$6^2)/Inputs!$C$52)))-((Inputs!$H$6+Inputs!$L$6*(((Inputs!$I$6+(((A124)+1)/2)*(Inputs!$J$6-Inputs!$I$6)))/Inputs!$K$6)^2)))*1000/Inputs!$C$12)</f>
        <v/>
      </c>
      <c r="AG124" s="9">
        <f>(((SQRT((Inputs!$C$52+((Inputs!$H$7+Inputs!$L$7*(((Inputs!$I$7+(((A124)+1)/2)*(Inputs!$J$7-Inputs!$I$7)))/Inputs!$K$7)^2)))^2+Inputs!$C$52^2-2*(Inputs!$C$52+((Inputs!$H$7+Inputs!$L$7*(((Inputs!$I$7+(((A124)+1)/2)*(Inputs!$J$7-Inputs!$I$7)))/Inputs!$K$7)^2)))*Inputs!$C$52*COS(SQRT(((Inputs!$I$7+(((A124)+1)/2)*(Inputs!$J$7-Inputs!$I$7)))^2+Inputs!$C$6^2)/Inputs!$C$52)))-((Inputs!$H$7+Inputs!$L$7*(((Inputs!$I$7+(((A124)+1)/2)*(Inputs!$J$7-Inputs!$I$7)))/Inputs!$K$7)^2)))*1000/Inputs!$C$12)</f>
        <v/>
      </c>
      <c r="AH124" s="9">
        <f>(((SQRT((Inputs!$C$52+((Inputs!$H$8+Inputs!$L$8*(((Inputs!$I$8+(((A124)+1)/2)*(Inputs!$J$8-Inputs!$I$8)))/Inputs!$K$8)^2)))^2+Inputs!$C$52^2-2*(Inputs!$C$52+((Inputs!$H$8+Inputs!$L$8*(((Inputs!$I$8+(((A124)+1)/2)*(Inputs!$J$8-Inputs!$I$8)))/Inputs!$K$8)^2)))*Inputs!$C$52*COS(SQRT(((Inputs!$I$8+(((A124)+1)/2)*(Inputs!$J$8-Inputs!$I$8)))^2+Inputs!$C$6^2)/Inputs!$C$52)))-((Inputs!$H$8+Inputs!$L$8*(((Inputs!$I$8+(((A124)+1)/2)*(Inputs!$J$8-Inputs!$I$8)))/Inputs!$K$8)^2)))*1000/Inputs!$C$12)</f>
        <v/>
      </c>
      <c r="AI124" s="9">
        <f>(((SQRT((Inputs!$C$52+((Inputs!$H$9+Inputs!$L$9*(((Inputs!$I$9+(((A124)+1)/2)*(Inputs!$J$9-Inputs!$I$9)))/Inputs!$K$9)^2)))^2+Inputs!$C$52^2-2*(Inputs!$C$52+((Inputs!$H$9+Inputs!$L$9*(((Inputs!$I$9+(((A124)+1)/2)*(Inputs!$J$9-Inputs!$I$9)))/Inputs!$K$9)^2)))*Inputs!$C$52*COS(SQRT(((Inputs!$I$9+(((A124)+1)/2)*(Inputs!$J$9-Inputs!$I$9)))^2+Inputs!$C$6^2)/Inputs!$C$52)))-((Inputs!$H$9+Inputs!$L$9*(((Inputs!$I$9+(((A124)+1)/2)*(Inputs!$J$9-Inputs!$I$9)))/Inputs!$K$9)^2)))*1000/Inputs!$C$12)</f>
        <v/>
      </c>
      <c r="AJ124" s="10" t="n"/>
      <c r="AK124" s="9">
        <f>A124</f>
        <v/>
      </c>
      <c r="AL124" s="9">
        <f>(-2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f>
        <v/>
      </c>
      <c r="AM124" s="9">
        <f>(-2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f>
        <v/>
      </c>
      <c r="AN124" s="9">
        <f>(-2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f>
        <v/>
      </c>
      <c r="AO124" s="9">
        <f>(-2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f>
        <v/>
      </c>
      <c r="AP124" s="10" t="n"/>
      <c r="AQ124" s="9">
        <f>A124</f>
        <v/>
      </c>
      <c r="AR124" s="9">
        <f>0</f>
        <v/>
      </c>
      <c r="AS124" s="9">
        <f>IF(OR(Inputs!$F$6=TRUE,Inputs!$F$6="TRUE",Inputs!$F$6=1),IF(OR(Inputs!$C$27=TRUE,Inputs!$C$27="TRUE",Inputs!$C$27=1),1,0)*(Inputs!$C$51*(115*EXP(-(((Inputs!$C$6)-25)^2)/(4.5^2))+70*EXP(-(((Inputs!$C$6)+38)^2)/(7^2))*(0.55+0.45*SIN(2*PI()*((Inputs!$I$6+(((A124)+1)/2)*(Inputs!$J$6-Inputs!$I$6)))/45))+24*SIN(2*PI()*(Inputs!$C$6)/9+((Inputs!$I$6+(((A124)+1)/2)*(Inputs!$J$6-Inputs!$I$6)))/18)*EXP(-(((Inputs!$C$6)+5)^2)/(22^2))+18*SIN(2*PI()*((Inputs!$I$6+(((A124)+1)/2)*(Inputs!$J$6-Inputs!$I$6)))/70))+Inputs!$C$28*EXP(-((((Inputs!$I$6+(((A124)+1)/2)*(Inputs!$J$6-Inputs!$I$6)))-Inputs!$C$29)^2)/(2*Inputs!$C$31^2))*EXP(-(((Inputs!$C$6)-Inputs!$C$30)^2)/(2*Inputs!$C$32^2))+-Inputs!$C$33*EXP(-((((((Inputs!$I$6+(((A124)+1)/2)*(Inputs!$J$6-Inputs!$I$6)))-Inputs!$C$34)^2)+(((Inputs!$C$6)-Inputs!$C$35)^2))/(2*Inputs!$C$36^2)))+Inputs!$C$37*(0.55*SIN(2*PI()*((Inputs!$I$6+(((A124)+1)/2)*(Inputs!$J$6-Inputs!$I$6)))/Inputs!$C$39)+0.35*COS(2*PI()*(Inputs!$C$6)/Inputs!$C$40)+0.2*SIN(2*PI()*(((Inputs!$I$6+(((A124)+1)/2)*(Inputs!$J$6-Inputs!$I$6)))+(Inputs!$C$6))/(0.5*(Inputs!$C$39+Inputs!$C$40))))+Inputs!$C$38*SIN(2*PI()*((Inputs!$I$6+(((A124)+1)/2)*(Inputs!$J$6-Inputs!$I$6)))/Inputs!$C$39)*SIN(2*PI()*(Inputs!$C$6)/Inputs!$C$40)+-Inputs!$C$41*EXP(-(((Inputs!$C$6)-Inputs!$C$43)^2)/(2*Inputs!$C$44^2))*EXP(-((((Inputs!$I$6+(((A124)+1)/2)*(Inputs!$J$6-Inputs!$I$6)))-Inputs!$C$42)^2)/(2*Inputs!$C$45^2))+Inputs!$C$48*(0.7*(0.45*SIN(2*PI()*((((Inputs!$I$6+(((A124)+1)/2)*(Inputs!$J$6-Inputs!$I$6)))/Inputs!$C$49)+Inputs!$C$47*0.137))+0.35*COS(2*PI()*(((Inputs!$C$6)/Inputs!$C$50)+Inputs!$C$47*0.173))+0.2*SIN(2*PI()*((((Inputs!$I$6+(((A124)+1)/2)*(Inputs!$J$6-Inputs!$I$6)))+(Inputs!$C$6))/(0.5*(Inputs!$C$49+Inputs!$C$50))+Inputs!$C$47*0.097)))+0.3*(2*((SIN((((Inputs!$I$6+(((A124)+1)/2)*(Inputs!$J$6-Inputs!$I$6)))*12.9898+(Inputs!$C$6)*78.233+Inputs!$C$47*37.719))*43758.5453)-INT((SIN((((Inputs!$I$6+(((A124)+1)/2)*(Inputs!$J$6-Inputs!$I$6)))*12.9898+(Inputs!$C$6)*78.233+Inputs!$C$47*37.719))*43758.5453)))-1))),NA())</f>
        <v/>
      </c>
      <c r="AT124" s="9">
        <f>IF(OR(Inputs!$F$7=TRUE,Inputs!$F$7="TRUE",Inputs!$F$7=1),IF(OR(Inputs!$C$27=TRUE,Inputs!$C$27="TRUE",Inputs!$C$27=1),1,0)*(Inputs!$C$51*(115*EXP(-(((Inputs!$C$6)-25)^2)/(4.5^2))+70*EXP(-(((Inputs!$C$6)+38)^2)/(7^2))*(0.55+0.45*SIN(2*PI()*((Inputs!$I$7+(((A124)+1)/2)*(Inputs!$J$7-Inputs!$I$7)))/45))+24*SIN(2*PI()*(Inputs!$C$6)/9+((Inputs!$I$7+(((A124)+1)/2)*(Inputs!$J$7-Inputs!$I$7)))/18)*EXP(-(((Inputs!$C$6)+5)^2)/(22^2))+18*SIN(2*PI()*((Inputs!$I$7+(((A124)+1)/2)*(Inputs!$J$7-Inputs!$I$7)))/70))+Inputs!$C$28*EXP(-((((Inputs!$I$7+(((A124)+1)/2)*(Inputs!$J$7-Inputs!$I$7)))-Inputs!$C$29)^2)/(2*Inputs!$C$31^2))*EXP(-(((Inputs!$C$6)-Inputs!$C$30)^2)/(2*Inputs!$C$32^2))+-Inputs!$C$33*EXP(-((((((Inputs!$I$7+(((A124)+1)/2)*(Inputs!$J$7-Inputs!$I$7)))-Inputs!$C$34)^2)+(((Inputs!$C$6)-Inputs!$C$35)^2))/(2*Inputs!$C$36^2)))+Inputs!$C$37*(0.55*SIN(2*PI()*((Inputs!$I$7+(((A124)+1)/2)*(Inputs!$J$7-Inputs!$I$7)))/Inputs!$C$39)+0.35*COS(2*PI()*(Inputs!$C$6)/Inputs!$C$40)+0.2*SIN(2*PI()*(((Inputs!$I$7+(((A124)+1)/2)*(Inputs!$J$7-Inputs!$I$7)))+(Inputs!$C$6))/(0.5*(Inputs!$C$39+Inputs!$C$40))))+Inputs!$C$38*SIN(2*PI()*((Inputs!$I$7+(((A124)+1)/2)*(Inputs!$J$7-Inputs!$I$7)))/Inputs!$C$39)*SIN(2*PI()*(Inputs!$C$6)/Inputs!$C$40)+-Inputs!$C$41*EXP(-(((Inputs!$C$6)-Inputs!$C$43)^2)/(2*Inputs!$C$44^2))*EXP(-((((Inputs!$I$7+(((A124)+1)/2)*(Inputs!$J$7-Inputs!$I$7)))-Inputs!$C$42)^2)/(2*Inputs!$C$45^2))+Inputs!$C$48*(0.7*(0.45*SIN(2*PI()*((((Inputs!$I$7+(((A124)+1)/2)*(Inputs!$J$7-Inputs!$I$7)))/Inputs!$C$49)+Inputs!$C$47*0.137))+0.35*COS(2*PI()*(((Inputs!$C$6)/Inputs!$C$50)+Inputs!$C$47*0.173))+0.2*SIN(2*PI()*((((Inputs!$I$7+(((A124)+1)/2)*(Inputs!$J$7-Inputs!$I$7)))+(Inputs!$C$6))/(0.5*(Inputs!$C$49+Inputs!$C$50))+Inputs!$C$47*0.097)))+0.3*(2*((SIN((((Inputs!$I$7+(((A124)+1)/2)*(Inputs!$J$7-Inputs!$I$7)))*12.9898+(Inputs!$C$6)*78.233+Inputs!$C$47*37.719))*43758.5453)-INT((SIN((((Inputs!$I$7+(((A124)+1)/2)*(Inputs!$J$7-Inputs!$I$7)))*12.9898+(Inputs!$C$6)*78.233+Inputs!$C$47*37.719))*43758.5453)))-1))),NA())</f>
        <v/>
      </c>
      <c r="AU124" s="9">
        <f>IF(OR(Inputs!$F$8=TRUE,Inputs!$F$8="TRUE",Inputs!$F$8=1),IF(OR(Inputs!$C$27=TRUE,Inputs!$C$27="TRUE",Inputs!$C$27=1),1,0)*(Inputs!$C$51*(115*EXP(-(((Inputs!$C$6)-25)^2)/(4.5^2))+70*EXP(-(((Inputs!$C$6)+38)^2)/(7^2))*(0.55+0.45*SIN(2*PI()*((Inputs!$I$8+(((A124)+1)/2)*(Inputs!$J$8-Inputs!$I$8)))/45))+24*SIN(2*PI()*(Inputs!$C$6)/9+((Inputs!$I$8+(((A124)+1)/2)*(Inputs!$J$8-Inputs!$I$8)))/18)*EXP(-(((Inputs!$C$6)+5)^2)/(22^2))+18*SIN(2*PI()*((Inputs!$I$8+(((A124)+1)/2)*(Inputs!$J$8-Inputs!$I$8)))/70))+Inputs!$C$28*EXP(-((((Inputs!$I$8+(((A124)+1)/2)*(Inputs!$J$8-Inputs!$I$8)))-Inputs!$C$29)^2)/(2*Inputs!$C$31^2))*EXP(-(((Inputs!$C$6)-Inputs!$C$30)^2)/(2*Inputs!$C$32^2))+-Inputs!$C$33*EXP(-((((((Inputs!$I$8+(((A124)+1)/2)*(Inputs!$J$8-Inputs!$I$8)))-Inputs!$C$34)^2)+(((Inputs!$C$6)-Inputs!$C$35)^2))/(2*Inputs!$C$36^2)))+Inputs!$C$37*(0.55*SIN(2*PI()*((Inputs!$I$8+(((A124)+1)/2)*(Inputs!$J$8-Inputs!$I$8)))/Inputs!$C$39)+0.35*COS(2*PI()*(Inputs!$C$6)/Inputs!$C$40)+0.2*SIN(2*PI()*(((Inputs!$I$8+(((A124)+1)/2)*(Inputs!$J$8-Inputs!$I$8)))+(Inputs!$C$6))/(0.5*(Inputs!$C$39+Inputs!$C$40))))+Inputs!$C$38*SIN(2*PI()*((Inputs!$I$8+(((A124)+1)/2)*(Inputs!$J$8-Inputs!$I$8)))/Inputs!$C$39)*SIN(2*PI()*(Inputs!$C$6)/Inputs!$C$40)+-Inputs!$C$41*EXP(-(((Inputs!$C$6)-Inputs!$C$43)^2)/(2*Inputs!$C$44^2))*EXP(-((((Inputs!$I$8+(((A124)+1)/2)*(Inputs!$J$8-Inputs!$I$8)))-Inputs!$C$42)^2)/(2*Inputs!$C$45^2))+Inputs!$C$48*(0.7*(0.45*SIN(2*PI()*((((Inputs!$I$8+(((A124)+1)/2)*(Inputs!$J$8-Inputs!$I$8)))/Inputs!$C$49)+Inputs!$C$47*0.137))+0.35*COS(2*PI()*(((Inputs!$C$6)/Inputs!$C$50)+Inputs!$C$47*0.173))+0.2*SIN(2*PI()*((((Inputs!$I$8+(((A124)+1)/2)*(Inputs!$J$8-Inputs!$I$8)))+(Inputs!$C$6))/(0.5*(Inputs!$C$49+Inputs!$C$50))+Inputs!$C$47*0.097)))+0.3*(2*((SIN((((Inputs!$I$8+(((A124)+1)/2)*(Inputs!$J$8-Inputs!$I$8)))*12.9898+(Inputs!$C$6)*78.233+Inputs!$C$47*37.719))*43758.5453)-INT((SIN((((Inputs!$I$8+(((A124)+1)/2)*(Inputs!$J$8-Inputs!$I$8)))*12.9898+(Inputs!$C$6)*78.233+Inputs!$C$47*37.719))*43758.5453)))-1))),NA())</f>
        <v/>
      </c>
      <c r="AV124" s="9">
        <f>IF(OR(Inputs!$F$9=TRUE,Inputs!$F$9="TRUE",Inputs!$F$9=1),IF(OR(Inputs!$C$27=TRUE,Inputs!$C$27="TRUE",Inputs!$C$27=1),1,0)*(Inputs!$C$51*(115*EXP(-(((Inputs!$C$6)-25)^2)/(4.5^2))+70*EXP(-(((Inputs!$C$6)+38)^2)/(7^2))*(0.55+0.45*SIN(2*PI()*((Inputs!$I$9+(((A124)+1)/2)*(Inputs!$J$9-Inputs!$I$9)))/45))+24*SIN(2*PI()*(Inputs!$C$6)/9+((Inputs!$I$9+(((A124)+1)/2)*(Inputs!$J$9-Inputs!$I$9)))/18)*EXP(-(((Inputs!$C$6)+5)^2)/(22^2))+18*SIN(2*PI()*((Inputs!$I$9+(((A124)+1)/2)*(Inputs!$J$9-Inputs!$I$9)))/70))+Inputs!$C$28*EXP(-((((Inputs!$I$9+(((A124)+1)/2)*(Inputs!$J$9-Inputs!$I$9)))-Inputs!$C$29)^2)/(2*Inputs!$C$31^2))*EXP(-(((Inputs!$C$6)-Inputs!$C$30)^2)/(2*Inputs!$C$32^2))+-Inputs!$C$33*EXP(-((((((Inputs!$I$9+(((A124)+1)/2)*(Inputs!$J$9-Inputs!$I$9)))-Inputs!$C$34)^2)+(((Inputs!$C$6)-Inputs!$C$35)^2))/(2*Inputs!$C$36^2)))+Inputs!$C$37*(0.55*SIN(2*PI()*((Inputs!$I$9+(((A124)+1)/2)*(Inputs!$J$9-Inputs!$I$9)))/Inputs!$C$39)+0.35*COS(2*PI()*(Inputs!$C$6)/Inputs!$C$40)+0.2*SIN(2*PI()*(((Inputs!$I$9+(((A124)+1)/2)*(Inputs!$J$9-Inputs!$I$9)))+(Inputs!$C$6))/(0.5*(Inputs!$C$39+Inputs!$C$40))))+Inputs!$C$38*SIN(2*PI()*((Inputs!$I$9+(((A124)+1)/2)*(Inputs!$J$9-Inputs!$I$9)))/Inputs!$C$39)*SIN(2*PI()*(Inputs!$C$6)/Inputs!$C$40)+-Inputs!$C$41*EXP(-(((Inputs!$C$6)-Inputs!$C$43)^2)/(2*Inputs!$C$44^2))*EXP(-((((Inputs!$I$9+(((A124)+1)/2)*(Inputs!$J$9-Inputs!$I$9)))-Inputs!$C$42)^2)/(2*Inputs!$C$45^2))+Inputs!$C$48*(0.7*(0.45*SIN(2*PI()*((((Inputs!$I$9+(((A124)+1)/2)*(Inputs!$J$9-Inputs!$I$9)))/Inputs!$C$49)+Inputs!$C$47*0.137))+0.35*COS(2*PI()*(((Inputs!$C$6)/Inputs!$C$50)+Inputs!$C$47*0.173))+0.2*SIN(2*PI()*((((Inputs!$I$9+(((A124)+1)/2)*(Inputs!$J$9-Inputs!$I$9)))+(Inputs!$C$6))/(0.5*(Inputs!$C$49+Inputs!$C$50))+Inputs!$C$47*0.097)))+0.3*(2*((SIN((((Inputs!$I$9+(((A124)+1)/2)*(Inputs!$J$9-Inputs!$I$9)))*12.9898+(Inputs!$C$6)*78.233+Inputs!$C$47*37.719))*43758.5453)-INT((SIN((((Inputs!$I$9+(((A124)+1)/2)*(Inputs!$J$9-Inputs!$I$9)))*12.9898+(Inputs!$C$6)*78.233+Inputs!$C$47*37.719))*43758.5453)))-1))),NA())</f>
        <v/>
      </c>
      <c r="AW124" s="10" t="n"/>
      <c r="AX124" s="9">
        <f>A124</f>
        <v/>
      </c>
      <c r="AY124" s="9">
        <f>0</f>
        <v/>
      </c>
      <c r="AZ124" s="9">
        <f>IF(OR(Inputs!$F$6=TRUE,Inputs!$F$6="TRUE",Inputs!$F$6=1),(Inputs!$H$6+Inputs!$L$6*(((Inputs!$I$6+(((A124)+1)/2)*(Inputs!$J$6-Inputs!$I$6)))/Inputs!$K$6)^2),NA())</f>
        <v/>
      </c>
      <c r="BA124" s="9">
        <f>IF(OR(Inputs!$F$7=TRUE,Inputs!$F$7="TRUE",Inputs!$F$7=1),(Inputs!$H$7+Inputs!$L$7*(((Inputs!$I$7+(((A124)+1)/2)*(Inputs!$J$7-Inputs!$I$7)))/Inputs!$K$7)^2),NA())</f>
        <v/>
      </c>
      <c r="BB124" s="9">
        <f>IF(OR(Inputs!$F$8=TRUE,Inputs!$F$8="TRUE",Inputs!$F$8=1),(Inputs!$H$8+Inputs!$L$8*(((Inputs!$I$8+(((A124)+1)/2)*(Inputs!$J$8-Inputs!$I$8)))/Inputs!$K$8)^2),NA())</f>
        <v/>
      </c>
      <c r="BC124" s="9">
        <f>IF(OR(Inputs!$F$9=TRUE,Inputs!$F$9="TRUE",Inputs!$F$9=1),(Inputs!$H$9+Inputs!$L$9*(((Inputs!$I$9+(((A124)+1)/2)*(Inputs!$J$9-Inputs!$I$9)))/Inputs!$K$9)^2),NA())</f>
        <v/>
      </c>
      <c r="BD124" s="10" t="n"/>
      <c r="BE124" s="9">
        <f>A124</f>
        <v/>
      </c>
      <c r="BF124" s="9">
        <f>0</f>
        <v/>
      </c>
      <c r="BG124" s="9">
        <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f>
        <v/>
      </c>
      <c r="BH124" s="9">
        <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f>
        <v/>
      </c>
      <c r="BI124" s="9">
        <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f>
        <v/>
      </c>
      <c r="BJ124" s="9">
        <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f>
        <v/>
      </c>
    </row>
    <row r="125">
      <c r="A125" s="9">
        <f>ROUND(-1+123*2/240,3)</f>
        <v/>
      </c>
      <c r="B125" s="9">
        <f>IF(OR(Inputs!$F$6=TRUE,Inputs!$F$6="TRUE",Inputs!$F$6=1),(Inputs!$H$6+Inputs!$L$6*(((Inputs!$I$6+(((A125)+1)/2)*(Inputs!$J$6-Inputs!$I$6)))/Inputs!$K$6)^2),NA())</f>
        <v/>
      </c>
      <c r="C125" s="9">
        <f>IF(OR(Inputs!$F$7=TRUE,Inputs!$F$7="TRUE",Inputs!$F$7=1),(Inputs!$H$7+Inputs!$L$7*(((Inputs!$I$7+(((A125)+1)/2)*(Inputs!$J$7-Inputs!$I$7)))/Inputs!$K$7)^2),NA())</f>
        <v/>
      </c>
      <c r="D125" s="9">
        <f>IF(OR(Inputs!$F$8=TRUE,Inputs!$F$8="TRUE",Inputs!$F$8=1),(Inputs!$H$8+Inputs!$L$8*(((Inputs!$I$8+(((A125)+1)/2)*(Inputs!$J$8-Inputs!$I$8)))/Inputs!$K$8)^2),NA())</f>
        <v/>
      </c>
      <c r="E125" s="9">
        <f>IF(OR(Inputs!$F$9=TRUE,Inputs!$F$9="TRUE",Inputs!$F$9=1),(Inputs!$H$9+Inputs!$L$9*(((Inputs!$I$9+(((A125)+1)/2)*(Inputs!$J$9-Inputs!$I$9)))/Inputs!$K$9)^2),NA())</f>
        <v/>
      </c>
      <c r="F125" s="10" t="n"/>
      <c r="G125" s="9">
        <f>A125</f>
        <v/>
      </c>
      <c r="H125" s="9">
        <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f>
        <v/>
      </c>
      <c r="I125" s="9">
        <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f>
        <v/>
      </c>
      <c r="J125" s="9">
        <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f>
        <v/>
      </c>
      <c r="K125" s="9">
        <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f>
        <v/>
      </c>
      <c r="L125" s="10" t="n"/>
      <c r="M125" s="9">
        <f>A125</f>
        <v/>
      </c>
      <c r="N125" s="9">
        <f>IF(OR(Inputs!$F$6=TRUE,Inputs!$F$6="TRUE",Inputs!$F$6=1),(-2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NA())</f>
        <v/>
      </c>
      <c r="O125" s="9">
        <f>IF(OR(Inputs!$F$7=TRUE,Inputs!$F$7="TRUE",Inputs!$F$7=1),(-2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NA())</f>
        <v/>
      </c>
      <c r="P125" s="9">
        <f>IF(OR(Inputs!$F$8=TRUE,Inputs!$F$8="TRUE",Inputs!$F$8=1),(-2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NA())</f>
        <v/>
      </c>
      <c r="Q125" s="9">
        <f>IF(OR(Inputs!$F$9=TRUE,Inputs!$F$9="TRUE",Inputs!$F$9=1),(-2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NA())</f>
        <v/>
      </c>
      <c r="R125" s="10" t="n"/>
      <c r="S125" s="9">
        <f>A125</f>
        <v/>
      </c>
      <c r="T125" s="9">
        <f>(Inputs!$I$6+(((A125)+1)/2)*(Inputs!$J$6-Inputs!$I$6))</f>
        <v/>
      </c>
      <c r="U125" s="9">
        <f>(Inputs!$I$7+(((A125)+1)/2)*(Inputs!$J$7-Inputs!$I$7))</f>
        <v/>
      </c>
      <c r="V125" s="9">
        <f>(Inputs!$I$8+(((A125)+1)/2)*(Inputs!$J$8-Inputs!$I$8))</f>
        <v/>
      </c>
      <c r="W125" s="9">
        <f>(Inputs!$I$9+(((A125)+1)/2)*(Inputs!$J$9-Inputs!$I$9))</f>
        <v/>
      </c>
      <c r="X125" s="10" t="n"/>
      <c r="Y125" s="9">
        <f>A125</f>
        <v/>
      </c>
      <c r="Z125" s="9">
        <f>(Inputs!$H$6+Inputs!$L$6*(((Inputs!$I$6+(((A125)+1)/2)*(Inputs!$J$6-Inputs!$I$6)))/Inputs!$K$6)^2)</f>
        <v/>
      </c>
      <c r="AA125" s="9">
        <f>(Inputs!$H$7+Inputs!$L$7*(((Inputs!$I$7+(((A125)+1)/2)*(Inputs!$J$7-Inputs!$I$7)))/Inputs!$K$7)^2)</f>
        <v/>
      </c>
      <c r="AB125" s="9">
        <f>(Inputs!$H$8+Inputs!$L$8*(((Inputs!$I$8+(((A125)+1)/2)*(Inputs!$J$8-Inputs!$I$8)))/Inputs!$K$8)^2)</f>
        <v/>
      </c>
      <c r="AC125" s="9">
        <f>(Inputs!$H$9+Inputs!$L$9*(((Inputs!$I$9+(((A125)+1)/2)*(Inputs!$J$9-Inputs!$I$9)))/Inputs!$K$9)^2)</f>
        <v/>
      </c>
      <c r="AD125" s="10" t="n"/>
      <c r="AE125" s="9">
        <f>A125</f>
        <v/>
      </c>
      <c r="AF125" s="9">
        <f>(((SQRT((Inputs!$C$52+((Inputs!$H$6+Inputs!$L$6*(((Inputs!$I$6+(((A125)+1)/2)*(Inputs!$J$6-Inputs!$I$6)))/Inputs!$K$6)^2)))^2+Inputs!$C$52^2-2*(Inputs!$C$52+((Inputs!$H$6+Inputs!$L$6*(((Inputs!$I$6+(((A125)+1)/2)*(Inputs!$J$6-Inputs!$I$6)))/Inputs!$K$6)^2)))*Inputs!$C$52*COS(SQRT(((Inputs!$I$6+(((A125)+1)/2)*(Inputs!$J$6-Inputs!$I$6)))^2+Inputs!$C$6^2)/Inputs!$C$52)))-((Inputs!$H$6+Inputs!$L$6*(((Inputs!$I$6+(((A125)+1)/2)*(Inputs!$J$6-Inputs!$I$6)))/Inputs!$K$6)^2)))*1000/Inputs!$C$12)</f>
        <v/>
      </c>
      <c r="AG125" s="9">
        <f>(((SQRT((Inputs!$C$52+((Inputs!$H$7+Inputs!$L$7*(((Inputs!$I$7+(((A125)+1)/2)*(Inputs!$J$7-Inputs!$I$7)))/Inputs!$K$7)^2)))^2+Inputs!$C$52^2-2*(Inputs!$C$52+((Inputs!$H$7+Inputs!$L$7*(((Inputs!$I$7+(((A125)+1)/2)*(Inputs!$J$7-Inputs!$I$7)))/Inputs!$K$7)^2)))*Inputs!$C$52*COS(SQRT(((Inputs!$I$7+(((A125)+1)/2)*(Inputs!$J$7-Inputs!$I$7)))^2+Inputs!$C$6^2)/Inputs!$C$52)))-((Inputs!$H$7+Inputs!$L$7*(((Inputs!$I$7+(((A125)+1)/2)*(Inputs!$J$7-Inputs!$I$7)))/Inputs!$K$7)^2)))*1000/Inputs!$C$12)</f>
        <v/>
      </c>
      <c r="AH125" s="9">
        <f>(((SQRT((Inputs!$C$52+((Inputs!$H$8+Inputs!$L$8*(((Inputs!$I$8+(((A125)+1)/2)*(Inputs!$J$8-Inputs!$I$8)))/Inputs!$K$8)^2)))^2+Inputs!$C$52^2-2*(Inputs!$C$52+((Inputs!$H$8+Inputs!$L$8*(((Inputs!$I$8+(((A125)+1)/2)*(Inputs!$J$8-Inputs!$I$8)))/Inputs!$K$8)^2)))*Inputs!$C$52*COS(SQRT(((Inputs!$I$8+(((A125)+1)/2)*(Inputs!$J$8-Inputs!$I$8)))^2+Inputs!$C$6^2)/Inputs!$C$52)))-((Inputs!$H$8+Inputs!$L$8*(((Inputs!$I$8+(((A125)+1)/2)*(Inputs!$J$8-Inputs!$I$8)))/Inputs!$K$8)^2)))*1000/Inputs!$C$12)</f>
        <v/>
      </c>
      <c r="AI125" s="9">
        <f>(((SQRT((Inputs!$C$52+((Inputs!$H$9+Inputs!$L$9*(((Inputs!$I$9+(((A125)+1)/2)*(Inputs!$J$9-Inputs!$I$9)))/Inputs!$K$9)^2)))^2+Inputs!$C$52^2-2*(Inputs!$C$52+((Inputs!$H$9+Inputs!$L$9*(((Inputs!$I$9+(((A125)+1)/2)*(Inputs!$J$9-Inputs!$I$9)))/Inputs!$K$9)^2)))*Inputs!$C$52*COS(SQRT(((Inputs!$I$9+(((A125)+1)/2)*(Inputs!$J$9-Inputs!$I$9)))^2+Inputs!$C$6^2)/Inputs!$C$52)))-((Inputs!$H$9+Inputs!$L$9*(((Inputs!$I$9+(((A125)+1)/2)*(Inputs!$J$9-Inputs!$I$9)))/Inputs!$K$9)^2)))*1000/Inputs!$C$12)</f>
        <v/>
      </c>
      <c r="AJ125" s="10" t="n"/>
      <c r="AK125" s="9">
        <f>A125</f>
        <v/>
      </c>
      <c r="AL125" s="9">
        <f>(-2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f>
        <v/>
      </c>
      <c r="AM125" s="9">
        <f>(-2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f>
        <v/>
      </c>
      <c r="AN125" s="9">
        <f>(-2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f>
        <v/>
      </c>
      <c r="AO125" s="9">
        <f>(-2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f>
        <v/>
      </c>
      <c r="AP125" s="10" t="n"/>
      <c r="AQ125" s="9">
        <f>A125</f>
        <v/>
      </c>
      <c r="AR125" s="9">
        <f>0</f>
        <v/>
      </c>
      <c r="AS125" s="9">
        <f>IF(OR(Inputs!$F$6=TRUE,Inputs!$F$6="TRUE",Inputs!$F$6=1),IF(OR(Inputs!$C$27=TRUE,Inputs!$C$27="TRUE",Inputs!$C$27=1),1,0)*(Inputs!$C$51*(115*EXP(-(((Inputs!$C$6)-25)^2)/(4.5^2))+70*EXP(-(((Inputs!$C$6)+38)^2)/(7^2))*(0.55+0.45*SIN(2*PI()*((Inputs!$I$6+(((A125)+1)/2)*(Inputs!$J$6-Inputs!$I$6)))/45))+24*SIN(2*PI()*(Inputs!$C$6)/9+((Inputs!$I$6+(((A125)+1)/2)*(Inputs!$J$6-Inputs!$I$6)))/18)*EXP(-(((Inputs!$C$6)+5)^2)/(22^2))+18*SIN(2*PI()*((Inputs!$I$6+(((A125)+1)/2)*(Inputs!$J$6-Inputs!$I$6)))/70))+Inputs!$C$28*EXP(-((((Inputs!$I$6+(((A125)+1)/2)*(Inputs!$J$6-Inputs!$I$6)))-Inputs!$C$29)^2)/(2*Inputs!$C$31^2))*EXP(-(((Inputs!$C$6)-Inputs!$C$30)^2)/(2*Inputs!$C$32^2))+-Inputs!$C$33*EXP(-((((((Inputs!$I$6+(((A125)+1)/2)*(Inputs!$J$6-Inputs!$I$6)))-Inputs!$C$34)^2)+(((Inputs!$C$6)-Inputs!$C$35)^2))/(2*Inputs!$C$36^2)))+Inputs!$C$37*(0.55*SIN(2*PI()*((Inputs!$I$6+(((A125)+1)/2)*(Inputs!$J$6-Inputs!$I$6)))/Inputs!$C$39)+0.35*COS(2*PI()*(Inputs!$C$6)/Inputs!$C$40)+0.2*SIN(2*PI()*(((Inputs!$I$6+(((A125)+1)/2)*(Inputs!$J$6-Inputs!$I$6)))+(Inputs!$C$6))/(0.5*(Inputs!$C$39+Inputs!$C$40))))+Inputs!$C$38*SIN(2*PI()*((Inputs!$I$6+(((A125)+1)/2)*(Inputs!$J$6-Inputs!$I$6)))/Inputs!$C$39)*SIN(2*PI()*(Inputs!$C$6)/Inputs!$C$40)+-Inputs!$C$41*EXP(-(((Inputs!$C$6)-Inputs!$C$43)^2)/(2*Inputs!$C$44^2))*EXP(-((((Inputs!$I$6+(((A125)+1)/2)*(Inputs!$J$6-Inputs!$I$6)))-Inputs!$C$42)^2)/(2*Inputs!$C$45^2))+Inputs!$C$48*(0.7*(0.45*SIN(2*PI()*((((Inputs!$I$6+(((A125)+1)/2)*(Inputs!$J$6-Inputs!$I$6)))/Inputs!$C$49)+Inputs!$C$47*0.137))+0.35*COS(2*PI()*(((Inputs!$C$6)/Inputs!$C$50)+Inputs!$C$47*0.173))+0.2*SIN(2*PI()*((((Inputs!$I$6+(((A125)+1)/2)*(Inputs!$J$6-Inputs!$I$6)))+(Inputs!$C$6))/(0.5*(Inputs!$C$49+Inputs!$C$50))+Inputs!$C$47*0.097)))+0.3*(2*((SIN((((Inputs!$I$6+(((A125)+1)/2)*(Inputs!$J$6-Inputs!$I$6)))*12.9898+(Inputs!$C$6)*78.233+Inputs!$C$47*37.719))*43758.5453)-INT((SIN((((Inputs!$I$6+(((A125)+1)/2)*(Inputs!$J$6-Inputs!$I$6)))*12.9898+(Inputs!$C$6)*78.233+Inputs!$C$47*37.719))*43758.5453)))-1))),NA())</f>
        <v/>
      </c>
      <c r="AT125" s="9">
        <f>IF(OR(Inputs!$F$7=TRUE,Inputs!$F$7="TRUE",Inputs!$F$7=1),IF(OR(Inputs!$C$27=TRUE,Inputs!$C$27="TRUE",Inputs!$C$27=1),1,0)*(Inputs!$C$51*(115*EXP(-(((Inputs!$C$6)-25)^2)/(4.5^2))+70*EXP(-(((Inputs!$C$6)+38)^2)/(7^2))*(0.55+0.45*SIN(2*PI()*((Inputs!$I$7+(((A125)+1)/2)*(Inputs!$J$7-Inputs!$I$7)))/45))+24*SIN(2*PI()*(Inputs!$C$6)/9+((Inputs!$I$7+(((A125)+1)/2)*(Inputs!$J$7-Inputs!$I$7)))/18)*EXP(-(((Inputs!$C$6)+5)^2)/(22^2))+18*SIN(2*PI()*((Inputs!$I$7+(((A125)+1)/2)*(Inputs!$J$7-Inputs!$I$7)))/70))+Inputs!$C$28*EXP(-((((Inputs!$I$7+(((A125)+1)/2)*(Inputs!$J$7-Inputs!$I$7)))-Inputs!$C$29)^2)/(2*Inputs!$C$31^2))*EXP(-(((Inputs!$C$6)-Inputs!$C$30)^2)/(2*Inputs!$C$32^2))+-Inputs!$C$33*EXP(-((((((Inputs!$I$7+(((A125)+1)/2)*(Inputs!$J$7-Inputs!$I$7)))-Inputs!$C$34)^2)+(((Inputs!$C$6)-Inputs!$C$35)^2))/(2*Inputs!$C$36^2)))+Inputs!$C$37*(0.55*SIN(2*PI()*((Inputs!$I$7+(((A125)+1)/2)*(Inputs!$J$7-Inputs!$I$7)))/Inputs!$C$39)+0.35*COS(2*PI()*(Inputs!$C$6)/Inputs!$C$40)+0.2*SIN(2*PI()*(((Inputs!$I$7+(((A125)+1)/2)*(Inputs!$J$7-Inputs!$I$7)))+(Inputs!$C$6))/(0.5*(Inputs!$C$39+Inputs!$C$40))))+Inputs!$C$38*SIN(2*PI()*((Inputs!$I$7+(((A125)+1)/2)*(Inputs!$J$7-Inputs!$I$7)))/Inputs!$C$39)*SIN(2*PI()*(Inputs!$C$6)/Inputs!$C$40)+-Inputs!$C$41*EXP(-(((Inputs!$C$6)-Inputs!$C$43)^2)/(2*Inputs!$C$44^2))*EXP(-((((Inputs!$I$7+(((A125)+1)/2)*(Inputs!$J$7-Inputs!$I$7)))-Inputs!$C$42)^2)/(2*Inputs!$C$45^2))+Inputs!$C$48*(0.7*(0.45*SIN(2*PI()*((((Inputs!$I$7+(((A125)+1)/2)*(Inputs!$J$7-Inputs!$I$7)))/Inputs!$C$49)+Inputs!$C$47*0.137))+0.35*COS(2*PI()*(((Inputs!$C$6)/Inputs!$C$50)+Inputs!$C$47*0.173))+0.2*SIN(2*PI()*((((Inputs!$I$7+(((A125)+1)/2)*(Inputs!$J$7-Inputs!$I$7)))+(Inputs!$C$6))/(0.5*(Inputs!$C$49+Inputs!$C$50))+Inputs!$C$47*0.097)))+0.3*(2*((SIN((((Inputs!$I$7+(((A125)+1)/2)*(Inputs!$J$7-Inputs!$I$7)))*12.9898+(Inputs!$C$6)*78.233+Inputs!$C$47*37.719))*43758.5453)-INT((SIN((((Inputs!$I$7+(((A125)+1)/2)*(Inputs!$J$7-Inputs!$I$7)))*12.9898+(Inputs!$C$6)*78.233+Inputs!$C$47*37.719))*43758.5453)))-1))),NA())</f>
        <v/>
      </c>
      <c r="AU125" s="9">
        <f>IF(OR(Inputs!$F$8=TRUE,Inputs!$F$8="TRUE",Inputs!$F$8=1),IF(OR(Inputs!$C$27=TRUE,Inputs!$C$27="TRUE",Inputs!$C$27=1),1,0)*(Inputs!$C$51*(115*EXP(-(((Inputs!$C$6)-25)^2)/(4.5^2))+70*EXP(-(((Inputs!$C$6)+38)^2)/(7^2))*(0.55+0.45*SIN(2*PI()*((Inputs!$I$8+(((A125)+1)/2)*(Inputs!$J$8-Inputs!$I$8)))/45))+24*SIN(2*PI()*(Inputs!$C$6)/9+((Inputs!$I$8+(((A125)+1)/2)*(Inputs!$J$8-Inputs!$I$8)))/18)*EXP(-(((Inputs!$C$6)+5)^2)/(22^2))+18*SIN(2*PI()*((Inputs!$I$8+(((A125)+1)/2)*(Inputs!$J$8-Inputs!$I$8)))/70))+Inputs!$C$28*EXP(-((((Inputs!$I$8+(((A125)+1)/2)*(Inputs!$J$8-Inputs!$I$8)))-Inputs!$C$29)^2)/(2*Inputs!$C$31^2))*EXP(-(((Inputs!$C$6)-Inputs!$C$30)^2)/(2*Inputs!$C$32^2))+-Inputs!$C$33*EXP(-((((((Inputs!$I$8+(((A125)+1)/2)*(Inputs!$J$8-Inputs!$I$8)))-Inputs!$C$34)^2)+(((Inputs!$C$6)-Inputs!$C$35)^2))/(2*Inputs!$C$36^2)))+Inputs!$C$37*(0.55*SIN(2*PI()*((Inputs!$I$8+(((A125)+1)/2)*(Inputs!$J$8-Inputs!$I$8)))/Inputs!$C$39)+0.35*COS(2*PI()*(Inputs!$C$6)/Inputs!$C$40)+0.2*SIN(2*PI()*(((Inputs!$I$8+(((A125)+1)/2)*(Inputs!$J$8-Inputs!$I$8)))+(Inputs!$C$6))/(0.5*(Inputs!$C$39+Inputs!$C$40))))+Inputs!$C$38*SIN(2*PI()*((Inputs!$I$8+(((A125)+1)/2)*(Inputs!$J$8-Inputs!$I$8)))/Inputs!$C$39)*SIN(2*PI()*(Inputs!$C$6)/Inputs!$C$40)+-Inputs!$C$41*EXP(-(((Inputs!$C$6)-Inputs!$C$43)^2)/(2*Inputs!$C$44^2))*EXP(-((((Inputs!$I$8+(((A125)+1)/2)*(Inputs!$J$8-Inputs!$I$8)))-Inputs!$C$42)^2)/(2*Inputs!$C$45^2))+Inputs!$C$48*(0.7*(0.45*SIN(2*PI()*((((Inputs!$I$8+(((A125)+1)/2)*(Inputs!$J$8-Inputs!$I$8)))/Inputs!$C$49)+Inputs!$C$47*0.137))+0.35*COS(2*PI()*(((Inputs!$C$6)/Inputs!$C$50)+Inputs!$C$47*0.173))+0.2*SIN(2*PI()*((((Inputs!$I$8+(((A125)+1)/2)*(Inputs!$J$8-Inputs!$I$8)))+(Inputs!$C$6))/(0.5*(Inputs!$C$49+Inputs!$C$50))+Inputs!$C$47*0.097)))+0.3*(2*((SIN((((Inputs!$I$8+(((A125)+1)/2)*(Inputs!$J$8-Inputs!$I$8)))*12.9898+(Inputs!$C$6)*78.233+Inputs!$C$47*37.719))*43758.5453)-INT((SIN((((Inputs!$I$8+(((A125)+1)/2)*(Inputs!$J$8-Inputs!$I$8)))*12.9898+(Inputs!$C$6)*78.233+Inputs!$C$47*37.719))*43758.5453)))-1))),NA())</f>
        <v/>
      </c>
      <c r="AV125" s="9">
        <f>IF(OR(Inputs!$F$9=TRUE,Inputs!$F$9="TRUE",Inputs!$F$9=1),IF(OR(Inputs!$C$27=TRUE,Inputs!$C$27="TRUE",Inputs!$C$27=1),1,0)*(Inputs!$C$51*(115*EXP(-(((Inputs!$C$6)-25)^2)/(4.5^2))+70*EXP(-(((Inputs!$C$6)+38)^2)/(7^2))*(0.55+0.45*SIN(2*PI()*((Inputs!$I$9+(((A125)+1)/2)*(Inputs!$J$9-Inputs!$I$9)))/45))+24*SIN(2*PI()*(Inputs!$C$6)/9+((Inputs!$I$9+(((A125)+1)/2)*(Inputs!$J$9-Inputs!$I$9)))/18)*EXP(-(((Inputs!$C$6)+5)^2)/(22^2))+18*SIN(2*PI()*((Inputs!$I$9+(((A125)+1)/2)*(Inputs!$J$9-Inputs!$I$9)))/70))+Inputs!$C$28*EXP(-((((Inputs!$I$9+(((A125)+1)/2)*(Inputs!$J$9-Inputs!$I$9)))-Inputs!$C$29)^2)/(2*Inputs!$C$31^2))*EXP(-(((Inputs!$C$6)-Inputs!$C$30)^2)/(2*Inputs!$C$32^2))+-Inputs!$C$33*EXP(-((((((Inputs!$I$9+(((A125)+1)/2)*(Inputs!$J$9-Inputs!$I$9)))-Inputs!$C$34)^2)+(((Inputs!$C$6)-Inputs!$C$35)^2))/(2*Inputs!$C$36^2)))+Inputs!$C$37*(0.55*SIN(2*PI()*((Inputs!$I$9+(((A125)+1)/2)*(Inputs!$J$9-Inputs!$I$9)))/Inputs!$C$39)+0.35*COS(2*PI()*(Inputs!$C$6)/Inputs!$C$40)+0.2*SIN(2*PI()*(((Inputs!$I$9+(((A125)+1)/2)*(Inputs!$J$9-Inputs!$I$9)))+(Inputs!$C$6))/(0.5*(Inputs!$C$39+Inputs!$C$40))))+Inputs!$C$38*SIN(2*PI()*((Inputs!$I$9+(((A125)+1)/2)*(Inputs!$J$9-Inputs!$I$9)))/Inputs!$C$39)*SIN(2*PI()*(Inputs!$C$6)/Inputs!$C$40)+-Inputs!$C$41*EXP(-(((Inputs!$C$6)-Inputs!$C$43)^2)/(2*Inputs!$C$44^2))*EXP(-((((Inputs!$I$9+(((A125)+1)/2)*(Inputs!$J$9-Inputs!$I$9)))-Inputs!$C$42)^2)/(2*Inputs!$C$45^2))+Inputs!$C$48*(0.7*(0.45*SIN(2*PI()*((((Inputs!$I$9+(((A125)+1)/2)*(Inputs!$J$9-Inputs!$I$9)))/Inputs!$C$49)+Inputs!$C$47*0.137))+0.35*COS(2*PI()*(((Inputs!$C$6)/Inputs!$C$50)+Inputs!$C$47*0.173))+0.2*SIN(2*PI()*((((Inputs!$I$9+(((A125)+1)/2)*(Inputs!$J$9-Inputs!$I$9)))+(Inputs!$C$6))/(0.5*(Inputs!$C$49+Inputs!$C$50))+Inputs!$C$47*0.097)))+0.3*(2*((SIN((((Inputs!$I$9+(((A125)+1)/2)*(Inputs!$J$9-Inputs!$I$9)))*12.9898+(Inputs!$C$6)*78.233+Inputs!$C$47*37.719))*43758.5453)-INT((SIN((((Inputs!$I$9+(((A125)+1)/2)*(Inputs!$J$9-Inputs!$I$9)))*12.9898+(Inputs!$C$6)*78.233+Inputs!$C$47*37.719))*43758.5453)))-1))),NA())</f>
        <v/>
      </c>
      <c r="AW125" s="10" t="n"/>
      <c r="AX125" s="9">
        <f>A125</f>
        <v/>
      </c>
      <c r="AY125" s="9">
        <f>0</f>
        <v/>
      </c>
      <c r="AZ125" s="9">
        <f>IF(OR(Inputs!$F$6=TRUE,Inputs!$F$6="TRUE",Inputs!$F$6=1),(Inputs!$H$6+Inputs!$L$6*(((Inputs!$I$6+(((A125)+1)/2)*(Inputs!$J$6-Inputs!$I$6)))/Inputs!$K$6)^2),NA())</f>
        <v/>
      </c>
      <c r="BA125" s="9">
        <f>IF(OR(Inputs!$F$7=TRUE,Inputs!$F$7="TRUE",Inputs!$F$7=1),(Inputs!$H$7+Inputs!$L$7*(((Inputs!$I$7+(((A125)+1)/2)*(Inputs!$J$7-Inputs!$I$7)))/Inputs!$K$7)^2),NA())</f>
        <v/>
      </c>
      <c r="BB125" s="9">
        <f>IF(OR(Inputs!$F$8=TRUE,Inputs!$F$8="TRUE",Inputs!$F$8=1),(Inputs!$H$8+Inputs!$L$8*(((Inputs!$I$8+(((A125)+1)/2)*(Inputs!$J$8-Inputs!$I$8)))/Inputs!$K$8)^2),NA())</f>
        <v/>
      </c>
      <c r="BC125" s="9">
        <f>IF(OR(Inputs!$F$9=TRUE,Inputs!$F$9="TRUE",Inputs!$F$9=1),(Inputs!$H$9+Inputs!$L$9*(((Inputs!$I$9+(((A125)+1)/2)*(Inputs!$J$9-Inputs!$I$9)))/Inputs!$K$9)^2),NA())</f>
        <v/>
      </c>
      <c r="BD125" s="10" t="n"/>
      <c r="BE125" s="9">
        <f>A125</f>
        <v/>
      </c>
      <c r="BF125" s="9">
        <f>0</f>
        <v/>
      </c>
      <c r="BG125" s="9">
        <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f>
        <v/>
      </c>
      <c r="BH125" s="9">
        <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f>
        <v/>
      </c>
      <c r="BI125" s="9">
        <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f>
        <v/>
      </c>
      <c r="BJ125" s="9">
        <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f>
        <v/>
      </c>
    </row>
    <row r="126">
      <c r="A126" s="9">
        <f>ROUND(-1+124*2/240,3)</f>
        <v/>
      </c>
      <c r="B126" s="9">
        <f>IF(OR(Inputs!$F$6=TRUE,Inputs!$F$6="TRUE",Inputs!$F$6=1),(Inputs!$H$6+Inputs!$L$6*(((Inputs!$I$6+(((A126)+1)/2)*(Inputs!$J$6-Inputs!$I$6)))/Inputs!$K$6)^2),NA())</f>
        <v/>
      </c>
      <c r="C126" s="9">
        <f>IF(OR(Inputs!$F$7=TRUE,Inputs!$F$7="TRUE",Inputs!$F$7=1),(Inputs!$H$7+Inputs!$L$7*(((Inputs!$I$7+(((A126)+1)/2)*(Inputs!$J$7-Inputs!$I$7)))/Inputs!$K$7)^2),NA())</f>
        <v/>
      </c>
      <c r="D126" s="9">
        <f>IF(OR(Inputs!$F$8=TRUE,Inputs!$F$8="TRUE",Inputs!$F$8=1),(Inputs!$H$8+Inputs!$L$8*(((Inputs!$I$8+(((A126)+1)/2)*(Inputs!$J$8-Inputs!$I$8)))/Inputs!$K$8)^2),NA())</f>
        <v/>
      </c>
      <c r="E126" s="9">
        <f>IF(OR(Inputs!$F$9=TRUE,Inputs!$F$9="TRUE",Inputs!$F$9=1),(Inputs!$H$9+Inputs!$L$9*(((Inputs!$I$9+(((A126)+1)/2)*(Inputs!$J$9-Inputs!$I$9)))/Inputs!$K$9)^2),NA())</f>
        <v/>
      </c>
      <c r="F126" s="10" t="n"/>
      <c r="G126" s="9">
        <f>A126</f>
        <v/>
      </c>
      <c r="H126" s="9">
        <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f>
        <v/>
      </c>
      <c r="I126" s="9">
        <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f>
        <v/>
      </c>
      <c r="J126" s="9">
        <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f>
        <v/>
      </c>
      <c r="K126" s="9">
        <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f>
        <v/>
      </c>
      <c r="L126" s="10" t="n"/>
      <c r="M126" s="9">
        <f>A126</f>
        <v/>
      </c>
      <c r="N126" s="9">
        <f>IF(OR(Inputs!$F$6=TRUE,Inputs!$F$6="TRUE",Inputs!$F$6=1),(-2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NA())</f>
        <v/>
      </c>
      <c r="O126" s="9">
        <f>IF(OR(Inputs!$F$7=TRUE,Inputs!$F$7="TRUE",Inputs!$F$7=1),(-2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NA())</f>
        <v/>
      </c>
      <c r="P126" s="9">
        <f>IF(OR(Inputs!$F$8=TRUE,Inputs!$F$8="TRUE",Inputs!$F$8=1),(-2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NA())</f>
        <v/>
      </c>
      <c r="Q126" s="9">
        <f>IF(OR(Inputs!$F$9=TRUE,Inputs!$F$9="TRUE",Inputs!$F$9=1),(-2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NA())</f>
        <v/>
      </c>
      <c r="R126" s="10" t="n"/>
      <c r="S126" s="9">
        <f>A126</f>
        <v/>
      </c>
      <c r="T126" s="9">
        <f>(Inputs!$I$6+(((A126)+1)/2)*(Inputs!$J$6-Inputs!$I$6))</f>
        <v/>
      </c>
      <c r="U126" s="9">
        <f>(Inputs!$I$7+(((A126)+1)/2)*(Inputs!$J$7-Inputs!$I$7))</f>
        <v/>
      </c>
      <c r="V126" s="9">
        <f>(Inputs!$I$8+(((A126)+1)/2)*(Inputs!$J$8-Inputs!$I$8))</f>
        <v/>
      </c>
      <c r="W126" s="9">
        <f>(Inputs!$I$9+(((A126)+1)/2)*(Inputs!$J$9-Inputs!$I$9))</f>
        <v/>
      </c>
      <c r="X126" s="10" t="n"/>
      <c r="Y126" s="9">
        <f>A126</f>
        <v/>
      </c>
      <c r="Z126" s="9">
        <f>(Inputs!$H$6+Inputs!$L$6*(((Inputs!$I$6+(((A126)+1)/2)*(Inputs!$J$6-Inputs!$I$6)))/Inputs!$K$6)^2)</f>
        <v/>
      </c>
      <c r="AA126" s="9">
        <f>(Inputs!$H$7+Inputs!$L$7*(((Inputs!$I$7+(((A126)+1)/2)*(Inputs!$J$7-Inputs!$I$7)))/Inputs!$K$7)^2)</f>
        <v/>
      </c>
      <c r="AB126" s="9">
        <f>(Inputs!$H$8+Inputs!$L$8*(((Inputs!$I$8+(((A126)+1)/2)*(Inputs!$J$8-Inputs!$I$8)))/Inputs!$K$8)^2)</f>
        <v/>
      </c>
      <c r="AC126" s="9">
        <f>(Inputs!$H$9+Inputs!$L$9*(((Inputs!$I$9+(((A126)+1)/2)*(Inputs!$J$9-Inputs!$I$9)))/Inputs!$K$9)^2)</f>
        <v/>
      </c>
      <c r="AD126" s="10" t="n"/>
      <c r="AE126" s="9">
        <f>A126</f>
        <v/>
      </c>
      <c r="AF126" s="9">
        <f>(((SQRT((Inputs!$C$52+((Inputs!$H$6+Inputs!$L$6*(((Inputs!$I$6+(((A126)+1)/2)*(Inputs!$J$6-Inputs!$I$6)))/Inputs!$K$6)^2)))^2+Inputs!$C$52^2-2*(Inputs!$C$52+((Inputs!$H$6+Inputs!$L$6*(((Inputs!$I$6+(((A126)+1)/2)*(Inputs!$J$6-Inputs!$I$6)))/Inputs!$K$6)^2)))*Inputs!$C$52*COS(SQRT(((Inputs!$I$6+(((A126)+1)/2)*(Inputs!$J$6-Inputs!$I$6)))^2+Inputs!$C$6^2)/Inputs!$C$52)))-((Inputs!$H$6+Inputs!$L$6*(((Inputs!$I$6+(((A126)+1)/2)*(Inputs!$J$6-Inputs!$I$6)))/Inputs!$K$6)^2)))*1000/Inputs!$C$12)</f>
        <v/>
      </c>
      <c r="AG126" s="9">
        <f>(((SQRT((Inputs!$C$52+((Inputs!$H$7+Inputs!$L$7*(((Inputs!$I$7+(((A126)+1)/2)*(Inputs!$J$7-Inputs!$I$7)))/Inputs!$K$7)^2)))^2+Inputs!$C$52^2-2*(Inputs!$C$52+((Inputs!$H$7+Inputs!$L$7*(((Inputs!$I$7+(((A126)+1)/2)*(Inputs!$J$7-Inputs!$I$7)))/Inputs!$K$7)^2)))*Inputs!$C$52*COS(SQRT(((Inputs!$I$7+(((A126)+1)/2)*(Inputs!$J$7-Inputs!$I$7)))^2+Inputs!$C$6^2)/Inputs!$C$52)))-((Inputs!$H$7+Inputs!$L$7*(((Inputs!$I$7+(((A126)+1)/2)*(Inputs!$J$7-Inputs!$I$7)))/Inputs!$K$7)^2)))*1000/Inputs!$C$12)</f>
        <v/>
      </c>
      <c r="AH126" s="9">
        <f>(((SQRT((Inputs!$C$52+((Inputs!$H$8+Inputs!$L$8*(((Inputs!$I$8+(((A126)+1)/2)*(Inputs!$J$8-Inputs!$I$8)))/Inputs!$K$8)^2)))^2+Inputs!$C$52^2-2*(Inputs!$C$52+((Inputs!$H$8+Inputs!$L$8*(((Inputs!$I$8+(((A126)+1)/2)*(Inputs!$J$8-Inputs!$I$8)))/Inputs!$K$8)^2)))*Inputs!$C$52*COS(SQRT(((Inputs!$I$8+(((A126)+1)/2)*(Inputs!$J$8-Inputs!$I$8)))^2+Inputs!$C$6^2)/Inputs!$C$52)))-((Inputs!$H$8+Inputs!$L$8*(((Inputs!$I$8+(((A126)+1)/2)*(Inputs!$J$8-Inputs!$I$8)))/Inputs!$K$8)^2)))*1000/Inputs!$C$12)</f>
        <v/>
      </c>
      <c r="AI126" s="9">
        <f>(((SQRT((Inputs!$C$52+((Inputs!$H$9+Inputs!$L$9*(((Inputs!$I$9+(((A126)+1)/2)*(Inputs!$J$9-Inputs!$I$9)))/Inputs!$K$9)^2)))^2+Inputs!$C$52^2-2*(Inputs!$C$52+((Inputs!$H$9+Inputs!$L$9*(((Inputs!$I$9+(((A126)+1)/2)*(Inputs!$J$9-Inputs!$I$9)))/Inputs!$K$9)^2)))*Inputs!$C$52*COS(SQRT(((Inputs!$I$9+(((A126)+1)/2)*(Inputs!$J$9-Inputs!$I$9)))^2+Inputs!$C$6^2)/Inputs!$C$52)))-((Inputs!$H$9+Inputs!$L$9*(((Inputs!$I$9+(((A126)+1)/2)*(Inputs!$J$9-Inputs!$I$9)))/Inputs!$K$9)^2)))*1000/Inputs!$C$12)</f>
        <v/>
      </c>
      <c r="AJ126" s="10" t="n"/>
      <c r="AK126" s="9">
        <f>A126</f>
        <v/>
      </c>
      <c r="AL126" s="9">
        <f>(-2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f>
        <v/>
      </c>
      <c r="AM126" s="9">
        <f>(-2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f>
        <v/>
      </c>
      <c r="AN126" s="9">
        <f>(-2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f>
        <v/>
      </c>
      <c r="AO126" s="9">
        <f>(-2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f>
        <v/>
      </c>
      <c r="AP126" s="10" t="n"/>
      <c r="AQ126" s="9">
        <f>A126</f>
        <v/>
      </c>
      <c r="AR126" s="9">
        <f>0</f>
        <v/>
      </c>
      <c r="AS126" s="9">
        <f>IF(OR(Inputs!$F$6=TRUE,Inputs!$F$6="TRUE",Inputs!$F$6=1),IF(OR(Inputs!$C$27=TRUE,Inputs!$C$27="TRUE",Inputs!$C$27=1),1,0)*(Inputs!$C$51*(115*EXP(-(((Inputs!$C$6)-25)^2)/(4.5^2))+70*EXP(-(((Inputs!$C$6)+38)^2)/(7^2))*(0.55+0.45*SIN(2*PI()*((Inputs!$I$6+(((A126)+1)/2)*(Inputs!$J$6-Inputs!$I$6)))/45))+24*SIN(2*PI()*(Inputs!$C$6)/9+((Inputs!$I$6+(((A126)+1)/2)*(Inputs!$J$6-Inputs!$I$6)))/18)*EXP(-(((Inputs!$C$6)+5)^2)/(22^2))+18*SIN(2*PI()*((Inputs!$I$6+(((A126)+1)/2)*(Inputs!$J$6-Inputs!$I$6)))/70))+Inputs!$C$28*EXP(-((((Inputs!$I$6+(((A126)+1)/2)*(Inputs!$J$6-Inputs!$I$6)))-Inputs!$C$29)^2)/(2*Inputs!$C$31^2))*EXP(-(((Inputs!$C$6)-Inputs!$C$30)^2)/(2*Inputs!$C$32^2))+-Inputs!$C$33*EXP(-((((((Inputs!$I$6+(((A126)+1)/2)*(Inputs!$J$6-Inputs!$I$6)))-Inputs!$C$34)^2)+(((Inputs!$C$6)-Inputs!$C$35)^2))/(2*Inputs!$C$36^2)))+Inputs!$C$37*(0.55*SIN(2*PI()*((Inputs!$I$6+(((A126)+1)/2)*(Inputs!$J$6-Inputs!$I$6)))/Inputs!$C$39)+0.35*COS(2*PI()*(Inputs!$C$6)/Inputs!$C$40)+0.2*SIN(2*PI()*(((Inputs!$I$6+(((A126)+1)/2)*(Inputs!$J$6-Inputs!$I$6)))+(Inputs!$C$6))/(0.5*(Inputs!$C$39+Inputs!$C$40))))+Inputs!$C$38*SIN(2*PI()*((Inputs!$I$6+(((A126)+1)/2)*(Inputs!$J$6-Inputs!$I$6)))/Inputs!$C$39)*SIN(2*PI()*(Inputs!$C$6)/Inputs!$C$40)+-Inputs!$C$41*EXP(-(((Inputs!$C$6)-Inputs!$C$43)^2)/(2*Inputs!$C$44^2))*EXP(-((((Inputs!$I$6+(((A126)+1)/2)*(Inputs!$J$6-Inputs!$I$6)))-Inputs!$C$42)^2)/(2*Inputs!$C$45^2))+Inputs!$C$48*(0.7*(0.45*SIN(2*PI()*((((Inputs!$I$6+(((A126)+1)/2)*(Inputs!$J$6-Inputs!$I$6)))/Inputs!$C$49)+Inputs!$C$47*0.137))+0.35*COS(2*PI()*(((Inputs!$C$6)/Inputs!$C$50)+Inputs!$C$47*0.173))+0.2*SIN(2*PI()*((((Inputs!$I$6+(((A126)+1)/2)*(Inputs!$J$6-Inputs!$I$6)))+(Inputs!$C$6))/(0.5*(Inputs!$C$49+Inputs!$C$50))+Inputs!$C$47*0.097)))+0.3*(2*((SIN((((Inputs!$I$6+(((A126)+1)/2)*(Inputs!$J$6-Inputs!$I$6)))*12.9898+(Inputs!$C$6)*78.233+Inputs!$C$47*37.719))*43758.5453)-INT((SIN((((Inputs!$I$6+(((A126)+1)/2)*(Inputs!$J$6-Inputs!$I$6)))*12.9898+(Inputs!$C$6)*78.233+Inputs!$C$47*37.719))*43758.5453)))-1))),NA())</f>
        <v/>
      </c>
      <c r="AT126" s="9">
        <f>IF(OR(Inputs!$F$7=TRUE,Inputs!$F$7="TRUE",Inputs!$F$7=1),IF(OR(Inputs!$C$27=TRUE,Inputs!$C$27="TRUE",Inputs!$C$27=1),1,0)*(Inputs!$C$51*(115*EXP(-(((Inputs!$C$6)-25)^2)/(4.5^2))+70*EXP(-(((Inputs!$C$6)+38)^2)/(7^2))*(0.55+0.45*SIN(2*PI()*((Inputs!$I$7+(((A126)+1)/2)*(Inputs!$J$7-Inputs!$I$7)))/45))+24*SIN(2*PI()*(Inputs!$C$6)/9+((Inputs!$I$7+(((A126)+1)/2)*(Inputs!$J$7-Inputs!$I$7)))/18)*EXP(-(((Inputs!$C$6)+5)^2)/(22^2))+18*SIN(2*PI()*((Inputs!$I$7+(((A126)+1)/2)*(Inputs!$J$7-Inputs!$I$7)))/70))+Inputs!$C$28*EXP(-((((Inputs!$I$7+(((A126)+1)/2)*(Inputs!$J$7-Inputs!$I$7)))-Inputs!$C$29)^2)/(2*Inputs!$C$31^2))*EXP(-(((Inputs!$C$6)-Inputs!$C$30)^2)/(2*Inputs!$C$32^2))+-Inputs!$C$33*EXP(-((((((Inputs!$I$7+(((A126)+1)/2)*(Inputs!$J$7-Inputs!$I$7)))-Inputs!$C$34)^2)+(((Inputs!$C$6)-Inputs!$C$35)^2))/(2*Inputs!$C$36^2)))+Inputs!$C$37*(0.55*SIN(2*PI()*((Inputs!$I$7+(((A126)+1)/2)*(Inputs!$J$7-Inputs!$I$7)))/Inputs!$C$39)+0.35*COS(2*PI()*(Inputs!$C$6)/Inputs!$C$40)+0.2*SIN(2*PI()*(((Inputs!$I$7+(((A126)+1)/2)*(Inputs!$J$7-Inputs!$I$7)))+(Inputs!$C$6))/(0.5*(Inputs!$C$39+Inputs!$C$40))))+Inputs!$C$38*SIN(2*PI()*((Inputs!$I$7+(((A126)+1)/2)*(Inputs!$J$7-Inputs!$I$7)))/Inputs!$C$39)*SIN(2*PI()*(Inputs!$C$6)/Inputs!$C$40)+-Inputs!$C$41*EXP(-(((Inputs!$C$6)-Inputs!$C$43)^2)/(2*Inputs!$C$44^2))*EXP(-((((Inputs!$I$7+(((A126)+1)/2)*(Inputs!$J$7-Inputs!$I$7)))-Inputs!$C$42)^2)/(2*Inputs!$C$45^2))+Inputs!$C$48*(0.7*(0.45*SIN(2*PI()*((((Inputs!$I$7+(((A126)+1)/2)*(Inputs!$J$7-Inputs!$I$7)))/Inputs!$C$49)+Inputs!$C$47*0.137))+0.35*COS(2*PI()*(((Inputs!$C$6)/Inputs!$C$50)+Inputs!$C$47*0.173))+0.2*SIN(2*PI()*((((Inputs!$I$7+(((A126)+1)/2)*(Inputs!$J$7-Inputs!$I$7)))+(Inputs!$C$6))/(0.5*(Inputs!$C$49+Inputs!$C$50))+Inputs!$C$47*0.097)))+0.3*(2*((SIN((((Inputs!$I$7+(((A126)+1)/2)*(Inputs!$J$7-Inputs!$I$7)))*12.9898+(Inputs!$C$6)*78.233+Inputs!$C$47*37.719))*43758.5453)-INT((SIN((((Inputs!$I$7+(((A126)+1)/2)*(Inputs!$J$7-Inputs!$I$7)))*12.9898+(Inputs!$C$6)*78.233+Inputs!$C$47*37.719))*43758.5453)))-1))),NA())</f>
        <v/>
      </c>
      <c r="AU126" s="9">
        <f>IF(OR(Inputs!$F$8=TRUE,Inputs!$F$8="TRUE",Inputs!$F$8=1),IF(OR(Inputs!$C$27=TRUE,Inputs!$C$27="TRUE",Inputs!$C$27=1),1,0)*(Inputs!$C$51*(115*EXP(-(((Inputs!$C$6)-25)^2)/(4.5^2))+70*EXP(-(((Inputs!$C$6)+38)^2)/(7^2))*(0.55+0.45*SIN(2*PI()*((Inputs!$I$8+(((A126)+1)/2)*(Inputs!$J$8-Inputs!$I$8)))/45))+24*SIN(2*PI()*(Inputs!$C$6)/9+((Inputs!$I$8+(((A126)+1)/2)*(Inputs!$J$8-Inputs!$I$8)))/18)*EXP(-(((Inputs!$C$6)+5)^2)/(22^2))+18*SIN(2*PI()*((Inputs!$I$8+(((A126)+1)/2)*(Inputs!$J$8-Inputs!$I$8)))/70))+Inputs!$C$28*EXP(-((((Inputs!$I$8+(((A126)+1)/2)*(Inputs!$J$8-Inputs!$I$8)))-Inputs!$C$29)^2)/(2*Inputs!$C$31^2))*EXP(-(((Inputs!$C$6)-Inputs!$C$30)^2)/(2*Inputs!$C$32^2))+-Inputs!$C$33*EXP(-((((((Inputs!$I$8+(((A126)+1)/2)*(Inputs!$J$8-Inputs!$I$8)))-Inputs!$C$34)^2)+(((Inputs!$C$6)-Inputs!$C$35)^2))/(2*Inputs!$C$36^2)))+Inputs!$C$37*(0.55*SIN(2*PI()*((Inputs!$I$8+(((A126)+1)/2)*(Inputs!$J$8-Inputs!$I$8)))/Inputs!$C$39)+0.35*COS(2*PI()*(Inputs!$C$6)/Inputs!$C$40)+0.2*SIN(2*PI()*(((Inputs!$I$8+(((A126)+1)/2)*(Inputs!$J$8-Inputs!$I$8)))+(Inputs!$C$6))/(0.5*(Inputs!$C$39+Inputs!$C$40))))+Inputs!$C$38*SIN(2*PI()*((Inputs!$I$8+(((A126)+1)/2)*(Inputs!$J$8-Inputs!$I$8)))/Inputs!$C$39)*SIN(2*PI()*(Inputs!$C$6)/Inputs!$C$40)+-Inputs!$C$41*EXP(-(((Inputs!$C$6)-Inputs!$C$43)^2)/(2*Inputs!$C$44^2))*EXP(-((((Inputs!$I$8+(((A126)+1)/2)*(Inputs!$J$8-Inputs!$I$8)))-Inputs!$C$42)^2)/(2*Inputs!$C$45^2))+Inputs!$C$48*(0.7*(0.45*SIN(2*PI()*((((Inputs!$I$8+(((A126)+1)/2)*(Inputs!$J$8-Inputs!$I$8)))/Inputs!$C$49)+Inputs!$C$47*0.137))+0.35*COS(2*PI()*(((Inputs!$C$6)/Inputs!$C$50)+Inputs!$C$47*0.173))+0.2*SIN(2*PI()*((((Inputs!$I$8+(((A126)+1)/2)*(Inputs!$J$8-Inputs!$I$8)))+(Inputs!$C$6))/(0.5*(Inputs!$C$49+Inputs!$C$50))+Inputs!$C$47*0.097)))+0.3*(2*((SIN((((Inputs!$I$8+(((A126)+1)/2)*(Inputs!$J$8-Inputs!$I$8)))*12.9898+(Inputs!$C$6)*78.233+Inputs!$C$47*37.719))*43758.5453)-INT((SIN((((Inputs!$I$8+(((A126)+1)/2)*(Inputs!$J$8-Inputs!$I$8)))*12.9898+(Inputs!$C$6)*78.233+Inputs!$C$47*37.719))*43758.5453)))-1))),NA())</f>
        <v/>
      </c>
      <c r="AV126" s="9">
        <f>IF(OR(Inputs!$F$9=TRUE,Inputs!$F$9="TRUE",Inputs!$F$9=1),IF(OR(Inputs!$C$27=TRUE,Inputs!$C$27="TRUE",Inputs!$C$27=1),1,0)*(Inputs!$C$51*(115*EXP(-(((Inputs!$C$6)-25)^2)/(4.5^2))+70*EXP(-(((Inputs!$C$6)+38)^2)/(7^2))*(0.55+0.45*SIN(2*PI()*((Inputs!$I$9+(((A126)+1)/2)*(Inputs!$J$9-Inputs!$I$9)))/45))+24*SIN(2*PI()*(Inputs!$C$6)/9+((Inputs!$I$9+(((A126)+1)/2)*(Inputs!$J$9-Inputs!$I$9)))/18)*EXP(-(((Inputs!$C$6)+5)^2)/(22^2))+18*SIN(2*PI()*((Inputs!$I$9+(((A126)+1)/2)*(Inputs!$J$9-Inputs!$I$9)))/70))+Inputs!$C$28*EXP(-((((Inputs!$I$9+(((A126)+1)/2)*(Inputs!$J$9-Inputs!$I$9)))-Inputs!$C$29)^2)/(2*Inputs!$C$31^2))*EXP(-(((Inputs!$C$6)-Inputs!$C$30)^2)/(2*Inputs!$C$32^2))+-Inputs!$C$33*EXP(-((((((Inputs!$I$9+(((A126)+1)/2)*(Inputs!$J$9-Inputs!$I$9)))-Inputs!$C$34)^2)+(((Inputs!$C$6)-Inputs!$C$35)^2))/(2*Inputs!$C$36^2)))+Inputs!$C$37*(0.55*SIN(2*PI()*((Inputs!$I$9+(((A126)+1)/2)*(Inputs!$J$9-Inputs!$I$9)))/Inputs!$C$39)+0.35*COS(2*PI()*(Inputs!$C$6)/Inputs!$C$40)+0.2*SIN(2*PI()*(((Inputs!$I$9+(((A126)+1)/2)*(Inputs!$J$9-Inputs!$I$9)))+(Inputs!$C$6))/(0.5*(Inputs!$C$39+Inputs!$C$40))))+Inputs!$C$38*SIN(2*PI()*((Inputs!$I$9+(((A126)+1)/2)*(Inputs!$J$9-Inputs!$I$9)))/Inputs!$C$39)*SIN(2*PI()*(Inputs!$C$6)/Inputs!$C$40)+-Inputs!$C$41*EXP(-(((Inputs!$C$6)-Inputs!$C$43)^2)/(2*Inputs!$C$44^2))*EXP(-((((Inputs!$I$9+(((A126)+1)/2)*(Inputs!$J$9-Inputs!$I$9)))-Inputs!$C$42)^2)/(2*Inputs!$C$45^2))+Inputs!$C$48*(0.7*(0.45*SIN(2*PI()*((((Inputs!$I$9+(((A126)+1)/2)*(Inputs!$J$9-Inputs!$I$9)))/Inputs!$C$49)+Inputs!$C$47*0.137))+0.35*COS(2*PI()*(((Inputs!$C$6)/Inputs!$C$50)+Inputs!$C$47*0.173))+0.2*SIN(2*PI()*((((Inputs!$I$9+(((A126)+1)/2)*(Inputs!$J$9-Inputs!$I$9)))+(Inputs!$C$6))/(0.5*(Inputs!$C$49+Inputs!$C$50))+Inputs!$C$47*0.097)))+0.3*(2*((SIN((((Inputs!$I$9+(((A126)+1)/2)*(Inputs!$J$9-Inputs!$I$9)))*12.9898+(Inputs!$C$6)*78.233+Inputs!$C$47*37.719))*43758.5453)-INT((SIN((((Inputs!$I$9+(((A126)+1)/2)*(Inputs!$J$9-Inputs!$I$9)))*12.9898+(Inputs!$C$6)*78.233+Inputs!$C$47*37.719))*43758.5453)))-1))),NA())</f>
        <v/>
      </c>
      <c r="AW126" s="10" t="n"/>
      <c r="AX126" s="9">
        <f>A126</f>
        <v/>
      </c>
      <c r="AY126" s="9">
        <f>0</f>
        <v/>
      </c>
      <c r="AZ126" s="9">
        <f>IF(OR(Inputs!$F$6=TRUE,Inputs!$F$6="TRUE",Inputs!$F$6=1),(Inputs!$H$6+Inputs!$L$6*(((Inputs!$I$6+(((A126)+1)/2)*(Inputs!$J$6-Inputs!$I$6)))/Inputs!$K$6)^2),NA())</f>
        <v/>
      </c>
      <c r="BA126" s="9">
        <f>IF(OR(Inputs!$F$7=TRUE,Inputs!$F$7="TRUE",Inputs!$F$7=1),(Inputs!$H$7+Inputs!$L$7*(((Inputs!$I$7+(((A126)+1)/2)*(Inputs!$J$7-Inputs!$I$7)))/Inputs!$K$7)^2),NA())</f>
        <v/>
      </c>
      <c r="BB126" s="9">
        <f>IF(OR(Inputs!$F$8=TRUE,Inputs!$F$8="TRUE",Inputs!$F$8=1),(Inputs!$H$8+Inputs!$L$8*(((Inputs!$I$8+(((A126)+1)/2)*(Inputs!$J$8-Inputs!$I$8)))/Inputs!$K$8)^2),NA())</f>
        <v/>
      </c>
      <c r="BC126" s="9">
        <f>IF(OR(Inputs!$F$9=TRUE,Inputs!$F$9="TRUE",Inputs!$F$9=1),(Inputs!$H$9+Inputs!$L$9*(((Inputs!$I$9+(((A126)+1)/2)*(Inputs!$J$9-Inputs!$I$9)))/Inputs!$K$9)^2),NA())</f>
        <v/>
      </c>
      <c r="BD126" s="10" t="n"/>
      <c r="BE126" s="9">
        <f>A126</f>
        <v/>
      </c>
      <c r="BF126" s="9">
        <f>0</f>
        <v/>
      </c>
      <c r="BG126" s="9">
        <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f>
        <v/>
      </c>
      <c r="BH126" s="9">
        <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f>
        <v/>
      </c>
      <c r="BI126" s="9">
        <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f>
        <v/>
      </c>
      <c r="BJ126" s="9">
        <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f>
        <v/>
      </c>
    </row>
    <row r="127">
      <c r="A127" s="9">
        <f>ROUND(-1+125*2/240,3)</f>
        <v/>
      </c>
      <c r="B127" s="9">
        <f>IF(OR(Inputs!$F$6=TRUE,Inputs!$F$6="TRUE",Inputs!$F$6=1),(Inputs!$H$6+Inputs!$L$6*(((Inputs!$I$6+(((A127)+1)/2)*(Inputs!$J$6-Inputs!$I$6)))/Inputs!$K$6)^2),NA())</f>
        <v/>
      </c>
      <c r="C127" s="9">
        <f>IF(OR(Inputs!$F$7=TRUE,Inputs!$F$7="TRUE",Inputs!$F$7=1),(Inputs!$H$7+Inputs!$L$7*(((Inputs!$I$7+(((A127)+1)/2)*(Inputs!$J$7-Inputs!$I$7)))/Inputs!$K$7)^2),NA())</f>
        <v/>
      </c>
      <c r="D127" s="9">
        <f>IF(OR(Inputs!$F$8=TRUE,Inputs!$F$8="TRUE",Inputs!$F$8=1),(Inputs!$H$8+Inputs!$L$8*(((Inputs!$I$8+(((A127)+1)/2)*(Inputs!$J$8-Inputs!$I$8)))/Inputs!$K$8)^2),NA())</f>
        <v/>
      </c>
      <c r="E127" s="9">
        <f>IF(OR(Inputs!$F$9=TRUE,Inputs!$F$9="TRUE",Inputs!$F$9=1),(Inputs!$H$9+Inputs!$L$9*(((Inputs!$I$9+(((A127)+1)/2)*(Inputs!$J$9-Inputs!$I$9)))/Inputs!$K$9)^2),NA())</f>
        <v/>
      </c>
      <c r="F127" s="10" t="n"/>
      <c r="G127" s="9">
        <f>A127</f>
        <v/>
      </c>
      <c r="H127" s="9">
        <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f>
        <v/>
      </c>
      <c r="I127" s="9">
        <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f>
        <v/>
      </c>
      <c r="J127" s="9">
        <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f>
        <v/>
      </c>
      <c r="K127" s="9">
        <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f>
        <v/>
      </c>
      <c r="L127" s="10" t="n"/>
      <c r="M127" s="9">
        <f>A127</f>
        <v/>
      </c>
      <c r="N127" s="9">
        <f>IF(OR(Inputs!$F$6=TRUE,Inputs!$F$6="TRUE",Inputs!$F$6=1),(-2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NA())</f>
        <v/>
      </c>
      <c r="O127" s="9">
        <f>IF(OR(Inputs!$F$7=TRUE,Inputs!$F$7="TRUE",Inputs!$F$7=1),(-2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NA())</f>
        <v/>
      </c>
      <c r="P127" s="9">
        <f>IF(OR(Inputs!$F$8=TRUE,Inputs!$F$8="TRUE",Inputs!$F$8=1),(-2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NA())</f>
        <v/>
      </c>
      <c r="Q127" s="9">
        <f>IF(OR(Inputs!$F$9=TRUE,Inputs!$F$9="TRUE",Inputs!$F$9=1),(-2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NA())</f>
        <v/>
      </c>
      <c r="R127" s="10" t="n"/>
      <c r="S127" s="9">
        <f>A127</f>
        <v/>
      </c>
      <c r="T127" s="9">
        <f>(Inputs!$I$6+(((A127)+1)/2)*(Inputs!$J$6-Inputs!$I$6))</f>
        <v/>
      </c>
      <c r="U127" s="9">
        <f>(Inputs!$I$7+(((A127)+1)/2)*(Inputs!$J$7-Inputs!$I$7))</f>
        <v/>
      </c>
      <c r="V127" s="9">
        <f>(Inputs!$I$8+(((A127)+1)/2)*(Inputs!$J$8-Inputs!$I$8))</f>
        <v/>
      </c>
      <c r="W127" s="9">
        <f>(Inputs!$I$9+(((A127)+1)/2)*(Inputs!$J$9-Inputs!$I$9))</f>
        <v/>
      </c>
      <c r="X127" s="10" t="n"/>
      <c r="Y127" s="9">
        <f>A127</f>
        <v/>
      </c>
      <c r="Z127" s="9">
        <f>(Inputs!$H$6+Inputs!$L$6*(((Inputs!$I$6+(((A127)+1)/2)*(Inputs!$J$6-Inputs!$I$6)))/Inputs!$K$6)^2)</f>
        <v/>
      </c>
      <c r="AA127" s="9">
        <f>(Inputs!$H$7+Inputs!$L$7*(((Inputs!$I$7+(((A127)+1)/2)*(Inputs!$J$7-Inputs!$I$7)))/Inputs!$K$7)^2)</f>
        <v/>
      </c>
      <c r="AB127" s="9">
        <f>(Inputs!$H$8+Inputs!$L$8*(((Inputs!$I$8+(((A127)+1)/2)*(Inputs!$J$8-Inputs!$I$8)))/Inputs!$K$8)^2)</f>
        <v/>
      </c>
      <c r="AC127" s="9">
        <f>(Inputs!$H$9+Inputs!$L$9*(((Inputs!$I$9+(((A127)+1)/2)*(Inputs!$J$9-Inputs!$I$9)))/Inputs!$K$9)^2)</f>
        <v/>
      </c>
      <c r="AD127" s="10" t="n"/>
      <c r="AE127" s="9">
        <f>A127</f>
        <v/>
      </c>
      <c r="AF127" s="9">
        <f>(((SQRT((Inputs!$C$52+((Inputs!$H$6+Inputs!$L$6*(((Inputs!$I$6+(((A127)+1)/2)*(Inputs!$J$6-Inputs!$I$6)))/Inputs!$K$6)^2)))^2+Inputs!$C$52^2-2*(Inputs!$C$52+((Inputs!$H$6+Inputs!$L$6*(((Inputs!$I$6+(((A127)+1)/2)*(Inputs!$J$6-Inputs!$I$6)))/Inputs!$K$6)^2)))*Inputs!$C$52*COS(SQRT(((Inputs!$I$6+(((A127)+1)/2)*(Inputs!$J$6-Inputs!$I$6)))^2+Inputs!$C$6^2)/Inputs!$C$52)))-((Inputs!$H$6+Inputs!$L$6*(((Inputs!$I$6+(((A127)+1)/2)*(Inputs!$J$6-Inputs!$I$6)))/Inputs!$K$6)^2)))*1000/Inputs!$C$12)</f>
        <v/>
      </c>
      <c r="AG127" s="9">
        <f>(((SQRT((Inputs!$C$52+((Inputs!$H$7+Inputs!$L$7*(((Inputs!$I$7+(((A127)+1)/2)*(Inputs!$J$7-Inputs!$I$7)))/Inputs!$K$7)^2)))^2+Inputs!$C$52^2-2*(Inputs!$C$52+((Inputs!$H$7+Inputs!$L$7*(((Inputs!$I$7+(((A127)+1)/2)*(Inputs!$J$7-Inputs!$I$7)))/Inputs!$K$7)^2)))*Inputs!$C$52*COS(SQRT(((Inputs!$I$7+(((A127)+1)/2)*(Inputs!$J$7-Inputs!$I$7)))^2+Inputs!$C$6^2)/Inputs!$C$52)))-((Inputs!$H$7+Inputs!$L$7*(((Inputs!$I$7+(((A127)+1)/2)*(Inputs!$J$7-Inputs!$I$7)))/Inputs!$K$7)^2)))*1000/Inputs!$C$12)</f>
        <v/>
      </c>
      <c r="AH127" s="9">
        <f>(((SQRT((Inputs!$C$52+((Inputs!$H$8+Inputs!$L$8*(((Inputs!$I$8+(((A127)+1)/2)*(Inputs!$J$8-Inputs!$I$8)))/Inputs!$K$8)^2)))^2+Inputs!$C$52^2-2*(Inputs!$C$52+((Inputs!$H$8+Inputs!$L$8*(((Inputs!$I$8+(((A127)+1)/2)*(Inputs!$J$8-Inputs!$I$8)))/Inputs!$K$8)^2)))*Inputs!$C$52*COS(SQRT(((Inputs!$I$8+(((A127)+1)/2)*(Inputs!$J$8-Inputs!$I$8)))^2+Inputs!$C$6^2)/Inputs!$C$52)))-((Inputs!$H$8+Inputs!$L$8*(((Inputs!$I$8+(((A127)+1)/2)*(Inputs!$J$8-Inputs!$I$8)))/Inputs!$K$8)^2)))*1000/Inputs!$C$12)</f>
        <v/>
      </c>
      <c r="AI127" s="9">
        <f>(((SQRT((Inputs!$C$52+((Inputs!$H$9+Inputs!$L$9*(((Inputs!$I$9+(((A127)+1)/2)*(Inputs!$J$9-Inputs!$I$9)))/Inputs!$K$9)^2)))^2+Inputs!$C$52^2-2*(Inputs!$C$52+((Inputs!$H$9+Inputs!$L$9*(((Inputs!$I$9+(((A127)+1)/2)*(Inputs!$J$9-Inputs!$I$9)))/Inputs!$K$9)^2)))*Inputs!$C$52*COS(SQRT(((Inputs!$I$9+(((A127)+1)/2)*(Inputs!$J$9-Inputs!$I$9)))^2+Inputs!$C$6^2)/Inputs!$C$52)))-((Inputs!$H$9+Inputs!$L$9*(((Inputs!$I$9+(((A127)+1)/2)*(Inputs!$J$9-Inputs!$I$9)))/Inputs!$K$9)^2)))*1000/Inputs!$C$12)</f>
        <v/>
      </c>
      <c r="AJ127" s="10" t="n"/>
      <c r="AK127" s="9">
        <f>A127</f>
        <v/>
      </c>
      <c r="AL127" s="9">
        <f>(-2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f>
        <v/>
      </c>
      <c r="AM127" s="9">
        <f>(-2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f>
        <v/>
      </c>
      <c r="AN127" s="9">
        <f>(-2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f>
        <v/>
      </c>
      <c r="AO127" s="9">
        <f>(-2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f>
        <v/>
      </c>
      <c r="AP127" s="10" t="n"/>
      <c r="AQ127" s="9">
        <f>A127</f>
        <v/>
      </c>
      <c r="AR127" s="9">
        <f>0</f>
        <v/>
      </c>
      <c r="AS127" s="9">
        <f>IF(OR(Inputs!$F$6=TRUE,Inputs!$F$6="TRUE",Inputs!$F$6=1),IF(OR(Inputs!$C$27=TRUE,Inputs!$C$27="TRUE",Inputs!$C$27=1),1,0)*(Inputs!$C$51*(115*EXP(-(((Inputs!$C$6)-25)^2)/(4.5^2))+70*EXP(-(((Inputs!$C$6)+38)^2)/(7^2))*(0.55+0.45*SIN(2*PI()*((Inputs!$I$6+(((A127)+1)/2)*(Inputs!$J$6-Inputs!$I$6)))/45))+24*SIN(2*PI()*(Inputs!$C$6)/9+((Inputs!$I$6+(((A127)+1)/2)*(Inputs!$J$6-Inputs!$I$6)))/18)*EXP(-(((Inputs!$C$6)+5)^2)/(22^2))+18*SIN(2*PI()*((Inputs!$I$6+(((A127)+1)/2)*(Inputs!$J$6-Inputs!$I$6)))/70))+Inputs!$C$28*EXP(-((((Inputs!$I$6+(((A127)+1)/2)*(Inputs!$J$6-Inputs!$I$6)))-Inputs!$C$29)^2)/(2*Inputs!$C$31^2))*EXP(-(((Inputs!$C$6)-Inputs!$C$30)^2)/(2*Inputs!$C$32^2))+-Inputs!$C$33*EXP(-((((((Inputs!$I$6+(((A127)+1)/2)*(Inputs!$J$6-Inputs!$I$6)))-Inputs!$C$34)^2)+(((Inputs!$C$6)-Inputs!$C$35)^2))/(2*Inputs!$C$36^2)))+Inputs!$C$37*(0.55*SIN(2*PI()*((Inputs!$I$6+(((A127)+1)/2)*(Inputs!$J$6-Inputs!$I$6)))/Inputs!$C$39)+0.35*COS(2*PI()*(Inputs!$C$6)/Inputs!$C$40)+0.2*SIN(2*PI()*(((Inputs!$I$6+(((A127)+1)/2)*(Inputs!$J$6-Inputs!$I$6)))+(Inputs!$C$6))/(0.5*(Inputs!$C$39+Inputs!$C$40))))+Inputs!$C$38*SIN(2*PI()*((Inputs!$I$6+(((A127)+1)/2)*(Inputs!$J$6-Inputs!$I$6)))/Inputs!$C$39)*SIN(2*PI()*(Inputs!$C$6)/Inputs!$C$40)+-Inputs!$C$41*EXP(-(((Inputs!$C$6)-Inputs!$C$43)^2)/(2*Inputs!$C$44^2))*EXP(-((((Inputs!$I$6+(((A127)+1)/2)*(Inputs!$J$6-Inputs!$I$6)))-Inputs!$C$42)^2)/(2*Inputs!$C$45^2))+Inputs!$C$48*(0.7*(0.45*SIN(2*PI()*((((Inputs!$I$6+(((A127)+1)/2)*(Inputs!$J$6-Inputs!$I$6)))/Inputs!$C$49)+Inputs!$C$47*0.137))+0.35*COS(2*PI()*(((Inputs!$C$6)/Inputs!$C$50)+Inputs!$C$47*0.173))+0.2*SIN(2*PI()*((((Inputs!$I$6+(((A127)+1)/2)*(Inputs!$J$6-Inputs!$I$6)))+(Inputs!$C$6))/(0.5*(Inputs!$C$49+Inputs!$C$50))+Inputs!$C$47*0.097)))+0.3*(2*((SIN((((Inputs!$I$6+(((A127)+1)/2)*(Inputs!$J$6-Inputs!$I$6)))*12.9898+(Inputs!$C$6)*78.233+Inputs!$C$47*37.719))*43758.5453)-INT((SIN((((Inputs!$I$6+(((A127)+1)/2)*(Inputs!$J$6-Inputs!$I$6)))*12.9898+(Inputs!$C$6)*78.233+Inputs!$C$47*37.719))*43758.5453)))-1))),NA())</f>
        <v/>
      </c>
      <c r="AT127" s="9">
        <f>IF(OR(Inputs!$F$7=TRUE,Inputs!$F$7="TRUE",Inputs!$F$7=1),IF(OR(Inputs!$C$27=TRUE,Inputs!$C$27="TRUE",Inputs!$C$27=1),1,0)*(Inputs!$C$51*(115*EXP(-(((Inputs!$C$6)-25)^2)/(4.5^2))+70*EXP(-(((Inputs!$C$6)+38)^2)/(7^2))*(0.55+0.45*SIN(2*PI()*((Inputs!$I$7+(((A127)+1)/2)*(Inputs!$J$7-Inputs!$I$7)))/45))+24*SIN(2*PI()*(Inputs!$C$6)/9+((Inputs!$I$7+(((A127)+1)/2)*(Inputs!$J$7-Inputs!$I$7)))/18)*EXP(-(((Inputs!$C$6)+5)^2)/(22^2))+18*SIN(2*PI()*((Inputs!$I$7+(((A127)+1)/2)*(Inputs!$J$7-Inputs!$I$7)))/70))+Inputs!$C$28*EXP(-((((Inputs!$I$7+(((A127)+1)/2)*(Inputs!$J$7-Inputs!$I$7)))-Inputs!$C$29)^2)/(2*Inputs!$C$31^2))*EXP(-(((Inputs!$C$6)-Inputs!$C$30)^2)/(2*Inputs!$C$32^2))+-Inputs!$C$33*EXP(-((((((Inputs!$I$7+(((A127)+1)/2)*(Inputs!$J$7-Inputs!$I$7)))-Inputs!$C$34)^2)+(((Inputs!$C$6)-Inputs!$C$35)^2))/(2*Inputs!$C$36^2)))+Inputs!$C$37*(0.55*SIN(2*PI()*((Inputs!$I$7+(((A127)+1)/2)*(Inputs!$J$7-Inputs!$I$7)))/Inputs!$C$39)+0.35*COS(2*PI()*(Inputs!$C$6)/Inputs!$C$40)+0.2*SIN(2*PI()*(((Inputs!$I$7+(((A127)+1)/2)*(Inputs!$J$7-Inputs!$I$7)))+(Inputs!$C$6))/(0.5*(Inputs!$C$39+Inputs!$C$40))))+Inputs!$C$38*SIN(2*PI()*((Inputs!$I$7+(((A127)+1)/2)*(Inputs!$J$7-Inputs!$I$7)))/Inputs!$C$39)*SIN(2*PI()*(Inputs!$C$6)/Inputs!$C$40)+-Inputs!$C$41*EXP(-(((Inputs!$C$6)-Inputs!$C$43)^2)/(2*Inputs!$C$44^2))*EXP(-((((Inputs!$I$7+(((A127)+1)/2)*(Inputs!$J$7-Inputs!$I$7)))-Inputs!$C$42)^2)/(2*Inputs!$C$45^2))+Inputs!$C$48*(0.7*(0.45*SIN(2*PI()*((((Inputs!$I$7+(((A127)+1)/2)*(Inputs!$J$7-Inputs!$I$7)))/Inputs!$C$49)+Inputs!$C$47*0.137))+0.35*COS(2*PI()*(((Inputs!$C$6)/Inputs!$C$50)+Inputs!$C$47*0.173))+0.2*SIN(2*PI()*((((Inputs!$I$7+(((A127)+1)/2)*(Inputs!$J$7-Inputs!$I$7)))+(Inputs!$C$6))/(0.5*(Inputs!$C$49+Inputs!$C$50))+Inputs!$C$47*0.097)))+0.3*(2*((SIN((((Inputs!$I$7+(((A127)+1)/2)*(Inputs!$J$7-Inputs!$I$7)))*12.9898+(Inputs!$C$6)*78.233+Inputs!$C$47*37.719))*43758.5453)-INT((SIN((((Inputs!$I$7+(((A127)+1)/2)*(Inputs!$J$7-Inputs!$I$7)))*12.9898+(Inputs!$C$6)*78.233+Inputs!$C$47*37.719))*43758.5453)))-1))),NA())</f>
        <v/>
      </c>
      <c r="AU127" s="9">
        <f>IF(OR(Inputs!$F$8=TRUE,Inputs!$F$8="TRUE",Inputs!$F$8=1),IF(OR(Inputs!$C$27=TRUE,Inputs!$C$27="TRUE",Inputs!$C$27=1),1,0)*(Inputs!$C$51*(115*EXP(-(((Inputs!$C$6)-25)^2)/(4.5^2))+70*EXP(-(((Inputs!$C$6)+38)^2)/(7^2))*(0.55+0.45*SIN(2*PI()*((Inputs!$I$8+(((A127)+1)/2)*(Inputs!$J$8-Inputs!$I$8)))/45))+24*SIN(2*PI()*(Inputs!$C$6)/9+((Inputs!$I$8+(((A127)+1)/2)*(Inputs!$J$8-Inputs!$I$8)))/18)*EXP(-(((Inputs!$C$6)+5)^2)/(22^2))+18*SIN(2*PI()*((Inputs!$I$8+(((A127)+1)/2)*(Inputs!$J$8-Inputs!$I$8)))/70))+Inputs!$C$28*EXP(-((((Inputs!$I$8+(((A127)+1)/2)*(Inputs!$J$8-Inputs!$I$8)))-Inputs!$C$29)^2)/(2*Inputs!$C$31^2))*EXP(-(((Inputs!$C$6)-Inputs!$C$30)^2)/(2*Inputs!$C$32^2))+-Inputs!$C$33*EXP(-((((((Inputs!$I$8+(((A127)+1)/2)*(Inputs!$J$8-Inputs!$I$8)))-Inputs!$C$34)^2)+(((Inputs!$C$6)-Inputs!$C$35)^2))/(2*Inputs!$C$36^2)))+Inputs!$C$37*(0.55*SIN(2*PI()*((Inputs!$I$8+(((A127)+1)/2)*(Inputs!$J$8-Inputs!$I$8)))/Inputs!$C$39)+0.35*COS(2*PI()*(Inputs!$C$6)/Inputs!$C$40)+0.2*SIN(2*PI()*(((Inputs!$I$8+(((A127)+1)/2)*(Inputs!$J$8-Inputs!$I$8)))+(Inputs!$C$6))/(0.5*(Inputs!$C$39+Inputs!$C$40))))+Inputs!$C$38*SIN(2*PI()*((Inputs!$I$8+(((A127)+1)/2)*(Inputs!$J$8-Inputs!$I$8)))/Inputs!$C$39)*SIN(2*PI()*(Inputs!$C$6)/Inputs!$C$40)+-Inputs!$C$41*EXP(-(((Inputs!$C$6)-Inputs!$C$43)^2)/(2*Inputs!$C$44^2))*EXP(-((((Inputs!$I$8+(((A127)+1)/2)*(Inputs!$J$8-Inputs!$I$8)))-Inputs!$C$42)^2)/(2*Inputs!$C$45^2))+Inputs!$C$48*(0.7*(0.45*SIN(2*PI()*((((Inputs!$I$8+(((A127)+1)/2)*(Inputs!$J$8-Inputs!$I$8)))/Inputs!$C$49)+Inputs!$C$47*0.137))+0.35*COS(2*PI()*(((Inputs!$C$6)/Inputs!$C$50)+Inputs!$C$47*0.173))+0.2*SIN(2*PI()*((((Inputs!$I$8+(((A127)+1)/2)*(Inputs!$J$8-Inputs!$I$8)))+(Inputs!$C$6))/(0.5*(Inputs!$C$49+Inputs!$C$50))+Inputs!$C$47*0.097)))+0.3*(2*((SIN((((Inputs!$I$8+(((A127)+1)/2)*(Inputs!$J$8-Inputs!$I$8)))*12.9898+(Inputs!$C$6)*78.233+Inputs!$C$47*37.719))*43758.5453)-INT((SIN((((Inputs!$I$8+(((A127)+1)/2)*(Inputs!$J$8-Inputs!$I$8)))*12.9898+(Inputs!$C$6)*78.233+Inputs!$C$47*37.719))*43758.5453)))-1))),NA())</f>
        <v/>
      </c>
      <c r="AV127" s="9">
        <f>IF(OR(Inputs!$F$9=TRUE,Inputs!$F$9="TRUE",Inputs!$F$9=1),IF(OR(Inputs!$C$27=TRUE,Inputs!$C$27="TRUE",Inputs!$C$27=1),1,0)*(Inputs!$C$51*(115*EXP(-(((Inputs!$C$6)-25)^2)/(4.5^2))+70*EXP(-(((Inputs!$C$6)+38)^2)/(7^2))*(0.55+0.45*SIN(2*PI()*((Inputs!$I$9+(((A127)+1)/2)*(Inputs!$J$9-Inputs!$I$9)))/45))+24*SIN(2*PI()*(Inputs!$C$6)/9+((Inputs!$I$9+(((A127)+1)/2)*(Inputs!$J$9-Inputs!$I$9)))/18)*EXP(-(((Inputs!$C$6)+5)^2)/(22^2))+18*SIN(2*PI()*((Inputs!$I$9+(((A127)+1)/2)*(Inputs!$J$9-Inputs!$I$9)))/70))+Inputs!$C$28*EXP(-((((Inputs!$I$9+(((A127)+1)/2)*(Inputs!$J$9-Inputs!$I$9)))-Inputs!$C$29)^2)/(2*Inputs!$C$31^2))*EXP(-(((Inputs!$C$6)-Inputs!$C$30)^2)/(2*Inputs!$C$32^2))+-Inputs!$C$33*EXP(-((((((Inputs!$I$9+(((A127)+1)/2)*(Inputs!$J$9-Inputs!$I$9)))-Inputs!$C$34)^2)+(((Inputs!$C$6)-Inputs!$C$35)^2))/(2*Inputs!$C$36^2)))+Inputs!$C$37*(0.55*SIN(2*PI()*((Inputs!$I$9+(((A127)+1)/2)*(Inputs!$J$9-Inputs!$I$9)))/Inputs!$C$39)+0.35*COS(2*PI()*(Inputs!$C$6)/Inputs!$C$40)+0.2*SIN(2*PI()*(((Inputs!$I$9+(((A127)+1)/2)*(Inputs!$J$9-Inputs!$I$9)))+(Inputs!$C$6))/(0.5*(Inputs!$C$39+Inputs!$C$40))))+Inputs!$C$38*SIN(2*PI()*((Inputs!$I$9+(((A127)+1)/2)*(Inputs!$J$9-Inputs!$I$9)))/Inputs!$C$39)*SIN(2*PI()*(Inputs!$C$6)/Inputs!$C$40)+-Inputs!$C$41*EXP(-(((Inputs!$C$6)-Inputs!$C$43)^2)/(2*Inputs!$C$44^2))*EXP(-((((Inputs!$I$9+(((A127)+1)/2)*(Inputs!$J$9-Inputs!$I$9)))-Inputs!$C$42)^2)/(2*Inputs!$C$45^2))+Inputs!$C$48*(0.7*(0.45*SIN(2*PI()*((((Inputs!$I$9+(((A127)+1)/2)*(Inputs!$J$9-Inputs!$I$9)))/Inputs!$C$49)+Inputs!$C$47*0.137))+0.35*COS(2*PI()*(((Inputs!$C$6)/Inputs!$C$50)+Inputs!$C$47*0.173))+0.2*SIN(2*PI()*((((Inputs!$I$9+(((A127)+1)/2)*(Inputs!$J$9-Inputs!$I$9)))+(Inputs!$C$6))/(0.5*(Inputs!$C$49+Inputs!$C$50))+Inputs!$C$47*0.097)))+0.3*(2*((SIN((((Inputs!$I$9+(((A127)+1)/2)*(Inputs!$J$9-Inputs!$I$9)))*12.9898+(Inputs!$C$6)*78.233+Inputs!$C$47*37.719))*43758.5453)-INT((SIN((((Inputs!$I$9+(((A127)+1)/2)*(Inputs!$J$9-Inputs!$I$9)))*12.9898+(Inputs!$C$6)*78.233+Inputs!$C$47*37.719))*43758.5453)))-1))),NA())</f>
        <v/>
      </c>
      <c r="AW127" s="10" t="n"/>
      <c r="AX127" s="9">
        <f>A127</f>
        <v/>
      </c>
      <c r="AY127" s="9">
        <f>0</f>
        <v/>
      </c>
      <c r="AZ127" s="9">
        <f>IF(OR(Inputs!$F$6=TRUE,Inputs!$F$6="TRUE",Inputs!$F$6=1),(Inputs!$H$6+Inputs!$L$6*(((Inputs!$I$6+(((A127)+1)/2)*(Inputs!$J$6-Inputs!$I$6)))/Inputs!$K$6)^2),NA())</f>
        <v/>
      </c>
      <c r="BA127" s="9">
        <f>IF(OR(Inputs!$F$7=TRUE,Inputs!$F$7="TRUE",Inputs!$F$7=1),(Inputs!$H$7+Inputs!$L$7*(((Inputs!$I$7+(((A127)+1)/2)*(Inputs!$J$7-Inputs!$I$7)))/Inputs!$K$7)^2),NA())</f>
        <v/>
      </c>
      <c r="BB127" s="9">
        <f>IF(OR(Inputs!$F$8=TRUE,Inputs!$F$8="TRUE",Inputs!$F$8=1),(Inputs!$H$8+Inputs!$L$8*(((Inputs!$I$8+(((A127)+1)/2)*(Inputs!$J$8-Inputs!$I$8)))/Inputs!$K$8)^2),NA())</f>
        <v/>
      </c>
      <c r="BC127" s="9">
        <f>IF(OR(Inputs!$F$9=TRUE,Inputs!$F$9="TRUE",Inputs!$F$9=1),(Inputs!$H$9+Inputs!$L$9*(((Inputs!$I$9+(((A127)+1)/2)*(Inputs!$J$9-Inputs!$I$9)))/Inputs!$K$9)^2),NA())</f>
        <v/>
      </c>
      <c r="BD127" s="10" t="n"/>
      <c r="BE127" s="9">
        <f>A127</f>
        <v/>
      </c>
      <c r="BF127" s="9">
        <f>0</f>
        <v/>
      </c>
      <c r="BG127" s="9">
        <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f>
        <v/>
      </c>
      <c r="BH127" s="9">
        <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f>
        <v/>
      </c>
      <c r="BI127" s="9">
        <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f>
        <v/>
      </c>
      <c r="BJ127" s="9">
        <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f>
        <v/>
      </c>
    </row>
    <row r="128">
      <c r="A128" s="9">
        <f>ROUND(-1+126*2/240,3)</f>
        <v/>
      </c>
      <c r="B128" s="9">
        <f>IF(OR(Inputs!$F$6=TRUE,Inputs!$F$6="TRUE",Inputs!$F$6=1),(Inputs!$H$6+Inputs!$L$6*(((Inputs!$I$6+(((A128)+1)/2)*(Inputs!$J$6-Inputs!$I$6)))/Inputs!$K$6)^2),NA())</f>
        <v/>
      </c>
      <c r="C128" s="9">
        <f>IF(OR(Inputs!$F$7=TRUE,Inputs!$F$7="TRUE",Inputs!$F$7=1),(Inputs!$H$7+Inputs!$L$7*(((Inputs!$I$7+(((A128)+1)/2)*(Inputs!$J$7-Inputs!$I$7)))/Inputs!$K$7)^2),NA())</f>
        <v/>
      </c>
      <c r="D128" s="9">
        <f>IF(OR(Inputs!$F$8=TRUE,Inputs!$F$8="TRUE",Inputs!$F$8=1),(Inputs!$H$8+Inputs!$L$8*(((Inputs!$I$8+(((A128)+1)/2)*(Inputs!$J$8-Inputs!$I$8)))/Inputs!$K$8)^2),NA())</f>
        <v/>
      </c>
      <c r="E128" s="9">
        <f>IF(OR(Inputs!$F$9=TRUE,Inputs!$F$9="TRUE",Inputs!$F$9=1),(Inputs!$H$9+Inputs!$L$9*(((Inputs!$I$9+(((A128)+1)/2)*(Inputs!$J$9-Inputs!$I$9)))/Inputs!$K$9)^2),NA())</f>
        <v/>
      </c>
      <c r="F128" s="10" t="n"/>
      <c r="G128" s="9">
        <f>A128</f>
        <v/>
      </c>
      <c r="H128" s="9">
        <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f>
        <v/>
      </c>
      <c r="I128" s="9">
        <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f>
        <v/>
      </c>
      <c r="J128" s="9">
        <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f>
        <v/>
      </c>
      <c r="K128" s="9">
        <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f>
        <v/>
      </c>
      <c r="L128" s="10" t="n"/>
      <c r="M128" s="9">
        <f>A128</f>
        <v/>
      </c>
      <c r="N128" s="9">
        <f>IF(OR(Inputs!$F$6=TRUE,Inputs!$F$6="TRUE",Inputs!$F$6=1),(-2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NA())</f>
        <v/>
      </c>
      <c r="O128" s="9">
        <f>IF(OR(Inputs!$F$7=TRUE,Inputs!$F$7="TRUE",Inputs!$F$7=1),(-2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NA())</f>
        <v/>
      </c>
      <c r="P128" s="9">
        <f>IF(OR(Inputs!$F$8=TRUE,Inputs!$F$8="TRUE",Inputs!$F$8=1),(-2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NA())</f>
        <v/>
      </c>
      <c r="Q128" s="9">
        <f>IF(OR(Inputs!$F$9=TRUE,Inputs!$F$9="TRUE",Inputs!$F$9=1),(-2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NA())</f>
        <v/>
      </c>
      <c r="R128" s="10" t="n"/>
      <c r="S128" s="9">
        <f>A128</f>
        <v/>
      </c>
      <c r="T128" s="9">
        <f>(Inputs!$I$6+(((A128)+1)/2)*(Inputs!$J$6-Inputs!$I$6))</f>
        <v/>
      </c>
      <c r="U128" s="9">
        <f>(Inputs!$I$7+(((A128)+1)/2)*(Inputs!$J$7-Inputs!$I$7))</f>
        <v/>
      </c>
      <c r="V128" s="9">
        <f>(Inputs!$I$8+(((A128)+1)/2)*(Inputs!$J$8-Inputs!$I$8))</f>
        <v/>
      </c>
      <c r="W128" s="9">
        <f>(Inputs!$I$9+(((A128)+1)/2)*(Inputs!$J$9-Inputs!$I$9))</f>
        <v/>
      </c>
      <c r="X128" s="10" t="n"/>
      <c r="Y128" s="9">
        <f>A128</f>
        <v/>
      </c>
      <c r="Z128" s="9">
        <f>(Inputs!$H$6+Inputs!$L$6*(((Inputs!$I$6+(((A128)+1)/2)*(Inputs!$J$6-Inputs!$I$6)))/Inputs!$K$6)^2)</f>
        <v/>
      </c>
      <c r="AA128" s="9">
        <f>(Inputs!$H$7+Inputs!$L$7*(((Inputs!$I$7+(((A128)+1)/2)*(Inputs!$J$7-Inputs!$I$7)))/Inputs!$K$7)^2)</f>
        <v/>
      </c>
      <c r="AB128" s="9">
        <f>(Inputs!$H$8+Inputs!$L$8*(((Inputs!$I$8+(((A128)+1)/2)*(Inputs!$J$8-Inputs!$I$8)))/Inputs!$K$8)^2)</f>
        <v/>
      </c>
      <c r="AC128" s="9">
        <f>(Inputs!$H$9+Inputs!$L$9*(((Inputs!$I$9+(((A128)+1)/2)*(Inputs!$J$9-Inputs!$I$9)))/Inputs!$K$9)^2)</f>
        <v/>
      </c>
      <c r="AD128" s="10" t="n"/>
      <c r="AE128" s="9">
        <f>A128</f>
        <v/>
      </c>
      <c r="AF128" s="9">
        <f>(((SQRT((Inputs!$C$52+((Inputs!$H$6+Inputs!$L$6*(((Inputs!$I$6+(((A128)+1)/2)*(Inputs!$J$6-Inputs!$I$6)))/Inputs!$K$6)^2)))^2+Inputs!$C$52^2-2*(Inputs!$C$52+((Inputs!$H$6+Inputs!$L$6*(((Inputs!$I$6+(((A128)+1)/2)*(Inputs!$J$6-Inputs!$I$6)))/Inputs!$K$6)^2)))*Inputs!$C$52*COS(SQRT(((Inputs!$I$6+(((A128)+1)/2)*(Inputs!$J$6-Inputs!$I$6)))^2+Inputs!$C$6^2)/Inputs!$C$52)))-((Inputs!$H$6+Inputs!$L$6*(((Inputs!$I$6+(((A128)+1)/2)*(Inputs!$J$6-Inputs!$I$6)))/Inputs!$K$6)^2)))*1000/Inputs!$C$12)</f>
        <v/>
      </c>
      <c r="AG128" s="9">
        <f>(((SQRT((Inputs!$C$52+((Inputs!$H$7+Inputs!$L$7*(((Inputs!$I$7+(((A128)+1)/2)*(Inputs!$J$7-Inputs!$I$7)))/Inputs!$K$7)^2)))^2+Inputs!$C$52^2-2*(Inputs!$C$52+((Inputs!$H$7+Inputs!$L$7*(((Inputs!$I$7+(((A128)+1)/2)*(Inputs!$J$7-Inputs!$I$7)))/Inputs!$K$7)^2)))*Inputs!$C$52*COS(SQRT(((Inputs!$I$7+(((A128)+1)/2)*(Inputs!$J$7-Inputs!$I$7)))^2+Inputs!$C$6^2)/Inputs!$C$52)))-((Inputs!$H$7+Inputs!$L$7*(((Inputs!$I$7+(((A128)+1)/2)*(Inputs!$J$7-Inputs!$I$7)))/Inputs!$K$7)^2)))*1000/Inputs!$C$12)</f>
        <v/>
      </c>
      <c r="AH128" s="9">
        <f>(((SQRT((Inputs!$C$52+((Inputs!$H$8+Inputs!$L$8*(((Inputs!$I$8+(((A128)+1)/2)*(Inputs!$J$8-Inputs!$I$8)))/Inputs!$K$8)^2)))^2+Inputs!$C$52^2-2*(Inputs!$C$52+((Inputs!$H$8+Inputs!$L$8*(((Inputs!$I$8+(((A128)+1)/2)*(Inputs!$J$8-Inputs!$I$8)))/Inputs!$K$8)^2)))*Inputs!$C$52*COS(SQRT(((Inputs!$I$8+(((A128)+1)/2)*(Inputs!$J$8-Inputs!$I$8)))^2+Inputs!$C$6^2)/Inputs!$C$52)))-((Inputs!$H$8+Inputs!$L$8*(((Inputs!$I$8+(((A128)+1)/2)*(Inputs!$J$8-Inputs!$I$8)))/Inputs!$K$8)^2)))*1000/Inputs!$C$12)</f>
        <v/>
      </c>
      <c r="AI128" s="9">
        <f>(((SQRT((Inputs!$C$52+((Inputs!$H$9+Inputs!$L$9*(((Inputs!$I$9+(((A128)+1)/2)*(Inputs!$J$9-Inputs!$I$9)))/Inputs!$K$9)^2)))^2+Inputs!$C$52^2-2*(Inputs!$C$52+((Inputs!$H$9+Inputs!$L$9*(((Inputs!$I$9+(((A128)+1)/2)*(Inputs!$J$9-Inputs!$I$9)))/Inputs!$K$9)^2)))*Inputs!$C$52*COS(SQRT(((Inputs!$I$9+(((A128)+1)/2)*(Inputs!$J$9-Inputs!$I$9)))^2+Inputs!$C$6^2)/Inputs!$C$52)))-((Inputs!$H$9+Inputs!$L$9*(((Inputs!$I$9+(((A128)+1)/2)*(Inputs!$J$9-Inputs!$I$9)))/Inputs!$K$9)^2)))*1000/Inputs!$C$12)</f>
        <v/>
      </c>
      <c r="AJ128" s="10" t="n"/>
      <c r="AK128" s="9">
        <f>A128</f>
        <v/>
      </c>
      <c r="AL128" s="9">
        <f>(-2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f>
        <v/>
      </c>
      <c r="AM128" s="9">
        <f>(-2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f>
        <v/>
      </c>
      <c r="AN128" s="9">
        <f>(-2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f>
        <v/>
      </c>
      <c r="AO128" s="9">
        <f>(-2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f>
        <v/>
      </c>
      <c r="AP128" s="10" t="n"/>
      <c r="AQ128" s="9">
        <f>A128</f>
        <v/>
      </c>
      <c r="AR128" s="9">
        <f>0</f>
        <v/>
      </c>
      <c r="AS128" s="9">
        <f>IF(OR(Inputs!$F$6=TRUE,Inputs!$F$6="TRUE",Inputs!$F$6=1),IF(OR(Inputs!$C$27=TRUE,Inputs!$C$27="TRUE",Inputs!$C$27=1),1,0)*(Inputs!$C$51*(115*EXP(-(((Inputs!$C$6)-25)^2)/(4.5^2))+70*EXP(-(((Inputs!$C$6)+38)^2)/(7^2))*(0.55+0.45*SIN(2*PI()*((Inputs!$I$6+(((A128)+1)/2)*(Inputs!$J$6-Inputs!$I$6)))/45))+24*SIN(2*PI()*(Inputs!$C$6)/9+((Inputs!$I$6+(((A128)+1)/2)*(Inputs!$J$6-Inputs!$I$6)))/18)*EXP(-(((Inputs!$C$6)+5)^2)/(22^2))+18*SIN(2*PI()*((Inputs!$I$6+(((A128)+1)/2)*(Inputs!$J$6-Inputs!$I$6)))/70))+Inputs!$C$28*EXP(-((((Inputs!$I$6+(((A128)+1)/2)*(Inputs!$J$6-Inputs!$I$6)))-Inputs!$C$29)^2)/(2*Inputs!$C$31^2))*EXP(-(((Inputs!$C$6)-Inputs!$C$30)^2)/(2*Inputs!$C$32^2))+-Inputs!$C$33*EXP(-((((((Inputs!$I$6+(((A128)+1)/2)*(Inputs!$J$6-Inputs!$I$6)))-Inputs!$C$34)^2)+(((Inputs!$C$6)-Inputs!$C$35)^2))/(2*Inputs!$C$36^2)))+Inputs!$C$37*(0.55*SIN(2*PI()*((Inputs!$I$6+(((A128)+1)/2)*(Inputs!$J$6-Inputs!$I$6)))/Inputs!$C$39)+0.35*COS(2*PI()*(Inputs!$C$6)/Inputs!$C$40)+0.2*SIN(2*PI()*(((Inputs!$I$6+(((A128)+1)/2)*(Inputs!$J$6-Inputs!$I$6)))+(Inputs!$C$6))/(0.5*(Inputs!$C$39+Inputs!$C$40))))+Inputs!$C$38*SIN(2*PI()*((Inputs!$I$6+(((A128)+1)/2)*(Inputs!$J$6-Inputs!$I$6)))/Inputs!$C$39)*SIN(2*PI()*(Inputs!$C$6)/Inputs!$C$40)+-Inputs!$C$41*EXP(-(((Inputs!$C$6)-Inputs!$C$43)^2)/(2*Inputs!$C$44^2))*EXP(-((((Inputs!$I$6+(((A128)+1)/2)*(Inputs!$J$6-Inputs!$I$6)))-Inputs!$C$42)^2)/(2*Inputs!$C$45^2))+Inputs!$C$48*(0.7*(0.45*SIN(2*PI()*((((Inputs!$I$6+(((A128)+1)/2)*(Inputs!$J$6-Inputs!$I$6)))/Inputs!$C$49)+Inputs!$C$47*0.137))+0.35*COS(2*PI()*(((Inputs!$C$6)/Inputs!$C$50)+Inputs!$C$47*0.173))+0.2*SIN(2*PI()*((((Inputs!$I$6+(((A128)+1)/2)*(Inputs!$J$6-Inputs!$I$6)))+(Inputs!$C$6))/(0.5*(Inputs!$C$49+Inputs!$C$50))+Inputs!$C$47*0.097)))+0.3*(2*((SIN((((Inputs!$I$6+(((A128)+1)/2)*(Inputs!$J$6-Inputs!$I$6)))*12.9898+(Inputs!$C$6)*78.233+Inputs!$C$47*37.719))*43758.5453)-INT((SIN((((Inputs!$I$6+(((A128)+1)/2)*(Inputs!$J$6-Inputs!$I$6)))*12.9898+(Inputs!$C$6)*78.233+Inputs!$C$47*37.719))*43758.5453)))-1))),NA())</f>
        <v/>
      </c>
      <c r="AT128" s="9">
        <f>IF(OR(Inputs!$F$7=TRUE,Inputs!$F$7="TRUE",Inputs!$F$7=1),IF(OR(Inputs!$C$27=TRUE,Inputs!$C$27="TRUE",Inputs!$C$27=1),1,0)*(Inputs!$C$51*(115*EXP(-(((Inputs!$C$6)-25)^2)/(4.5^2))+70*EXP(-(((Inputs!$C$6)+38)^2)/(7^2))*(0.55+0.45*SIN(2*PI()*((Inputs!$I$7+(((A128)+1)/2)*(Inputs!$J$7-Inputs!$I$7)))/45))+24*SIN(2*PI()*(Inputs!$C$6)/9+((Inputs!$I$7+(((A128)+1)/2)*(Inputs!$J$7-Inputs!$I$7)))/18)*EXP(-(((Inputs!$C$6)+5)^2)/(22^2))+18*SIN(2*PI()*((Inputs!$I$7+(((A128)+1)/2)*(Inputs!$J$7-Inputs!$I$7)))/70))+Inputs!$C$28*EXP(-((((Inputs!$I$7+(((A128)+1)/2)*(Inputs!$J$7-Inputs!$I$7)))-Inputs!$C$29)^2)/(2*Inputs!$C$31^2))*EXP(-(((Inputs!$C$6)-Inputs!$C$30)^2)/(2*Inputs!$C$32^2))+-Inputs!$C$33*EXP(-((((((Inputs!$I$7+(((A128)+1)/2)*(Inputs!$J$7-Inputs!$I$7)))-Inputs!$C$34)^2)+(((Inputs!$C$6)-Inputs!$C$35)^2))/(2*Inputs!$C$36^2)))+Inputs!$C$37*(0.55*SIN(2*PI()*((Inputs!$I$7+(((A128)+1)/2)*(Inputs!$J$7-Inputs!$I$7)))/Inputs!$C$39)+0.35*COS(2*PI()*(Inputs!$C$6)/Inputs!$C$40)+0.2*SIN(2*PI()*(((Inputs!$I$7+(((A128)+1)/2)*(Inputs!$J$7-Inputs!$I$7)))+(Inputs!$C$6))/(0.5*(Inputs!$C$39+Inputs!$C$40))))+Inputs!$C$38*SIN(2*PI()*((Inputs!$I$7+(((A128)+1)/2)*(Inputs!$J$7-Inputs!$I$7)))/Inputs!$C$39)*SIN(2*PI()*(Inputs!$C$6)/Inputs!$C$40)+-Inputs!$C$41*EXP(-(((Inputs!$C$6)-Inputs!$C$43)^2)/(2*Inputs!$C$44^2))*EXP(-((((Inputs!$I$7+(((A128)+1)/2)*(Inputs!$J$7-Inputs!$I$7)))-Inputs!$C$42)^2)/(2*Inputs!$C$45^2))+Inputs!$C$48*(0.7*(0.45*SIN(2*PI()*((((Inputs!$I$7+(((A128)+1)/2)*(Inputs!$J$7-Inputs!$I$7)))/Inputs!$C$49)+Inputs!$C$47*0.137))+0.35*COS(2*PI()*(((Inputs!$C$6)/Inputs!$C$50)+Inputs!$C$47*0.173))+0.2*SIN(2*PI()*((((Inputs!$I$7+(((A128)+1)/2)*(Inputs!$J$7-Inputs!$I$7)))+(Inputs!$C$6))/(0.5*(Inputs!$C$49+Inputs!$C$50))+Inputs!$C$47*0.097)))+0.3*(2*((SIN((((Inputs!$I$7+(((A128)+1)/2)*(Inputs!$J$7-Inputs!$I$7)))*12.9898+(Inputs!$C$6)*78.233+Inputs!$C$47*37.719))*43758.5453)-INT((SIN((((Inputs!$I$7+(((A128)+1)/2)*(Inputs!$J$7-Inputs!$I$7)))*12.9898+(Inputs!$C$6)*78.233+Inputs!$C$47*37.719))*43758.5453)))-1))),NA())</f>
        <v/>
      </c>
      <c r="AU128" s="9">
        <f>IF(OR(Inputs!$F$8=TRUE,Inputs!$F$8="TRUE",Inputs!$F$8=1),IF(OR(Inputs!$C$27=TRUE,Inputs!$C$27="TRUE",Inputs!$C$27=1),1,0)*(Inputs!$C$51*(115*EXP(-(((Inputs!$C$6)-25)^2)/(4.5^2))+70*EXP(-(((Inputs!$C$6)+38)^2)/(7^2))*(0.55+0.45*SIN(2*PI()*((Inputs!$I$8+(((A128)+1)/2)*(Inputs!$J$8-Inputs!$I$8)))/45))+24*SIN(2*PI()*(Inputs!$C$6)/9+((Inputs!$I$8+(((A128)+1)/2)*(Inputs!$J$8-Inputs!$I$8)))/18)*EXP(-(((Inputs!$C$6)+5)^2)/(22^2))+18*SIN(2*PI()*((Inputs!$I$8+(((A128)+1)/2)*(Inputs!$J$8-Inputs!$I$8)))/70))+Inputs!$C$28*EXP(-((((Inputs!$I$8+(((A128)+1)/2)*(Inputs!$J$8-Inputs!$I$8)))-Inputs!$C$29)^2)/(2*Inputs!$C$31^2))*EXP(-(((Inputs!$C$6)-Inputs!$C$30)^2)/(2*Inputs!$C$32^2))+-Inputs!$C$33*EXP(-((((((Inputs!$I$8+(((A128)+1)/2)*(Inputs!$J$8-Inputs!$I$8)))-Inputs!$C$34)^2)+(((Inputs!$C$6)-Inputs!$C$35)^2))/(2*Inputs!$C$36^2)))+Inputs!$C$37*(0.55*SIN(2*PI()*((Inputs!$I$8+(((A128)+1)/2)*(Inputs!$J$8-Inputs!$I$8)))/Inputs!$C$39)+0.35*COS(2*PI()*(Inputs!$C$6)/Inputs!$C$40)+0.2*SIN(2*PI()*(((Inputs!$I$8+(((A128)+1)/2)*(Inputs!$J$8-Inputs!$I$8)))+(Inputs!$C$6))/(0.5*(Inputs!$C$39+Inputs!$C$40))))+Inputs!$C$38*SIN(2*PI()*((Inputs!$I$8+(((A128)+1)/2)*(Inputs!$J$8-Inputs!$I$8)))/Inputs!$C$39)*SIN(2*PI()*(Inputs!$C$6)/Inputs!$C$40)+-Inputs!$C$41*EXP(-(((Inputs!$C$6)-Inputs!$C$43)^2)/(2*Inputs!$C$44^2))*EXP(-((((Inputs!$I$8+(((A128)+1)/2)*(Inputs!$J$8-Inputs!$I$8)))-Inputs!$C$42)^2)/(2*Inputs!$C$45^2))+Inputs!$C$48*(0.7*(0.45*SIN(2*PI()*((((Inputs!$I$8+(((A128)+1)/2)*(Inputs!$J$8-Inputs!$I$8)))/Inputs!$C$49)+Inputs!$C$47*0.137))+0.35*COS(2*PI()*(((Inputs!$C$6)/Inputs!$C$50)+Inputs!$C$47*0.173))+0.2*SIN(2*PI()*((((Inputs!$I$8+(((A128)+1)/2)*(Inputs!$J$8-Inputs!$I$8)))+(Inputs!$C$6))/(0.5*(Inputs!$C$49+Inputs!$C$50))+Inputs!$C$47*0.097)))+0.3*(2*((SIN((((Inputs!$I$8+(((A128)+1)/2)*(Inputs!$J$8-Inputs!$I$8)))*12.9898+(Inputs!$C$6)*78.233+Inputs!$C$47*37.719))*43758.5453)-INT((SIN((((Inputs!$I$8+(((A128)+1)/2)*(Inputs!$J$8-Inputs!$I$8)))*12.9898+(Inputs!$C$6)*78.233+Inputs!$C$47*37.719))*43758.5453)))-1))),NA())</f>
        <v/>
      </c>
      <c r="AV128" s="9">
        <f>IF(OR(Inputs!$F$9=TRUE,Inputs!$F$9="TRUE",Inputs!$F$9=1),IF(OR(Inputs!$C$27=TRUE,Inputs!$C$27="TRUE",Inputs!$C$27=1),1,0)*(Inputs!$C$51*(115*EXP(-(((Inputs!$C$6)-25)^2)/(4.5^2))+70*EXP(-(((Inputs!$C$6)+38)^2)/(7^2))*(0.55+0.45*SIN(2*PI()*((Inputs!$I$9+(((A128)+1)/2)*(Inputs!$J$9-Inputs!$I$9)))/45))+24*SIN(2*PI()*(Inputs!$C$6)/9+((Inputs!$I$9+(((A128)+1)/2)*(Inputs!$J$9-Inputs!$I$9)))/18)*EXP(-(((Inputs!$C$6)+5)^2)/(22^2))+18*SIN(2*PI()*((Inputs!$I$9+(((A128)+1)/2)*(Inputs!$J$9-Inputs!$I$9)))/70))+Inputs!$C$28*EXP(-((((Inputs!$I$9+(((A128)+1)/2)*(Inputs!$J$9-Inputs!$I$9)))-Inputs!$C$29)^2)/(2*Inputs!$C$31^2))*EXP(-(((Inputs!$C$6)-Inputs!$C$30)^2)/(2*Inputs!$C$32^2))+-Inputs!$C$33*EXP(-((((((Inputs!$I$9+(((A128)+1)/2)*(Inputs!$J$9-Inputs!$I$9)))-Inputs!$C$34)^2)+(((Inputs!$C$6)-Inputs!$C$35)^2))/(2*Inputs!$C$36^2)))+Inputs!$C$37*(0.55*SIN(2*PI()*((Inputs!$I$9+(((A128)+1)/2)*(Inputs!$J$9-Inputs!$I$9)))/Inputs!$C$39)+0.35*COS(2*PI()*(Inputs!$C$6)/Inputs!$C$40)+0.2*SIN(2*PI()*(((Inputs!$I$9+(((A128)+1)/2)*(Inputs!$J$9-Inputs!$I$9)))+(Inputs!$C$6))/(0.5*(Inputs!$C$39+Inputs!$C$40))))+Inputs!$C$38*SIN(2*PI()*((Inputs!$I$9+(((A128)+1)/2)*(Inputs!$J$9-Inputs!$I$9)))/Inputs!$C$39)*SIN(2*PI()*(Inputs!$C$6)/Inputs!$C$40)+-Inputs!$C$41*EXP(-(((Inputs!$C$6)-Inputs!$C$43)^2)/(2*Inputs!$C$44^2))*EXP(-((((Inputs!$I$9+(((A128)+1)/2)*(Inputs!$J$9-Inputs!$I$9)))-Inputs!$C$42)^2)/(2*Inputs!$C$45^2))+Inputs!$C$48*(0.7*(0.45*SIN(2*PI()*((((Inputs!$I$9+(((A128)+1)/2)*(Inputs!$J$9-Inputs!$I$9)))/Inputs!$C$49)+Inputs!$C$47*0.137))+0.35*COS(2*PI()*(((Inputs!$C$6)/Inputs!$C$50)+Inputs!$C$47*0.173))+0.2*SIN(2*PI()*((((Inputs!$I$9+(((A128)+1)/2)*(Inputs!$J$9-Inputs!$I$9)))+(Inputs!$C$6))/(0.5*(Inputs!$C$49+Inputs!$C$50))+Inputs!$C$47*0.097)))+0.3*(2*((SIN((((Inputs!$I$9+(((A128)+1)/2)*(Inputs!$J$9-Inputs!$I$9)))*12.9898+(Inputs!$C$6)*78.233+Inputs!$C$47*37.719))*43758.5453)-INT((SIN((((Inputs!$I$9+(((A128)+1)/2)*(Inputs!$J$9-Inputs!$I$9)))*12.9898+(Inputs!$C$6)*78.233+Inputs!$C$47*37.719))*43758.5453)))-1))),NA())</f>
        <v/>
      </c>
      <c r="AW128" s="10" t="n"/>
      <c r="AX128" s="9">
        <f>A128</f>
        <v/>
      </c>
      <c r="AY128" s="9">
        <f>0</f>
        <v/>
      </c>
      <c r="AZ128" s="9">
        <f>IF(OR(Inputs!$F$6=TRUE,Inputs!$F$6="TRUE",Inputs!$F$6=1),(Inputs!$H$6+Inputs!$L$6*(((Inputs!$I$6+(((A128)+1)/2)*(Inputs!$J$6-Inputs!$I$6)))/Inputs!$K$6)^2),NA())</f>
        <v/>
      </c>
      <c r="BA128" s="9">
        <f>IF(OR(Inputs!$F$7=TRUE,Inputs!$F$7="TRUE",Inputs!$F$7=1),(Inputs!$H$7+Inputs!$L$7*(((Inputs!$I$7+(((A128)+1)/2)*(Inputs!$J$7-Inputs!$I$7)))/Inputs!$K$7)^2),NA())</f>
        <v/>
      </c>
      <c r="BB128" s="9">
        <f>IF(OR(Inputs!$F$8=TRUE,Inputs!$F$8="TRUE",Inputs!$F$8=1),(Inputs!$H$8+Inputs!$L$8*(((Inputs!$I$8+(((A128)+1)/2)*(Inputs!$J$8-Inputs!$I$8)))/Inputs!$K$8)^2),NA())</f>
        <v/>
      </c>
      <c r="BC128" s="9">
        <f>IF(OR(Inputs!$F$9=TRUE,Inputs!$F$9="TRUE",Inputs!$F$9=1),(Inputs!$H$9+Inputs!$L$9*(((Inputs!$I$9+(((A128)+1)/2)*(Inputs!$J$9-Inputs!$I$9)))/Inputs!$K$9)^2),NA())</f>
        <v/>
      </c>
      <c r="BD128" s="10" t="n"/>
      <c r="BE128" s="9">
        <f>A128</f>
        <v/>
      </c>
      <c r="BF128" s="9">
        <f>0</f>
        <v/>
      </c>
      <c r="BG128" s="9">
        <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f>
        <v/>
      </c>
      <c r="BH128" s="9">
        <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f>
        <v/>
      </c>
      <c r="BI128" s="9">
        <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f>
        <v/>
      </c>
      <c r="BJ128" s="9">
        <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f>
        <v/>
      </c>
    </row>
    <row r="129">
      <c r="A129" s="9">
        <f>ROUND(-1+127*2/240,3)</f>
        <v/>
      </c>
      <c r="B129" s="9">
        <f>IF(OR(Inputs!$F$6=TRUE,Inputs!$F$6="TRUE",Inputs!$F$6=1),(Inputs!$H$6+Inputs!$L$6*(((Inputs!$I$6+(((A129)+1)/2)*(Inputs!$J$6-Inputs!$I$6)))/Inputs!$K$6)^2),NA())</f>
        <v/>
      </c>
      <c r="C129" s="9">
        <f>IF(OR(Inputs!$F$7=TRUE,Inputs!$F$7="TRUE",Inputs!$F$7=1),(Inputs!$H$7+Inputs!$L$7*(((Inputs!$I$7+(((A129)+1)/2)*(Inputs!$J$7-Inputs!$I$7)))/Inputs!$K$7)^2),NA())</f>
        <v/>
      </c>
      <c r="D129" s="9">
        <f>IF(OR(Inputs!$F$8=TRUE,Inputs!$F$8="TRUE",Inputs!$F$8=1),(Inputs!$H$8+Inputs!$L$8*(((Inputs!$I$8+(((A129)+1)/2)*(Inputs!$J$8-Inputs!$I$8)))/Inputs!$K$8)^2),NA())</f>
        <v/>
      </c>
      <c r="E129" s="9">
        <f>IF(OR(Inputs!$F$9=TRUE,Inputs!$F$9="TRUE",Inputs!$F$9=1),(Inputs!$H$9+Inputs!$L$9*(((Inputs!$I$9+(((A129)+1)/2)*(Inputs!$J$9-Inputs!$I$9)))/Inputs!$K$9)^2),NA())</f>
        <v/>
      </c>
      <c r="F129" s="10" t="n"/>
      <c r="G129" s="9">
        <f>A129</f>
        <v/>
      </c>
      <c r="H129" s="9">
        <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f>
        <v/>
      </c>
      <c r="I129" s="9">
        <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f>
        <v/>
      </c>
      <c r="J129" s="9">
        <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f>
        <v/>
      </c>
      <c r="K129" s="9">
        <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f>
        <v/>
      </c>
      <c r="L129" s="10" t="n"/>
      <c r="M129" s="9">
        <f>A129</f>
        <v/>
      </c>
      <c r="N129" s="9">
        <f>IF(OR(Inputs!$F$6=TRUE,Inputs!$F$6="TRUE",Inputs!$F$6=1),(-2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NA())</f>
        <v/>
      </c>
      <c r="O129" s="9">
        <f>IF(OR(Inputs!$F$7=TRUE,Inputs!$F$7="TRUE",Inputs!$F$7=1),(-2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NA())</f>
        <v/>
      </c>
      <c r="P129" s="9">
        <f>IF(OR(Inputs!$F$8=TRUE,Inputs!$F$8="TRUE",Inputs!$F$8=1),(-2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NA())</f>
        <v/>
      </c>
      <c r="Q129" s="9">
        <f>IF(OR(Inputs!$F$9=TRUE,Inputs!$F$9="TRUE",Inputs!$F$9=1),(-2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NA())</f>
        <v/>
      </c>
      <c r="R129" s="10" t="n"/>
      <c r="S129" s="9">
        <f>A129</f>
        <v/>
      </c>
      <c r="T129" s="9">
        <f>(Inputs!$I$6+(((A129)+1)/2)*(Inputs!$J$6-Inputs!$I$6))</f>
        <v/>
      </c>
      <c r="U129" s="9">
        <f>(Inputs!$I$7+(((A129)+1)/2)*(Inputs!$J$7-Inputs!$I$7))</f>
        <v/>
      </c>
      <c r="V129" s="9">
        <f>(Inputs!$I$8+(((A129)+1)/2)*(Inputs!$J$8-Inputs!$I$8))</f>
        <v/>
      </c>
      <c r="W129" s="9">
        <f>(Inputs!$I$9+(((A129)+1)/2)*(Inputs!$J$9-Inputs!$I$9))</f>
        <v/>
      </c>
      <c r="X129" s="10" t="n"/>
      <c r="Y129" s="9">
        <f>A129</f>
        <v/>
      </c>
      <c r="Z129" s="9">
        <f>(Inputs!$H$6+Inputs!$L$6*(((Inputs!$I$6+(((A129)+1)/2)*(Inputs!$J$6-Inputs!$I$6)))/Inputs!$K$6)^2)</f>
        <v/>
      </c>
      <c r="AA129" s="9">
        <f>(Inputs!$H$7+Inputs!$L$7*(((Inputs!$I$7+(((A129)+1)/2)*(Inputs!$J$7-Inputs!$I$7)))/Inputs!$K$7)^2)</f>
        <v/>
      </c>
      <c r="AB129" s="9">
        <f>(Inputs!$H$8+Inputs!$L$8*(((Inputs!$I$8+(((A129)+1)/2)*(Inputs!$J$8-Inputs!$I$8)))/Inputs!$K$8)^2)</f>
        <v/>
      </c>
      <c r="AC129" s="9">
        <f>(Inputs!$H$9+Inputs!$L$9*(((Inputs!$I$9+(((A129)+1)/2)*(Inputs!$J$9-Inputs!$I$9)))/Inputs!$K$9)^2)</f>
        <v/>
      </c>
      <c r="AD129" s="10" t="n"/>
      <c r="AE129" s="9">
        <f>A129</f>
        <v/>
      </c>
      <c r="AF129" s="9">
        <f>(((SQRT((Inputs!$C$52+((Inputs!$H$6+Inputs!$L$6*(((Inputs!$I$6+(((A129)+1)/2)*(Inputs!$J$6-Inputs!$I$6)))/Inputs!$K$6)^2)))^2+Inputs!$C$52^2-2*(Inputs!$C$52+((Inputs!$H$6+Inputs!$L$6*(((Inputs!$I$6+(((A129)+1)/2)*(Inputs!$J$6-Inputs!$I$6)))/Inputs!$K$6)^2)))*Inputs!$C$52*COS(SQRT(((Inputs!$I$6+(((A129)+1)/2)*(Inputs!$J$6-Inputs!$I$6)))^2+Inputs!$C$6^2)/Inputs!$C$52)))-((Inputs!$H$6+Inputs!$L$6*(((Inputs!$I$6+(((A129)+1)/2)*(Inputs!$J$6-Inputs!$I$6)))/Inputs!$K$6)^2)))*1000/Inputs!$C$12)</f>
        <v/>
      </c>
      <c r="AG129" s="9">
        <f>(((SQRT((Inputs!$C$52+((Inputs!$H$7+Inputs!$L$7*(((Inputs!$I$7+(((A129)+1)/2)*(Inputs!$J$7-Inputs!$I$7)))/Inputs!$K$7)^2)))^2+Inputs!$C$52^2-2*(Inputs!$C$52+((Inputs!$H$7+Inputs!$L$7*(((Inputs!$I$7+(((A129)+1)/2)*(Inputs!$J$7-Inputs!$I$7)))/Inputs!$K$7)^2)))*Inputs!$C$52*COS(SQRT(((Inputs!$I$7+(((A129)+1)/2)*(Inputs!$J$7-Inputs!$I$7)))^2+Inputs!$C$6^2)/Inputs!$C$52)))-((Inputs!$H$7+Inputs!$L$7*(((Inputs!$I$7+(((A129)+1)/2)*(Inputs!$J$7-Inputs!$I$7)))/Inputs!$K$7)^2)))*1000/Inputs!$C$12)</f>
        <v/>
      </c>
      <c r="AH129" s="9">
        <f>(((SQRT((Inputs!$C$52+((Inputs!$H$8+Inputs!$L$8*(((Inputs!$I$8+(((A129)+1)/2)*(Inputs!$J$8-Inputs!$I$8)))/Inputs!$K$8)^2)))^2+Inputs!$C$52^2-2*(Inputs!$C$52+((Inputs!$H$8+Inputs!$L$8*(((Inputs!$I$8+(((A129)+1)/2)*(Inputs!$J$8-Inputs!$I$8)))/Inputs!$K$8)^2)))*Inputs!$C$52*COS(SQRT(((Inputs!$I$8+(((A129)+1)/2)*(Inputs!$J$8-Inputs!$I$8)))^2+Inputs!$C$6^2)/Inputs!$C$52)))-((Inputs!$H$8+Inputs!$L$8*(((Inputs!$I$8+(((A129)+1)/2)*(Inputs!$J$8-Inputs!$I$8)))/Inputs!$K$8)^2)))*1000/Inputs!$C$12)</f>
        <v/>
      </c>
      <c r="AI129" s="9">
        <f>(((SQRT((Inputs!$C$52+((Inputs!$H$9+Inputs!$L$9*(((Inputs!$I$9+(((A129)+1)/2)*(Inputs!$J$9-Inputs!$I$9)))/Inputs!$K$9)^2)))^2+Inputs!$C$52^2-2*(Inputs!$C$52+((Inputs!$H$9+Inputs!$L$9*(((Inputs!$I$9+(((A129)+1)/2)*(Inputs!$J$9-Inputs!$I$9)))/Inputs!$K$9)^2)))*Inputs!$C$52*COS(SQRT(((Inputs!$I$9+(((A129)+1)/2)*(Inputs!$J$9-Inputs!$I$9)))^2+Inputs!$C$6^2)/Inputs!$C$52)))-((Inputs!$H$9+Inputs!$L$9*(((Inputs!$I$9+(((A129)+1)/2)*(Inputs!$J$9-Inputs!$I$9)))/Inputs!$K$9)^2)))*1000/Inputs!$C$12)</f>
        <v/>
      </c>
      <c r="AJ129" s="10" t="n"/>
      <c r="AK129" s="9">
        <f>A129</f>
        <v/>
      </c>
      <c r="AL129" s="9">
        <f>(-2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f>
        <v/>
      </c>
      <c r="AM129" s="9">
        <f>(-2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f>
        <v/>
      </c>
      <c r="AN129" s="9">
        <f>(-2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f>
        <v/>
      </c>
      <c r="AO129" s="9">
        <f>(-2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f>
        <v/>
      </c>
      <c r="AP129" s="10" t="n"/>
      <c r="AQ129" s="9">
        <f>A129</f>
        <v/>
      </c>
      <c r="AR129" s="9">
        <f>0</f>
        <v/>
      </c>
      <c r="AS129" s="9">
        <f>IF(OR(Inputs!$F$6=TRUE,Inputs!$F$6="TRUE",Inputs!$F$6=1),IF(OR(Inputs!$C$27=TRUE,Inputs!$C$27="TRUE",Inputs!$C$27=1),1,0)*(Inputs!$C$51*(115*EXP(-(((Inputs!$C$6)-25)^2)/(4.5^2))+70*EXP(-(((Inputs!$C$6)+38)^2)/(7^2))*(0.55+0.45*SIN(2*PI()*((Inputs!$I$6+(((A129)+1)/2)*(Inputs!$J$6-Inputs!$I$6)))/45))+24*SIN(2*PI()*(Inputs!$C$6)/9+((Inputs!$I$6+(((A129)+1)/2)*(Inputs!$J$6-Inputs!$I$6)))/18)*EXP(-(((Inputs!$C$6)+5)^2)/(22^2))+18*SIN(2*PI()*((Inputs!$I$6+(((A129)+1)/2)*(Inputs!$J$6-Inputs!$I$6)))/70))+Inputs!$C$28*EXP(-((((Inputs!$I$6+(((A129)+1)/2)*(Inputs!$J$6-Inputs!$I$6)))-Inputs!$C$29)^2)/(2*Inputs!$C$31^2))*EXP(-(((Inputs!$C$6)-Inputs!$C$30)^2)/(2*Inputs!$C$32^2))+-Inputs!$C$33*EXP(-((((((Inputs!$I$6+(((A129)+1)/2)*(Inputs!$J$6-Inputs!$I$6)))-Inputs!$C$34)^2)+(((Inputs!$C$6)-Inputs!$C$35)^2))/(2*Inputs!$C$36^2)))+Inputs!$C$37*(0.55*SIN(2*PI()*((Inputs!$I$6+(((A129)+1)/2)*(Inputs!$J$6-Inputs!$I$6)))/Inputs!$C$39)+0.35*COS(2*PI()*(Inputs!$C$6)/Inputs!$C$40)+0.2*SIN(2*PI()*(((Inputs!$I$6+(((A129)+1)/2)*(Inputs!$J$6-Inputs!$I$6)))+(Inputs!$C$6))/(0.5*(Inputs!$C$39+Inputs!$C$40))))+Inputs!$C$38*SIN(2*PI()*((Inputs!$I$6+(((A129)+1)/2)*(Inputs!$J$6-Inputs!$I$6)))/Inputs!$C$39)*SIN(2*PI()*(Inputs!$C$6)/Inputs!$C$40)+-Inputs!$C$41*EXP(-(((Inputs!$C$6)-Inputs!$C$43)^2)/(2*Inputs!$C$44^2))*EXP(-((((Inputs!$I$6+(((A129)+1)/2)*(Inputs!$J$6-Inputs!$I$6)))-Inputs!$C$42)^2)/(2*Inputs!$C$45^2))+Inputs!$C$48*(0.7*(0.45*SIN(2*PI()*((((Inputs!$I$6+(((A129)+1)/2)*(Inputs!$J$6-Inputs!$I$6)))/Inputs!$C$49)+Inputs!$C$47*0.137))+0.35*COS(2*PI()*(((Inputs!$C$6)/Inputs!$C$50)+Inputs!$C$47*0.173))+0.2*SIN(2*PI()*((((Inputs!$I$6+(((A129)+1)/2)*(Inputs!$J$6-Inputs!$I$6)))+(Inputs!$C$6))/(0.5*(Inputs!$C$49+Inputs!$C$50))+Inputs!$C$47*0.097)))+0.3*(2*((SIN((((Inputs!$I$6+(((A129)+1)/2)*(Inputs!$J$6-Inputs!$I$6)))*12.9898+(Inputs!$C$6)*78.233+Inputs!$C$47*37.719))*43758.5453)-INT((SIN((((Inputs!$I$6+(((A129)+1)/2)*(Inputs!$J$6-Inputs!$I$6)))*12.9898+(Inputs!$C$6)*78.233+Inputs!$C$47*37.719))*43758.5453)))-1))),NA())</f>
        <v/>
      </c>
      <c r="AT129" s="9">
        <f>IF(OR(Inputs!$F$7=TRUE,Inputs!$F$7="TRUE",Inputs!$F$7=1),IF(OR(Inputs!$C$27=TRUE,Inputs!$C$27="TRUE",Inputs!$C$27=1),1,0)*(Inputs!$C$51*(115*EXP(-(((Inputs!$C$6)-25)^2)/(4.5^2))+70*EXP(-(((Inputs!$C$6)+38)^2)/(7^2))*(0.55+0.45*SIN(2*PI()*((Inputs!$I$7+(((A129)+1)/2)*(Inputs!$J$7-Inputs!$I$7)))/45))+24*SIN(2*PI()*(Inputs!$C$6)/9+((Inputs!$I$7+(((A129)+1)/2)*(Inputs!$J$7-Inputs!$I$7)))/18)*EXP(-(((Inputs!$C$6)+5)^2)/(22^2))+18*SIN(2*PI()*((Inputs!$I$7+(((A129)+1)/2)*(Inputs!$J$7-Inputs!$I$7)))/70))+Inputs!$C$28*EXP(-((((Inputs!$I$7+(((A129)+1)/2)*(Inputs!$J$7-Inputs!$I$7)))-Inputs!$C$29)^2)/(2*Inputs!$C$31^2))*EXP(-(((Inputs!$C$6)-Inputs!$C$30)^2)/(2*Inputs!$C$32^2))+-Inputs!$C$33*EXP(-((((((Inputs!$I$7+(((A129)+1)/2)*(Inputs!$J$7-Inputs!$I$7)))-Inputs!$C$34)^2)+(((Inputs!$C$6)-Inputs!$C$35)^2))/(2*Inputs!$C$36^2)))+Inputs!$C$37*(0.55*SIN(2*PI()*((Inputs!$I$7+(((A129)+1)/2)*(Inputs!$J$7-Inputs!$I$7)))/Inputs!$C$39)+0.35*COS(2*PI()*(Inputs!$C$6)/Inputs!$C$40)+0.2*SIN(2*PI()*(((Inputs!$I$7+(((A129)+1)/2)*(Inputs!$J$7-Inputs!$I$7)))+(Inputs!$C$6))/(0.5*(Inputs!$C$39+Inputs!$C$40))))+Inputs!$C$38*SIN(2*PI()*((Inputs!$I$7+(((A129)+1)/2)*(Inputs!$J$7-Inputs!$I$7)))/Inputs!$C$39)*SIN(2*PI()*(Inputs!$C$6)/Inputs!$C$40)+-Inputs!$C$41*EXP(-(((Inputs!$C$6)-Inputs!$C$43)^2)/(2*Inputs!$C$44^2))*EXP(-((((Inputs!$I$7+(((A129)+1)/2)*(Inputs!$J$7-Inputs!$I$7)))-Inputs!$C$42)^2)/(2*Inputs!$C$45^2))+Inputs!$C$48*(0.7*(0.45*SIN(2*PI()*((((Inputs!$I$7+(((A129)+1)/2)*(Inputs!$J$7-Inputs!$I$7)))/Inputs!$C$49)+Inputs!$C$47*0.137))+0.35*COS(2*PI()*(((Inputs!$C$6)/Inputs!$C$50)+Inputs!$C$47*0.173))+0.2*SIN(2*PI()*((((Inputs!$I$7+(((A129)+1)/2)*(Inputs!$J$7-Inputs!$I$7)))+(Inputs!$C$6))/(0.5*(Inputs!$C$49+Inputs!$C$50))+Inputs!$C$47*0.097)))+0.3*(2*((SIN((((Inputs!$I$7+(((A129)+1)/2)*(Inputs!$J$7-Inputs!$I$7)))*12.9898+(Inputs!$C$6)*78.233+Inputs!$C$47*37.719))*43758.5453)-INT((SIN((((Inputs!$I$7+(((A129)+1)/2)*(Inputs!$J$7-Inputs!$I$7)))*12.9898+(Inputs!$C$6)*78.233+Inputs!$C$47*37.719))*43758.5453)))-1))),NA())</f>
        <v/>
      </c>
      <c r="AU129" s="9">
        <f>IF(OR(Inputs!$F$8=TRUE,Inputs!$F$8="TRUE",Inputs!$F$8=1),IF(OR(Inputs!$C$27=TRUE,Inputs!$C$27="TRUE",Inputs!$C$27=1),1,0)*(Inputs!$C$51*(115*EXP(-(((Inputs!$C$6)-25)^2)/(4.5^2))+70*EXP(-(((Inputs!$C$6)+38)^2)/(7^2))*(0.55+0.45*SIN(2*PI()*((Inputs!$I$8+(((A129)+1)/2)*(Inputs!$J$8-Inputs!$I$8)))/45))+24*SIN(2*PI()*(Inputs!$C$6)/9+((Inputs!$I$8+(((A129)+1)/2)*(Inputs!$J$8-Inputs!$I$8)))/18)*EXP(-(((Inputs!$C$6)+5)^2)/(22^2))+18*SIN(2*PI()*((Inputs!$I$8+(((A129)+1)/2)*(Inputs!$J$8-Inputs!$I$8)))/70))+Inputs!$C$28*EXP(-((((Inputs!$I$8+(((A129)+1)/2)*(Inputs!$J$8-Inputs!$I$8)))-Inputs!$C$29)^2)/(2*Inputs!$C$31^2))*EXP(-(((Inputs!$C$6)-Inputs!$C$30)^2)/(2*Inputs!$C$32^2))+-Inputs!$C$33*EXP(-((((((Inputs!$I$8+(((A129)+1)/2)*(Inputs!$J$8-Inputs!$I$8)))-Inputs!$C$34)^2)+(((Inputs!$C$6)-Inputs!$C$35)^2))/(2*Inputs!$C$36^2)))+Inputs!$C$37*(0.55*SIN(2*PI()*((Inputs!$I$8+(((A129)+1)/2)*(Inputs!$J$8-Inputs!$I$8)))/Inputs!$C$39)+0.35*COS(2*PI()*(Inputs!$C$6)/Inputs!$C$40)+0.2*SIN(2*PI()*(((Inputs!$I$8+(((A129)+1)/2)*(Inputs!$J$8-Inputs!$I$8)))+(Inputs!$C$6))/(0.5*(Inputs!$C$39+Inputs!$C$40))))+Inputs!$C$38*SIN(2*PI()*((Inputs!$I$8+(((A129)+1)/2)*(Inputs!$J$8-Inputs!$I$8)))/Inputs!$C$39)*SIN(2*PI()*(Inputs!$C$6)/Inputs!$C$40)+-Inputs!$C$41*EXP(-(((Inputs!$C$6)-Inputs!$C$43)^2)/(2*Inputs!$C$44^2))*EXP(-((((Inputs!$I$8+(((A129)+1)/2)*(Inputs!$J$8-Inputs!$I$8)))-Inputs!$C$42)^2)/(2*Inputs!$C$45^2))+Inputs!$C$48*(0.7*(0.45*SIN(2*PI()*((((Inputs!$I$8+(((A129)+1)/2)*(Inputs!$J$8-Inputs!$I$8)))/Inputs!$C$49)+Inputs!$C$47*0.137))+0.35*COS(2*PI()*(((Inputs!$C$6)/Inputs!$C$50)+Inputs!$C$47*0.173))+0.2*SIN(2*PI()*((((Inputs!$I$8+(((A129)+1)/2)*(Inputs!$J$8-Inputs!$I$8)))+(Inputs!$C$6))/(0.5*(Inputs!$C$49+Inputs!$C$50))+Inputs!$C$47*0.097)))+0.3*(2*((SIN((((Inputs!$I$8+(((A129)+1)/2)*(Inputs!$J$8-Inputs!$I$8)))*12.9898+(Inputs!$C$6)*78.233+Inputs!$C$47*37.719))*43758.5453)-INT((SIN((((Inputs!$I$8+(((A129)+1)/2)*(Inputs!$J$8-Inputs!$I$8)))*12.9898+(Inputs!$C$6)*78.233+Inputs!$C$47*37.719))*43758.5453)))-1))),NA())</f>
        <v/>
      </c>
      <c r="AV129" s="9">
        <f>IF(OR(Inputs!$F$9=TRUE,Inputs!$F$9="TRUE",Inputs!$F$9=1),IF(OR(Inputs!$C$27=TRUE,Inputs!$C$27="TRUE",Inputs!$C$27=1),1,0)*(Inputs!$C$51*(115*EXP(-(((Inputs!$C$6)-25)^2)/(4.5^2))+70*EXP(-(((Inputs!$C$6)+38)^2)/(7^2))*(0.55+0.45*SIN(2*PI()*((Inputs!$I$9+(((A129)+1)/2)*(Inputs!$J$9-Inputs!$I$9)))/45))+24*SIN(2*PI()*(Inputs!$C$6)/9+((Inputs!$I$9+(((A129)+1)/2)*(Inputs!$J$9-Inputs!$I$9)))/18)*EXP(-(((Inputs!$C$6)+5)^2)/(22^2))+18*SIN(2*PI()*((Inputs!$I$9+(((A129)+1)/2)*(Inputs!$J$9-Inputs!$I$9)))/70))+Inputs!$C$28*EXP(-((((Inputs!$I$9+(((A129)+1)/2)*(Inputs!$J$9-Inputs!$I$9)))-Inputs!$C$29)^2)/(2*Inputs!$C$31^2))*EXP(-(((Inputs!$C$6)-Inputs!$C$30)^2)/(2*Inputs!$C$32^2))+-Inputs!$C$33*EXP(-((((((Inputs!$I$9+(((A129)+1)/2)*(Inputs!$J$9-Inputs!$I$9)))-Inputs!$C$34)^2)+(((Inputs!$C$6)-Inputs!$C$35)^2))/(2*Inputs!$C$36^2)))+Inputs!$C$37*(0.55*SIN(2*PI()*((Inputs!$I$9+(((A129)+1)/2)*(Inputs!$J$9-Inputs!$I$9)))/Inputs!$C$39)+0.35*COS(2*PI()*(Inputs!$C$6)/Inputs!$C$40)+0.2*SIN(2*PI()*(((Inputs!$I$9+(((A129)+1)/2)*(Inputs!$J$9-Inputs!$I$9)))+(Inputs!$C$6))/(0.5*(Inputs!$C$39+Inputs!$C$40))))+Inputs!$C$38*SIN(2*PI()*((Inputs!$I$9+(((A129)+1)/2)*(Inputs!$J$9-Inputs!$I$9)))/Inputs!$C$39)*SIN(2*PI()*(Inputs!$C$6)/Inputs!$C$40)+-Inputs!$C$41*EXP(-(((Inputs!$C$6)-Inputs!$C$43)^2)/(2*Inputs!$C$44^2))*EXP(-((((Inputs!$I$9+(((A129)+1)/2)*(Inputs!$J$9-Inputs!$I$9)))-Inputs!$C$42)^2)/(2*Inputs!$C$45^2))+Inputs!$C$48*(0.7*(0.45*SIN(2*PI()*((((Inputs!$I$9+(((A129)+1)/2)*(Inputs!$J$9-Inputs!$I$9)))/Inputs!$C$49)+Inputs!$C$47*0.137))+0.35*COS(2*PI()*(((Inputs!$C$6)/Inputs!$C$50)+Inputs!$C$47*0.173))+0.2*SIN(2*PI()*((((Inputs!$I$9+(((A129)+1)/2)*(Inputs!$J$9-Inputs!$I$9)))+(Inputs!$C$6))/(0.5*(Inputs!$C$49+Inputs!$C$50))+Inputs!$C$47*0.097)))+0.3*(2*((SIN((((Inputs!$I$9+(((A129)+1)/2)*(Inputs!$J$9-Inputs!$I$9)))*12.9898+(Inputs!$C$6)*78.233+Inputs!$C$47*37.719))*43758.5453)-INT((SIN((((Inputs!$I$9+(((A129)+1)/2)*(Inputs!$J$9-Inputs!$I$9)))*12.9898+(Inputs!$C$6)*78.233+Inputs!$C$47*37.719))*43758.5453)))-1))),NA())</f>
        <v/>
      </c>
      <c r="AW129" s="10" t="n"/>
      <c r="AX129" s="9">
        <f>A129</f>
        <v/>
      </c>
      <c r="AY129" s="9">
        <f>0</f>
        <v/>
      </c>
      <c r="AZ129" s="9">
        <f>IF(OR(Inputs!$F$6=TRUE,Inputs!$F$6="TRUE",Inputs!$F$6=1),(Inputs!$H$6+Inputs!$L$6*(((Inputs!$I$6+(((A129)+1)/2)*(Inputs!$J$6-Inputs!$I$6)))/Inputs!$K$6)^2),NA())</f>
        <v/>
      </c>
      <c r="BA129" s="9">
        <f>IF(OR(Inputs!$F$7=TRUE,Inputs!$F$7="TRUE",Inputs!$F$7=1),(Inputs!$H$7+Inputs!$L$7*(((Inputs!$I$7+(((A129)+1)/2)*(Inputs!$J$7-Inputs!$I$7)))/Inputs!$K$7)^2),NA())</f>
        <v/>
      </c>
      <c r="BB129" s="9">
        <f>IF(OR(Inputs!$F$8=TRUE,Inputs!$F$8="TRUE",Inputs!$F$8=1),(Inputs!$H$8+Inputs!$L$8*(((Inputs!$I$8+(((A129)+1)/2)*(Inputs!$J$8-Inputs!$I$8)))/Inputs!$K$8)^2),NA())</f>
        <v/>
      </c>
      <c r="BC129" s="9">
        <f>IF(OR(Inputs!$F$9=TRUE,Inputs!$F$9="TRUE",Inputs!$F$9=1),(Inputs!$H$9+Inputs!$L$9*(((Inputs!$I$9+(((A129)+1)/2)*(Inputs!$J$9-Inputs!$I$9)))/Inputs!$K$9)^2),NA())</f>
        <v/>
      </c>
      <c r="BD129" s="10" t="n"/>
      <c r="BE129" s="9">
        <f>A129</f>
        <v/>
      </c>
      <c r="BF129" s="9">
        <f>0</f>
        <v/>
      </c>
      <c r="BG129" s="9">
        <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f>
        <v/>
      </c>
      <c r="BH129" s="9">
        <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f>
        <v/>
      </c>
      <c r="BI129" s="9">
        <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f>
        <v/>
      </c>
      <c r="BJ129" s="9">
        <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f>
        <v/>
      </c>
    </row>
    <row r="130">
      <c r="A130" s="9">
        <f>ROUND(-1+128*2/240,3)</f>
        <v/>
      </c>
      <c r="B130" s="9">
        <f>IF(OR(Inputs!$F$6=TRUE,Inputs!$F$6="TRUE",Inputs!$F$6=1),(Inputs!$H$6+Inputs!$L$6*(((Inputs!$I$6+(((A130)+1)/2)*(Inputs!$J$6-Inputs!$I$6)))/Inputs!$K$6)^2),NA())</f>
        <v/>
      </c>
      <c r="C130" s="9">
        <f>IF(OR(Inputs!$F$7=TRUE,Inputs!$F$7="TRUE",Inputs!$F$7=1),(Inputs!$H$7+Inputs!$L$7*(((Inputs!$I$7+(((A130)+1)/2)*(Inputs!$J$7-Inputs!$I$7)))/Inputs!$K$7)^2),NA())</f>
        <v/>
      </c>
      <c r="D130" s="9">
        <f>IF(OR(Inputs!$F$8=TRUE,Inputs!$F$8="TRUE",Inputs!$F$8=1),(Inputs!$H$8+Inputs!$L$8*(((Inputs!$I$8+(((A130)+1)/2)*(Inputs!$J$8-Inputs!$I$8)))/Inputs!$K$8)^2),NA())</f>
        <v/>
      </c>
      <c r="E130" s="9">
        <f>IF(OR(Inputs!$F$9=TRUE,Inputs!$F$9="TRUE",Inputs!$F$9=1),(Inputs!$H$9+Inputs!$L$9*(((Inputs!$I$9+(((A130)+1)/2)*(Inputs!$J$9-Inputs!$I$9)))/Inputs!$K$9)^2),NA())</f>
        <v/>
      </c>
      <c r="F130" s="10" t="n"/>
      <c r="G130" s="9">
        <f>A130</f>
        <v/>
      </c>
      <c r="H130" s="9">
        <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f>
        <v/>
      </c>
      <c r="I130" s="9">
        <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f>
        <v/>
      </c>
      <c r="J130" s="9">
        <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f>
        <v/>
      </c>
      <c r="K130" s="9">
        <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f>
        <v/>
      </c>
      <c r="L130" s="10" t="n"/>
      <c r="M130" s="9">
        <f>A130</f>
        <v/>
      </c>
      <c r="N130" s="9">
        <f>IF(OR(Inputs!$F$6=TRUE,Inputs!$F$6="TRUE",Inputs!$F$6=1),(-2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NA())</f>
        <v/>
      </c>
      <c r="O130" s="9">
        <f>IF(OR(Inputs!$F$7=TRUE,Inputs!$F$7="TRUE",Inputs!$F$7=1),(-2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NA())</f>
        <v/>
      </c>
      <c r="P130" s="9">
        <f>IF(OR(Inputs!$F$8=TRUE,Inputs!$F$8="TRUE",Inputs!$F$8=1),(-2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NA())</f>
        <v/>
      </c>
      <c r="Q130" s="9">
        <f>IF(OR(Inputs!$F$9=TRUE,Inputs!$F$9="TRUE",Inputs!$F$9=1),(-2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NA())</f>
        <v/>
      </c>
      <c r="R130" s="10" t="n"/>
      <c r="S130" s="9">
        <f>A130</f>
        <v/>
      </c>
      <c r="T130" s="9">
        <f>(Inputs!$I$6+(((A130)+1)/2)*(Inputs!$J$6-Inputs!$I$6))</f>
        <v/>
      </c>
      <c r="U130" s="9">
        <f>(Inputs!$I$7+(((A130)+1)/2)*(Inputs!$J$7-Inputs!$I$7))</f>
        <v/>
      </c>
      <c r="V130" s="9">
        <f>(Inputs!$I$8+(((A130)+1)/2)*(Inputs!$J$8-Inputs!$I$8))</f>
        <v/>
      </c>
      <c r="W130" s="9">
        <f>(Inputs!$I$9+(((A130)+1)/2)*(Inputs!$J$9-Inputs!$I$9))</f>
        <v/>
      </c>
      <c r="X130" s="10" t="n"/>
      <c r="Y130" s="9">
        <f>A130</f>
        <v/>
      </c>
      <c r="Z130" s="9">
        <f>(Inputs!$H$6+Inputs!$L$6*(((Inputs!$I$6+(((A130)+1)/2)*(Inputs!$J$6-Inputs!$I$6)))/Inputs!$K$6)^2)</f>
        <v/>
      </c>
      <c r="AA130" s="9">
        <f>(Inputs!$H$7+Inputs!$L$7*(((Inputs!$I$7+(((A130)+1)/2)*(Inputs!$J$7-Inputs!$I$7)))/Inputs!$K$7)^2)</f>
        <v/>
      </c>
      <c r="AB130" s="9">
        <f>(Inputs!$H$8+Inputs!$L$8*(((Inputs!$I$8+(((A130)+1)/2)*(Inputs!$J$8-Inputs!$I$8)))/Inputs!$K$8)^2)</f>
        <v/>
      </c>
      <c r="AC130" s="9">
        <f>(Inputs!$H$9+Inputs!$L$9*(((Inputs!$I$9+(((A130)+1)/2)*(Inputs!$J$9-Inputs!$I$9)))/Inputs!$K$9)^2)</f>
        <v/>
      </c>
      <c r="AD130" s="10" t="n"/>
      <c r="AE130" s="9">
        <f>A130</f>
        <v/>
      </c>
      <c r="AF130" s="9">
        <f>(((SQRT((Inputs!$C$52+((Inputs!$H$6+Inputs!$L$6*(((Inputs!$I$6+(((A130)+1)/2)*(Inputs!$J$6-Inputs!$I$6)))/Inputs!$K$6)^2)))^2+Inputs!$C$52^2-2*(Inputs!$C$52+((Inputs!$H$6+Inputs!$L$6*(((Inputs!$I$6+(((A130)+1)/2)*(Inputs!$J$6-Inputs!$I$6)))/Inputs!$K$6)^2)))*Inputs!$C$52*COS(SQRT(((Inputs!$I$6+(((A130)+1)/2)*(Inputs!$J$6-Inputs!$I$6)))^2+Inputs!$C$6^2)/Inputs!$C$52)))-((Inputs!$H$6+Inputs!$L$6*(((Inputs!$I$6+(((A130)+1)/2)*(Inputs!$J$6-Inputs!$I$6)))/Inputs!$K$6)^2)))*1000/Inputs!$C$12)</f>
        <v/>
      </c>
      <c r="AG130" s="9">
        <f>(((SQRT((Inputs!$C$52+((Inputs!$H$7+Inputs!$L$7*(((Inputs!$I$7+(((A130)+1)/2)*(Inputs!$J$7-Inputs!$I$7)))/Inputs!$K$7)^2)))^2+Inputs!$C$52^2-2*(Inputs!$C$52+((Inputs!$H$7+Inputs!$L$7*(((Inputs!$I$7+(((A130)+1)/2)*(Inputs!$J$7-Inputs!$I$7)))/Inputs!$K$7)^2)))*Inputs!$C$52*COS(SQRT(((Inputs!$I$7+(((A130)+1)/2)*(Inputs!$J$7-Inputs!$I$7)))^2+Inputs!$C$6^2)/Inputs!$C$52)))-((Inputs!$H$7+Inputs!$L$7*(((Inputs!$I$7+(((A130)+1)/2)*(Inputs!$J$7-Inputs!$I$7)))/Inputs!$K$7)^2)))*1000/Inputs!$C$12)</f>
        <v/>
      </c>
      <c r="AH130" s="9">
        <f>(((SQRT((Inputs!$C$52+((Inputs!$H$8+Inputs!$L$8*(((Inputs!$I$8+(((A130)+1)/2)*(Inputs!$J$8-Inputs!$I$8)))/Inputs!$K$8)^2)))^2+Inputs!$C$52^2-2*(Inputs!$C$52+((Inputs!$H$8+Inputs!$L$8*(((Inputs!$I$8+(((A130)+1)/2)*(Inputs!$J$8-Inputs!$I$8)))/Inputs!$K$8)^2)))*Inputs!$C$52*COS(SQRT(((Inputs!$I$8+(((A130)+1)/2)*(Inputs!$J$8-Inputs!$I$8)))^2+Inputs!$C$6^2)/Inputs!$C$52)))-((Inputs!$H$8+Inputs!$L$8*(((Inputs!$I$8+(((A130)+1)/2)*(Inputs!$J$8-Inputs!$I$8)))/Inputs!$K$8)^2)))*1000/Inputs!$C$12)</f>
        <v/>
      </c>
      <c r="AI130" s="9">
        <f>(((SQRT((Inputs!$C$52+((Inputs!$H$9+Inputs!$L$9*(((Inputs!$I$9+(((A130)+1)/2)*(Inputs!$J$9-Inputs!$I$9)))/Inputs!$K$9)^2)))^2+Inputs!$C$52^2-2*(Inputs!$C$52+((Inputs!$H$9+Inputs!$L$9*(((Inputs!$I$9+(((A130)+1)/2)*(Inputs!$J$9-Inputs!$I$9)))/Inputs!$K$9)^2)))*Inputs!$C$52*COS(SQRT(((Inputs!$I$9+(((A130)+1)/2)*(Inputs!$J$9-Inputs!$I$9)))^2+Inputs!$C$6^2)/Inputs!$C$52)))-((Inputs!$H$9+Inputs!$L$9*(((Inputs!$I$9+(((A130)+1)/2)*(Inputs!$J$9-Inputs!$I$9)))/Inputs!$K$9)^2)))*1000/Inputs!$C$12)</f>
        <v/>
      </c>
      <c r="AJ130" s="10" t="n"/>
      <c r="AK130" s="9">
        <f>A130</f>
        <v/>
      </c>
      <c r="AL130" s="9">
        <f>(-2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f>
        <v/>
      </c>
      <c r="AM130" s="9">
        <f>(-2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f>
        <v/>
      </c>
      <c r="AN130" s="9">
        <f>(-2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f>
        <v/>
      </c>
      <c r="AO130" s="9">
        <f>(-2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f>
        <v/>
      </c>
      <c r="AP130" s="10" t="n"/>
      <c r="AQ130" s="9">
        <f>A130</f>
        <v/>
      </c>
      <c r="AR130" s="9">
        <f>0</f>
        <v/>
      </c>
      <c r="AS130" s="9">
        <f>IF(OR(Inputs!$F$6=TRUE,Inputs!$F$6="TRUE",Inputs!$F$6=1),IF(OR(Inputs!$C$27=TRUE,Inputs!$C$27="TRUE",Inputs!$C$27=1),1,0)*(Inputs!$C$51*(115*EXP(-(((Inputs!$C$6)-25)^2)/(4.5^2))+70*EXP(-(((Inputs!$C$6)+38)^2)/(7^2))*(0.55+0.45*SIN(2*PI()*((Inputs!$I$6+(((A130)+1)/2)*(Inputs!$J$6-Inputs!$I$6)))/45))+24*SIN(2*PI()*(Inputs!$C$6)/9+((Inputs!$I$6+(((A130)+1)/2)*(Inputs!$J$6-Inputs!$I$6)))/18)*EXP(-(((Inputs!$C$6)+5)^2)/(22^2))+18*SIN(2*PI()*((Inputs!$I$6+(((A130)+1)/2)*(Inputs!$J$6-Inputs!$I$6)))/70))+Inputs!$C$28*EXP(-((((Inputs!$I$6+(((A130)+1)/2)*(Inputs!$J$6-Inputs!$I$6)))-Inputs!$C$29)^2)/(2*Inputs!$C$31^2))*EXP(-(((Inputs!$C$6)-Inputs!$C$30)^2)/(2*Inputs!$C$32^2))+-Inputs!$C$33*EXP(-((((((Inputs!$I$6+(((A130)+1)/2)*(Inputs!$J$6-Inputs!$I$6)))-Inputs!$C$34)^2)+(((Inputs!$C$6)-Inputs!$C$35)^2))/(2*Inputs!$C$36^2)))+Inputs!$C$37*(0.55*SIN(2*PI()*((Inputs!$I$6+(((A130)+1)/2)*(Inputs!$J$6-Inputs!$I$6)))/Inputs!$C$39)+0.35*COS(2*PI()*(Inputs!$C$6)/Inputs!$C$40)+0.2*SIN(2*PI()*(((Inputs!$I$6+(((A130)+1)/2)*(Inputs!$J$6-Inputs!$I$6)))+(Inputs!$C$6))/(0.5*(Inputs!$C$39+Inputs!$C$40))))+Inputs!$C$38*SIN(2*PI()*((Inputs!$I$6+(((A130)+1)/2)*(Inputs!$J$6-Inputs!$I$6)))/Inputs!$C$39)*SIN(2*PI()*(Inputs!$C$6)/Inputs!$C$40)+-Inputs!$C$41*EXP(-(((Inputs!$C$6)-Inputs!$C$43)^2)/(2*Inputs!$C$44^2))*EXP(-((((Inputs!$I$6+(((A130)+1)/2)*(Inputs!$J$6-Inputs!$I$6)))-Inputs!$C$42)^2)/(2*Inputs!$C$45^2))+Inputs!$C$48*(0.7*(0.45*SIN(2*PI()*((((Inputs!$I$6+(((A130)+1)/2)*(Inputs!$J$6-Inputs!$I$6)))/Inputs!$C$49)+Inputs!$C$47*0.137))+0.35*COS(2*PI()*(((Inputs!$C$6)/Inputs!$C$50)+Inputs!$C$47*0.173))+0.2*SIN(2*PI()*((((Inputs!$I$6+(((A130)+1)/2)*(Inputs!$J$6-Inputs!$I$6)))+(Inputs!$C$6))/(0.5*(Inputs!$C$49+Inputs!$C$50))+Inputs!$C$47*0.097)))+0.3*(2*((SIN((((Inputs!$I$6+(((A130)+1)/2)*(Inputs!$J$6-Inputs!$I$6)))*12.9898+(Inputs!$C$6)*78.233+Inputs!$C$47*37.719))*43758.5453)-INT((SIN((((Inputs!$I$6+(((A130)+1)/2)*(Inputs!$J$6-Inputs!$I$6)))*12.9898+(Inputs!$C$6)*78.233+Inputs!$C$47*37.719))*43758.5453)))-1))),NA())</f>
        <v/>
      </c>
      <c r="AT130" s="9">
        <f>IF(OR(Inputs!$F$7=TRUE,Inputs!$F$7="TRUE",Inputs!$F$7=1),IF(OR(Inputs!$C$27=TRUE,Inputs!$C$27="TRUE",Inputs!$C$27=1),1,0)*(Inputs!$C$51*(115*EXP(-(((Inputs!$C$6)-25)^2)/(4.5^2))+70*EXP(-(((Inputs!$C$6)+38)^2)/(7^2))*(0.55+0.45*SIN(2*PI()*((Inputs!$I$7+(((A130)+1)/2)*(Inputs!$J$7-Inputs!$I$7)))/45))+24*SIN(2*PI()*(Inputs!$C$6)/9+((Inputs!$I$7+(((A130)+1)/2)*(Inputs!$J$7-Inputs!$I$7)))/18)*EXP(-(((Inputs!$C$6)+5)^2)/(22^2))+18*SIN(2*PI()*((Inputs!$I$7+(((A130)+1)/2)*(Inputs!$J$7-Inputs!$I$7)))/70))+Inputs!$C$28*EXP(-((((Inputs!$I$7+(((A130)+1)/2)*(Inputs!$J$7-Inputs!$I$7)))-Inputs!$C$29)^2)/(2*Inputs!$C$31^2))*EXP(-(((Inputs!$C$6)-Inputs!$C$30)^2)/(2*Inputs!$C$32^2))+-Inputs!$C$33*EXP(-((((((Inputs!$I$7+(((A130)+1)/2)*(Inputs!$J$7-Inputs!$I$7)))-Inputs!$C$34)^2)+(((Inputs!$C$6)-Inputs!$C$35)^2))/(2*Inputs!$C$36^2)))+Inputs!$C$37*(0.55*SIN(2*PI()*((Inputs!$I$7+(((A130)+1)/2)*(Inputs!$J$7-Inputs!$I$7)))/Inputs!$C$39)+0.35*COS(2*PI()*(Inputs!$C$6)/Inputs!$C$40)+0.2*SIN(2*PI()*(((Inputs!$I$7+(((A130)+1)/2)*(Inputs!$J$7-Inputs!$I$7)))+(Inputs!$C$6))/(0.5*(Inputs!$C$39+Inputs!$C$40))))+Inputs!$C$38*SIN(2*PI()*((Inputs!$I$7+(((A130)+1)/2)*(Inputs!$J$7-Inputs!$I$7)))/Inputs!$C$39)*SIN(2*PI()*(Inputs!$C$6)/Inputs!$C$40)+-Inputs!$C$41*EXP(-(((Inputs!$C$6)-Inputs!$C$43)^2)/(2*Inputs!$C$44^2))*EXP(-((((Inputs!$I$7+(((A130)+1)/2)*(Inputs!$J$7-Inputs!$I$7)))-Inputs!$C$42)^2)/(2*Inputs!$C$45^2))+Inputs!$C$48*(0.7*(0.45*SIN(2*PI()*((((Inputs!$I$7+(((A130)+1)/2)*(Inputs!$J$7-Inputs!$I$7)))/Inputs!$C$49)+Inputs!$C$47*0.137))+0.35*COS(2*PI()*(((Inputs!$C$6)/Inputs!$C$50)+Inputs!$C$47*0.173))+0.2*SIN(2*PI()*((((Inputs!$I$7+(((A130)+1)/2)*(Inputs!$J$7-Inputs!$I$7)))+(Inputs!$C$6))/(0.5*(Inputs!$C$49+Inputs!$C$50))+Inputs!$C$47*0.097)))+0.3*(2*((SIN((((Inputs!$I$7+(((A130)+1)/2)*(Inputs!$J$7-Inputs!$I$7)))*12.9898+(Inputs!$C$6)*78.233+Inputs!$C$47*37.719))*43758.5453)-INT((SIN((((Inputs!$I$7+(((A130)+1)/2)*(Inputs!$J$7-Inputs!$I$7)))*12.9898+(Inputs!$C$6)*78.233+Inputs!$C$47*37.719))*43758.5453)))-1))),NA())</f>
        <v/>
      </c>
      <c r="AU130" s="9">
        <f>IF(OR(Inputs!$F$8=TRUE,Inputs!$F$8="TRUE",Inputs!$F$8=1),IF(OR(Inputs!$C$27=TRUE,Inputs!$C$27="TRUE",Inputs!$C$27=1),1,0)*(Inputs!$C$51*(115*EXP(-(((Inputs!$C$6)-25)^2)/(4.5^2))+70*EXP(-(((Inputs!$C$6)+38)^2)/(7^2))*(0.55+0.45*SIN(2*PI()*((Inputs!$I$8+(((A130)+1)/2)*(Inputs!$J$8-Inputs!$I$8)))/45))+24*SIN(2*PI()*(Inputs!$C$6)/9+((Inputs!$I$8+(((A130)+1)/2)*(Inputs!$J$8-Inputs!$I$8)))/18)*EXP(-(((Inputs!$C$6)+5)^2)/(22^2))+18*SIN(2*PI()*((Inputs!$I$8+(((A130)+1)/2)*(Inputs!$J$8-Inputs!$I$8)))/70))+Inputs!$C$28*EXP(-((((Inputs!$I$8+(((A130)+1)/2)*(Inputs!$J$8-Inputs!$I$8)))-Inputs!$C$29)^2)/(2*Inputs!$C$31^2))*EXP(-(((Inputs!$C$6)-Inputs!$C$30)^2)/(2*Inputs!$C$32^2))+-Inputs!$C$33*EXP(-((((((Inputs!$I$8+(((A130)+1)/2)*(Inputs!$J$8-Inputs!$I$8)))-Inputs!$C$34)^2)+(((Inputs!$C$6)-Inputs!$C$35)^2))/(2*Inputs!$C$36^2)))+Inputs!$C$37*(0.55*SIN(2*PI()*((Inputs!$I$8+(((A130)+1)/2)*(Inputs!$J$8-Inputs!$I$8)))/Inputs!$C$39)+0.35*COS(2*PI()*(Inputs!$C$6)/Inputs!$C$40)+0.2*SIN(2*PI()*(((Inputs!$I$8+(((A130)+1)/2)*(Inputs!$J$8-Inputs!$I$8)))+(Inputs!$C$6))/(0.5*(Inputs!$C$39+Inputs!$C$40))))+Inputs!$C$38*SIN(2*PI()*((Inputs!$I$8+(((A130)+1)/2)*(Inputs!$J$8-Inputs!$I$8)))/Inputs!$C$39)*SIN(2*PI()*(Inputs!$C$6)/Inputs!$C$40)+-Inputs!$C$41*EXP(-(((Inputs!$C$6)-Inputs!$C$43)^2)/(2*Inputs!$C$44^2))*EXP(-((((Inputs!$I$8+(((A130)+1)/2)*(Inputs!$J$8-Inputs!$I$8)))-Inputs!$C$42)^2)/(2*Inputs!$C$45^2))+Inputs!$C$48*(0.7*(0.45*SIN(2*PI()*((((Inputs!$I$8+(((A130)+1)/2)*(Inputs!$J$8-Inputs!$I$8)))/Inputs!$C$49)+Inputs!$C$47*0.137))+0.35*COS(2*PI()*(((Inputs!$C$6)/Inputs!$C$50)+Inputs!$C$47*0.173))+0.2*SIN(2*PI()*((((Inputs!$I$8+(((A130)+1)/2)*(Inputs!$J$8-Inputs!$I$8)))+(Inputs!$C$6))/(0.5*(Inputs!$C$49+Inputs!$C$50))+Inputs!$C$47*0.097)))+0.3*(2*((SIN((((Inputs!$I$8+(((A130)+1)/2)*(Inputs!$J$8-Inputs!$I$8)))*12.9898+(Inputs!$C$6)*78.233+Inputs!$C$47*37.719))*43758.5453)-INT((SIN((((Inputs!$I$8+(((A130)+1)/2)*(Inputs!$J$8-Inputs!$I$8)))*12.9898+(Inputs!$C$6)*78.233+Inputs!$C$47*37.719))*43758.5453)))-1))),NA())</f>
        <v/>
      </c>
      <c r="AV130" s="9">
        <f>IF(OR(Inputs!$F$9=TRUE,Inputs!$F$9="TRUE",Inputs!$F$9=1),IF(OR(Inputs!$C$27=TRUE,Inputs!$C$27="TRUE",Inputs!$C$27=1),1,0)*(Inputs!$C$51*(115*EXP(-(((Inputs!$C$6)-25)^2)/(4.5^2))+70*EXP(-(((Inputs!$C$6)+38)^2)/(7^2))*(0.55+0.45*SIN(2*PI()*((Inputs!$I$9+(((A130)+1)/2)*(Inputs!$J$9-Inputs!$I$9)))/45))+24*SIN(2*PI()*(Inputs!$C$6)/9+((Inputs!$I$9+(((A130)+1)/2)*(Inputs!$J$9-Inputs!$I$9)))/18)*EXP(-(((Inputs!$C$6)+5)^2)/(22^2))+18*SIN(2*PI()*((Inputs!$I$9+(((A130)+1)/2)*(Inputs!$J$9-Inputs!$I$9)))/70))+Inputs!$C$28*EXP(-((((Inputs!$I$9+(((A130)+1)/2)*(Inputs!$J$9-Inputs!$I$9)))-Inputs!$C$29)^2)/(2*Inputs!$C$31^2))*EXP(-(((Inputs!$C$6)-Inputs!$C$30)^2)/(2*Inputs!$C$32^2))+-Inputs!$C$33*EXP(-((((((Inputs!$I$9+(((A130)+1)/2)*(Inputs!$J$9-Inputs!$I$9)))-Inputs!$C$34)^2)+(((Inputs!$C$6)-Inputs!$C$35)^2))/(2*Inputs!$C$36^2)))+Inputs!$C$37*(0.55*SIN(2*PI()*((Inputs!$I$9+(((A130)+1)/2)*(Inputs!$J$9-Inputs!$I$9)))/Inputs!$C$39)+0.35*COS(2*PI()*(Inputs!$C$6)/Inputs!$C$40)+0.2*SIN(2*PI()*(((Inputs!$I$9+(((A130)+1)/2)*(Inputs!$J$9-Inputs!$I$9)))+(Inputs!$C$6))/(0.5*(Inputs!$C$39+Inputs!$C$40))))+Inputs!$C$38*SIN(2*PI()*((Inputs!$I$9+(((A130)+1)/2)*(Inputs!$J$9-Inputs!$I$9)))/Inputs!$C$39)*SIN(2*PI()*(Inputs!$C$6)/Inputs!$C$40)+-Inputs!$C$41*EXP(-(((Inputs!$C$6)-Inputs!$C$43)^2)/(2*Inputs!$C$44^2))*EXP(-((((Inputs!$I$9+(((A130)+1)/2)*(Inputs!$J$9-Inputs!$I$9)))-Inputs!$C$42)^2)/(2*Inputs!$C$45^2))+Inputs!$C$48*(0.7*(0.45*SIN(2*PI()*((((Inputs!$I$9+(((A130)+1)/2)*(Inputs!$J$9-Inputs!$I$9)))/Inputs!$C$49)+Inputs!$C$47*0.137))+0.35*COS(2*PI()*(((Inputs!$C$6)/Inputs!$C$50)+Inputs!$C$47*0.173))+0.2*SIN(2*PI()*((((Inputs!$I$9+(((A130)+1)/2)*(Inputs!$J$9-Inputs!$I$9)))+(Inputs!$C$6))/(0.5*(Inputs!$C$49+Inputs!$C$50))+Inputs!$C$47*0.097)))+0.3*(2*((SIN((((Inputs!$I$9+(((A130)+1)/2)*(Inputs!$J$9-Inputs!$I$9)))*12.9898+(Inputs!$C$6)*78.233+Inputs!$C$47*37.719))*43758.5453)-INT((SIN((((Inputs!$I$9+(((A130)+1)/2)*(Inputs!$J$9-Inputs!$I$9)))*12.9898+(Inputs!$C$6)*78.233+Inputs!$C$47*37.719))*43758.5453)))-1))),NA())</f>
        <v/>
      </c>
      <c r="AW130" s="10" t="n"/>
      <c r="AX130" s="9">
        <f>A130</f>
        <v/>
      </c>
      <c r="AY130" s="9">
        <f>0</f>
        <v/>
      </c>
      <c r="AZ130" s="9">
        <f>IF(OR(Inputs!$F$6=TRUE,Inputs!$F$6="TRUE",Inputs!$F$6=1),(Inputs!$H$6+Inputs!$L$6*(((Inputs!$I$6+(((A130)+1)/2)*(Inputs!$J$6-Inputs!$I$6)))/Inputs!$K$6)^2),NA())</f>
        <v/>
      </c>
      <c r="BA130" s="9">
        <f>IF(OR(Inputs!$F$7=TRUE,Inputs!$F$7="TRUE",Inputs!$F$7=1),(Inputs!$H$7+Inputs!$L$7*(((Inputs!$I$7+(((A130)+1)/2)*(Inputs!$J$7-Inputs!$I$7)))/Inputs!$K$7)^2),NA())</f>
        <v/>
      </c>
      <c r="BB130" s="9">
        <f>IF(OR(Inputs!$F$8=TRUE,Inputs!$F$8="TRUE",Inputs!$F$8=1),(Inputs!$H$8+Inputs!$L$8*(((Inputs!$I$8+(((A130)+1)/2)*(Inputs!$J$8-Inputs!$I$8)))/Inputs!$K$8)^2),NA())</f>
        <v/>
      </c>
      <c r="BC130" s="9">
        <f>IF(OR(Inputs!$F$9=TRUE,Inputs!$F$9="TRUE",Inputs!$F$9=1),(Inputs!$H$9+Inputs!$L$9*(((Inputs!$I$9+(((A130)+1)/2)*(Inputs!$J$9-Inputs!$I$9)))/Inputs!$K$9)^2),NA())</f>
        <v/>
      </c>
      <c r="BD130" s="10" t="n"/>
      <c r="BE130" s="9">
        <f>A130</f>
        <v/>
      </c>
      <c r="BF130" s="9">
        <f>0</f>
        <v/>
      </c>
      <c r="BG130" s="9">
        <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f>
        <v/>
      </c>
      <c r="BH130" s="9">
        <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f>
        <v/>
      </c>
      <c r="BI130" s="9">
        <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f>
        <v/>
      </c>
      <c r="BJ130" s="9">
        <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f>
        <v/>
      </c>
    </row>
    <row r="131">
      <c r="A131" s="9">
        <f>ROUND(-1+129*2/240,3)</f>
        <v/>
      </c>
      <c r="B131" s="9">
        <f>IF(OR(Inputs!$F$6=TRUE,Inputs!$F$6="TRUE",Inputs!$F$6=1),(Inputs!$H$6+Inputs!$L$6*(((Inputs!$I$6+(((A131)+1)/2)*(Inputs!$J$6-Inputs!$I$6)))/Inputs!$K$6)^2),NA())</f>
        <v/>
      </c>
      <c r="C131" s="9">
        <f>IF(OR(Inputs!$F$7=TRUE,Inputs!$F$7="TRUE",Inputs!$F$7=1),(Inputs!$H$7+Inputs!$L$7*(((Inputs!$I$7+(((A131)+1)/2)*(Inputs!$J$7-Inputs!$I$7)))/Inputs!$K$7)^2),NA())</f>
        <v/>
      </c>
      <c r="D131" s="9">
        <f>IF(OR(Inputs!$F$8=TRUE,Inputs!$F$8="TRUE",Inputs!$F$8=1),(Inputs!$H$8+Inputs!$L$8*(((Inputs!$I$8+(((A131)+1)/2)*(Inputs!$J$8-Inputs!$I$8)))/Inputs!$K$8)^2),NA())</f>
        <v/>
      </c>
      <c r="E131" s="9">
        <f>IF(OR(Inputs!$F$9=TRUE,Inputs!$F$9="TRUE",Inputs!$F$9=1),(Inputs!$H$9+Inputs!$L$9*(((Inputs!$I$9+(((A131)+1)/2)*(Inputs!$J$9-Inputs!$I$9)))/Inputs!$K$9)^2),NA())</f>
        <v/>
      </c>
      <c r="F131" s="10" t="n"/>
      <c r="G131" s="9">
        <f>A131</f>
        <v/>
      </c>
      <c r="H131" s="9">
        <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f>
        <v/>
      </c>
      <c r="I131" s="9">
        <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f>
        <v/>
      </c>
      <c r="J131" s="9">
        <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f>
        <v/>
      </c>
      <c r="K131" s="9">
        <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f>
        <v/>
      </c>
      <c r="L131" s="10" t="n"/>
      <c r="M131" s="9">
        <f>A131</f>
        <v/>
      </c>
      <c r="N131" s="9">
        <f>IF(OR(Inputs!$F$6=TRUE,Inputs!$F$6="TRUE",Inputs!$F$6=1),(-2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NA())</f>
        <v/>
      </c>
      <c r="O131" s="9">
        <f>IF(OR(Inputs!$F$7=TRUE,Inputs!$F$7="TRUE",Inputs!$F$7=1),(-2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NA())</f>
        <v/>
      </c>
      <c r="P131" s="9">
        <f>IF(OR(Inputs!$F$8=TRUE,Inputs!$F$8="TRUE",Inputs!$F$8=1),(-2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NA())</f>
        <v/>
      </c>
      <c r="Q131" s="9">
        <f>IF(OR(Inputs!$F$9=TRUE,Inputs!$F$9="TRUE",Inputs!$F$9=1),(-2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NA())</f>
        <v/>
      </c>
      <c r="R131" s="10" t="n"/>
      <c r="S131" s="9">
        <f>A131</f>
        <v/>
      </c>
      <c r="T131" s="9">
        <f>(Inputs!$I$6+(((A131)+1)/2)*(Inputs!$J$6-Inputs!$I$6))</f>
        <v/>
      </c>
      <c r="U131" s="9">
        <f>(Inputs!$I$7+(((A131)+1)/2)*(Inputs!$J$7-Inputs!$I$7))</f>
        <v/>
      </c>
      <c r="V131" s="9">
        <f>(Inputs!$I$8+(((A131)+1)/2)*(Inputs!$J$8-Inputs!$I$8))</f>
        <v/>
      </c>
      <c r="W131" s="9">
        <f>(Inputs!$I$9+(((A131)+1)/2)*(Inputs!$J$9-Inputs!$I$9))</f>
        <v/>
      </c>
      <c r="X131" s="10" t="n"/>
      <c r="Y131" s="9">
        <f>A131</f>
        <v/>
      </c>
      <c r="Z131" s="9">
        <f>(Inputs!$H$6+Inputs!$L$6*(((Inputs!$I$6+(((A131)+1)/2)*(Inputs!$J$6-Inputs!$I$6)))/Inputs!$K$6)^2)</f>
        <v/>
      </c>
      <c r="AA131" s="9">
        <f>(Inputs!$H$7+Inputs!$L$7*(((Inputs!$I$7+(((A131)+1)/2)*(Inputs!$J$7-Inputs!$I$7)))/Inputs!$K$7)^2)</f>
        <v/>
      </c>
      <c r="AB131" s="9">
        <f>(Inputs!$H$8+Inputs!$L$8*(((Inputs!$I$8+(((A131)+1)/2)*(Inputs!$J$8-Inputs!$I$8)))/Inputs!$K$8)^2)</f>
        <v/>
      </c>
      <c r="AC131" s="9">
        <f>(Inputs!$H$9+Inputs!$L$9*(((Inputs!$I$9+(((A131)+1)/2)*(Inputs!$J$9-Inputs!$I$9)))/Inputs!$K$9)^2)</f>
        <v/>
      </c>
      <c r="AD131" s="10" t="n"/>
      <c r="AE131" s="9">
        <f>A131</f>
        <v/>
      </c>
      <c r="AF131" s="9">
        <f>(((SQRT((Inputs!$C$52+((Inputs!$H$6+Inputs!$L$6*(((Inputs!$I$6+(((A131)+1)/2)*(Inputs!$J$6-Inputs!$I$6)))/Inputs!$K$6)^2)))^2+Inputs!$C$52^2-2*(Inputs!$C$52+((Inputs!$H$6+Inputs!$L$6*(((Inputs!$I$6+(((A131)+1)/2)*(Inputs!$J$6-Inputs!$I$6)))/Inputs!$K$6)^2)))*Inputs!$C$52*COS(SQRT(((Inputs!$I$6+(((A131)+1)/2)*(Inputs!$J$6-Inputs!$I$6)))^2+Inputs!$C$6^2)/Inputs!$C$52)))-((Inputs!$H$6+Inputs!$L$6*(((Inputs!$I$6+(((A131)+1)/2)*(Inputs!$J$6-Inputs!$I$6)))/Inputs!$K$6)^2)))*1000/Inputs!$C$12)</f>
        <v/>
      </c>
      <c r="AG131" s="9">
        <f>(((SQRT((Inputs!$C$52+((Inputs!$H$7+Inputs!$L$7*(((Inputs!$I$7+(((A131)+1)/2)*(Inputs!$J$7-Inputs!$I$7)))/Inputs!$K$7)^2)))^2+Inputs!$C$52^2-2*(Inputs!$C$52+((Inputs!$H$7+Inputs!$L$7*(((Inputs!$I$7+(((A131)+1)/2)*(Inputs!$J$7-Inputs!$I$7)))/Inputs!$K$7)^2)))*Inputs!$C$52*COS(SQRT(((Inputs!$I$7+(((A131)+1)/2)*(Inputs!$J$7-Inputs!$I$7)))^2+Inputs!$C$6^2)/Inputs!$C$52)))-((Inputs!$H$7+Inputs!$L$7*(((Inputs!$I$7+(((A131)+1)/2)*(Inputs!$J$7-Inputs!$I$7)))/Inputs!$K$7)^2)))*1000/Inputs!$C$12)</f>
        <v/>
      </c>
      <c r="AH131" s="9">
        <f>(((SQRT((Inputs!$C$52+((Inputs!$H$8+Inputs!$L$8*(((Inputs!$I$8+(((A131)+1)/2)*(Inputs!$J$8-Inputs!$I$8)))/Inputs!$K$8)^2)))^2+Inputs!$C$52^2-2*(Inputs!$C$52+((Inputs!$H$8+Inputs!$L$8*(((Inputs!$I$8+(((A131)+1)/2)*(Inputs!$J$8-Inputs!$I$8)))/Inputs!$K$8)^2)))*Inputs!$C$52*COS(SQRT(((Inputs!$I$8+(((A131)+1)/2)*(Inputs!$J$8-Inputs!$I$8)))^2+Inputs!$C$6^2)/Inputs!$C$52)))-((Inputs!$H$8+Inputs!$L$8*(((Inputs!$I$8+(((A131)+1)/2)*(Inputs!$J$8-Inputs!$I$8)))/Inputs!$K$8)^2)))*1000/Inputs!$C$12)</f>
        <v/>
      </c>
      <c r="AI131" s="9">
        <f>(((SQRT((Inputs!$C$52+((Inputs!$H$9+Inputs!$L$9*(((Inputs!$I$9+(((A131)+1)/2)*(Inputs!$J$9-Inputs!$I$9)))/Inputs!$K$9)^2)))^2+Inputs!$C$52^2-2*(Inputs!$C$52+((Inputs!$H$9+Inputs!$L$9*(((Inputs!$I$9+(((A131)+1)/2)*(Inputs!$J$9-Inputs!$I$9)))/Inputs!$K$9)^2)))*Inputs!$C$52*COS(SQRT(((Inputs!$I$9+(((A131)+1)/2)*(Inputs!$J$9-Inputs!$I$9)))^2+Inputs!$C$6^2)/Inputs!$C$52)))-((Inputs!$H$9+Inputs!$L$9*(((Inputs!$I$9+(((A131)+1)/2)*(Inputs!$J$9-Inputs!$I$9)))/Inputs!$K$9)^2)))*1000/Inputs!$C$12)</f>
        <v/>
      </c>
      <c r="AJ131" s="10" t="n"/>
      <c r="AK131" s="9">
        <f>A131</f>
        <v/>
      </c>
      <c r="AL131" s="9">
        <f>(-2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f>
        <v/>
      </c>
      <c r="AM131" s="9">
        <f>(-2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f>
        <v/>
      </c>
      <c r="AN131" s="9">
        <f>(-2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f>
        <v/>
      </c>
      <c r="AO131" s="9">
        <f>(-2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f>
        <v/>
      </c>
      <c r="AP131" s="10" t="n"/>
      <c r="AQ131" s="9">
        <f>A131</f>
        <v/>
      </c>
      <c r="AR131" s="9">
        <f>0</f>
        <v/>
      </c>
      <c r="AS131" s="9">
        <f>IF(OR(Inputs!$F$6=TRUE,Inputs!$F$6="TRUE",Inputs!$F$6=1),IF(OR(Inputs!$C$27=TRUE,Inputs!$C$27="TRUE",Inputs!$C$27=1),1,0)*(Inputs!$C$51*(115*EXP(-(((Inputs!$C$6)-25)^2)/(4.5^2))+70*EXP(-(((Inputs!$C$6)+38)^2)/(7^2))*(0.55+0.45*SIN(2*PI()*((Inputs!$I$6+(((A131)+1)/2)*(Inputs!$J$6-Inputs!$I$6)))/45))+24*SIN(2*PI()*(Inputs!$C$6)/9+((Inputs!$I$6+(((A131)+1)/2)*(Inputs!$J$6-Inputs!$I$6)))/18)*EXP(-(((Inputs!$C$6)+5)^2)/(22^2))+18*SIN(2*PI()*((Inputs!$I$6+(((A131)+1)/2)*(Inputs!$J$6-Inputs!$I$6)))/70))+Inputs!$C$28*EXP(-((((Inputs!$I$6+(((A131)+1)/2)*(Inputs!$J$6-Inputs!$I$6)))-Inputs!$C$29)^2)/(2*Inputs!$C$31^2))*EXP(-(((Inputs!$C$6)-Inputs!$C$30)^2)/(2*Inputs!$C$32^2))+-Inputs!$C$33*EXP(-((((((Inputs!$I$6+(((A131)+1)/2)*(Inputs!$J$6-Inputs!$I$6)))-Inputs!$C$34)^2)+(((Inputs!$C$6)-Inputs!$C$35)^2))/(2*Inputs!$C$36^2)))+Inputs!$C$37*(0.55*SIN(2*PI()*((Inputs!$I$6+(((A131)+1)/2)*(Inputs!$J$6-Inputs!$I$6)))/Inputs!$C$39)+0.35*COS(2*PI()*(Inputs!$C$6)/Inputs!$C$40)+0.2*SIN(2*PI()*(((Inputs!$I$6+(((A131)+1)/2)*(Inputs!$J$6-Inputs!$I$6)))+(Inputs!$C$6))/(0.5*(Inputs!$C$39+Inputs!$C$40))))+Inputs!$C$38*SIN(2*PI()*((Inputs!$I$6+(((A131)+1)/2)*(Inputs!$J$6-Inputs!$I$6)))/Inputs!$C$39)*SIN(2*PI()*(Inputs!$C$6)/Inputs!$C$40)+-Inputs!$C$41*EXP(-(((Inputs!$C$6)-Inputs!$C$43)^2)/(2*Inputs!$C$44^2))*EXP(-((((Inputs!$I$6+(((A131)+1)/2)*(Inputs!$J$6-Inputs!$I$6)))-Inputs!$C$42)^2)/(2*Inputs!$C$45^2))+Inputs!$C$48*(0.7*(0.45*SIN(2*PI()*((((Inputs!$I$6+(((A131)+1)/2)*(Inputs!$J$6-Inputs!$I$6)))/Inputs!$C$49)+Inputs!$C$47*0.137))+0.35*COS(2*PI()*(((Inputs!$C$6)/Inputs!$C$50)+Inputs!$C$47*0.173))+0.2*SIN(2*PI()*((((Inputs!$I$6+(((A131)+1)/2)*(Inputs!$J$6-Inputs!$I$6)))+(Inputs!$C$6))/(0.5*(Inputs!$C$49+Inputs!$C$50))+Inputs!$C$47*0.097)))+0.3*(2*((SIN((((Inputs!$I$6+(((A131)+1)/2)*(Inputs!$J$6-Inputs!$I$6)))*12.9898+(Inputs!$C$6)*78.233+Inputs!$C$47*37.719))*43758.5453)-INT((SIN((((Inputs!$I$6+(((A131)+1)/2)*(Inputs!$J$6-Inputs!$I$6)))*12.9898+(Inputs!$C$6)*78.233+Inputs!$C$47*37.719))*43758.5453)))-1))),NA())</f>
        <v/>
      </c>
      <c r="AT131" s="9">
        <f>IF(OR(Inputs!$F$7=TRUE,Inputs!$F$7="TRUE",Inputs!$F$7=1),IF(OR(Inputs!$C$27=TRUE,Inputs!$C$27="TRUE",Inputs!$C$27=1),1,0)*(Inputs!$C$51*(115*EXP(-(((Inputs!$C$6)-25)^2)/(4.5^2))+70*EXP(-(((Inputs!$C$6)+38)^2)/(7^2))*(0.55+0.45*SIN(2*PI()*((Inputs!$I$7+(((A131)+1)/2)*(Inputs!$J$7-Inputs!$I$7)))/45))+24*SIN(2*PI()*(Inputs!$C$6)/9+((Inputs!$I$7+(((A131)+1)/2)*(Inputs!$J$7-Inputs!$I$7)))/18)*EXP(-(((Inputs!$C$6)+5)^2)/(22^2))+18*SIN(2*PI()*((Inputs!$I$7+(((A131)+1)/2)*(Inputs!$J$7-Inputs!$I$7)))/70))+Inputs!$C$28*EXP(-((((Inputs!$I$7+(((A131)+1)/2)*(Inputs!$J$7-Inputs!$I$7)))-Inputs!$C$29)^2)/(2*Inputs!$C$31^2))*EXP(-(((Inputs!$C$6)-Inputs!$C$30)^2)/(2*Inputs!$C$32^2))+-Inputs!$C$33*EXP(-((((((Inputs!$I$7+(((A131)+1)/2)*(Inputs!$J$7-Inputs!$I$7)))-Inputs!$C$34)^2)+(((Inputs!$C$6)-Inputs!$C$35)^2))/(2*Inputs!$C$36^2)))+Inputs!$C$37*(0.55*SIN(2*PI()*((Inputs!$I$7+(((A131)+1)/2)*(Inputs!$J$7-Inputs!$I$7)))/Inputs!$C$39)+0.35*COS(2*PI()*(Inputs!$C$6)/Inputs!$C$40)+0.2*SIN(2*PI()*(((Inputs!$I$7+(((A131)+1)/2)*(Inputs!$J$7-Inputs!$I$7)))+(Inputs!$C$6))/(0.5*(Inputs!$C$39+Inputs!$C$40))))+Inputs!$C$38*SIN(2*PI()*((Inputs!$I$7+(((A131)+1)/2)*(Inputs!$J$7-Inputs!$I$7)))/Inputs!$C$39)*SIN(2*PI()*(Inputs!$C$6)/Inputs!$C$40)+-Inputs!$C$41*EXP(-(((Inputs!$C$6)-Inputs!$C$43)^2)/(2*Inputs!$C$44^2))*EXP(-((((Inputs!$I$7+(((A131)+1)/2)*(Inputs!$J$7-Inputs!$I$7)))-Inputs!$C$42)^2)/(2*Inputs!$C$45^2))+Inputs!$C$48*(0.7*(0.45*SIN(2*PI()*((((Inputs!$I$7+(((A131)+1)/2)*(Inputs!$J$7-Inputs!$I$7)))/Inputs!$C$49)+Inputs!$C$47*0.137))+0.35*COS(2*PI()*(((Inputs!$C$6)/Inputs!$C$50)+Inputs!$C$47*0.173))+0.2*SIN(2*PI()*((((Inputs!$I$7+(((A131)+1)/2)*(Inputs!$J$7-Inputs!$I$7)))+(Inputs!$C$6))/(0.5*(Inputs!$C$49+Inputs!$C$50))+Inputs!$C$47*0.097)))+0.3*(2*((SIN((((Inputs!$I$7+(((A131)+1)/2)*(Inputs!$J$7-Inputs!$I$7)))*12.9898+(Inputs!$C$6)*78.233+Inputs!$C$47*37.719))*43758.5453)-INT((SIN((((Inputs!$I$7+(((A131)+1)/2)*(Inputs!$J$7-Inputs!$I$7)))*12.9898+(Inputs!$C$6)*78.233+Inputs!$C$47*37.719))*43758.5453)))-1))),NA())</f>
        <v/>
      </c>
      <c r="AU131" s="9">
        <f>IF(OR(Inputs!$F$8=TRUE,Inputs!$F$8="TRUE",Inputs!$F$8=1),IF(OR(Inputs!$C$27=TRUE,Inputs!$C$27="TRUE",Inputs!$C$27=1),1,0)*(Inputs!$C$51*(115*EXP(-(((Inputs!$C$6)-25)^2)/(4.5^2))+70*EXP(-(((Inputs!$C$6)+38)^2)/(7^2))*(0.55+0.45*SIN(2*PI()*((Inputs!$I$8+(((A131)+1)/2)*(Inputs!$J$8-Inputs!$I$8)))/45))+24*SIN(2*PI()*(Inputs!$C$6)/9+((Inputs!$I$8+(((A131)+1)/2)*(Inputs!$J$8-Inputs!$I$8)))/18)*EXP(-(((Inputs!$C$6)+5)^2)/(22^2))+18*SIN(2*PI()*((Inputs!$I$8+(((A131)+1)/2)*(Inputs!$J$8-Inputs!$I$8)))/70))+Inputs!$C$28*EXP(-((((Inputs!$I$8+(((A131)+1)/2)*(Inputs!$J$8-Inputs!$I$8)))-Inputs!$C$29)^2)/(2*Inputs!$C$31^2))*EXP(-(((Inputs!$C$6)-Inputs!$C$30)^2)/(2*Inputs!$C$32^2))+-Inputs!$C$33*EXP(-((((((Inputs!$I$8+(((A131)+1)/2)*(Inputs!$J$8-Inputs!$I$8)))-Inputs!$C$34)^2)+(((Inputs!$C$6)-Inputs!$C$35)^2))/(2*Inputs!$C$36^2)))+Inputs!$C$37*(0.55*SIN(2*PI()*((Inputs!$I$8+(((A131)+1)/2)*(Inputs!$J$8-Inputs!$I$8)))/Inputs!$C$39)+0.35*COS(2*PI()*(Inputs!$C$6)/Inputs!$C$40)+0.2*SIN(2*PI()*(((Inputs!$I$8+(((A131)+1)/2)*(Inputs!$J$8-Inputs!$I$8)))+(Inputs!$C$6))/(0.5*(Inputs!$C$39+Inputs!$C$40))))+Inputs!$C$38*SIN(2*PI()*((Inputs!$I$8+(((A131)+1)/2)*(Inputs!$J$8-Inputs!$I$8)))/Inputs!$C$39)*SIN(2*PI()*(Inputs!$C$6)/Inputs!$C$40)+-Inputs!$C$41*EXP(-(((Inputs!$C$6)-Inputs!$C$43)^2)/(2*Inputs!$C$44^2))*EXP(-((((Inputs!$I$8+(((A131)+1)/2)*(Inputs!$J$8-Inputs!$I$8)))-Inputs!$C$42)^2)/(2*Inputs!$C$45^2))+Inputs!$C$48*(0.7*(0.45*SIN(2*PI()*((((Inputs!$I$8+(((A131)+1)/2)*(Inputs!$J$8-Inputs!$I$8)))/Inputs!$C$49)+Inputs!$C$47*0.137))+0.35*COS(2*PI()*(((Inputs!$C$6)/Inputs!$C$50)+Inputs!$C$47*0.173))+0.2*SIN(2*PI()*((((Inputs!$I$8+(((A131)+1)/2)*(Inputs!$J$8-Inputs!$I$8)))+(Inputs!$C$6))/(0.5*(Inputs!$C$49+Inputs!$C$50))+Inputs!$C$47*0.097)))+0.3*(2*((SIN((((Inputs!$I$8+(((A131)+1)/2)*(Inputs!$J$8-Inputs!$I$8)))*12.9898+(Inputs!$C$6)*78.233+Inputs!$C$47*37.719))*43758.5453)-INT((SIN((((Inputs!$I$8+(((A131)+1)/2)*(Inputs!$J$8-Inputs!$I$8)))*12.9898+(Inputs!$C$6)*78.233+Inputs!$C$47*37.719))*43758.5453)))-1))),NA())</f>
        <v/>
      </c>
      <c r="AV131" s="9">
        <f>IF(OR(Inputs!$F$9=TRUE,Inputs!$F$9="TRUE",Inputs!$F$9=1),IF(OR(Inputs!$C$27=TRUE,Inputs!$C$27="TRUE",Inputs!$C$27=1),1,0)*(Inputs!$C$51*(115*EXP(-(((Inputs!$C$6)-25)^2)/(4.5^2))+70*EXP(-(((Inputs!$C$6)+38)^2)/(7^2))*(0.55+0.45*SIN(2*PI()*((Inputs!$I$9+(((A131)+1)/2)*(Inputs!$J$9-Inputs!$I$9)))/45))+24*SIN(2*PI()*(Inputs!$C$6)/9+((Inputs!$I$9+(((A131)+1)/2)*(Inputs!$J$9-Inputs!$I$9)))/18)*EXP(-(((Inputs!$C$6)+5)^2)/(22^2))+18*SIN(2*PI()*((Inputs!$I$9+(((A131)+1)/2)*(Inputs!$J$9-Inputs!$I$9)))/70))+Inputs!$C$28*EXP(-((((Inputs!$I$9+(((A131)+1)/2)*(Inputs!$J$9-Inputs!$I$9)))-Inputs!$C$29)^2)/(2*Inputs!$C$31^2))*EXP(-(((Inputs!$C$6)-Inputs!$C$30)^2)/(2*Inputs!$C$32^2))+-Inputs!$C$33*EXP(-((((((Inputs!$I$9+(((A131)+1)/2)*(Inputs!$J$9-Inputs!$I$9)))-Inputs!$C$34)^2)+(((Inputs!$C$6)-Inputs!$C$35)^2))/(2*Inputs!$C$36^2)))+Inputs!$C$37*(0.55*SIN(2*PI()*((Inputs!$I$9+(((A131)+1)/2)*(Inputs!$J$9-Inputs!$I$9)))/Inputs!$C$39)+0.35*COS(2*PI()*(Inputs!$C$6)/Inputs!$C$40)+0.2*SIN(2*PI()*(((Inputs!$I$9+(((A131)+1)/2)*(Inputs!$J$9-Inputs!$I$9)))+(Inputs!$C$6))/(0.5*(Inputs!$C$39+Inputs!$C$40))))+Inputs!$C$38*SIN(2*PI()*((Inputs!$I$9+(((A131)+1)/2)*(Inputs!$J$9-Inputs!$I$9)))/Inputs!$C$39)*SIN(2*PI()*(Inputs!$C$6)/Inputs!$C$40)+-Inputs!$C$41*EXP(-(((Inputs!$C$6)-Inputs!$C$43)^2)/(2*Inputs!$C$44^2))*EXP(-((((Inputs!$I$9+(((A131)+1)/2)*(Inputs!$J$9-Inputs!$I$9)))-Inputs!$C$42)^2)/(2*Inputs!$C$45^2))+Inputs!$C$48*(0.7*(0.45*SIN(2*PI()*((((Inputs!$I$9+(((A131)+1)/2)*(Inputs!$J$9-Inputs!$I$9)))/Inputs!$C$49)+Inputs!$C$47*0.137))+0.35*COS(2*PI()*(((Inputs!$C$6)/Inputs!$C$50)+Inputs!$C$47*0.173))+0.2*SIN(2*PI()*((((Inputs!$I$9+(((A131)+1)/2)*(Inputs!$J$9-Inputs!$I$9)))+(Inputs!$C$6))/(0.5*(Inputs!$C$49+Inputs!$C$50))+Inputs!$C$47*0.097)))+0.3*(2*((SIN((((Inputs!$I$9+(((A131)+1)/2)*(Inputs!$J$9-Inputs!$I$9)))*12.9898+(Inputs!$C$6)*78.233+Inputs!$C$47*37.719))*43758.5453)-INT((SIN((((Inputs!$I$9+(((A131)+1)/2)*(Inputs!$J$9-Inputs!$I$9)))*12.9898+(Inputs!$C$6)*78.233+Inputs!$C$47*37.719))*43758.5453)))-1))),NA())</f>
        <v/>
      </c>
      <c r="AW131" s="10" t="n"/>
      <c r="AX131" s="9">
        <f>A131</f>
        <v/>
      </c>
      <c r="AY131" s="9">
        <f>0</f>
        <v/>
      </c>
      <c r="AZ131" s="9">
        <f>IF(OR(Inputs!$F$6=TRUE,Inputs!$F$6="TRUE",Inputs!$F$6=1),(Inputs!$H$6+Inputs!$L$6*(((Inputs!$I$6+(((A131)+1)/2)*(Inputs!$J$6-Inputs!$I$6)))/Inputs!$K$6)^2),NA())</f>
        <v/>
      </c>
      <c r="BA131" s="9">
        <f>IF(OR(Inputs!$F$7=TRUE,Inputs!$F$7="TRUE",Inputs!$F$7=1),(Inputs!$H$7+Inputs!$L$7*(((Inputs!$I$7+(((A131)+1)/2)*(Inputs!$J$7-Inputs!$I$7)))/Inputs!$K$7)^2),NA())</f>
        <v/>
      </c>
      <c r="BB131" s="9">
        <f>IF(OR(Inputs!$F$8=TRUE,Inputs!$F$8="TRUE",Inputs!$F$8=1),(Inputs!$H$8+Inputs!$L$8*(((Inputs!$I$8+(((A131)+1)/2)*(Inputs!$J$8-Inputs!$I$8)))/Inputs!$K$8)^2),NA())</f>
        <v/>
      </c>
      <c r="BC131" s="9">
        <f>IF(OR(Inputs!$F$9=TRUE,Inputs!$F$9="TRUE",Inputs!$F$9=1),(Inputs!$H$9+Inputs!$L$9*(((Inputs!$I$9+(((A131)+1)/2)*(Inputs!$J$9-Inputs!$I$9)))/Inputs!$K$9)^2),NA())</f>
        <v/>
      </c>
      <c r="BD131" s="10" t="n"/>
      <c r="BE131" s="9">
        <f>A131</f>
        <v/>
      </c>
      <c r="BF131" s="9">
        <f>0</f>
        <v/>
      </c>
      <c r="BG131" s="9">
        <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f>
        <v/>
      </c>
      <c r="BH131" s="9">
        <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f>
        <v/>
      </c>
      <c r="BI131" s="9">
        <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f>
        <v/>
      </c>
      <c r="BJ131" s="9">
        <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f>
        <v/>
      </c>
    </row>
    <row r="132">
      <c r="A132" s="9">
        <f>ROUND(-1+130*2/240,3)</f>
        <v/>
      </c>
      <c r="B132" s="9">
        <f>IF(OR(Inputs!$F$6=TRUE,Inputs!$F$6="TRUE",Inputs!$F$6=1),(Inputs!$H$6+Inputs!$L$6*(((Inputs!$I$6+(((A132)+1)/2)*(Inputs!$J$6-Inputs!$I$6)))/Inputs!$K$6)^2),NA())</f>
        <v/>
      </c>
      <c r="C132" s="9">
        <f>IF(OR(Inputs!$F$7=TRUE,Inputs!$F$7="TRUE",Inputs!$F$7=1),(Inputs!$H$7+Inputs!$L$7*(((Inputs!$I$7+(((A132)+1)/2)*(Inputs!$J$7-Inputs!$I$7)))/Inputs!$K$7)^2),NA())</f>
        <v/>
      </c>
      <c r="D132" s="9">
        <f>IF(OR(Inputs!$F$8=TRUE,Inputs!$F$8="TRUE",Inputs!$F$8=1),(Inputs!$H$8+Inputs!$L$8*(((Inputs!$I$8+(((A132)+1)/2)*(Inputs!$J$8-Inputs!$I$8)))/Inputs!$K$8)^2),NA())</f>
        <v/>
      </c>
      <c r="E132" s="9">
        <f>IF(OR(Inputs!$F$9=TRUE,Inputs!$F$9="TRUE",Inputs!$F$9=1),(Inputs!$H$9+Inputs!$L$9*(((Inputs!$I$9+(((A132)+1)/2)*(Inputs!$J$9-Inputs!$I$9)))/Inputs!$K$9)^2),NA())</f>
        <v/>
      </c>
      <c r="F132" s="10" t="n"/>
      <c r="G132" s="9">
        <f>A132</f>
        <v/>
      </c>
      <c r="H132" s="9">
        <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f>
        <v/>
      </c>
      <c r="I132" s="9">
        <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f>
        <v/>
      </c>
      <c r="J132" s="9">
        <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f>
        <v/>
      </c>
      <c r="K132" s="9">
        <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f>
        <v/>
      </c>
      <c r="L132" s="10" t="n"/>
      <c r="M132" s="9">
        <f>A132</f>
        <v/>
      </c>
      <c r="N132" s="9">
        <f>IF(OR(Inputs!$F$6=TRUE,Inputs!$F$6="TRUE",Inputs!$F$6=1),(-2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NA())</f>
        <v/>
      </c>
      <c r="O132" s="9">
        <f>IF(OR(Inputs!$F$7=TRUE,Inputs!$F$7="TRUE",Inputs!$F$7=1),(-2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NA())</f>
        <v/>
      </c>
      <c r="P132" s="9">
        <f>IF(OR(Inputs!$F$8=TRUE,Inputs!$F$8="TRUE",Inputs!$F$8=1),(-2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NA())</f>
        <v/>
      </c>
      <c r="Q132" s="9">
        <f>IF(OR(Inputs!$F$9=TRUE,Inputs!$F$9="TRUE",Inputs!$F$9=1),(-2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NA())</f>
        <v/>
      </c>
      <c r="R132" s="10" t="n"/>
      <c r="S132" s="9">
        <f>A132</f>
        <v/>
      </c>
      <c r="T132" s="9">
        <f>(Inputs!$I$6+(((A132)+1)/2)*(Inputs!$J$6-Inputs!$I$6))</f>
        <v/>
      </c>
      <c r="U132" s="9">
        <f>(Inputs!$I$7+(((A132)+1)/2)*(Inputs!$J$7-Inputs!$I$7))</f>
        <v/>
      </c>
      <c r="V132" s="9">
        <f>(Inputs!$I$8+(((A132)+1)/2)*(Inputs!$J$8-Inputs!$I$8))</f>
        <v/>
      </c>
      <c r="W132" s="9">
        <f>(Inputs!$I$9+(((A132)+1)/2)*(Inputs!$J$9-Inputs!$I$9))</f>
        <v/>
      </c>
      <c r="X132" s="10" t="n"/>
      <c r="Y132" s="9">
        <f>A132</f>
        <v/>
      </c>
      <c r="Z132" s="9">
        <f>(Inputs!$H$6+Inputs!$L$6*(((Inputs!$I$6+(((A132)+1)/2)*(Inputs!$J$6-Inputs!$I$6)))/Inputs!$K$6)^2)</f>
        <v/>
      </c>
      <c r="AA132" s="9">
        <f>(Inputs!$H$7+Inputs!$L$7*(((Inputs!$I$7+(((A132)+1)/2)*(Inputs!$J$7-Inputs!$I$7)))/Inputs!$K$7)^2)</f>
        <v/>
      </c>
      <c r="AB132" s="9">
        <f>(Inputs!$H$8+Inputs!$L$8*(((Inputs!$I$8+(((A132)+1)/2)*(Inputs!$J$8-Inputs!$I$8)))/Inputs!$K$8)^2)</f>
        <v/>
      </c>
      <c r="AC132" s="9">
        <f>(Inputs!$H$9+Inputs!$L$9*(((Inputs!$I$9+(((A132)+1)/2)*(Inputs!$J$9-Inputs!$I$9)))/Inputs!$K$9)^2)</f>
        <v/>
      </c>
      <c r="AD132" s="10" t="n"/>
      <c r="AE132" s="9">
        <f>A132</f>
        <v/>
      </c>
      <c r="AF132" s="9">
        <f>(((SQRT((Inputs!$C$52+((Inputs!$H$6+Inputs!$L$6*(((Inputs!$I$6+(((A132)+1)/2)*(Inputs!$J$6-Inputs!$I$6)))/Inputs!$K$6)^2)))^2+Inputs!$C$52^2-2*(Inputs!$C$52+((Inputs!$H$6+Inputs!$L$6*(((Inputs!$I$6+(((A132)+1)/2)*(Inputs!$J$6-Inputs!$I$6)))/Inputs!$K$6)^2)))*Inputs!$C$52*COS(SQRT(((Inputs!$I$6+(((A132)+1)/2)*(Inputs!$J$6-Inputs!$I$6)))^2+Inputs!$C$6^2)/Inputs!$C$52)))-((Inputs!$H$6+Inputs!$L$6*(((Inputs!$I$6+(((A132)+1)/2)*(Inputs!$J$6-Inputs!$I$6)))/Inputs!$K$6)^2)))*1000/Inputs!$C$12)</f>
        <v/>
      </c>
      <c r="AG132" s="9">
        <f>(((SQRT((Inputs!$C$52+((Inputs!$H$7+Inputs!$L$7*(((Inputs!$I$7+(((A132)+1)/2)*(Inputs!$J$7-Inputs!$I$7)))/Inputs!$K$7)^2)))^2+Inputs!$C$52^2-2*(Inputs!$C$52+((Inputs!$H$7+Inputs!$L$7*(((Inputs!$I$7+(((A132)+1)/2)*(Inputs!$J$7-Inputs!$I$7)))/Inputs!$K$7)^2)))*Inputs!$C$52*COS(SQRT(((Inputs!$I$7+(((A132)+1)/2)*(Inputs!$J$7-Inputs!$I$7)))^2+Inputs!$C$6^2)/Inputs!$C$52)))-((Inputs!$H$7+Inputs!$L$7*(((Inputs!$I$7+(((A132)+1)/2)*(Inputs!$J$7-Inputs!$I$7)))/Inputs!$K$7)^2)))*1000/Inputs!$C$12)</f>
        <v/>
      </c>
      <c r="AH132" s="9">
        <f>(((SQRT((Inputs!$C$52+((Inputs!$H$8+Inputs!$L$8*(((Inputs!$I$8+(((A132)+1)/2)*(Inputs!$J$8-Inputs!$I$8)))/Inputs!$K$8)^2)))^2+Inputs!$C$52^2-2*(Inputs!$C$52+((Inputs!$H$8+Inputs!$L$8*(((Inputs!$I$8+(((A132)+1)/2)*(Inputs!$J$8-Inputs!$I$8)))/Inputs!$K$8)^2)))*Inputs!$C$52*COS(SQRT(((Inputs!$I$8+(((A132)+1)/2)*(Inputs!$J$8-Inputs!$I$8)))^2+Inputs!$C$6^2)/Inputs!$C$52)))-((Inputs!$H$8+Inputs!$L$8*(((Inputs!$I$8+(((A132)+1)/2)*(Inputs!$J$8-Inputs!$I$8)))/Inputs!$K$8)^2)))*1000/Inputs!$C$12)</f>
        <v/>
      </c>
      <c r="AI132" s="9">
        <f>(((SQRT((Inputs!$C$52+((Inputs!$H$9+Inputs!$L$9*(((Inputs!$I$9+(((A132)+1)/2)*(Inputs!$J$9-Inputs!$I$9)))/Inputs!$K$9)^2)))^2+Inputs!$C$52^2-2*(Inputs!$C$52+((Inputs!$H$9+Inputs!$L$9*(((Inputs!$I$9+(((A132)+1)/2)*(Inputs!$J$9-Inputs!$I$9)))/Inputs!$K$9)^2)))*Inputs!$C$52*COS(SQRT(((Inputs!$I$9+(((A132)+1)/2)*(Inputs!$J$9-Inputs!$I$9)))^2+Inputs!$C$6^2)/Inputs!$C$52)))-((Inputs!$H$9+Inputs!$L$9*(((Inputs!$I$9+(((A132)+1)/2)*(Inputs!$J$9-Inputs!$I$9)))/Inputs!$K$9)^2)))*1000/Inputs!$C$12)</f>
        <v/>
      </c>
      <c r="AJ132" s="10" t="n"/>
      <c r="AK132" s="9">
        <f>A132</f>
        <v/>
      </c>
      <c r="AL132" s="9">
        <f>(-2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f>
        <v/>
      </c>
      <c r="AM132" s="9">
        <f>(-2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f>
        <v/>
      </c>
      <c r="AN132" s="9">
        <f>(-2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f>
        <v/>
      </c>
      <c r="AO132" s="9">
        <f>(-2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f>
        <v/>
      </c>
      <c r="AP132" s="10" t="n"/>
      <c r="AQ132" s="9">
        <f>A132</f>
        <v/>
      </c>
      <c r="AR132" s="9">
        <f>0</f>
        <v/>
      </c>
      <c r="AS132" s="9">
        <f>IF(OR(Inputs!$F$6=TRUE,Inputs!$F$6="TRUE",Inputs!$F$6=1),IF(OR(Inputs!$C$27=TRUE,Inputs!$C$27="TRUE",Inputs!$C$27=1),1,0)*(Inputs!$C$51*(115*EXP(-(((Inputs!$C$6)-25)^2)/(4.5^2))+70*EXP(-(((Inputs!$C$6)+38)^2)/(7^2))*(0.55+0.45*SIN(2*PI()*((Inputs!$I$6+(((A132)+1)/2)*(Inputs!$J$6-Inputs!$I$6)))/45))+24*SIN(2*PI()*(Inputs!$C$6)/9+((Inputs!$I$6+(((A132)+1)/2)*(Inputs!$J$6-Inputs!$I$6)))/18)*EXP(-(((Inputs!$C$6)+5)^2)/(22^2))+18*SIN(2*PI()*((Inputs!$I$6+(((A132)+1)/2)*(Inputs!$J$6-Inputs!$I$6)))/70))+Inputs!$C$28*EXP(-((((Inputs!$I$6+(((A132)+1)/2)*(Inputs!$J$6-Inputs!$I$6)))-Inputs!$C$29)^2)/(2*Inputs!$C$31^2))*EXP(-(((Inputs!$C$6)-Inputs!$C$30)^2)/(2*Inputs!$C$32^2))+-Inputs!$C$33*EXP(-((((((Inputs!$I$6+(((A132)+1)/2)*(Inputs!$J$6-Inputs!$I$6)))-Inputs!$C$34)^2)+(((Inputs!$C$6)-Inputs!$C$35)^2))/(2*Inputs!$C$36^2)))+Inputs!$C$37*(0.55*SIN(2*PI()*((Inputs!$I$6+(((A132)+1)/2)*(Inputs!$J$6-Inputs!$I$6)))/Inputs!$C$39)+0.35*COS(2*PI()*(Inputs!$C$6)/Inputs!$C$40)+0.2*SIN(2*PI()*(((Inputs!$I$6+(((A132)+1)/2)*(Inputs!$J$6-Inputs!$I$6)))+(Inputs!$C$6))/(0.5*(Inputs!$C$39+Inputs!$C$40))))+Inputs!$C$38*SIN(2*PI()*((Inputs!$I$6+(((A132)+1)/2)*(Inputs!$J$6-Inputs!$I$6)))/Inputs!$C$39)*SIN(2*PI()*(Inputs!$C$6)/Inputs!$C$40)+-Inputs!$C$41*EXP(-(((Inputs!$C$6)-Inputs!$C$43)^2)/(2*Inputs!$C$44^2))*EXP(-((((Inputs!$I$6+(((A132)+1)/2)*(Inputs!$J$6-Inputs!$I$6)))-Inputs!$C$42)^2)/(2*Inputs!$C$45^2))+Inputs!$C$48*(0.7*(0.45*SIN(2*PI()*((((Inputs!$I$6+(((A132)+1)/2)*(Inputs!$J$6-Inputs!$I$6)))/Inputs!$C$49)+Inputs!$C$47*0.137))+0.35*COS(2*PI()*(((Inputs!$C$6)/Inputs!$C$50)+Inputs!$C$47*0.173))+0.2*SIN(2*PI()*((((Inputs!$I$6+(((A132)+1)/2)*(Inputs!$J$6-Inputs!$I$6)))+(Inputs!$C$6))/(0.5*(Inputs!$C$49+Inputs!$C$50))+Inputs!$C$47*0.097)))+0.3*(2*((SIN((((Inputs!$I$6+(((A132)+1)/2)*(Inputs!$J$6-Inputs!$I$6)))*12.9898+(Inputs!$C$6)*78.233+Inputs!$C$47*37.719))*43758.5453)-INT((SIN((((Inputs!$I$6+(((A132)+1)/2)*(Inputs!$J$6-Inputs!$I$6)))*12.9898+(Inputs!$C$6)*78.233+Inputs!$C$47*37.719))*43758.5453)))-1))),NA())</f>
        <v/>
      </c>
      <c r="AT132" s="9">
        <f>IF(OR(Inputs!$F$7=TRUE,Inputs!$F$7="TRUE",Inputs!$F$7=1),IF(OR(Inputs!$C$27=TRUE,Inputs!$C$27="TRUE",Inputs!$C$27=1),1,0)*(Inputs!$C$51*(115*EXP(-(((Inputs!$C$6)-25)^2)/(4.5^2))+70*EXP(-(((Inputs!$C$6)+38)^2)/(7^2))*(0.55+0.45*SIN(2*PI()*((Inputs!$I$7+(((A132)+1)/2)*(Inputs!$J$7-Inputs!$I$7)))/45))+24*SIN(2*PI()*(Inputs!$C$6)/9+((Inputs!$I$7+(((A132)+1)/2)*(Inputs!$J$7-Inputs!$I$7)))/18)*EXP(-(((Inputs!$C$6)+5)^2)/(22^2))+18*SIN(2*PI()*((Inputs!$I$7+(((A132)+1)/2)*(Inputs!$J$7-Inputs!$I$7)))/70))+Inputs!$C$28*EXP(-((((Inputs!$I$7+(((A132)+1)/2)*(Inputs!$J$7-Inputs!$I$7)))-Inputs!$C$29)^2)/(2*Inputs!$C$31^2))*EXP(-(((Inputs!$C$6)-Inputs!$C$30)^2)/(2*Inputs!$C$32^2))+-Inputs!$C$33*EXP(-((((((Inputs!$I$7+(((A132)+1)/2)*(Inputs!$J$7-Inputs!$I$7)))-Inputs!$C$34)^2)+(((Inputs!$C$6)-Inputs!$C$35)^2))/(2*Inputs!$C$36^2)))+Inputs!$C$37*(0.55*SIN(2*PI()*((Inputs!$I$7+(((A132)+1)/2)*(Inputs!$J$7-Inputs!$I$7)))/Inputs!$C$39)+0.35*COS(2*PI()*(Inputs!$C$6)/Inputs!$C$40)+0.2*SIN(2*PI()*(((Inputs!$I$7+(((A132)+1)/2)*(Inputs!$J$7-Inputs!$I$7)))+(Inputs!$C$6))/(0.5*(Inputs!$C$39+Inputs!$C$40))))+Inputs!$C$38*SIN(2*PI()*((Inputs!$I$7+(((A132)+1)/2)*(Inputs!$J$7-Inputs!$I$7)))/Inputs!$C$39)*SIN(2*PI()*(Inputs!$C$6)/Inputs!$C$40)+-Inputs!$C$41*EXP(-(((Inputs!$C$6)-Inputs!$C$43)^2)/(2*Inputs!$C$44^2))*EXP(-((((Inputs!$I$7+(((A132)+1)/2)*(Inputs!$J$7-Inputs!$I$7)))-Inputs!$C$42)^2)/(2*Inputs!$C$45^2))+Inputs!$C$48*(0.7*(0.45*SIN(2*PI()*((((Inputs!$I$7+(((A132)+1)/2)*(Inputs!$J$7-Inputs!$I$7)))/Inputs!$C$49)+Inputs!$C$47*0.137))+0.35*COS(2*PI()*(((Inputs!$C$6)/Inputs!$C$50)+Inputs!$C$47*0.173))+0.2*SIN(2*PI()*((((Inputs!$I$7+(((A132)+1)/2)*(Inputs!$J$7-Inputs!$I$7)))+(Inputs!$C$6))/(0.5*(Inputs!$C$49+Inputs!$C$50))+Inputs!$C$47*0.097)))+0.3*(2*((SIN((((Inputs!$I$7+(((A132)+1)/2)*(Inputs!$J$7-Inputs!$I$7)))*12.9898+(Inputs!$C$6)*78.233+Inputs!$C$47*37.719))*43758.5453)-INT((SIN((((Inputs!$I$7+(((A132)+1)/2)*(Inputs!$J$7-Inputs!$I$7)))*12.9898+(Inputs!$C$6)*78.233+Inputs!$C$47*37.719))*43758.5453)))-1))),NA())</f>
        <v/>
      </c>
      <c r="AU132" s="9">
        <f>IF(OR(Inputs!$F$8=TRUE,Inputs!$F$8="TRUE",Inputs!$F$8=1),IF(OR(Inputs!$C$27=TRUE,Inputs!$C$27="TRUE",Inputs!$C$27=1),1,0)*(Inputs!$C$51*(115*EXP(-(((Inputs!$C$6)-25)^2)/(4.5^2))+70*EXP(-(((Inputs!$C$6)+38)^2)/(7^2))*(0.55+0.45*SIN(2*PI()*((Inputs!$I$8+(((A132)+1)/2)*(Inputs!$J$8-Inputs!$I$8)))/45))+24*SIN(2*PI()*(Inputs!$C$6)/9+((Inputs!$I$8+(((A132)+1)/2)*(Inputs!$J$8-Inputs!$I$8)))/18)*EXP(-(((Inputs!$C$6)+5)^2)/(22^2))+18*SIN(2*PI()*((Inputs!$I$8+(((A132)+1)/2)*(Inputs!$J$8-Inputs!$I$8)))/70))+Inputs!$C$28*EXP(-((((Inputs!$I$8+(((A132)+1)/2)*(Inputs!$J$8-Inputs!$I$8)))-Inputs!$C$29)^2)/(2*Inputs!$C$31^2))*EXP(-(((Inputs!$C$6)-Inputs!$C$30)^2)/(2*Inputs!$C$32^2))+-Inputs!$C$33*EXP(-((((((Inputs!$I$8+(((A132)+1)/2)*(Inputs!$J$8-Inputs!$I$8)))-Inputs!$C$34)^2)+(((Inputs!$C$6)-Inputs!$C$35)^2))/(2*Inputs!$C$36^2)))+Inputs!$C$37*(0.55*SIN(2*PI()*((Inputs!$I$8+(((A132)+1)/2)*(Inputs!$J$8-Inputs!$I$8)))/Inputs!$C$39)+0.35*COS(2*PI()*(Inputs!$C$6)/Inputs!$C$40)+0.2*SIN(2*PI()*(((Inputs!$I$8+(((A132)+1)/2)*(Inputs!$J$8-Inputs!$I$8)))+(Inputs!$C$6))/(0.5*(Inputs!$C$39+Inputs!$C$40))))+Inputs!$C$38*SIN(2*PI()*((Inputs!$I$8+(((A132)+1)/2)*(Inputs!$J$8-Inputs!$I$8)))/Inputs!$C$39)*SIN(2*PI()*(Inputs!$C$6)/Inputs!$C$40)+-Inputs!$C$41*EXP(-(((Inputs!$C$6)-Inputs!$C$43)^2)/(2*Inputs!$C$44^2))*EXP(-((((Inputs!$I$8+(((A132)+1)/2)*(Inputs!$J$8-Inputs!$I$8)))-Inputs!$C$42)^2)/(2*Inputs!$C$45^2))+Inputs!$C$48*(0.7*(0.45*SIN(2*PI()*((((Inputs!$I$8+(((A132)+1)/2)*(Inputs!$J$8-Inputs!$I$8)))/Inputs!$C$49)+Inputs!$C$47*0.137))+0.35*COS(2*PI()*(((Inputs!$C$6)/Inputs!$C$50)+Inputs!$C$47*0.173))+0.2*SIN(2*PI()*((((Inputs!$I$8+(((A132)+1)/2)*(Inputs!$J$8-Inputs!$I$8)))+(Inputs!$C$6))/(0.5*(Inputs!$C$49+Inputs!$C$50))+Inputs!$C$47*0.097)))+0.3*(2*((SIN((((Inputs!$I$8+(((A132)+1)/2)*(Inputs!$J$8-Inputs!$I$8)))*12.9898+(Inputs!$C$6)*78.233+Inputs!$C$47*37.719))*43758.5453)-INT((SIN((((Inputs!$I$8+(((A132)+1)/2)*(Inputs!$J$8-Inputs!$I$8)))*12.9898+(Inputs!$C$6)*78.233+Inputs!$C$47*37.719))*43758.5453)))-1))),NA())</f>
        <v/>
      </c>
      <c r="AV132" s="9">
        <f>IF(OR(Inputs!$F$9=TRUE,Inputs!$F$9="TRUE",Inputs!$F$9=1),IF(OR(Inputs!$C$27=TRUE,Inputs!$C$27="TRUE",Inputs!$C$27=1),1,0)*(Inputs!$C$51*(115*EXP(-(((Inputs!$C$6)-25)^2)/(4.5^2))+70*EXP(-(((Inputs!$C$6)+38)^2)/(7^2))*(0.55+0.45*SIN(2*PI()*((Inputs!$I$9+(((A132)+1)/2)*(Inputs!$J$9-Inputs!$I$9)))/45))+24*SIN(2*PI()*(Inputs!$C$6)/9+((Inputs!$I$9+(((A132)+1)/2)*(Inputs!$J$9-Inputs!$I$9)))/18)*EXP(-(((Inputs!$C$6)+5)^2)/(22^2))+18*SIN(2*PI()*((Inputs!$I$9+(((A132)+1)/2)*(Inputs!$J$9-Inputs!$I$9)))/70))+Inputs!$C$28*EXP(-((((Inputs!$I$9+(((A132)+1)/2)*(Inputs!$J$9-Inputs!$I$9)))-Inputs!$C$29)^2)/(2*Inputs!$C$31^2))*EXP(-(((Inputs!$C$6)-Inputs!$C$30)^2)/(2*Inputs!$C$32^2))+-Inputs!$C$33*EXP(-((((((Inputs!$I$9+(((A132)+1)/2)*(Inputs!$J$9-Inputs!$I$9)))-Inputs!$C$34)^2)+(((Inputs!$C$6)-Inputs!$C$35)^2))/(2*Inputs!$C$36^2)))+Inputs!$C$37*(0.55*SIN(2*PI()*((Inputs!$I$9+(((A132)+1)/2)*(Inputs!$J$9-Inputs!$I$9)))/Inputs!$C$39)+0.35*COS(2*PI()*(Inputs!$C$6)/Inputs!$C$40)+0.2*SIN(2*PI()*(((Inputs!$I$9+(((A132)+1)/2)*(Inputs!$J$9-Inputs!$I$9)))+(Inputs!$C$6))/(0.5*(Inputs!$C$39+Inputs!$C$40))))+Inputs!$C$38*SIN(2*PI()*((Inputs!$I$9+(((A132)+1)/2)*(Inputs!$J$9-Inputs!$I$9)))/Inputs!$C$39)*SIN(2*PI()*(Inputs!$C$6)/Inputs!$C$40)+-Inputs!$C$41*EXP(-(((Inputs!$C$6)-Inputs!$C$43)^2)/(2*Inputs!$C$44^2))*EXP(-((((Inputs!$I$9+(((A132)+1)/2)*(Inputs!$J$9-Inputs!$I$9)))-Inputs!$C$42)^2)/(2*Inputs!$C$45^2))+Inputs!$C$48*(0.7*(0.45*SIN(2*PI()*((((Inputs!$I$9+(((A132)+1)/2)*(Inputs!$J$9-Inputs!$I$9)))/Inputs!$C$49)+Inputs!$C$47*0.137))+0.35*COS(2*PI()*(((Inputs!$C$6)/Inputs!$C$50)+Inputs!$C$47*0.173))+0.2*SIN(2*PI()*((((Inputs!$I$9+(((A132)+1)/2)*(Inputs!$J$9-Inputs!$I$9)))+(Inputs!$C$6))/(0.5*(Inputs!$C$49+Inputs!$C$50))+Inputs!$C$47*0.097)))+0.3*(2*((SIN((((Inputs!$I$9+(((A132)+1)/2)*(Inputs!$J$9-Inputs!$I$9)))*12.9898+(Inputs!$C$6)*78.233+Inputs!$C$47*37.719))*43758.5453)-INT((SIN((((Inputs!$I$9+(((A132)+1)/2)*(Inputs!$J$9-Inputs!$I$9)))*12.9898+(Inputs!$C$6)*78.233+Inputs!$C$47*37.719))*43758.5453)))-1))),NA())</f>
        <v/>
      </c>
      <c r="AW132" s="10" t="n"/>
      <c r="AX132" s="9">
        <f>A132</f>
        <v/>
      </c>
      <c r="AY132" s="9">
        <f>0</f>
        <v/>
      </c>
      <c r="AZ132" s="9">
        <f>IF(OR(Inputs!$F$6=TRUE,Inputs!$F$6="TRUE",Inputs!$F$6=1),(Inputs!$H$6+Inputs!$L$6*(((Inputs!$I$6+(((A132)+1)/2)*(Inputs!$J$6-Inputs!$I$6)))/Inputs!$K$6)^2),NA())</f>
        <v/>
      </c>
      <c r="BA132" s="9">
        <f>IF(OR(Inputs!$F$7=TRUE,Inputs!$F$7="TRUE",Inputs!$F$7=1),(Inputs!$H$7+Inputs!$L$7*(((Inputs!$I$7+(((A132)+1)/2)*(Inputs!$J$7-Inputs!$I$7)))/Inputs!$K$7)^2),NA())</f>
        <v/>
      </c>
      <c r="BB132" s="9">
        <f>IF(OR(Inputs!$F$8=TRUE,Inputs!$F$8="TRUE",Inputs!$F$8=1),(Inputs!$H$8+Inputs!$L$8*(((Inputs!$I$8+(((A132)+1)/2)*(Inputs!$J$8-Inputs!$I$8)))/Inputs!$K$8)^2),NA())</f>
        <v/>
      </c>
      <c r="BC132" s="9">
        <f>IF(OR(Inputs!$F$9=TRUE,Inputs!$F$9="TRUE",Inputs!$F$9=1),(Inputs!$H$9+Inputs!$L$9*(((Inputs!$I$9+(((A132)+1)/2)*(Inputs!$J$9-Inputs!$I$9)))/Inputs!$K$9)^2),NA())</f>
        <v/>
      </c>
      <c r="BD132" s="10" t="n"/>
      <c r="BE132" s="9">
        <f>A132</f>
        <v/>
      </c>
      <c r="BF132" s="9">
        <f>0</f>
        <v/>
      </c>
      <c r="BG132" s="9">
        <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f>
        <v/>
      </c>
      <c r="BH132" s="9">
        <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f>
        <v/>
      </c>
      <c r="BI132" s="9">
        <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f>
        <v/>
      </c>
      <c r="BJ132" s="9">
        <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f>
        <v/>
      </c>
    </row>
    <row r="133">
      <c r="A133" s="9">
        <f>ROUND(-1+131*2/240,3)</f>
        <v/>
      </c>
      <c r="B133" s="9">
        <f>IF(OR(Inputs!$F$6=TRUE,Inputs!$F$6="TRUE",Inputs!$F$6=1),(Inputs!$H$6+Inputs!$L$6*(((Inputs!$I$6+(((A133)+1)/2)*(Inputs!$J$6-Inputs!$I$6)))/Inputs!$K$6)^2),NA())</f>
        <v/>
      </c>
      <c r="C133" s="9">
        <f>IF(OR(Inputs!$F$7=TRUE,Inputs!$F$7="TRUE",Inputs!$F$7=1),(Inputs!$H$7+Inputs!$L$7*(((Inputs!$I$7+(((A133)+1)/2)*(Inputs!$J$7-Inputs!$I$7)))/Inputs!$K$7)^2),NA())</f>
        <v/>
      </c>
      <c r="D133" s="9">
        <f>IF(OR(Inputs!$F$8=TRUE,Inputs!$F$8="TRUE",Inputs!$F$8=1),(Inputs!$H$8+Inputs!$L$8*(((Inputs!$I$8+(((A133)+1)/2)*(Inputs!$J$8-Inputs!$I$8)))/Inputs!$K$8)^2),NA())</f>
        <v/>
      </c>
      <c r="E133" s="9">
        <f>IF(OR(Inputs!$F$9=TRUE,Inputs!$F$9="TRUE",Inputs!$F$9=1),(Inputs!$H$9+Inputs!$L$9*(((Inputs!$I$9+(((A133)+1)/2)*(Inputs!$J$9-Inputs!$I$9)))/Inputs!$K$9)^2),NA())</f>
        <v/>
      </c>
      <c r="F133" s="10" t="n"/>
      <c r="G133" s="9">
        <f>A133</f>
        <v/>
      </c>
      <c r="H133" s="9">
        <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f>
        <v/>
      </c>
      <c r="I133" s="9">
        <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f>
        <v/>
      </c>
      <c r="J133" s="9">
        <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f>
        <v/>
      </c>
      <c r="K133" s="9">
        <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f>
        <v/>
      </c>
      <c r="L133" s="10" t="n"/>
      <c r="M133" s="9">
        <f>A133</f>
        <v/>
      </c>
      <c r="N133" s="9">
        <f>IF(OR(Inputs!$F$6=TRUE,Inputs!$F$6="TRUE",Inputs!$F$6=1),(-2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NA())</f>
        <v/>
      </c>
      <c r="O133" s="9">
        <f>IF(OR(Inputs!$F$7=TRUE,Inputs!$F$7="TRUE",Inputs!$F$7=1),(-2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NA())</f>
        <v/>
      </c>
      <c r="P133" s="9">
        <f>IF(OR(Inputs!$F$8=TRUE,Inputs!$F$8="TRUE",Inputs!$F$8=1),(-2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NA())</f>
        <v/>
      </c>
      <c r="Q133" s="9">
        <f>IF(OR(Inputs!$F$9=TRUE,Inputs!$F$9="TRUE",Inputs!$F$9=1),(-2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NA())</f>
        <v/>
      </c>
      <c r="R133" s="10" t="n"/>
      <c r="S133" s="9">
        <f>A133</f>
        <v/>
      </c>
      <c r="T133" s="9">
        <f>(Inputs!$I$6+(((A133)+1)/2)*(Inputs!$J$6-Inputs!$I$6))</f>
        <v/>
      </c>
      <c r="U133" s="9">
        <f>(Inputs!$I$7+(((A133)+1)/2)*(Inputs!$J$7-Inputs!$I$7))</f>
        <v/>
      </c>
      <c r="V133" s="9">
        <f>(Inputs!$I$8+(((A133)+1)/2)*(Inputs!$J$8-Inputs!$I$8))</f>
        <v/>
      </c>
      <c r="W133" s="9">
        <f>(Inputs!$I$9+(((A133)+1)/2)*(Inputs!$J$9-Inputs!$I$9))</f>
        <v/>
      </c>
      <c r="X133" s="10" t="n"/>
      <c r="Y133" s="9">
        <f>A133</f>
        <v/>
      </c>
      <c r="Z133" s="9">
        <f>(Inputs!$H$6+Inputs!$L$6*(((Inputs!$I$6+(((A133)+1)/2)*(Inputs!$J$6-Inputs!$I$6)))/Inputs!$K$6)^2)</f>
        <v/>
      </c>
      <c r="AA133" s="9">
        <f>(Inputs!$H$7+Inputs!$L$7*(((Inputs!$I$7+(((A133)+1)/2)*(Inputs!$J$7-Inputs!$I$7)))/Inputs!$K$7)^2)</f>
        <v/>
      </c>
      <c r="AB133" s="9">
        <f>(Inputs!$H$8+Inputs!$L$8*(((Inputs!$I$8+(((A133)+1)/2)*(Inputs!$J$8-Inputs!$I$8)))/Inputs!$K$8)^2)</f>
        <v/>
      </c>
      <c r="AC133" s="9">
        <f>(Inputs!$H$9+Inputs!$L$9*(((Inputs!$I$9+(((A133)+1)/2)*(Inputs!$J$9-Inputs!$I$9)))/Inputs!$K$9)^2)</f>
        <v/>
      </c>
      <c r="AD133" s="10" t="n"/>
      <c r="AE133" s="9">
        <f>A133</f>
        <v/>
      </c>
      <c r="AF133" s="9">
        <f>(((SQRT((Inputs!$C$52+((Inputs!$H$6+Inputs!$L$6*(((Inputs!$I$6+(((A133)+1)/2)*(Inputs!$J$6-Inputs!$I$6)))/Inputs!$K$6)^2)))^2+Inputs!$C$52^2-2*(Inputs!$C$52+((Inputs!$H$6+Inputs!$L$6*(((Inputs!$I$6+(((A133)+1)/2)*(Inputs!$J$6-Inputs!$I$6)))/Inputs!$K$6)^2)))*Inputs!$C$52*COS(SQRT(((Inputs!$I$6+(((A133)+1)/2)*(Inputs!$J$6-Inputs!$I$6)))^2+Inputs!$C$6^2)/Inputs!$C$52)))-((Inputs!$H$6+Inputs!$L$6*(((Inputs!$I$6+(((A133)+1)/2)*(Inputs!$J$6-Inputs!$I$6)))/Inputs!$K$6)^2)))*1000/Inputs!$C$12)</f>
        <v/>
      </c>
      <c r="AG133" s="9">
        <f>(((SQRT((Inputs!$C$52+((Inputs!$H$7+Inputs!$L$7*(((Inputs!$I$7+(((A133)+1)/2)*(Inputs!$J$7-Inputs!$I$7)))/Inputs!$K$7)^2)))^2+Inputs!$C$52^2-2*(Inputs!$C$52+((Inputs!$H$7+Inputs!$L$7*(((Inputs!$I$7+(((A133)+1)/2)*(Inputs!$J$7-Inputs!$I$7)))/Inputs!$K$7)^2)))*Inputs!$C$52*COS(SQRT(((Inputs!$I$7+(((A133)+1)/2)*(Inputs!$J$7-Inputs!$I$7)))^2+Inputs!$C$6^2)/Inputs!$C$52)))-((Inputs!$H$7+Inputs!$L$7*(((Inputs!$I$7+(((A133)+1)/2)*(Inputs!$J$7-Inputs!$I$7)))/Inputs!$K$7)^2)))*1000/Inputs!$C$12)</f>
        <v/>
      </c>
      <c r="AH133" s="9">
        <f>(((SQRT((Inputs!$C$52+((Inputs!$H$8+Inputs!$L$8*(((Inputs!$I$8+(((A133)+1)/2)*(Inputs!$J$8-Inputs!$I$8)))/Inputs!$K$8)^2)))^2+Inputs!$C$52^2-2*(Inputs!$C$52+((Inputs!$H$8+Inputs!$L$8*(((Inputs!$I$8+(((A133)+1)/2)*(Inputs!$J$8-Inputs!$I$8)))/Inputs!$K$8)^2)))*Inputs!$C$52*COS(SQRT(((Inputs!$I$8+(((A133)+1)/2)*(Inputs!$J$8-Inputs!$I$8)))^2+Inputs!$C$6^2)/Inputs!$C$52)))-((Inputs!$H$8+Inputs!$L$8*(((Inputs!$I$8+(((A133)+1)/2)*(Inputs!$J$8-Inputs!$I$8)))/Inputs!$K$8)^2)))*1000/Inputs!$C$12)</f>
        <v/>
      </c>
      <c r="AI133" s="9">
        <f>(((SQRT((Inputs!$C$52+((Inputs!$H$9+Inputs!$L$9*(((Inputs!$I$9+(((A133)+1)/2)*(Inputs!$J$9-Inputs!$I$9)))/Inputs!$K$9)^2)))^2+Inputs!$C$52^2-2*(Inputs!$C$52+((Inputs!$H$9+Inputs!$L$9*(((Inputs!$I$9+(((A133)+1)/2)*(Inputs!$J$9-Inputs!$I$9)))/Inputs!$K$9)^2)))*Inputs!$C$52*COS(SQRT(((Inputs!$I$9+(((A133)+1)/2)*(Inputs!$J$9-Inputs!$I$9)))^2+Inputs!$C$6^2)/Inputs!$C$52)))-((Inputs!$H$9+Inputs!$L$9*(((Inputs!$I$9+(((A133)+1)/2)*(Inputs!$J$9-Inputs!$I$9)))/Inputs!$K$9)^2)))*1000/Inputs!$C$12)</f>
        <v/>
      </c>
      <c r="AJ133" s="10" t="n"/>
      <c r="AK133" s="9">
        <f>A133</f>
        <v/>
      </c>
      <c r="AL133" s="9">
        <f>(-2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f>
        <v/>
      </c>
      <c r="AM133" s="9">
        <f>(-2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f>
        <v/>
      </c>
      <c r="AN133" s="9">
        <f>(-2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f>
        <v/>
      </c>
      <c r="AO133" s="9">
        <f>(-2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f>
        <v/>
      </c>
      <c r="AP133" s="10" t="n"/>
      <c r="AQ133" s="9">
        <f>A133</f>
        <v/>
      </c>
      <c r="AR133" s="9">
        <f>0</f>
        <v/>
      </c>
      <c r="AS133" s="9">
        <f>IF(OR(Inputs!$F$6=TRUE,Inputs!$F$6="TRUE",Inputs!$F$6=1),IF(OR(Inputs!$C$27=TRUE,Inputs!$C$27="TRUE",Inputs!$C$27=1),1,0)*(Inputs!$C$51*(115*EXP(-(((Inputs!$C$6)-25)^2)/(4.5^2))+70*EXP(-(((Inputs!$C$6)+38)^2)/(7^2))*(0.55+0.45*SIN(2*PI()*((Inputs!$I$6+(((A133)+1)/2)*(Inputs!$J$6-Inputs!$I$6)))/45))+24*SIN(2*PI()*(Inputs!$C$6)/9+((Inputs!$I$6+(((A133)+1)/2)*(Inputs!$J$6-Inputs!$I$6)))/18)*EXP(-(((Inputs!$C$6)+5)^2)/(22^2))+18*SIN(2*PI()*((Inputs!$I$6+(((A133)+1)/2)*(Inputs!$J$6-Inputs!$I$6)))/70))+Inputs!$C$28*EXP(-((((Inputs!$I$6+(((A133)+1)/2)*(Inputs!$J$6-Inputs!$I$6)))-Inputs!$C$29)^2)/(2*Inputs!$C$31^2))*EXP(-(((Inputs!$C$6)-Inputs!$C$30)^2)/(2*Inputs!$C$32^2))+-Inputs!$C$33*EXP(-((((((Inputs!$I$6+(((A133)+1)/2)*(Inputs!$J$6-Inputs!$I$6)))-Inputs!$C$34)^2)+(((Inputs!$C$6)-Inputs!$C$35)^2))/(2*Inputs!$C$36^2)))+Inputs!$C$37*(0.55*SIN(2*PI()*((Inputs!$I$6+(((A133)+1)/2)*(Inputs!$J$6-Inputs!$I$6)))/Inputs!$C$39)+0.35*COS(2*PI()*(Inputs!$C$6)/Inputs!$C$40)+0.2*SIN(2*PI()*(((Inputs!$I$6+(((A133)+1)/2)*(Inputs!$J$6-Inputs!$I$6)))+(Inputs!$C$6))/(0.5*(Inputs!$C$39+Inputs!$C$40))))+Inputs!$C$38*SIN(2*PI()*((Inputs!$I$6+(((A133)+1)/2)*(Inputs!$J$6-Inputs!$I$6)))/Inputs!$C$39)*SIN(2*PI()*(Inputs!$C$6)/Inputs!$C$40)+-Inputs!$C$41*EXP(-(((Inputs!$C$6)-Inputs!$C$43)^2)/(2*Inputs!$C$44^2))*EXP(-((((Inputs!$I$6+(((A133)+1)/2)*(Inputs!$J$6-Inputs!$I$6)))-Inputs!$C$42)^2)/(2*Inputs!$C$45^2))+Inputs!$C$48*(0.7*(0.45*SIN(2*PI()*((((Inputs!$I$6+(((A133)+1)/2)*(Inputs!$J$6-Inputs!$I$6)))/Inputs!$C$49)+Inputs!$C$47*0.137))+0.35*COS(2*PI()*(((Inputs!$C$6)/Inputs!$C$50)+Inputs!$C$47*0.173))+0.2*SIN(2*PI()*((((Inputs!$I$6+(((A133)+1)/2)*(Inputs!$J$6-Inputs!$I$6)))+(Inputs!$C$6))/(0.5*(Inputs!$C$49+Inputs!$C$50))+Inputs!$C$47*0.097)))+0.3*(2*((SIN((((Inputs!$I$6+(((A133)+1)/2)*(Inputs!$J$6-Inputs!$I$6)))*12.9898+(Inputs!$C$6)*78.233+Inputs!$C$47*37.719))*43758.5453)-INT((SIN((((Inputs!$I$6+(((A133)+1)/2)*(Inputs!$J$6-Inputs!$I$6)))*12.9898+(Inputs!$C$6)*78.233+Inputs!$C$47*37.719))*43758.5453)))-1))),NA())</f>
        <v/>
      </c>
      <c r="AT133" s="9">
        <f>IF(OR(Inputs!$F$7=TRUE,Inputs!$F$7="TRUE",Inputs!$F$7=1),IF(OR(Inputs!$C$27=TRUE,Inputs!$C$27="TRUE",Inputs!$C$27=1),1,0)*(Inputs!$C$51*(115*EXP(-(((Inputs!$C$6)-25)^2)/(4.5^2))+70*EXP(-(((Inputs!$C$6)+38)^2)/(7^2))*(0.55+0.45*SIN(2*PI()*((Inputs!$I$7+(((A133)+1)/2)*(Inputs!$J$7-Inputs!$I$7)))/45))+24*SIN(2*PI()*(Inputs!$C$6)/9+((Inputs!$I$7+(((A133)+1)/2)*(Inputs!$J$7-Inputs!$I$7)))/18)*EXP(-(((Inputs!$C$6)+5)^2)/(22^2))+18*SIN(2*PI()*((Inputs!$I$7+(((A133)+1)/2)*(Inputs!$J$7-Inputs!$I$7)))/70))+Inputs!$C$28*EXP(-((((Inputs!$I$7+(((A133)+1)/2)*(Inputs!$J$7-Inputs!$I$7)))-Inputs!$C$29)^2)/(2*Inputs!$C$31^2))*EXP(-(((Inputs!$C$6)-Inputs!$C$30)^2)/(2*Inputs!$C$32^2))+-Inputs!$C$33*EXP(-((((((Inputs!$I$7+(((A133)+1)/2)*(Inputs!$J$7-Inputs!$I$7)))-Inputs!$C$34)^2)+(((Inputs!$C$6)-Inputs!$C$35)^2))/(2*Inputs!$C$36^2)))+Inputs!$C$37*(0.55*SIN(2*PI()*((Inputs!$I$7+(((A133)+1)/2)*(Inputs!$J$7-Inputs!$I$7)))/Inputs!$C$39)+0.35*COS(2*PI()*(Inputs!$C$6)/Inputs!$C$40)+0.2*SIN(2*PI()*(((Inputs!$I$7+(((A133)+1)/2)*(Inputs!$J$7-Inputs!$I$7)))+(Inputs!$C$6))/(0.5*(Inputs!$C$39+Inputs!$C$40))))+Inputs!$C$38*SIN(2*PI()*((Inputs!$I$7+(((A133)+1)/2)*(Inputs!$J$7-Inputs!$I$7)))/Inputs!$C$39)*SIN(2*PI()*(Inputs!$C$6)/Inputs!$C$40)+-Inputs!$C$41*EXP(-(((Inputs!$C$6)-Inputs!$C$43)^2)/(2*Inputs!$C$44^2))*EXP(-((((Inputs!$I$7+(((A133)+1)/2)*(Inputs!$J$7-Inputs!$I$7)))-Inputs!$C$42)^2)/(2*Inputs!$C$45^2))+Inputs!$C$48*(0.7*(0.45*SIN(2*PI()*((((Inputs!$I$7+(((A133)+1)/2)*(Inputs!$J$7-Inputs!$I$7)))/Inputs!$C$49)+Inputs!$C$47*0.137))+0.35*COS(2*PI()*(((Inputs!$C$6)/Inputs!$C$50)+Inputs!$C$47*0.173))+0.2*SIN(2*PI()*((((Inputs!$I$7+(((A133)+1)/2)*(Inputs!$J$7-Inputs!$I$7)))+(Inputs!$C$6))/(0.5*(Inputs!$C$49+Inputs!$C$50))+Inputs!$C$47*0.097)))+0.3*(2*((SIN((((Inputs!$I$7+(((A133)+1)/2)*(Inputs!$J$7-Inputs!$I$7)))*12.9898+(Inputs!$C$6)*78.233+Inputs!$C$47*37.719))*43758.5453)-INT((SIN((((Inputs!$I$7+(((A133)+1)/2)*(Inputs!$J$7-Inputs!$I$7)))*12.9898+(Inputs!$C$6)*78.233+Inputs!$C$47*37.719))*43758.5453)))-1))),NA())</f>
        <v/>
      </c>
      <c r="AU133" s="9">
        <f>IF(OR(Inputs!$F$8=TRUE,Inputs!$F$8="TRUE",Inputs!$F$8=1),IF(OR(Inputs!$C$27=TRUE,Inputs!$C$27="TRUE",Inputs!$C$27=1),1,0)*(Inputs!$C$51*(115*EXP(-(((Inputs!$C$6)-25)^2)/(4.5^2))+70*EXP(-(((Inputs!$C$6)+38)^2)/(7^2))*(0.55+0.45*SIN(2*PI()*((Inputs!$I$8+(((A133)+1)/2)*(Inputs!$J$8-Inputs!$I$8)))/45))+24*SIN(2*PI()*(Inputs!$C$6)/9+((Inputs!$I$8+(((A133)+1)/2)*(Inputs!$J$8-Inputs!$I$8)))/18)*EXP(-(((Inputs!$C$6)+5)^2)/(22^2))+18*SIN(2*PI()*((Inputs!$I$8+(((A133)+1)/2)*(Inputs!$J$8-Inputs!$I$8)))/70))+Inputs!$C$28*EXP(-((((Inputs!$I$8+(((A133)+1)/2)*(Inputs!$J$8-Inputs!$I$8)))-Inputs!$C$29)^2)/(2*Inputs!$C$31^2))*EXP(-(((Inputs!$C$6)-Inputs!$C$30)^2)/(2*Inputs!$C$32^2))+-Inputs!$C$33*EXP(-((((((Inputs!$I$8+(((A133)+1)/2)*(Inputs!$J$8-Inputs!$I$8)))-Inputs!$C$34)^2)+(((Inputs!$C$6)-Inputs!$C$35)^2))/(2*Inputs!$C$36^2)))+Inputs!$C$37*(0.55*SIN(2*PI()*((Inputs!$I$8+(((A133)+1)/2)*(Inputs!$J$8-Inputs!$I$8)))/Inputs!$C$39)+0.35*COS(2*PI()*(Inputs!$C$6)/Inputs!$C$40)+0.2*SIN(2*PI()*(((Inputs!$I$8+(((A133)+1)/2)*(Inputs!$J$8-Inputs!$I$8)))+(Inputs!$C$6))/(0.5*(Inputs!$C$39+Inputs!$C$40))))+Inputs!$C$38*SIN(2*PI()*((Inputs!$I$8+(((A133)+1)/2)*(Inputs!$J$8-Inputs!$I$8)))/Inputs!$C$39)*SIN(2*PI()*(Inputs!$C$6)/Inputs!$C$40)+-Inputs!$C$41*EXP(-(((Inputs!$C$6)-Inputs!$C$43)^2)/(2*Inputs!$C$44^2))*EXP(-((((Inputs!$I$8+(((A133)+1)/2)*(Inputs!$J$8-Inputs!$I$8)))-Inputs!$C$42)^2)/(2*Inputs!$C$45^2))+Inputs!$C$48*(0.7*(0.45*SIN(2*PI()*((((Inputs!$I$8+(((A133)+1)/2)*(Inputs!$J$8-Inputs!$I$8)))/Inputs!$C$49)+Inputs!$C$47*0.137))+0.35*COS(2*PI()*(((Inputs!$C$6)/Inputs!$C$50)+Inputs!$C$47*0.173))+0.2*SIN(2*PI()*((((Inputs!$I$8+(((A133)+1)/2)*(Inputs!$J$8-Inputs!$I$8)))+(Inputs!$C$6))/(0.5*(Inputs!$C$49+Inputs!$C$50))+Inputs!$C$47*0.097)))+0.3*(2*((SIN((((Inputs!$I$8+(((A133)+1)/2)*(Inputs!$J$8-Inputs!$I$8)))*12.9898+(Inputs!$C$6)*78.233+Inputs!$C$47*37.719))*43758.5453)-INT((SIN((((Inputs!$I$8+(((A133)+1)/2)*(Inputs!$J$8-Inputs!$I$8)))*12.9898+(Inputs!$C$6)*78.233+Inputs!$C$47*37.719))*43758.5453)))-1))),NA())</f>
        <v/>
      </c>
      <c r="AV133" s="9">
        <f>IF(OR(Inputs!$F$9=TRUE,Inputs!$F$9="TRUE",Inputs!$F$9=1),IF(OR(Inputs!$C$27=TRUE,Inputs!$C$27="TRUE",Inputs!$C$27=1),1,0)*(Inputs!$C$51*(115*EXP(-(((Inputs!$C$6)-25)^2)/(4.5^2))+70*EXP(-(((Inputs!$C$6)+38)^2)/(7^2))*(0.55+0.45*SIN(2*PI()*((Inputs!$I$9+(((A133)+1)/2)*(Inputs!$J$9-Inputs!$I$9)))/45))+24*SIN(2*PI()*(Inputs!$C$6)/9+((Inputs!$I$9+(((A133)+1)/2)*(Inputs!$J$9-Inputs!$I$9)))/18)*EXP(-(((Inputs!$C$6)+5)^2)/(22^2))+18*SIN(2*PI()*((Inputs!$I$9+(((A133)+1)/2)*(Inputs!$J$9-Inputs!$I$9)))/70))+Inputs!$C$28*EXP(-((((Inputs!$I$9+(((A133)+1)/2)*(Inputs!$J$9-Inputs!$I$9)))-Inputs!$C$29)^2)/(2*Inputs!$C$31^2))*EXP(-(((Inputs!$C$6)-Inputs!$C$30)^2)/(2*Inputs!$C$32^2))+-Inputs!$C$33*EXP(-((((((Inputs!$I$9+(((A133)+1)/2)*(Inputs!$J$9-Inputs!$I$9)))-Inputs!$C$34)^2)+(((Inputs!$C$6)-Inputs!$C$35)^2))/(2*Inputs!$C$36^2)))+Inputs!$C$37*(0.55*SIN(2*PI()*((Inputs!$I$9+(((A133)+1)/2)*(Inputs!$J$9-Inputs!$I$9)))/Inputs!$C$39)+0.35*COS(2*PI()*(Inputs!$C$6)/Inputs!$C$40)+0.2*SIN(2*PI()*(((Inputs!$I$9+(((A133)+1)/2)*(Inputs!$J$9-Inputs!$I$9)))+(Inputs!$C$6))/(0.5*(Inputs!$C$39+Inputs!$C$40))))+Inputs!$C$38*SIN(2*PI()*((Inputs!$I$9+(((A133)+1)/2)*(Inputs!$J$9-Inputs!$I$9)))/Inputs!$C$39)*SIN(2*PI()*(Inputs!$C$6)/Inputs!$C$40)+-Inputs!$C$41*EXP(-(((Inputs!$C$6)-Inputs!$C$43)^2)/(2*Inputs!$C$44^2))*EXP(-((((Inputs!$I$9+(((A133)+1)/2)*(Inputs!$J$9-Inputs!$I$9)))-Inputs!$C$42)^2)/(2*Inputs!$C$45^2))+Inputs!$C$48*(0.7*(0.45*SIN(2*PI()*((((Inputs!$I$9+(((A133)+1)/2)*(Inputs!$J$9-Inputs!$I$9)))/Inputs!$C$49)+Inputs!$C$47*0.137))+0.35*COS(2*PI()*(((Inputs!$C$6)/Inputs!$C$50)+Inputs!$C$47*0.173))+0.2*SIN(2*PI()*((((Inputs!$I$9+(((A133)+1)/2)*(Inputs!$J$9-Inputs!$I$9)))+(Inputs!$C$6))/(0.5*(Inputs!$C$49+Inputs!$C$50))+Inputs!$C$47*0.097)))+0.3*(2*((SIN((((Inputs!$I$9+(((A133)+1)/2)*(Inputs!$J$9-Inputs!$I$9)))*12.9898+(Inputs!$C$6)*78.233+Inputs!$C$47*37.719))*43758.5453)-INT((SIN((((Inputs!$I$9+(((A133)+1)/2)*(Inputs!$J$9-Inputs!$I$9)))*12.9898+(Inputs!$C$6)*78.233+Inputs!$C$47*37.719))*43758.5453)))-1))),NA())</f>
        <v/>
      </c>
      <c r="AW133" s="10" t="n"/>
      <c r="AX133" s="9">
        <f>A133</f>
        <v/>
      </c>
      <c r="AY133" s="9">
        <f>0</f>
        <v/>
      </c>
      <c r="AZ133" s="9">
        <f>IF(OR(Inputs!$F$6=TRUE,Inputs!$F$6="TRUE",Inputs!$F$6=1),(Inputs!$H$6+Inputs!$L$6*(((Inputs!$I$6+(((A133)+1)/2)*(Inputs!$J$6-Inputs!$I$6)))/Inputs!$K$6)^2),NA())</f>
        <v/>
      </c>
      <c r="BA133" s="9">
        <f>IF(OR(Inputs!$F$7=TRUE,Inputs!$F$7="TRUE",Inputs!$F$7=1),(Inputs!$H$7+Inputs!$L$7*(((Inputs!$I$7+(((A133)+1)/2)*(Inputs!$J$7-Inputs!$I$7)))/Inputs!$K$7)^2),NA())</f>
        <v/>
      </c>
      <c r="BB133" s="9">
        <f>IF(OR(Inputs!$F$8=TRUE,Inputs!$F$8="TRUE",Inputs!$F$8=1),(Inputs!$H$8+Inputs!$L$8*(((Inputs!$I$8+(((A133)+1)/2)*(Inputs!$J$8-Inputs!$I$8)))/Inputs!$K$8)^2),NA())</f>
        <v/>
      </c>
      <c r="BC133" s="9">
        <f>IF(OR(Inputs!$F$9=TRUE,Inputs!$F$9="TRUE",Inputs!$F$9=1),(Inputs!$H$9+Inputs!$L$9*(((Inputs!$I$9+(((A133)+1)/2)*(Inputs!$J$9-Inputs!$I$9)))/Inputs!$K$9)^2),NA())</f>
        <v/>
      </c>
      <c r="BD133" s="10" t="n"/>
      <c r="BE133" s="9">
        <f>A133</f>
        <v/>
      </c>
      <c r="BF133" s="9">
        <f>0</f>
        <v/>
      </c>
      <c r="BG133" s="9">
        <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f>
        <v/>
      </c>
      <c r="BH133" s="9">
        <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f>
        <v/>
      </c>
      <c r="BI133" s="9">
        <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f>
        <v/>
      </c>
      <c r="BJ133" s="9">
        <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f>
        <v/>
      </c>
    </row>
    <row r="134">
      <c r="A134" s="9">
        <f>ROUND(-1+132*2/240,3)</f>
        <v/>
      </c>
      <c r="B134" s="9">
        <f>IF(OR(Inputs!$F$6=TRUE,Inputs!$F$6="TRUE",Inputs!$F$6=1),(Inputs!$H$6+Inputs!$L$6*(((Inputs!$I$6+(((A134)+1)/2)*(Inputs!$J$6-Inputs!$I$6)))/Inputs!$K$6)^2),NA())</f>
        <v/>
      </c>
      <c r="C134" s="9">
        <f>IF(OR(Inputs!$F$7=TRUE,Inputs!$F$7="TRUE",Inputs!$F$7=1),(Inputs!$H$7+Inputs!$L$7*(((Inputs!$I$7+(((A134)+1)/2)*(Inputs!$J$7-Inputs!$I$7)))/Inputs!$K$7)^2),NA())</f>
        <v/>
      </c>
      <c r="D134" s="9">
        <f>IF(OR(Inputs!$F$8=TRUE,Inputs!$F$8="TRUE",Inputs!$F$8=1),(Inputs!$H$8+Inputs!$L$8*(((Inputs!$I$8+(((A134)+1)/2)*(Inputs!$J$8-Inputs!$I$8)))/Inputs!$K$8)^2),NA())</f>
        <v/>
      </c>
      <c r="E134" s="9">
        <f>IF(OR(Inputs!$F$9=TRUE,Inputs!$F$9="TRUE",Inputs!$F$9=1),(Inputs!$H$9+Inputs!$L$9*(((Inputs!$I$9+(((A134)+1)/2)*(Inputs!$J$9-Inputs!$I$9)))/Inputs!$K$9)^2),NA())</f>
        <v/>
      </c>
      <c r="F134" s="10" t="n"/>
      <c r="G134" s="9">
        <f>A134</f>
        <v/>
      </c>
      <c r="H134" s="9">
        <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f>
        <v/>
      </c>
      <c r="I134" s="9">
        <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f>
        <v/>
      </c>
      <c r="J134" s="9">
        <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f>
        <v/>
      </c>
      <c r="K134" s="9">
        <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f>
        <v/>
      </c>
      <c r="L134" s="10" t="n"/>
      <c r="M134" s="9">
        <f>A134</f>
        <v/>
      </c>
      <c r="N134" s="9">
        <f>IF(OR(Inputs!$F$6=TRUE,Inputs!$F$6="TRUE",Inputs!$F$6=1),(-2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NA())</f>
        <v/>
      </c>
      <c r="O134" s="9">
        <f>IF(OR(Inputs!$F$7=TRUE,Inputs!$F$7="TRUE",Inputs!$F$7=1),(-2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NA())</f>
        <v/>
      </c>
      <c r="P134" s="9">
        <f>IF(OR(Inputs!$F$8=TRUE,Inputs!$F$8="TRUE",Inputs!$F$8=1),(-2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NA())</f>
        <v/>
      </c>
      <c r="Q134" s="9">
        <f>IF(OR(Inputs!$F$9=TRUE,Inputs!$F$9="TRUE",Inputs!$F$9=1),(-2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NA())</f>
        <v/>
      </c>
      <c r="R134" s="10" t="n"/>
      <c r="S134" s="9">
        <f>A134</f>
        <v/>
      </c>
      <c r="T134" s="9">
        <f>(Inputs!$I$6+(((A134)+1)/2)*(Inputs!$J$6-Inputs!$I$6))</f>
        <v/>
      </c>
      <c r="U134" s="9">
        <f>(Inputs!$I$7+(((A134)+1)/2)*(Inputs!$J$7-Inputs!$I$7))</f>
        <v/>
      </c>
      <c r="V134" s="9">
        <f>(Inputs!$I$8+(((A134)+1)/2)*(Inputs!$J$8-Inputs!$I$8))</f>
        <v/>
      </c>
      <c r="W134" s="9">
        <f>(Inputs!$I$9+(((A134)+1)/2)*(Inputs!$J$9-Inputs!$I$9))</f>
        <v/>
      </c>
      <c r="X134" s="10" t="n"/>
      <c r="Y134" s="9">
        <f>A134</f>
        <v/>
      </c>
      <c r="Z134" s="9">
        <f>(Inputs!$H$6+Inputs!$L$6*(((Inputs!$I$6+(((A134)+1)/2)*(Inputs!$J$6-Inputs!$I$6)))/Inputs!$K$6)^2)</f>
        <v/>
      </c>
      <c r="AA134" s="9">
        <f>(Inputs!$H$7+Inputs!$L$7*(((Inputs!$I$7+(((A134)+1)/2)*(Inputs!$J$7-Inputs!$I$7)))/Inputs!$K$7)^2)</f>
        <v/>
      </c>
      <c r="AB134" s="9">
        <f>(Inputs!$H$8+Inputs!$L$8*(((Inputs!$I$8+(((A134)+1)/2)*(Inputs!$J$8-Inputs!$I$8)))/Inputs!$K$8)^2)</f>
        <v/>
      </c>
      <c r="AC134" s="9">
        <f>(Inputs!$H$9+Inputs!$L$9*(((Inputs!$I$9+(((A134)+1)/2)*(Inputs!$J$9-Inputs!$I$9)))/Inputs!$K$9)^2)</f>
        <v/>
      </c>
      <c r="AD134" s="10" t="n"/>
      <c r="AE134" s="9">
        <f>A134</f>
        <v/>
      </c>
      <c r="AF134" s="9">
        <f>(((SQRT((Inputs!$C$52+((Inputs!$H$6+Inputs!$L$6*(((Inputs!$I$6+(((A134)+1)/2)*(Inputs!$J$6-Inputs!$I$6)))/Inputs!$K$6)^2)))^2+Inputs!$C$52^2-2*(Inputs!$C$52+((Inputs!$H$6+Inputs!$L$6*(((Inputs!$I$6+(((A134)+1)/2)*(Inputs!$J$6-Inputs!$I$6)))/Inputs!$K$6)^2)))*Inputs!$C$52*COS(SQRT(((Inputs!$I$6+(((A134)+1)/2)*(Inputs!$J$6-Inputs!$I$6)))^2+Inputs!$C$6^2)/Inputs!$C$52)))-((Inputs!$H$6+Inputs!$L$6*(((Inputs!$I$6+(((A134)+1)/2)*(Inputs!$J$6-Inputs!$I$6)))/Inputs!$K$6)^2)))*1000/Inputs!$C$12)</f>
        <v/>
      </c>
      <c r="AG134" s="9">
        <f>(((SQRT((Inputs!$C$52+((Inputs!$H$7+Inputs!$L$7*(((Inputs!$I$7+(((A134)+1)/2)*(Inputs!$J$7-Inputs!$I$7)))/Inputs!$K$7)^2)))^2+Inputs!$C$52^2-2*(Inputs!$C$52+((Inputs!$H$7+Inputs!$L$7*(((Inputs!$I$7+(((A134)+1)/2)*(Inputs!$J$7-Inputs!$I$7)))/Inputs!$K$7)^2)))*Inputs!$C$52*COS(SQRT(((Inputs!$I$7+(((A134)+1)/2)*(Inputs!$J$7-Inputs!$I$7)))^2+Inputs!$C$6^2)/Inputs!$C$52)))-((Inputs!$H$7+Inputs!$L$7*(((Inputs!$I$7+(((A134)+1)/2)*(Inputs!$J$7-Inputs!$I$7)))/Inputs!$K$7)^2)))*1000/Inputs!$C$12)</f>
        <v/>
      </c>
      <c r="AH134" s="9">
        <f>(((SQRT((Inputs!$C$52+((Inputs!$H$8+Inputs!$L$8*(((Inputs!$I$8+(((A134)+1)/2)*(Inputs!$J$8-Inputs!$I$8)))/Inputs!$K$8)^2)))^2+Inputs!$C$52^2-2*(Inputs!$C$52+((Inputs!$H$8+Inputs!$L$8*(((Inputs!$I$8+(((A134)+1)/2)*(Inputs!$J$8-Inputs!$I$8)))/Inputs!$K$8)^2)))*Inputs!$C$52*COS(SQRT(((Inputs!$I$8+(((A134)+1)/2)*(Inputs!$J$8-Inputs!$I$8)))^2+Inputs!$C$6^2)/Inputs!$C$52)))-((Inputs!$H$8+Inputs!$L$8*(((Inputs!$I$8+(((A134)+1)/2)*(Inputs!$J$8-Inputs!$I$8)))/Inputs!$K$8)^2)))*1000/Inputs!$C$12)</f>
        <v/>
      </c>
      <c r="AI134" s="9">
        <f>(((SQRT((Inputs!$C$52+((Inputs!$H$9+Inputs!$L$9*(((Inputs!$I$9+(((A134)+1)/2)*(Inputs!$J$9-Inputs!$I$9)))/Inputs!$K$9)^2)))^2+Inputs!$C$52^2-2*(Inputs!$C$52+((Inputs!$H$9+Inputs!$L$9*(((Inputs!$I$9+(((A134)+1)/2)*(Inputs!$J$9-Inputs!$I$9)))/Inputs!$K$9)^2)))*Inputs!$C$52*COS(SQRT(((Inputs!$I$9+(((A134)+1)/2)*(Inputs!$J$9-Inputs!$I$9)))^2+Inputs!$C$6^2)/Inputs!$C$52)))-((Inputs!$H$9+Inputs!$L$9*(((Inputs!$I$9+(((A134)+1)/2)*(Inputs!$J$9-Inputs!$I$9)))/Inputs!$K$9)^2)))*1000/Inputs!$C$12)</f>
        <v/>
      </c>
      <c r="AJ134" s="10" t="n"/>
      <c r="AK134" s="9">
        <f>A134</f>
        <v/>
      </c>
      <c r="AL134" s="9">
        <f>(-2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f>
        <v/>
      </c>
      <c r="AM134" s="9">
        <f>(-2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f>
        <v/>
      </c>
      <c r="AN134" s="9">
        <f>(-2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f>
        <v/>
      </c>
      <c r="AO134" s="9">
        <f>(-2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f>
        <v/>
      </c>
      <c r="AP134" s="10" t="n"/>
      <c r="AQ134" s="9">
        <f>A134</f>
        <v/>
      </c>
      <c r="AR134" s="9">
        <f>0</f>
        <v/>
      </c>
      <c r="AS134" s="9">
        <f>IF(OR(Inputs!$F$6=TRUE,Inputs!$F$6="TRUE",Inputs!$F$6=1),IF(OR(Inputs!$C$27=TRUE,Inputs!$C$27="TRUE",Inputs!$C$27=1),1,0)*(Inputs!$C$51*(115*EXP(-(((Inputs!$C$6)-25)^2)/(4.5^2))+70*EXP(-(((Inputs!$C$6)+38)^2)/(7^2))*(0.55+0.45*SIN(2*PI()*((Inputs!$I$6+(((A134)+1)/2)*(Inputs!$J$6-Inputs!$I$6)))/45))+24*SIN(2*PI()*(Inputs!$C$6)/9+((Inputs!$I$6+(((A134)+1)/2)*(Inputs!$J$6-Inputs!$I$6)))/18)*EXP(-(((Inputs!$C$6)+5)^2)/(22^2))+18*SIN(2*PI()*((Inputs!$I$6+(((A134)+1)/2)*(Inputs!$J$6-Inputs!$I$6)))/70))+Inputs!$C$28*EXP(-((((Inputs!$I$6+(((A134)+1)/2)*(Inputs!$J$6-Inputs!$I$6)))-Inputs!$C$29)^2)/(2*Inputs!$C$31^2))*EXP(-(((Inputs!$C$6)-Inputs!$C$30)^2)/(2*Inputs!$C$32^2))+-Inputs!$C$33*EXP(-((((((Inputs!$I$6+(((A134)+1)/2)*(Inputs!$J$6-Inputs!$I$6)))-Inputs!$C$34)^2)+(((Inputs!$C$6)-Inputs!$C$35)^2))/(2*Inputs!$C$36^2)))+Inputs!$C$37*(0.55*SIN(2*PI()*((Inputs!$I$6+(((A134)+1)/2)*(Inputs!$J$6-Inputs!$I$6)))/Inputs!$C$39)+0.35*COS(2*PI()*(Inputs!$C$6)/Inputs!$C$40)+0.2*SIN(2*PI()*(((Inputs!$I$6+(((A134)+1)/2)*(Inputs!$J$6-Inputs!$I$6)))+(Inputs!$C$6))/(0.5*(Inputs!$C$39+Inputs!$C$40))))+Inputs!$C$38*SIN(2*PI()*((Inputs!$I$6+(((A134)+1)/2)*(Inputs!$J$6-Inputs!$I$6)))/Inputs!$C$39)*SIN(2*PI()*(Inputs!$C$6)/Inputs!$C$40)+-Inputs!$C$41*EXP(-(((Inputs!$C$6)-Inputs!$C$43)^2)/(2*Inputs!$C$44^2))*EXP(-((((Inputs!$I$6+(((A134)+1)/2)*(Inputs!$J$6-Inputs!$I$6)))-Inputs!$C$42)^2)/(2*Inputs!$C$45^2))+Inputs!$C$48*(0.7*(0.45*SIN(2*PI()*((((Inputs!$I$6+(((A134)+1)/2)*(Inputs!$J$6-Inputs!$I$6)))/Inputs!$C$49)+Inputs!$C$47*0.137))+0.35*COS(2*PI()*(((Inputs!$C$6)/Inputs!$C$50)+Inputs!$C$47*0.173))+0.2*SIN(2*PI()*((((Inputs!$I$6+(((A134)+1)/2)*(Inputs!$J$6-Inputs!$I$6)))+(Inputs!$C$6))/(0.5*(Inputs!$C$49+Inputs!$C$50))+Inputs!$C$47*0.097)))+0.3*(2*((SIN((((Inputs!$I$6+(((A134)+1)/2)*(Inputs!$J$6-Inputs!$I$6)))*12.9898+(Inputs!$C$6)*78.233+Inputs!$C$47*37.719))*43758.5453)-INT((SIN((((Inputs!$I$6+(((A134)+1)/2)*(Inputs!$J$6-Inputs!$I$6)))*12.9898+(Inputs!$C$6)*78.233+Inputs!$C$47*37.719))*43758.5453)))-1))),NA())</f>
        <v/>
      </c>
      <c r="AT134" s="9">
        <f>IF(OR(Inputs!$F$7=TRUE,Inputs!$F$7="TRUE",Inputs!$F$7=1),IF(OR(Inputs!$C$27=TRUE,Inputs!$C$27="TRUE",Inputs!$C$27=1),1,0)*(Inputs!$C$51*(115*EXP(-(((Inputs!$C$6)-25)^2)/(4.5^2))+70*EXP(-(((Inputs!$C$6)+38)^2)/(7^2))*(0.55+0.45*SIN(2*PI()*((Inputs!$I$7+(((A134)+1)/2)*(Inputs!$J$7-Inputs!$I$7)))/45))+24*SIN(2*PI()*(Inputs!$C$6)/9+((Inputs!$I$7+(((A134)+1)/2)*(Inputs!$J$7-Inputs!$I$7)))/18)*EXP(-(((Inputs!$C$6)+5)^2)/(22^2))+18*SIN(2*PI()*((Inputs!$I$7+(((A134)+1)/2)*(Inputs!$J$7-Inputs!$I$7)))/70))+Inputs!$C$28*EXP(-((((Inputs!$I$7+(((A134)+1)/2)*(Inputs!$J$7-Inputs!$I$7)))-Inputs!$C$29)^2)/(2*Inputs!$C$31^2))*EXP(-(((Inputs!$C$6)-Inputs!$C$30)^2)/(2*Inputs!$C$32^2))+-Inputs!$C$33*EXP(-((((((Inputs!$I$7+(((A134)+1)/2)*(Inputs!$J$7-Inputs!$I$7)))-Inputs!$C$34)^2)+(((Inputs!$C$6)-Inputs!$C$35)^2))/(2*Inputs!$C$36^2)))+Inputs!$C$37*(0.55*SIN(2*PI()*((Inputs!$I$7+(((A134)+1)/2)*(Inputs!$J$7-Inputs!$I$7)))/Inputs!$C$39)+0.35*COS(2*PI()*(Inputs!$C$6)/Inputs!$C$40)+0.2*SIN(2*PI()*(((Inputs!$I$7+(((A134)+1)/2)*(Inputs!$J$7-Inputs!$I$7)))+(Inputs!$C$6))/(0.5*(Inputs!$C$39+Inputs!$C$40))))+Inputs!$C$38*SIN(2*PI()*((Inputs!$I$7+(((A134)+1)/2)*(Inputs!$J$7-Inputs!$I$7)))/Inputs!$C$39)*SIN(2*PI()*(Inputs!$C$6)/Inputs!$C$40)+-Inputs!$C$41*EXP(-(((Inputs!$C$6)-Inputs!$C$43)^2)/(2*Inputs!$C$44^2))*EXP(-((((Inputs!$I$7+(((A134)+1)/2)*(Inputs!$J$7-Inputs!$I$7)))-Inputs!$C$42)^2)/(2*Inputs!$C$45^2))+Inputs!$C$48*(0.7*(0.45*SIN(2*PI()*((((Inputs!$I$7+(((A134)+1)/2)*(Inputs!$J$7-Inputs!$I$7)))/Inputs!$C$49)+Inputs!$C$47*0.137))+0.35*COS(2*PI()*(((Inputs!$C$6)/Inputs!$C$50)+Inputs!$C$47*0.173))+0.2*SIN(2*PI()*((((Inputs!$I$7+(((A134)+1)/2)*(Inputs!$J$7-Inputs!$I$7)))+(Inputs!$C$6))/(0.5*(Inputs!$C$49+Inputs!$C$50))+Inputs!$C$47*0.097)))+0.3*(2*((SIN((((Inputs!$I$7+(((A134)+1)/2)*(Inputs!$J$7-Inputs!$I$7)))*12.9898+(Inputs!$C$6)*78.233+Inputs!$C$47*37.719))*43758.5453)-INT((SIN((((Inputs!$I$7+(((A134)+1)/2)*(Inputs!$J$7-Inputs!$I$7)))*12.9898+(Inputs!$C$6)*78.233+Inputs!$C$47*37.719))*43758.5453)))-1))),NA())</f>
        <v/>
      </c>
      <c r="AU134" s="9">
        <f>IF(OR(Inputs!$F$8=TRUE,Inputs!$F$8="TRUE",Inputs!$F$8=1),IF(OR(Inputs!$C$27=TRUE,Inputs!$C$27="TRUE",Inputs!$C$27=1),1,0)*(Inputs!$C$51*(115*EXP(-(((Inputs!$C$6)-25)^2)/(4.5^2))+70*EXP(-(((Inputs!$C$6)+38)^2)/(7^2))*(0.55+0.45*SIN(2*PI()*((Inputs!$I$8+(((A134)+1)/2)*(Inputs!$J$8-Inputs!$I$8)))/45))+24*SIN(2*PI()*(Inputs!$C$6)/9+((Inputs!$I$8+(((A134)+1)/2)*(Inputs!$J$8-Inputs!$I$8)))/18)*EXP(-(((Inputs!$C$6)+5)^2)/(22^2))+18*SIN(2*PI()*((Inputs!$I$8+(((A134)+1)/2)*(Inputs!$J$8-Inputs!$I$8)))/70))+Inputs!$C$28*EXP(-((((Inputs!$I$8+(((A134)+1)/2)*(Inputs!$J$8-Inputs!$I$8)))-Inputs!$C$29)^2)/(2*Inputs!$C$31^2))*EXP(-(((Inputs!$C$6)-Inputs!$C$30)^2)/(2*Inputs!$C$32^2))+-Inputs!$C$33*EXP(-((((((Inputs!$I$8+(((A134)+1)/2)*(Inputs!$J$8-Inputs!$I$8)))-Inputs!$C$34)^2)+(((Inputs!$C$6)-Inputs!$C$35)^2))/(2*Inputs!$C$36^2)))+Inputs!$C$37*(0.55*SIN(2*PI()*((Inputs!$I$8+(((A134)+1)/2)*(Inputs!$J$8-Inputs!$I$8)))/Inputs!$C$39)+0.35*COS(2*PI()*(Inputs!$C$6)/Inputs!$C$40)+0.2*SIN(2*PI()*(((Inputs!$I$8+(((A134)+1)/2)*(Inputs!$J$8-Inputs!$I$8)))+(Inputs!$C$6))/(0.5*(Inputs!$C$39+Inputs!$C$40))))+Inputs!$C$38*SIN(2*PI()*((Inputs!$I$8+(((A134)+1)/2)*(Inputs!$J$8-Inputs!$I$8)))/Inputs!$C$39)*SIN(2*PI()*(Inputs!$C$6)/Inputs!$C$40)+-Inputs!$C$41*EXP(-(((Inputs!$C$6)-Inputs!$C$43)^2)/(2*Inputs!$C$44^2))*EXP(-((((Inputs!$I$8+(((A134)+1)/2)*(Inputs!$J$8-Inputs!$I$8)))-Inputs!$C$42)^2)/(2*Inputs!$C$45^2))+Inputs!$C$48*(0.7*(0.45*SIN(2*PI()*((((Inputs!$I$8+(((A134)+1)/2)*(Inputs!$J$8-Inputs!$I$8)))/Inputs!$C$49)+Inputs!$C$47*0.137))+0.35*COS(2*PI()*(((Inputs!$C$6)/Inputs!$C$50)+Inputs!$C$47*0.173))+0.2*SIN(2*PI()*((((Inputs!$I$8+(((A134)+1)/2)*(Inputs!$J$8-Inputs!$I$8)))+(Inputs!$C$6))/(0.5*(Inputs!$C$49+Inputs!$C$50))+Inputs!$C$47*0.097)))+0.3*(2*((SIN((((Inputs!$I$8+(((A134)+1)/2)*(Inputs!$J$8-Inputs!$I$8)))*12.9898+(Inputs!$C$6)*78.233+Inputs!$C$47*37.719))*43758.5453)-INT((SIN((((Inputs!$I$8+(((A134)+1)/2)*(Inputs!$J$8-Inputs!$I$8)))*12.9898+(Inputs!$C$6)*78.233+Inputs!$C$47*37.719))*43758.5453)))-1))),NA())</f>
        <v/>
      </c>
      <c r="AV134" s="9">
        <f>IF(OR(Inputs!$F$9=TRUE,Inputs!$F$9="TRUE",Inputs!$F$9=1),IF(OR(Inputs!$C$27=TRUE,Inputs!$C$27="TRUE",Inputs!$C$27=1),1,0)*(Inputs!$C$51*(115*EXP(-(((Inputs!$C$6)-25)^2)/(4.5^2))+70*EXP(-(((Inputs!$C$6)+38)^2)/(7^2))*(0.55+0.45*SIN(2*PI()*((Inputs!$I$9+(((A134)+1)/2)*(Inputs!$J$9-Inputs!$I$9)))/45))+24*SIN(2*PI()*(Inputs!$C$6)/9+((Inputs!$I$9+(((A134)+1)/2)*(Inputs!$J$9-Inputs!$I$9)))/18)*EXP(-(((Inputs!$C$6)+5)^2)/(22^2))+18*SIN(2*PI()*((Inputs!$I$9+(((A134)+1)/2)*(Inputs!$J$9-Inputs!$I$9)))/70))+Inputs!$C$28*EXP(-((((Inputs!$I$9+(((A134)+1)/2)*(Inputs!$J$9-Inputs!$I$9)))-Inputs!$C$29)^2)/(2*Inputs!$C$31^2))*EXP(-(((Inputs!$C$6)-Inputs!$C$30)^2)/(2*Inputs!$C$32^2))+-Inputs!$C$33*EXP(-((((((Inputs!$I$9+(((A134)+1)/2)*(Inputs!$J$9-Inputs!$I$9)))-Inputs!$C$34)^2)+(((Inputs!$C$6)-Inputs!$C$35)^2))/(2*Inputs!$C$36^2)))+Inputs!$C$37*(0.55*SIN(2*PI()*((Inputs!$I$9+(((A134)+1)/2)*(Inputs!$J$9-Inputs!$I$9)))/Inputs!$C$39)+0.35*COS(2*PI()*(Inputs!$C$6)/Inputs!$C$40)+0.2*SIN(2*PI()*(((Inputs!$I$9+(((A134)+1)/2)*(Inputs!$J$9-Inputs!$I$9)))+(Inputs!$C$6))/(0.5*(Inputs!$C$39+Inputs!$C$40))))+Inputs!$C$38*SIN(2*PI()*((Inputs!$I$9+(((A134)+1)/2)*(Inputs!$J$9-Inputs!$I$9)))/Inputs!$C$39)*SIN(2*PI()*(Inputs!$C$6)/Inputs!$C$40)+-Inputs!$C$41*EXP(-(((Inputs!$C$6)-Inputs!$C$43)^2)/(2*Inputs!$C$44^2))*EXP(-((((Inputs!$I$9+(((A134)+1)/2)*(Inputs!$J$9-Inputs!$I$9)))-Inputs!$C$42)^2)/(2*Inputs!$C$45^2))+Inputs!$C$48*(0.7*(0.45*SIN(2*PI()*((((Inputs!$I$9+(((A134)+1)/2)*(Inputs!$J$9-Inputs!$I$9)))/Inputs!$C$49)+Inputs!$C$47*0.137))+0.35*COS(2*PI()*(((Inputs!$C$6)/Inputs!$C$50)+Inputs!$C$47*0.173))+0.2*SIN(2*PI()*((((Inputs!$I$9+(((A134)+1)/2)*(Inputs!$J$9-Inputs!$I$9)))+(Inputs!$C$6))/(0.5*(Inputs!$C$49+Inputs!$C$50))+Inputs!$C$47*0.097)))+0.3*(2*((SIN((((Inputs!$I$9+(((A134)+1)/2)*(Inputs!$J$9-Inputs!$I$9)))*12.9898+(Inputs!$C$6)*78.233+Inputs!$C$47*37.719))*43758.5453)-INT((SIN((((Inputs!$I$9+(((A134)+1)/2)*(Inputs!$J$9-Inputs!$I$9)))*12.9898+(Inputs!$C$6)*78.233+Inputs!$C$47*37.719))*43758.5453)))-1))),NA())</f>
        <v/>
      </c>
      <c r="AW134" s="10" t="n"/>
      <c r="AX134" s="9">
        <f>A134</f>
        <v/>
      </c>
      <c r="AY134" s="9">
        <f>0</f>
        <v/>
      </c>
      <c r="AZ134" s="9">
        <f>IF(OR(Inputs!$F$6=TRUE,Inputs!$F$6="TRUE",Inputs!$F$6=1),(Inputs!$H$6+Inputs!$L$6*(((Inputs!$I$6+(((A134)+1)/2)*(Inputs!$J$6-Inputs!$I$6)))/Inputs!$K$6)^2),NA())</f>
        <v/>
      </c>
      <c r="BA134" s="9">
        <f>IF(OR(Inputs!$F$7=TRUE,Inputs!$F$7="TRUE",Inputs!$F$7=1),(Inputs!$H$7+Inputs!$L$7*(((Inputs!$I$7+(((A134)+1)/2)*(Inputs!$J$7-Inputs!$I$7)))/Inputs!$K$7)^2),NA())</f>
        <v/>
      </c>
      <c r="BB134" s="9">
        <f>IF(OR(Inputs!$F$8=TRUE,Inputs!$F$8="TRUE",Inputs!$F$8=1),(Inputs!$H$8+Inputs!$L$8*(((Inputs!$I$8+(((A134)+1)/2)*(Inputs!$J$8-Inputs!$I$8)))/Inputs!$K$8)^2),NA())</f>
        <v/>
      </c>
      <c r="BC134" s="9">
        <f>IF(OR(Inputs!$F$9=TRUE,Inputs!$F$9="TRUE",Inputs!$F$9=1),(Inputs!$H$9+Inputs!$L$9*(((Inputs!$I$9+(((A134)+1)/2)*(Inputs!$J$9-Inputs!$I$9)))/Inputs!$K$9)^2),NA())</f>
        <v/>
      </c>
      <c r="BD134" s="10" t="n"/>
      <c r="BE134" s="9">
        <f>A134</f>
        <v/>
      </c>
      <c r="BF134" s="9">
        <f>0</f>
        <v/>
      </c>
      <c r="BG134" s="9">
        <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f>
        <v/>
      </c>
      <c r="BH134" s="9">
        <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f>
        <v/>
      </c>
      <c r="BI134" s="9">
        <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f>
        <v/>
      </c>
      <c r="BJ134" s="9">
        <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f>
        <v/>
      </c>
    </row>
    <row r="135">
      <c r="A135" s="9">
        <f>ROUND(-1+133*2/240,3)</f>
        <v/>
      </c>
      <c r="B135" s="9">
        <f>IF(OR(Inputs!$F$6=TRUE,Inputs!$F$6="TRUE",Inputs!$F$6=1),(Inputs!$H$6+Inputs!$L$6*(((Inputs!$I$6+(((A135)+1)/2)*(Inputs!$J$6-Inputs!$I$6)))/Inputs!$K$6)^2),NA())</f>
        <v/>
      </c>
      <c r="C135" s="9">
        <f>IF(OR(Inputs!$F$7=TRUE,Inputs!$F$7="TRUE",Inputs!$F$7=1),(Inputs!$H$7+Inputs!$L$7*(((Inputs!$I$7+(((A135)+1)/2)*(Inputs!$J$7-Inputs!$I$7)))/Inputs!$K$7)^2),NA())</f>
        <v/>
      </c>
      <c r="D135" s="9">
        <f>IF(OR(Inputs!$F$8=TRUE,Inputs!$F$8="TRUE",Inputs!$F$8=1),(Inputs!$H$8+Inputs!$L$8*(((Inputs!$I$8+(((A135)+1)/2)*(Inputs!$J$8-Inputs!$I$8)))/Inputs!$K$8)^2),NA())</f>
        <v/>
      </c>
      <c r="E135" s="9">
        <f>IF(OR(Inputs!$F$9=TRUE,Inputs!$F$9="TRUE",Inputs!$F$9=1),(Inputs!$H$9+Inputs!$L$9*(((Inputs!$I$9+(((A135)+1)/2)*(Inputs!$J$9-Inputs!$I$9)))/Inputs!$K$9)^2),NA())</f>
        <v/>
      </c>
      <c r="F135" s="10" t="n"/>
      <c r="G135" s="9">
        <f>A135</f>
        <v/>
      </c>
      <c r="H135" s="9">
        <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f>
        <v/>
      </c>
      <c r="I135" s="9">
        <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f>
        <v/>
      </c>
      <c r="J135" s="9">
        <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f>
        <v/>
      </c>
      <c r="K135" s="9">
        <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f>
        <v/>
      </c>
      <c r="L135" s="10" t="n"/>
      <c r="M135" s="9">
        <f>A135</f>
        <v/>
      </c>
      <c r="N135" s="9">
        <f>IF(OR(Inputs!$F$6=TRUE,Inputs!$F$6="TRUE",Inputs!$F$6=1),(-2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NA())</f>
        <v/>
      </c>
      <c r="O135" s="9">
        <f>IF(OR(Inputs!$F$7=TRUE,Inputs!$F$7="TRUE",Inputs!$F$7=1),(-2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NA())</f>
        <v/>
      </c>
      <c r="P135" s="9">
        <f>IF(OR(Inputs!$F$8=TRUE,Inputs!$F$8="TRUE",Inputs!$F$8=1),(-2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NA())</f>
        <v/>
      </c>
      <c r="Q135" s="9">
        <f>IF(OR(Inputs!$F$9=TRUE,Inputs!$F$9="TRUE",Inputs!$F$9=1),(-2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NA())</f>
        <v/>
      </c>
      <c r="R135" s="10" t="n"/>
      <c r="S135" s="9">
        <f>A135</f>
        <v/>
      </c>
      <c r="T135" s="9">
        <f>(Inputs!$I$6+(((A135)+1)/2)*(Inputs!$J$6-Inputs!$I$6))</f>
        <v/>
      </c>
      <c r="U135" s="9">
        <f>(Inputs!$I$7+(((A135)+1)/2)*(Inputs!$J$7-Inputs!$I$7))</f>
        <v/>
      </c>
      <c r="V135" s="9">
        <f>(Inputs!$I$8+(((A135)+1)/2)*(Inputs!$J$8-Inputs!$I$8))</f>
        <v/>
      </c>
      <c r="W135" s="9">
        <f>(Inputs!$I$9+(((A135)+1)/2)*(Inputs!$J$9-Inputs!$I$9))</f>
        <v/>
      </c>
      <c r="X135" s="10" t="n"/>
      <c r="Y135" s="9">
        <f>A135</f>
        <v/>
      </c>
      <c r="Z135" s="9">
        <f>(Inputs!$H$6+Inputs!$L$6*(((Inputs!$I$6+(((A135)+1)/2)*(Inputs!$J$6-Inputs!$I$6)))/Inputs!$K$6)^2)</f>
        <v/>
      </c>
      <c r="AA135" s="9">
        <f>(Inputs!$H$7+Inputs!$L$7*(((Inputs!$I$7+(((A135)+1)/2)*(Inputs!$J$7-Inputs!$I$7)))/Inputs!$K$7)^2)</f>
        <v/>
      </c>
      <c r="AB135" s="9">
        <f>(Inputs!$H$8+Inputs!$L$8*(((Inputs!$I$8+(((A135)+1)/2)*(Inputs!$J$8-Inputs!$I$8)))/Inputs!$K$8)^2)</f>
        <v/>
      </c>
      <c r="AC135" s="9">
        <f>(Inputs!$H$9+Inputs!$L$9*(((Inputs!$I$9+(((A135)+1)/2)*(Inputs!$J$9-Inputs!$I$9)))/Inputs!$K$9)^2)</f>
        <v/>
      </c>
      <c r="AD135" s="10" t="n"/>
      <c r="AE135" s="9">
        <f>A135</f>
        <v/>
      </c>
      <c r="AF135" s="9">
        <f>(((SQRT((Inputs!$C$52+((Inputs!$H$6+Inputs!$L$6*(((Inputs!$I$6+(((A135)+1)/2)*(Inputs!$J$6-Inputs!$I$6)))/Inputs!$K$6)^2)))^2+Inputs!$C$52^2-2*(Inputs!$C$52+((Inputs!$H$6+Inputs!$L$6*(((Inputs!$I$6+(((A135)+1)/2)*(Inputs!$J$6-Inputs!$I$6)))/Inputs!$K$6)^2)))*Inputs!$C$52*COS(SQRT(((Inputs!$I$6+(((A135)+1)/2)*(Inputs!$J$6-Inputs!$I$6)))^2+Inputs!$C$6^2)/Inputs!$C$52)))-((Inputs!$H$6+Inputs!$L$6*(((Inputs!$I$6+(((A135)+1)/2)*(Inputs!$J$6-Inputs!$I$6)))/Inputs!$K$6)^2)))*1000/Inputs!$C$12)</f>
        <v/>
      </c>
      <c r="AG135" s="9">
        <f>(((SQRT((Inputs!$C$52+((Inputs!$H$7+Inputs!$L$7*(((Inputs!$I$7+(((A135)+1)/2)*(Inputs!$J$7-Inputs!$I$7)))/Inputs!$K$7)^2)))^2+Inputs!$C$52^2-2*(Inputs!$C$52+((Inputs!$H$7+Inputs!$L$7*(((Inputs!$I$7+(((A135)+1)/2)*(Inputs!$J$7-Inputs!$I$7)))/Inputs!$K$7)^2)))*Inputs!$C$52*COS(SQRT(((Inputs!$I$7+(((A135)+1)/2)*(Inputs!$J$7-Inputs!$I$7)))^2+Inputs!$C$6^2)/Inputs!$C$52)))-((Inputs!$H$7+Inputs!$L$7*(((Inputs!$I$7+(((A135)+1)/2)*(Inputs!$J$7-Inputs!$I$7)))/Inputs!$K$7)^2)))*1000/Inputs!$C$12)</f>
        <v/>
      </c>
      <c r="AH135" s="9">
        <f>(((SQRT((Inputs!$C$52+((Inputs!$H$8+Inputs!$L$8*(((Inputs!$I$8+(((A135)+1)/2)*(Inputs!$J$8-Inputs!$I$8)))/Inputs!$K$8)^2)))^2+Inputs!$C$52^2-2*(Inputs!$C$52+((Inputs!$H$8+Inputs!$L$8*(((Inputs!$I$8+(((A135)+1)/2)*(Inputs!$J$8-Inputs!$I$8)))/Inputs!$K$8)^2)))*Inputs!$C$52*COS(SQRT(((Inputs!$I$8+(((A135)+1)/2)*(Inputs!$J$8-Inputs!$I$8)))^2+Inputs!$C$6^2)/Inputs!$C$52)))-((Inputs!$H$8+Inputs!$L$8*(((Inputs!$I$8+(((A135)+1)/2)*(Inputs!$J$8-Inputs!$I$8)))/Inputs!$K$8)^2)))*1000/Inputs!$C$12)</f>
        <v/>
      </c>
      <c r="AI135" s="9">
        <f>(((SQRT((Inputs!$C$52+((Inputs!$H$9+Inputs!$L$9*(((Inputs!$I$9+(((A135)+1)/2)*(Inputs!$J$9-Inputs!$I$9)))/Inputs!$K$9)^2)))^2+Inputs!$C$52^2-2*(Inputs!$C$52+((Inputs!$H$9+Inputs!$L$9*(((Inputs!$I$9+(((A135)+1)/2)*(Inputs!$J$9-Inputs!$I$9)))/Inputs!$K$9)^2)))*Inputs!$C$52*COS(SQRT(((Inputs!$I$9+(((A135)+1)/2)*(Inputs!$J$9-Inputs!$I$9)))^2+Inputs!$C$6^2)/Inputs!$C$52)))-((Inputs!$H$9+Inputs!$L$9*(((Inputs!$I$9+(((A135)+1)/2)*(Inputs!$J$9-Inputs!$I$9)))/Inputs!$K$9)^2)))*1000/Inputs!$C$12)</f>
        <v/>
      </c>
      <c r="AJ135" s="10" t="n"/>
      <c r="AK135" s="9">
        <f>A135</f>
        <v/>
      </c>
      <c r="AL135" s="9">
        <f>(-2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f>
        <v/>
      </c>
      <c r="AM135" s="9">
        <f>(-2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f>
        <v/>
      </c>
      <c r="AN135" s="9">
        <f>(-2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f>
        <v/>
      </c>
      <c r="AO135" s="9">
        <f>(-2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f>
        <v/>
      </c>
      <c r="AP135" s="10" t="n"/>
      <c r="AQ135" s="9">
        <f>A135</f>
        <v/>
      </c>
      <c r="AR135" s="9">
        <f>0</f>
        <v/>
      </c>
      <c r="AS135" s="9">
        <f>IF(OR(Inputs!$F$6=TRUE,Inputs!$F$6="TRUE",Inputs!$F$6=1),IF(OR(Inputs!$C$27=TRUE,Inputs!$C$27="TRUE",Inputs!$C$27=1),1,0)*(Inputs!$C$51*(115*EXP(-(((Inputs!$C$6)-25)^2)/(4.5^2))+70*EXP(-(((Inputs!$C$6)+38)^2)/(7^2))*(0.55+0.45*SIN(2*PI()*((Inputs!$I$6+(((A135)+1)/2)*(Inputs!$J$6-Inputs!$I$6)))/45))+24*SIN(2*PI()*(Inputs!$C$6)/9+((Inputs!$I$6+(((A135)+1)/2)*(Inputs!$J$6-Inputs!$I$6)))/18)*EXP(-(((Inputs!$C$6)+5)^2)/(22^2))+18*SIN(2*PI()*((Inputs!$I$6+(((A135)+1)/2)*(Inputs!$J$6-Inputs!$I$6)))/70))+Inputs!$C$28*EXP(-((((Inputs!$I$6+(((A135)+1)/2)*(Inputs!$J$6-Inputs!$I$6)))-Inputs!$C$29)^2)/(2*Inputs!$C$31^2))*EXP(-(((Inputs!$C$6)-Inputs!$C$30)^2)/(2*Inputs!$C$32^2))+-Inputs!$C$33*EXP(-((((((Inputs!$I$6+(((A135)+1)/2)*(Inputs!$J$6-Inputs!$I$6)))-Inputs!$C$34)^2)+(((Inputs!$C$6)-Inputs!$C$35)^2))/(2*Inputs!$C$36^2)))+Inputs!$C$37*(0.55*SIN(2*PI()*((Inputs!$I$6+(((A135)+1)/2)*(Inputs!$J$6-Inputs!$I$6)))/Inputs!$C$39)+0.35*COS(2*PI()*(Inputs!$C$6)/Inputs!$C$40)+0.2*SIN(2*PI()*(((Inputs!$I$6+(((A135)+1)/2)*(Inputs!$J$6-Inputs!$I$6)))+(Inputs!$C$6))/(0.5*(Inputs!$C$39+Inputs!$C$40))))+Inputs!$C$38*SIN(2*PI()*((Inputs!$I$6+(((A135)+1)/2)*(Inputs!$J$6-Inputs!$I$6)))/Inputs!$C$39)*SIN(2*PI()*(Inputs!$C$6)/Inputs!$C$40)+-Inputs!$C$41*EXP(-(((Inputs!$C$6)-Inputs!$C$43)^2)/(2*Inputs!$C$44^2))*EXP(-((((Inputs!$I$6+(((A135)+1)/2)*(Inputs!$J$6-Inputs!$I$6)))-Inputs!$C$42)^2)/(2*Inputs!$C$45^2))+Inputs!$C$48*(0.7*(0.45*SIN(2*PI()*((((Inputs!$I$6+(((A135)+1)/2)*(Inputs!$J$6-Inputs!$I$6)))/Inputs!$C$49)+Inputs!$C$47*0.137))+0.35*COS(2*PI()*(((Inputs!$C$6)/Inputs!$C$50)+Inputs!$C$47*0.173))+0.2*SIN(2*PI()*((((Inputs!$I$6+(((A135)+1)/2)*(Inputs!$J$6-Inputs!$I$6)))+(Inputs!$C$6))/(0.5*(Inputs!$C$49+Inputs!$C$50))+Inputs!$C$47*0.097)))+0.3*(2*((SIN((((Inputs!$I$6+(((A135)+1)/2)*(Inputs!$J$6-Inputs!$I$6)))*12.9898+(Inputs!$C$6)*78.233+Inputs!$C$47*37.719))*43758.5453)-INT((SIN((((Inputs!$I$6+(((A135)+1)/2)*(Inputs!$J$6-Inputs!$I$6)))*12.9898+(Inputs!$C$6)*78.233+Inputs!$C$47*37.719))*43758.5453)))-1))),NA())</f>
        <v/>
      </c>
      <c r="AT135" s="9">
        <f>IF(OR(Inputs!$F$7=TRUE,Inputs!$F$7="TRUE",Inputs!$F$7=1),IF(OR(Inputs!$C$27=TRUE,Inputs!$C$27="TRUE",Inputs!$C$27=1),1,0)*(Inputs!$C$51*(115*EXP(-(((Inputs!$C$6)-25)^2)/(4.5^2))+70*EXP(-(((Inputs!$C$6)+38)^2)/(7^2))*(0.55+0.45*SIN(2*PI()*((Inputs!$I$7+(((A135)+1)/2)*(Inputs!$J$7-Inputs!$I$7)))/45))+24*SIN(2*PI()*(Inputs!$C$6)/9+((Inputs!$I$7+(((A135)+1)/2)*(Inputs!$J$7-Inputs!$I$7)))/18)*EXP(-(((Inputs!$C$6)+5)^2)/(22^2))+18*SIN(2*PI()*((Inputs!$I$7+(((A135)+1)/2)*(Inputs!$J$7-Inputs!$I$7)))/70))+Inputs!$C$28*EXP(-((((Inputs!$I$7+(((A135)+1)/2)*(Inputs!$J$7-Inputs!$I$7)))-Inputs!$C$29)^2)/(2*Inputs!$C$31^2))*EXP(-(((Inputs!$C$6)-Inputs!$C$30)^2)/(2*Inputs!$C$32^2))+-Inputs!$C$33*EXP(-((((((Inputs!$I$7+(((A135)+1)/2)*(Inputs!$J$7-Inputs!$I$7)))-Inputs!$C$34)^2)+(((Inputs!$C$6)-Inputs!$C$35)^2))/(2*Inputs!$C$36^2)))+Inputs!$C$37*(0.55*SIN(2*PI()*((Inputs!$I$7+(((A135)+1)/2)*(Inputs!$J$7-Inputs!$I$7)))/Inputs!$C$39)+0.35*COS(2*PI()*(Inputs!$C$6)/Inputs!$C$40)+0.2*SIN(2*PI()*(((Inputs!$I$7+(((A135)+1)/2)*(Inputs!$J$7-Inputs!$I$7)))+(Inputs!$C$6))/(0.5*(Inputs!$C$39+Inputs!$C$40))))+Inputs!$C$38*SIN(2*PI()*((Inputs!$I$7+(((A135)+1)/2)*(Inputs!$J$7-Inputs!$I$7)))/Inputs!$C$39)*SIN(2*PI()*(Inputs!$C$6)/Inputs!$C$40)+-Inputs!$C$41*EXP(-(((Inputs!$C$6)-Inputs!$C$43)^2)/(2*Inputs!$C$44^2))*EXP(-((((Inputs!$I$7+(((A135)+1)/2)*(Inputs!$J$7-Inputs!$I$7)))-Inputs!$C$42)^2)/(2*Inputs!$C$45^2))+Inputs!$C$48*(0.7*(0.45*SIN(2*PI()*((((Inputs!$I$7+(((A135)+1)/2)*(Inputs!$J$7-Inputs!$I$7)))/Inputs!$C$49)+Inputs!$C$47*0.137))+0.35*COS(2*PI()*(((Inputs!$C$6)/Inputs!$C$50)+Inputs!$C$47*0.173))+0.2*SIN(2*PI()*((((Inputs!$I$7+(((A135)+1)/2)*(Inputs!$J$7-Inputs!$I$7)))+(Inputs!$C$6))/(0.5*(Inputs!$C$49+Inputs!$C$50))+Inputs!$C$47*0.097)))+0.3*(2*((SIN((((Inputs!$I$7+(((A135)+1)/2)*(Inputs!$J$7-Inputs!$I$7)))*12.9898+(Inputs!$C$6)*78.233+Inputs!$C$47*37.719))*43758.5453)-INT((SIN((((Inputs!$I$7+(((A135)+1)/2)*(Inputs!$J$7-Inputs!$I$7)))*12.9898+(Inputs!$C$6)*78.233+Inputs!$C$47*37.719))*43758.5453)))-1))),NA())</f>
        <v/>
      </c>
      <c r="AU135" s="9">
        <f>IF(OR(Inputs!$F$8=TRUE,Inputs!$F$8="TRUE",Inputs!$F$8=1),IF(OR(Inputs!$C$27=TRUE,Inputs!$C$27="TRUE",Inputs!$C$27=1),1,0)*(Inputs!$C$51*(115*EXP(-(((Inputs!$C$6)-25)^2)/(4.5^2))+70*EXP(-(((Inputs!$C$6)+38)^2)/(7^2))*(0.55+0.45*SIN(2*PI()*((Inputs!$I$8+(((A135)+1)/2)*(Inputs!$J$8-Inputs!$I$8)))/45))+24*SIN(2*PI()*(Inputs!$C$6)/9+((Inputs!$I$8+(((A135)+1)/2)*(Inputs!$J$8-Inputs!$I$8)))/18)*EXP(-(((Inputs!$C$6)+5)^2)/(22^2))+18*SIN(2*PI()*((Inputs!$I$8+(((A135)+1)/2)*(Inputs!$J$8-Inputs!$I$8)))/70))+Inputs!$C$28*EXP(-((((Inputs!$I$8+(((A135)+1)/2)*(Inputs!$J$8-Inputs!$I$8)))-Inputs!$C$29)^2)/(2*Inputs!$C$31^2))*EXP(-(((Inputs!$C$6)-Inputs!$C$30)^2)/(2*Inputs!$C$32^2))+-Inputs!$C$33*EXP(-((((((Inputs!$I$8+(((A135)+1)/2)*(Inputs!$J$8-Inputs!$I$8)))-Inputs!$C$34)^2)+(((Inputs!$C$6)-Inputs!$C$35)^2))/(2*Inputs!$C$36^2)))+Inputs!$C$37*(0.55*SIN(2*PI()*((Inputs!$I$8+(((A135)+1)/2)*(Inputs!$J$8-Inputs!$I$8)))/Inputs!$C$39)+0.35*COS(2*PI()*(Inputs!$C$6)/Inputs!$C$40)+0.2*SIN(2*PI()*(((Inputs!$I$8+(((A135)+1)/2)*(Inputs!$J$8-Inputs!$I$8)))+(Inputs!$C$6))/(0.5*(Inputs!$C$39+Inputs!$C$40))))+Inputs!$C$38*SIN(2*PI()*((Inputs!$I$8+(((A135)+1)/2)*(Inputs!$J$8-Inputs!$I$8)))/Inputs!$C$39)*SIN(2*PI()*(Inputs!$C$6)/Inputs!$C$40)+-Inputs!$C$41*EXP(-(((Inputs!$C$6)-Inputs!$C$43)^2)/(2*Inputs!$C$44^2))*EXP(-((((Inputs!$I$8+(((A135)+1)/2)*(Inputs!$J$8-Inputs!$I$8)))-Inputs!$C$42)^2)/(2*Inputs!$C$45^2))+Inputs!$C$48*(0.7*(0.45*SIN(2*PI()*((((Inputs!$I$8+(((A135)+1)/2)*(Inputs!$J$8-Inputs!$I$8)))/Inputs!$C$49)+Inputs!$C$47*0.137))+0.35*COS(2*PI()*(((Inputs!$C$6)/Inputs!$C$50)+Inputs!$C$47*0.173))+0.2*SIN(2*PI()*((((Inputs!$I$8+(((A135)+1)/2)*(Inputs!$J$8-Inputs!$I$8)))+(Inputs!$C$6))/(0.5*(Inputs!$C$49+Inputs!$C$50))+Inputs!$C$47*0.097)))+0.3*(2*((SIN((((Inputs!$I$8+(((A135)+1)/2)*(Inputs!$J$8-Inputs!$I$8)))*12.9898+(Inputs!$C$6)*78.233+Inputs!$C$47*37.719))*43758.5453)-INT((SIN((((Inputs!$I$8+(((A135)+1)/2)*(Inputs!$J$8-Inputs!$I$8)))*12.9898+(Inputs!$C$6)*78.233+Inputs!$C$47*37.719))*43758.5453)))-1))),NA())</f>
        <v/>
      </c>
      <c r="AV135" s="9">
        <f>IF(OR(Inputs!$F$9=TRUE,Inputs!$F$9="TRUE",Inputs!$F$9=1),IF(OR(Inputs!$C$27=TRUE,Inputs!$C$27="TRUE",Inputs!$C$27=1),1,0)*(Inputs!$C$51*(115*EXP(-(((Inputs!$C$6)-25)^2)/(4.5^2))+70*EXP(-(((Inputs!$C$6)+38)^2)/(7^2))*(0.55+0.45*SIN(2*PI()*((Inputs!$I$9+(((A135)+1)/2)*(Inputs!$J$9-Inputs!$I$9)))/45))+24*SIN(2*PI()*(Inputs!$C$6)/9+((Inputs!$I$9+(((A135)+1)/2)*(Inputs!$J$9-Inputs!$I$9)))/18)*EXP(-(((Inputs!$C$6)+5)^2)/(22^2))+18*SIN(2*PI()*((Inputs!$I$9+(((A135)+1)/2)*(Inputs!$J$9-Inputs!$I$9)))/70))+Inputs!$C$28*EXP(-((((Inputs!$I$9+(((A135)+1)/2)*(Inputs!$J$9-Inputs!$I$9)))-Inputs!$C$29)^2)/(2*Inputs!$C$31^2))*EXP(-(((Inputs!$C$6)-Inputs!$C$30)^2)/(2*Inputs!$C$32^2))+-Inputs!$C$33*EXP(-((((((Inputs!$I$9+(((A135)+1)/2)*(Inputs!$J$9-Inputs!$I$9)))-Inputs!$C$34)^2)+(((Inputs!$C$6)-Inputs!$C$35)^2))/(2*Inputs!$C$36^2)))+Inputs!$C$37*(0.55*SIN(2*PI()*((Inputs!$I$9+(((A135)+1)/2)*(Inputs!$J$9-Inputs!$I$9)))/Inputs!$C$39)+0.35*COS(2*PI()*(Inputs!$C$6)/Inputs!$C$40)+0.2*SIN(2*PI()*(((Inputs!$I$9+(((A135)+1)/2)*(Inputs!$J$9-Inputs!$I$9)))+(Inputs!$C$6))/(0.5*(Inputs!$C$39+Inputs!$C$40))))+Inputs!$C$38*SIN(2*PI()*((Inputs!$I$9+(((A135)+1)/2)*(Inputs!$J$9-Inputs!$I$9)))/Inputs!$C$39)*SIN(2*PI()*(Inputs!$C$6)/Inputs!$C$40)+-Inputs!$C$41*EXP(-(((Inputs!$C$6)-Inputs!$C$43)^2)/(2*Inputs!$C$44^2))*EXP(-((((Inputs!$I$9+(((A135)+1)/2)*(Inputs!$J$9-Inputs!$I$9)))-Inputs!$C$42)^2)/(2*Inputs!$C$45^2))+Inputs!$C$48*(0.7*(0.45*SIN(2*PI()*((((Inputs!$I$9+(((A135)+1)/2)*(Inputs!$J$9-Inputs!$I$9)))/Inputs!$C$49)+Inputs!$C$47*0.137))+0.35*COS(2*PI()*(((Inputs!$C$6)/Inputs!$C$50)+Inputs!$C$47*0.173))+0.2*SIN(2*PI()*((((Inputs!$I$9+(((A135)+1)/2)*(Inputs!$J$9-Inputs!$I$9)))+(Inputs!$C$6))/(0.5*(Inputs!$C$49+Inputs!$C$50))+Inputs!$C$47*0.097)))+0.3*(2*((SIN((((Inputs!$I$9+(((A135)+1)/2)*(Inputs!$J$9-Inputs!$I$9)))*12.9898+(Inputs!$C$6)*78.233+Inputs!$C$47*37.719))*43758.5453)-INT((SIN((((Inputs!$I$9+(((A135)+1)/2)*(Inputs!$J$9-Inputs!$I$9)))*12.9898+(Inputs!$C$6)*78.233+Inputs!$C$47*37.719))*43758.5453)))-1))),NA())</f>
        <v/>
      </c>
      <c r="AW135" s="10" t="n"/>
      <c r="AX135" s="9">
        <f>A135</f>
        <v/>
      </c>
      <c r="AY135" s="9">
        <f>0</f>
        <v/>
      </c>
      <c r="AZ135" s="9">
        <f>IF(OR(Inputs!$F$6=TRUE,Inputs!$F$6="TRUE",Inputs!$F$6=1),(Inputs!$H$6+Inputs!$L$6*(((Inputs!$I$6+(((A135)+1)/2)*(Inputs!$J$6-Inputs!$I$6)))/Inputs!$K$6)^2),NA())</f>
        <v/>
      </c>
      <c r="BA135" s="9">
        <f>IF(OR(Inputs!$F$7=TRUE,Inputs!$F$7="TRUE",Inputs!$F$7=1),(Inputs!$H$7+Inputs!$L$7*(((Inputs!$I$7+(((A135)+1)/2)*(Inputs!$J$7-Inputs!$I$7)))/Inputs!$K$7)^2),NA())</f>
        <v/>
      </c>
      <c r="BB135" s="9">
        <f>IF(OR(Inputs!$F$8=TRUE,Inputs!$F$8="TRUE",Inputs!$F$8=1),(Inputs!$H$8+Inputs!$L$8*(((Inputs!$I$8+(((A135)+1)/2)*(Inputs!$J$8-Inputs!$I$8)))/Inputs!$K$8)^2),NA())</f>
        <v/>
      </c>
      <c r="BC135" s="9">
        <f>IF(OR(Inputs!$F$9=TRUE,Inputs!$F$9="TRUE",Inputs!$F$9=1),(Inputs!$H$9+Inputs!$L$9*(((Inputs!$I$9+(((A135)+1)/2)*(Inputs!$J$9-Inputs!$I$9)))/Inputs!$K$9)^2),NA())</f>
        <v/>
      </c>
      <c r="BD135" s="10" t="n"/>
      <c r="BE135" s="9">
        <f>A135</f>
        <v/>
      </c>
      <c r="BF135" s="9">
        <f>0</f>
        <v/>
      </c>
      <c r="BG135" s="9">
        <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f>
        <v/>
      </c>
      <c r="BH135" s="9">
        <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f>
        <v/>
      </c>
      <c r="BI135" s="9">
        <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f>
        <v/>
      </c>
      <c r="BJ135" s="9">
        <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f>
        <v/>
      </c>
    </row>
    <row r="136">
      <c r="A136" s="9">
        <f>ROUND(-1+134*2/240,3)</f>
        <v/>
      </c>
      <c r="B136" s="9">
        <f>IF(OR(Inputs!$F$6=TRUE,Inputs!$F$6="TRUE",Inputs!$F$6=1),(Inputs!$H$6+Inputs!$L$6*(((Inputs!$I$6+(((A136)+1)/2)*(Inputs!$J$6-Inputs!$I$6)))/Inputs!$K$6)^2),NA())</f>
        <v/>
      </c>
      <c r="C136" s="9">
        <f>IF(OR(Inputs!$F$7=TRUE,Inputs!$F$7="TRUE",Inputs!$F$7=1),(Inputs!$H$7+Inputs!$L$7*(((Inputs!$I$7+(((A136)+1)/2)*(Inputs!$J$7-Inputs!$I$7)))/Inputs!$K$7)^2),NA())</f>
        <v/>
      </c>
      <c r="D136" s="9">
        <f>IF(OR(Inputs!$F$8=TRUE,Inputs!$F$8="TRUE",Inputs!$F$8=1),(Inputs!$H$8+Inputs!$L$8*(((Inputs!$I$8+(((A136)+1)/2)*(Inputs!$J$8-Inputs!$I$8)))/Inputs!$K$8)^2),NA())</f>
        <v/>
      </c>
      <c r="E136" s="9">
        <f>IF(OR(Inputs!$F$9=TRUE,Inputs!$F$9="TRUE",Inputs!$F$9=1),(Inputs!$H$9+Inputs!$L$9*(((Inputs!$I$9+(((A136)+1)/2)*(Inputs!$J$9-Inputs!$I$9)))/Inputs!$K$9)^2),NA())</f>
        <v/>
      </c>
      <c r="F136" s="10" t="n"/>
      <c r="G136" s="9">
        <f>A136</f>
        <v/>
      </c>
      <c r="H136" s="9">
        <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f>
        <v/>
      </c>
      <c r="I136" s="9">
        <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f>
        <v/>
      </c>
      <c r="J136" s="9">
        <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f>
        <v/>
      </c>
      <c r="K136" s="9">
        <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f>
        <v/>
      </c>
      <c r="L136" s="10" t="n"/>
      <c r="M136" s="9">
        <f>A136</f>
        <v/>
      </c>
      <c r="N136" s="9">
        <f>IF(OR(Inputs!$F$6=TRUE,Inputs!$F$6="TRUE",Inputs!$F$6=1),(-2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NA())</f>
        <v/>
      </c>
      <c r="O136" s="9">
        <f>IF(OR(Inputs!$F$7=TRUE,Inputs!$F$7="TRUE",Inputs!$F$7=1),(-2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NA())</f>
        <v/>
      </c>
      <c r="P136" s="9">
        <f>IF(OR(Inputs!$F$8=TRUE,Inputs!$F$8="TRUE",Inputs!$F$8=1),(-2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NA())</f>
        <v/>
      </c>
      <c r="Q136" s="9">
        <f>IF(OR(Inputs!$F$9=TRUE,Inputs!$F$9="TRUE",Inputs!$F$9=1),(-2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NA())</f>
        <v/>
      </c>
      <c r="R136" s="10" t="n"/>
      <c r="S136" s="9">
        <f>A136</f>
        <v/>
      </c>
      <c r="T136" s="9">
        <f>(Inputs!$I$6+(((A136)+1)/2)*(Inputs!$J$6-Inputs!$I$6))</f>
        <v/>
      </c>
      <c r="U136" s="9">
        <f>(Inputs!$I$7+(((A136)+1)/2)*(Inputs!$J$7-Inputs!$I$7))</f>
        <v/>
      </c>
      <c r="V136" s="9">
        <f>(Inputs!$I$8+(((A136)+1)/2)*(Inputs!$J$8-Inputs!$I$8))</f>
        <v/>
      </c>
      <c r="W136" s="9">
        <f>(Inputs!$I$9+(((A136)+1)/2)*(Inputs!$J$9-Inputs!$I$9))</f>
        <v/>
      </c>
      <c r="X136" s="10" t="n"/>
      <c r="Y136" s="9">
        <f>A136</f>
        <v/>
      </c>
      <c r="Z136" s="9">
        <f>(Inputs!$H$6+Inputs!$L$6*(((Inputs!$I$6+(((A136)+1)/2)*(Inputs!$J$6-Inputs!$I$6)))/Inputs!$K$6)^2)</f>
        <v/>
      </c>
      <c r="AA136" s="9">
        <f>(Inputs!$H$7+Inputs!$L$7*(((Inputs!$I$7+(((A136)+1)/2)*(Inputs!$J$7-Inputs!$I$7)))/Inputs!$K$7)^2)</f>
        <v/>
      </c>
      <c r="AB136" s="9">
        <f>(Inputs!$H$8+Inputs!$L$8*(((Inputs!$I$8+(((A136)+1)/2)*(Inputs!$J$8-Inputs!$I$8)))/Inputs!$K$8)^2)</f>
        <v/>
      </c>
      <c r="AC136" s="9">
        <f>(Inputs!$H$9+Inputs!$L$9*(((Inputs!$I$9+(((A136)+1)/2)*(Inputs!$J$9-Inputs!$I$9)))/Inputs!$K$9)^2)</f>
        <v/>
      </c>
      <c r="AD136" s="10" t="n"/>
      <c r="AE136" s="9">
        <f>A136</f>
        <v/>
      </c>
      <c r="AF136" s="9">
        <f>(((SQRT((Inputs!$C$52+((Inputs!$H$6+Inputs!$L$6*(((Inputs!$I$6+(((A136)+1)/2)*(Inputs!$J$6-Inputs!$I$6)))/Inputs!$K$6)^2)))^2+Inputs!$C$52^2-2*(Inputs!$C$52+((Inputs!$H$6+Inputs!$L$6*(((Inputs!$I$6+(((A136)+1)/2)*(Inputs!$J$6-Inputs!$I$6)))/Inputs!$K$6)^2)))*Inputs!$C$52*COS(SQRT(((Inputs!$I$6+(((A136)+1)/2)*(Inputs!$J$6-Inputs!$I$6)))^2+Inputs!$C$6^2)/Inputs!$C$52)))-((Inputs!$H$6+Inputs!$L$6*(((Inputs!$I$6+(((A136)+1)/2)*(Inputs!$J$6-Inputs!$I$6)))/Inputs!$K$6)^2)))*1000/Inputs!$C$12)</f>
        <v/>
      </c>
      <c r="AG136" s="9">
        <f>(((SQRT((Inputs!$C$52+((Inputs!$H$7+Inputs!$L$7*(((Inputs!$I$7+(((A136)+1)/2)*(Inputs!$J$7-Inputs!$I$7)))/Inputs!$K$7)^2)))^2+Inputs!$C$52^2-2*(Inputs!$C$52+((Inputs!$H$7+Inputs!$L$7*(((Inputs!$I$7+(((A136)+1)/2)*(Inputs!$J$7-Inputs!$I$7)))/Inputs!$K$7)^2)))*Inputs!$C$52*COS(SQRT(((Inputs!$I$7+(((A136)+1)/2)*(Inputs!$J$7-Inputs!$I$7)))^2+Inputs!$C$6^2)/Inputs!$C$52)))-((Inputs!$H$7+Inputs!$L$7*(((Inputs!$I$7+(((A136)+1)/2)*(Inputs!$J$7-Inputs!$I$7)))/Inputs!$K$7)^2)))*1000/Inputs!$C$12)</f>
        <v/>
      </c>
      <c r="AH136" s="9">
        <f>(((SQRT((Inputs!$C$52+((Inputs!$H$8+Inputs!$L$8*(((Inputs!$I$8+(((A136)+1)/2)*(Inputs!$J$8-Inputs!$I$8)))/Inputs!$K$8)^2)))^2+Inputs!$C$52^2-2*(Inputs!$C$52+((Inputs!$H$8+Inputs!$L$8*(((Inputs!$I$8+(((A136)+1)/2)*(Inputs!$J$8-Inputs!$I$8)))/Inputs!$K$8)^2)))*Inputs!$C$52*COS(SQRT(((Inputs!$I$8+(((A136)+1)/2)*(Inputs!$J$8-Inputs!$I$8)))^2+Inputs!$C$6^2)/Inputs!$C$52)))-((Inputs!$H$8+Inputs!$L$8*(((Inputs!$I$8+(((A136)+1)/2)*(Inputs!$J$8-Inputs!$I$8)))/Inputs!$K$8)^2)))*1000/Inputs!$C$12)</f>
        <v/>
      </c>
      <c r="AI136" s="9">
        <f>(((SQRT((Inputs!$C$52+((Inputs!$H$9+Inputs!$L$9*(((Inputs!$I$9+(((A136)+1)/2)*(Inputs!$J$9-Inputs!$I$9)))/Inputs!$K$9)^2)))^2+Inputs!$C$52^2-2*(Inputs!$C$52+((Inputs!$H$9+Inputs!$L$9*(((Inputs!$I$9+(((A136)+1)/2)*(Inputs!$J$9-Inputs!$I$9)))/Inputs!$K$9)^2)))*Inputs!$C$52*COS(SQRT(((Inputs!$I$9+(((A136)+1)/2)*(Inputs!$J$9-Inputs!$I$9)))^2+Inputs!$C$6^2)/Inputs!$C$52)))-((Inputs!$H$9+Inputs!$L$9*(((Inputs!$I$9+(((A136)+1)/2)*(Inputs!$J$9-Inputs!$I$9)))/Inputs!$K$9)^2)))*1000/Inputs!$C$12)</f>
        <v/>
      </c>
      <c r="AJ136" s="10" t="n"/>
      <c r="AK136" s="9">
        <f>A136</f>
        <v/>
      </c>
      <c r="AL136" s="9">
        <f>(-2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f>
        <v/>
      </c>
      <c r="AM136" s="9">
        <f>(-2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f>
        <v/>
      </c>
      <c r="AN136" s="9">
        <f>(-2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f>
        <v/>
      </c>
      <c r="AO136" s="9">
        <f>(-2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f>
        <v/>
      </c>
      <c r="AP136" s="10" t="n"/>
      <c r="AQ136" s="9">
        <f>A136</f>
        <v/>
      </c>
      <c r="AR136" s="9">
        <f>0</f>
        <v/>
      </c>
      <c r="AS136" s="9">
        <f>IF(OR(Inputs!$F$6=TRUE,Inputs!$F$6="TRUE",Inputs!$F$6=1),IF(OR(Inputs!$C$27=TRUE,Inputs!$C$27="TRUE",Inputs!$C$27=1),1,0)*(Inputs!$C$51*(115*EXP(-(((Inputs!$C$6)-25)^2)/(4.5^2))+70*EXP(-(((Inputs!$C$6)+38)^2)/(7^2))*(0.55+0.45*SIN(2*PI()*((Inputs!$I$6+(((A136)+1)/2)*(Inputs!$J$6-Inputs!$I$6)))/45))+24*SIN(2*PI()*(Inputs!$C$6)/9+((Inputs!$I$6+(((A136)+1)/2)*(Inputs!$J$6-Inputs!$I$6)))/18)*EXP(-(((Inputs!$C$6)+5)^2)/(22^2))+18*SIN(2*PI()*((Inputs!$I$6+(((A136)+1)/2)*(Inputs!$J$6-Inputs!$I$6)))/70))+Inputs!$C$28*EXP(-((((Inputs!$I$6+(((A136)+1)/2)*(Inputs!$J$6-Inputs!$I$6)))-Inputs!$C$29)^2)/(2*Inputs!$C$31^2))*EXP(-(((Inputs!$C$6)-Inputs!$C$30)^2)/(2*Inputs!$C$32^2))+-Inputs!$C$33*EXP(-((((((Inputs!$I$6+(((A136)+1)/2)*(Inputs!$J$6-Inputs!$I$6)))-Inputs!$C$34)^2)+(((Inputs!$C$6)-Inputs!$C$35)^2))/(2*Inputs!$C$36^2)))+Inputs!$C$37*(0.55*SIN(2*PI()*((Inputs!$I$6+(((A136)+1)/2)*(Inputs!$J$6-Inputs!$I$6)))/Inputs!$C$39)+0.35*COS(2*PI()*(Inputs!$C$6)/Inputs!$C$40)+0.2*SIN(2*PI()*(((Inputs!$I$6+(((A136)+1)/2)*(Inputs!$J$6-Inputs!$I$6)))+(Inputs!$C$6))/(0.5*(Inputs!$C$39+Inputs!$C$40))))+Inputs!$C$38*SIN(2*PI()*((Inputs!$I$6+(((A136)+1)/2)*(Inputs!$J$6-Inputs!$I$6)))/Inputs!$C$39)*SIN(2*PI()*(Inputs!$C$6)/Inputs!$C$40)+-Inputs!$C$41*EXP(-(((Inputs!$C$6)-Inputs!$C$43)^2)/(2*Inputs!$C$44^2))*EXP(-((((Inputs!$I$6+(((A136)+1)/2)*(Inputs!$J$6-Inputs!$I$6)))-Inputs!$C$42)^2)/(2*Inputs!$C$45^2))+Inputs!$C$48*(0.7*(0.45*SIN(2*PI()*((((Inputs!$I$6+(((A136)+1)/2)*(Inputs!$J$6-Inputs!$I$6)))/Inputs!$C$49)+Inputs!$C$47*0.137))+0.35*COS(2*PI()*(((Inputs!$C$6)/Inputs!$C$50)+Inputs!$C$47*0.173))+0.2*SIN(2*PI()*((((Inputs!$I$6+(((A136)+1)/2)*(Inputs!$J$6-Inputs!$I$6)))+(Inputs!$C$6))/(0.5*(Inputs!$C$49+Inputs!$C$50))+Inputs!$C$47*0.097)))+0.3*(2*((SIN((((Inputs!$I$6+(((A136)+1)/2)*(Inputs!$J$6-Inputs!$I$6)))*12.9898+(Inputs!$C$6)*78.233+Inputs!$C$47*37.719))*43758.5453)-INT((SIN((((Inputs!$I$6+(((A136)+1)/2)*(Inputs!$J$6-Inputs!$I$6)))*12.9898+(Inputs!$C$6)*78.233+Inputs!$C$47*37.719))*43758.5453)))-1))),NA())</f>
        <v/>
      </c>
      <c r="AT136" s="9">
        <f>IF(OR(Inputs!$F$7=TRUE,Inputs!$F$7="TRUE",Inputs!$F$7=1),IF(OR(Inputs!$C$27=TRUE,Inputs!$C$27="TRUE",Inputs!$C$27=1),1,0)*(Inputs!$C$51*(115*EXP(-(((Inputs!$C$6)-25)^2)/(4.5^2))+70*EXP(-(((Inputs!$C$6)+38)^2)/(7^2))*(0.55+0.45*SIN(2*PI()*((Inputs!$I$7+(((A136)+1)/2)*(Inputs!$J$7-Inputs!$I$7)))/45))+24*SIN(2*PI()*(Inputs!$C$6)/9+((Inputs!$I$7+(((A136)+1)/2)*(Inputs!$J$7-Inputs!$I$7)))/18)*EXP(-(((Inputs!$C$6)+5)^2)/(22^2))+18*SIN(2*PI()*((Inputs!$I$7+(((A136)+1)/2)*(Inputs!$J$7-Inputs!$I$7)))/70))+Inputs!$C$28*EXP(-((((Inputs!$I$7+(((A136)+1)/2)*(Inputs!$J$7-Inputs!$I$7)))-Inputs!$C$29)^2)/(2*Inputs!$C$31^2))*EXP(-(((Inputs!$C$6)-Inputs!$C$30)^2)/(2*Inputs!$C$32^2))+-Inputs!$C$33*EXP(-((((((Inputs!$I$7+(((A136)+1)/2)*(Inputs!$J$7-Inputs!$I$7)))-Inputs!$C$34)^2)+(((Inputs!$C$6)-Inputs!$C$35)^2))/(2*Inputs!$C$36^2)))+Inputs!$C$37*(0.55*SIN(2*PI()*((Inputs!$I$7+(((A136)+1)/2)*(Inputs!$J$7-Inputs!$I$7)))/Inputs!$C$39)+0.35*COS(2*PI()*(Inputs!$C$6)/Inputs!$C$40)+0.2*SIN(2*PI()*(((Inputs!$I$7+(((A136)+1)/2)*(Inputs!$J$7-Inputs!$I$7)))+(Inputs!$C$6))/(0.5*(Inputs!$C$39+Inputs!$C$40))))+Inputs!$C$38*SIN(2*PI()*((Inputs!$I$7+(((A136)+1)/2)*(Inputs!$J$7-Inputs!$I$7)))/Inputs!$C$39)*SIN(2*PI()*(Inputs!$C$6)/Inputs!$C$40)+-Inputs!$C$41*EXP(-(((Inputs!$C$6)-Inputs!$C$43)^2)/(2*Inputs!$C$44^2))*EXP(-((((Inputs!$I$7+(((A136)+1)/2)*(Inputs!$J$7-Inputs!$I$7)))-Inputs!$C$42)^2)/(2*Inputs!$C$45^2))+Inputs!$C$48*(0.7*(0.45*SIN(2*PI()*((((Inputs!$I$7+(((A136)+1)/2)*(Inputs!$J$7-Inputs!$I$7)))/Inputs!$C$49)+Inputs!$C$47*0.137))+0.35*COS(2*PI()*(((Inputs!$C$6)/Inputs!$C$50)+Inputs!$C$47*0.173))+0.2*SIN(2*PI()*((((Inputs!$I$7+(((A136)+1)/2)*(Inputs!$J$7-Inputs!$I$7)))+(Inputs!$C$6))/(0.5*(Inputs!$C$49+Inputs!$C$50))+Inputs!$C$47*0.097)))+0.3*(2*((SIN((((Inputs!$I$7+(((A136)+1)/2)*(Inputs!$J$7-Inputs!$I$7)))*12.9898+(Inputs!$C$6)*78.233+Inputs!$C$47*37.719))*43758.5453)-INT((SIN((((Inputs!$I$7+(((A136)+1)/2)*(Inputs!$J$7-Inputs!$I$7)))*12.9898+(Inputs!$C$6)*78.233+Inputs!$C$47*37.719))*43758.5453)))-1))),NA())</f>
        <v/>
      </c>
      <c r="AU136" s="9">
        <f>IF(OR(Inputs!$F$8=TRUE,Inputs!$F$8="TRUE",Inputs!$F$8=1),IF(OR(Inputs!$C$27=TRUE,Inputs!$C$27="TRUE",Inputs!$C$27=1),1,0)*(Inputs!$C$51*(115*EXP(-(((Inputs!$C$6)-25)^2)/(4.5^2))+70*EXP(-(((Inputs!$C$6)+38)^2)/(7^2))*(0.55+0.45*SIN(2*PI()*((Inputs!$I$8+(((A136)+1)/2)*(Inputs!$J$8-Inputs!$I$8)))/45))+24*SIN(2*PI()*(Inputs!$C$6)/9+((Inputs!$I$8+(((A136)+1)/2)*(Inputs!$J$8-Inputs!$I$8)))/18)*EXP(-(((Inputs!$C$6)+5)^2)/(22^2))+18*SIN(2*PI()*((Inputs!$I$8+(((A136)+1)/2)*(Inputs!$J$8-Inputs!$I$8)))/70))+Inputs!$C$28*EXP(-((((Inputs!$I$8+(((A136)+1)/2)*(Inputs!$J$8-Inputs!$I$8)))-Inputs!$C$29)^2)/(2*Inputs!$C$31^2))*EXP(-(((Inputs!$C$6)-Inputs!$C$30)^2)/(2*Inputs!$C$32^2))+-Inputs!$C$33*EXP(-((((((Inputs!$I$8+(((A136)+1)/2)*(Inputs!$J$8-Inputs!$I$8)))-Inputs!$C$34)^2)+(((Inputs!$C$6)-Inputs!$C$35)^2))/(2*Inputs!$C$36^2)))+Inputs!$C$37*(0.55*SIN(2*PI()*((Inputs!$I$8+(((A136)+1)/2)*(Inputs!$J$8-Inputs!$I$8)))/Inputs!$C$39)+0.35*COS(2*PI()*(Inputs!$C$6)/Inputs!$C$40)+0.2*SIN(2*PI()*(((Inputs!$I$8+(((A136)+1)/2)*(Inputs!$J$8-Inputs!$I$8)))+(Inputs!$C$6))/(0.5*(Inputs!$C$39+Inputs!$C$40))))+Inputs!$C$38*SIN(2*PI()*((Inputs!$I$8+(((A136)+1)/2)*(Inputs!$J$8-Inputs!$I$8)))/Inputs!$C$39)*SIN(2*PI()*(Inputs!$C$6)/Inputs!$C$40)+-Inputs!$C$41*EXP(-(((Inputs!$C$6)-Inputs!$C$43)^2)/(2*Inputs!$C$44^2))*EXP(-((((Inputs!$I$8+(((A136)+1)/2)*(Inputs!$J$8-Inputs!$I$8)))-Inputs!$C$42)^2)/(2*Inputs!$C$45^2))+Inputs!$C$48*(0.7*(0.45*SIN(2*PI()*((((Inputs!$I$8+(((A136)+1)/2)*(Inputs!$J$8-Inputs!$I$8)))/Inputs!$C$49)+Inputs!$C$47*0.137))+0.35*COS(2*PI()*(((Inputs!$C$6)/Inputs!$C$50)+Inputs!$C$47*0.173))+0.2*SIN(2*PI()*((((Inputs!$I$8+(((A136)+1)/2)*(Inputs!$J$8-Inputs!$I$8)))+(Inputs!$C$6))/(0.5*(Inputs!$C$49+Inputs!$C$50))+Inputs!$C$47*0.097)))+0.3*(2*((SIN((((Inputs!$I$8+(((A136)+1)/2)*(Inputs!$J$8-Inputs!$I$8)))*12.9898+(Inputs!$C$6)*78.233+Inputs!$C$47*37.719))*43758.5453)-INT((SIN((((Inputs!$I$8+(((A136)+1)/2)*(Inputs!$J$8-Inputs!$I$8)))*12.9898+(Inputs!$C$6)*78.233+Inputs!$C$47*37.719))*43758.5453)))-1))),NA())</f>
        <v/>
      </c>
      <c r="AV136" s="9">
        <f>IF(OR(Inputs!$F$9=TRUE,Inputs!$F$9="TRUE",Inputs!$F$9=1),IF(OR(Inputs!$C$27=TRUE,Inputs!$C$27="TRUE",Inputs!$C$27=1),1,0)*(Inputs!$C$51*(115*EXP(-(((Inputs!$C$6)-25)^2)/(4.5^2))+70*EXP(-(((Inputs!$C$6)+38)^2)/(7^2))*(0.55+0.45*SIN(2*PI()*((Inputs!$I$9+(((A136)+1)/2)*(Inputs!$J$9-Inputs!$I$9)))/45))+24*SIN(2*PI()*(Inputs!$C$6)/9+((Inputs!$I$9+(((A136)+1)/2)*(Inputs!$J$9-Inputs!$I$9)))/18)*EXP(-(((Inputs!$C$6)+5)^2)/(22^2))+18*SIN(2*PI()*((Inputs!$I$9+(((A136)+1)/2)*(Inputs!$J$9-Inputs!$I$9)))/70))+Inputs!$C$28*EXP(-((((Inputs!$I$9+(((A136)+1)/2)*(Inputs!$J$9-Inputs!$I$9)))-Inputs!$C$29)^2)/(2*Inputs!$C$31^2))*EXP(-(((Inputs!$C$6)-Inputs!$C$30)^2)/(2*Inputs!$C$32^2))+-Inputs!$C$33*EXP(-((((((Inputs!$I$9+(((A136)+1)/2)*(Inputs!$J$9-Inputs!$I$9)))-Inputs!$C$34)^2)+(((Inputs!$C$6)-Inputs!$C$35)^2))/(2*Inputs!$C$36^2)))+Inputs!$C$37*(0.55*SIN(2*PI()*((Inputs!$I$9+(((A136)+1)/2)*(Inputs!$J$9-Inputs!$I$9)))/Inputs!$C$39)+0.35*COS(2*PI()*(Inputs!$C$6)/Inputs!$C$40)+0.2*SIN(2*PI()*(((Inputs!$I$9+(((A136)+1)/2)*(Inputs!$J$9-Inputs!$I$9)))+(Inputs!$C$6))/(0.5*(Inputs!$C$39+Inputs!$C$40))))+Inputs!$C$38*SIN(2*PI()*((Inputs!$I$9+(((A136)+1)/2)*(Inputs!$J$9-Inputs!$I$9)))/Inputs!$C$39)*SIN(2*PI()*(Inputs!$C$6)/Inputs!$C$40)+-Inputs!$C$41*EXP(-(((Inputs!$C$6)-Inputs!$C$43)^2)/(2*Inputs!$C$44^2))*EXP(-((((Inputs!$I$9+(((A136)+1)/2)*(Inputs!$J$9-Inputs!$I$9)))-Inputs!$C$42)^2)/(2*Inputs!$C$45^2))+Inputs!$C$48*(0.7*(0.45*SIN(2*PI()*((((Inputs!$I$9+(((A136)+1)/2)*(Inputs!$J$9-Inputs!$I$9)))/Inputs!$C$49)+Inputs!$C$47*0.137))+0.35*COS(2*PI()*(((Inputs!$C$6)/Inputs!$C$50)+Inputs!$C$47*0.173))+0.2*SIN(2*PI()*((((Inputs!$I$9+(((A136)+1)/2)*(Inputs!$J$9-Inputs!$I$9)))+(Inputs!$C$6))/(0.5*(Inputs!$C$49+Inputs!$C$50))+Inputs!$C$47*0.097)))+0.3*(2*((SIN((((Inputs!$I$9+(((A136)+1)/2)*(Inputs!$J$9-Inputs!$I$9)))*12.9898+(Inputs!$C$6)*78.233+Inputs!$C$47*37.719))*43758.5453)-INT((SIN((((Inputs!$I$9+(((A136)+1)/2)*(Inputs!$J$9-Inputs!$I$9)))*12.9898+(Inputs!$C$6)*78.233+Inputs!$C$47*37.719))*43758.5453)))-1))),NA())</f>
        <v/>
      </c>
      <c r="AW136" s="10" t="n"/>
      <c r="AX136" s="9">
        <f>A136</f>
        <v/>
      </c>
      <c r="AY136" s="9">
        <f>0</f>
        <v/>
      </c>
      <c r="AZ136" s="9">
        <f>IF(OR(Inputs!$F$6=TRUE,Inputs!$F$6="TRUE",Inputs!$F$6=1),(Inputs!$H$6+Inputs!$L$6*(((Inputs!$I$6+(((A136)+1)/2)*(Inputs!$J$6-Inputs!$I$6)))/Inputs!$K$6)^2),NA())</f>
        <v/>
      </c>
      <c r="BA136" s="9">
        <f>IF(OR(Inputs!$F$7=TRUE,Inputs!$F$7="TRUE",Inputs!$F$7=1),(Inputs!$H$7+Inputs!$L$7*(((Inputs!$I$7+(((A136)+1)/2)*(Inputs!$J$7-Inputs!$I$7)))/Inputs!$K$7)^2),NA())</f>
        <v/>
      </c>
      <c r="BB136" s="9">
        <f>IF(OR(Inputs!$F$8=TRUE,Inputs!$F$8="TRUE",Inputs!$F$8=1),(Inputs!$H$8+Inputs!$L$8*(((Inputs!$I$8+(((A136)+1)/2)*(Inputs!$J$8-Inputs!$I$8)))/Inputs!$K$8)^2),NA())</f>
        <v/>
      </c>
      <c r="BC136" s="9">
        <f>IF(OR(Inputs!$F$9=TRUE,Inputs!$F$9="TRUE",Inputs!$F$9=1),(Inputs!$H$9+Inputs!$L$9*(((Inputs!$I$9+(((A136)+1)/2)*(Inputs!$J$9-Inputs!$I$9)))/Inputs!$K$9)^2),NA())</f>
        <v/>
      </c>
      <c r="BD136" s="10" t="n"/>
      <c r="BE136" s="9">
        <f>A136</f>
        <v/>
      </c>
      <c r="BF136" s="9">
        <f>0</f>
        <v/>
      </c>
      <c r="BG136" s="9">
        <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f>
        <v/>
      </c>
      <c r="BH136" s="9">
        <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f>
        <v/>
      </c>
      <c r="BI136" s="9">
        <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f>
        <v/>
      </c>
      <c r="BJ136" s="9">
        <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f>
        <v/>
      </c>
    </row>
    <row r="137">
      <c r="A137" s="9">
        <f>ROUND(-1+135*2/240,3)</f>
        <v/>
      </c>
      <c r="B137" s="9">
        <f>IF(OR(Inputs!$F$6=TRUE,Inputs!$F$6="TRUE",Inputs!$F$6=1),(Inputs!$H$6+Inputs!$L$6*(((Inputs!$I$6+(((A137)+1)/2)*(Inputs!$J$6-Inputs!$I$6)))/Inputs!$K$6)^2),NA())</f>
        <v/>
      </c>
      <c r="C137" s="9">
        <f>IF(OR(Inputs!$F$7=TRUE,Inputs!$F$7="TRUE",Inputs!$F$7=1),(Inputs!$H$7+Inputs!$L$7*(((Inputs!$I$7+(((A137)+1)/2)*(Inputs!$J$7-Inputs!$I$7)))/Inputs!$K$7)^2),NA())</f>
        <v/>
      </c>
      <c r="D137" s="9">
        <f>IF(OR(Inputs!$F$8=TRUE,Inputs!$F$8="TRUE",Inputs!$F$8=1),(Inputs!$H$8+Inputs!$L$8*(((Inputs!$I$8+(((A137)+1)/2)*(Inputs!$J$8-Inputs!$I$8)))/Inputs!$K$8)^2),NA())</f>
        <v/>
      </c>
      <c r="E137" s="9">
        <f>IF(OR(Inputs!$F$9=TRUE,Inputs!$F$9="TRUE",Inputs!$F$9=1),(Inputs!$H$9+Inputs!$L$9*(((Inputs!$I$9+(((A137)+1)/2)*(Inputs!$J$9-Inputs!$I$9)))/Inputs!$K$9)^2),NA())</f>
        <v/>
      </c>
      <c r="F137" s="10" t="n"/>
      <c r="G137" s="9">
        <f>A137</f>
        <v/>
      </c>
      <c r="H137" s="9">
        <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f>
        <v/>
      </c>
      <c r="I137" s="9">
        <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f>
        <v/>
      </c>
      <c r="J137" s="9">
        <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f>
        <v/>
      </c>
      <c r="K137" s="9">
        <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f>
        <v/>
      </c>
      <c r="L137" s="10" t="n"/>
      <c r="M137" s="9">
        <f>A137</f>
        <v/>
      </c>
      <c r="N137" s="9">
        <f>IF(OR(Inputs!$F$6=TRUE,Inputs!$F$6="TRUE",Inputs!$F$6=1),(-2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NA())</f>
        <v/>
      </c>
      <c r="O137" s="9">
        <f>IF(OR(Inputs!$F$7=TRUE,Inputs!$F$7="TRUE",Inputs!$F$7=1),(-2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NA())</f>
        <v/>
      </c>
      <c r="P137" s="9">
        <f>IF(OR(Inputs!$F$8=TRUE,Inputs!$F$8="TRUE",Inputs!$F$8=1),(-2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NA())</f>
        <v/>
      </c>
      <c r="Q137" s="9">
        <f>IF(OR(Inputs!$F$9=TRUE,Inputs!$F$9="TRUE",Inputs!$F$9=1),(-2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NA())</f>
        <v/>
      </c>
      <c r="R137" s="10" t="n"/>
      <c r="S137" s="9">
        <f>A137</f>
        <v/>
      </c>
      <c r="T137" s="9">
        <f>(Inputs!$I$6+(((A137)+1)/2)*(Inputs!$J$6-Inputs!$I$6))</f>
        <v/>
      </c>
      <c r="U137" s="9">
        <f>(Inputs!$I$7+(((A137)+1)/2)*(Inputs!$J$7-Inputs!$I$7))</f>
        <v/>
      </c>
      <c r="V137" s="9">
        <f>(Inputs!$I$8+(((A137)+1)/2)*(Inputs!$J$8-Inputs!$I$8))</f>
        <v/>
      </c>
      <c r="W137" s="9">
        <f>(Inputs!$I$9+(((A137)+1)/2)*(Inputs!$J$9-Inputs!$I$9))</f>
        <v/>
      </c>
      <c r="X137" s="10" t="n"/>
      <c r="Y137" s="9">
        <f>A137</f>
        <v/>
      </c>
      <c r="Z137" s="9">
        <f>(Inputs!$H$6+Inputs!$L$6*(((Inputs!$I$6+(((A137)+1)/2)*(Inputs!$J$6-Inputs!$I$6)))/Inputs!$K$6)^2)</f>
        <v/>
      </c>
      <c r="AA137" s="9">
        <f>(Inputs!$H$7+Inputs!$L$7*(((Inputs!$I$7+(((A137)+1)/2)*(Inputs!$J$7-Inputs!$I$7)))/Inputs!$K$7)^2)</f>
        <v/>
      </c>
      <c r="AB137" s="9">
        <f>(Inputs!$H$8+Inputs!$L$8*(((Inputs!$I$8+(((A137)+1)/2)*(Inputs!$J$8-Inputs!$I$8)))/Inputs!$K$8)^2)</f>
        <v/>
      </c>
      <c r="AC137" s="9">
        <f>(Inputs!$H$9+Inputs!$L$9*(((Inputs!$I$9+(((A137)+1)/2)*(Inputs!$J$9-Inputs!$I$9)))/Inputs!$K$9)^2)</f>
        <v/>
      </c>
      <c r="AD137" s="10" t="n"/>
      <c r="AE137" s="9">
        <f>A137</f>
        <v/>
      </c>
      <c r="AF137" s="9">
        <f>(((SQRT((Inputs!$C$52+((Inputs!$H$6+Inputs!$L$6*(((Inputs!$I$6+(((A137)+1)/2)*(Inputs!$J$6-Inputs!$I$6)))/Inputs!$K$6)^2)))^2+Inputs!$C$52^2-2*(Inputs!$C$52+((Inputs!$H$6+Inputs!$L$6*(((Inputs!$I$6+(((A137)+1)/2)*(Inputs!$J$6-Inputs!$I$6)))/Inputs!$K$6)^2)))*Inputs!$C$52*COS(SQRT(((Inputs!$I$6+(((A137)+1)/2)*(Inputs!$J$6-Inputs!$I$6)))^2+Inputs!$C$6^2)/Inputs!$C$52)))-((Inputs!$H$6+Inputs!$L$6*(((Inputs!$I$6+(((A137)+1)/2)*(Inputs!$J$6-Inputs!$I$6)))/Inputs!$K$6)^2)))*1000/Inputs!$C$12)</f>
        <v/>
      </c>
      <c r="AG137" s="9">
        <f>(((SQRT((Inputs!$C$52+((Inputs!$H$7+Inputs!$L$7*(((Inputs!$I$7+(((A137)+1)/2)*(Inputs!$J$7-Inputs!$I$7)))/Inputs!$K$7)^2)))^2+Inputs!$C$52^2-2*(Inputs!$C$52+((Inputs!$H$7+Inputs!$L$7*(((Inputs!$I$7+(((A137)+1)/2)*(Inputs!$J$7-Inputs!$I$7)))/Inputs!$K$7)^2)))*Inputs!$C$52*COS(SQRT(((Inputs!$I$7+(((A137)+1)/2)*(Inputs!$J$7-Inputs!$I$7)))^2+Inputs!$C$6^2)/Inputs!$C$52)))-((Inputs!$H$7+Inputs!$L$7*(((Inputs!$I$7+(((A137)+1)/2)*(Inputs!$J$7-Inputs!$I$7)))/Inputs!$K$7)^2)))*1000/Inputs!$C$12)</f>
        <v/>
      </c>
      <c r="AH137" s="9">
        <f>(((SQRT((Inputs!$C$52+((Inputs!$H$8+Inputs!$L$8*(((Inputs!$I$8+(((A137)+1)/2)*(Inputs!$J$8-Inputs!$I$8)))/Inputs!$K$8)^2)))^2+Inputs!$C$52^2-2*(Inputs!$C$52+((Inputs!$H$8+Inputs!$L$8*(((Inputs!$I$8+(((A137)+1)/2)*(Inputs!$J$8-Inputs!$I$8)))/Inputs!$K$8)^2)))*Inputs!$C$52*COS(SQRT(((Inputs!$I$8+(((A137)+1)/2)*(Inputs!$J$8-Inputs!$I$8)))^2+Inputs!$C$6^2)/Inputs!$C$52)))-((Inputs!$H$8+Inputs!$L$8*(((Inputs!$I$8+(((A137)+1)/2)*(Inputs!$J$8-Inputs!$I$8)))/Inputs!$K$8)^2)))*1000/Inputs!$C$12)</f>
        <v/>
      </c>
      <c r="AI137" s="9">
        <f>(((SQRT((Inputs!$C$52+((Inputs!$H$9+Inputs!$L$9*(((Inputs!$I$9+(((A137)+1)/2)*(Inputs!$J$9-Inputs!$I$9)))/Inputs!$K$9)^2)))^2+Inputs!$C$52^2-2*(Inputs!$C$52+((Inputs!$H$9+Inputs!$L$9*(((Inputs!$I$9+(((A137)+1)/2)*(Inputs!$J$9-Inputs!$I$9)))/Inputs!$K$9)^2)))*Inputs!$C$52*COS(SQRT(((Inputs!$I$9+(((A137)+1)/2)*(Inputs!$J$9-Inputs!$I$9)))^2+Inputs!$C$6^2)/Inputs!$C$52)))-((Inputs!$H$9+Inputs!$L$9*(((Inputs!$I$9+(((A137)+1)/2)*(Inputs!$J$9-Inputs!$I$9)))/Inputs!$K$9)^2)))*1000/Inputs!$C$12)</f>
        <v/>
      </c>
      <c r="AJ137" s="10" t="n"/>
      <c r="AK137" s="9">
        <f>A137</f>
        <v/>
      </c>
      <c r="AL137" s="9">
        <f>(-2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f>
        <v/>
      </c>
      <c r="AM137" s="9">
        <f>(-2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f>
        <v/>
      </c>
      <c r="AN137" s="9">
        <f>(-2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f>
        <v/>
      </c>
      <c r="AO137" s="9">
        <f>(-2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f>
        <v/>
      </c>
      <c r="AP137" s="10" t="n"/>
      <c r="AQ137" s="9">
        <f>A137</f>
        <v/>
      </c>
      <c r="AR137" s="9">
        <f>0</f>
        <v/>
      </c>
      <c r="AS137" s="9">
        <f>IF(OR(Inputs!$F$6=TRUE,Inputs!$F$6="TRUE",Inputs!$F$6=1),IF(OR(Inputs!$C$27=TRUE,Inputs!$C$27="TRUE",Inputs!$C$27=1),1,0)*(Inputs!$C$51*(115*EXP(-(((Inputs!$C$6)-25)^2)/(4.5^2))+70*EXP(-(((Inputs!$C$6)+38)^2)/(7^2))*(0.55+0.45*SIN(2*PI()*((Inputs!$I$6+(((A137)+1)/2)*(Inputs!$J$6-Inputs!$I$6)))/45))+24*SIN(2*PI()*(Inputs!$C$6)/9+((Inputs!$I$6+(((A137)+1)/2)*(Inputs!$J$6-Inputs!$I$6)))/18)*EXP(-(((Inputs!$C$6)+5)^2)/(22^2))+18*SIN(2*PI()*((Inputs!$I$6+(((A137)+1)/2)*(Inputs!$J$6-Inputs!$I$6)))/70))+Inputs!$C$28*EXP(-((((Inputs!$I$6+(((A137)+1)/2)*(Inputs!$J$6-Inputs!$I$6)))-Inputs!$C$29)^2)/(2*Inputs!$C$31^2))*EXP(-(((Inputs!$C$6)-Inputs!$C$30)^2)/(2*Inputs!$C$32^2))+-Inputs!$C$33*EXP(-((((((Inputs!$I$6+(((A137)+1)/2)*(Inputs!$J$6-Inputs!$I$6)))-Inputs!$C$34)^2)+(((Inputs!$C$6)-Inputs!$C$35)^2))/(2*Inputs!$C$36^2)))+Inputs!$C$37*(0.55*SIN(2*PI()*((Inputs!$I$6+(((A137)+1)/2)*(Inputs!$J$6-Inputs!$I$6)))/Inputs!$C$39)+0.35*COS(2*PI()*(Inputs!$C$6)/Inputs!$C$40)+0.2*SIN(2*PI()*(((Inputs!$I$6+(((A137)+1)/2)*(Inputs!$J$6-Inputs!$I$6)))+(Inputs!$C$6))/(0.5*(Inputs!$C$39+Inputs!$C$40))))+Inputs!$C$38*SIN(2*PI()*((Inputs!$I$6+(((A137)+1)/2)*(Inputs!$J$6-Inputs!$I$6)))/Inputs!$C$39)*SIN(2*PI()*(Inputs!$C$6)/Inputs!$C$40)+-Inputs!$C$41*EXP(-(((Inputs!$C$6)-Inputs!$C$43)^2)/(2*Inputs!$C$44^2))*EXP(-((((Inputs!$I$6+(((A137)+1)/2)*(Inputs!$J$6-Inputs!$I$6)))-Inputs!$C$42)^2)/(2*Inputs!$C$45^2))+Inputs!$C$48*(0.7*(0.45*SIN(2*PI()*((((Inputs!$I$6+(((A137)+1)/2)*(Inputs!$J$6-Inputs!$I$6)))/Inputs!$C$49)+Inputs!$C$47*0.137))+0.35*COS(2*PI()*(((Inputs!$C$6)/Inputs!$C$50)+Inputs!$C$47*0.173))+0.2*SIN(2*PI()*((((Inputs!$I$6+(((A137)+1)/2)*(Inputs!$J$6-Inputs!$I$6)))+(Inputs!$C$6))/(0.5*(Inputs!$C$49+Inputs!$C$50))+Inputs!$C$47*0.097)))+0.3*(2*((SIN((((Inputs!$I$6+(((A137)+1)/2)*(Inputs!$J$6-Inputs!$I$6)))*12.9898+(Inputs!$C$6)*78.233+Inputs!$C$47*37.719))*43758.5453)-INT((SIN((((Inputs!$I$6+(((A137)+1)/2)*(Inputs!$J$6-Inputs!$I$6)))*12.9898+(Inputs!$C$6)*78.233+Inputs!$C$47*37.719))*43758.5453)))-1))),NA())</f>
        <v/>
      </c>
      <c r="AT137" s="9">
        <f>IF(OR(Inputs!$F$7=TRUE,Inputs!$F$7="TRUE",Inputs!$F$7=1),IF(OR(Inputs!$C$27=TRUE,Inputs!$C$27="TRUE",Inputs!$C$27=1),1,0)*(Inputs!$C$51*(115*EXP(-(((Inputs!$C$6)-25)^2)/(4.5^2))+70*EXP(-(((Inputs!$C$6)+38)^2)/(7^2))*(0.55+0.45*SIN(2*PI()*((Inputs!$I$7+(((A137)+1)/2)*(Inputs!$J$7-Inputs!$I$7)))/45))+24*SIN(2*PI()*(Inputs!$C$6)/9+((Inputs!$I$7+(((A137)+1)/2)*(Inputs!$J$7-Inputs!$I$7)))/18)*EXP(-(((Inputs!$C$6)+5)^2)/(22^2))+18*SIN(2*PI()*((Inputs!$I$7+(((A137)+1)/2)*(Inputs!$J$7-Inputs!$I$7)))/70))+Inputs!$C$28*EXP(-((((Inputs!$I$7+(((A137)+1)/2)*(Inputs!$J$7-Inputs!$I$7)))-Inputs!$C$29)^2)/(2*Inputs!$C$31^2))*EXP(-(((Inputs!$C$6)-Inputs!$C$30)^2)/(2*Inputs!$C$32^2))+-Inputs!$C$33*EXP(-((((((Inputs!$I$7+(((A137)+1)/2)*(Inputs!$J$7-Inputs!$I$7)))-Inputs!$C$34)^2)+(((Inputs!$C$6)-Inputs!$C$35)^2))/(2*Inputs!$C$36^2)))+Inputs!$C$37*(0.55*SIN(2*PI()*((Inputs!$I$7+(((A137)+1)/2)*(Inputs!$J$7-Inputs!$I$7)))/Inputs!$C$39)+0.35*COS(2*PI()*(Inputs!$C$6)/Inputs!$C$40)+0.2*SIN(2*PI()*(((Inputs!$I$7+(((A137)+1)/2)*(Inputs!$J$7-Inputs!$I$7)))+(Inputs!$C$6))/(0.5*(Inputs!$C$39+Inputs!$C$40))))+Inputs!$C$38*SIN(2*PI()*((Inputs!$I$7+(((A137)+1)/2)*(Inputs!$J$7-Inputs!$I$7)))/Inputs!$C$39)*SIN(2*PI()*(Inputs!$C$6)/Inputs!$C$40)+-Inputs!$C$41*EXP(-(((Inputs!$C$6)-Inputs!$C$43)^2)/(2*Inputs!$C$44^2))*EXP(-((((Inputs!$I$7+(((A137)+1)/2)*(Inputs!$J$7-Inputs!$I$7)))-Inputs!$C$42)^2)/(2*Inputs!$C$45^2))+Inputs!$C$48*(0.7*(0.45*SIN(2*PI()*((((Inputs!$I$7+(((A137)+1)/2)*(Inputs!$J$7-Inputs!$I$7)))/Inputs!$C$49)+Inputs!$C$47*0.137))+0.35*COS(2*PI()*(((Inputs!$C$6)/Inputs!$C$50)+Inputs!$C$47*0.173))+0.2*SIN(2*PI()*((((Inputs!$I$7+(((A137)+1)/2)*(Inputs!$J$7-Inputs!$I$7)))+(Inputs!$C$6))/(0.5*(Inputs!$C$49+Inputs!$C$50))+Inputs!$C$47*0.097)))+0.3*(2*((SIN((((Inputs!$I$7+(((A137)+1)/2)*(Inputs!$J$7-Inputs!$I$7)))*12.9898+(Inputs!$C$6)*78.233+Inputs!$C$47*37.719))*43758.5453)-INT((SIN((((Inputs!$I$7+(((A137)+1)/2)*(Inputs!$J$7-Inputs!$I$7)))*12.9898+(Inputs!$C$6)*78.233+Inputs!$C$47*37.719))*43758.5453)))-1))),NA())</f>
        <v/>
      </c>
      <c r="AU137" s="9">
        <f>IF(OR(Inputs!$F$8=TRUE,Inputs!$F$8="TRUE",Inputs!$F$8=1),IF(OR(Inputs!$C$27=TRUE,Inputs!$C$27="TRUE",Inputs!$C$27=1),1,0)*(Inputs!$C$51*(115*EXP(-(((Inputs!$C$6)-25)^2)/(4.5^2))+70*EXP(-(((Inputs!$C$6)+38)^2)/(7^2))*(0.55+0.45*SIN(2*PI()*((Inputs!$I$8+(((A137)+1)/2)*(Inputs!$J$8-Inputs!$I$8)))/45))+24*SIN(2*PI()*(Inputs!$C$6)/9+((Inputs!$I$8+(((A137)+1)/2)*(Inputs!$J$8-Inputs!$I$8)))/18)*EXP(-(((Inputs!$C$6)+5)^2)/(22^2))+18*SIN(2*PI()*((Inputs!$I$8+(((A137)+1)/2)*(Inputs!$J$8-Inputs!$I$8)))/70))+Inputs!$C$28*EXP(-((((Inputs!$I$8+(((A137)+1)/2)*(Inputs!$J$8-Inputs!$I$8)))-Inputs!$C$29)^2)/(2*Inputs!$C$31^2))*EXP(-(((Inputs!$C$6)-Inputs!$C$30)^2)/(2*Inputs!$C$32^2))+-Inputs!$C$33*EXP(-((((((Inputs!$I$8+(((A137)+1)/2)*(Inputs!$J$8-Inputs!$I$8)))-Inputs!$C$34)^2)+(((Inputs!$C$6)-Inputs!$C$35)^2))/(2*Inputs!$C$36^2)))+Inputs!$C$37*(0.55*SIN(2*PI()*((Inputs!$I$8+(((A137)+1)/2)*(Inputs!$J$8-Inputs!$I$8)))/Inputs!$C$39)+0.35*COS(2*PI()*(Inputs!$C$6)/Inputs!$C$40)+0.2*SIN(2*PI()*(((Inputs!$I$8+(((A137)+1)/2)*(Inputs!$J$8-Inputs!$I$8)))+(Inputs!$C$6))/(0.5*(Inputs!$C$39+Inputs!$C$40))))+Inputs!$C$38*SIN(2*PI()*((Inputs!$I$8+(((A137)+1)/2)*(Inputs!$J$8-Inputs!$I$8)))/Inputs!$C$39)*SIN(2*PI()*(Inputs!$C$6)/Inputs!$C$40)+-Inputs!$C$41*EXP(-(((Inputs!$C$6)-Inputs!$C$43)^2)/(2*Inputs!$C$44^2))*EXP(-((((Inputs!$I$8+(((A137)+1)/2)*(Inputs!$J$8-Inputs!$I$8)))-Inputs!$C$42)^2)/(2*Inputs!$C$45^2))+Inputs!$C$48*(0.7*(0.45*SIN(2*PI()*((((Inputs!$I$8+(((A137)+1)/2)*(Inputs!$J$8-Inputs!$I$8)))/Inputs!$C$49)+Inputs!$C$47*0.137))+0.35*COS(2*PI()*(((Inputs!$C$6)/Inputs!$C$50)+Inputs!$C$47*0.173))+0.2*SIN(2*PI()*((((Inputs!$I$8+(((A137)+1)/2)*(Inputs!$J$8-Inputs!$I$8)))+(Inputs!$C$6))/(0.5*(Inputs!$C$49+Inputs!$C$50))+Inputs!$C$47*0.097)))+0.3*(2*((SIN((((Inputs!$I$8+(((A137)+1)/2)*(Inputs!$J$8-Inputs!$I$8)))*12.9898+(Inputs!$C$6)*78.233+Inputs!$C$47*37.719))*43758.5453)-INT((SIN((((Inputs!$I$8+(((A137)+1)/2)*(Inputs!$J$8-Inputs!$I$8)))*12.9898+(Inputs!$C$6)*78.233+Inputs!$C$47*37.719))*43758.5453)))-1))),NA())</f>
        <v/>
      </c>
      <c r="AV137" s="9">
        <f>IF(OR(Inputs!$F$9=TRUE,Inputs!$F$9="TRUE",Inputs!$F$9=1),IF(OR(Inputs!$C$27=TRUE,Inputs!$C$27="TRUE",Inputs!$C$27=1),1,0)*(Inputs!$C$51*(115*EXP(-(((Inputs!$C$6)-25)^2)/(4.5^2))+70*EXP(-(((Inputs!$C$6)+38)^2)/(7^2))*(0.55+0.45*SIN(2*PI()*((Inputs!$I$9+(((A137)+1)/2)*(Inputs!$J$9-Inputs!$I$9)))/45))+24*SIN(2*PI()*(Inputs!$C$6)/9+((Inputs!$I$9+(((A137)+1)/2)*(Inputs!$J$9-Inputs!$I$9)))/18)*EXP(-(((Inputs!$C$6)+5)^2)/(22^2))+18*SIN(2*PI()*((Inputs!$I$9+(((A137)+1)/2)*(Inputs!$J$9-Inputs!$I$9)))/70))+Inputs!$C$28*EXP(-((((Inputs!$I$9+(((A137)+1)/2)*(Inputs!$J$9-Inputs!$I$9)))-Inputs!$C$29)^2)/(2*Inputs!$C$31^2))*EXP(-(((Inputs!$C$6)-Inputs!$C$30)^2)/(2*Inputs!$C$32^2))+-Inputs!$C$33*EXP(-((((((Inputs!$I$9+(((A137)+1)/2)*(Inputs!$J$9-Inputs!$I$9)))-Inputs!$C$34)^2)+(((Inputs!$C$6)-Inputs!$C$35)^2))/(2*Inputs!$C$36^2)))+Inputs!$C$37*(0.55*SIN(2*PI()*((Inputs!$I$9+(((A137)+1)/2)*(Inputs!$J$9-Inputs!$I$9)))/Inputs!$C$39)+0.35*COS(2*PI()*(Inputs!$C$6)/Inputs!$C$40)+0.2*SIN(2*PI()*(((Inputs!$I$9+(((A137)+1)/2)*(Inputs!$J$9-Inputs!$I$9)))+(Inputs!$C$6))/(0.5*(Inputs!$C$39+Inputs!$C$40))))+Inputs!$C$38*SIN(2*PI()*((Inputs!$I$9+(((A137)+1)/2)*(Inputs!$J$9-Inputs!$I$9)))/Inputs!$C$39)*SIN(2*PI()*(Inputs!$C$6)/Inputs!$C$40)+-Inputs!$C$41*EXP(-(((Inputs!$C$6)-Inputs!$C$43)^2)/(2*Inputs!$C$44^2))*EXP(-((((Inputs!$I$9+(((A137)+1)/2)*(Inputs!$J$9-Inputs!$I$9)))-Inputs!$C$42)^2)/(2*Inputs!$C$45^2))+Inputs!$C$48*(0.7*(0.45*SIN(2*PI()*((((Inputs!$I$9+(((A137)+1)/2)*(Inputs!$J$9-Inputs!$I$9)))/Inputs!$C$49)+Inputs!$C$47*0.137))+0.35*COS(2*PI()*(((Inputs!$C$6)/Inputs!$C$50)+Inputs!$C$47*0.173))+0.2*SIN(2*PI()*((((Inputs!$I$9+(((A137)+1)/2)*(Inputs!$J$9-Inputs!$I$9)))+(Inputs!$C$6))/(0.5*(Inputs!$C$49+Inputs!$C$50))+Inputs!$C$47*0.097)))+0.3*(2*((SIN((((Inputs!$I$9+(((A137)+1)/2)*(Inputs!$J$9-Inputs!$I$9)))*12.9898+(Inputs!$C$6)*78.233+Inputs!$C$47*37.719))*43758.5453)-INT((SIN((((Inputs!$I$9+(((A137)+1)/2)*(Inputs!$J$9-Inputs!$I$9)))*12.9898+(Inputs!$C$6)*78.233+Inputs!$C$47*37.719))*43758.5453)))-1))),NA())</f>
        <v/>
      </c>
      <c r="AW137" s="10" t="n"/>
      <c r="AX137" s="9">
        <f>A137</f>
        <v/>
      </c>
      <c r="AY137" s="9">
        <f>0</f>
        <v/>
      </c>
      <c r="AZ137" s="9">
        <f>IF(OR(Inputs!$F$6=TRUE,Inputs!$F$6="TRUE",Inputs!$F$6=1),(Inputs!$H$6+Inputs!$L$6*(((Inputs!$I$6+(((A137)+1)/2)*(Inputs!$J$6-Inputs!$I$6)))/Inputs!$K$6)^2),NA())</f>
        <v/>
      </c>
      <c r="BA137" s="9">
        <f>IF(OR(Inputs!$F$7=TRUE,Inputs!$F$7="TRUE",Inputs!$F$7=1),(Inputs!$H$7+Inputs!$L$7*(((Inputs!$I$7+(((A137)+1)/2)*(Inputs!$J$7-Inputs!$I$7)))/Inputs!$K$7)^2),NA())</f>
        <v/>
      </c>
      <c r="BB137" s="9">
        <f>IF(OR(Inputs!$F$8=TRUE,Inputs!$F$8="TRUE",Inputs!$F$8=1),(Inputs!$H$8+Inputs!$L$8*(((Inputs!$I$8+(((A137)+1)/2)*(Inputs!$J$8-Inputs!$I$8)))/Inputs!$K$8)^2),NA())</f>
        <v/>
      </c>
      <c r="BC137" s="9">
        <f>IF(OR(Inputs!$F$9=TRUE,Inputs!$F$9="TRUE",Inputs!$F$9=1),(Inputs!$H$9+Inputs!$L$9*(((Inputs!$I$9+(((A137)+1)/2)*(Inputs!$J$9-Inputs!$I$9)))/Inputs!$K$9)^2),NA())</f>
        <v/>
      </c>
      <c r="BD137" s="10" t="n"/>
      <c r="BE137" s="9">
        <f>A137</f>
        <v/>
      </c>
      <c r="BF137" s="9">
        <f>0</f>
        <v/>
      </c>
      <c r="BG137" s="9">
        <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f>
        <v/>
      </c>
      <c r="BH137" s="9">
        <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f>
        <v/>
      </c>
      <c r="BI137" s="9">
        <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f>
        <v/>
      </c>
      <c r="BJ137" s="9">
        <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f>
        <v/>
      </c>
    </row>
    <row r="138">
      <c r="A138" s="9">
        <f>ROUND(-1+136*2/240,3)</f>
        <v/>
      </c>
      <c r="B138" s="9">
        <f>IF(OR(Inputs!$F$6=TRUE,Inputs!$F$6="TRUE",Inputs!$F$6=1),(Inputs!$H$6+Inputs!$L$6*(((Inputs!$I$6+(((A138)+1)/2)*(Inputs!$J$6-Inputs!$I$6)))/Inputs!$K$6)^2),NA())</f>
        <v/>
      </c>
      <c r="C138" s="9">
        <f>IF(OR(Inputs!$F$7=TRUE,Inputs!$F$7="TRUE",Inputs!$F$7=1),(Inputs!$H$7+Inputs!$L$7*(((Inputs!$I$7+(((A138)+1)/2)*(Inputs!$J$7-Inputs!$I$7)))/Inputs!$K$7)^2),NA())</f>
        <v/>
      </c>
      <c r="D138" s="9">
        <f>IF(OR(Inputs!$F$8=TRUE,Inputs!$F$8="TRUE",Inputs!$F$8=1),(Inputs!$H$8+Inputs!$L$8*(((Inputs!$I$8+(((A138)+1)/2)*(Inputs!$J$8-Inputs!$I$8)))/Inputs!$K$8)^2),NA())</f>
        <v/>
      </c>
      <c r="E138" s="9">
        <f>IF(OR(Inputs!$F$9=TRUE,Inputs!$F$9="TRUE",Inputs!$F$9=1),(Inputs!$H$9+Inputs!$L$9*(((Inputs!$I$9+(((A138)+1)/2)*(Inputs!$J$9-Inputs!$I$9)))/Inputs!$K$9)^2),NA())</f>
        <v/>
      </c>
      <c r="F138" s="10" t="n"/>
      <c r="G138" s="9">
        <f>A138</f>
        <v/>
      </c>
      <c r="H138" s="9">
        <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f>
        <v/>
      </c>
      <c r="I138" s="9">
        <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f>
        <v/>
      </c>
      <c r="J138" s="9">
        <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f>
        <v/>
      </c>
      <c r="K138" s="9">
        <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f>
        <v/>
      </c>
      <c r="L138" s="10" t="n"/>
      <c r="M138" s="9">
        <f>A138</f>
        <v/>
      </c>
      <c r="N138" s="9">
        <f>IF(OR(Inputs!$F$6=TRUE,Inputs!$F$6="TRUE",Inputs!$F$6=1),(-2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NA())</f>
        <v/>
      </c>
      <c r="O138" s="9">
        <f>IF(OR(Inputs!$F$7=TRUE,Inputs!$F$7="TRUE",Inputs!$F$7=1),(-2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NA())</f>
        <v/>
      </c>
      <c r="P138" s="9">
        <f>IF(OR(Inputs!$F$8=TRUE,Inputs!$F$8="TRUE",Inputs!$F$8=1),(-2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NA())</f>
        <v/>
      </c>
      <c r="Q138" s="9">
        <f>IF(OR(Inputs!$F$9=TRUE,Inputs!$F$9="TRUE",Inputs!$F$9=1),(-2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NA())</f>
        <v/>
      </c>
      <c r="R138" s="10" t="n"/>
      <c r="S138" s="9">
        <f>A138</f>
        <v/>
      </c>
      <c r="T138" s="9">
        <f>(Inputs!$I$6+(((A138)+1)/2)*(Inputs!$J$6-Inputs!$I$6))</f>
        <v/>
      </c>
      <c r="U138" s="9">
        <f>(Inputs!$I$7+(((A138)+1)/2)*(Inputs!$J$7-Inputs!$I$7))</f>
        <v/>
      </c>
      <c r="V138" s="9">
        <f>(Inputs!$I$8+(((A138)+1)/2)*(Inputs!$J$8-Inputs!$I$8))</f>
        <v/>
      </c>
      <c r="W138" s="9">
        <f>(Inputs!$I$9+(((A138)+1)/2)*(Inputs!$J$9-Inputs!$I$9))</f>
        <v/>
      </c>
      <c r="X138" s="10" t="n"/>
      <c r="Y138" s="9">
        <f>A138</f>
        <v/>
      </c>
      <c r="Z138" s="9">
        <f>(Inputs!$H$6+Inputs!$L$6*(((Inputs!$I$6+(((A138)+1)/2)*(Inputs!$J$6-Inputs!$I$6)))/Inputs!$K$6)^2)</f>
        <v/>
      </c>
      <c r="AA138" s="9">
        <f>(Inputs!$H$7+Inputs!$L$7*(((Inputs!$I$7+(((A138)+1)/2)*(Inputs!$J$7-Inputs!$I$7)))/Inputs!$K$7)^2)</f>
        <v/>
      </c>
      <c r="AB138" s="9">
        <f>(Inputs!$H$8+Inputs!$L$8*(((Inputs!$I$8+(((A138)+1)/2)*(Inputs!$J$8-Inputs!$I$8)))/Inputs!$K$8)^2)</f>
        <v/>
      </c>
      <c r="AC138" s="9">
        <f>(Inputs!$H$9+Inputs!$L$9*(((Inputs!$I$9+(((A138)+1)/2)*(Inputs!$J$9-Inputs!$I$9)))/Inputs!$K$9)^2)</f>
        <v/>
      </c>
      <c r="AD138" s="10" t="n"/>
      <c r="AE138" s="9">
        <f>A138</f>
        <v/>
      </c>
      <c r="AF138" s="9">
        <f>(((SQRT((Inputs!$C$52+((Inputs!$H$6+Inputs!$L$6*(((Inputs!$I$6+(((A138)+1)/2)*(Inputs!$J$6-Inputs!$I$6)))/Inputs!$K$6)^2)))^2+Inputs!$C$52^2-2*(Inputs!$C$52+((Inputs!$H$6+Inputs!$L$6*(((Inputs!$I$6+(((A138)+1)/2)*(Inputs!$J$6-Inputs!$I$6)))/Inputs!$K$6)^2)))*Inputs!$C$52*COS(SQRT(((Inputs!$I$6+(((A138)+1)/2)*(Inputs!$J$6-Inputs!$I$6)))^2+Inputs!$C$6^2)/Inputs!$C$52)))-((Inputs!$H$6+Inputs!$L$6*(((Inputs!$I$6+(((A138)+1)/2)*(Inputs!$J$6-Inputs!$I$6)))/Inputs!$K$6)^2)))*1000/Inputs!$C$12)</f>
        <v/>
      </c>
      <c r="AG138" s="9">
        <f>(((SQRT((Inputs!$C$52+((Inputs!$H$7+Inputs!$L$7*(((Inputs!$I$7+(((A138)+1)/2)*(Inputs!$J$7-Inputs!$I$7)))/Inputs!$K$7)^2)))^2+Inputs!$C$52^2-2*(Inputs!$C$52+((Inputs!$H$7+Inputs!$L$7*(((Inputs!$I$7+(((A138)+1)/2)*(Inputs!$J$7-Inputs!$I$7)))/Inputs!$K$7)^2)))*Inputs!$C$52*COS(SQRT(((Inputs!$I$7+(((A138)+1)/2)*(Inputs!$J$7-Inputs!$I$7)))^2+Inputs!$C$6^2)/Inputs!$C$52)))-((Inputs!$H$7+Inputs!$L$7*(((Inputs!$I$7+(((A138)+1)/2)*(Inputs!$J$7-Inputs!$I$7)))/Inputs!$K$7)^2)))*1000/Inputs!$C$12)</f>
        <v/>
      </c>
      <c r="AH138" s="9">
        <f>(((SQRT((Inputs!$C$52+((Inputs!$H$8+Inputs!$L$8*(((Inputs!$I$8+(((A138)+1)/2)*(Inputs!$J$8-Inputs!$I$8)))/Inputs!$K$8)^2)))^2+Inputs!$C$52^2-2*(Inputs!$C$52+((Inputs!$H$8+Inputs!$L$8*(((Inputs!$I$8+(((A138)+1)/2)*(Inputs!$J$8-Inputs!$I$8)))/Inputs!$K$8)^2)))*Inputs!$C$52*COS(SQRT(((Inputs!$I$8+(((A138)+1)/2)*(Inputs!$J$8-Inputs!$I$8)))^2+Inputs!$C$6^2)/Inputs!$C$52)))-((Inputs!$H$8+Inputs!$L$8*(((Inputs!$I$8+(((A138)+1)/2)*(Inputs!$J$8-Inputs!$I$8)))/Inputs!$K$8)^2)))*1000/Inputs!$C$12)</f>
        <v/>
      </c>
      <c r="AI138" s="9">
        <f>(((SQRT((Inputs!$C$52+((Inputs!$H$9+Inputs!$L$9*(((Inputs!$I$9+(((A138)+1)/2)*(Inputs!$J$9-Inputs!$I$9)))/Inputs!$K$9)^2)))^2+Inputs!$C$52^2-2*(Inputs!$C$52+((Inputs!$H$9+Inputs!$L$9*(((Inputs!$I$9+(((A138)+1)/2)*(Inputs!$J$9-Inputs!$I$9)))/Inputs!$K$9)^2)))*Inputs!$C$52*COS(SQRT(((Inputs!$I$9+(((A138)+1)/2)*(Inputs!$J$9-Inputs!$I$9)))^2+Inputs!$C$6^2)/Inputs!$C$52)))-((Inputs!$H$9+Inputs!$L$9*(((Inputs!$I$9+(((A138)+1)/2)*(Inputs!$J$9-Inputs!$I$9)))/Inputs!$K$9)^2)))*1000/Inputs!$C$12)</f>
        <v/>
      </c>
      <c r="AJ138" s="10" t="n"/>
      <c r="AK138" s="9">
        <f>A138</f>
        <v/>
      </c>
      <c r="AL138" s="9">
        <f>(-2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f>
        <v/>
      </c>
      <c r="AM138" s="9">
        <f>(-2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f>
        <v/>
      </c>
      <c r="AN138" s="9">
        <f>(-2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f>
        <v/>
      </c>
      <c r="AO138" s="9">
        <f>(-2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f>
        <v/>
      </c>
      <c r="AP138" s="10" t="n"/>
      <c r="AQ138" s="9">
        <f>A138</f>
        <v/>
      </c>
      <c r="AR138" s="9">
        <f>0</f>
        <v/>
      </c>
      <c r="AS138" s="9">
        <f>IF(OR(Inputs!$F$6=TRUE,Inputs!$F$6="TRUE",Inputs!$F$6=1),IF(OR(Inputs!$C$27=TRUE,Inputs!$C$27="TRUE",Inputs!$C$27=1),1,0)*(Inputs!$C$51*(115*EXP(-(((Inputs!$C$6)-25)^2)/(4.5^2))+70*EXP(-(((Inputs!$C$6)+38)^2)/(7^2))*(0.55+0.45*SIN(2*PI()*((Inputs!$I$6+(((A138)+1)/2)*(Inputs!$J$6-Inputs!$I$6)))/45))+24*SIN(2*PI()*(Inputs!$C$6)/9+((Inputs!$I$6+(((A138)+1)/2)*(Inputs!$J$6-Inputs!$I$6)))/18)*EXP(-(((Inputs!$C$6)+5)^2)/(22^2))+18*SIN(2*PI()*((Inputs!$I$6+(((A138)+1)/2)*(Inputs!$J$6-Inputs!$I$6)))/70))+Inputs!$C$28*EXP(-((((Inputs!$I$6+(((A138)+1)/2)*(Inputs!$J$6-Inputs!$I$6)))-Inputs!$C$29)^2)/(2*Inputs!$C$31^2))*EXP(-(((Inputs!$C$6)-Inputs!$C$30)^2)/(2*Inputs!$C$32^2))+-Inputs!$C$33*EXP(-((((((Inputs!$I$6+(((A138)+1)/2)*(Inputs!$J$6-Inputs!$I$6)))-Inputs!$C$34)^2)+(((Inputs!$C$6)-Inputs!$C$35)^2))/(2*Inputs!$C$36^2)))+Inputs!$C$37*(0.55*SIN(2*PI()*((Inputs!$I$6+(((A138)+1)/2)*(Inputs!$J$6-Inputs!$I$6)))/Inputs!$C$39)+0.35*COS(2*PI()*(Inputs!$C$6)/Inputs!$C$40)+0.2*SIN(2*PI()*(((Inputs!$I$6+(((A138)+1)/2)*(Inputs!$J$6-Inputs!$I$6)))+(Inputs!$C$6))/(0.5*(Inputs!$C$39+Inputs!$C$40))))+Inputs!$C$38*SIN(2*PI()*((Inputs!$I$6+(((A138)+1)/2)*(Inputs!$J$6-Inputs!$I$6)))/Inputs!$C$39)*SIN(2*PI()*(Inputs!$C$6)/Inputs!$C$40)+-Inputs!$C$41*EXP(-(((Inputs!$C$6)-Inputs!$C$43)^2)/(2*Inputs!$C$44^2))*EXP(-((((Inputs!$I$6+(((A138)+1)/2)*(Inputs!$J$6-Inputs!$I$6)))-Inputs!$C$42)^2)/(2*Inputs!$C$45^2))+Inputs!$C$48*(0.7*(0.45*SIN(2*PI()*((((Inputs!$I$6+(((A138)+1)/2)*(Inputs!$J$6-Inputs!$I$6)))/Inputs!$C$49)+Inputs!$C$47*0.137))+0.35*COS(2*PI()*(((Inputs!$C$6)/Inputs!$C$50)+Inputs!$C$47*0.173))+0.2*SIN(2*PI()*((((Inputs!$I$6+(((A138)+1)/2)*(Inputs!$J$6-Inputs!$I$6)))+(Inputs!$C$6))/(0.5*(Inputs!$C$49+Inputs!$C$50))+Inputs!$C$47*0.097)))+0.3*(2*((SIN((((Inputs!$I$6+(((A138)+1)/2)*(Inputs!$J$6-Inputs!$I$6)))*12.9898+(Inputs!$C$6)*78.233+Inputs!$C$47*37.719))*43758.5453)-INT((SIN((((Inputs!$I$6+(((A138)+1)/2)*(Inputs!$J$6-Inputs!$I$6)))*12.9898+(Inputs!$C$6)*78.233+Inputs!$C$47*37.719))*43758.5453)))-1))),NA())</f>
        <v/>
      </c>
      <c r="AT138" s="9">
        <f>IF(OR(Inputs!$F$7=TRUE,Inputs!$F$7="TRUE",Inputs!$F$7=1),IF(OR(Inputs!$C$27=TRUE,Inputs!$C$27="TRUE",Inputs!$C$27=1),1,0)*(Inputs!$C$51*(115*EXP(-(((Inputs!$C$6)-25)^2)/(4.5^2))+70*EXP(-(((Inputs!$C$6)+38)^2)/(7^2))*(0.55+0.45*SIN(2*PI()*((Inputs!$I$7+(((A138)+1)/2)*(Inputs!$J$7-Inputs!$I$7)))/45))+24*SIN(2*PI()*(Inputs!$C$6)/9+((Inputs!$I$7+(((A138)+1)/2)*(Inputs!$J$7-Inputs!$I$7)))/18)*EXP(-(((Inputs!$C$6)+5)^2)/(22^2))+18*SIN(2*PI()*((Inputs!$I$7+(((A138)+1)/2)*(Inputs!$J$7-Inputs!$I$7)))/70))+Inputs!$C$28*EXP(-((((Inputs!$I$7+(((A138)+1)/2)*(Inputs!$J$7-Inputs!$I$7)))-Inputs!$C$29)^2)/(2*Inputs!$C$31^2))*EXP(-(((Inputs!$C$6)-Inputs!$C$30)^2)/(2*Inputs!$C$32^2))+-Inputs!$C$33*EXP(-((((((Inputs!$I$7+(((A138)+1)/2)*(Inputs!$J$7-Inputs!$I$7)))-Inputs!$C$34)^2)+(((Inputs!$C$6)-Inputs!$C$35)^2))/(2*Inputs!$C$36^2)))+Inputs!$C$37*(0.55*SIN(2*PI()*((Inputs!$I$7+(((A138)+1)/2)*(Inputs!$J$7-Inputs!$I$7)))/Inputs!$C$39)+0.35*COS(2*PI()*(Inputs!$C$6)/Inputs!$C$40)+0.2*SIN(2*PI()*(((Inputs!$I$7+(((A138)+1)/2)*(Inputs!$J$7-Inputs!$I$7)))+(Inputs!$C$6))/(0.5*(Inputs!$C$39+Inputs!$C$40))))+Inputs!$C$38*SIN(2*PI()*((Inputs!$I$7+(((A138)+1)/2)*(Inputs!$J$7-Inputs!$I$7)))/Inputs!$C$39)*SIN(2*PI()*(Inputs!$C$6)/Inputs!$C$40)+-Inputs!$C$41*EXP(-(((Inputs!$C$6)-Inputs!$C$43)^2)/(2*Inputs!$C$44^2))*EXP(-((((Inputs!$I$7+(((A138)+1)/2)*(Inputs!$J$7-Inputs!$I$7)))-Inputs!$C$42)^2)/(2*Inputs!$C$45^2))+Inputs!$C$48*(0.7*(0.45*SIN(2*PI()*((((Inputs!$I$7+(((A138)+1)/2)*(Inputs!$J$7-Inputs!$I$7)))/Inputs!$C$49)+Inputs!$C$47*0.137))+0.35*COS(2*PI()*(((Inputs!$C$6)/Inputs!$C$50)+Inputs!$C$47*0.173))+0.2*SIN(2*PI()*((((Inputs!$I$7+(((A138)+1)/2)*(Inputs!$J$7-Inputs!$I$7)))+(Inputs!$C$6))/(0.5*(Inputs!$C$49+Inputs!$C$50))+Inputs!$C$47*0.097)))+0.3*(2*((SIN((((Inputs!$I$7+(((A138)+1)/2)*(Inputs!$J$7-Inputs!$I$7)))*12.9898+(Inputs!$C$6)*78.233+Inputs!$C$47*37.719))*43758.5453)-INT((SIN((((Inputs!$I$7+(((A138)+1)/2)*(Inputs!$J$7-Inputs!$I$7)))*12.9898+(Inputs!$C$6)*78.233+Inputs!$C$47*37.719))*43758.5453)))-1))),NA())</f>
        <v/>
      </c>
      <c r="AU138" s="9">
        <f>IF(OR(Inputs!$F$8=TRUE,Inputs!$F$8="TRUE",Inputs!$F$8=1),IF(OR(Inputs!$C$27=TRUE,Inputs!$C$27="TRUE",Inputs!$C$27=1),1,0)*(Inputs!$C$51*(115*EXP(-(((Inputs!$C$6)-25)^2)/(4.5^2))+70*EXP(-(((Inputs!$C$6)+38)^2)/(7^2))*(0.55+0.45*SIN(2*PI()*((Inputs!$I$8+(((A138)+1)/2)*(Inputs!$J$8-Inputs!$I$8)))/45))+24*SIN(2*PI()*(Inputs!$C$6)/9+((Inputs!$I$8+(((A138)+1)/2)*(Inputs!$J$8-Inputs!$I$8)))/18)*EXP(-(((Inputs!$C$6)+5)^2)/(22^2))+18*SIN(2*PI()*((Inputs!$I$8+(((A138)+1)/2)*(Inputs!$J$8-Inputs!$I$8)))/70))+Inputs!$C$28*EXP(-((((Inputs!$I$8+(((A138)+1)/2)*(Inputs!$J$8-Inputs!$I$8)))-Inputs!$C$29)^2)/(2*Inputs!$C$31^2))*EXP(-(((Inputs!$C$6)-Inputs!$C$30)^2)/(2*Inputs!$C$32^2))+-Inputs!$C$33*EXP(-((((((Inputs!$I$8+(((A138)+1)/2)*(Inputs!$J$8-Inputs!$I$8)))-Inputs!$C$34)^2)+(((Inputs!$C$6)-Inputs!$C$35)^2))/(2*Inputs!$C$36^2)))+Inputs!$C$37*(0.55*SIN(2*PI()*((Inputs!$I$8+(((A138)+1)/2)*(Inputs!$J$8-Inputs!$I$8)))/Inputs!$C$39)+0.35*COS(2*PI()*(Inputs!$C$6)/Inputs!$C$40)+0.2*SIN(2*PI()*(((Inputs!$I$8+(((A138)+1)/2)*(Inputs!$J$8-Inputs!$I$8)))+(Inputs!$C$6))/(0.5*(Inputs!$C$39+Inputs!$C$40))))+Inputs!$C$38*SIN(2*PI()*((Inputs!$I$8+(((A138)+1)/2)*(Inputs!$J$8-Inputs!$I$8)))/Inputs!$C$39)*SIN(2*PI()*(Inputs!$C$6)/Inputs!$C$40)+-Inputs!$C$41*EXP(-(((Inputs!$C$6)-Inputs!$C$43)^2)/(2*Inputs!$C$44^2))*EXP(-((((Inputs!$I$8+(((A138)+1)/2)*(Inputs!$J$8-Inputs!$I$8)))-Inputs!$C$42)^2)/(2*Inputs!$C$45^2))+Inputs!$C$48*(0.7*(0.45*SIN(2*PI()*((((Inputs!$I$8+(((A138)+1)/2)*(Inputs!$J$8-Inputs!$I$8)))/Inputs!$C$49)+Inputs!$C$47*0.137))+0.35*COS(2*PI()*(((Inputs!$C$6)/Inputs!$C$50)+Inputs!$C$47*0.173))+0.2*SIN(2*PI()*((((Inputs!$I$8+(((A138)+1)/2)*(Inputs!$J$8-Inputs!$I$8)))+(Inputs!$C$6))/(0.5*(Inputs!$C$49+Inputs!$C$50))+Inputs!$C$47*0.097)))+0.3*(2*((SIN((((Inputs!$I$8+(((A138)+1)/2)*(Inputs!$J$8-Inputs!$I$8)))*12.9898+(Inputs!$C$6)*78.233+Inputs!$C$47*37.719))*43758.5453)-INT((SIN((((Inputs!$I$8+(((A138)+1)/2)*(Inputs!$J$8-Inputs!$I$8)))*12.9898+(Inputs!$C$6)*78.233+Inputs!$C$47*37.719))*43758.5453)))-1))),NA())</f>
        <v/>
      </c>
      <c r="AV138" s="9">
        <f>IF(OR(Inputs!$F$9=TRUE,Inputs!$F$9="TRUE",Inputs!$F$9=1),IF(OR(Inputs!$C$27=TRUE,Inputs!$C$27="TRUE",Inputs!$C$27=1),1,0)*(Inputs!$C$51*(115*EXP(-(((Inputs!$C$6)-25)^2)/(4.5^2))+70*EXP(-(((Inputs!$C$6)+38)^2)/(7^2))*(0.55+0.45*SIN(2*PI()*((Inputs!$I$9+(((A138)+1)/2)*(Inputs!$J$9-Inputs!$I$9)))/45))+24*SIN(2*PI()*(Inputs!$C$6)/9+((Inputs!$I$9+(((A138)+1)/2)*(Inputs!$J$9-Inputs!$I$9)))/18)*EXP(-(((Inputs!$C$6)+5)^2)/(22^2))+18*SIN(2*PI()*((Inputs!$I$9+(((A138)+1)/2)*(Inputs!$J$9-Inputs!$I$9)))/70))+Inputs!$C$28*EXP(-((((Inputs!$I$9+(((A138)+1)/2)*(Inputs!$J$9-Inputs!$I$9)))-Inputs!$C$29)^2)/(2*Inputs!$C$31^2))*EXP(-(((Inputs!$C$6)-Inputs!$C$30)^2)/(2*Inputs!$C$32^2))+-Inputs!$C$33*EXP(-((((((Inputs!$I$9+(((A138)+1)/2)*(Inputs!$J$9-Inputs!$I$9)))-Inputs!$C$34)^2)+(((Inputs!$C$6)-Inputs!$C$35)^2))/(2*Inputs!$C$36^2)))+Inputs!$C$37*(0.55*SIN(2*PI()*((Inputs!$I$9+(((A138)+1)/2)*(Inputs!$J$9-Inputs!$I$9)))/Inputs!$C$39)+0.35*COS(2*PI()*(Inputs!$C$6)/Inputs!$C$40)+0.2*SIN(2*PI()*(((Inputs!$I$9+(((A138)+1)/2)*(Inputs!$J$9-Inputs!$I$9)))+(Inputs!$C$6))/(0.5*(Inputs!$C$39+Inputs!$C$40))))+Inputs!$C$38*SIN(2*PI()*((Inputs!$I$9+(((A138)+1)/2)*(Inputs!$J$9-Inputs!$I$9)))/Inputs!$C$39)*SIN(2*PI()*(Inputs!$C$6)/Inputs!$C$40)+-Inputs!$C$41*EXP(-(((Inputs!$C$6)-Inputs!$C$43)^2)/(2*Inputs!$C$44^2))*EXP(-((((Inputs!$I$9+(((A138)+1)/2)*(Inputs!$J$9-Inputs!$I$9)))-Inputs!$C$42)^2)/(2*Inputs!$C$45^2))+Inputs!$C$48*(0.7*(0.45*SIN(2*PI()*((((Inputs!$I$9+(((A138)+1)/2)*(Inputs!$J$9-Inputs!$I$9)))/Inputs!$C$49)+Inputs!$C$47*0.137))+0.35*COS(2*PI()*(((Inputs!$C$6)/Inputs!$C$50)+Inputs!$C$47*0.173))+0.2*SIN(2*PI()*((((Inputs!$I$9+(((A138)+1)/2)*(Inputs!$J$9-Inputs!$I$9)))+(Inputs!$C$6))/(0.5*(Inputs!$C$49+Inputs!$C$50))+Inputs!$C$47*0.097)))+0.3*(2*((SIN((((Inputs!$I$9+(((A138)+1)/2)*(Inputs!$J$9-Inputs!$I$9)))*12.9898+(Inputs!$C$6)*78.233+Inputs!$C$47*37.719))*43758.5453)-INT((SIN((((Inputs!$I$9+(((A138)+1)/2)*(Inputs!$J$9-Inputs!$I$9)))*12.9898+(Inputs!$C$6)*78.233+Inputs!$C$47*37.719))*43758.5453)))-1))),NA())</f>
        <v/>
      </c>
      <c r="AW138" s="10" t="n"/>
      <c r="AX138" s="9">
        <f>A138</f>
        <v/>
      </c>
      <c r="AY138" s="9">
        <f>0</f>
        <v/>
      </c>
      <c r="AZ138" s="9">
        <f>IF(OR(Inputs!$F$6=TRUE,Inputs!$F$6="TRUE",Inputs!$F$6=1),(Inputs!$H$6+Inputs!$L$6*(((Inputs!$I$6+(((A138)+1)/2)*(Inputs!$J$6-Inputs!$I$6)))/Inputs!$K$6)^2),NA())</f>
        <v/>
      </c>
      <c r="BA138" s="9">
        <f>IF(OR(Inputs!$F$7=TRUE,Inputs!$F$7="TRUE",Inputs!$F$7=1),(Inputs!$H$7+Inputs!$L$7*(((Inputs!$I$7+(((A138)+1)/2)*(Inputs!$J$7-Inputs!$I$7)))/Inputs!$K$7)^2),NA())</f>
        <v/>
      </c>
      <c r="BB138" s="9">
        <f>IF(OR(Inputs!$F$8=TRUE,Inputs!$F$8="TRUE",Inputs!$F$8=1),(Inputs!$H$8+Inputs!$L$8*(((Inputs!$I$8+(((A138)+1)/2)*(Inputs!$J$8-Inputs!$I$8)))/Inputs!$K$8)^2),NA())</f>
        <v/>
      </c>
      <c r="BC138" s="9">
        <f>IF(OR(Inputs!$F$9=TRUE,Inputs!$F$9="TRUE",Inputs!$F$9=1),(Inputs!$H$9+Inputs!$L$9*(((Inputs!$I$9+(((A138)+1)/2)*(Inputs!$J$9-Inputs!$I$9)))/Inputs!$K$9)^2),NA())</f>
        <v/>
      </c>
      <c r="BD138" s="10" t="n"/>
      <c r="BE138" s="9">
        <f>A138</f>
        <v/>
      </c>
      <c r="BF138" s="9">
        <f>0</f>
        <v/>
      </c>
      <c r="BG138" s="9">
        <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f>
        <v/>
      </c>
      <c r="BH138" s="9">
        <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f>
        <v/>
      </c>
      <c r="BI138" s="9">
        <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f>
        <v/>
      </c>
      <c r="BJ138" s="9">
        <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f>
        <v/>
      </c>
    </row>
    <row r="139">
      <c r="A139" s="9">
        <f>ROUND(-1+137*2/240,3)</f>
        <v/>
      </c>
      <c r="B139" s="9">
        <f>IF(OR(Inputs!$F$6=TRUE,Inputs!$F$6="TRUE",Inputs!$F$6=1),(Inputs!$H$6+Inputs!$L$6*(((Inputs!$I$6+(((A139)+1)/2)*(Inputs!$J$6-Inputs!$I$6)))/Inputs!$K$6)^2),NA())</f>
        <v/>
      </c>
      <c r="C139" s="9">
        <f>IF(OR(Inputs!$F$7=TRUE,Inputs!$F$7="TRUE",Inputs!$F$7=1),(Inputs!$H$7+Inputs!$L$7*(((Inputs!$I$7+(((A139)+1)/2)*(Inputs!$J$7-Inputs!$I$7)))/Inputs!$K$7)^2),NA())</f>
        <v/>
      </c>
      <c r="D139" s="9">
        <f>IF(OR(Inputs!$F$8=TRUE,Inputs!$F$8="TRUE",Inputs!$F$8=1),(Inputs!$H$8+Inputs!$L$8*(((Inputs!$I$8+(((A139)+1)/2)*(Inputs!$J$8-Inputs!$I$8)))/Inputs!$K$8)^2),NA())</f>
        <v/>
      </c>
      <c r="E139" s="9">
        <f>IF(OR(Inputs!$F$9=TRUE,Inputs!$F$9="TRUE",Inputs!$F$9=1),(Inputs!$H$9+Inputs!$L$9*(((Inputs!$I$9+(((A139)+1)/2)*(Inputs!$J$9-Inputs!$I$9)))/Inputs!$K$9)^2),NA())</f>
        <v/>
      </c>
      <c r="F139" s="10" t="n"/>
      <c r="G139" s="9">
        <f>A139</f>
        <v/>
      </c>
      <c r="H139" s="9">
        <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f>
        <v/>
      </c>
      <c r="I139" s="9">
        <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f>
        <v/>
      </c>
      <c r="J139" s="9">
        <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f>
        <v/>
      </c>
      <c r="K139" s="9">
        <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f>
        <v/>
      </c>
      <c r="L139" s="10" t="n"/>
      <c r="M139" s="9">
        <f>A139</f>
        <v/>
      </c>
      <c r="N139" s="9">
        <f>IF(OR(Inputs!$F$6=TRUE,Inputs!$F$6="TRUE",Inputs!$F$6=1),(-2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NA())</f>
        <v/>
      </c>
      <c r="O139" s="9">
        <f>IF(OR(Inputs!$F$7=TRUE,Inputs!$F$7="TRUE",Inputs!$F$7=1),(-2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NA())</f>
        <v/>
      </c>
      <c r="P139" s="9">
        <f>IF(OR(Inputs!$F$8=TRUE,Inputs!$F$8="TRUE",Inputs!$F$8=1),(-2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NA())</f>
        <v/>
      </c>
      <c r="Q139" s="9">
        <f>IF(OR(Inputs!$F$9=TRUE,Inputs!$F$9="TRUE",Inputs!$F$9=1),(-2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NA())</f>
        <v/>
      </c>
      <c r="R139" s="10" t="n"/>
      <c r="S139" s="9">
        <f>A139</f>
        <v/>
      </c>
      <c r="T139" s="9">
        <f>(Inputs!$I$6+(((A139)+1)/2)*(Inputs!$J$6-Inputs!$I$6))</f>
        <v/>
      </c>
      <c r="U139" s="9">
        <f>(Inputs!$I$7+(((A139)+1)/2)*(Inputs!$J$7-Inputs!$I$7))</f>
        <v/>
      </c>
      <c r="V139" s="9">
        <f>(Inputs!$I$8+(((A139)+1)/2)*(Inputs!$J$8-Inputs!$I$8))</f>
        <v/>
      </c>
      <c r="W139" s="9">
        <f>(Inputs!$I$9+(((A139)+1)/2)*(Inputs!$J$9-Inputs!$I$9))</f>
        <v/>
      </c>
      <c r="X139" s="10" t="n"/>
      <c r="Y139" s="9">
        <f>A139</f>
        <v/>
      </c>
      <c r="Z139" s="9">
        <f>(Inputs!$H$6+Inputs!$L$6*(((Inputs!$I$6+(((A139)+1)/2)*(Inputs!$J$6-Inputs!$I$6)))/Inputs!$K$6)^2)</f>
        <v/>
      </c>
      <c r="AA139" s="9">
        <f>(Inputs!$H$7+Inputs!$L$7*(((Inputs!$I$7+(((A139)+1)/2)*(Inputs!$J$7-Inputs!$I$7)))/Inputs!$K$7)^2)</f>
        <v/>
      </c>
      <c r="AB139" s="9">
        <f>(Inputs!$H$8+Inputs!$L$8*(((Inputs!$I$8+(((A139)+1)/2)*(Inputs!$J$8-Inputs!$I$8)))/Inputs!$K$8)^2)</f>
        <v/>
      </c>
      <c r="AC139" s="9">
        <f>(Inputs!$H$9+Inputs!$L$9*(((Inputs!$I$9+(((A139)+1)/2)*(Inputs!$J$9-Inputs!$I$9)))/Inputs!$K$9)^2)</f>
        <v/>
      </c>
      <c r="AD139" s="10" t="n"/>
      <c r="AE139" s="9">
        <f>A139</f>
        <v/>
      </c>
      <c r="AF139" s="9">
        <f>(((SQRT((Inputs!$C$52+((Inputs!$H$6+Inputs!$L$6*(((Inputs!$I$6+(((A139)+1)/2)*(Inputs!$J$6-Inputs!$I$6)))/Inputs!$K$6)^2)))^2+Inputs!$C$52^2-2*(Inputs!$C$52+((Inputs!$H$6+Inputs!$L$6*(((Inputs!$I$6+(((A139)+1)/2)*(Inputs!$J$6-Inputs!$I$6)))/Inputs!$K$6)^2)))*Inputs!$C$52*COS(SQRT(((Inputs!$I$6+(((A139)+1)/2)*(Inputs!$J$6-Inputs!$I$6)))^2+Inputs!$C$6^2)/Inputs!$C$52)))-((Inputs!$H$6+Inputs!$L$6*(((Inputs!$I$6+(((A139)+1)/2)*(Inputs!$J$6-Inputs!$I$6)))/Inputs!$K$6)^2)))*1000/Inputs!$C$12)</f>
        <v/>
      </c>
      <c r="AG139" s="9">
        <f>(((SQRT((Inputs!$C$52+((Inputs!$H$7+Inputs!$L$7*(((Inputs!$I$7+(((A139)+1)/2)*(Inputs!$J$7-Inputs!$I$7)))/Inputs!$K$7)^2)))^2+Inputs!$C$52^2-2*(Inputs!$C$52+((Inputs!$H$7+Inputs!$L$7*(((Inputs!$I$7+(((A139)+1)/2)*(Inputs!$J$7-Inputs!$I$7)))/Inputs!$K$7)^2)))*Inputs!$C$52*COS(SQRT(((Inputs!$I$7+(((A139)+1)/2)*(Inputs!$J$7-Inputs!$I$7)))^2+Inputs!$C$6^2)/Inputs!$C$52)))-((Inputs!$H$7+Inputs!$L$7*(((Inputs!$I$7+(((A139)+1)/2)*(Inputs!$J$7-Inputs!$I$7)))/Inputs!$K$7)^2)))*1000/Inputs!$C$12)</f>
        <v/>
      </c>
      <c r="AH139" s="9">
        <f>(((SQRT((Inputs!$C$52+((Inputs!$H$8+Inputs!$L$8*(((Inputs!$I$8+(((A139)+1)/2)*(Inputs!$J$8-Inputs!$I$8)))/Inputs!$K$8)^2)))^2+Inputs!$C$52^2-2*(Inputs!$C$52+((Inputs!$H$8+Inputs!$L$8*(((Inputs!$I$8+(((A139)+1)/2)*(Inputs!$J$8-Inputs!$I$8)))/Inputs!$K$8)^2)))*Inputs!$C$52*COS(SQRT(((Inputs!$I$8+(((A139)+1)/2)*(Inputs!$J$8-Inputs!$I$8)))^2+Inputs!$C$6^2)/Inputs!$C$52)))-((Inputs!$H$8+Inputs!$L$8*(((Inputs!$I$8+(((A139)+1)/2)*(Inputs!$J$8-Inputs!$I$8)))/Inputs!$K$8)^2)))*1000/Inputs!$C$12)</f>
        <v/>
      </c>
      <c r="AI139" s="9">
        <f>(((SQRT((Inputs!$C$52+((Inputs!$H$9+Inputs!$L$9*(((Inputs!$I$9+(((A139)+1)/2)*(Inputs!$J$9-Inputs!$I$9)))/Inputs!$K$9)^2)))^2+Inputs!$C$52^2-2*(Inputs!$C$52+((Inputs!$H$9+Inputs!$L$9*(((Inputs!$I$9+(((A139)+1)/2)*(Inputs!$J$9-Inputs!$I$9)))/Inputs!$K$9)^2)))*Inputs!$C$52*COS(SQRT(((Inputs!$I$9+(((A139)+1)/2)*(Inputs!$J$9-Inputs!$I$9)))^2+Inputs!$C$6^2)/Inputs!$C$52)))-((Inputs!$H$9+Inputs!$L$9*(((Inputs!$I$9+(((A139)+1)/2)*(Inputs!$J$9-Inputs!$I$9)))/Inputs!$K$9)^2)))*1000/Inputs!$C$12)</f>
        <v/>
      </c>
      <c r="AJ139" s="10" t="n"/>
      <c r="AK139" s="9">
        <f>A139</f>
        <v/>
      </c>
      <c r="AL139" s="9">
        <f>(-2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f>
        <v/>
      </c>
      <c r="AM139" s="9">
        <f>(-2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f>
        <v/>
      </c>
      <c r="AN139" s="9">
        <f>(-2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f>
        <v/>
      </c>
      <c r="AO139" s="9">
        <f>(-2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f>
        <v/>
      </c>
      <c r="AP139" s="10" t="n"/>
      <c r="AQ139" s="9">
        <f>A139</f>
        <v/>
      </c>
      <c r="AR139" s="9">
        <f>0</f>
        <v/>
      </c>
      <c r="AS139" s="9">
        <f>IF(OR(Inputs!$F$6=TRUE,Inputs!$F$6="TRUE",Inputs!$F$6=1),IF(OR(Inputs!$C$27=TRUE,Inputs!$C$27="TRUE",Inputs!$C$27=1),1,0)*(Inputs!$C$51*(115*EXP(-(((Inputs!$C$6)-25)^2)/(4.5^2))+70*EXP(-(((Inputs!$C$6)+38)^2)/(7^2))*(0.55+0.45*SIN(2*PI()*((Inputs!$I$6+(((A139)+1)/2)*(Inputs!$J$6-Inputs!$I$6)))/45))+24*SIN(2*PI()*(Inputs!$C$6)/9+((Inputs!$I$6+(((A139)+1)/2)*(Inputs!$J$6-Inputs!$I$6)))/18)*EXP(-(((Inputs!$C$6)+5)^2)/(22^2))+18*SIN(2*PI()*((Inputs!$I$6+(((A139)+1)/2)*(Inputs!$J$6-Inputs!$I$6)))/70))+Inputs!$C$28*EXP(-((((Inputs!$I$6+(((A139)+1)/2)*(Inputs!$J$6-Inputs!$I$6)))-Inputs!$C$29)^2)/(2*Inputs!$C$31^2))*EXP(-(((Inputs!$C$6)-Inputs!$C$30)^2)/(2*Inputs!$C$32^2))+-Inputs!$C$33*EXP(-((((((Inputs!$I$6+(((A139)+1)/2)*(Inputs!$J$6-Inputs!$I$6)))-Inputs!$C$34)^2)+(((Inputs!$C$6)-Inputs!$C$35)^2))/(2*Inputs!$C$36^2)))+Inputs!$C$37*(0.55*SIN(2*PI()*((Inputs!$I$6+(((A139)+1)/2)*(Inputs!$J$6-Inputs!$I$6)))/Inputs!$C$39)+0.35*COS(2*PI()*(Inputs!$C$6)/Inputs!$C$40)+0.2*SIN(2*PI()*(((Inputs!$I$6+(((A139)+1)/2)*(Inputs!$J$6-Inputs!$I$6)))+(Inputs!$C$6))/(0.5*(Inputs!$C$39+Inputs!$C$40))))+Inputs!$C$38*SIN(2*PI()*((Inputs!$I$6+(((A139)+1)/2)*(Inputs!$J$6-Inputs!$I$6)))/Inputs!$C$39)*SIN(2*PI()*(Inputs!$C$6)/Inputs!$C$40)+-Inputs!$C$41*EXP(-(((Inputs!$C$6)-Inputs!$C$43)^2)/(2*Inputs!$C$44^2))*EXP(-((((Inputs!$I$6+(((A139)+1)/2)*(Inputs!$J$6-Inputs!$I$6)))-Inputs!$C$42)^2)/(2*Inputs!$C$45^2))+Inputs!$C$48*(0.7*(0.45*SIN(2*PI()*((((Inputs!$I$6+(((A139)+1)/2)*(Inputs!$J$6-Inputs!$I$6)))/Inputs!$C$49)+Inputs!$C$47*0.137))+0.35*COS(2*PI()*(((Inputs!$C$6)/Inputs!$C$50)+Inputs!$C$47*0.173))+0.2*SIN(2*PI()*((((Inputs!$I$6+(((A139)+1)/2)*(Inputs!$J$6-Inputs!$I$6)))+(Inputs!$C$6))/(0.5*(Inputs!$C$49+Inputs!$C$50))+Inputs!$C$47*0.097)))+0.3*(2*((SIN((((Inputs!$I$6+(((A139)+1)/2)*(Inputs!$J$6-Inputs!$I$6)))*12.9898+(Inputs!$C$6)*78.233+Inputs!$C$47*37.719))*43758.5453)-INT((SIN((((Inputs!$I$6+(((A139)+1)/2)*(Inputs!$J$6-Inputs!$I$6)))*12.9898+(Inputs!$C$6)*78.233+Inputs!$C$47*37.719))*43758.5453)))-1))),NA())</f>
        <v/>
      </c>
      <c r="AT139" s="9">
        <f>IF(OR(Inputs!$F$7=TRUE,Inputs!$F$7="TRUE",Inputs!$F$7=1),IF(OR(Inputs!$C$27=TRUE,Inputs!$C$27="TRUE",Inputs!$C$27=1),1,0)*(Inputs!$C$51*(115*EXP(-(((Inputs!$C$6)-25)^2)/(4.5^2))+70*EXP(-(((Inputs!$C$6)+38)^2)/(7^2))*(0.55+0.45*SIN(2*PI()*((Inputs!$I$7+(((A139)+1)/2)*(Inputs!$J$7-Inputs!$I$7)))/45))+24*SIN(2*PI()*(Inputs!$C$6)/9+((Inputs!$I$7+(((A139)+1)/2)*(Inputs!$J$7-Inputs!$I$7)))/18)*EXP(-(((Inputs!$C$6)+5)^2)/(22^2))+18*SIN(2*PI()*((Inputs!$I$7+(((A139)+1)/2)*(Inputs!$J$7-Inputs!$I$7)))/70))+Inputs!$C$28*EXP(-((((Inputs!$I$7+(((A139)+1)/2)*(Inputs!$J$7-Inputs!$I$7)))-Inputs!$C$29)^2)/(2*Inputs!$C$31^2))*EXP(-(((Inputs!$C$6)-Inputs!$C$30)^2)/(2*Inputs!$C$32^2))+-Inputs!$C$33*EXP(-((((((Inputs!$I$7+(((A139)+1)/2)*(Inputs!$J$7-Inputs!$I$7)))-Inputs!$C$34)^2)+(((Inputs!$C$6)-Inputs!$C$35)^2))/(2*Inputs!$C$36^2)))+Inputs!$C$37*(0.55*SIN(2*PI()*((Inputs!$I$7+(((A139)+1)/2)*(Inputs!$J$7-Inputs!$I$7)))/Inputs!$C$39)+0.35*COS(2*PI()*(Inputs!$C$6)/Inputs!$C$40)+0.2*SIN(2*PI()*(((Inputs!$I$7+(((A139)+1)/2)*(Inputs!$J$7-Inputs!$I$7)))+(Inputs!$C$6))/(0.5*(Inputs!$C$39+Inputs!$C$40))))+Inputs!$C$38*SIN(2*PI()*((Inputs!$I$7+(((A139)+1)/2)*(Inputs!$J$7-Inputs!$I$7)))/Inputs!$C$39)*SIN(2*PI()*(Inputs!$C$6)/Inputs!$C$40)+-Inputs!$C$41*EXP(-(((Inputs!$C$6)-Inputs!$C$43)^2)/(2*Inputs!$C$44^2))*EXP(-((((Inputs!$I$7+(((A139)+1)/2)*(Inputs!$J$7-Inputs!$I$7)))-Inputs!$C$42)^2)/(2*Inputs!$C$45^2))+Inputs!$C$48*(0.7*(0.45*SIN(2*PI()*((((Inputs!$I$7+(((A139)+1)/2)*(Inputs!$J$7-Inputs!$I$7)))/Inputs!$C$49)+Inputs!$C$47*0.137))+0.35*COS(2*PI()*(((Inputs!$C$6)/Inputs!$C$50)+Inputs!$C$47*0.173))+0.2*SIN(2*PI()*((((Inputs!$I$7+(((A139)+1)/2)*(Inputs!$J$7-Inputs!$I$7)))+(Inputs!$C$6))/(0.5*(Inputs!$C$49+Inputs!$C$50))+Inputs!$C$47*0.097)))+0.3*(2*((SIN((((Inputs!$I$7+(((A139)+1)/2)*(Inputs!$J$7-Inputs!$I$7)))*12.9898+(Inputs!$C$6)*78.233+Inputs!$C$47*37.719))*43758.5453)-INT((SIN((((Inputs!$I$7+(((A139)+1)/2)*(Inputs!$J$7-Inputs!$I$7)))*12.9898+(Inputs!$C$6)*78.233+Inputs!$C$47*37.719))*43758.5453)))-1))),NA())</f>
        <v/>
      </c>
      <c r="AU139" s="9">
        <f>IF(OR(Inputs!$F$8=TRUE,Inputs!$F$8="TRUE",Inputs!$F$8=1),IF(OR(Inputs!$C$27=TRUE,Inputs!$C$27="TRUE",Inputs!$C$27=1),1,0)*(Inputs!$C$51*(115*EXP(-(((Inputs!$C$6)-25)^2)/(4.5^2))+70*EXP(-(((Inputs!$C$6)+38)^2)/(7^2))*(0.55+0.45*SIN(2*PI()*((Inputs!$I$8+(((A139)+1)/2)*(Inputs!$J$8-Inputs!$I$8)))/45))+24*SIN(2*PI()*(Inputs!$C$6)/9+((Inputs!$I$8+(((A139)+1)/2)*(Inputs!$J$8-Inputs!$I$8)))/18)*EXP(-(((Inputs!$C$6)+5)^2)/(22^2))+18*SIN(2*PI()*((Inputs!$I$8+(((A139)+1)/2)*(Inputs!$J$8-Inputs!$I$8)))/70))+Inputs!$C$28*EXP(-((((Inputs!$I$8+(((A139)+1)/2)*(Inputs!$J$8-Inputs!$I$8)))-Inputs!$C$29)^2)/(2*Inputs!$C$31^2))*EXP(-(((Inputs!$C$6)-Inputs!$C$30)^2)/(2*Inputs!$C$32^2))+-Inputs!$C$33*EXP(-((((((Inputs!$I$8+(((A139)+1)/2)*(Inputs!$J$8-Inputs!$I$8)))-Inputs!$C$34)^2)+(((Inputs!$C$6)-Inputs!$C$35)^2))/(2*Inputs!$C$36^2)))+Inputs!$C$37*(0.55*SIN(2*PI()*((Inputs!$I$8+(((A139)+1)/2)*(Inputs!$J$8-Inputs!$I$8)))/Inputs!$C$39)+0.35*COS(2*PI()*(Inputs!$C$6)/Inputs!$C$40)+0.2*SIN(2*PI()*(((Inputs!$I$8+(((A139)+1)/2)*(Inputs!$J$8-Inputs!$I$8)))+(Inputs!$C$6))/(0.5*(Inputs!$C$39+Inputs!$C$40))))+Inputs!$C$38*SIN(2*PI()*((Inputs!$I$8+(((A139)+1)/2)*(Inputs!$J$8-Inputs!$I$8)))/Inputs!$C$39)*SIN(2*PI()*(Inputs!$C$6)/Inputs!$C$40)+-Inputs!$C$41*EXP(-(((Inputs!$C$6)-Inputs!$C$43)^2)/(2*Inputs!$C$44^2))*EXP(-((((Inputs!$I$8+(((A139)+1)/2)*(Inputs!$J$8-Inputs!$I$8)))-Inputs!$C$42)^2)/(2*Inputs!$C$45^2))+Inputs!$C$48*(0.7*(0.45*SIN(2*PI()*((((Inputs!$I$8+(((A139)+1)/2)*(Inputs!$J$8-Inputs!$I$8)))/Inputs!$C$49)+Inputs!$C$47*0.137))+0.35*COS(2*PI()*(((Inputs!$C$6)/Inputs!$C$50)+Inputs!$C$47*0.173))+0.2*SIN(2*PI()*((((Inputs!$I$8+(((A139)+1)/2)*(Inputs!$J$8-Inputs!$I$8)))+(Inputs!$C$6))/(0.5*(Inputs!$C$49+Inputs!$C$50))+Inputs!$C$47*0.097)))+0.3*(2*((SIN((((Inputs!$I$8+(((A139)+1)/2)*(Inputs!$J$8-Inputs!$I$8)))*12.9898+(Inputs!$C$6)*78.233+Inputs!$C$47*37.719))*43758.5453)-INT((SIN((((Inputs!$I$8+(((A139)+1)/2)*(Inputs!$J$8-Inputs!$I$8)))*12.9898+(Inputs!$C$6)*78.233+Inputs!$C$47*37.719))*43758.5453)))-1))),NA())</f>
        <v/>
      </c>
      <c r="AV139" s="9">
        <f>IF(OR(Inputs!$F$9=TRUE,Inputs!$F$9="TRUE",Inputs!$F$9=1),IF(OR(Inputs!$C$27=TRUE,Inputs!$C$27="TRUE",Inputs!$C$27=1),1,0)*(Inputs!$C$51*(115*EXP(-(((Inputs!$C$6)-25)^2)/(4.5^2))+70*EXP(-(((Inputs!$C$6)+38)^2)/(7^2))*(0.55+0.45*SIN(2*PI()*((Inputs!$I$9+(((A139)+1)/2)*(Inputs!$J$9-Inputs!$I$9)))/45))+24*SIN(2*PI()*(Inputs!$C$6)/9+((Inputs!$I$9+(((A139)+1)/2)*(Inputs!$J$9-Inputs!$I$9)))/18)*EXP(-(((Inputs!$C$6)+5)^2)/(22^2))+18*SIN(2*PI()*((Inputs!$I$9+(((A139)+1)/2)*(Inputs!$J$9-Inputs!$I$9)))/70))+Inputs!$C$28*EXP(-((((Inputs!$I$9+(((A139)+1)/2)*(Inputs!$J$9-Inputs!$I$9)))-Inputs!$C$29)^2)/(2*Inputs!$C$31^2))*EXP(-(((Inputs!$C$6)-Inputs!$C$30)^2)/(2*Inputs!$C$32^2))+-Inputs!$C$33*EXP(-((((((Inputs!$I$9+(((A139)+1)/2)*(Inputs!$J$9-Inputs!$I$9)))-Inputs!$C$34)^2)+(((Inputs!$C$6)-Inputs!$C$35)^2))/(2*Inputs!$C$36^2)))+Inputs!$C$37*(0.55*SIN(2*PI()*((Inputs!$I$9+(((A139)+1)/2)*(Inputs!$J$9-Inputs!$I$9)))/Inputs!$C$39)+0.35*COS(2*PI()*(Inputs!$C$6)/Inputs!$C$40)+0.2*SIN(2*PI()*(((Inputs!$I$9+(((A139)+1)/2)*(Inputs!$J$9-Inputs!$I$9)))+(Inputs!$C$6))/(0.5*(Inputs!$C$39+Inputs!$C$40))))+Inputs!$C$38*SIN(2*PI()*((Inputs!$I$9+(((A139)+1)/2)*(Inputs!$J$9-Inputs!$I$9)))/Inputs!$C$39)*SIN(2*PI()*(Inputs!$C$6)/Inputs!$C$40)+-Inputs!$C$41*EXP(-(((Inputs!$C$6)-Inputs!$C$43)^2)/(2*Inputs!$C$44^2))*EXP(-((((Inputs!$I$9+(((A139)+1)/2)*(Inputs!$J$9-Inputs!$I$9)))-Inputs!$C$42)^2)/(2*Inputs!$C$45^2))+Inputs!$C$48*(0.7*(0.45*SIN(2*PI()*((((Inputs!$I$9+(((A139)+1)/2)*(Inputs!$J$9-Inputs!$I$9)))/Inputs!$C$49)+Inputs!$C$47*0.137))+0.35*COS(2*PI()*(((Inputs!$C$6)/Inputs!$C$50)+Inputs!$C$47*0.173))+0.2*SIN(2*PI()*((((Inputs!$I$9+(((A139)+1)/2)*(Inputs!$J$9-Inputs!$I$9)))+(Inputs!$C$6))/(0.5*(Inputs!$C$49+Inputs!$C$50))+Inputs!$C$47*0.097)))+0.3*(2*((SIN((((Inputs!$I$9+(((A139)+1)/2)*(Inputs!$J$9-Inputs!$I$9)))*12.9898+(Inputs!$C$6)*78.233+Inputs!$C$47*37.719))*43758.5453)-INT((SIN((((Inputs!$I$9+(((A139)+1)/2)*(Inputs!$J$9-Inputs!$I$9)))*12.9898+(Inputs!$C$6)*78.233+Inputs!$C$47*37.719))*43758.5453)))-1))),NA())</f>
        <v/>
      </c>
      <c r="AW139" s="10" t="n"/>
      <c r="AX139" s="9">
        <f>A139</f>
        <v/>
      </c>
      <c r="AY139" s="9">
        <f>0</f>
        <v/>
      </c>
      <c r="AZ139" s="9">
        <f>IF(OR(Inputs!$F$6=TRUE,Inputs!$F$6="TRUE",Inputs!$F$6=1),(Inputs!$H$6+Inputs!$L$6*(((Inputs!$I$6+(((A139)+1)/2)*(Inputs!$J$6-Inputs!$I$6)))/Inputs!$K$6)^2),NA())</f>
        <v/>
      </c>
      <c r="BA139" s="9">
        <f>IF(OR(Inputs!$F$7=TRUE,Inputs!$F$7="TRUE",Inputs!$F$7=1),(Inputs!$H$7+Inputs!$L$7*(((Inputs!$I$7+(((A139)+1)/2)*(Inputs!$J$7-Inputs!$I$7)))/Inputs!$K$7)^2),NA())</f>
        <v/>
      </c>
      <c r="BB139" s="9">
        <f>IF(OR(Inputs!$F$8=TRUE,Inputs!$F$8="TRUE",Inputs!$F$8=1),(Inputs!$H$8+Inputs!$L$8*(((Inputs!$I$8+(((A139)+1)/2)*(Inputs!$J$8-Inputs!$I$8)))/Inputs!$K$8)^2),NA())</f>
        <v/>
      </c>
      <c r="BC139" s="9">
        <f>IF(OR(Inputs!$F$9=TRUE,Inputs!$F$9="TRUE",Inputs!$F$9=1),(Inputs!$H$9+Inputs!$L$9*(((Inputs!$I$9+(((A139)+1)/2)*(Inputs!$J$9-Inputs!$I$9)))/Inputs!$K$9)^2),NA())</f>
        <v/>
      </c>
      <c r="BD139" s="10" t="n"/>
      <c r="BE139" s="9">
        <f>A139</f>
        <v/>
      </c>
      <c r="BF139" s="9">
        <f>0</f>
        <v/>
      </c>
      <c r="BG139" s="9">
        <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f>
        <v/>
      </c>
      <c r="BH139" s="9">
        <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f>
        <v/>
      </c>
      <c r="BI139" s="9">
        <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f>
        <v/>
      </c>
      <c r="BJ139" s="9">
        <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f>
        <v/>
      </c>
    </row>
    <row r="140">
      <c r="A140" s="9">
        <f>ROUND(-1+138*2/240,3)</f>
        <v/>
      </c>
      <c r="B140" s="9">
        <f>IF(OR(Inputs!$F$6=TRUE,Inputs!$F$6="TRUE",Inputs!$F$6=1),(Inputs!$H$6+Inputs!$L$6*(((Inputs!$I$6+(((A140)+1)/2)*(Inputs!$J$6-Inputs!$I$6)))/Inputs!$K$6)^2),NA())</f>
        <v/>
      </c>
      <c r="C140" s="9">
        <f>IF(OR(Inputs!$F$7=TRUE,Inputs!$F$7="TRUE",Inputs!$F$7=1),(Inputs!$H$7+Inputs!$L$7*(((Inputs!$I$7+(((A140)+1)/2)*(Inputs!$J$7-Inputs!$I$7)))/Inputs!$K$7)^2),NA())</f>
        <v/>
      </c>
      <c r="D140" s="9">
        <f>IF(OR(Inputs!$F$8=TRUE,Inputs!$F$8="TRUE",Inputs!$F$8=1),(Inputs!$H$8+Inputs!$L$8*(((Inputs!$I$8+(((A140)+1)/2)*(Inputs!$J$8-Inputs!$I$8)))/Inputs!$K$8)^2),NA())</f>
        <v/>
      </c>
      <c r="E140" s="9">
        <f>IF(OR(Inputs!$F$9=TRUE,Inputs!$F$9="TRUE",Inputs!$F$9=1),(Inputs!$H$9+Inputs!$L$9*(((Inputs!$I$9+(((A140)+1)/2)*(Inputs!$J$9-Inputs!$I$9)))/Inputs!$K$9)^2),NA())</f>
        <v/>
      </c>
      <c r="F140" s="10" t="n"/>
      <c r="G140" s="9">
        <f>A140</f>
        <v/>
      </c>
      <c r="H140" s="9">
        <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f>
        <v/>
      </c>
      <c r="I140" s="9">
        <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f>
        <v/>
      </c>
      <c r="J140" s="9">
        <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f>
        <v/>
      </c>
      <c r="K140" s="9">
        <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f>
        <v/>
      </c>
      <c r="L140" s="10" t="n"/>
      <c r="M140" s="9">
        <f>A140</f>
        <v/>
      </c>
      <c r="N140" s="9">
        <f>IF(OR(Inputs!$F$6=TRUE,Inputs!$F$6="TRUE",Inputs!$F$6=1),(-2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NA())</f>
        <v/>
      </c>
      <c r="O140" s="9">
        <f>IF(OR(Inputs!$F$7=TRUE,Inputs!$F$7="TRUE",Inputs!$F$7=1),(-2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NA())</f>
        <v/>
      </c>
      <c r="P140" s="9">
        <f>IF(OR(Inputs!$F$8=TRUE,Inputs!$F$8="TRUE",Inputs!$F$8=1),(-2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NA())</f>
        <v/>
      </c>
      <c r="Q140" s="9">
        <f>IF(OR(Inputs!$F$9=TRUE,Inputs!$F$9="TRUE",Inputs!$F$9=1),(-2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NA())</f>
        <v/>
      </c>
      <c r="R140" s="10" t="n"/>
      <c r="S140" s="9">
        <f>A140</f>
        <v/>
      </c>
      <c r="T140" s="9">
        <f>(Inputs!$I$6+(((A140)+1)/2)*(Inputs!$J$6-Inputs!$I$6))</f>
        <v/>
      </c>
      <c r="U140" s="9">
        <f>(Inputs!$I$7+(((A140)+1)/2)*(Inputs!$J$7-Inputs!$I$7))</f>
        <v/>
      </c>
      <c r="V140" s="9">
        <f>(Inputs!$I$8+(((A140)+1)/2)*(Inputs!$J$8-Inputs!$I$8))</f>
        <v/>
      </c>
      <c r="W140" s="9">
        <f>(Inputs!$I$9+(((A140)+1)/2)*(Inputs!$J$9-Inputs!$I$9))</f>
        <v/>
      </c>
      <c r="X140" s="10" t="n"/>
      <c r="Y140" s="9">
        <f>A140</f>
        <v/>
      </c>
      <c r="Z140" s="9">
        <f>(Inputs!$H$6+Inputs!$L$6*(((Inputs!$I$6+(((A140)+1)/2)*(Inputs!$J$6-Inputs!$I$6)))/Inputs!$K$6)^2)</f>
        <v/>
      </c>
      <c r="AA140" s="9">
        <f>(Inputs!$H$7+Inputs!$L$7*(((Inputs!$I$7+(((A140)+1)/2)*(Inputs!$J$7-Inputs!$I$7)))/Inputs!$K$7)^2)</f>
        <v/>
      </c>
      <c r="AB140" s="9">
        <f>(Inputs!$H$8+Inputs!$L$8*(((Inputs!$I$8+(((A140)+1)/2)*(Inputs!$J$8-Inputs!$I$8)))/Inputs!$K$8)^2)</f>
        <v/>
      </c>
      <c r="AC140" s="9">
        <f>(Inputs!$H$9+Inputs!$L$9*(((Inputs!$I$9+(((A140)+1)/2)*(Inputs!$J$9-Inputs!$I$9)))/Inputs!$K$9)^2)</f>
        <v/>
      </c>
      <c r="AD140" s="10" t="n"/>
      <c r="AE140" s="9">
        <f>A140</f>
        <v/>
      </c>
      <c r="AF140" s="9">
        <f>(((SQRT((Inputs!$C$52+((Inputs!$H$6+Inputs!$L$6*(((Inputs!$I$6+(((A140)+1)/2)*(Inputs!$J$6-Inputs!$I$6)))/Inputs!$K$6)^2)))^2+Inputs!$C$52^2-2*(Inputs!$C$52+((Inputs!$H$6+Inputs!$L$6*(((Inputs!$I$6+(((A140)+1)/2)*(Inputs!$J$6-Inputs!$I$6)))/Inputs!$K$6)^2)))*Inputs!$C$52*COS(SQRT(((Inputs!$I$6+(((A140)+1)/2)*(Inputs!$J$6-Inputs!$I$6)))^2+Inputs!$C$6^2)/Inputs!$C$52)))-((Inputs!$H$6+Inputs!$L$6*(((Inputs!$I$6+(((A140)+1)/2)*(Inputs!$J$6-Inputs!$I$6)))/Inputs!$K$6)^2)))*1000/Inputs!$C$12)</f>
        <v/>
      </c>
      <c r="AG140" s="9">
        <f>(((SQRT((Inputs!$C$52+((Inputs!$H$7+Inputs!$L$7*(((Inputs!$I$7+(((A140)+1)/2)*(Inputs!$J$7-Inputs!$I$7)))/Inputs!$K$7)^2)))^2+Inputs!$C$52^2-2*(Inputs!$C$52+((Inputs!$H$7+Inputs!$L$7*(((Inputs!$I$7+(((A140)+1)/2)*(Inputs!$J$7-Inputs!$I$7)))/Inputs!$K$7)^2)))*Inputs!$C$52*COS(SQRT(((Inputs!$I$7+(((A140)+1)/2)*(Inputs!$J$7-Inputs!$I$7)))^2+Inputs!$C$6^2)/Inputs!$C$52)))-((Inputs!$H$7+Inputs!$L$7*(((Inputs!$I$7+(((A140)+1)/2)*(Inputs!$J$7-Inputs!$I$7)))/Inputs!$K$7)^2)))*1000/Inputs!$C$12)</f>
        <v/>
      </c>
      <c r="AH140" s="9">
        <f>(((SQRT((Inputs!$C$52+((Inputs!$H$8+Inputs!$L$8*(((Inputs!$I$8+(((A140)+1)/2)*(Inputs!$J$8-Inputs!$I$8)))/Inputs!$K$8)^2)))^2+Inputs!$C$52^2-2*(Inputs!$C$52+((Inputs!$H$8+Inputs!$L$8*(((Inputs!$I$8+(((A140)+1)/2)*(Inputs!$J$8-Inputs!$I$8)))/Inputs!$K$8)^2)))*Inputs!$C$52*COS(SQRT(((Inputs!$I$8+(((A140)+1)/2)*(Inputs!$J$8-Inputs!$I$8)))^2+Inputs!$C$6^2)/Inputs!$C$52)))-((Inputs!$H$8+Inputs!$L$8*(((Inputs!$I$8+(((A140)+1)/2)*(Inputs!$J$8-Inputs!$I$8)))/Inputs!$K$8)^2)))*1000/Inputs!$C$12)</f>
        <v/>
      </c>
      <c r="AI140" s="9">
        <f>(((SQRT((Inputs!$C$52+((Inputs!$H$9+Inputs!$L$9*(((Inputs!$I$9+(((A140)+1)/2)*(Inputs!$J$9-Inputs!$I$9)))/Inputs!$K$9)^2)))^2+Inputs!$C$52^2-2*(Inputs!$C$52+((Inputs!$H$9+Inputs!$L$9*(((Inputs!$I$9+(((A140)+1)/2)*(Inputs!$J$9-Inputs!$I$9)))/Inputs!$K$9)^2)))*Inputs!$C$52*COS(SQRT(((Inputs!$I$9+(((A140)+1)/2)*(Inputs!$J$9-Inputs!$I$9)))^2+Inputs!$C$6^2)/Inputs!$C$52)))-((Inputs!$H$9+Inputs!$L$9*(((Inputs!$I$9+(((A140)+1)/2)*(Inputs!$J$9-Inputs!$I$9)))/Inputs!$K$9)^2)))*1000/Inputs!$C$12)</f>
        <v/>
      </c>
      <c r="AJ140" s="10" t="n"/>
      <c r="AK140" s="9">
        <f>A140</f>
        <v/>
      </c>
      <c r="AL140" s="9">
        <f>(-2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f>
        <v/>
      </c>
      <c r="AM140" s="9">
        <f>(-2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f>
        <v/>
      </c>
      <c r="AN140" s="9">
        <f>(-2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f>
        <v/>
      </c>
      <c r="AO140" s="9">
        <f>(-2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f>
        <v/>
      </c>
      <c r="AP140" s="10" t="n"/>
      <c r="AQ140" s="9">
        <f>A140</f>
        <v/>
      </c>
      <c r="AR140" s="9">
        <f>0</f>
        <v/>
      </c>
      <c r="AS140" s="9">
        <f>IF(OR(Inputs!$F$6=TRUE,Inputs!$F$6="TRUE",Inputs!$F$6=1),IF(OR(Inputs!$C$27=TRUE,Inputs!$C$27="TRUE",Inputs!$C$27=1),1,0)*(Inputs!$C$51*(115*EXP(-(((Inputs!$C$6)-25)^2)/(4.5^2))+70*EXP(-(((Inputs!$C$6)+38)^2)/(7^2))*(0.55+0.45*SIN(2*PI()*((Inputs!$I$6+(((A140)+1)/2)*(Inputs!$J$6-Inputs!$I$6)))/45))+24*SIN(2*PI()*(Inputs!$C$6)/9+((Inputs!$I$6+(((A140)+1)/2)*(Inputs!$J$6-Inputs!$I$6)))/18)*EXP(-(((Inputs!$C$6)+5)^2)/(22^2))+18*SIN(2*PI()*((Inputs!$I$6+(((A140)+1)/2)*(Inputs!$J$6-Inputs!$I$6)))/70))+Inputs!$C$28*EXP(-((((Inputs!$I$6+(((A140)+1)/2)*(Inputs!$J$6-Inputs!$I$6)))-Inputs!$C$29)^2)/(2*Inputs!$C$31^2))*EXP(-(((Inputs!$C$6)-Inputs!$C$30)^2)/(2*Inputs!$C$32^2))+-Inputs!$C$33*EXP(-((((((Inputs!$I$6+(((A140)+1)/2)*(Inputs!$J$6-Inputs!$I$6)))-Inputs!$C$34)^2)+(((Inputs!$C$6)-Inputs!$C$35)^2))/(2*Inputs!$C$36^2)))+Inputs!$C$37*(0.55*SIN(2*PI()*((Inputs!$I$6+(((A140)+1)/2)*(Inputs!$J$6-Inputs!$I$6)))/Inputs!$C$39)+0.35*COS(2*PI()*(Inputs!$C$6)/Inputs!$C$40)+0.2*SIN(2*PI()*(((Inputs!$I$6+(((A140)+1)/2)*(Inputs!$J$6-Inputs!$I$6)))+(Inputs!$C$6))/(0.5*(Inputs!$C$39+Inputs!$C$40))))+Inputs!$C$38*SIN(2*PI()*((Inputs!$I$6+(((A140)+1)/2)*(Inputs!$J$6-Inputs!$I$6)))/Inputs!$C$39)*SIN(2*PI()*(Inputs!$C$6)/Inputs!$C$40)+-Inputs!$C$41*EXP(-(((Inputs!$C$6)-Inputs!$C$43)^2)/(2*Inputs!$C$44^2))*EXP(-((((Inputs!$I$6+(((A140)+1)/2)*(Inputs!$J$6-Inputs!$I$6)))-Inputs!$C$42)^2)/(2*Inputs!$C$45^2))+Inputs!$C$48*(0.7*(0.45*SIN(2*PI()*((((Inputs!$I$6+(((A140)+1)/2)*(Inputs!$J$6-Inputs!$I$6)))/Inputs!$C$49)+Inputs!$C$47*0.137))+0.35*COS(2*PI()*(((Inputs!$C$6)/Inputs!$C$50)+Inputs!$C$47*0.173))+0.2*SIN(2*PI()*((((Inputs!$I$6+(((A140)+1)/2)*(Inputs!$J$6-Inputs!$I$6)))+(Inputs!$C$6))/(0.5*(Inputs!$C$49+Inputs!$C$50))+Inputs!$C$47*0.097)))+0.3*(2*((SIN((((Inputs!$I$6+(((A140)+1)/2)*(Inputs!$J$6-Inputs!$I$6)))*12.9898+(Inputs!$C$6)*78.233+Inputs!$C$47*37.719))*43758.5453)-INT((SIN((((Inputs!$I$6+(((A140)+1)/2)*(Inputs!$J$6-Inputs!$I$6)))*12.9898+(Inputs!$C$6)*78.233+Inputs!$C$47*37.719))*43758.5453)))-1))),NA())</f>
        <v/>
      </c>
      <c r="AT140" s="9">
        <f>IF(OR(Inputs!$F$7=TRUE,Inputs!$F$7="TRUE",Inputs!$F$7=1),IF(OR(Inputs!$C$27=TRUE,Inputs!$C$27="TRUE",Inputs!$C$27=1),1,0)*(Inputs!$C$51*(115*EXP(-(((Inputs!$C$6)-25)^2)/(4.5^2))+70*EXP(-(((Inputs!$C$6)+38)^2)/(7^2))*(0.55+0.45*SIN(2*PI()*((Inputs!$I$7+(((A140)+1)/2)*(Inputs!$J$7-Inputs!$I$7)))/45))+24*SIN(2*PI()*(Inputs!$C$6)/9+((Inputs!$I$7+(((A140)+1)/2)*(Inputs!$J$7-Inputs!$I$7)))/18)*EXP(-(((Inputs!$C$6)+5)^2)/(22^2))+18*SIN(2*PI()*((Inputs!$I$7+(((A140)+1)/2)*(Inputs!$J$7-Inputs!$I$7)))/70))+Inputs!$C$28*EXP(-((((Inputs!$I$7+(((A140)+1)/2)*(Inputs!$J$7-Inputs!$I$7)))-Inputs!$C$29)^2)/(2*Inputs!$C$31^2))*EXP(-(((Inputs!$C$6)-Inputs!$C$30)^2)/(2*Inputs!$C$32^2))+-Inputs!$C$33*EXP(-((((((Inputs!$I$7+(((A140)+1)/2)*(Inputs!$J$7-Inputs!$I$7)))-Inputs!$C$34)^2)+(((Inputs!$C$6)-Inputs!$C$35)^2))/(2*Inputs!$C$36^2)))+Inputs!$C$37*(0.55*SIN(2*PI()*((Inputs!$I$7+(((A140)+1)/2)*(Inputs!$J$7-Inputs!$I$7)))/Inputs!$C$39)+0.35*COS(2*PI()*(Inputs!$C$6)/Inputs!$C$40)+0.2*SIN(2*PI()*(((Inputs!$I$7+(((A140)+1)/2)*(Inputs!$J$7-Inputs!$I$7)))+(Inputs!$C$6))/(0.5*(Inputs!$C$39+Inputs!$C$40))))+Inputs!$C$38*SIN(2*PI()*((Inputs!$I$7+(((A140)+1)/2)*(Inputs!$J$7-Inputs!$I$7)))/Inputs!$C$39)*SIN(2*PI()*(Inputs!$C$6)/Inputs!$C$40)+-Inputs!$C$41*EXP(-(((Inputs!$C$6)-Inputs!$C$43)^2)/(2*Inputs!$C$44^2))*EXP(-((((Inputs!$I$7+(((A140)+1)/2)*(Inputs!$J$7-Inputs!$I$7)))-Inputs!$C$42)^2)/(2*Inputs!$C$45^2))+Inputs!$C$48*(0.7*(0.45*SIN(2*PI()*((((Inputs!$I$7+(((A140)+1)/2)*(Inputs!$J$7-Inputs!$I$7)))/Inputs!$C$49)+Inputs!$C$47*0.137))+0.35*COS(2*PI()*(((Inputs!$C$6)/Inputs!$C$50)+Inputs!$C$47*0.173))+0.2*SIN(2*PI()*((((Inputs!$I$7+(((A140)+1)/2)*(Inputs!$J$7-Inputs!$I$7)))+(Inputs!$C$6))/(0.5*(Inputs!$C$49+Inputs!$C$50))+Inputs!$C$47*0.097)))+0.3*(2*((SIN((((Inputs!$I$7+(((A140)+1)/2)*(Inputs!$J$7-Inputs!$I$7)))*12.9898+(Inputs!$C$6)*78.233+Inputs!$C$47*37.719))*43758.5453)-INT((SIN((((Inputs!$I$7+(((A140)+1)/2)*(Inputs!$J$7-Inputs!$I$7)))*12.9898+(Inputs!$C$6)*78.233+Inputs!$C$47*37.719))*43758.5453)))-1))),NA())</f>
        <v/>
      </c>
      <c r="AU140" s="9">
        <f>IF(OR(Inputs!$F$8=TRUE,Inputs!$F$8="TRUE",Inputs!$F$8=1),IF(OR(Inputs!$C$27=TRUE,Inputs!$C$27="TRUE",Inputs!$C$27=1),1,0)*(Inputs!$C$51*(115*EXP(-(((Inputs!$C$6)-25)^2)/(4.5^2))+70*EXP(-(((Inputs!$C$6)+38)^2)/(7^2))*(0.55+0.45*SIN(2*PI()*((Inputs!$I$8+(((A140)+1)/2)*(Inputs!$J$8-Inputs!$I$8)))/45))+24*SIN(2*PI()*(Inputs!$C$6)/9+((Inputs!$I$8+(((A140)+1)/2)*(Inputs!$J$8-Inputs!$I$8)))/18)*EXP(-(((Inputs!$C$6)+5)^2)/(22^2))+18*SIN(2*PI()*((Inputs!$I$8+(((A140)+1)/2)*(Inputs!$J$8-Inputs!$I$8)))/70))+Inputs!$C$28*EXP(-((((Inputs!$I$8+(((A140)+1)/2)*(Inputs!$J$8-Inputs!$I$8)))-Inputs!$C$29)^2)/(2*Inputs!$C$31^2))*EXP(-(((Inputs!$C$6)-Inputs!$C$30)^2)/(2*Inputs!$C$32^2))+-Inputs!$C$33*EXP(-((((((Inputs!$I$8+(((A140)+1)/2)*(Inputs!$J$8-Inputs!$I$8)))-Inputs!$C$34)^2)+(((Inputs!$C$6)-Inputs!$C$35)^2))/(2*Inputs!$C$36^2)))+Inputs!$C$37*(0.55*SIN(2*PI()*((Inputs!$I$8+(((A140)+1)/2)*(Inputs!$J$8-Inputs!$I$8)))/Inputs!$C$39)+0.35*COS(2*PI()*(Inputs!$C$6)/Inputs!$C$40)+0.2*SIN(2*PI()*(((Inputs!$I$8+(((A140)+1)/2)*(Inputs!$J$8-Inputs!$I$8)))+(Inputs!$C$6))/(0.5*(Inputs!$C$39+Inputs!$C$40))))+Inputs!$C$38*SIN(2*PI()*((Inputs!$I$8+(((A140)+1)/2)*(Inputs!$J$8-Inputs!$I$8)))/Inputs!$C$39)*SIN(2*PI()*(Inputs!$C$6)/Inputs!$C$40)+-Inputs!$C$41*EXP(-(((Inputs!$C$6)-Inputs!$C$43)^2)/(2*Inputs!$C$44^2))*EXP(-((((Inputs!$I$8+(((A140)+1)/2)*(Inputs!$J$8-Inputs!$I$8)))-Inputs!$C$42)^2)/(2*Inputs!$C$45^2))+Inputs!$C$48*(0.7*(0.45*SIN(2*PI()*((((Inputs!$I$8+(((A140)+1)/2)*(Inputs!$J$8-Inputs!$I$8)))/Inputs!$C$49)+Inputs!$C$47*0.137))+0.35*COS(2*PI()*(((Inputs!$C$6)/Inputs!$C$50)+Inputs!$C$47*0.173))+0.2*SIN(2*PI()*((((Inputs!$I$8+(((A140)+1)/2)*(Inputs!$J$8-Inputs!$I$8)))+(Inputs!$C$6))/(0.5*(Inputs!$C$49+Inputs!$C$50))+Inputs!$C$47*0.097)))+0.3*(2*((SIN((((Inputs!$I$8+(((A140)+1)/2)*(Inputs!$J$8-Inputs!$I$8)))*12.9898+(Inputs!$C$6)*78.233+Inputs!$C$47*37.719))*43758.5453)-INT((SIN((((Inputs!$I$8+(((A140)+1)/2)*(Inputs!$J$8-Inputs!$I$8)))*12.9898+(Inputs!$C$6)*78.233+Inputs!$C$47*37.719))*43758.5453)))-1))),NA())</f>
        <v/>
      </c>
      <c r="AV140" s="9">
        <f>IF(OR(Inputs!$F$9=TRUE,Inputs!$F$9="TRUE",Inputs!$F$9=1),IF(OR(Inputs!$C$27=TRUE,Inputs!$C$27="TRUE",Inputs!$C$27=1),1,0)*(Inputs!$C$51*(115*EXP(-(((Inputs!$C$6)-25)^2)/(4.5^2))+70*EXP(-(((Inputs!$C$6)+38)^2)/(7^2))*(0.55+0.45*SIN(2*PI()*((Inputs!$I$9+(((A140)+1)/2)*(Inputs!$J$9-Inputs!$I$9)))/45))+24*SIN(2*PI()*(Inputs!$C$6)/9+((Inputs!$I$9+(((A140)+1)/2)*(Inputs!$J$9-Inputs!$I$9)))/18)*EXP(-(((Inputs!$C$6)+5)^2)/(22^2))+18*SIN(2*PI()*((Inputs!$I$9+(((A140)+1)/2)*(Inputs!$J$9-Inputs!$I$9)))/70))+Inputs!$C$28*EXP(-((((Inputs!$I$9+(((A140)+1)/2)*(Inputs!$J$9-Inputs!$I$9)))-Inputs!$C$29)^2)/(2*Inputs!$C$31^2))*EXP(-(((Inputs!$C$6)-Inputs!$C$30)^2)/(2*Inputs!$C$32^2))+-Inputs!$C$33*EXP(-((((((Inputs!$I$9+(((A140)+1)/2)*(Inputs!$J$9-Inputs!$I$9)))-Inputs!$C$34)^2)+(((Inputs!$C$6)-Inputs!$C$35)^2))/(2*Inputs!$C$36^2)))+Inputs!$C$37*(0.55*SIN(2*PI()*((Inputs!$I$9+(((A140)+1)/2)*(Inputs!$J$9-Inputs!$I$9)))/Inputs!$C$39)+0.35*COS(2*PI()*(Inputs!$C$6)/Inputs!$C$40)+0.2*SIN(2*PI()*(((Inputs!$I$9+(((A140)+1)/2)*(Inputs!$J$9-Inputs!$I$9)))+(Inputs!$C$6))/(0.5*(Inputs!$C$39+Inputs!$C$40))))+Inputs!$C$38*SIN(2*PI()*((Inputs!$I$9+(((A140)+1)/2)*(Inputs!$J$9-Inputs!$I$9)))/Inputs!$C$39)*SIN(2*PI()*(Inputs!$C$6)/Inputs!$C$40)+-Inputs!$C$41*EXP(-(((Inputs!$C$6)-Inputs!$C$43)^2)/(2*Inputs!$C$44^2))*EXP(-((((Inputs!$I$9+(((A140)+1)/2)*(Inputs!$J$9-Inputs!$I$9)))-Inputs!$C$42)^2)/(2*Inputs!$C$45^2))+Inputs!$C$48*(0.7*(0.45*SIN(2*PI()*((((Inputs!$I$9+(((A140)+1)/2)*(Inputs!$J$9-Inputs!$I$9)))/Inputs!$C$49)+Inputs!$C$47*0.137))+0.35*COS(2*PI()*(((Inputs!$C$6)/Inputs!$C$50)+Inputs!$C$47*0.173))+0.2*SIN(2*PI()*((((Inputs!$I$9+(((A140)+1)/2)*(Inputs!$J$9-Inputs!$I$9)))+(Inputs!$C$6))/(0.5*(Inputs!$C$49+Inputs!$C$50))+Inputs!$C$47*0.097)))+0.3*(2*((SIN((((Inputs!$I$9+(((A140)+1)/2)*(Inputs!$J$9-Inputs!$I$9)))*12.9898+(Inputs!$C$6)*78.233+Inputs!$C$47*37.719))*43758.5453)-INT((SIN((((Inputs!$I$9+(((A140)+1)/2)*(Inputs!$J$9-Inputs!$I$9)))*12.9898+(Inputs!$C$6)*78.233+Inputs!$C$47*37.719))*43758.5453)))-1))),NA())</f>
        <v/>
      </c>
      <c r="AW140" s="10" t="n"/>
      <c r="AX140" s="9">
        <f>A140</f>
        <v/>
      </c>
      <c r="AY140" s="9">
        <f>0</f>
        <v/>
      </c>
      <c r="AZ140" s="9">
        <f>IF(OR(Inputs!$F$6=TRUE,Inputs!$F$6="TRUE",Inputs!$F$6=1),(Inputs!$H$6+Inputs!$L$6*(((Inputs!$I$6+(((A140)+1)/2)*(Inputs!$J$6-Inputs!$I$6)))/Inputs!$K$6)^2),NA())</f>
        <v/>
      </c>
      <c r="BA140" s="9">
        <f>IF(OR(Inputs!$F$7=TRUE,Inputs!$F$7="TRUE",Inputs!$F$7=1),(Inputs!$H$7+Inputs!$L$7*(((Inputs!$I$7+(((A140)+1)/2)*(Inputs!$J$7-Inputs!$I$7)))/Inputs!$K$7)^2),NA())</f>
        <v/>
      </c>
      <c r="BB140" s="9">
        <f>IF(OR(Inputs!$F$8=TRUE,Inputs!$F$8="TRUE",Inputs!$F$8=1),(Inputs!$H$8+Inputs!$L$8*(((Inputs!$I$8+(((A140)+1)/2)*(Inputs!$J$8-Inputs!$I$8)))/Inputs!$K$8)^2),NA())</f>
        <v/>
      </c>
      <c r="BC140" s="9">
        <f>IF(OR(Inputs!$F$9=TRUE,Inputs!$F$9="TRUE",Inputs!$F$9=1),(Inputs!$H$9+Inputs!$L$9*(((Inputs!$I$9+(((A140)+1)/2)*(Inputs!$J$9-Inputs!$I$9)))/Inputs!$K$9)^2),NA())</f>
        <v/>
      </c>
      <c r="BD140" s="10" t="n"/>
      <c r="BE140" s="9">
        <f>A140</f>
        <v/>
      </c>
      <c r="BF140" s="9">
        <f>0</f>
        <v/>
      </c>
      <c r="BG140" s="9">
        <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f>
        <v/>
      </c>
      <c r="BH140" s="9">
        <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f>
        <v/>
      </c>
      <c r="BI140" s="9">
        <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f>
        <v/>
      </c>
      <c r="BJ140" s="9">
        <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f>
        <v/>
      </c>
    </row>
    <row r="141">
      <c r="A141" s="9">
        <f>ROUND(-1+139*2/240,3)</f>
        <v/>
      </c>
      <c r="B141" s="9">
        <f>IF(OR(Inputs!$F$6=TRUE,Inputs!$F$6="TRUE",Inputs!$F$6=1),(Inputs!$H$6+Inputs!$L$6*(((Inputs!$I$6+(((A141)+1)/2)*(Inputs!$J$6-Inputs!$I$6)))/Inputs!$K$6)^2),NA())</f>
        <v/>
      </c>
      <c r="C141" s="9">
        <f>IF(OR(Inputs!$F$7=TRUE,Inputs!$F$7="TRUE",Inputs!$F$7=1),(Inputs!$H$7+Inputs!$L$7*(((Inputs!$I$7+(((A141)+1)/2)*(Inputs!$J$7-Inputs!$I$7)))/Inputs!$K$7)^2),NA())</f>
        <v/>
      </c>
      <c r="D141" s="9">
        <f>IF(OR(Inputs!$F$8=TRUE,Inputs!$F$8="TRUE",Inputs!$F$8=1),(Inputs!$H$8+Inputs!$L$8*(((Inputs!$I$8+(((A141)+1)/2)*(Inputs!$J$8-Inputs!$I$8)))/Inputs!$K$8)^2),NA())</f>
        <v/>
      </c>
      <c r="E141" s="9">
        <f>IF(OR(Inputs!$F$9=TRUE,Inputs!$F$9="TRUE",Inputs!$F$9=1),(Inputs!$H$9+Inputs!$L$9*(((Inputs!$I$9+(((A141)+1)/2)*(Inputs!$J$9-Inputs!$I$9)))/Inputs!$K$9)^2),NA())</f>
        <v/>
      </c>
      <c r="F141" s="10" t="n"/>
      <c r="G141" s="9">
        <f>A141</f>
        <v/>
      </c>
      <c r="H141" s="9">
        <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f>
        <v/>
      </c>
      <c r="I141" s="9">
        <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f>
        <v/>
      </c>
      <c r="J141" s="9">
        <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f>
        <v/>
      </c>
      <c r="K141" s="9">
        <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f>
        <v/>
      </c>
      <c r="L141" s="10" t="n"/>
      <c r="M141" s="9">
        <f>A141</f>
        <v/>
      </c>
      <c r="N141" s="9">
        <f>IF(OR(Inputs!$F$6=TRUE,Inputs!$F$6="TRUE",Inputs!$F$6=1),(-2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NA())</f>
        <v/>
      </c>
      <c r="O141" s="9">
        <f>IF(OR(Inputs!$F$7=TRUE,Inputs!$F$7="TRUE",Inputs!$F$7=1),(-2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NA())</f>
        <v/>
      </c>
      <c r="P141" s="9">
        <f>IF(OR(Inputs!$F$8=TRUE,Inputs!$F$8="TRUE",Inputs!$F$8=1),(-2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NA())</f>
        <v/>
      </c>
      <c r="Q141" s="9">
        <f>IF(OR(Inputs!$F$9=TRUE,Inputs!$F$9="TRUE",Inputs!$F$9=1),(-2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NA())</f>
        <v/>
      </c>
      <c r="R141" s="10" t="n"/>
      <c r="S141" s="9">
        <f>A141</f>
        <v/>
      </c>
      <c r="T141" s="9">
        <f>(Inputs!$I$6+(((A141)+1)/2)*(Inputs!$J$6-Inputs!$I$6))</f>
        <v/>
      </c>
      <c r="U141" s="9">
        <f>(Inputs!$I$7+(((A141)+1)/2)*(Inputs!$J$7-Inputs!$I$7))</f>
        <v/>
      </c>
      <c r="V141" s="9">
        <f>(Inputs!$I$8+(((A141)+1)/2)*(Inputs!$J$8-Inputs!$I$8))</f>
        <v/>
      </c>
      <c r="W141" s="9">
        <f>(Inputs!$I$9+(((A141)+1)/2)*(Inputs!$J$9-Inputs!$I$9))</f>
        <v/>
      </c>
      <c r="X141" s="10" t="n"/>
      <c r="Y141" s="9">
        <f>A141</f>
        <v/>
      </c>
      <c r="Z141" s="9">
        <f>(Inputs!$H$6+Inputs!$L$6*(((Inputs!$I$6+(((A141)+1)/2)*(Inputs!$J$6-Inputs!$I$6)))/Inputs!$K$6)^2)</f>
        <v/>
      </c>
      <c r="AA141" s="9">
        <f>(Inputs!$H$7+Inputs!$L$7*(((Inputs!$I$7+(((A141)+1)/2)*(Inputs!$J$7-Inputs!$I$7)))/Inputs!$K$7)^2)</f>
        <v/>
      </c>
      <c r="AB141" s="9">
        <f>(Inputs!$H$8+Inputs!$L$8*(((Inputs!$I$8+(((A141)+1)/2)*(Inputs!$J$8-Inputs!$I$8)))/Inputs!$K$8)^2)</f>
        <v/>
      </c>
      <c r="AC141" s="9">
        <f>(Inputs!$H$9+Inputs!$L$9*(((Inputs!$I$9+(((A141)+1)/2)*(Inputs!$J$9-Inputs!$I$9)))/Inputs!$K$9)^2)</f>
        <v/>
      </c>
      <c r="AD141" s="10" t="n"/>
      <c r="AE141" s="9">
        <f>A141</f>
        <v/>
      </c>
      <c r="AF141" s="9">
        <f>(((SQRT((Inputs!$C$52+((Inputs!$H$6+Inputs!$L$6*(((Inputs!$I$6+(((A141)+1)/2)*(Inputs!$J$6-Inputs!$I$6)))/Inputs!$K$6)^2)))^2+Inputs!$C$52^2-2*(Inputs!$C$52+((Inputs!$H$6+Inputs!$L$6*(((Inputs!$I$6+(((A141)+1)/2)*(Inputs!$J$6-Inputs!$I$6)))/Inputs!$K$6)^2)))*Inputs!$C$52*COS(SQRT(((Inputs!$I$6+(((A141)+1)/2)*(Inputs!$J$6-Inputs!$I$6)))^2+Inputs!$C$6^2)/Inputs!$C$52)))-((Inputs!$H$6+Inputs!$L$6*(((Inputs!$I$6+(((A141)+1)/2)*(Inputs!$J$6-Inputs!$I$6)))/Inputs!$K$6)^2)))*1000/Inputs!$C$12)</f>
        <v/>
      </c>
      <c r="AG141" s="9">
        <f>(((SQRT((Inputs!$C$52+((Inputs!$H$7+Inputs!$L$7*(((Inputs!$I$7+(((A141)+1)/2)*(Inputs!$J$7-Inputs!$I$7)))/Inputs!$K$7)^2)))^2+Inputs!$C$52^2-2*(Inputs!$C$52+((Inputs!$H$7+Inputs!$L$7*(((Inputs!$I$7+(((A141)+1)/2)*(Inputs!$J$7-Inputs!$I$7)))/Inputs!$K$7)^2)))*Inputs!$C$52*COS(SQRT(((Inputs!$I$7+(((A141)+1)/2)*(Inputs!$J$7-Inputs!$I$7)))^2+Inputs!$C$6^2)/Inputs!$C$52)))-((Inputs!$H$7+Inputs!$L$7*(((Inputs!$I$7+(((A141)+1)/2)*(Inputs!$J$7-Inputs!$I$7)))/Inputs!$K$7)^2)))*1000/Inputs!$C$12)</f>
        <v/>
      </c>
      <c r="AH141" s="9">
        <f>(((SQRT((Inputs!$C$52+((Inputs!$H$8+Inputs!$L$8*(((Inputs!$I$8+(((A141)+1)/2)*(Inputs!$J$8-Inputs!$I$8)))/Inputs!$K$8)^2)))^2+Inputs!$C$52^2-2*(Inputs!$C$52+((Inputs!$H$8+Inputs!$L$8*(((Inputs!$I$8+(((A141)+1)/2)*(Inputs!$J$8-Inputs!$I$8)))/Inputs!$K$8)^2)))*Inputs!$C$52*COS(SQRT(((Inputs!$I$8+(((A141)+1)/2)*(Inputs!$J$8-Inputs!$I$8)))^2+Inputs!$C$6^2)/Inputs!$C$52)))-((Inputs!$H$8+Inputs!$L$8*(((Inputs!$I$8+(((A141)+1)/2)*(Inputs!$J$8-Inputs!$I$8)))/Inputs!$K$8)^2)))*1000/Inputs!$C$12)</f>
        <v/>
      </c>
      <c r="AI141" s="9">
        <f>(((SQRT((Inputs!$C$52+((Inputs!$H$9+Inputs!$L$9*(((Inputs!$I$9+(((A141)+1)/2)*(Inputs!$J$9-Inputs!$I$9)))/Inputs!$K$9)^2)))^2+Inputs!$C$52^2-2*(Inputs!$C$52+((Inputs!$H$9+Inputs!$L$9*(((Inputs!$I$9+(((A141)+1)/2)*(Inputs!$J$9-Inputs!$I$9)))/Inputs!$K$9)^2)))*Inputs!$C$52*COS(SQRT(((Inputs!$I$9+(((A141)+1)/2)*(Inputs!$J$9-Inputs!$I$9)))^2+Inputs!$C$6^2)/Inputs!$C$52)))-((Inputs!$H$9+Inputs!$L$9*(((Inputs!$I$9+(((A141)+1)/2)*(Inputs!$J$9-Inputs!$I$9)))/Inputs!$K$9)^2)))*1000/Inputs!$C$12)</f>
        <v/>
      </c>
      <c r="AJ141" s="10" t="n"/>
      <c r="AK141" s="9">
        <f>A141</f>
        <v/>
      </c>
      <c r="AL141" s="9">
        <f>(-2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f>
        <v/>
      </c>
      <c r="AM141" s="9">
        <f>(-2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f>
        <v/>
      </c>
      <c r="AN141" s="9">
        <f>(-2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f>
        <v/>
      </c>
      <c r="AO141" s="9">
        <f>(-2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f>
        <v/>
      </c>
      <c r="AP141" s="10" t="n"/>
      <c r="AQ141" s="9">
        <f>A141</f>
        <v/>
      </c>
      <c r="AR141" s="9">
        <f>0</f>
        <v/>
      </c>
      <c r="AS141" s="9">
        <f>IF(OR(Inputs!$F$6=TRUE,Inputs!$F$6="TRUE",Inputs!$F$6=1),IF(OR(Inputs!$C$27=TRUE,Inputs!$C$27="TRUE",Inputs!$C$27=1),1,0)*(Inputs!$C$51*(115*EXP(-(((Inputs!$C$6)-25)^2)/(4.5^2))+70*EXP(-(((Inputs!$C$6)+38)^2)/(7^2))*(0.55+0.45*SIN(2*PI()*((Inputs!$I$6+(((A141)+1)/2)*(Inputs!$J$6-Inputs!$I$6)))/45))+24*SIN(2*PI()*(Inputs!$C$6)/9+((Inputs!$I$6+(((A141)+1)/2)*(Inputs!$J$6-Inputs!$I$6)))/18)*EXP(-(((Inputs!$C$6)+5)^2)/(22^2))+18*SIN(2*PI()*((Inputs!$I$6+(((A141)+1)/2)*(Inputs!$J$6-Inputs!$I$6)))/70))+Inputs!$C$28*EXP(-((((Inputs!$I$6+(((A141)+1)/2)*(Inputs!$J$6-Inputs!$I$6)))-Inputs!$C$29)^2)/(2*Inputs!$C$31^2))*EXP(-(((Inputs!$C$6)-Inputs!$C$30)^2)/(2*Inputs!$C$32^2))+-Inputs!$C$33*EXP(-((((((Inputs!$I$6+(((A141)+1)/2)*(Inputs!$J$6-Inputs!$I$6)))-Inputs!$C$34)^2)+(((Inputs!$C$6)-Inputs!$C$35)^2))/(2*Inputs!$C$36^2)))+Inputs!$C$37*(0.55*SIN(2*PI()*((Inputs!$I$6+(((A141)+1)/2)*(Inputs!$J$6-Inputs!$I$6)))/Inputs!$C$39)+0.35*COS(2*PI()*(Inputs!$C$6)/Inputs!$C$40)+0.2*SIN(2*PI()*(((Inputs!$I$6+(((A141)+1)/2)*(Inputs!$J$6-Inputs!$I$6)))+(Inputs!$C$6))/(0.5*(Inputs!$C$39+Inputs!$C$40))))+Inputs!$C$38*SIN(2*PI()*((Inputs!$I$6+(((A141)+1)/2)*(Inputs!$J$6-Inputs!$I$6)))/Inputs!$C$39)*SIN(2*PI()*(Inputs!$C$6)/Inputs!$C$40)+-Inputs!$C$41*EXP(-(((Inputs!$C$6)-Inputs!$C$43)^2)/(2*Inputs!$C$44^2))*EXP(-((((Inputs!$I$6+(((A141)+1)/2)*(Inputs!$J$6-Inputs!$I$6)))-Inputs!$C$42)^2)/(2*Inputs!$C$45^2))+Inputs!$C$48*(0.7*(0.45*SIN(2*PI()*((((Inputs!$I$6+(((A141)+1)/2)*(Inputs!$J$6-Inputs!$I$6)))/Inputs!$C$49)+Inputs!$C$47*0.137))+0.35*COS(2*PI()*(((Inputs!$C$6)/Inputs!$C$50)+Inputs!$C$47*0.173))+0.2*SIN(2*PI()*((((Inputs!$I$6+(((A141)+1)/2)*(Inputs!$J$6-Inputs!$I$6)))+(Inputs!$C$6))/(0.5*(Inputs!$C$49+Inputs!$C$50))+Inputs!$C$47*0.097)))+0.3*(2*((SIN((((Inputs!$I$6+(((A141)+1)/2)*(Inputs!$J$6-Inputs!$I$6)))*12.9898+(Inputs!$C$6)*78.233+Inputs!$C$47*37.719))*43758.5453)-INT((SIN((((Inputs!$I$6+(((A141)+1)/2)*(Inputs!$J$6-Inputs!$I$6)))*12.9898+(Inputs!$C$6)*78.233+Inputs!$C$47*37.719))*43758.5453)))-1))),NA())</f>
        <v/>
      </c>
      <c r="AT141" s="9">
        <f>IF(OR(Inputs!$F$7=TRUE,Inputs!$F$7="TRUE",Inputs!$F$7=1),IF(OR(Inputs!$C$27=TRUE,Inputs!$C$27="TRUE",Inputs!$C$27=1),1,0)*(Inputs!$C$51*(115*EXP(-(((Inputs!$C$6)-25)^2)/(4.5^2))+70*EXP(-(((Inputs!$C$6)+38)^2)/(7^2))*(0.55+0.45*SIN(2*PI()*((Inputs!$I$7+(((A141)+1)/2)*(Inputs!$J$7-Inputs!$I$7)))/45))+24*SIN(2*PI()*(Inputs!$C$6)/9+((Inputs!$I$7+(((A141)+1)/2)*(Inputs!$J$7-Inputs!$I$7)))/18)*EXP(-(((Inputs!$C$6)+5)^2)/(22^2))+18*SIN(2*PI()*((Inputs!$I$7+(((A141)+1)/2)*(Inputs!$J$7-Inputs!$I$7)))/70))+Inputs!$C$28*EXP(-((((Inputs!$I$7+(((A141)+1)/2)*(Inputs!$J$7-Inputs!$I$7)))-Inputs!$C$29)^2)/(2*Inputs!$C$31^2))*EXP(-(((Inputs!$C$6)-Inputs!$C$30)^2)/(2*Inputs!$C$32^2))+-Inputs!$C$33*EXP(-((((((Inputs!$I$7+(((A141)+1)/2)*(Inputs!$J$7-Inputs!$I$7)))-Inputs!$C$34)^2)+(((Inputs!$C$6)-Inputs!$C$35)^2))/(2*Inputs!$C$36^2)))+Inputs!$C$37*(0.55*SIN(2*PI()*((Inputs!$I$7+(((A141)+1)/2)*(Inputs!$J$7-Inputs!$I$7)))/Inputs!$C$39)+0.35*COS(2*PI()*(Inputs!$C$6)/Inputs!$C$40)+0.2*SIN(2*PI()*(((Inputs!$I$7+(((A141)+1)/2)*(Inputs!$J$7-Inputs!$I$7)))+(Inputs!$C$6))/(0.5*(Inputs!$C$39+Inputs!$C$40))))+Inputs!$C$38*SIN(2*PI()*((Inputs!$I$7+(((A141)+1)/2)*(Inputs!$J$7-Inputs!$I$7)))/Inputs!$C$39)*SIN(2*PI()*(Inputs!$C$6)/Inputs!$C$40)+-Inputs!$C$41*EXP(-(((Inputs!$C$6)-Inputs!$C$43)^2)/(2*Inputs!$C$44^2))*EXP(-((((Inputs!$I$7+(((A141)+1)/2)*(Inputs!$J$7-Inputs!$I$7)))-Inputs!$C$42)^2)/(2*Inputs!$C$45^2))+Inputs!$C$48*(0.7*(0.45*SIN(2*PI()*((((Inputs!$I$7+(((A141)+1)/2)*(Inputs!$J$7-Inputs!$I$7)))/Inputs!$C$49)+Inputs!$C$47*0.137))+0.35*COS(2*PI()*(((Inputs!$C$6)/Inputs!$C$50)+Inputs!$C$47*0.173))+0.2*SIN(2*PI()*((((Inputs!$I$7+(((A141)+1)/2)*(Inputs!$J$7-Inputs!$I$7)))+(Inputs!$C$6))/(0.5*(Inputs!$C$49+Inputs!$C$50))+Inputs!$C$47*0.097)))+0.3*(2*((SIN((((Inputs!$I$7+(((A141)+1)/2)*(Inputs!$J$7-Inputs!$I$7)))*12.9898+(Inputs!$C$6)*78.233+Inputs!$C$47*37.719))*43758.5453)-INT((SIN((((Inputs!$I$7+(((A141)+1)/2)*(Inputs!$J$7-Inputs!$I$7)))*12.9898+(Inputs!$C$6)*78.233+Inputs!$C$47*37.719))*43758.5453)))-1))),NA())</f>
        <v/>
      </c>
      <c r="AU141" s="9">
        <f>IF(OR(Inputs!$F$8=TRUE,Inputs!$F$8="TRUE",Inputs!$F$8=1),IF(OR(Inputs!$C$27=TRUE,Inputs!$C$27="TRUE",Inputs!$C$27=1),1,0)*(Inputs!$C$51*(115*EXP(-(((Inputs!$C$6)-25)^2)/(4.5^2))+70*EXP(-(((Inputs!$C$6)+38)^2)/(7^2))*(0.55+0.45*SIN(2*PI()*((Inputs!$I$8+(((A141)+1)/2)*(Inputs!$J$8-Inputs!$I$8)))/45))+24*SIN(2*PI()*(Inputs!$C$6)/9+((Inputs!$I$8+(((A141)+1)/2)*(Inputs!$J$8-Inputs!$I$8)))/18)*EXP(-(((Inputs!$C$6)+5)^2)/(22^2))+18*SIN(2*PI()*((Inputs!$I$8+(((A141)+1)/2)*(Inputs!$J$8-Inputs!$I$8)))/70))+Inputs!$C$28*EXP(-((((Inputs!$I$8+(((A141)+1)/2)*(Inputs!$J$8-Inputs!$I$8)))-Inputs!$C$29)^2)/(2*Inputs!$C$31^2))*EXP(-(((Inputs!$C$6)-Inputs!$C$30)^2)/(2*Inputs!$C$32^2))+-Inputs!$C$33*EXP(-((((((Inputs!$I$8+(((A141)+1)/2)*(Inputs!$J$8-Inputs!$I$8)))-Inputs!$C$34)^2)+(((Inputs!$C$6)-Inputs!$C$35)^2))/(2*Inputs!$C$36^2)))+Inputs!$C$37*(0.55*SIN(2*PI()*((Inputs!$I$8+(((A141)+1)/2)*(Inputs!$J$8-Inputs!$I$8)))/Inputs!$C$39)+0.35*COS(2*PI()*(Inputs!$C$6)/Inputs!$C$40)+0.2*SIN(2*PI()*(((Inputs!$I$8+(((A141)+1)/2)*(Inputs!$J$8-Inputs!$I$8)))+(Inputs!$C$6))/(0.5*(Inputs!$C$39+Inputs!$C$40))))+Inputs!$C$38*SIN(2*PI()*((Inputs!$I$8+(((A141)+1)/2)*(Inputs!$J$8-Inputs!$I$8)))/Inputs!$C$39)*SIN(2*PI()*(Inputs!$C$6)/Inputs!$C$40)+-Inputs!$C$41*EXP(-(((Inputs!$C$6)-Inputs!$C$43)^2)/(2*Inputs!$C$44^2))*EXP(-((((Inputs!$I$8+(((A141)+1)/2)*(Inputs!$J$8-Inputs!$I$8)))-Inputs!$C$42)^2)/(2*Inputs!$C$45^2))+Inputs!$C$48*(0.7*(0.45*SIN(2*PI()*((((Inputs!$I$8+(((A141)+1)/2)*(Inputs!$J$8-Inputs!$I$8)))/Inputs!$C$49)+Inputs!$C$47*0.137))+0.35*COS(2*PI()*(((Inputs!$C$6)/Inputs!$C$50)+Inputs!$C$47*0.173))+0.2*SIN(2*PI()*((((Inputs!$I$8+(((A141)+1)/2)*(Inputs!$J$8-Inputs!$I$8)))+(Inputs!$C$6))/(0.5*(Inputs!$C$49+Inputs!$C$50))+Inputs!$C$47*0.097)))+0.3*(2*((SIN((((Inputs!$I$8+(((A141)+1)/2)*(Inputs!$J$8-Inputs!$I$8)))*12.9898+(Inputs!$C$6)*78.233+Inputs!$C$47*37.719))*43758.5453)-INT((SIN((((Inputs!$I$8+(((A141)+1)/2)*(Inputs!$J$8-Inputs!$I$8)))*12.9898+(Inputs!$C$6)*78.233+Inputs!$C$47*37.719))*43758.5453)))-1))),NA())</f>
        <v/>
      </c>
      <c r="AV141" s="9">
        <f>IF(OR(Inputs!$F$9=TRUE,Inputs!$F$9="TRUE",Inputs!$F$9=1),IF(OR(Inputs!$C$27=TRUE,Inputs!$C$27="TRUE",Inputs!$C$27=1),1,0)*(Inputs!$C$51*(115*EXP(-(((Inputs!$C$6)-25)^2)/(4.5^2))+70*EXP(-(((Inputs!$C$6)+38)^2)/(7^2))*(0.55+0.45*SIN(2*PI()*((Inputs!$I$9+(((A141)+1)/2)*(Inputs!$J$9-Inputs!$I$9)))/45))+24*SIN(2*PI()*(Inputs!$C$6)/9+((Inputs!$I$9+(((A141)+1)/2)*(Inputs!$J$9-Inputs!$I$9)))/18)*EXP(-(((Inputs!$C$6)+5)^2)/(22^2))+18*SIN(2*PI()*((Inputs!$I$9+(((A141)+1)/2)*(Inputs!$J$9-Inputs!$I$9)))/70))+Inputs!$C$28*EXP(-((((Inputs!$I$9+(((A141)+1)/2)*(Inputs!$J$9-Inputs!$I$9)))-Inputs!$C$29)^2)/(2*Inputs!$C$31^2))*EXP(-(((Inputs!$C$6)-Inputs!$C$30)^2)/(2*Inputs!$C$32^2))+-Inputs!$C$33*EXP(-((((((Inputs!$I$9+(((A141)+1)/2)*(Inputs!$J$9-Inputs!$I$9)))-Inputs!$C$34)^2)+(((Inputs!$C$6)-Inputs!$C$35)^2))/(2*Inputs!$C$36^2)))+Inputs!$C$37*(0.55*SIN(2*PI()*((Inputs!$I$9+(((A141)+1)/2)*(Inputs!$J$9-Inputs!$I$9)))/Inputs!$C$39)+0.35*COS(2*PI()*(Inputs!$C$6)/Inputs!$C$40)+0.2*SIN(2*PI()*(((Inputs!$I$9+(((A141)+1)/2)*(Inputs!$J$9-Inputs!$I$9)))+(Inputs!$C$6))/(0.5*(Inputs!$C$39+Inputs!$C$40))))+Inputs!$C$38*SIN(2*PI()*((Inputs!$I$9+(((A141)+1)/2)*(Inputs!$J$9-Inputs!$I$9)))/Inputs!$C$39)*SIN(2*PI()*(Inputs!$C$6)/Inputs!$C$40)+-Inputs!$C$41*EXP(-(((Inputs!$C$6)-Inputs!$C$43)^2)/(2*Inputs!$C$44^2))*EXP(-((((Inputs!$I$9+(((A141)+1)/2)*(Inputs!$J$9-Inputs!$I$9)))-Inputs!$C$42)^2)/(2*Inputs!$C$45^2))+Inputs!$C$48*(0.7*(0.45*SIN(2*PI()*((((Inputs!$I$9+(((A141)+1)/2)*(Inputs!$J$9-Inputs!$I$9)))/Inputs!$C$49)+Inputs!$C$47*0.137))+0.35*COS(2*PI()*(((Inputs!$C$6)/Inputs!$C$50)+Inputs!$C$47*0.173))+0.2*SIN(2*PI()*((((Inputs!$I$9+(((A141)+1)/2)*(Inputs!$J$9-Inputs!$I$9)))+(Inputs!$C$6))/(0.5*(Inputs!$C$49+Inputs!$C$50))+Inputs!$C$47*0.097)))+0.3*(2*((SIN((((Inputs!$I$9+(((A141)+1)/2)*(Inputs!$J$9-Inputs!$I$9)))*12.9898+(Inputs!$C$6)*78.233+Inputs!$C$47*37.719))*43758.5453)-INT((SIN((((Inputs!$I$9+(((A141)+1)/2)*(Inputs!$J$9-Inputs!$I$9)))*12.9898+(Inputs!$C$6)*78.233+Inputs!$C$47*37.719))*43758.5453)))-1))),NA())</f>
        <v/>
      </c>
      <c r="AW141" s="10" t="n"/>
      <c r="AX141" s="9">
        <f>A141</f>
        <v/>
      </c>
      <c r="AY141" s="9">
        <f>0</f>
        <v/>
      </c>
      <c r="AZ141" s="9">
        <f>IF(OR(Inputs!$F$6=TRUE,Inputs!$F$6="TRUE",Inputs!$F$6=1),(Inputs!$H$6+Inputs!$L$6*(((Inputs!$I$6+(((A141)+1)/2)*(Inputs!$J$6-Inputs!$I$6)))/Inputs!$K$6)^2),NA())</f>
        <v/>
      </c>
      <c r="BA141" s="9">
        <f>IF(OR(Inputs!$F$7=TRUE,Inputs!$F$7="TRUE",Inputs!$F$7=1),(Inputs!$H$7+Inputs!$L$7*(((Inputs!$I$7+(((A141)+1)/2)*(Inputs!$J$7-Inputs!$I$7)))/Inputs!$K$7)^2),NA())</f>
        <v/>
      </c>
      <c r="BB141" s="9">
        <f>IF(OR(Inputs!$F$8=TRUE,Inputs!$F$8="TRUE",Inputs!$F$8=1),(Inputs!$H$8+Inputs!$L$8*(((Inputs!$I$8+(((A141)+1)/2)*(Inputs!$J$8-Inputs!$I$8)))/Inputs!$K$8)^2),NA())</f>
        <v/>
      </c>
      <c r="BC141" s="9">
        <f>IF(OR(Inputs!$F$9=TRUE,Inputs!$F$9="TRUE",Inputs!$F$9=1),(Inputs!$H$9+Inputs!$L$9*(((Inputs!$I$9+(((A141)+1)/2)*(Inputs!$J$9-Inputs!$I$9)))/Inputs!$K$9)^2),NA())</f>
        <v/>
      </c>
      <c r="BD141" s="10" t="n"/>
      <c r="BE141" s="9">
        <f>A141</f>
        <v/>
      </c>
      <c r="BF141" s="9">
        <f>0</f>
        <v/>
      </c>
      <c r="BG141" s="9">
        <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f>
        <v/>
      </c>
      <c r="BH141" s="9">
        <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f>
        <v/>
      </c>
      <c r="BI141" s="9">
        <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f>
        <v/>
      </c>
      <c r="BJ141" s="9">
        <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f>
        <v/>
      </c>
    </row>
    <row r="142">
      <c r="A142" s="9">
        <f>ROUND(-1+140*2/240,3)</f>
        <v/>
      </c>
      <c r="B142" s="9">
        <f>IF(OR(Inputs!$F$6=TRUE,Inputs!$F$6="TRUE",Inputs!$F$6=1),(Inputs!$H$6+Inputs!$L$6*(((Inputs!$I$6+(((A142)+1)/2)*(Inputs!$J$6-Inputs!$I$6)))/Inputs!$K$6)^2),NA())</f>
        <v/>
      </c>
      <c r="C142" s="9">
        <f>IF(OR(Inputs!$F$7=TRUE,Inputs!$F$7="TRUE",Inputs!$F$7=1),(Inputs!$H$7+Inputs!$L$7*(((Inputs!$I$7+(((A142)+1)/2)*(Inputs!$J$7-Inputs!$I$7)))/Inputs!$K$7)^2),NA())</f>
        <v/>
      </c>
      <c r="D142" s="9">
        <f>IF(OR(Inputs!$F$8=TRUE,Inputs!$F$8="TRUE",Inputs!$F$8=1),(Inputs!$H$8+Inputs!$L$8*(((Inputs!$I$8+(((A142)+1)/2)*(Inputs!$J$8-Inputs!$I$8)))/Inputs!$K$8)^2),NA())</f>
        <v/>
      </c>
      <c r="E142" s="9">
        <f>IF(OR(Inputs!$F$9=TRUE,Inputs!$F$9="TRUE",Inputs!$F$9=1),(Inputs!$H$9+Inputs!$L$9*(((Inputs!$I$9+(((A142)+1)/2)*(Inputs!$J$9-Inputs!$I$9)))/Inputs!$K$9)^2),NA())</f>
        <v/>
      </c>
      <c r="F142" s="10" t="n"/>
      <c r="G142" s="9">
        <f>A142</f>
        <v/>
      </c>
      <c r="H142" s="9">
        <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f>
        <v/>
      </c>
      <c r="I142" s="9">
        <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f>
        <v/>
      </c>
      <c r="J142" s="9">
        <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f>
        <v/>
      </c>
      <c r="K142" s="9">
        <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f>
        <v/>
      </c>
      <c r="L142" s="10" t="n"/>
      <c r="M142" s="9">
        <f>A142</f>
        <v/>
      </c>
      <c r="N142" s="9">
        <f>IF(OR(Inputs!$F$6=TRUE,Inputs!$F$6="TRUE",Inputs!$F$6=1),(-2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NA())</f>
        <v/>
      </c>
      <c r="O142" s="9">
        <f>IF(OR(Inputs!$F$7=TRUE,Inputs!$F$7="TRUE",Inputs!$F$7=1),(-2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NA())</f>
        <v/>
      </c>
      <c r="P142" s="9">
        <f>IF(OR(Inputs!$F$8=TRUE,Inputs!$F$8="TRUE",Inputs!$F$8=1),(-2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NA())</f>
        <v/>
      </c>
      <c r="Q142" s="9">
        <f>IF(OR(Inputs!$F$9=TRUE,Inputs!$F$9="TRUE",Inputs!$F$9=1),(-2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NA())</f>
        <v/>
      </c>
      <c r="R142" s="10" t="n"/>
      <c r="S142" s="9">
        <f>A142</f>
        <v/>
      </c>
      <c r="T142" s="9">
        <f>(Inputs!$I$6+(((A142)+1)/2)*(Inputs!$J$6-Inputs!$I$6))</f>
        <v/>
      </c>
      <c r="U142" s="9">
        <f>(Inputs!$I$7+(((A142)+1)/2)*(Inputs!$J$7-Inputs!$I$7))</f>
        <v/>
      </c>
      <c r="V142" s="9">
        <f>(Inputs!$I$8+(((A142)+1)/2)*(Inputs!$J$8-Inputs!$I$8))</f>
        <v/>
      </c>
      <c r="W142" s="9">
        <f>(Inputs!$I$9+(((A142)+1)/2)*(Inputs!$J$9-Inputs!$I$9))</f>
        <v/>
      </c>
      <c r="X142" s="10" t="n"/>
      <c r="Y142" s="9">
        <f>A142</f>
        <v/>
      </c>
      <c r="Z142" s="9">
        <f>(Inputs!$H$6+Inputs!$L$6*(((Inputs!$I$6+(((A142)+1)/2)*(Inputs!$J$6-Inputs!$I$6)))/Inputs!$K$6)^2)</f>
        <v/>
      </c>
      <c r="AA142" s="9">
        <f>(Inputs!$H$7+Inputs!$L$7*(((Inputs!$I$7+(((A142)+1)/2)*(Inputs!$J$7-Inputs!$I$7)))/Inputs!$K$7)^2)</f>
        <v/>
      </c>
      <c r="AB142" s="9">
        <f>(Inputs!$H$8+Inputs!$L$8*(((Inputs!$I$8+(((A142)+1)/2)*(Inputs!$J$8-Inputs!$I$8)))/Inputs!$K$8)^2)</f>
        <v/>
      </c>
      <c r="AC142" s="9">
        <f>(Inputs!$H$9+Inputs!$L$9*(((Inputs!$I$9+(((A142)+1)/2)*(Inputs!$J$9-Inputs!$I$9)))/Inputs!$K$9)^2)</f>
        <v/>
      </c>
      <c r="AD142" s="10" t="n"/>
      <c r="AE142" s="9">
        <f>A142</f>
        <v/>
      </c>
      <c r="AF142" s="9">
        <f>(((SQRT((Inputs!$C$52+((Inputs!$H$6+Inputs!$L$6*(((Inputs!$I$6+(((A142)+1)/2)*(Inputs!$J$6-Inputs!$I$6)))/Inputs!$K$6)^2)))^2+Inputs!$C$52^2-2*(Inputs!$C$52+((Inputs!$H$6+Inputs!$L$6*(((Inputs!$I$6+(((A142)+1)/2)*(Inputs!$J$6-Inputs!$I$6)))/Inputs!$K$6)^2)))*Inputs!$C$52*COS(SQRT(((Inputs!$I$6+(((A142)+1)/2)*(Inputs!$J$6-Inputs!$I$6)))^2+Inputs!$C$6^2)/Inputs!$C$52)))-((Inputs!$H$6+Inputs!$L$6*(((Inputs!$I$6+(((A142)+1)/2)*(Inputs!$J$6-Inputs!$I$6)))/Inputs!$K$6)^2)))*1000/Inputs!$C$12)</f>
        <v/>
      </c>
      <c r="AG142" s="9">
        <f>(((SQRT((Inputs!$C$52+((Inputs!$H$7+Inputs!$L$7*(((Inputs!$I$7+(((A142)+1)/2)*(Inputs!$J$7-Inputs!$I$7)))/Inputs!$K$7)^2)))^2+Inputs!$C$52^2-2*(Inputs!$C$52+((Inputs!$H$7+Inputs!$L$7*(((Inputs!$I$7+(((A142)+1)/2)*(Inputs!$J$7-Inputs!$I$7)))/Inputs!$K$7)^2)))*Inputs!$C$52*COS(SQRT(((Inputs!$I$7+(((A142)+1)/2)*(Inputs!$J$7-Inputs!$I$7)))^2+Inputs!$C$6^2)/Inputs!$C$52)))-((Inputs!$H$7+Inputs!$L$7*(((Inputs!$I$7+(((A142)+1)/2)*(Inputs!$J$7-Inputs!$I$7)))/Inputs!$K$7)^2)))*1000/Inputs!$C$12)</f>
        <v/>
      </c>
      <c r="AH142" s="9">
        <f>(((SQRT((Inputs!$C$52+((Inputs!$H$8+Inputs!$L$8*(((Inputs!$I$8+(((A142)+1)/2)*(Inputs!$J$8-Inputs!$I$8)))/Inputs!$K$8)^2)))^2+Inputs!$C$52^2-2*(Inputs!$C$52+((Inputs!$H$8+Inputs!$L$8*(((Inputs!$I$8+(((A142)+1)/2)*(Inputs!$J$8-Inputs!$I$8)))/Inputs!$K$8)^2)))*Inputs!$C$52*COS(SQRT(((Inputs!$I$8+(((A142)+1)/2)*(Inputs!$J$8-Inputs!$I$8)))^2+Inputs!$C$6^2)/Inputs!$C$52)))-((Inputs!$H$8+Inputs!$L$8*(((Inputs!$I$8+(((A142)+1)/2)*(Inputs!$J$8-Inputs!$I$8)))/Inputs!$K$8)^2)))*1000/Inputs!$C$12)</f>
        <v/>
      </c>
      <c r="AI142" s="9">
        <f>(((SQRT((Inputs!$C$52+((Inputs!$H$9+Inputs!$L$9*(((Inputs!$I$9+(((A142)+1)/2)*(Inputs!$J$9-Inputs!$I$9)))/Inputs!$K$9)^2)))^2+Inputs!$C$52^2-2*(Inputs!$C$52+((Inputs!$H$9+Inputs!$L$9*(((Inputs!$I$9+(((A142)+1)/2)*(Inputs!$J$9-Inputs!$I$9)))/Inputs!$K$9)^2)))*Inputs!$C$52*COS(SQRT(((Inputs!$I$9+(((A142)+1)/2)*(Inputs!$J$9-Inputs!$I$9)))^2+Inputs!$C$6^2)/Inputs!$C$52)))-((Inputs!$H$9+Inputs!$L$9*(((Inputs!$I$9+(((A142)+1)/2)*(Inputs!$J$9-Inputs!$I$9)))/Inputs!$K$9)^2)))*1000/Inputs!$C$12)</f>
        <v/>
      </c>
      <c r="AJ142" s="10" t="n"/>
      <c r="AK142" s="9">
        <f>A142</f>
        <v/>
      </c>
      <c r="AL142" s="9">
        <f>(-2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f>
        <v/>
      </c>
      <c r="AM142" s="9">
        <f>(-2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f>
        <v/>
      </c>
      <c r="AN142" s="9">
        <f>(-2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f>
        <v/>
      </c>
      <c r="AO142" s="9">
        <f>(-2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f>
        <v/>
      </c>
      <c r="AP142" s="10" t="n"/>
      <c r="AQ142" s="9">
        <f>A142</f>
        <v/>
      </c>
      <c r="AR142" s="9">
        <f>0</f>
        <v/>
      </c>
      <c r="AS142" s="9">
        <f>IF(OR(Inputs!$F$6=TRUE,Inputs!$F$6="TRUE",Inputs!$F$6=1),IF(OR(Inputs!$C$27=TRUE,Inputs!$C$27="TRUE",Inputs!$C$27=1),1,0)*(Inputs!$C$51*(115*EXP(-(((Inputs!$C$6)-25)^2)/(4.5^2))+70*EXP(-(((Inputs!$C$6)+38)^2)/(7^2))*(0.55+0.45*SIN(2*PI()*((Inputs!$I$6+(((A142)+1)/2)*(Inputs!$J$6-Inputs!$I$6)))/45))+24*SIN(2*PI()*(Inputs!$C$6)/9+((Inputs!$I$6+(((A142)+1)/2)*(Inputs!$J$6-Inputs!$I$6)))/18)*EXP(-(((Inputs!$C$6)+5)^2)/(22^2))+18*SIN(2*PI()*((Inputs!$I$6+(((A142)+1)/2)*(Inputs!$J$6-Inputs!$I$6)))/70))+Inputs!$C$28*EXP(-((((Inputs!$I$6+(((A142)+1)/2)*(Inputs!$J$6-Inputs!$I$6)))-Inputs!$C$29)^2)/(2*Inputs!$C$31^2))*EXP(-(((Inputs!$C$6)-Inputs!$C$30)^2)/(2*Inputs!$C$32^2))+-Inputs!$C$33*EXP(-((((((Inputs!$I$6+(((A142)+1)/2)*(Inputs!$J$6-Inputs!$I$6)))-Inputs!$C$34)^2)+(((Inputs!$C$6)-Inputs!$C$35)^2))/(2*Inputs!$C$36^2)))+Inputs!$C$37*(0.55*SIN(2*PI()*((Inputs!$I$6+(((A142)+1)/2)*(Inputs!$J$6-Inputs!$I$6)))/Inputs!$C$39)+0.35*COS(2*PI()*(Inputs!$C$6)/Inputs!$C$40)+0.2*SIN(2*PI()*(((Inputs!$I$6+(((A142)+1)/2)*(Inputs!$J$6-Inputs!$I$6)))+(Inputs!$C$6))/(0.5*(Inputs!$C$39+Inputs!$C$40))))+Inputs!$C$38*SIN(2*PI()*((Inputs!$I$6+(((A142)+1)/2)*(Inputs!$J$6-Inputs!$I$6)))/Inputs!$C$39)*SIN(2*PI()*(Inputs!$C$6)/Inputs!$C$40)+-Inputs!$C$41*EXP(-(((Inputs!$C$6)-Inputs!$C$43)^2)/(2*Inputs!$C$44^2))*EXP(-((((Inputs!$I$6+(((A142)+1)/2)*(Inputs!$J$6-Inputs!$I$6)))-Inputs!$C$42)^2)/(2*Inputs!$C$45^2))+Inputs!$C$48*(0.7*(0.45*SIN(2*PI()*((((Inputs!$I$6+(((A142)+1)/2)*(Inputs!$J$6-Inputs!$I$6)))/Inputs!$C$49)+Inputs!$C$47*0.137))+0.35*COS(2*PI()*(((Inputs!$C$6)/Inputs!$C$50)+Inputs!$C$47*0.173))+0.2*SIN(2*PI()*((((Inputs!$I$6+(((A142)+1)/2)*(Inputs!$J$6-Inputs!$I$6)))+(Inputs!$C$6))/(0.5*(Inputs!$C$49+Inputs!$C$50))+Inputs!$C$47*0.097)))+0.3*(2*((SIN((((Inputs!$I$6+(((A142)+1)/2)*(Inputs!$J$6-Inputs!$I$6)))*12.9898+(Inputs!$C$6)*78.233+Inputs!$C$47*37.719))*43758.5453)-INT((SIN((((Inputs!$I$6+(((A142)+1)/2)*(Inputs!$J$6-Inputs!$I$6)))*12.9898+(Inputs!$C$6)*78.233+Inputs!$C$47*37.719))*43758.5453)))-1))),NA())</f>
        <v/>
      </c>
      <c r="AT142" s="9">
        <f>IF(OR(Inputs!$F$7=TRUE,Inputs!$F$7="TRUE",Inputs!$F$7=1),IF(OR(Inputs!$C$27=TRUE,Inputs!$C$27="TRUE",Inputs!$C$27=1),1,0)*(Inputs!$C$51*(115*EXP(-(((Inputs!$C$6)-25)^2)/(4.5^2))+70*EXP(-(((Inputs!$C$6)+38)^2)/(7^2))*(0.55+0.45*SIN(2*PI()*((Inputs!$I$7+(((A142)+1)/2)*(Inputs!$J$7-Inputs!$I$7)))/45))+24*SIN(2*PI()*(Inputs!$C$6)/9+((Inputs!$I$7+(((A142)+1)/2)*(Inputs!$J$7-Inputs!$I$7)))/18)*EXP(-(((Inputs!$C$6)+5)^2)/(22^2))+18*SIN(2*PI()*((Inputs!$I$7+(((A142)+1)/2)*(Inputs!$J$7-Inputs!$I$7)))/70))+Inputs!$C$28*EXP(-((((Inputs!$I$7+(((A142)+1)/2)*(Inputs!$J$7-Inputs!$I$7)))-Inputs!$C$29)^2)/(2*Inputs!$C$31^2))*EXP(-(((Inputs!$C$6)-Inputs!$C$30)^2)/(2*Inputs!$C$32^2))+-Inputs!$C$33*EXP(-((((((Inputs!$I$7+(((A142)+1)/2)*(Inputs!$J$7-Inputs!$I$7)))-Inputs!$C$34)^2)+(((Inputs!$C$6)-Inputs!$C$35)^2))/(2*Inputs!$C$36^2)))+Inputs!$C$37*(0.55*SIN(2*PI()*((Inputs!$I$7+(((A142)+1)/2)*(Inputs!$J$7-Inputs!$I$7)))/Inputs!$C$39)+0.35*COS(2*PI()*(Inputs!$C$6)/Inputs!$C$40)+0.2*SIN(2*PI()*(((Inputs!$I$7+(((A142)+1)/2)*(Inputs!$J$7-Inputs!$I$7)))+(Inputs!$C$6))/(0.5*(Inputs!$C$39+Inputs!$C$40))))+Inputs!$C$38*SIN(2*PI()*((Inputs!$I$7+(((A142)+1)/2)*(Inputs!$J$7-Inputs!$I$7)))/Inputs!$C$39)*SIN(2*PI()*(Inputs!$C$6)/Inputs!$C$40)+-Inputs!$C$41*EXP(-(((Inputs!$C$6)-Inputs!$C$43)^2)/(2*Inputs!$C$44^2))*EXP(-((((Inputs!$I$7+(((A142)+1)/2)*(Inputs!$J$7-Inputs!$I$7)))-Inputs!$C$42)^2)/(2*Inputs!$C$45^2))+Inputs!$C$48*(0.7*(0.45*SIN(2*PI()*((((Inputs!$I$7+(((A142)+1)/2)*(Inputs!$J$7-Inputs!$I$7)))/Inputs!$C$49)+Inputs!$C$47*0.137))+0.35*COS(2*PI()*(((Inputs!$C$6)/Inputs!$C$50)+Inputs!$C$47*0.173))+0.2*SIN(2*PI()*((((Inputs!$I$7+(((A142)+1)/2)*(Inputs!$J$7-Inputs!$I$7)))+(Inputs!$C$6))/(0.5*(Inputs!$C$49+Inputs!$C$50))+Inputs!$C$47*0.097)))+0.3*(2*((SIN((((Inputs!$I$7+(((A142)+1)/2)*(Inputs!$J$7-Inputs!$I$7)))*12.9898+(Inputs!$C$6)*78.233+Inputs!$C$47*37.719))*43758.5453)-INT((SIN((((Inputs!$I$7+(((A142)+1)/2)*(Inputs!$J$7-Inputs!$I$7)))*12.9898+(Inputs!$C$6)*78.233+Inputs!$C$47*37.719))*43758.5453)))-1))),NA())</f>
        <v/>
      </c>
      <c r="AU142" s="9">
        <f>IF(OR(Inputs!$F$8=TRUE,Inputs!$F$8="TRUE",Inputs!$F$8=1),IF(OR(Inputs!$C$27=TRUE,Inputs!$C$27="TRUE",Inputs!$C$27=1),1,0)*(Inputs!$C$51*(115*EXP(-(((Inputs!$C$6)-25)^2)/(4.5^2))+70*EXP(-(((Inputs!$C$6)+38)^2)/(7^2))*(0.55+0.45*SIN(2*PI()*((Inputs!$I$8+(((A142)+1)/2)*(Inputs!$J$8-Inputs!$I$8)))/45))+24*SIN(2*PI()*(Inputs!$C$6)/9+((Inputs!$I$8+(((A142)+1)/2)*(Inputs!$J$8-Inputs!$I$8)))/18)*EXP(-(((Inputs!$C$6)+5)^2)/(22^2))+18*SIN(2*PI()*((Inputs!$I$8+(((A142)+1)/2)*(Inputs!$J$8-Inputs!$I$8)))/70))+Inputs!$C$28*EXP(-((((Inputs!$I$8+(((A142)+1)/2)*(Inputs!$J$8-Inputs!$I$8)))-Inputs!$C$29)^2)/(2*Inputs!$C$31^2))*EXP(-(((Inputs!$C$6)-Inputs!$C$30)^2)/(2*Inputs!$C$32^2))+-Inputs!$C$33*EXP(-((((((Inputs!$I$8+(((A142)+1)/2)*(Inputs!$J$8-Inputs!$I$8)))-Inputs!$C$34)^2)+(((Inputs!$C$6)-Inputs!$C$35)^2))/(2*Inputs!$C$36^2)))+Inputs!$C$37*(0.55*SIN(2*PI()*((Inputs!$I$8+(((A142)+1)/2)*(Inputs!$J$8-Inputs!$I$8)))/Inputs!$C$39)+0.35*COS(2*PI()*(Inputs!$C$6)/Inputs!$C$40)+0.2*SIN(2*PI()*(((Inputs!$I$8+(((A142)+1)/2)*(Inputs!$J$8-Inputs!$I$8)))+(Inputs!$C$6))/(0.5*(Inputs!$C$39+Inputs!$C$40))))+Inputs!$C$38*SIN(2*PI()*((Inputs!$I$8+(((A142)+1)/2)*(Inputs!$J$8-Inputs!$I$8)))/Inputs!$C$39)*SIN(2*PI()*(Inputs!$C$6)/Inputs!$C$40)+-Inputs!$C$41*EXP(-(((Inputs!$C$6)-Inputs!$C$43)^2)/(2*Inputs!$C$44^2))*EXP(-((((Inputs!$I$8+(((A142)+1)/2)*(Inputs!$J$8-Inputs!$I$8)))-Inputs!$C$42)^2)/(2*Inputs!$C$45^2))+Inputs!$C$48*(0.7*(0.45*SIN(2*PI()*((((Inputs!$I$8+(((A142)+1)/2)*(Inputs!$J$8-Inputs!$I$8)))/Inputs!$C$49)+Inputs!$C$47*0.137))+0.35*COS(2*PI()*(((Inputs!$C$6)/Inputs!$C$50)+Inputs!$C$47*0.173))+0.2*SIN(2*PI()*((((Inputs!$I$8+(((A142)+1)/2)*(Inputs!$J$8-Inputs!$I$8)))+(Inputs!$C$6))/(0.5*(Inputs!$C$49+Inputs!$C$50))+Inputs!$C$47*0.097)))+0.3*(2*((SIN((((Inputs!$I$8+(((A142)+1)/2)*(Inputs!$J$8-Inputs!$I$8)))*12.9898+(Inputs!$C$6)*78.233+Inputs!$C$47*37.719))*43758.5453)-INT((SIN((((Inputs!$I$8+(((A142)+1)/2)*(Inputs!$J$8-Inputs!$I$8)))*12.9898+(Inputs!$C$6)*78.233+Inputs!$C$47*37.719))*43758.5453)))-1))),NA())</f>
        <v/>
      </c>
      <c r="AV142" s="9">
        <f>IF(OR(Inputs!$F$9=TRUE,Inputs!$F$9="TRUE",Inputs!$F$9=1),IF(OR(Inputs!$C$27=TRUE,Inputs!$C$27="TRUE",Inputs!$C$27=1),1,0)*(Inputs!$C$51*(115*EXP(-(((Inputs!$C$6)-25)^2)/(4.5^2))+70*EXP(-(((Inputs!$C$6)+38)^2)/(7^2))*(0.55+0.45*SIN(2*PI()*((Inputs!$I$9+(((A142)+1)/2)*(Inputs!$J$9-Inputs!$I$9)))/45))+24*SIN(2*PI()*(Inputs!$C$6)/9+((Inputs!$I$9+(((A142)+1)/2)*(Inputs!$J$9-Inputs!$I$9)))/18)*EXP(-(((Inputs!$C$6)+5)^2)/(22^2))+18*SIN(2*PI()*((Inputs!$I$9+(((A142)+1)/2)*(Inputs!$J$9-Inputs!$I$9)))/70))+Inputs!$C$28*EXP(-((((Inputs!$I$9+(((A142)+1)/2)*(Inputs!$J$9-Inputs!$I$9)))-Inputs!$C$29)^2)/(2*Inputs!$C$31^2))*EXP(-(((Inputs!$C$6)-Inputs!$C$30)^2)/(2*Inputs!$C$32^2))+-Inputs!$C$33*EXP(-((((((Inputs!$I$9+(((A142)+1)/2)*(Inputs!$J$9-Inputs!$I$9)))-Inputs!$C$34)^2)+(((Inputs!$C$6)-Inputs!$C$35)^2))/(2*Inputs!$C$36^2)))+Inputs!$C$37*(0.55*SIN(2*PI()*((Inputs!$I$9+(((A142)+1)/2)*(Inputs!$J$9-Inputs!$I$9)))/Inputs!$C$39)+0.35*COS(2*PI()*(Inputs!$C$6)/Inputs!$C$40)+0.2*SIN(2*PI()*(((Inputs!$I$9+(((A142)+1)/2)*(Inputs!$J$9-Inputs!$I$9)))+(Inputs!$C$6))/(0.5*(Inputs!$C$39+Inputs!$C$40))))+Inputs!$C$38*SIN(2*PI()*((Inputs!$I$9+(((A142)+1)/2)*(Inputs!$J$9-Inputs!$I$9)))/Inputs!$C$39)*SIN(2*PI()*(Inputs!$C$6)/Inputs!$C$40)+-Inputs!$C$41*EXP(-(((Inputs!$C$6)-Inputs!$C$43)^2)/(2*Inputs!$C$44^2))*EXP(-((((Inputs!$I$9+(((A142)+1)/2)*(Inputs!$J$9-Inputs!$I$9)))-Inputs!$C$42)^2)/(2*Inputs!$C$45^2))+Inputs!$C$48*(0.7*(0.45*SIN(2*PI()*((((Inputs!$I$9+(((A142)+1)/2)*(Inputs!$J$9-Inputs!$I$9)))/Inputs!$C$49)+Inputs!$C$47*0.137))+0.35*COS(2*PI()*(((Inputs!$C$6)/Inputs!$C$50)+Inputs!$C$47*0.173))+0.2*SIN(2*PI()*((((Inputs!$I$9+(((A142)+1)/2)*(Inputs!$J$9-Inputs!$I$9)))+(Inputs!$C$6))/(0.5*(Inputs!$C$49+Inputs!$C$50))+Inputs!$C$47*0.097)))+0.3*(2*((SIN((((Inputs!$I$9+(((A142)+1)/2)*(Inputs!$J$9-Inputs!$I$9)))*12.9898+(Inputs!$C$6)*78.233+Inputs!$C$47*37.719))*43758.5453)-INT((SIN((((Inputs!$I$9+(((A142)+1)/2)*(Inputs!$J$9-Inputs!$I$9)))*12.9898+(Inputs!$C$6)*78.233+Inputs!$C$47*37.719))*43758.5453)))-1))),NA())</f>
        <v/>
      </c>
      <c r="AW142" s="10" t="n"/>
      <c r="AX142" s="9">
        <f>A142</f>
        <v/>
      </c>
      <c r="AY142" s="9">
        <f>0</f>
        <v/>
      </c>
      <c r="AZ142" s="9">
        <f>IF(OR(Inputs!$F$6=TRUE,Inputs!$F$6="TRUE",Inputs!$F$6=1),(Inputs!$H$6+Inputs!$L$6*(((Inputs!$I$6+(((A142)+1)/2)*(Inputs!$J$6-Inputs!$I$6)))/Inputs!$K$6)^2),NA())</f>
        <v/>
      </c>
      <c r="BA142" s="9">
        <f>IF(OR(Inputs!$F$7=TRUE,Inputs!$F$7="TRUE",Inputs!$F$7=1),(Inputs!$H$7+Inputs!$L$7*(((Inputs!$I$7+(((A142)+1)/2)*(Inputs!$J$7-Inputs!$I$7)))/Inputs!$K$7)^2),NA())</f>
        <v/>
      </c>
      <c r="BB142" s="9">
        <f>IF(OR(Inputs!$F$8=TRUE,Inputs!$F$8="TRUE",Inputs!$F$8=1),(Inputs!$H$8+Inputs!$L$8*(((Inputs!$I$8+(((A142)+1)/2)*(Inputs!$J$8-Inputs!$I$8)))/Inputs!$K$8)^2),NA())</f>
        <v/>
      </c>
      <c r="BC142" s="9">
        <f>IF(OR(Inputs!$F$9=TRUE,Inputs!$F$9="TRUE",Inputs!$F$9=1),(Inputs!$H$9+Inputs!$L$9*(((Inputs!$I$9+(((A142)+1)/2)*(Inputs!$J$9-Inputs!$I$9)))/Inputs!$K$9)^2),NA())</f>
        <v/>
      </c>
      <c r="BD142" s="10" t="n"/>
      <c r="BE142" s="9">
        <f>A142</f>
        <v/>
      </c>
      <c r="BF142" s="9">
        <f>0</f>
        <v/>
      </c>
      <c r="BG142" s="9">
        <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f>
        <v/>
      </c>
      <c r="BH142" s="9">
        <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f>
        <v/>
      </c>
      <c r="BI142" s="9">
        <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f>
        <v/>
      </c>
      <c r="BJ142" s="9">
        <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f>
        <v/>
      </c>
    </row>
    <row r="143">
      <c r="A143" s="9">
        <f>ROUND(-1+141*2/240,3)</f>
        <v/>
      </c>
      <c r="B143" s="9">
        <f>IF(OR(Inputs!$F$6=TRUE,Inputs!$F$6="TRUE",Inputs!$F$6=1),(Inputs!$H$6+Inputs!$L$6*(((Inputs!$I$6+(((A143)+1)/2)*(Inputs!$J$6-Inputs!$I$6)))/Inputs!$K$6)^2),NA())</f>
        <v/>
      </c>
      <c r="C143" s="9">
        <f>IF(OR(Inputs!$F$7=TRUE,Inputs!$F$7="TRUE",Inputs!$F$7=1),(Inputs!$H$7+Inputs!$L$7*(((Inputs!$I$7+(((A143)+1)/2)*(Inputs!$J$7-Inputs!$I$7)))/Inputs!$K$7)^2),NA())</f>
        <v/>
      </c>
      <c r="D143" s="9">
        <f>IF(OR(Inputs!$F$8=TRUE,Inputs!$F$8="TRUE",Inputs!$F$8=1),(Inputs!$H$8+Inputs!$L$8*(((Inputs!$I$8+(((A143)+1)/2)*(Inputs!$J$8-Inputs!$I$8)))/Inputs!$K$8)^2),NA())</f>
        <v/>
      </c>
      <c r="E143" s="9">
        <f>IF(OR(Inputs!$F$9=TRUE,Inputs!$F$9="TRUE",Inputs!$F$9=1),(Inputs!$H$9+Inputs!$L$9*(((Inputs!$I$9+(((A143)+1)/2)*(Inputs!$J$9-Inputs!$I$9)))/Inputs!$K$9)^2),NA())</f>
        <v/>
      </c>
      <c r="F143" s="10" t="n"/>
      <c r="G143" s="9">
        <f>A143</f>
        <v/>
      </c>
      <c r="H143" s="9">
        <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f>
        <v/>
      </c>
      <c r="I143" s="9">
        <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f>
        <v/>
      </c>
      <c r="J143" s="9">
        <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f>
        <v/>
      </c>
      <c r="K143" s="9">
        <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f>
        <v/>
      </c>
      <c r="L143" s="10" t="n"/>
      <c r="M143" s="9">
        <f>A143</f>
        <v/>
      </c>
      <c r="N143" s="9">
        <f>IF(OR(Inputs!$F$6=TRUE,Inputs!$F$6="TRUE",Inputs!$F$6=1),(-2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NA())</f>
        <v/>
      </c>
      <c r="O143" s="9">
        <f>IF(OR(Inputs!$F$7=TRUE,Inputs!$F$7="TRUE",Inputs!$F$7=1),(-2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NA())</f>
        <v/>
      </c>
      <c r="P143" s="9">
        <f>IF(OR(Inputs!$F$8=TRUE,Inputs!$F$8="TRUE",Inputs!$F$8=1),(-2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NA())</f>
        <v/>
      </c>
      <c r="Q143" s="9">
        <f>IF(OR(Inputs!$F$9=TRUE,Inputs!$F$9="TRUE",Inputs!$F$9=1),(-2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NA())</f>
        <v/>
      </c>
      <c r="R143" s="10" t="n"/>
      <c r="S143" s="9">
        <f>A143</f>
        <v/>
      </c>
      <c r="T143" s="9">
        <f>(Inputs!$I$6+(((A143)+1)/2)*(Inputs!$J$6-Inputs!$I$6))</f>
        <v/>
      </c>
      <c r="U143" s="9">
        <f>(Inputs!$I$7+(((A143)+1)/2)*(Inputs!$J$7-Inputs!$I$7))</f>
        <v/>
      </c>
      <c r="V143" s="9">
        <f>(Inputs!$I$8+(((A143)+1)/2)*(Inputs!$J$8-Inputs!$I$8))</f>
        <v/>
      </c>
      <c r="W143" s="9">
        <f>(Inputs!$I$9+(((A143)+1)/2)*(Inputs!$J$9-Inputs!$I$9))</f>
        <v/>
      </c>
      <c r="X143" s="10" t="n"/>
      <c r="Y143" s="9">
        <f>A143</f>
        <v/>
      </c>
      <c r="Z143" s="9">
        <f>(Inputs!$H$6+Inputs!$L$6*(((Inputs!$I$6+(((A143)+1)/2)*(Inputs!$J$6-Inputs!$I$6)))/Inputs!$K$6)^2)</f>
        <v/>
      </c>
      <c r="AA143" s="9">
        <f>(Inputs!$H$7+Inputs!$L$7*(((Inputs!$I$7+(((A143)+1)/2)*(Inputs!$J$7-Inputs!$I$7)))/Inputs!$K$7)^2)</f>
        <v/>
      </c>
      <c r="AB143" s="9">
        <f>(Inputs!$H$8+Inputs!$L$8*(((Inputs!$I$8+(((A143)+1)/2)*(Inputs!$J$8-Inputs!$I$8)))/Inputs!$K$8)^2)</f>
        <v/>
      </c>
      <c r="AC143" s="9">
        <f>(Inputs!$H$9+Inputs!$L$9*(((Inputs!$I$9+(((A143)+1)/2)*(Inputs!$J$9-Inputs!$I$9)))/Inputs!$K$9)^2)</f>
        <v/>
      </c>
      <c r="AD143" s="10" t="n"/>
      <c r="AE143" s="9">
        <f>A143</f>
        <v/>
      </c>
      <c r="AF143" s="9">
        <f>(((SQRT((Inputs!$C$52+((Inputs!$H$6+Inputs!$L$6*(((Inputs!$I$6+(((A143)+1)/2)*(Inputs!$J$6-Inputs!$I$6)))/Inputs!$K$6)^2)))^2+Inputs!$C$52^2-2*(Inputs!$C$52+((Inputs!$H$6+Inputs!$L$6*(((Inputs!$I$6+(((A143)+1)/2)*(Inputs!$J$6-Inputs!$I$6)))/Inputs!$K$6)^2)))*Inputs!$C$52*COS(SQRT(((Inputs!$I$6+(((A143)+1)/2)*(Inputs!$J$6-Inputs!$I$6)))^2+Inputs!$C$6^2)/Inputs!$C$52)))-((Inputs!$H$6+Inputs!$L$6*(((Inputs!$I$6+(((A143)+1)/2)*(Inputs!$J$6-Inputs!$I$6)))/Inputs!$K$6)^2)))*1000/Inputs!$C$12)</f>
        <v/>
      </c>
      <c r="AG143" s="9">
        <f>(((SQRT((Inputs!$C$52+((Inputs!$H$7+Inputs!$L$7*(((Inputs!$I$7+(((A143)+1)/2)*(Inputs!$J$7-Inputs!$I$7)))/Inputs!$K$7)^2)))^2+Inputs!$C$52^2-2*(Inputs!$C$52+((Inputs!$H$7+Inputs!$L$7*(((Inputs!$I$7+(((A143)+1)/2)*(Inputs!$J$7-Inputs!$I$7)))/Inputs!$K$7)^2)))*Inputs!$C$52*COS(SQRT(((Inputs!$I$7+(((A143)+1)/2)*(Inputs!$J$7-Inputs!$I$7)))^2+Inputs!$C$6^2)/Inputs!$C$52)))-((Inputs!$H$7+Inputs!$L$7*(((Inputs!$I$7+(((A143)+1)/2)*(Inputs!$J$7-Inputs!$I$7)))/Inputs!$K$7)^2)))*1000/Inputs!$C$12)</f>
        <v/>
      </c>
      <c r="AH143" s="9">
        <f>(((SQRT((Inputs!$C$52+((Inputs!$H$8+Inputs!$L$8*(((Inputs!$I$8+(((A143)+1)/2)*(Inputs!$J$8-Inputs!$I$8)))/Inputs!$K$8)^2)))^2+Inputs!$C$52^2-2*(Inputs!$C$52+((Inputs!$H$8+Inputs!$L$8*(((Inputs!$I$8+(((A143)+1)/2)*(Inputs!$J$8-Inputs!$I$8)))/Inputs!$K$8)^2)))*Inputs!$C$52*COS(SQRT(((Inputs!$I$8+(((A143)+1)/2)*(Inputs!$J$8-Inputs!$I$8)))^2+Inputs!$C$6^2)/Inputs!$C$52)))-((Inputs!$H$8+Inputs!$L$8*(((Inputs!$I$8+(((A143)+1)/2)*(Inputs!$J$8-Inputs!$I$8)))/Inputs!$K$8)^2)))*1000/Inputs!$C$12)</f>
        <v/>
      </c>
      <c r="AI143" s="9">
        <f>(((SQRT((Inputs!$C$52+((Inputs!$H$9+Inputs!$L$9*(((Inputs!$I$9+(((A143)+1)/2)*(Inputs!$J$9-Inputs!$I$9)))/Inputs!$K$9)^2)))^2+Inputs!$C$52^2-2*(Inputs!$C$52+((Inputs!$H$9+Inputs!$L$9*(((Inputs!$I$9+(((A143)+1)/2)*(Inputs!$J$9-Inputs!$I$9)))/Inputs!$K$9)^2)))*Inputs!$C$52*COS(SQRT(((Inputs!$I$9+(((A143)+1)/2)*(Inputs!$J$9-Inputs!$I$9)))^2+Inputs!$C$6^2)/Inputs!$C$52)))-((Inputs!$H$9+Inputs!$L$9*(((Inputs!$I$9+(((A143)+1)/2)*(Inputs!$J$9-Inputs!$I$9)))/Inputs!$K$9)^2)))*1000/Inputs!$C$12)</f>
        <v/>
      </c>
      <c r="AJ143" s="10" t="n"/>
      <c r="AK143" s="9">
        <f>A143</f>
        <v/>
      </c>
      <c r="AL143" s="9">
        <f>(-2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f>
        <v/>
      </c>
      <c r="AM143" s="9">
        <f>(-2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f>
        <v/>
      </c>
      <c r="AN143" s="9">
        <f>(-2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f>
        <v/>
      </c>
      <c r="AO143" s="9">
        <f>(-2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f>
        <v/>
      </c>
      <c r="AP143" s="10" t="n"/>
      <c r="AQ143" s="9">
        <f>A143</f>
        <v/>
      </c>
      <c r="AR143" s="9">
        <f>0</f>
        <v/>
      </c>
      <c r="AS143" s="9">
        <f>IF(OR(Inputs!$F$6=TRUE,Inputs!$F$6="TRUE",Inputs!$F$6=1),IF(OR(Inputs!$C$27=TRUE,Inputs!$C$27="TRUE",Inputs!$C$27=1),1,0)*(Inputs!$C$51*(115*EXP(-(((Inputs!$C$6)-25)^2)/(4.5^2))+70*EXP(-(((Inputs!$C$6)+38)^2)/(7^2))*(0.55+0.45*SIN(2*PI()*((Inputs!$I$6+(((A143)+1)/2)*(Inputs!$J$6-Inputs!$I$6)))/45))+24*SIN(2*PI()*(Inputs!$C$6)/9+((Inputs!$I$6+(((A143)+1)/2)*(Inputs!$J$6-Inputs!$I$6)))/18)*EXP(-(((Inputs!$C$6)+5)^2)/(22^2))+18*SIN(2*PI()*((Inputs!$I$6+(((A143)+1)/2)*(Inputs!$J$6-Inputs!$I$6)))/70))+Inputs!$C$28*EXP(-((((Inputs!$I$6+(((A143)+1)/2)*(Inputs!$J$6-Inputs!$I$6)))-Inputs!$C$29)^2)/(2*Inputs!$C$31^2))*EXP(-(((Inputs!$C$6)-Inputs!$C$30)^2)/(2*Inputs!$C$32^2))+-Inputs!$C$33*EXP(-((((((Inputs!$I$6+(((A143)+1)/2)*(Inputs!$J$6-Inputs!$I$6)))-Inputs!$C$34)^2)+(((Inputs!$C$6)-Inputs!$C$35)^2))/(2*Inputs!$C$36^2)))+Inputs!$C$37*(0.55*SIN(2*PI()*((Inputs!$I$6+(((A143)+1)/2)*(Inputs!$J$6-Inputs!$I$6)))/Inputs!$C$39)+0.35*COS(2*PI()*(Inputs!$C$6)/Inputs!$C$40)+0.2*SIN(2*PI()*(((Inputs!$I$6+(((A143)+1)/2)*(Inputs!$J$6-Inputs!$I$6)))+(Inputs!$C$6))/(0.5*(Inputs!$C$39+Inputs!$C$40))))+Inputs!$C$38*SIN(2*PI()*((Inputs!$I$6+(((A143)+1)/2)*(Inputs!$J$6-Inputs!$I$6)))/Inputs!$C$39)*SIN(2*PI()*(Inputs!$C$6)/Inputs!$C$40)+-Inputs!$C$41*EXP(-(((Inputs!$C$6)-Inputs!$C$43)^2)/(2*Inputs!$C$44^2))*EXP(-((((Inputs!$I$6+(((A143)+1)/2)*(Inputs!$J$6-Inputs!$I$6)))-Inputs!$C$42)^2)/(2*Inputs!$C$45^2))+Inputs!$C$48*(0.7*(0.45*SIN(2*PI()*((((Inputs!$I$6+(((A143)+1)/2)*(Inputs!$J$6-Inputs!$I$6)))/Inputs!$C$49)+Inputs!$C$47*0.137))+0.35*COS(2*PI()*(((Inputs!$C$6)/Inputs!$C$50)+Inputs!$C$47*0.173))+0.2*SIN(2*PI()*((((Inputs!$I$6+(((A143)+1)/2)*(Inputs!$J$6-Inputs!$I$6)))+(Inputs!$C$6))/(0.5*(Inputs!$C$49+Inputs!$C$50))+Inputs!$C$47*0.097)))+0.3*(2*((SIN((((Inputs!$I$6+(((A143)+1)/2)*(Inputs!$J$6-Inputs!$I$6)))*12.9898+(Inputs!$C$6)*78.233+Inputs!$C$47*37.719))*43758.5453)-INT((SIN((((Inputs!$I$6+(((A143)+1)/2)*(Inputs!$J$6-Inputs!$I$6)))*12.9898+(Inputs!$C$6)*78.233+Inputs!$C$47*37.719))*43758.5453)))-1))),NA())</f>
        <v/>
      </c>
      <c r="AT143" s="9">
        <f>IF(OR(Inputs!$F$7=TRUE,Inputs!$F$7="TRUE",Inputs!$F$7=1),IF(OR(Inputs!$C$27=TRUE,Inputs!$C$27="TRUE",Inputs!$C$27=1),1,0)*(Inputs!$C$51*(115*EXP(-(((Inputs!$C$6)-25)^2)/(4.5^2))+70*EXP(-(((Inputs!$C$6)+38)^2)/(7^2))*(0.55+0.45*SIN(2*PI()*((Inputs!$I$7+(((A143)+1)/2)*(Inputs!$J$7-Inputs!$I$7)))/45))+24*SIN(2*PI()*(Inputs!$C$6)/9+((Inputs!$I$7+(((A143)+1)/2)*(Inputs!$J$7-Inputs!$I$7)))/18)*EXP(-(((Inputs!$C$6)+5)^2)/(22^2))+18*SIN(2*PI()*((Inputs!$I$7+(((A143)+1)/2)*(Inputs!$J$7-Inputs!$I$7)))/70))+Inputs!$C$28*EXP(-((((Inputs!$I$7+(((A143)+1)/2)*(Inputs!$J$7-Inputs!$I$7)))-Inputs!$C$29)^2)/(2*Inputs!$C$31^2))*EXP(-(((Inputs!$C$6)-Inputs!$C$30)^2)/(2*Inputs!$C$32^2))+-Inputs!$C$33*EXP(-((((((Inputs!$I$7+(((A143)+1)/2)*(Inputs!$J$7-Inputs!$I$7)))-Inputs!$C$34)^2)+(((Inputs!$C$6)-Inputs!$C$35)^2))/(2*Inputs!$C$36^2)))+Inputs!$C$37*(0.55*SIN(2*PI()*((Inputs!$I$7+(((A143)+1)/2)*(Inputs!$J$7-Inputs!$I$7)))/Inputs!$C$39)+0.35*COS(2*PI()*(Inputs!$C$6)/Inputs!$C$40)+0.2*SIN(2*PI()*(((Inputs!$I$7+(((A143)+1)/2)*(Inputs!$J$7-Inputs!$I$7)))+(Inputs!$C$6))/(0.5*(Inputs!$C$39+Inputs!$C$40))))+Inputs!$C$38*SIN(2*PI()*((Inputs!$I$7+(((A143)+1)/2)*(Inputs!$J$7-Inputs!$I$7)))/Inputs!$C$39)*SIN(2*PI()*(Inputs!$C$6)/Inputs!$C$40)+-Inputs!$C$41*EXP(-(((Inputs!$C$6)-Inputs!$C$43)^2)/(2*Inputs!$C$44^2))*EXP(-((((Inputs!$I$7+(((A143)+1)/2)*(Inputs!$J$7-Inputs!$I$7)))-Inputs!$C$42)^2)/(2*Inputs!$C$45^2))+Inputs!$C$48*(0.7*(0.45*SIN(2*PI()*((((Inputs!$I$7+(((A143)+1)/2)*(Inputs!$J$7-Inputs!$I$7)))/Inputs!$C$49)+Inputs!$C$47*0.137))+0.35*COS(2*PI()*(((Inputs!$C$6)/Inputs!$C$50)+Inputs!$C$47*0.173))+0.2*SIN(2*PI()*((((Inputs!$I$7+(((A143)+1)/2)*(Inputs!$J$7-Inputs!$I$7)))+(Inputs!$C$6))/(0.5*(Inputs!$C$49+Inputs!$C$50))+Inputs!$C$47*0.097)))+0.3*(2*((SIN((((Inputs!$I$7+(((A143)+1)/2)*(Inputs!$J$7-Inputs!$I$7)))*12.9898+(Inputs!$C$6)*78.233+Inputs!$C$47*37.719))*43758.5453)-INT((SIN((((Inputs!$I$7+(((A143)+1)/2)*(Inputs!$J$7-Inputs!$I$7)))*12.9898+(Inputs!$C$6)*78.233+Inputs!$C$47*37.719))*43758.5453)))-1))),NA())</f>
        <v/>
      </c>
      <c r="AU143" s="9">
        <f>IF(OR(Inputs!$F$8=TRUE,Inputs!$F$8="TRUE",Inputs!$F$8=1),IF(OR(Inputs!$C$27=TRUE,Inputs!$C$27="TRUE",Inputs!$C$27=1),1,0)*(Inputs!$C$51*(115*EXP(-(((Inputs!$C$6)-25)^2)/(4.5^2))+70*EXP(-(((Inputs!$C$6)+38)^2)/(7^2))*(0.55+0.45*SIN(2*PI()*((Inputs!$I$8+(((A143)+1)/2)*(Inputs!$J$8-Inputs!$I$8)))/45))+24*SIN(2*PI()*(Inputs!$C$6)/9+((Inputs!$I$8+(((A143)+1)/2)*(Inputs!$J$8-Inputs!$I$8)))/18)*EXP(-(((Inputs!$C$6)+5)^2)/(22^2))+18*SIN(2*PI()*((Inputs!$I$8+(((A143)+1)/2)*(Inputs!$J$8-Inputs!$I$8)))/70))+Inputs!$C$28*EXP(-((((Inputs!$I$8+(((A143)+1)/2)*(Inputs!$J$8-Inputs!$I$8)))-Inputs!$C$29)^2)/(2*Inputs!$C$31^2))*EXP(-(((Inputs!$C$6)-Inputs!$C$30)^2)/(2*Inputs!$C$32^2))+-Inputs!$C$33*EXP(-((((((Inputs!$I$8+(((A143)+1)/2)*(Inputs!$J$8-Inputs!$I$8)))-Inputs!$C$34)^2)+(((Inputs!$C$6)-Inputs!$C$35)^2))/(2*Inputs!$C$36^2)))+Inputs!$C$37*(0.55*SIN(2*PI()*((Inputs!$I$8+(((A143)+1)/2)*(Inputs!$J$8-Inputs!$I$8)))/Inputs!$C$39)+0.35*COS(2*PI()*(Inputs!$C$6)/Inputs!$C$40)+0.2*SIN(2*PI()*(((Inputs!$I$8+(((A143)+1)/2)*(Inputs!$J$8-Inputs!$I$8)))+(Inputs!$C$6))/(0.5*(Inputs!$C$39+Inputs!$C$40))))+Inputs!$C$38*SIN(2*PI()*((Inputs!$I$8+(((A143)+1)/2)*(Inputs!$J$8-Inputs!$I$8)))/Inputs!$C$39)*SIN(2*PI()*(Inputs!$C$6)/Inputs!$C$40)+-Inputs!$C$41*EXP(-(((Inputs!$C$6)-Inputs!$C$43)^2)/(2*Inputs!$C$44^2))*EXP(-((((Inputs!$I$8+(((A143)+1)/2)*(Inputs!$J$8-Inputs!$I$8)))-Inputs!$C$42)^2)/(2*Inputs!$C$45^2))+Inputs!$C$48*(0.7*(0.45*SIN(2*PI()*((((Inputs!$I$8+(((A143)+1)/2)*(Inputs!$J$8-Inputs!$I$8)))/Inputs!$C$49)+Inputs!$C$47*0.137))+0.35*COS(2*PI()*(((Inputs!$C$6)/Inputs!$C$50)+Inputs!$C$47*0.173))+0.2*SIN(2*PI()*((((Inputs!$I$8+(((A143)+1)/2)*(Inputs!$J$8-Inputs!$I$8)))+(Inputs!$C$6))/(0.5*(Inputs!$C$49+Inputs!$C$50))+Inputs!$C$47*0.097)))+0.3*(2*((SIN((((Inputs!$I$8+(((A143)+1)/2)*(Inputs!$J$8-Inputs!$I$8)))*12.9898+(Inputs!$C$6)*78.233+Inputs!$C$47*37.719))*43758.5453)-INT((SIN((((Inputs!$I$8+(((A143)+1)/2)*(Inputs!$J$8-Inputs!$I$8)))*12.9898+(Inputs!$C$6)*78.233+Inputs!$C$47*37.719))*43758.5453)))-1))),NA())</f>
        <v/>
      </c>
      <c r="AV143" s="9">
        <f>IF(OR(Inputs!$F$9=TRUE,Inputs!$F$9="TRUE",Inputs!$F$9=1),IF(OR(Inputs!$C$27=TRUE,Inputs!$C$27="TRUE",Inputs!$C$27=1),1,0)*(Inputs!$C$51*(115*EXP(-(((Inputs!$C$6)-25)^2)/(4.5^2))+70*EXP(-(((Inputs!$C$6)+38)^2)/(7^2))*(0.55+0.45*SIN(2*PI()*((Inputs!$I$9+(((A143)+1)/2)*(Inputs!$J$9-Inputs!$I$9)))/45))+24*SIN(2*PI()*(Inputs!$C$6)/9+((Inputs!$I$9+(((A143)+1)/2)*(Inputs!$J$9-Inputs!$I$9)))/18)*EXP(-(((Inputs!$C$6)+5)^2)/(22^2))+18*SIN(2*PI()*((Inputs!$I$9+(((A143)+1)/2)*(Inputs!$J$9-Inputs!$I$9)))/70))+Inputs!$C$28*EXP(-((((Inputs!$I$9+(((A143)+1)/2)*(Inputs!$J$9-Inputs!$I$9)))-Inputs!$C$29)^2)/(2*Inputs!$C$31^2))*EXP(-(((Inputs!$C$6)-Inputs!$C$30)^2)/(2*Inputs!$C$32^2))+-Inputs!$C$33*EXP(-((((((Inputs!$I$9+(((A143)+1)/2)*(Inputs!$J$9-Inputs!$I$9)))-Inputs!$C$34)^2)+(((Inputs!$C$6)-Inputs!$C$35)^2))/(2*Inputs!$C$36^2)))+Inputs!$C$37*(0.55*SIN(2*PI()*((Inputs!$I$9+(((A143)+1)/2)*(Inputs!$J$9-Inputs!$I$9)))/Inputs!$C$39)+0.35*COS(2*PI()*(Inputs!$C$6)/Inputs!$C$40)+0.2*SIN(2*PI()*(((Inputs!$I$9+(((A143)+1)/2)*(Inputs!$J$9-Inputs!$I$9)))+(Inputs!$C$6))/(0.5*(Inputs!$C$39+Inputs!$C$40))))+Inputs!$C$38*SIN(2*PI()*((Inputs!$I$9+(((A143)+1)/2)*(Inputs!$J$9-Inputs!$I$9)))/Inputs!$C$39)*SIN(2*PI()*(Inputs!$C$6)/Inputs!$C$40)+-Inputs!$C$41*EXP(-(((Inputs!$C$6)-Inputs!$C$43)^2)/(2*Inputs!$C$44^2))*EXP(-((((Inputs!$I$9+(((A143)+1)/2)*(Inputs!$J$9-Inputs!$I$9)))-Inputs!$C$42)^2)/(2*Inputs!$C$45^2))+Inputs!$C$48*(0.7*(0.45*SIN(2*PI()*((((Inputs!$I$9+(((A143)+1)/2)*(Inputs!$J$9-Inputs!$I$9)))/Inputs!$C$49)+Inputs!$C$47*0.137))+0.35*COS(2*PI()*(((Inputs!$C$6)/Inputs!$C$50)+Inputs!$C$47*0.173))+0.2*SIN(2*PI()*((((Inputs!$I$9+(((A143)+1)/2)*(Inputs!$J$9-Inputs!$I$9)))+(Inputs!$C$6))/(0.5*(Inputs!$C$49+Inputs!$C$50))+Inputs!$C$47*0.097)))+0.3*(2*((SIN((((Inputs!$I$9+(((A143)+1)/2)*(Inputs!$J$9-Inputs!$I$9)))*12.9898+(Inputs!$C$6)*78.233+Inputs!$C$47*37.719))*43758.5453)-INT((SIN((((Inputs!$I$9+(((A143)+1)/2)*(Inputs!$J$9-Inputs!$I$9)))*12.9898+(Inputs!$C$6)*78.233+Inputs!$C$47*37.719))*43758.5453)))-1))),NA())</f>
        <v/>
      </c>
      <c r="AW143" s="10" t="n"/>
      <c r="AX143" s="9">
        <f>A143</f>
        <v/>
      </c>
      <c r="AY143" s="9">
        <f>0</f>
        <v/>
      </c>
      <c r="AZ143" s="9">
        <f>IF(OR(Inputs!$F$6=TRUE,Inputs!$F$6="TRUE",Inputs!$F$6=1),(Inputs!$H$6+Inputs!$L$6*(((Inputs!$I$6+(((A143)+1)/2)*(Inputs!$J$6-Inputs!$I$6)))/Inputs!$K$6)^2),NA())</f>
        <v/>
      </c>
      <c r="BA143" s="9">
        <f>IF(OR(Inputs!$F$7=TRUE,Inputs!$F$7="TRUE",Inputs!$F$7=1),(Inputs!$H$7+Inputs!$L$7*(((Inputs!$I$7+(((A143)+1)/2)*(Inputs!$J$7-Inputs!$I$7)))/Inputs!$K$7)^2),NA())</f>
        <v/>
      </c>
      <c r="BB143" s="9">
        <f>IF(OR(Inputs!$F$8=TRUE,Inputs!$F$8="TRUE",Inputs!$F$8=1),(Inputs!$H$8+Inputs!$L$8*(((Inputs!$I$8+(((A143)+1)/2)*(Inputs!$J$8-Inputs!$I$8)))/Inputs!$K$8)^2),NA())</f>
        <v/>
      </c>
      <c r="BC143" s="9">
        <f>IF(OR(Inputs!$F$9=TRUE,Inputs!$F$9="TRUE",Inputs!$F$9=1),(Inputs!$H$9+Inputs!$L$9*(((Inputs!$I$9+(((A143)+1)/2)*(Inputs!$J$9-Inputs!$I$9)))/Inputs!$K$9)^2),NA())</f>
        <v/>
      </c>
      <c r="BD143" s="10" t="n"/>
      <c r="BE143" s="9">
        <f>A143</f>
        <v/>
      </c>
      <c r="BF143" s="9">
        <f>0</f>
        <v/>
      </c>
      <c r="BG143" s="9">
        <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f>
        <v/>
      </c>
      <c r="BH143" s="9">
        <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f>
        <v/>
      </c>
      <c r="BI143" s="9">
        <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f>
        <v/>
      </c>
      <c r="BJ143" s="9">
        <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f>
        <v/>
      </c>
    </row>
    <row r="144">
      <c r="A144" s="9">
        <f>ROUND(-1+142*2/240,3)</f>
        <v/>
      </c>
      <c r="B144" s="9">
        <f>IF(OR(Inputs!$F$6=TRUE,Inputs!$F$6="TRUE",Inputs!$F$6=1),(Inputs!$H$6+Inputs!$L$6*(((Inputs!$I$6+(((A144)+1)/2)*(Inputs!$J$6-Inputs!$I$6)))/Inputs!$K$6)^2),NA())</f>
        <v/>
      </c>
      <c r="C144" s="9">
        <f>IF(OR(Inputs!$F$7=TRUE,Inputs!$F$7="TRUE",Inputs!$F$7=1),(Inputs!$H$7+Inputs!$L$7*(((Inputs!$I$7+(((A144)+1)/2)*(Inputs!$J$7-Inputs!$I$7)))/Inputs!$K$7)^2),NA())</f>
        <v/>
      </c>
      <c r="D144" s="9">
        <f>IF(OR(Inputs!$F$8=TRUE,Inputs!$F$8="TRUE",Inputs!$F$8=1),(Inputs!$H$8+Inputs!$L$8*(((Inputs!$I$8+(((A144)+1)/2)*(Inputs!$J$8-Inputs!$I$8)))/Inputs!$K$8)^2),NA())</f>
        <v/>
      </c>
      <c r="E144" s="9">
        <f>IF(OR(Inputs!$F$9=TRUE,Inputs!$F$9="TRUE",Inputs!$F$9=1),(Inputs!$H$9+Inputs!$L$9*(((Inputs!$I$9+(((A144)+1)/2)*(Inputs!$J$9-Inputs!$I$9)))/Inputs!$K$9)^2),NA())</f>
        <v/>
      </c>
      <c r="F144" s="10" t="n"/>
      <c r="G144" s="9">
        <f>A144</f>
        <v/>
      </c>
      <c r="H144" s="9">
        <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f>
        <v/>
      </c>
      <c r="I144" s="9">
        <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f>
        <v/>
      </c>
      <c r="J144" s="9">
        <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f>
        <v/>
      </c>
      <c r="K144" s="9">
        <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f>
        <v/>
      </c>
      <c r="L144" s="10" t="n"/>
      <c r="M144" s="9">
        <f>A144</f>
        <v/>
      </c>
      <c r="N144" s="9">
        <f>IF(OR(Inputs!$F$6=TRUE,Inputs!$F$6="TRUE",Inputs!$F$6=1),(-2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NA())</f>
        <v/>
      </c>
      <c r="O144" s="9">
        <f>IF(OR(Inputs!$F$7=TRUE,Inputs!$F$7="TRUE",Inputs!$F$7=1),(-2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NA())</f>
        <v/>
      </c>
      <c r="P144" s="9">
        <f>IF(OR(Inputs!$F$8=TRUE,Inputs!$F$8="TRUE",Inputs!$F$8=1),(-2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NA())</f>
        <v/>
      </c>
      <c r="Q144" s="9">
        <f>IF(OR(Inputs!$F$9=TRUE,Inputs!$F$9="TRUE",Inputs!$F$9=1),(-2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NA())</f>
        <v/>
      </c>
      <c r="R144" s="10" t="n"/>
      <c r="S144" s="9">
        <f>A144</f>
        <v/>
      </c>
      <c r="T144" s="9">
        <f>(Inputs!$I$6+(((A144)+1)/2)*(Inputs!$J$6-Inputs!$I$6))</f>
        <v/>
      </c>
      <c r="U144" s="9">
        <f>(Inputs!$I$7+(((A144)+1)/2)*(Inputs!$J$7-Inputs!$I$7))</f>
        <v/>
      </c>
      <c r="V144" s="9">
        <f>(Inputs!$I$8+(((A144)+1)/2)*(Inputs!$J$8-Inputs!$I$8))</f>
        <v/>
      </c>
      <c r="W144" s="9">
        <f>(Inputs!$I$9+(((A144)+1)/2)*(Inputs!$J$9-Inputs!$I$9))</f>
        <v/>
      </c>
      <c r="X144" s="10" t="n"/>
      <c r="Y144" s="9">
        <f>A144</f>
        <v/>
      </c>
      <c r="Z144" s="9">
        <f>(Inputs!$H$6+Inputs!$L$6*(((Inputs!$I$6+(((A144)+1)/2)*(Inputs!$J$6-Inputs!$I$6)))/Inputs!$K$6)^2)</f>
        <v/>
      </c>
      <c r="AA144" s="9">
        <f>(Inputs!$H$7+Inputs!$L$7*(((Inputs!$I$7+(((A144)+1)/2)*(Inputs!$J$7-Inputs!$I$7)))/Inputs!$K$7)^2)</f>
        <v/>
      </c>
      <c r="AB144" s="9">
        <f>(Inputs!$H$8+Inputs!$L$8*(((Inputs!$I$8+(((A144)+1)/2)*(Inputs!$J$8-Inputs!$I$8)))/Inputs!$K$8)^2)</f>
        <v/>
      </c>
      <c r="AC144" s="9">
        <f>(Inputs!$H$9+Inputs!$L$9*(((Inputs!$I$9+(((A144)+1)/2)*(Inputs!$J$9-Inputs!$I$9)))/Inputs!$K$9)^2)</f>
        <v/>
      </c>
      <c r="AD144" s="10" t="n"/>
      <c r="AE144" s="9">
        <f>A144</f>
        <v/>
      </c>
      <c r="AF144" s="9">
        <f>(((SQRT((Inputs!$C$52+((Inputs!$H$6+Inputs!$L$6*(((Inputs!$I$6+(((A144)+1)/2)*(Inputs!$J$6-Inputs!$I$6)))/Inputs!$K$6)^2)))^2+Inputs!$C$52^2-2*(Inputs!$C$52+((Inputs!$H$6+Inputs!$L$6*(((Inputs!$I$6+(((A144)+1)/2)*(Inputs!$J$6-Inputs!$I$6)))/Inputs!$K$6)^2)))*Inputs!$C$52*COS(SQRT(((Inputs!$I$6+(((A144)+1)/2)*(Inputs!$J$6-Inputs!$I$6)))^2+Inputs!$C$6^2)/Inputs!$C$52)))-((Inputs!$H$6+Inputs!$L$6*(((Inputs!$I$6+(((A144)+1)/2)*(Inputs!$J$6-Inputs!$I$6)))/Inputs!$K$6)^2)))*1000/Inputs!$C$12)</f>
        <v/>
      </c>
      <c r="AG144" s="9">
        <f>(((SQRT((Inputs!$C$52+((Inputs!$H$7+Inputs!$L$7*(((Inputs!$I$7+(((A144)+1)/2)*(Inputs!$J$7-Inputs!$I$7)))/Inputs!$K$7)^2)))^2+Inputs!$C$52^2-2*(Inputs!$C$52+((Inputs!$H$7+Inputs!$L$7*(((Inputs!$I$7+(((A144)+1)/2)*(Inputs!$J$7-Inputs!$I$7)))/Inputs!$K$7)^2)))*Inputs!$C$52*COS(SQRT(((Inputs!$I$7+(((A144)+1)/2)*(Inputs!$J$7-Inputs!$I$7)))^2+Inputs!$C$6^2)/Inputs!$C$52)))-((Inputs!$H$7+Inputs!$L$7*(((Inputs!$I$7+(((A144)+1)/2)*(Inputs!$J$7-Inputs!$I$7)))/Inputs!$K$7)^2)))*1000/Inputs!$C$12)</f>
        <v/>
      </c>
      <c r="AH144" s="9">
        <f>(((SQRT((Inputs!$C$52+((Inputs!$H$8+Inputs!$L$8*(((Inputs!$I$8+(((A144)+1)/2)*(Inputs!$J$8-Inputs!$I$8)))/Inputs!$K$8)^2)))^2+Inputs!$C$52^2-2*(Inputs!$C$52+((Inputs!$H$8+Inputs!$L$8*(((Inputs!$I$8+(((A144)+1)/2)*(Inputs!$J$8-Inputs!$I$8)))/Inputs!$K$8)^2)))*Inputs!$C$52*COS(SQRT(((Inputs!$I$8+(((A144)+1)/2)*(Inputs!$J$8-Inputs!$I$8)))^2+Inputs!$C$6^2)/Inputs!$C$52)))-((Inputs!$H$8+Inputs!$L$8*(((Inputs!$I$8+(((A144)+1)/2)*(Inputs!$J$8-Inputs!$I$8)))/Inputs!$K$8)^2)))*1000/Inputs!$C$12)</f>
        <v/>
      </c>
      <c r="AI144" s="9">
        <f>(((SQRT((Inputs!$C$52+((Inputs!$H$9+Inputs!$L$9*(((Inputs!$I$9+(((A144)+1)/2)*(Inputs!$J$9-Inputs!$I$9)))/Inputs!$K$9)^2)))^2+Inputs!$C$52^2-2*(Inputs!$C$52+((Inputs!$H$9+Inputs!$L$9*(((Inputs!$I$9+(((A144)+1)/2)*(Inputs!$J$9-Inputs!$I$9)))/Inputs!$K$9)^2)))*Inputs!$C$52*COS(SQRT(((Inputs!$I$9+(((A144)+1)/2)*(Inputs!$J$9-Inputs!$I$9)))^2+Inputs!$C$6^2)/Inputs!$C$52)))-((Inputs!$H$9+Inputs!$L$9*(((Inputs!$I$9+(((A144)+1)/2)*(Inputs!$J$9-Inputs!$I$9)))/Inputs!$K$9)^2)))*1000/Inputs!$C$12)</f>
        <v/>
      </c>
      <c r="AJ144" s="10" t="n"/>
      <c r="AK144" s="9">
        <f>A144</f>
        <v/>
      </c>
      <c r="AL144" s="9">
        <f>(-2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f>
        <v/>
      </c>
      <c r="AM144" s="9">
        <f>(-2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f>
        <v/>
      </c>
      <c r="AN144" s="9">
        <f>(-2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f>
        <v/>
      </c>
      <c r="AO144" s="9">
        <f>(-2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f>
        <v/>
      </c>
      <c r="AP144" s="10" t="n"/>
      <c r="AQ144" s="9">
        <f>A144</f>
        <v/>
      </c>
      <c r="AR144" s="9">
        <f>0</f>
        <v/>
      </c>
      <c r="AS144" s="9">
        <f>IF(OR(Inputs!$F$6=TRUE,Inputs!$F$6="TRUE",Inputs!$F$6=1),IF(OR(Inputs!$C$27=TRUE,Inputs!$C$27="TRUE",Inputs!$C$27=1),1,0)*(Inputs!$C$51*(115*EXP(-(((Inputs!$C$6)-25)^2)/(4.5^2))+70*EXP(-(((Inputs!$C$6)+38)^2)/(7^2))*(0.55+0.45*SIN(2*PI()*((Inputs!$I$6+(((A144)+1)/2)*(Inputs!$J$6-Inputs!$I$6)))/45))+24*SIN(2*PI()*(Inputs!$C$6)/9+((Inputs!$I$6+(((A144)+1)/2)*(Inputs!$J$6-Inputs!$I$6)))/18)*EXP(-(((Inputs!$C$6)+5)^2)/(22^2))+18*SIN(2*PI()*((Inputs!$I$6+(((A144)+1)/2)*(Inputs!$J$6-Inputs!$I$6)))/70))+Inputs!$C$28*EXP(-((((Inputs!$I$6+(((A144)+1)/2)*(Inputs!$J$6-Inputs!$I$6)))-Inputs!$C$29)^2)/(2*Inputs!$C$31^2))*EXP(-(((Inputs!$C$6)-Inputs!$C$30)^2)/(2*Inputs!$C$32^2))+-Inputs!$C$33*EXP(-((((((Inputs!$I$6+(((A144)+1)/2)*(Inputs!$J$6-Inputs!$I$6)))-Inputs!$C$34)^2)+(((Inputs!$C$6)-Inputs!$C$35)^2))/(2*Inputs!$C$36^2)))+Inputs!$C$37*(0.55*SIN(2*PI()*((Inputs!$I$6+(((A144)+1)/2)*(Inputs!$J$6-Inputs!$I$6)))/Inputs!$C$39)+0.35*COS(2*PI()*(Inputs!$C$6)/Inputs!$C$40)+0.2*SIN(2*PI()*(((Inputs!$I$6+(((A144)+1)/2)*(Inputs!$J$6-Inputs!$I$6)))+(Inputs!$C$6))/(0.5*(Inputs!$C$39+Inputs!$C$40))))+Inputs!$C$38*SIN(2*PI()*((Inputs!$I$6+(((A144)+1)/2)*(Inputs!$J$6-Inputs!$I$6)))/Inputs!$C$39)*SIN(2*PI()*(Inputs!$C$6)/Inputs!$C$40)+-Inputs!$C$41*EXP(-(((Inputs!$C$6)-Inputs!$C$43)^2)/(2*Inputs!$C$44^2))*EXP(-((((Inputs!$I$6+(((A144)+1)/2)*(Inputs!$J$6-Inputs!$I$6)))-Inputs!$C$42)^2)/(2*Inputs!$C$45^2))+Inputs!$C$48*(0.7*(0.45*SIN(2*PI()*((((Inputs!$I$6+(((A144)+1)/2)*(Inputs!$J$6-Inputs!$I$6)))/Inputs!$C$49)+Inputs!$C$47*0.137))+0.35*COS(2*PI()*(((Inputs!$C$6)/Inputs!$C$50)+Inputs!$C$47*0.173))+0.2*SIN(2*PI()*((((Inputs!$I$6+(((A144)+1)/2)*(Inputs!$J$6-Inputs!$I$6)))+(Inputs!$C$6))/(0.5*(Inputs!$C$49+Inputs!$C$50))+Inputs!$C$47*0.097)))+0.3*(2*((SIN((((Inputs!$I$6+(((A144)+1)/2)*(Inputs!$J$6-Inputs!$I$6)))*12.9898+(Inputs!$C$6)*78.233+Inputs!$C$47*37.719))*43758.5453)-INT((SIN((((Inputs!$I$6+(((A144)+1)/2)*(Inputs!$J$6-Inputs!$I$6)))*12.9898+(Inputs!$C$6)*78.233+Inputs!$C$47*37.719))*43758.5453)))-1))),NA())</f>
        <v/>
      </c>
      <c r="AT144" s="9">
        <f>IF(OR(Inputs!$F$7=TRUE,Inputs!$F$7="TRUE",Inputs!$F$7=1),IF(OR(Inputs!$C$27=TRUE,Inputs!$C$27="TRUE",Inputs!$C$27=1),1,0)*(Inputs!$C$51*(115*EXP(-(((Inputs!$C$6)-25)^2)/(4.5^2))+70*EXP(-(((Inputs!$C$6)+38)^2)/(7^2))*(0.55+0.45*SIN(2*PI()*((Inputs!$I$7+(((A144)+1)/2)*(Inputs!$J$7-Inputs!$I$7)))/45))+24*SIN(2*PI()*(Inputs!$C$6)/9+((Inputs!$I$7+(((A144)+1)/2)*(Inputs!$J$7-Inputs!$I$7)))/18)*EXP(-(((Inputs!$C$6)+5)^2)/(22^2))+18*SIN(2*PI()*((Inputs!$I$7+(((A144)+1)/2)*(Inputs!$J$7-Inputs!$I$7)))/70))+Inputs!$C$28*EXP(-((((Inputs!$I$7+(((A144)+1)/2)*(Inputs!$J$7-Inputs!$I$7)))-Inputs!$C$29)^2)/(2*Inputs!$C$31^2))*EXP(-(((Inputs!$C$6)-Inputs!$C$30)^2)/(2*Inputs!$C$32^2))+-Inputs!$C$33*EXP(-((((((Inputs!$I$7+(((A144)+1)/2)*(Inputs!$J$7-Inputs!$I$7)))-Inputs!$C$34)^2)+(((Inputs!$C$6)-Inputs!$C$35)^2))/(2*Inputs!$C$36^2)))+Inputs!$C$37*(0.55*SIN(2*PI()*((Inputs!$I$7+(((A144)+1)/2)*(Inputs!$J$7-Inputs!$I$7)))/Inputs!$C$39)+0.35*COS(2*PI()*(Inputs!$C$6)/Inputs!$C$40)+0.2*SIN(2*PI()*(((Inputs!$I$7+(((A144)+1)/2)*(Inputs!$J$7-Inputs!$I$7)))+(Inputs!$C$6))/(0.5*(Inputs!$C$39+Inputs!$C$40))))+Inputs!$C$38*SIN(2*PI()*((Inputs!$I$7+(((A144)+1)/2)*(Inputs!$J$7-Inputs!$I$7)))/Inputs!$C$39)*SIN(2*PI()*(Inputs!$C$6)/Inputs!$C$40)+-Inputs!$C$41*EXP(-(((Inputs!$C$6)-Inputs!$C$43)^2)/(2*Inputs!$C$44^2))*EXP(-((((Inputs!$I$7+(((A144)+1)/2)*(Inputs!$J$7-Inputs!$I$7)))-Inputs!$C$42)^2)/(2*Inputs!$C$45^2))+Inputs!$C$48*(0.7*(0.45*SIN(2*PI()*((((Inputs!$I$7+(((A144)+1)/2)*(Inputs!$J$7-Inputs!$I$7)))/Inputs!$C$49)+Inputs!$C$47*0.137))+0.35*COS(2*PI()*(((Inputs!$C$6)/Inputs!$C$50)+Inputs!$C$47*0.173))+0.2*SIN(2*PI()*((((Inputs!$I$7+(((A144)+1)/2)*(Inputs!$J$7-Inputs!$I$7)))+(Inputs!$C$6))/(0.5*(Inputs!$C$49+Inputs!$C$50))+Inputs!$C$47*0.097)))+0.3*(2*((SIN((((Inputs!$I$7+(((A144)+1)/2)*(Inputs!$J$7-Inputs!$I$7)))*12.9898+(Inputs!$C$6)*78.233+Inputs!$C$47*37.719))*43758.5453)-INT((SIN((((Inputs!$I$7+(((A144)+1)/2)*(Inputs!$J$7-Inputs!$I$7)))*12.9898+(Inputs!$C$6)*78.233+Inputs!$C$47*37.719))*43758.5453)))-1))),NA())</f>
        <v/>
      </c>
      <c r="AU144" s="9">
        <f>IF(OR(Inputs!$F$8=TRUE,Inputs!$F$8="TRUE",Inputs!$F$8=1),IF(OR(Inputs!$C$27=TRUE,Inputs!$C$27="TRUE",Inputs!$C$27=1),1,0)*(Inputs!$C$51*(115*EXP(-(((Inputs!$C$6)-25)^2)/(4.5^2))+70*EXP(-(((Inputs!$C$6)+38)^2)/(7^2))*(0.55+0.45*SIN(2*PI()*((Inputs!$I$8+(((A144)+1)/2)*(Inputs!$J$8-Inputs!$I$8)))/45))+24*SIN(2*PI()*(Inputs!$C$6)/9+((Inputs!$I$8+(((A144)+1)/2)*(Inputs!$J$8-Inputs!$I$8)))/18)*EXP(-(((Inputs!$C$6)+5)^2)/(22^2))+18*SIN(2*PI()*((Inputs!$I$8+(((A144)+1)/2)*(Inputs!$J$8-Inputs!$I$8)))/70))+Inputs!$C$28*EXP(-((((Inputs!$I$8+(((A144)+1)/2)*(Inputs!$J$8-Inputs!$I$8)))-Inputs!$C$29)^2)/(2*Inputs!$C$31^2))*EXP(-(((Inputs!$C$6)-Inputs!$C$30)^2)/(2*Inputs!$C$32^2))+-Inputs!$C$33*EXP(-((((((Inputs!$I$8+(((A144)+1)/2)*(Inputs!$J$8-Inputs!$I$8)))-Inputs!$C$34)^2)+(((Inputs!$C$6)-Inputs!$C$35)^2))/(2*Inputs!$C$36^2)))+Inputs!$C$37*(0.55*SIN(2*PI()*((Inputs!$I$8+(((A144)+1)/2)*(Inputs!$J$8-Inputs!$I$8)))/Inputs!$C$39)+0.35*COS(2*PI()*(Inputs!$C$6)/Inputs!$C$40)+0.2*SIN(2*PI()*(((Inputs!$I$8+(((A144)+1)/2)*(Inputs!$J$8-Inputs!$I$8)))+(Inputs!$C$6))/(0.5*(Inputs!$C$39+Inputs!$C$40))))+Inputs!$C$38*SIN(2*PI()*((Inputs!$I$8+(((A144)+1)/2)*(Inputs!$J$8-Inputs!$I$8)))/Inputs!$C$39)*SIN(2*PI()*(Inputs!$C$6)/Inputs!$C$40)+-Inputs!$C$41*EXP(-(((Inputs!$C$6)-Inputs!$C$43)^2)/(2*Inputs!$C$44^2))*EXP(-((((Inputs!$I$8+(((A144)+1)/2)*(Inputs!$J$8-Inputs!$I$8)))-Inputs!$C$42)^2)/(2*Inputs!$C$45^2))+Inputs!$C$48*(0.7*(0.45*SIN(2*PI()*((((Inputs!$I$8+(((A144)+1)/2)*(Inputs!$J$8-Inputs!$I$8)))/Inputs!$C$49)+Inputs!$C$47*0.137))+0.35*COS(2*PI()*(((Inputs!$C$6)/Inputs!$C$50)+Inputs!$C$47*0.173))+0.2*SIN(2*PI()*((((Inputs!$I$8+(((A144)+1)/2)*(Inputs!$J$8-Inputs!$I$8)))+(Inputs!$C$6))/(0.5*(Inputs!$C$49+Inputs!$C$50))+Inputs!$C$47*0.097)))+0.3*(2*((SIN((((Inputs!$I$8+(((A144)+1)/2)*(Inputs!$J$8-Inputs!$I$8)))*12.9898+(Inputs!$C$6)*78.233+Inputs!$C$47*37.719))*43758.5453)-INT((SIN((((Inputs!$I$8+(((A144)+1)/2)*(Inputs!$J$8-Inputs!$I$8)))*12.9898+(Inputs!$C$6)*78.233+Inputs!$C$47*37.719))*43758.5453)))-1))),NA())</f>
        <v/>
      </c>
      <c r="AV144" s="9">
        <f>IF(OR(Inputs!$F$9=TRUE,Inputs!$F$9="TRUE",Inputs!$F$9=1),IF(OR(Inputs!$C$27=TRUE,Inputs!$C$27="TRUE",Inputs!$C$27=1),1,0)*(Inputs!$C$51*(115*EXP(-(((Inputs!$C$6)-25)^2)/(4.5^2))+70*EXP(-(((Inputs!$C$6)+38)^2)/(7^2))*(0.55+0.45*SIN(2*PI()*((Inputs!$I$9+(((A144)+1)/2)*(Inputs!$J$9-Inputs!$I$9)))/45))+24*SIN(2*PI()*(Inputs!$C$6)/9+((Inputs!$I$9+(((A144)+1)/2)*(Inputs!$J$9-Inputs!$I$9)))/18)*EXP(-(((Inputs!$C$6)+5)^2)/(22^2))+18*SIN(2*PI()*((Inputs!$I$9+(((A144)+1)/2)*(Inputs!$J$9-Inputs!$I$9)))/70))+Inputs!$C$28*EXP(-((((Inputs!$I$9+(((A144)+1)/2)*(Inputs!$J$9-Inputs!$I$9)))-Inputs!$C$29)^2)/(2*Inputs!$C$31^2))*EXP(-(((Inputs!$C$6)-Inputs!$C$30)^2)/(2*Inputs!$C$32^2))+-Inputs!$C$33*EXP(-((((((Inputs!$I$9+(((A144)+1)/2)*(Inputs!$J$9-Inputs!$I$9)))-Inputs!$C$34)^2)+(((Inputs!$C$6)-Inputs!$C$35)^2))/(2*Inputs!$C$36^2)))+Inputs!$C$37*(0.55*SIN(2*PI()*((Inputs!$I$9+(((A144)+1)/2)*(Inputs!$J$9-Inputs!$I$9)))/Inputs!$C$39)+0.35*COS(2*PI()*(Inputs!$C$6)/Inputs!$C$40)+0.2*SIN(2*PI()*(((Inputs!$I$9+(((A144)+1)/2)*(Inputs!$J$9-Inputs!$I$9)))+(Inputs!$C$6))/(0.5*(Inputs!$C$39+Inputs!$C$40))))+Inputs!$C$38*SIN(2*PI()*((Inputs!$I$9+(((A144)+1)/2)*(Inputs!$J$9-Inputs!$I$9)))/Inputs!$C$39)*SIN(2*PI()*(Inputs!$C$6)/Inputs!$C$40)+-Inputs!$C$41*EXP(-(((Inputs!$C$6)-Inputs!$C$43)^2)/(2*Inputs!$C$44^2))*EXP(-((((Inputs!$I$9+(((A144)+1)/2)*(Inputs!$J$9-Inputs!$I$9)))-Inputs!$C$42)^2)/(2*Inputs!$C$45^2))+Inputs!$C$48*(0.7*(0.45*SIN(2*PI()*((((Inputs!$I$9+(((A144)+1)/2)*(Inputs!$J$9-Inputs!$I$9)))/Inputs!$C$49)+Inputs!$C$47*0.137))+0.35*COS(2*PI()*(((Inputs!$C$6)/Inputs!$C$50)+Inputs!$C$47*0.173))+0.2*SIN(2*PI()*((((Inputs!$I$9+(((A144)+1)/2)*(Inputs!$J$9-Inputs!$I$9)))+(Inputs!$C$6))/(0.5*(Inputs!$C$49+Inputs!$C$50))+Inputs!$C$47*0.097)))+0.3*(2*((SIN((((Inputs!$I$9+(((A144)+1)/2)*(Inputs!$J$9-Inputs!$I$9)))*12.9898+(Inputs!$C$6)*78.233+Inputs!$C$47*37.719))*43758.5453)-INT((SIN((((Inputs!$I$9+(((A144)+1)/2)*(Inputs!$J$9-Inputs!$I$9)))*12.9898+(Inputs!$C$6)*78.233+Inputs!$C$47*37.719))*43758.5453)))-1))),NA())</f>
        <v/>
      </c>
      <c r="AW144" s="10" t="n"/>
      <c r="AX144" s="9">
        <f>A144</f>
        <v/>
      </c>
      <c r="AY144" s="9">
        <f>0</f>
        <v/>
      </c>
      <c r="AZ144" s="9">
        <f>IF(OR(Inputs!$F$6=TRUE,Inputs!$F$6="TRUE",Inputs!$F$6=1),(Inputs!$H$6+Inputs!$L$6*(((Inputs!$I$6+(((A144)+1)/2)*(Inputs!$J$6-Inputs!$I$6)))/Inputs!$K$6)^2),NA())</f>
        <v/>
      </c>
      <c r="BA144" s="9">
        <f>IF(OR(Inputs!$F$7=TRUE,Inputs!$F$7="TRUE",Inputs!$F$7=1),(Inputs!$H$7+Inputs!$L$7*(((Inputs!$I$7+(((A144)+1)/2)*(Inputs!$J$7-Inputs!$I$7)))/Inputs!$K$7)^2),NA())</f>
        <v/>
      </c>
      <c r="BB144" s="9">
        <f>IF(OR(Inputs!$F$8=TRUE,Inputs!$F$8="TRUE",Inputs!$F$8=1),(Inputs!$H$8+Inputs!$L$8*(((Inputs!$I$8+(((A144)+1)/2)*(Inputs!$J$8-Inputs!$I$8)))/Inputs!$K$8)^2),NA())</f>
        <v/>
      </c>
      <c r="BC144" s="9">
        <f>IF(OR(Inputs!$F$9=TRUE,Inputs!$F$9="TRUE",Inputs!$F$9=1),(Inputs!$H$9+Inputs!$L$9*(((Inputs!$I$9+(((A144)+1)/2)*(Inputs!$J$9-Inputs!$I$9)))/Inputs!$K$9)^2),NA())</f>
        <v/>
      </c>
      <c r="BD144" s="10" t="n"/>
      <c r="BE144" s="9">
        <f>A144</f>
        <v/>
      </c>
      <c r="BF144" s="9">
        <f>0</f>
        <v/>
      </c>
      <c r="BG144" s="9">
        <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f>
        <v/>
      </c>
      <c r="BH144" s="9">
        <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f>
        <v/>
      </c>
      <c r="BI144" s="9">
        <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f>
        <v/>
      </c>
      <c r="BJ144" s="9">
        <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f>
        <v/>
      </c>
    </row>
    <row r="145">
      <c r="A145" s="9">
        <f>ROUND(-1+143*2/240,3)</f>
        <v/>
      </c>
      <c r="B145" s="9">
        <f>IF(OR(Inputs!$F$6=TRUE,Inputs!$F$6="TRUE",Inputs!$F$6=1),(Inputs!$H$6+Inputs!$L$6*(((Inputs!$I$6+(((A145)+1)/2)*(Inputs!$J$6-Inputs!$I$6)))/Inputs!$K$6)^2),NA())</f>
        <v/>
      </c>
      <c r="C145" s="9">
        <f>IF(OR(Inputs!$F$7=TRUE,Inputs!$F$7="TRUE",Inputs!$F$7=1),(Inputs!$H$7+Inputs!$L$7*(((Inputs!$I$7+(((A145)+1)/2)*(Inputs!$J$7-Inputs!$I$7)))/Inputs!$K$7)^2),NA())</f>
        <v/>
      </c>
      <c r="D145" s="9">
        <f>IF(OR(Inputs!$F$8=TRUE,Inputs!$F$8="TRUE",Inputs!$F$8=1),(Inputs!$H$8+Inputs!$L$8*(((Inputs!$I$8+(((A145)+1)/2)*(Inputs!$J$8-Inputs!$I$8)))/Inputs!$K$8)^2),NA())</f>
        <v/>
      </c>
      <c r="E145" s="9">
        <f>IF(OR(Inputs!$F$9=TRUE,Inputs!$F$9="TRUE",Inputs!$F$9=1),(Inputs!$H$9+Inputs!$L$9*(((Inputs!$I$9+(((A145)+1)/2)*(Inputs!$J$9-Inputs!$I$9)))/Inputs!$K$9)^2),NA())</f>
        <v/>
      </c>
      <c r="F145" s="10" t="n"/>
      <c r="G145" s="9">
        <f>A145</f>
        <v/>
      </c>
      <c r="H145" s="9">
        <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f>
        <v/>
      </c>
      <c r="I145" s="9">
        <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f>
        <v/>
      </c>
      <c r="J145" s="9">
        <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f>
        <v/>
      </c>
      <c r="K145" s="9">
        <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f>
        <v/>
      </c>
      <c r="L145" s="10" t="n"/>
      <c r="M145" s="9">
        <f>A145</f>
        <v/>
      </c>
      <c r="N145" s="9">
        <f>IF(OR(Inputs!$F$6=TRUE,Inputs!$F$6="TRUE",Inputs!$F$6=1),(-2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NA())</f>
        <v/>
      </c>
      <c r="O145" s="9">
        <f>IF(OR(Inputs!$F$7=TRUE,Inputs!$F$7="TRUE",Inputs!$F$7=1),(-2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NA())</f>
        <v/>
      </c>
      <c r="P145" s="9">
        <f>IF(OR(Inputs!$F$8=TRUE,Inputs!$F$8="TRUE",Inputs!$F$8=1),(-2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NA())</f>
        <v/>
      </c>
      <c r="Q145" s="9">
        <f>IF(OR(Inputs!$F$9=TRUE,Inputs!$F$9="TRUE",Inputs!$F$9=1),(-2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NA())</f>
        <v/>
      </c>
      <c r="R145" s="10" t="n"/>
      <c r="S145" s="9">
        <f>A145</f>
        <v/>
      </c>
      <c r="T145" s="9">
        <f>(Inputs!$I$6+(((A145)+1)/2)*(Inputs!$J$6-Inputs!$I$6))</f>
        <v/>
      </c>
      <c r="U145" s="9">
        <f>(Inputs!$I$7+(((A145)+1)/2)*(Inputs!$J$7-Inputs!$I$7))</f>
        <v/>
      </c>
      <c r="V145" s="9">
        <f>(Inputs!$I$8+(((A145)+1)/2)*(Inputs!$J$8-Inputs!$I$8))</f>
        <v/>
      </c>
      <c r="W145" s="9">
        <f>(Inputs!$I$9+(((A145)+1)/2)*(Inputs!$J$9-Inputs!$I$9))</f>
        <v/>
      </c>
      <c r="X145" s="10" t="n"/>
      <c r="Y145" s="9">
        <f>A145</f>
        <v/>
      </c>
      <c r="Z145" s="9">
        <f>(Inputs!$H$6+Inputs!$L$6*(((Inputs!$I$6+(((A145)+1)/2)*(Inputs!$J$6-Inputs!$I$6)))/Inputs!$K$6)^2)</f>
        <v/>
      </c>
      <c r="AA145" s="9">
        <f>(Inputs!$H$7+Inputs!$L$7*(((Inputs!$I$7+(((A145)+1)/2)*(Inputs!$J$7-Inputs!$I$7)))/Inputs!$K$7)^2)</f>
        <v/>
      </c>
      <c r="AB145" s="9">
        <f>(Inputs!$H$8+Inputs!$L$8*(((Inputs!$I$8+(((A145)+1)/2)*(Inputs!$J$8-Inputs!$I$8)))/Inputs!$K$8)^2)</f>
        <v/>
      </c>
      <c r="AC145" s="9">
        <f>(Inputs!$H$9+Inputs!$L$9*(((Inputs!$I$9+(((A145)+1)/2)*(Inputs!$J$9-Inputs!$I$9)))/Inputs!$K$9)^2)</f>
        <v/>
      </c>
      <c r="AD145" s="10" t="n"/>
      <c r="AE145" s="9">
        <f>A145</f>
        <v/>
      </c>
      <c r="AF145" s="9">
        <f>(((SQRT((Inputs!$C$52+((Inputs!$H$6+Inputs!$L$6*(((Inputs!$I$6+(((A145)+1)/2)*(Inputs!$J$6-Inputs!$I$6)))/Inputs!$K$6)^2)))^2+Inputs!$C$52^2-2*(Inputs!$C$52+((Inputs!$H$6+Inputs!$L$6*(((Inputs!$I$6+(((A145)+1)/2)*(Inputs!$J$6-Inputs!$I$6)))/Inputs!$K$6)^2)))*Inputs!$C$52*COS(SQRT(((Inputs!$I$6+(((A145)+1)/2)*(Inputs!$J$6-Inputs!$I$6)))^2+Inputs!$C$6^2)/Inputs!$C$52)))-((Inputs!$H$6+Inputs!$L$6*(((Inputs!$I$6+(((A145)+1)/2)*(Inputs!$J$6-Inputs!$I$6)))/Inputs!$K$6)^2)))*1000/Inputs!$C$12)</f>
        <v/>
      </c>
      <c r="AG145" s="9">
        <f>(((SQRT((Inputs!$C$52+((Inputs!$H$7+Inputs!$L$7*(((Inputs!$I$7+(((A145)+1)/2)*(Inputs!$J$7-Inputs!$I$7)))/Inputs!$K$7)^2)))^2+Inputs!$C$52^2-2*(Inputs!$C$52+((Inputs!$H$7+Inputs!$L$7*(((Inputs!$I$7+(((A145)+1)/2)*(Inputs!$J$7-Inputs!$I$7)))/Inputs!$K$7)^2)))*Inputs!$C$52*COS(SQRT(((Inputs!$I$7+(((A145)+1)/2)*(Inputs!$J$7-Inputs!$I$7)))^2+Inputs!$C$6^2)/Inputs!$C$52)))-((Inputs!$H$7+Inputs!$L$7*(((Inputs!$I$7+(((A145)+1)/2)*(Inputs!$J$7-Inputs!$I$7)))/Inputs!$K$7)^2)))*1000/Inputs!$C$12)</f>
        <v/>
      </c>
      <c r="AH145" s="9">
        <f>(((SQRT((Inputs!$C$52+((Inputs!$H$8+Inputs!$L$8*(((Inputs!$I$8+(((A145)+1)/2)*(Inputs!$J$8-Inputs!$I$8)))/Inputs!$K$8)^2)))^2+Inputs!$C$52^2-2*(Inputs!$C$52+((Inputs!$H$8+Inputs!$L$8*(((Inputs!$I$8+(((A145)+1)/2)*(Inputs!$J$8-Inputs!$I$8)))/Inputs!$K$8)^2)))*Inputs!$C$52*COS(SQRT(((Inputs!$I$8+(((A145)+1)/2)*(Inputs!$J$8-Inputs!$I$8)))^2+Inputs!$C$6^2)/Inputs!$C$52)))-((Inputs!$H$8+Inputs!$L$8*(((Inputs!$I$8+(((A145)+1)/2)*(Inputs!$J$8-Inputs!$I$8)))/Inputs!$K$8)^2)))*1000/Inputs!$C$12)</f>
        <v/>
      </c>
      <c r="AI145" s="9">
        <f>(((SQRT((Inputs!$C$52+((Inputs!$H$9+Inputs!$L$9*(((Inputs!$I$9+(((A145)+1)/2)*(Inputs!$J$9-Inputs!$I$9)))/Inputs!$K$9)^2)))^2+Inputs!$C$52^2-2*(Inputs!$C$52+((Inputs!$H$9+Inputs!$L$9*(((Inputs!$I$9+(((A145)+1)/2)*(Inputs!$J$9-Inputs!$I$9)))/Inputs!$K$9)^2)))*Inputs!$C$52*COS(SQRT(((Inputs!$I$9+(((A145)+1)/2)*(Inputs!$J$9-Inputs!$I$9)))^2+Inputs!$C$6^2)/Inputs!$C$52)))-((Inputs!$H$9+Inputs!$L$9*(((Inputs!$I$9+(((A145)+1)/2)*(Inputs!$J$9-Inputs!$I$9)))/Inputs!$K$9)^2)))*1000/Inputs!$C$12)</f>
        <v/>
      </c>
      <c r="AJ145" s="10" t="n"/>
      <c r="AK145" s="9">
        <f>A145</f>
        <v/>
      </c>
      <c r="AL145" s="9">
        <f>(-2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f>
        <v/>
      </c>
      <c r="AM145" s="9">
        <f>(-2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f>
        <v/>
      </c>
      <c r="AN145" s="9">
        <f>(-2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f>
        <v/>
      </c>
      <c r="AO145" s="9">
        <f>(-2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f>
        <v/>
      </c>
      <c r="AP145" s="10" t="n"/>
      <c r="AQ145" s="9">
        <f>A145</f>
        <v/>
      </c>
      <c r="AR145" s="9">
        <f>0</f>
        <v/>
      </c>
      <c r="AS145" s="9">
        <f>IF(OR(Inputs!$F$6=TRUE,Inputs!$F$6="TRUE",Inputs!$F$6=1),IF(OR(Inputs!$C$27=TRUE,Inputs!$C$27="TRUE",Inputs!$C$27=1),1,0)*(Inputs!$C$51*(115*EXP(-(((Inputs!$C$6)-25)^2)/(4.5^2))+70*EXP(-(((Inputs!$C$6)+38)^2)/(7^2))*(0.55+0.45*SIN(2*PI()*((Inputs!$I$6+(((A145)+1)/2)*(Inputs!$J$6-Inputs!$I$6)))/45))+24*SIN(2*PI()*(Inputs!$C$6)/9+((Inputs!$I$6+(((A145)+1)/2)*(Inputs!$J$6-Inputs!$I$6)))/18)*EXP(-(((Inputs!$C$6)+5)^2)/(22^2))+18*SIN(2*PI()*((Inputs!$I$6+(((A145)+1)/2)*(Inputs!$J$6-Inputs!$I$6)))/70))+Inputs!$C$28*EXP(-((((Inputs!$I$6+(((A145)+1)/2)*(Inputs!$J$6-Inputs!$I$6)))-Inputs!$C$29)^2)/(2*Inputs!$C$31^2))*EXP(-(((Inputs!$C$6)-Inputs!$C$30)^2)/(2*Inputs!$C$32^2))+-Inputs!$C$33*EXP(-((((((Inputs!$I$6+(((A145)+1)/2)*(Inputs!$J$6-Inputs!$I$6)))-Inputs!$C$34)^2)+(((Inputs!$C$6)-Inputs!$C$35)^2))/(2*Inputs!$C$36^2)))+Inputs!$C$37*(0.55*SIN(2*PI()*((Inputs!$I$6+(((A145)+1)/2)*(Inputs!$J$6-Inputs!$I$6)))/Inputs!$C$39)+0.35*COS(2*PI()*(Inputs!$C$6)/Inputs!$C$40)+0.2*SIN(2*PI()*(((Inputs!$I$6+(((A145)+1)/2)*(Inputs!$J$6-Inputs!$I$6)))+(Inputs!$C$6))/(0.5*(Inputs!$C$39+Inputs!$C$40))))+Inputs!$C$38*SIN(2*PI()*((Inputs!$I$6+(((A145)+1)/2)*(Inputs!$J$6-Inputs!$I$6)))/Inputs!$C$39)*SIN(2*PI()*(Inputs!$C$6)/Inputs!$C$40)+-Inputs!$C$41*EXP(-(((Inputs!$C$6)-Inputs!$C$43)^2)/(2*Inputs!$C$44^2))*EXP(-((((Inputs!$I$6+(((A145)+1)/2)*(Inputs!$J$6-Inputs!$I$6)))-Inputs!$C$42)^2)/(2*Inputs!$C$45^2))+Inputs!$C$48*(0.7*(0.45*SIN(2*PI()*((((Inputs!$I$6+(((A145)+1)/2)*(Inputs!$J$6-Inputs!$I$6)))/Inputs!$C$49)+Inputs!$C$47*0.137))+0.35*COS(2*PI()*(((Inputs!$C$6)/Inputs!$C$50)+Inputs!$C$47*0.173))+0.2*SIN(2*PI()*((((Inputs!$I$6+(((A145)+1)/2)*(Inputs!$J$6-Inputs!$I$6)))+(Inputs!$C$6))/(0.5*(Inputs!$C$49+Inputs!$C$50))+Inputs!$C$47*0.097)))+0.3*(2*((SIN((((Inputs!$I$6+(((A145)+1)/2)*(Inputs!$J$6-Inputs!$I$6)))*12.9898+(Inputs!$C$6)*78.233+Inputs!$C$47*37.719))*43758.5453)-INT((SIN((((Inputs!$I$6+(((A145)+1)/2)*(Inputs!$J$6-Inputs!$I$6)))*12.9898+(Inputs!$C$6)*78.233+Inputs!$C$47*37.719))*43758.5453)))-1))),NA())</f>
        <v/>
      </c>
      <c r="AT145" s="9">
        <f>IF(OR(Inputs!$F$7=TRUE,Inputs!$F$7="TRUE",Inputs!$F$7=1),IF(OR(Inputs!$C$27=TRUE,Inputs!$C$27="TRUE",Inputs!$C$27=1),1,0)*(Inputs!$C$51*(115*EXP(-(((Inputs!$C$6)-25)^2)/(4.5^2))+70*EXP(-(((Inputs!$C$6)+38)^2)/(7^2))*(0.55+0.45*SIN(2*PI()*((Inputs!$I$7+(((A145)+1)/2)*(Inputs!$J$7-Inputs!$I$7)))/45))+24*SIN(2*PI()*(Inputs!$C$6)/9+((Inputs!$I$7+(((A145)+1)/2)*(Inputs!$J$7-Inputs!$I$7)))/18)*EXP(-(((Inputs!$C$6)+5)^2)/(22^2))+18*SIN(2*PI()*((Inputs!$I$7+(((A145)+1)/2)*(Inputs!$J$7-Inputs!$I$7)))/70))+Inputs!$C$28*EXP(-((((Inputs!$I$7+(((A145)+1)/2)*(Inputs!$J$7-Inputs!$I$7)))-Inputs!$C$29)^2)/(2*Inputs!$C$31^2))*EXP(-(((Inputs!$C$6)-Inputs!$C$30)^2)/(2*Inputs!$C$32^2))+-Inputs!$C$33*EXP(-((((((Inputs!$I$7+(((A145)+1)/2)*(Inputs!$J$7-Inputs!$I$7)))-Inputs!$C$34)^2)+(((Inputs!$C$6)-Inputs!$C$35)^2))/(2*Inputs!$C$36^2)))+Inputs!$C$37*(0.55*SIN(2*PI()*((Inputs!$I$7+(((A145)+1)/2)*(Inputs!$J$7-Inputs!$I$7)))/Inputs!$C$39)+0.35*COS(2*PI()*(Inputs!$C$6)/Inputs!$C$40)+0.2*SIN(2*PI()*(((Inputs!$I$7+(((A145)+1)/2)*(Inputs!$J$7-Inputs!$I$7)))+(Inputs!$C$6))/(0.5*(Inputs!$C$39+Inputs!$C$40))))+Inputs!$C$38*SIN(2*PI()*((Inputs!$I$7+(((A145)+1)/2)*(Inputs!$J$7-Inputs!$I$7)))/Inputs!$C$39)*SIN(2*PI()*(Inputs!$C$6)/Inputs!$C$40)+-Inputs!$C$41*EXP(-(((Inputs!$C$6)-Inputs!$C$43)^2)/(2*Inputs!$C$44^2))*EXP(-((((Inputs!$I$7+(((A145)+1)/2)*(Inputs!$J$7-Inputs!$I$7)))-Inputs!$C$42)^2)/(2*Inputs!$C$45^2))+Inputs!$C$48*(0.7*(0.45*SIN(2*PI()*((((Inputs!$I$7+(((A145)+1)/2)*(Inputs!$J$7-Inputs!$I$7)))/Inputs!$C$49)+Inputs!$C$47*0.137))+0.35*COS(2*PI()*(((Inputs!$C$6)/Inputs!$C$50)+Inputs!$C$47*0.173))+0.2*SIN(2*PI()*((((Inputs!$I$7+(((A145)+1)/2)*(Inputs!$J$7-Inputs!$I$7)))+(Inputs!$C$6))/(0.5*(Inputs!$C$49+Inputs!$C$50))+Inputs!$C$47*0.097)))+0.3*(2*((SIN((((Inputs!$I$7+(((A145)+1)/2)*(Inputs!$J$7-Inputs!$I$7)))*12.9898+(Inputs!$C$6)*78.233+Inputs!$C$47*37.719))*43758.5453)-INT((SIN((((Inputs!$I$7+(((A145)+1)/2)*(Inputs!$J$7-Inputs!$I$7)))*12.9898+(Inputs!$C$6)*78.233+Inputs!$C$47*37.719))*43758.5453)))-1))),NA())</f>
        <v/>
      </c>
      <c r="AU145" s="9">
        <f>IF(OR(Inputs!$F$8=TRUE,Inputs!$F$8="TRUE",Inputs!$F$8=1),IF(OR(Inputs!$C$27=TRUE,Inputs!$C$27="TRUE",Inputs!$C$27=1),1,0)*(Inputs!$C$51*(115*EXP(-(((Inputs!$C$6)-25)^2)/(4.5^2))+70*EXP(-(((Inputs!$C$6)+38)^2)/(7^2))*(0.55+0.45*SIN(2*PI()*((Inputs!$I$8+(((A145)+1)/2)*(Inputs!$J$8-Inputs!$I$8)))/45))+24*SIN(2*PI()*(Inputs!$C$6)/9+((Inputs!$I$8+(((A145)+1)/2)*(Inputs!$J$8-Inputs!$I$8)))/18)*EXP(-(((Inputs!$C$6)+5)^2)/(22^2))+18*SIN(2*PI()*((Inputs!$I$8+(((A145)+1)/2)*(Inputs!$J$8-Inputs!$I$8)))/70))+Inputs!$C$28*EXP(-((((Inputs!$I$8+(((A145)+1)/2)*(Inputs!$J$8-Inputs!$I$8)))-Inputs!$C$29)^2)/(2*Inputs!$C$31^2))*EXP(-(((Inputs!$C$6)-Inputs!$C$30)^2)/(2*Inputs!$C$32^2))+-Inputs!$C$33*EXP(-((((((Inputs!$I$8+(((A145)+1)/2)*(Inputs!$J$8-Inputs!$I$8)))-Inputs!$C$34)^2)+(((Inputs!$C$6)-Inputs!$C$35)^2))/(2*Inputs!$C$36^2)))+Inputs!$C$37*(0.55*SIN(2*PI()*((Inputs!$I$8+(((A145)+1)/2)*(Inputs!$J$8-Inputs!$I$8)))/Inputs!$C$39)+0.35*COS(2*PI()*(Inputs!$C$6)/Inputs!$C$40)+0.2*SIN(2*PI()*(((Inputs!$I$8+(((A145)+1)/2)*(Inputs!$J$8-Inputs!$I$8)))+(Inputs!$C$6))/(0.5*(Inputs!$C$39+Inputs!$C$40))))+Inputs!$C$38*SIN(2*PI()*((Inputs!$I$8+(((A145)+1)/2)*(Inputs!$J$8-Inputs!$I$8)))/Inputs!$C$39)*SIN(2*PI()*(Inputs!$C$6)/Inputs!$C$40)+-Inputs!$C$41*EXP(-(((Inputs!$C$6)-Inputs!$C$43)^2)/(2*Inputs!$C$44^2))*EXP(-((((Inputs!$I$8+(((A145)+1)/2)*(Inputs!$J$8-Inputs!$I$8)))-Inputs!$C$42)^2)/(2*Inputs!$C$45^2))+Inputs!$C$48*(0.7*(0.45*SIN(2*PI()*((((Inputs!$I$8+(((A145)+1)/2)*(Inputs!$J$8-Inputs!$I$8)))/Inputs!$C$49)+Inputs!$C$47*0.137))+0.35*COS(2*PI()*(((Inputs!$C$6)/Inputs!$C$50)+Inputs!$C$47*0.173))+0.2*SIN(2*PI()*((((Inputs!$I$8+(((A145)+1)/2)*(Inputs!$J$8-Inputs!$I$8)))+(Inputs!$C$6))/(0.5*(Inputs!$C$49+Inputs!$C$50))+Inputs!$C$47*0.097)))+0.3*(2*((SIN((((Inputs!$I$8+(((A145)+1)/2)*(Inputs!$J$8-Inputs!$I$8)))*12.9898+(Inputs!$C$6)*78.233+Inputs!$C$47*37.719))*43758.5453)-INT((SIN((((Inputs!$I$8+(((A145)+1)/2)*(Inputs!$J$8-Inputs!$I$8)))*12.9898+(Inputs!$C$6)*78.233+Inputs!$C$47*37.719))*43758.5453)))-1))),NA())</f>
        <v/>
      </c>
      <c r="AV145" s="9">
        <f>IF(OR(Inputs!$F$9=TRUE,Inputs!$F$9="TRUE",Inputs!$F$9=1),IF(OR(Inputs!$C$27=TRUE,Inputs!$C$27="TRUE",Inputs!$C$27=1),1,0)*(Inputs!$C$51*(115*EXP(-(((Inputs!$C$6)-25)^2)/(4.5^2))+70*EXP(-(((Inputs!$C$6)+38)^2)/(7^2))*(0.55+0.45*SIN(2*PI()*((Inputs!$I$9+(((A145)+1)/2)*(Inputs!$J$9-Inputs!$I$9)))/45))+24*SIN(2*PI()*(Inputs!$C$6)/9+((Inputs!$I$9+(((A145)+1)/2)*(Inputs!$J$9-Inputs!$I$9)))/18)*EXP(-(((Inputs!$C$6)+5)^2)/(22^2))+18*SIN(2*PI()*((Inputs!$I$9+(((A145)+1)/2)*(Inputs!$J$9-Inputs!$I$9)))/70))+Inputs!$C$28*EXP(-((((Inputs!$I$9+(((A145)+1)/2)*(Inputs!$J$9-Inputs!$I$9)))-Inputs!$C$29)^2)/(2*Inputs!$C$31^2))*EXP(-(((Inputs!$C$6)-Inputs!$C$30)^2)/(2*Inputs!$C$32^2))+-Inputs!$C$33*EXP(-((((((Inputs!$I$9+(((A145)+1)/2)*(Inputs!$J$9-Inputs!$I$9)))-Inputs!$C$34)^2)+(((Inputs!$C$6)-Inputs!$C$35)^2))/(2*Inputs!$C$36^2)))+Inputs!$C$37*(0.55*SIN(2*PI()*((Inputs!$I$9+(((A145)+1)/2)*(Inputs!$J$9-Inputs!$I$9)))/Inputs!$C$39)+0.35*COS(2*PI()*(Inputs!$C$6)/Inputs!$C$40)+0.2*SIN(2*PI()*(((Inputs!$I$9+(((A145)+1)/2)*(Inputs!$J$9-Inputs!$I$9)))+(Inputs!$C$6))/(0.5*(Inputs!$C$39+Inputs!$C$40))))+Inputs!$C$38*SIN(2*PI()*((Inputs!$I$9+(((A145)+1)/2)*(Inputs!$J$9-Inputs!$I$9)))/Inputs!$C$39)*SIN(2*PI()*(Inputs!$C$6)/Inputs!$C$40)+-Inputs!$C$41*EXP(-(((Inputs!$C$6)-Inputs!$C$43)^2)/(2*Inputs!$C$44^2))*EXP(-((((Inputs!$I$9+(((A145)+1)/2)*(Inputs!$J$9-Inputs!$I$9)))-Inputs!$C$42)^2)/(2*Inputs!$C$45^2))+Inputs!$C$48*(0.7*(0.45*SIN(2*PI()*((((Inputs!$I$9+(((A145)+1)/2)*(Inputs!$J$9-Inputs!$I$9)))/Inputs!$C$49)+Inputs!$C$47*0.137))+0.35*COS(2*PI()*(((Inputs!$C$6)/Inputs!$C$50)+Inputs!$C$47*0.173))+0.2*SIN(2*PI()*((((Inputs!$I$9+(((A145)+1)/2)*(Inputs!$J$9-Inputs!$I$9)))+(Inputs!$C$6))/(0.5*(Inputs!$C$49+Inputs!$C$50))+Inputs!$C$47*0.097)))+0.3*(2*((SIN((((Inputs!$I$9+(((A145)+1)/2)*(Inputs!$J$9-Inputs!$I$9)))*12.9898+(Inputs!$C$6)*78.233+Inputs!$C$47*37.719))*43758.5453)-INT((SIN((((Inputs!$I$9+(((A145)+1)/2)*(Inputs!$J$9-Inputs!$I$9)))*12.9898+(Inputs!$C$6)*78.233+Inputs!$C$47*37.719))*43758.5453)))-1))),NA())</f>
        <v/>
      </c>
      <c r="AW145" s="10" t="n"/>
      <c r="AX145" s="9">
        <f>A145</f>
        <v/>
      </c>
      <c r="AY145" s="9">
        <f>0</f>
        <v/>
      </c>
      <c r="AZ145" s="9">
        <f>IF(OR(Inputs!$F$6=TRUE,Inputs!$F$6="TRUE",Inputs!$F$6=1),(Inputs!$H$6+Inputs!$L$6*(((Inputs!$I$6+(((A145)+1)/2)*(Inputs!$J$6-Inputs!$I$6)))/Inputs!$K$6)^2),NA())</f>
        <v/>
      </c>
      <c r="BA145" s="9">
        <f>IF(OR(Inputs!$F$7=TRUE,Inputs!$F$7="TRUE",Inputs!$F$7=1),(Inputs!$H$7+Inputs!$L$7*(((Inputs!$I$7+(((A145)+1)/2)*(Inputs!$J$7-Inputs!$I$7)))/Inputs!$K$7)^2),NA())</f>
        <v/>
      </c>
      <c r="BB145" s="9">
        <f>IF(OR(Inputs!$F$8=TRUE,Inputs!$F$8="TRUE",Inputs!$F$8=1),(Inputs!$H$8+Inputs!$L$8*(((Inputs!$I$8+(((A145)+1)/2)*(Inputs!$J$8-Inputs!$I$8)))/Inputs!$K$8)^2),NA())</f>
        <v/>
      </c>
      <c r="BC145" s="9">
        <f>IF(OR(Inputs!$F$9=TRUE,Inputs!$F$9="TRUE",Inputs!$F$9=1),(Inputs!$H$9+Inputs!$L$9*(((Inputs!$I$9+(((A145)+1)/2)*(Inputs!$J$9-Inputs!$I$9)))/Inputs!$K$9)^2),NA())</f>
        <v/>
      </c>
      <c r="BD145" s="10" t="n"/>
      <c r="BE145" s="9">
        <f>A145</f>
        <v/>
      </c>
      <c r="BF145" s="9">
        <f>0</f>
        <v/>
      </c>
      <c r="BG145" s="9">
        <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f>
        <v/>
      </c>
      <c r="BH145" s="9">
        <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f>
        <v/>
      </c>
      <c r="BI145" s="9">
        <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f>
        <v/>
      </c>
      <c r="BJ145" s="9">
        <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f>
        <v/>
      </c>
    </row>
    <row r="146">
      <c r="A146" s="9">
        <f>ROUND(-1+144*2/240,3)</f>
        <v/>
      </c>
      <c r="B146" s="9">
        <f>IF(OR(Inputs!$F$6=TRUE,Inputs!$F$6="TRUE",Inputs!$F$6=1),(Inputs!$H$6+Inputs!$L$6*(((Inputs!$I$6+(((A146)+1)/2)*(Inputs!$J$6-Inputs!$I$6)))/Inputs!$K$6)^2),NA())</f>
        <v/>
      </c>
      <c r="C146" s="9">
        <f>IF(OR(Inputs!$F$7=TRUE,Inputs!$F$7="TRUE",Inputs!$F$7=1),(Inputs!$H$7+Inputs!$L$7*(((Inputs!$I$7+(((A146)+1)/2)*(Inputs!$J$7-Inputs!$I$7)))/Inputs!$K$7)^2),NA())</f>
        <v/>
      </c>
      <c r="D146" s="9">
        <f>IF(OR(Inputs!$F$8=TRUE,Inputs!$F$8="TRUE",Inputs!$F$8=1),(Inputs!$H$8+Inputs!$L$8*(((Inputs!$I$8+(((A146)+1)/2)*(Inputs!$J$8-Inputs!$I$8)))/Inputs!$K$8)^2),NA())</f>
        <v/>
      </c>
      <c r="E146" s="9">
        <f>IF(OR(Inputs!$F$9=TRUE,Inputs!$F$9="TRUE",Inputs!$F$9=1),(Inputs!$H$9+Inputs!$L$9*(((Inputs!$I$9+(((A146)+1)/2)*(Inputs!$J$9-Inputs!$I$9)))/Inputs!$K$9)^2),NA())</f>
        <v/>
      </c>
      <c r="F146" s="10" t="n"/>
      <c r="G146" s="9">
        <f>A146</f>
        <v/>
      </c>
      <c r="H146" s="9">
        <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f>
        <v/>
      </c>
      <c r="I146" s="9">
        <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f>
        <v/>
      </c>
      <c r="J146" s="9">
        <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f>
        <v/>
      </c>
      <c r="K146" s="9">
        <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f>
        <v/>
      </c>
      <c r="L146" s="10" t="n"/>
      <c r="M146" s="9">
        <f>A146</f>
        <v/>
      </c>
      <c r="N146" s="9">
        <f>IF(OR(Inputs!$F$6=TRUE,Inputs!$F$6="TRUE",Inputs!$F$6=1),(-2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NA())</f>
        <v/>
      </c>
      <c r="O146" s="9">
        <f>IF(OR(Inputs!$F$7=TRUE,Inputs!$F$7="TRUE",Inputs!$F$7=1),(-2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NA())</f>
        <v/>
      </c>
      <c r="P146" s="9">
        <f>IF(OR(Inputs!$F$8=TRUE,Inputs!$F$8="TRUE",Inputs!$F$8=1),(-2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NA())</f>
        <v/>
      </c>
      <c r="Q146" s="9">
        <f>IF(OR(Inputs!$F$9=TRUE,Inputs!$F$9="TRUE",Inputs!$F$9=1),(-2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NA())</f>
        <v/>
      </c>
      <c r="R146" s="10" t="n"/>
      <c r="S146" s="9">
        <f>A146</f>
        <v/>
      </c>
      <c r="T146" s="9">
        <f>(Inputs!$I$6+(((A146)+1)/2)*(Inputs!$J$6-Inputs!$I$6))</f>
        <v/>
      </c>
      <c r="U146" s="9">
        <f>(Inputs!$I$7+(((A146)+1)/2)*(Inputs!$J$7-Inputs!$I$7))</f>
        <v/>
      </c>
      <c r="V146" s="9">
        <f>(Inputs!$I$8+(((A146)+1)/2)*(Inputs!$J$8-Inputs!$I$8))</f>
        <v/>
      </c>
      <c r="W146" s="9">
        <f>(Inputs!$I$9+(((A146)+1)/2)*(Inputs!$J$9-Inputs!$I$9))</f>
        <v/>
      </c>
      <c r="X146" s="10" t="n"/>
      <c r="Y146" s="9">
        <f>A146</f>
        <v/>
      </c>
      <c r="Z146" s="9">
        <f>(Inputs!$H$6+Inputs!$L$6*(((Inputs!$I$6+(((A146)+1)/2)*(Inputs!$J$6-Inputs!$I$6)))/Inputs!$K$6)^2)</f>
        <v/>
      </c>
      <c r="AA146" s="9">
        <f>(Inputs!$H$7+Inputs!$L$7*(((Inputs!$I$7+(((A146)+1)/2)*(Inputs!$J$7-Inputs!$I$7)))/Inputs!$K$7)^2)</f>
        <v/>
      </c>
      <c r="AB146" s="9">
        <f>(Inputs!$H$8+Inputs!$L$8*(((Inputs!$I$8+(((A146)+1)/2)*(Inputs!$J$8-Inputs!$I$8)))/Inputs!$K$8)^2)</f>
        <v/>
      </c>
      <c r="AC146" s="9">
        <f>(Inputs!$H$9+Inputs!$L$9*(((Inputs!$I$9+(((A146)+1)/2)*(Inputs!$J$9-Inputs!$I$9)))/Inputs!$K$9)^2)</f>
        <v/>
      </c>
      <c r="AD146" s="10" t="n"/>
      <c r="AE146" s="9">
        <f>A146</f>
        <v/>
      </c>
      <c r="AF146" s="9">
        <f>(((SQRT((Inputs!$C$52+((Inputs!$H$6+Inputs!$L$6*(((Inputs!$I$6+(((A146)+1)/2)*(Inputs!$J$6-Inputs!$I$6)))/Inputs!$K$6)^2)))^2+Inputs!$C$52^2-2*(Inputs!$C$52+((Inputs!$H$6+Inputs!$L$6*(((Inputs!$I$6+(((A146)+1)/2)*(Inputs!$J$6-Inputs!$I$6)))/Inputs!$K$6)^2)))*Inputs!$C$52*COS(SQRT(((Inputs!$I$6+(((A146)+1)/2)*(Inputs!$J$6-Inputs!$I$6)))^2+Inputs!$C$6^2)/Inputs!$C$52)))-((Inputs!$H$6+Inputs!$L$6*(((Inputs!$I$6+(((A146)+1)/2)*(Inputs!$J$6-Inputs!$I$6)))/Inputs!$K$6)^2)))*1000/Inputs!$C$12)</f>
        <v/>
      </c>
      <c r="AG146" s="9">
        <f>(((SQRT((Inputs!$C$52+((Inputs!$H$7+Inputs!$L$7*(((Inputs!$I$7+(((A146)+1)/2)*(Inputs!$J$7-Inputs!$I$7)))/Inputs!$K$7)^2)))^2+Inputs!$C$52^2-2*(Inputs!$C$52+((Inputs!$H$7+Inputs!$L$7*(((Inputs!$I$7+(((A146)+1)/2)*(Inputs!$J$7-Inputs!$I$7)))/Inputs!$K$7)^2)))*Inputs!$C$52*COS(SQRT(((Inputs!$I$7+(((A146)+1)/2)*(Inputs!$J$7-Inputs!$I$7)))^2+Inputs!$C$6^2)/Inputs!$C$52)))-((Inputs!$H$7+Inputs!$L$7*(((Inputs!$I$7+(((A146)+1)/2)*(Inputs!$J$7-Inputs!$I$7)))/Inputs!$K$7)^2)))*1000/Inputs!$C$12)</f>
        <v/>
      </c>
      <c r="AH146" s="9">
        <f>(((SQRT((Inputs!$C$52+((Inputs!$H$8+Inputs!$L$8*(((Inputs!$I$8+(((A146)+1)/2)*(Inputs!$J$8-Inputs!$I$8)))/Inputs!$K$8)^2)))^2+Inputs!$C$52^2-2*(Inputs!$C$52+((Inputs!$H$8+Inputs!$L$8*(((Inputs!$I$8+(((A146)+1)/2)*(Inputs!$J$8-Inputs!$I$8)))/Inputs!$K$8)^2)))*Inputs!$C$52*COS(SQRT(((Inputs!$I$8+(((A146)+1)/2)*(Inputs!$J$8-Inputs!$I$8)))^2+Inputs!$C$6^2)/Inputs!$C$52)))-((Inputs!$H$8+Inputs!$L$8*(((Inputs!$I$8+(((A146)+1)/2)*(Inputs!$J$8-Inputs!$I$8)))/Inputs!$K$8)^2)))*1000/Inputs!$C$12)</f>
        <v/>
      </c>
      <c r="AI146" s="9">
        <f>(((SQRT((Inputs!$C$52+((Inputs!$H$9+Inputs!$L$9*(((Inputs!$I$9+(((A146)+1)/2)*(Inputs!$J$9-Inputs!$I$9)))/Inputs!$K$9)^2)))^2+Inputs!$C$52^2-2*(Inputs!$C$52+((Inputs!$H$9+Inputs!$L$9*(((Inputs!$I$9+(((A146)+1)/2)*(Inputs!$J$9-Inputs!$I$9)))/Inputs!$K$9)^2)))*Inputs!$C$52*COS(SQRT(((Inputs!$I$9+(((A146)+1)/2)*(Inputs!$J$9-Inputs!$I$9)))^2+Inputs!$C$6^2)/Inputs!$C$52)))-((Inputs!$H$9+Inputs!$L$9*(((Inputs!$I$9+(((A146)+1)/2)*(Inputs!$J$9-Inputs!$I$9)))/Inputs!$K$9)^2)))*1000/Inputs!$C$12)</f>
        <v/>
      </c>
      <c r="AJ146" s="10" t="n"/>
      <c r="AK146" s="9">
        <f>A146</f>
        <v/>
      </c>
      <c r="AL146" s="9">
        <f>(-2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f>
        <v/>
      </c>
      <c r="AM146" s="9">
        <f>(-2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f>
        <v/>
      </c>
      <c r="AN146" s="9">
        <f>(-2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f>
        <v/>
      </c>
      <c r="AO146" s="9">
        <f>(-2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f>
        <v/>
      </c>
      <c r="AP146" s="10" t="n"/>
      <c r="AQ146" s="9">
        <f>A146</f>
        <v/>
      </c>
      <c r="AR146" s="9">
        <f>0</f>
        <v/>
      </c>
      <c r="AS146" s="9">
        <f>IF(OR(Inputs!$F$6=TRUE,Inputs!$F$6="TRUE",Inputs!$F$6=1),IF(OR(Inputs!$C$27=TRUE,Inputs!$C$27="TRUE",Inputs!$C$27=1),1,0)*(Inputs!$C$51*(115*EXP(-(((Inputs!$C$6)-25)^2)/(4.5^2))+70*EXP(-(((Inputs!$C$6)+38)^2)/(7^2))*(0.55+0.45*SIN(2*PI()*((Inputs!$I$6+(((A146)+1)/2)*(Inputs!$J$6-Inputs!$I$6)))/45))+24*SIN(2*PI()*(Inputs!$C$6)/9+((Inputs!$I$6+(((A146)+1)/2)*(Inputs!$J$6-Inputs!$I$6)))/18)*EXP(-(((Inputs!$C$6)+5)^2)/(22^2))+18*SIN(2*PI()*((Inputs!$I$6+(((A146)+1)/2)*(Inputs!$J$6-Inputs!$I$6)))/70))+Inputs!$C$28*EXP(-((((Inputs!$I$6+(((A146)+1)/2)*(Inputs!$J$6-Inputs!$I$6)))-Inputs!$C$29)^2)/(2*Inputs!$C$31^2))*EXP(-(((Inputs!$C$6)-Inputs!$C$30)^2)/(2*Inputs!$C$32^2))+-Inputs!$C$33*EXP(-((((((Inputs!$I$6+(((A146)+1)/2)*(Inputs!$J$6-Inputs!$I$6)))-Inputs!$C$34)^2)+(((Inputs!$C$6)-Inputs!$C$35)^2))/(2*Inputs!$C$36^2)))+Inputs!$C$37*(0.55*SIN(2*PI()*((Inputs!$I$6+(((A146)+1)/2)*(Inputs!$J$6-Inputs!$I$6)))/Inputs!$C$39)+0.35*COS(2*PI()*(Inputs!$C$6)/Inputs!$C$40)+0.2*SIN(2*PI()*(((Inputs!$I$6+(((A146)+1)/2)*(Inputs!$J$6-Inputs!$I$6)))+(Inputs!$C$6))/(0.5*(Inputs!$C$39+Inputs!$C$40))))+Inputs!$C$38*SIN(2*PI()*((Inputs!$I$6+(((A146)+1)/2)*(Inputs!$J$6-Inputs!$I$6)))/Inputs!$C$39)*SIN(2*PI()*(Inputs!$C$6)/Inputs!$C$40)+-Inputs!$C$41*EXP(-(((Inputs!$C$6)-Inputs!$C$43)^2)/(2*Inputs!$C$44^2))*EXP(-((((Inputs!$I$6+(((A146)+1)/2)*(Inputs!$J$6-Inputs!$I$6)))-Inputs!$C$42)^2)/(2*Inputs!$C$45^2))+Inputs!$C$48*(0.7*(0.45*SIN(2*PI()*((((Inputs!$I$6+(((A146)+1)/2)*(Inputs!$J$6-Inputs!$I$6)))/Inputs!$C$49)+Inputs!$C$47*0.137))+0.35*COS(2*PI()*(((Inputs!$C$6)/Inputs!$C$50)+Inputs!$C$47*0.173))+0.2*SIN(2*PI()*((((Inputs!$I$6+(((A146)+1)/2)*(Inputs!$J$6-Inputs!$I$6)))+(Inputs!$C$6))/(0.5*(Inputs!$C$49+Inputs!$C$50))+Inputs!$C$47*0.097)))+0.3*(2*((SIN((((Inputs!$I$6+(((A146)+1)/2)*(Inputs!$J$6-Inputs!$I$6)))*12.9898+(Inputs!$C$6)*78.233+Inputs!$C$47*37.719))*43758.5453)-INT((SIN((((Inputs!$I$6+(((A146)+1)/2)*(Inputs!$J$6-Inputs!$I$6)))*12.9898+(Inputs!$C$6)*78.233+Inputs!$C$47*37.719))*43758.5453)))-1))),NA())</f>
        <v/>
      </c>
      <c r="AT146" s="9">
        <f>IF(OR(Inputs!$F$7=TRUE,Inputs!$F$7="TRUE",Inputs!$F$7=1),IF(OR(Inputs!$C$27=TRUE,Inputs!$C$27="TRUE",Inputs!$C$27=1),1,0)*(Inputs!$C$51*(115*EXP(-(((Inputs!$C$6)-25)^2)/(4.5^2))+70*EXP(-(((Inputs!$C$6)+38)^2)/(7^2))*(0.55+0.45*SIN(2*PI()*((Inputs!$I$7+(((A146)+1)/2)*(Inputs!$J$7-Inputs!$I$7)))/45))+24*SIN(2*PI()*(Inputs!$C$6)/9+((Inputs!$I$7+(((A146)+1)/2)*(Inputs!$J$7-Inputs!$I$7)))/18)*EXP(-(((Inputs!$C$6)+5)^2)/(22^2))+18*SIN(2*PI()*((Inputs!$I$7+(((A146)+1)/2)*(Inputs!$J$7-Inputs!$I$7)))/70))+Inputs!$C$28*EXP(-((((Inputs!$I$7+(((A146)+1)/2)*(Inputs!$J$7-Inputs!$I$7)))-Inputs!$C$29)^2)/(2*Inputs!$C$31^2))*EXP(-(((Inputs!$C$6)-Inputs!$C$30)^2)/(2*Inputs!$C$32^2))+-Inputs!$C$33*EXP(-((((((Inputs!$I$7+(((A146)+1)/2)*(Inputs!$J$7-Inputs!$I$7)))-Inputs!$C$34)^2)+(((Inputs!$C$6)-Inputs!$C$35)^2))/(2*Inputs!$C$36^2)))+Inputs!$C$37*(0.55*SIN(2*PI()*((Inputs!$I$7+(((A146)+1)/2)*(Inputs!$J$7-Inputs!$I$7)))/Inputs!$C$39)+0.35*COS(2*PI()*(Inputs!$C$6)/Inputs!$C$40)+0.2*SIN(2*PI()*(((Inputs!$I$7+(((A146)+1)/2)*(Inputs!$J$7-Inputs!$I$7)))+(Inputs!$C$6))/(0.5*(Inputs!$C$39+Inputs!$C$40))))+Inputs!$C$38*SIN(2*PI()*((Inputs!$I$7+(((A146)+1)/2)*(Inputs!$J$7-Inputs!$I$7)))/Inputs!$C$39)*SIN(2*PI()*(Inputs!$C$6)/Inputs!$C$40)+-Inputs!$C$41*EXP(-(((Inputs!$C$6)-Inputs!$C$43)^2)/(2*Inputs!$C$44^2))*EXP(-((((Inputs!$I$7+(((A146)+1)/2)*(Inputs!$J$7-Inputs!$I$7)))-Inputs!$C$42)^2)/(2*Inputs!$C$45^2))+Inputs!$C$48*(0.7*(0.45*SIN(2*PI()*((((Inputs!$I$7+(((A146)+1)/2)*(Inputs!$J$7-Inputs!$I$7)))/Inputs!$C$49)+Inputs!$C$47*0.137))+0.35*COS(2*PI()*(((Inputs!$C$6)/Inputs!$C$50)+Inputs!$C$47*0.173))+0.2*SIN(2*PI()*((((Inputs!$I$7+(((A146)+1)/2)*(Inputs!$J$7-Inputs!$I$7)))+(Inputs!$C$6))/(0.5*(Inputs!$C$49+Inputs!$C$50))+Inputs!$C$47*0.097)))+0.3*(2*((SIN((((Inputs!$I$7+(((A146)+1)/2)*(Inputs!$J$7-Inputs!$I$7)))*12.9898+(Inputs!$C$6)*78.233+Inputs!$C$47*37.719))*43758.5453)-INT((SIN((((Inputs!$I$7+(((A146)+1)/2)*(Inputs!$J$7-Inputs!$I$7)))*12.9898+(Inputs!$C$6)*78.233+Inputs!$C$47*37.719))*43758.5453)))-1))),NA())</f>
        <v/>
      </c>
      <c r="AU146" s="9">
        <f>IF(OR(Inputs!$F$8=TRUE,Inputs!$F$8="TRUE",Inputs!$F$8=1),IF(OR(Inputs!$C$27=TRUE,Inputs!$C$27="TRUE",Inputs!$C$27=1),1,0)*(Inputs!$C$51*(115*EXP(-(((Inputs!$C$6)-25)^2)/(4.5^2))+70*EXP(-(((Inputs!$C$6)+38)^2)/(7^2))*(0.55+0.45*SIN(2*PI()*((Inputs!$I$8+(((A146)+1)/2)*(Inputs!$J$8-Inputs!$I$8)))/45))+24*SIN(2*PI()*(Inputs!$C$6)/9+((Inputs!$I$8+(((A146)+1)/2)*(Inputs!$J$8-Inputs!$I$8)))/18)*EXP(-(((Inputs!$C$6)+5)^2)/(22^2))+18*SIN(2*PI()*((Inputs!$I$8+(((A146)+1)/2)*(Inputs!$J$8-Inputs!$I$8)))/70))+Inputs!$C$28*EXP(-((((Inputs!$I$8+(((A146)+1)/2)*(Inputs!$J$8-Inputs!$I$8)))-Inputs!$C$29)^2)/(2*Inputs!$C$31^2))*EXP(-(((Inputs!$C$6)-Inputs!$C$30)^2)/(2*Inputs!$C$32^2))+-Inputs!$C$33*EXP(-((((((Inputs!$I$8+(((A146)+1)/2)*(Inputs!$J$8-Inputs!$I$8)))-Inputs!$C$34)^2)+(((Inputs!$C$6)-Inputs!$C$35)^2))/(2*Inputs!$C$36^2)))+Inputs!$C$37*(0.55*SIN(2*PI()*((Inputs!$I$8+(((A146)+1)/2)*(Inputs!$J$8-Inputs!$I$8)))/Inputs!$C$39)+0.35*COS(2*PI()*(Inputs!$C$6)/Inputs!$C$40)+0.2*SIN(2*PI()*(((Inputs!$I$8+(((A146)+1)/2)*(Inputs!$J$8-Inputs!$I$8)))+(Inputs!$C$6))/(0.5*(Inputs!$C$39+Inputs!$C$40))))+Inputs!$C$38*SIN(2*PI()*((Inputs!$I$8+(((A146)+1)/2)*(Inputs!$J$8-Inputs!$I$8)))/Inputs!$C$39)*SIN(2*PI()*(Inputs!$C$6)/Inputs!$C$40)+-Inputs!$C$41*EXP(-(((Inputs!$C$6)-Inputs!$C$43)^2)/(2*Inputs!$C$44^2))*EXP(-((((Inputs!$I$8+(((A146)+1)/2)*(Inputs!$J$8-Inputs!$I$8)))-Inputs!$C$42)^2)/(2*Inputs!$C$45^2))+Inputs!$C$48*(0.7*(0.45*SIN(2*PI()*((((Inputs!$I$8+(((A146)+1)/2)*(Inputs!$J$8-Inputs!$I$8)))/Inputs!$C$49)+Inputs!$C$47*0.137))+0.35*COS(2*PI()*(((Inputs!$C$6)/Inputs!$C$50)+Inputs!$C$47*0.173))+0.2*SIN(2*PI()*((((Inputs!$I$8+(((A146)+1)/2)*(Inputs!$J$8-Inputs!$I$8)))+(Inputs!$C$6))/(0.5*(Inputs!$C$49+Inputs!$C$50))+Inputs!$C$47*0.097)))+0.3*(2*((SIN((((Inputs!$I$8+(((A146)+1)/2)*(Inputs!$J$8-Inputs!$I$8)))*12.9898+(Inputs!$C$6)*78.233+Inputs!$C$47*37.719))*43758.5453)-INT((SIN((((Inputs!$I$8+(((A146)+1)/2)*(Inputs!$J$8-Inputs!$I$8)))*12.9898+(Inputs!$C$6)*78.233+Inputs!$C$47*37.719))*43758.5453)))-1))),NA())</f>
        <v/>
      </c>
      <c r="AV146" s="9">
        <f>IF(OR(Inputs!$F$9=TRUE,Inputs!$F$9="TRUE",Inputs!$F$9=1),IF(OR(Inputs!$C$27=TRUE,Inputs!$C$27="TRUE",Inputs!$C$27=1),1,0)*(Inputs!$C$51*(115*EXP(-(((Inputs!$C$6)-25)^2)/(4.5^2))+70*EXP(-(((Inputs!$C$6)+38)^2)/(7^2))*(0.55+0.45*SIN(2*PI()*((Inputs!$I$9+(((A146)+1)/2)*(Inputs!$J$9-Inputs!$I$9)))/45))+24*SIN(2*PI()*(Inputs!$C$6)/9+((Inputs!$I$9+(((A146)+1)/2)*(Inputs!$J$9-Inputs!$I$9)))/18)*EXP(-(((Inputs!$C$6)+5)^2)/(22^2))+18*SIN(2*PI()*((Inputs!$I$9+(((A146)+1)/2)*(Inputs!$J$9-Inputs!$I$9)))/70))+Inputs!$C$28*EXP(-((((Inputs!$I$9+(((A146)+1)/2)*(Inputs!$J$9-Inputs!$I$9)))-Inputs!$C$29)^2)/(2*Inputs!$C$31^2))*EXP(-(((Inputs!$C$6)-Inputs!$C$30)^2)/(2*Inputs!$C$32^2))+-Inputs!$C$33*EXP(-((((((Inputs!$I$9+(((A146)+1)/2)*(Inputs!$J$9-Inputs!$I$9)))-Inputs!$C$34)^2)+(((Inputs!$C$6)-Inputs!$C$35)^2))/(2*Inputs!$C$36^2)))+Inputs!$C$37*(0.55*SIN(2*PI()*((Inputs!$I$9+(((A146)+1)/2)*(Inputs!$J$9-Inputs!$I$9)))/Inputs!$C$39)+0.35*COS(2*PI()*(Inputs!$C$6)/Inputs!$C$40)+0.2*SIN(2*PI()*(((Inputs!$I$9+(((A146)+1)/2)*(Inputs!$J$9-Inputs!$I$9)))+(Inputs!$C$6))/(0.5*(Inputs!$C$39+Inputs!$C$40))))+Inputs!$C$38*SIN(2*PI()*((Inputs!$I$9+(((A146)+1)/2)*(Inputs!$J$9-Inputs!$I$9)))/Inputs!$C$39)*SIN(2*PI()*(Inputs!$C$6)/Inputs!$C$40)+-Inputs!$C$41*EXP(-(((Inputs!$C$6)-Inputs!$C$43)^2)/(2*Inputs!$C$44^2))*EXP(-((((Inputs!$I$9+(((A146)+1)/2)*(Inputs!$J$9-Inputs!$I$9)))-Inputs!$C$42)^2)/(2*Inputs!$C$45^2))+Inputs!$C$48*(0.7*(0.45*SIN(2*PI()*((((Inputs!$I$9+(((A146)+1)/2)*(Inputs!$J$9-Inputs!$I$9)))/Inputs!$C$49)+Inputs!$C$47*0.137))+0.35*COS(2*PI()*(((Inputs!$C$6)/Inputs!$C$50)+Inputs!$C$47*0.173))+0.2*SIN(2*PI()*((((Inputs!$I$9+(((A146)+1)/2)*(Inputs!$J$9-Inputs!$I$9)))+(Inputs!$C$6))/(0.5*(Inputs!$C$49+Inputs!$C$50))+Inputs!$C$47*0.097)))+0.3*(2*((SIN((((Inputs!$I$9+(((A146)+1)/2)*(Inputs!$J$9-Inputs!$I$9)))*12.9898+(Inputs!$C$6)*78.233+Inputs!$C$47*37.719))*43758.5453)-INT((SIN((((Inputs!$I$9+(((A146)+1)/2)*(Inputs!$J$9-Inputs!$I$9)))*12.9898+(Inputs!$C$6)*78.233+Inputs!$C$47*37.719))*43758.5453)))-1))),NA())</f>
        <v/>
      </c>
      <c r="AW146" s="10" t="n"/>
      <c r="AX146" s="9">
        <f>A146</f>
        <v/>
      </c>
      <c r="AY146" s="9">
        <f>0</f>
        <v/>
      </c>
      <c r="AZ146" s="9">
        <f>IF(OR(Inputs!$F$6=TRUE,Inputs!$F$6="TRUE",Inputs!$F$6=1),(Inputs!$H$6+Inputs!$L$6*(((Inputs!$I$6+(((A146)+1)/2)*(Inputs!$J$6-Inputs!$I$6)))/Inputs!$K$6)^2),NA())</f>
        <v/>
      </c>
      <c r="BA146" s="9">
        <f>IF(OR(Inputs!$F$7=TRUE,Inputs!$F$7="TRUE",Inputs!$F$7=1),(Inputs!$H$7+Inputs!$L$7*(((Inputs!$I$7+(((A146)+1)/2)*(Inputs!$J$7-Inputs!$I$7)))/Inputs!$K$7)^2),NA())</f>
        <v/>
      </c>
      <c r="BB146" s="9">
        <f>IF(OR(Inputs!$F$8=TRUE,Inputs!$F$8="TRUE",Inputs!$F$8=1),(Inputs!$H$8+Inputs!$L$8*(((Inputs!$I$8+(((A146)+1)/2)*(Inputs!$J$8-Inputs!$I$8)))/Inputs!$K$8)^2),NA())</f>
        <v/>
      </c>
      <c r="BC146" s="9">
        <f>IF(OR(Inputs!$F$9=TRUE,Inputs!$F$9="TRUE",Inputs!$F$9=1),(Inputs!$H$9+Inputs!$L$9*(((Inputs!$I$9+(((A146)+1)/2)*(Inputs!$J$9-Inputs!$I$9)))/Inputs!$K$9)^2),NA())</f>
        <v/>
      </c>
      <c r="BD146" s="10" t="n"/>
      <c r="BE146" s="9">
        <f>A146</f>
        <v/>
      </c>
      <c r="BF146" s="9">
        <f>0</f>
        <v/>
      </c>
      <c r="BG146" s="9">
        <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f>
        <v/>
      </c>
      <c r="BH146" s="9">
        <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f>
        <v/>
      </c>
      <c r="BI146" s="9">
        <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f>
        <v/>
      </c>
      <c r="BJ146" s="9">
        <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f>
        <v/>
      </c>
    </row>
    <row r="147">
      <c r="A147" s="9">
        <f>ROUND(-1+145*2/240,3)</f>
        <v/>
      </c>
      <c r="B147" s="9">
        <f>IF(OR(Inputs!$F$6=TRUE,Inputs!$F$6="TRUE",Inputs!$F$6=1),(Inputs!$H$6+Inputs!$L$6*(((Inputs!$I$6+(((A147)+1)/2)*(Inputs!$J$6-Inputs!$I$6)))/Inputs!$K$6)^2),NA())</f>
        <v/>
      </c>
      <c r="C147" s="9">
        <f>IF(OR(Inputs!$F$7=TRUE,Inputs!$F$7="TRUE",Inputs!$F$7=1),(Inputs!$H$7+Inputs!$L$7*(((Inputs!$I$7+(((A147)+1)/2)*(Inputs!$J$7-Inputs!$I$7)))/Inputs!$K$7)^2),NA())</f>
        <v/>
      </c>
      <c r="D147" s="9">
        <f>IF(OR(Inputs!$F$8=TRUE,Inputs!$F$8="TRUE",Inputs!$F$8=1),(Inputs!$H$8+Inputs!$L$8*(((Inputs!$I$8+(((A147)+1)/2)*(Inputs!$J$8-Inputs!$I$8)))/Inputs!$K$8)^2),NA())</f>
        <v/>
      </c>
      <c r="E147" s="9">
        <f>IF(OR(Inputs!$F$9=TRUE,Inputs!$F$9="TRUE",Inputs!$F$9=1),(Inputs!$H$9+Inputs!$L$9*(((Inputs!$I$9+(((A147)+1)/2)*(Inputs!$J$9-Inputs!$I$9)))/Inputs!$K$9)^2),NA())</f>
        <v/>
      </c>
      <c r="F147" s="10" t="n"/>
      <c r="G147" s="9">
        <f>A147</f>
        <v/>
      </c>
      <c r="H147" s="9">
        <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f>
        <v/>
      </c>
      <c r="I147" s="9">
        <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f>
        <v/>
      </c>
      <c r="J147" s="9">
        <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f>
        <v/>
      </c>
      <c r="K147" s="9">
        <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f>
        <v/>
      </c>
      <c r="L147" s="10" t="n"/>
      <c r="M147" s="9">
        <f>A147</f>
        <v/>
      </c>
      <c r="N147" s="9">
        <f>IF(OR(Inputs!$F$6=TRUE,Inputs!$F$6="TRUE",Inputs!$F$6=1),(-2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NA())</f>
        <v/>
      </c>
      <c r="O147" s="9">
        <f>IF(OR(Inputs!$F$7=TRUE,Inputs!$F$7="TRUE",Inputs!$F$7=1),(-2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NA())</f>
        <v/>
      </c>
      <c r="P147" s="9">
        <f>IF(OR(Inputs!$F$8=TRUE,Inputs!$F$8="TRUE",Inputs!$F$8=1),(-2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NA())</f>
        <v/>
      </c>
      <c r="Q147" s="9">
        <f>IF(OR(Inputs!$F$9=TRUE,Inputs!$F$9="TRUE",Inputs!$F$9=1),(-2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NA())</f>
        <v/>
      </c>
      <c r="R147" s="10" t="n"/>
      <c r="S147" s="9">
        <f>A147</f>
        <v/>
      </c>
      <c r="T147" s="9">
        <f>(Inputs!$I$6+(((A147)+1)/2)*(Inputs!$J$6-Inputs!$I$6))</f>
        <v/>
      </c>
      <c r="U147" s="9">
        <f>(Inputs!$I$7+(((A147)+1)/2)*(Inputs!$J$7-Inputs!$I$7))</f>
        <v/>
      </c>
      <c r="V147" s="9">
        <f>(Inputs!$I$8+(((A147)+1)/2)*(Inputs!$J$8-Inputs!$I$8))</f>
        <v/>
      </c>
      <c r="W147" s="9">
        <f>(Inputs!$I$9+(((A147)+1)/2)*(Inputs!$J$9-Inputs!$I$9))</f>
        <v/>
      </c>
      <c r="X147" s="10" t="n"/>
      <c r="Y147" s="9">
        <f>A147</f>
        <v/>
      </c>
      <c r="Z147" s="9">
        <f>(Inputs!$H$6+Inputs!$L$6*(((Inputs!$I$6+(((A147)+1)/2)*(Inputs!$J$6-Inputs!$I$6)))/Inputs!$K$6)^2)</f>
        <v/>
      </c>
      <c r="AA147" s="9">
        <f>(Inputs!$H$7+Inputs!$L$7*(((Inputs!$I$7+(((A147)+1)/2)*(Inputs!$J$7-Inputs!$I$7)))/Inputs!$K$7)^2)</f>
        <v/>
      </c>
      <c r="AB147" s="9">
        <f>(Inputs!$H$8+Inputs!$L$8*(((Inputs!$I$8+(((A147)+1)/2)*(Inputs!$J$8-Inputs!$I$8)))/Inputs!$K$8)^2)</f>
        <v/>
      </c>
      <c r="AC147" s="9">
        <f>(Inputs!$H$9+Inputs!$L$9*(((Inputs!$I$9+(((A147)+1)/2)*(Inputs!$J$9-Inputs!$I$9)))/Inputs!$K$9)^2)</f>
        <v/>
      </c>
      <c r="AD147" s="10" t="n"/>
      <c r="AE147" s="9">
        <f>A147</f>
        <v/>
      </c>
      <c r="AF147" s="9">
        <f>(((SQRT((Inputs!$C$52+((Inputs!$H$6+Inputs!$L$6*(((Inputs!$I$6+(((A147)+1)/2)*(Inputs!$J$6-Inputs!$I$6)))/Inputs!$K$6)^2)))^2+Inputs!$C$52^2-2*(Inputs!$C$52+((Inputs!$H$6+Inputs!$L$6*(((Inputs!$I$6+(((A147)+1)/2)*(Inputs!$J$6-Inputs!$I$6)))/Inputs!$K$6)^2)))*Inputs!$C$52*COS(SQRT(((Inputs!$I$6+(((A147)+1)/2)*(Inputs!$J$6-Inputs!$I$6)))^2+Inputs!$C$6^2)/Inputs!$C$52)))-((Inputs!$H$6+Inputs!$L$6*(((Inputs!$I$6+(((A147)+1)/2)*(Inputs!$J$6-Inputs!$I$6)))/Inputs!$K$6)^2)))*1000/Inputs!$C$12)</f>
        <v/>
      </c>
      <c r="AG147" s="9">
        <f>(((SQRT((Inputs!$C$52+((Inputs!$H$7+Inputs!$L$7*(((Inputs!$I$7+(((A147)+1)/2)*(Inputs!$J$7-Inputs!$I$7)))/Inputs!$K$7)^2)))^2+Inputs!$C$52^2-2*(Inputs!$C$52+((Inputs!$H$7+Inputs!$L$7*(((Inputs!$I$7+(((A147)+1)/2)*(Inputs!$J$7-Inputs!$I$7)))/Inputs!$K$7)^2)))*Inputs!$C$52*COS(SQRT(((Inputs!$I$7+(((A147)+1)/2)*(Inputs!$J$7-Inputs!$I$7)))^2+Inputs!$C$6^2)/Inputs!$C$52)))-((Inputs!$H$7+Inputs!$L$7*(((Inputs!$I$7+(((A147)+1)/2)*(Inputs!$J$7-Inputs!$I$7)))/Inputs!$K$7)^2)))*1000/Inputs!$C$12)</f>
        <v/>
      </c>
      <c r="AH147" s="9">
        <f>(((SQRT((Inputs!$C$52+((Inputs!$H$8+Inputs!$L$8*(((Inputs!$I$8+(((A147)+1)/2)*(Inputs!$J$8-Inputs!$I$8)))/Inputs!$K$8)^2)))^2+Inputs!$C$52^2-2*(Inputs!$C$52+((Inputs!$H$8+Inputs!$L$8*(((Inputs!$I$8+(((A147)+1)/2)*(Inputs!$J$8-Inputs!$I$8)))/Inputs!$K$8)^2)))*Inputs!$C$52*COS(SQRT(((Inputs!$I$8+(((A147)+1)/2)*(Inputs!$J$8-Inputs!$I$8)))^2+Inputs!$C$6^2)/Inputs!$C$52)))-((Inputs!$H$8+Inputs!$L$8*(((Inputs!$I$8+(((A147)+1)/2)*(Inputs!$J$8-Inputs!$I$8)))/Inputs!$K$8)^2)))*1000/Inputs!$C$12)</f>
        <v/>
      </c>
      <c r="AI147" s="9">
        <f>(((SQRT((Inputs!$C$52+((Inputs!$H$9+Inputs!$L$9*(((Inputs!$I$9+(((A147)+1)/2)*(Inputs!$J$9-Inputs!$I$9)))/Inputs!$K$9)^2)))^2+Inputs!$C$52^2-2*(Inputs!$C$52+((Inputs!$H$9+Inputs!$L$9*(((Inputs!$I$9+(((A147)+1)/2)*(Inputs!$J$9-Inputs!$I$9)))/Inputs!$K$9)^2)))*Inputs!$C$52*COS(SQRT(((Inputs!$I$9+(((A147)+1)/2)*(Inputs!$J$9-Inputs!$I$9)))^2+Inputs!$C$6^2)/Inputs!$C$52)))-((Inputs!$H$9+Inputs!$L$9*(((Inputs!$I$9+(((A147)+1)/2)*(Inputs!$J$9-Inputs!$I$9)))/Inputs!$K$9)^2)))*1000/Inputs!$C$12)</f>
        <v/>
      </c>
      <c r="AJ147" s="10" t="n"/>
      <c r="AK147" s="9">
        <f>A147</f>
        <v/>
      </c>
      <c r="AL147" s="9">
        <f>(-2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f>
        <v/>
      </c>
      <c r="AM147" s="9">
        <f>(-2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f>
        <v/>
      </c>
      <c r="AN147" s="9">
        <f>(-2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f>
        <v/>
      </c>
      <c r="AO147" s="9">
        <f>(-2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f>
        <v/>
      </c>
      <c r="AP147" s="10" t="n"/>
      <c r="AQ147" s="9">
        <f>A147</f>
        <v/>
      </c>
      <c r="AR147" s="9">
        <f>0</f>
        <v/>
      </c>
      <c r="AS147" s="9">
        <f>IF(OR(Inputs!$F$6=TRUE,Inputs!$F$6="TRUE",Inputs!$F$6=1),IF(OR(Inputs!$C$27=TRUE,Inputs!$C$27="TRUE",Inputs!$C$27=1),1,0)*(Inputs!$C$51*(115*EXP(-(((Inputs!$C$6)-25)^2)/(4.5^2))+70*EXP(-(((Inputs!$C$6)+38)^2)/(7^2))*(0.55+0.45*SIN(2*PI()*((Inputs!$I$6+(((A147)+1)/2)*(Inputs!$J$6-Inputs!$I$6)))/45))+24*SIN(2*PI()*(Inputs!$C$6)/9+((Inputs!$I$6+(((A147)+1)/2)*(Inputs!$J$6-Inputs!$I$6)))/18)*EXP(-(((Inputs!$C$6)+5)^2)/(22^2))+18*SIN(2*PI()*((Inputs!$I$6+(((A147)+1)/2)*(Inputs!$J$6-Inputs!$I$6)))/70))+Inputs!$C$28*EXP(-((((Inputs!$I$6+(((A147)+1)/2)*(Inputs!$J$6-Inputs!$I$6)))-Inputs!$C$29)^2)/(2*Inputs!$C$31^2))*EXP(-(((Inputs!$C$6)-Inputs!$C$30)^2)/(2*Inputs!$C$32^2))+-Inputs!$C$33*EXP(-((((((Inputs!$I$6+(((A147)+1)/2)*(Inputs!$J$6-Inputs!$I$6)))-Inputs!$C$34)^2)+(((Inputs!$C$6)-Inputs!$C$35)^2))/(2*Inputs!$C$36^2)))+Inputs!$C$37*(0.55*SIN(2*PI()*((Inputs!$I$6+(((A147)+1)/2)*(Inputs!$J$6-Inputs!$I$6)))/Inputs!$C$39)+0.35*COS(2*PI()*(Inputs!$C$6)/Inputs!$C$40)+0.2*SIN(2*PI()*(((Inputs!$I$6+(((A147)+1)/2)*(Inputs!$J$6-Inputs!$I$6)))+(Inputs!$C$6))/(0.5*(Inputs!$C$39+Inputs!$C$40))))+Inputs!$C$38*SIN(2*PI()*((Inputs!$I$6+(((A147)+1)/2)*(Inputs!$J$6-Inputs!$I$6)))/Inputs!$C$39)*SIN(2*PI()*(Inputs!$C$6)/Inputs!$C$40)+-Inputs!$C$41*EXP(-(((Inputs!$C$6)-Inputs!$C$43)^2)/(2*Inputs!$C$44^2))*EXP(-((((Inputs!$I$6+(((A147)+1)/2)*(Inputs!$J$6-Inputs!$I$6)))-Inputs!$C$42)^2)/(2*Inputs!$C$45^2))+Inputs!$C$48*(0.7*(0.45*SIN(2*PI()*((((Inputs!$I$6+(((A147)+1)/2)*(Inputs!$J$6-Inputs!$I$6)))/Inputs!$C$49)+Inputs!$C$47*0.137))+0.35*COS(2*PI()*(((Inputs!$C$6)/Inputs!$C$50)+Inputs!$C$47*0.173))+0.2*SIN(2*PI()*((((Inputs!$I$6+(((A147)+1)/2)*(Inputs!$J$6-Inputs!$I$6)))+(Inputs!$C$6))/(0.5*(Inputs!$C$49+Inputs!$C$50))+Inputs!$C$47*0.097)))+0.3*(2*((SIN((((Inputs!$I$6+(((A147)+1)/2)*(Inputs!$J$6-Inputs!$I$6)))*12.9898+(Inputs!$C$6)*78.233+Inputs!$C$47*37.719))*43758.5453)-INT((SIN((((Inputs!$I$6+(((A147)+1)/2)*(Inputs!$J$6-Inputs!$I$6)))*12.9898+(Inputs!$C$6)*78.233+Inputs!$C$47*37.719))*43758.5453)))-1))),NA())</f>
        <v/>
      </c>
      <c r="AT147" s="9">
        <f>IF(OR(Inputs!$F$7=TRUE,Inputs!$F$7="TRUE",Inputs!$F$7=1),IF(OR(Inputs!$C$27=TRUE,Inputs!$C$27="TRUE",Inputs!$C$27=1),1,0)*(Inputs!$C$51*(115*EXP(-(((Inputs!$C$6)-25)^2)/(4.5^2))+70*EXP(-(((Inputs!$C$6)+38)^2)/(7^2))*(0.55+0.45*SIN(2*PI()*((Inputs!$I$7+(((A147)+1)/2)*(Inputs!$J$7-Inputs!$I$7)))/45))+24*SIN(2*PI()*(Inputs!$C$6)/9+((Inputs!$I$7+(((A147)+1)/2)*(Inputs!$J$7-Inputs!$I$7)))/18)*EXP(-(((Inputs!$C$6)+5)^2)/(22^2))+18*SIN(2*PI()*((Inputs!$I$7+(((A147)+1)/2)*(Inputs!$J$7-Inputs!$I$7)))/70))+Inputs!$C$28*EXP(-((((Inputs!$I$7+(((A147)+1)/2)*(Inputs!$J$7-Inputs!$I$7)))-Inputs!$C$29)^2)/(2*Inputs!$C$31^2))*EXP(-(((Inputs!$C$6)-Inputs!$C$30)^2)/(2*Inputs!$C$32^2))+-Inputs!$C$33*EXP(-((((((Inputs!$I$7+(((A147)+1)/2)*(Inputs!$J$7-Inputs!$I$7)))-Inputs!$C$34)^2)+(((Inputs!$C$6)-Inputs!$C$35)^2))/(2*Inputs!$C$36^2)))+Inputs!$C$37*(0.55*SIN(2*PI()*((Inputs!$I$7+(((A147)+1)/2)*(Inputs!$J$7-Inputs!$I$7)))/Inputs!$C$39)+0.35*COS(2*PI()*(Inputs!$C$6)/Inputs!$C$40)+0.2*SIN(2*PI()*(((Inputs!$I$7+(((A147)+1)/2)*(Inputs!$J$7-Inputs!$I$7)))+(Inputs!$C$6))/(0.5*(Inputs!$C$39+Inputs!$C$40))))+Inputs!$C$38*SIN(2*PI()*((Inputs!$I$7+(((A147)+1)/2)*(Inputs!$J$7-Inputs!$I$7)))/Inputs!$C$39)*SIN(2*PI()*(Inputs!$C$6)/Inputs!$C$40)+-Inputs!$C$41*EXP(-(((Inputs!$C$6)-Inputs!$C$43)^2)/(2*Inputs!$C$44^2))*EXP(-((((Inputs!$I$7+(((A147)+1)/2)*(Inputs!$J$7-Inputs!$I$7)))-Inputs!$C$42)^2)/(2*Inputs!$C$45^2))+Inputs!$C$48*(0.7*(0.45*SIN(2*PI()*((((Inputs!$I$7+(((A147)+1)/2)*(Inputs!$J$7-Inputs!$I$7)))/Inputs!$C$49)+Inputs!$C$47*0.137))+0.35*COS(2*PI()*(((Inputs!$C$6)/Inputs!$C$50)+Inputs!$C$47*0.173))+0.2*SIN(2*PI()*((((Inputs!$I$7+(((A147)+1)/2)*(Inputs!$J$7-Inputs!$I$7)))+(Inputs!$C$6))/(0.5*(Inputs!$C$49+Inputs!$C$50))+Inputs!$C$47*0.097)))+0.3*(2*((SIN((((Inputs!$I$7+(((A147)+1)/2)*(Inputs!$J$7-Inputs!$I$7)))*12.9898+(Inputs!$C$6)*78.233+Inputs!$C$47*37.719))*43758.5453)-INT((SIN((((Inputs!$I$7+(((A147)+1)/2)*(Inputs!$J$7-Inputs!$I$7)))*12.9898+(Inputs!$C$6)*78.233+Inputs!$C$47*37.719))*43758.5453)))-1))),NA())</f>
        <v/>
      </c>
      <c r="AU147" s="9">
        <f>IF(OR(Inputs!$F$8=TRUE,Inputs!$F$8="TRUE",Inputs!$F$8=1),IF(OR(Inputs!$C$27=TRUE,Inputs!$C$27="TRUE",Inputs!$C$27=1),1,0)*(Inputs!$C$51*(115*EXP(-(((Inputs!$C$6)-25)^2)/(4.5^2))+70*EXP(-(((Inputs!$C$6)+38)^2)/(7^2))*(0.55+0.45*SIN(2*PI()*((Inputs!$I$8+(((A147)+1)/2)*(Inputs!$J$8-Inputs!$I$8)))/45))+24*SIN(2*PI()*(Inputs!$C$6)/9+((Inputs!$I$8+(((A147)+1)/2)*(Inputs!$J$8-Inputs!$I$8)))/18)*EXP(-(((Inputs!$C$6)+5)^2)/(22^2))+18*SIN(2*PI()*((Inputs!$I$8+(((A147)+1)/2)*(Inputs!$J$8-Inputs!$I$8)))/70))+Inputs!$C$28*EXP(-((((Inputs!$I$8+(((A147)+1)/2)*(Inputs!$J$8-Inputs!$I$8)))-Inputs!$C$29)^2)/(2*Inputs!$C$31^2))*EXP(-(((Inputs!$C$6)-Inputs!$C$30)^2)/(2*Inputs!$C$32^2))+-Inputs!$C$33*EXP(-((((((Inputs!$I$8+(((A147)+1)/2)*(Inputs!$J$8-Inputs!$I$8)))-Inputs!$C$34)^2)+(((Inputs!$C$6)-Inputs!$C$35)^2))/(2*Inputs!$C$36^2)))+Inputs!$C$37*(0.55*SIN(2*PI()*((Inputs!$I$8+(((A147)+1)/2)*(Inputs!$J$8-Inputs!$I$8)))/Inputs!$C$39)+0.35*COS(2*PI()*(Inputs!$C$6)/Inputs!$C$40)+0.2*SIN(2*PI()*(((Inputs!$I$8+(((A147)+1)/2)*(Inputs!$J$8-Inputs!$I$8)))+(Inputs!$C$6))/(0.5*(Inputs!$C$39+Inputs!$C$40))))+Inputs!$C$38*SIN(2*PI()*((Inputs!$I$8+(((A147)+1)/2)*(Inputs!$J$8-Inputs!$I$8)))/Inputs!$C$39)*SIN(2*PI()*(Inputs!$C$6)/Inputs!$C$40)+-Inputs!$C$41*EXP(-(((Inputs!$C$6)-Inputs!$C$43)^2)/(2*Inputs!$C$44^2))*EXP(-((((Inputs!$I$8+(((A147)+1)/2)*(Inputs!$J$8-Inputs!$I$8)))-Inputs!$C$42)^2)/(2*Inputs!$C$45^2))+Inputs!$C$48*(0.7*(0.45*SIN(2*PI()*((((Inputs!$I$8+(((A147)+1)/2)*(Inputs!$J$8-Inputs!$I$8)))/Inputs!$C$49)+Inputs!$C$47*0.137))+0.35*COS(2*PI()*(((Inputs!$C$6)/Inputs!$C$50)+Inputs!$C$47*0.173))+0.2*SIN(2*PI()*((((Inputs!$I$8+(((A147)+1)/2)*(Inputs!$J$8-Inputs!$I$8)))+(Inputs!$C$6))/(0.5*(Inputs!$C$49+Inputs!$C$50))+Inputs!$C$47*0.097)))+0.3*(2*((SIN((((Inputs!$I$8+(((A147)+1)/2)*(Inputs!$J$8-Inputs!$I$8)))*12.9898+(Inputs!$C$6)*78.233+Inputs!$C$47*37.719))*43758.5453)-INT((SIN((((Inputs!$I$8+(((A147)+1)/2)*(Inputs!$J$8-Inputs!$I$8)))*12.9898+(Inputs!$C$6)*78.233+Inputs!$C$47*37.719))*43758.5453)))-1))),NA())</f>
        <v/>
      </c>
      <c r="AV147" s="9">
        <f>IF(OR(Inputs!$F$9=TRUE,Inputs!$F$9="TRUE",Inputs!$F$9=1),IF(OR(Inputs!$C$27=TRUE,Inputs!$C$27="TRUE",Inputs!$C$27=1),1,0)*(Inputs!$C$51*(115*EXP(-(((Inputs!$C$6)-25)^2)/(4.5^2))+70*EXP(-(((Inputs!$C$6)+38)^2)/(7^2))*(0.55+0.45*SIN(2*PI()*((Inputs!$I$9+(((A147)+1)/2)*(Inputs!$J$9-Inputs!$I$9)))/45))+24*SIN(2*PI()*(Inputs!$C$6)/9+((Inputs!$I$9+(((A147)+1)/2)*(Inputs!$J$9-Inputs!$I$9)))/18)*EXP(-(((Inputs!$C$6)+5)^2)/(22^2))+18*SIN(2*PI()*((Inputs!$I$9+(((A147)+1)/2)*(Inputs!$J$9-Inputs!$I$9)))/70))+Inputs!$C$28*EXP(-((((Inputs!$I$9+(((A147)+1)/2)*(Inputs!$J$9-Inputs!$I$9)))-Inputs!$C$29)^2)/(2*Inputs!$C$31^2))*EXP(-(((Inputs!$C$6)-Inputs!$C$30)^2)/(2*Inputs!$C$32^2))+-Inputs!$C$33*EXP(-((((((Inputs!$I$9+(((A147)+1)/2)*(Inputs!$J$9-Inputs!$I$9)))-Inputs!$C$34)^2)+(((Inputs!$C$6)-Inputs!$C$35)^2))/(2*Inputs!$C$36^2)))+Inputs!$C$37*(0.55*SIN(2*PI()*((Inputs!$I$9+(((A147)+1)/2)*(Inputs!$J$9-Inputs!$I$9)))/Inputs!$C$39)+0.35*COS(2*PI()*(Inputs!$C$6)/Inputs!$C$40)+0.2*SIN(2*PI()*(((Inputs!$I$9+(((A147)+1)/2)*(Inputs!$J$9-Inputs!$I$9)))+(Inputs!$C$6))/(0.5*(Inputs!$C$39+Inputs!$C$40))))+Inputs!$C$38*SIN(2*PI()*((Inputs!$I$9+(((A147)+1)/2)*(Inputs!$J$9-Inputs!$I$9)))/Inputs!$C$39)*SIN(2*PI()*(Inputs!$C$6)/Inputs!$C$40)+-Inputs!$C$41*EXP(-(((Inputs!$C$6)-Inputs!$C$43)^2)/(2*Inputs!$C$44^2))*EXP(-((((Inputs!$I$9+(((A147)+1)/2)*(Inputs!$J$9-Inputs!$I$9)))-Inputs!$C$42)^2)/(2*Inputs!$C$45^2))+Inputs!$C$48*(0.7*(0.45*SIN(2*PI()*((((Inputs!$I$9+(((A147)+1)/2)*(Inputs!$J$9-Inputs!$I$9)))/Inputs!$C$49)+Inputs!$C$47*0.137))+0.35*COS(2*PI()*(((Inputs!$C$6)/Inputs!$C$50)+Inputs!$C$47*0.173))+0.2*SIN(2*PI()*((((Inputs!$I$9+(((A147)+1)/2)*(Inputs!$J$9-Inputs!$I$9)))+(Inputs!$C$6))/(0.5*(Inputs!$C$49+Inputs!$C$50))+Inputs!$C$47*0.097)))+0.3*(2*((SIN((((Inputs!$I$9+(((A147)+1)/2)*(Inputs!$J$9-Inputs!$I$9)))*12.9898+(Inputs!$C$6)*78.233+Inputs!$C$47*37.719))*43758.5453)-INT((SIN((((Inputs!$I$9+(((A147)+1)/2)*(Inputs!$J$9-Inputs!$I$9)))*12.9898+(Inputs!$C$6)*78.233+Inputs!$C$47*37.719))*43758.5453)))-1))),NA())</f>
        <v/>
      </c>
      <c r="AW147" s="10" t="n"/>
      <c r="AX147" s="9">
        <f>A147</f>
        <v/>
      </c>
      <c r="AY147" s="9">
        <f>0</f>
        <v/>
      </c>
      <c r="AZ147" s="9">
        <f>IF(OR(Inputs!$F$6=TRUE,Inputs!$F$6="TRUE",Inputs!$F$6=1),(Inputs!$H$6+Inputs!$L$6*(((Inputs!$I$6+(((A147)+1)/2)*(Inputs!$J$6-Inputs!$I$6)))/Inputs!$K$6)^2),NA())</f>
        <v/>
      </c>
      <c r="BA147" s="9">
        <f>IF(OR(Inputs!$F$7=TRUE,Inputs!$F$7="TRUE",Inputs!$F$7=1),(Inputs!$H$7+Inputs!$L$7*(((Inputs!$I$7+(((A147)+1)/2)*(Inputs!$J$7-Inputs!$I$7)))/Inputs!$K$7)^2),NA())</f>
        <v/>
      </c>
      <c r="BB147" s="9">
        <f>IF(OR(Inputs!$F$8=TRUE,Inputs!$F$8="TRUE",Inputs!$F$8=1),(Inputs!$H$8+Inputs!$L$8*(((Inputs!$I$8+(((A147)+1)/2)*(Inputs!$J$8-Inputs!$I$8)))/Inputs!$K$8)^2),NA())</f>
        <v/>
      </c>
      <c r="BC147" s="9">
        <f>IF(OR(Inputs!$F$9=TRUE,Inputs!$F$9="TRUE",Inputs!$F$9=1),(Inputs!$H$9+Inputs!$L$9*(((Inputs!$I$9+(((A147)+1)/2)*(Inputs!$J$9-Inputs!$I$9)))/Inputs!$K$9)^2),NA())</f>
        <v/>
      </c>
      <c r="BD147" s="10" t="n"/>
      <c r="BE147" s="9">
        <f>A147</f>
        <v/>
      </c>
      <c r="BF147" s="9">
        <f>0</f>
        <v/>
      </c>
      <c r="BG147" s="9">
        <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f>
        <v/>
      </c>
      <c r="BH147" s="9">
        <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f>
        <v/>
      </c>
      <c r="BI147" s="9">
        <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f>
        <v/>
      </c>
      <c r="BJ147" s="9">
        <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f>
        <v/>
      </c>
    </row>
    <row r="148">
      <c r="A148" s="9">
        <f>ROUND(-1+146*2/240,3)</f>
        <v/>
      </c>
      <c r="B148" s="9">
        <f>IF(OR(Inputs!$F$6=TRUE,Inputs!$F$6="TRUE",Inputs!$F$6=1),(Inputs!$H$6+Inputs!$L$6*(((Inputs!$I$6+(((A148)+1)/2)*(Inputs!$J$6-Inputs!$I$6)))/Inputs!$K$6)^2),NA())</f>
        <v/>
      </c>
      <c r="C148" s="9">
        <f>IF(OR(Inputs!$F$7=TRUE,Inputs!$F$7="TRUE",Inputs!$F$7=1),(Inputs!$H$7+Inputs!$L$7*(((Inputs!$I$7+(((A148)+1)/2)*(Inputs!$J$7-Inputs!$I$7)))/Inputs!$K$7)^2),NA())</f>
        <v/>
      </c>
      <c r="D148" s="9">
        <f>IF(OR(Inputs!$F$8=TRUE,Inputs!$F$8="TRUE",Inputs!$F$8=1),(Inputs!$H$8+Inputs!$L$8*(((Inputs!$I$8+(((A148)+1)/2)*(Inputs!$J$8-Inputs!$I$8)))/Inputs!$K$8)^2),NA())</f>
        <v/>
      </c>
      <c r="E148" s="9">
        <f>IF(OR(Inputs!$F$9=TRUE,Inputs!$F$9="TRUE",Inputs!$F$9=1),(Inputs!$H$9+Inputs!$L$9*(((Inputs!$I$9+(((A148)+1)/2)*(Inputs!$J$9-Inputs!$I$9)))/Inputs!$K$9)^2),NA())</f>
        <v/>
      </c>
      <c r="F148" s="10" t="n"/>
      <c r="G148" s="9">
        <f>A148</f>
        <v/>
      </c>
      <c r="H148" s="9">
        <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f>
        <v/>
      </c>
      <c r="I148" s="9">
        <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f>
        <v/>
      </c>
      <c r="J148" s="9">
        <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f>
        <v/>
      </c>
      <c r="K148" s="9">
        <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f>
        <v/>
      </c>
      <c r="L148" s="10" t="n"/>
      <c r="M148" s="9">
        <f>A148</f>
        <v/>
      </c>
      <c r="N148" s="9">
        <f>IF(OR(Inputs!$F$6=TRUE,Inputs!$F$6="TRUE",Inputs!$F$6=1),(-2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NA())</f>
        <v/>
      </c>
      <c r="O148" s="9">
        <f>IF(OR(Inputs!$F$7=TRUE,Inputs!$F$7="TRUE",Inputs!$F$7=1),(-2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NA())</f>
        <v/>
      </c>
      <c r="P148" s="9">
        <f>IF(OR(Inputs!$F$8=TRUE,Inputs!$F$8="TRUE",Inputs!$F$8=1),(-2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NA())</f>
        <v/>
      </c>
      <c r="Q148" s="9">
        <f>IF(OR(Inputs!$F$9=TRUE,Inputs!$F$9="TRUE",Inputs!$F$9=1),(-2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NA())</f>
        <v/>
      </c>
      <c r="R148" s="10" t="n"/>
      <c r="S148" s="9">
        <f>A148</f>
        <v/>
      </c>
      <c r="T148" s="9">
        <f>(Inputs!$I$6+(((A148)+1)/2)*(Inputs!$J$6-Inputs!$I$6))</f>
        <v/>
      </c>
      <c r="U148" s="9">
        <f>(Inputs!$I$7+(((A148)+1)/2)*(Inputs!$J$7-Inputs!$I$7))</f>
        <v/>
      </c>
      <c r="V148" s="9">
        <f>(Inputs!$I$8+(((A148)+1)/2)*(Inputs!$J$8-Inputs!$I$8))</f>
        <v/>
      </c>
      <c r="W148" s="9">
        <f>(Inputs!$I$9+(((A148)+1)/2)*(Inputs!$J$9-Inputs!$I$9))</f>
        <v/>
      </c>
      <c r="X148" s="10" t="n"/>
      <c r="Y148" s="9">
        <f>A148</f>
        <v/>
      </c>
      <c r="Z148" s="9">
        <f>(Inputs!$H$6+Inputs!$L$6*(((Inputs!$I$6+(((A148)+1)/2)*(Inputs!$J$6-Inputs!$I$6)))/Inputs!$K$6)^2)</f>
        <v/>
      </c>
      <c r="AA148" s="9">
        <f>(Inputs!$H$7+Inputs!$L$7*(((Inputs!$I$7+(((A148)+1)/2)*(Inputs!$J$7-Inputs!$I$7)))/Inputs!$K$7)^2)</f>
        <v/>
      </c>
      <c r="AB148" s="9">
        <f>(Inputs!$H$8+Inputs!$L$8*(((Inputs!$I$8+(((A148)+1)/2)*(Inputs!$J$8-Inputs!$I$8)))/Inputs!$K$8)^2)</f>
        <v/>
      </c>
      <c r="AC148" s="9">
        <f>(Inputs!$H$9+Inputs!$L$9*(((Inputs!$I$9+(((A148)+1)/2)*(Inputs!$J$9-Inputs!$I$9)))/Inputs!$K$9)^2)</f>
        <v/>
      </c>
      <c r="AD148" s="10" t="n"/>
      <c r="AE148" s="9">
        <f>A148</f>
        <v/>
      </c>
      <c r="AF148" s="9">
        <f>(((SQRT((Inputs!$C$52+((Inputs!$H$6+Inputs!$L$6*(((Inputs!$I$6+(((A148)+1)/2)*(Inputs!$J$6-Inputs!$I$6)))/Inputs!$K$6)^2)))^2+Inputs!$C$52^2-2*(Inputs!$C$52+((Inputs!$H$6+Inputs!$L$6*(((Inputs!$I$6+(((A148)+1)/2)*(Inputs!$J$6-Inputs!$I$6)))/Inputs!$K$6)^2)))*Inputs!$C$52*COS(SQRT(((Inputs!$I$6+(((A148)+1)/2)*(Inputs!$J$6-Inputs!$I$6)))^2+Inputs!$C$6^2)/Inputs!$C$52)))-((Inputs!$H$6+Inputs!$L$6*(((Inputs!$I$6+(((A148)+1)/2)*(Inputs!$J$6-Inputs!$I$6)))/Inputs!$K$6)^2)))*1000/Inputs!$C$12)</f>
        <v/>
      </c>
      <c r="AG148" s="9">
        <f>(((SQRT((Inputs!$C$52+((Inputs!$H$7+Inputs!$L$7*(((Inputs!$I$7+(((A148)+1)/2)*(Inputs!$J$7-Inputs!$I$7)))/Inputs!$K$7)^2)))^2+Inputs!$C$52^2-2*(Inputs!$C$52+((Inputs!$H$7+Inputs!$L$7*(((Inputs!$I$7+(((A148)+1)/2)*(Inputs!$J$7-Inputs!$I$7)))/Inputs!$K$7)^2)))*Inputs!$C$52*COS(SQRT(((Inputs!$I$7+(((A148)+1)/2)*(Inputs!$J$7-Inputs!$I$7)))^2+Inputs!$C$6^2)/Inputs!$C$52)))-((Inputs!$H$7+Inputs!$L$7*(((Inputs!$I$7+(((A148)+1)/2)*(Inputs!$J$7-Inputs!$I$7)))/Inputs!$K$7)^2)))*1000/Inputs!$C$12)</f>
        <v/>
      </c>
      <c r="AH148" s="9">
        <f>(((SQRT((Inputs!$C$52+((Inputs!$H$8+Inputs!$L$8*(((Inputs!$I$8+(((A148)+1)/2)*(Inputs!$J$8-Inputs!$I$8)))/Inputs!$K$8)^2)))^2+Inputs!$C$52^2-2*(Inputs!$C$52+((Inputs!$H$8+Inputs!$L$8*(((Inputs!$I$8+(((A148)+1)/2)*(Inputs!$J$8-Inputs!$I$8)))/Inputs!$K$8)^2)))*Inputs!$C$52*COS(SQRT(((Inputs!$I$8+(((A148)+1)/2)*(Inputs!$J$8-Inputs!$I$8)))^2+Inputs!$C$6^2)/Inputs!$C$52)))-((Inputs!$H$8+Inputs!$L$8*(((Inputs!$I$8+(((A148)+1)/2)*(Inputs!$J$8-Inputs!$I$8)))/Inputs!$K$8)^2)))*1000/Inputs!$C$12)</f>
        <v/>
      </c>
      <c r="AI148" s="9">
        <f>(((SQRT((Inputs!$C$52+((Inputs!$H$9+Inputs!$L$9*(((Inputs!$I$9+(((A148)+1)/2)*(Inputs!$J$9-Inputs!$I$9)))/Inputs!$K$9)^2)))^2+Inputs!$C$52^2-2*(Inputs!$C$52+((Inputs!$H$9+Inputs!$L$9*(((Inputs!$I$9+(((A148)+1)/2)*(Inputs!$J$9-Inputs!$I$9)))/Inputs!$K$9)^2)))*Inputs!$C$52*COS(SQRT(((Inputs!$I$9+(((A148)+1)/2)*(Inputs!$J$9-Inputs!$I$9)))^2+Inputs!$C$6^2)/Inputs!$C$52)))-((Inputs!$H$9+Inputs!$L$9*(((Inputs!$I$9+(((A148)+1)/2)*(Inputs!$J$9-Inputs!$I$9)))/Inputs!$K$9)^2)))*1000/Inputs!$C$12)</f>
        <v/>
      </c>
      <c r="AJ148" s="10" t="n"/>
      <c r="AK148" s="9">
        <f>A148</f>
        <v/>
      </c>
      <c r="AL148" s="9">
        <f>(-2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f>
        <v/>
      </c>
      <c r="AM148" s="9">
        <f>(-2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f>
        <v/>
      </c>
      <c r="AN148" s="9">
        <f>(-2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f>
        <v/>
      </c>
      <c r="AO148" s="9">
        <f>(-2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f>
        <v/>
      </c>
      <c r="AP148" s="10" t="n"/>
      <c r="AQ148" s="9">
        <f>A148</f>
        <v/>
      </c>
      <c r="AR148" s="9">
        <f>0</f>
        <v/>
      </c>
      <c r="AS148" s="9">
        <f>IF(OR(Inputs!$F$6=TRUE,Inputs!$F$6="TRUE",Inputs!$F$6=1),IF(OR(Inputs!$C$27=TRUE,Inputs!$C$27="TRUE",Inputs!$C$27=1),1,0)*(Inputs!$C$51*(115*EXP(-(((Inputs!$C$6)-25)^2)/(4.5^2))+70*EXP(-(((Inputs!$C$6)+38)^2)/(7^2))*(0.55+0.45*SIN(2*PI()*((Inputs!$I$6+(((A148)+1)/2)*(Inputs!$J$6-Inputs!$I$6)))/45))+24*SIN(2*PI()*(Inputs!$C$6)/9+((Inputs!$I$6+(((A148)+1)/2)*(Inputs!$J$6-Inputs!$I$6)))/18)*EXP(-(((Inputs!$C$6)+5)^2)/(22^2))+18*SIN(2*PI()*((Inputs!$I$6+(((A148)+1)/2)*(Inputs!$J$6-Inputs!$I$6)))/70))+Inputs!$C$28*EXP(-((((Inputs!$I$6+(((A148)+1)/2)*(Inputs!$J$6-Inputs!$I$6)))-Inputs!$C$29)^2)/(2*Inputs!$C$31^2))*EXP(-(((Inputs!$C$6)-Inputs!$C$30)^2)/(2*Inputs!$C$32^2))+-Inputs!$C$33*EXP(-((((((Inputs!$I$6+(((A148)+1)/2)*(Inputs!$J$6-Inputs!$I$6)))-Inputs!$C$34)^2)+(((Inputs!$C$6)-Inputs!$C$35)^2))/(2*Inputs!$C$36^2)))+Inputs!$C$37*(0.55*SIN(2*PI()*((Inputs!$I$6+(((A148)+1)/2)*(Inputs!$J$6-Inputs!$I$6)))/Inputs!$C$39)+0.35*COS(2*PI()*(Inputs!$C$6)/Inputs!$C$40)+0.2*SIN(2*PI()*(((Inputs!$I$6+(((A148)+1)/2)*(Inputs!$J$6-Inputs!$I$6)))+(Inputs!$C$6))/(0.5*(Inputs!$C$39+Inputs!$C$40))))+Inputs!$C$38*SIN(2*PI()*((Inputs!$I$6+(((A148)+1)/2)*(Inputs!$J$6-Inputs!$I$6)))/Inputs!$C$39)*SIN(2*PI()*(Inputs!$C$6)/Inputs!$C$40)+-Inputs!$C$41*EXP(-(((Inputs!$C$6)-Inputs!$C$43)^2)/(2*Inputs!$C$44^2))*EXP(-((((Inputs!$I$6+(((A148)+1)/2)*(Inputs!$J$6-Inputs!$I$6)))-Inputs!$C$42)^2)/(2*Inputs!$C$45^2))+Inputs!$C$48*(0.7*(0.45*SIN(2*PI()*((((Inputs!$I$6+(((A148)+1)/2)*(Inputs!$J$6-Inputs!$I$6)))/Inputs!$C$49)+Inputs!$C$47*0.137))+0.35*COS(2*PI()*(((Inputs!$C$6)/Inputs!$C$50)+Inputs!$C$47*0.173))+0.2*SIN(2*PI()*((((Inputs!$I$6+(((A148)+1)/2)*(Inputs!$J$6-Inputs!$I$6)))+(Inputs!$C$6))/(0.5*(Inputs!$C$49+Inputs!$C$50))+Inputs!$C$47*0.097)))+0.3*(2*((SIN((((Inputs!$I$6+(((A148)+1)/2)*(Inputs!$J$6-Inputs!$I$6)))*12.9898+(Inputs!$C$6)*78.233+Inputs!$C$47*37.719))*43758.5453)-INT((SIN((((Inputs!$I$6+(((A148)+1)/2)*(Inputs!$J$6-Inputs!$I$6)))*12.9898+(Inputs!$C$6)*78.233+Inputs!$C$47*37.719))*43758.5453)))-1))),NA())</f>
        <v/>
      </c>
      <c r="AT148" s="9">
        <f>IF(OR(Inputs!$F$7=TRUE,Inputs!$F$7="TRUE",Inputs!$F$7=1),IF(OR(Inputs!$C$27=TRUE,Inputs!$C$27="TRUE",Inputs!$C$27=1),1,0)*(Inputs!$C$51*(115*EXP(-(((Inputs!$C$6)-25)^2)/(4.5^2))+70*EXP(-(((Inputs!$C$6)+38)^2)/(7^2))*(0.55+0.45*SIN(2*PI()*((Inputs!$I$7+(((A148)+1)/2)*(Inputs!$J$7-Inputs!$I$7)))/45))+24*SIN(2*PI()*(Inputs!$C$6)/9+((Inputs!$I$7+(((A148)+1)/2)*(Inputs!$J$7-Inputs!$I$7)))/18)*EXP(-(((Inputs!$C$6)+5)^2)/(22^2))+18*SIN(2*PI()*((Inputs!$I$7+(((A148)+1)/2)*(Inputs!$J$7-Inputs!$I$7)))/70))+Inputs!$C$28*EXP(-((((Inputs!$I$7+(((A148)+1)/2)*(Inputs!$J$7-Inputs!$I$7)))-Inputs!$C$29)^2)/(2*Inputs!$C$31^2))*EXP(-(((Inputs!$C$6)-Inputs!$C$30)^2)/(2*Inputs!$C$32^2))+-Inputs!$C$33*EXP(-((((((Inputs!$I$7+(((A148)+1)/2)*(Inputs!$J$7-Inputs!$I$7)))-Inputs!$C$34)^2)+(((Inputs!$C$6)-Inputs!$C$35)^2))/(2*Inputs!$C$36^2)))+Inputs!$C$37*(0.55*SIN(2*PI()*((Inputs!$I$7+(((A148)+1)/2)*(Inputs!$J$7-Inputs!$I$7)))/Inputs!$C$39)+0.35*COS(2*PI()*(Inputs!$C$6)/Inputs!$C$40)+0.2*SIN(2*PI()*(((Inputs!$I$7+(((A148)+1)/2)*(Inputs!$J$7-Inputs!$I$7)))+(Inputs!$C$6))/(0.5*(Inputs!$C$39+Inputs!$C$40))))+Inputs!$C$38*SIN(2*PI()*((Inputs!$I$7+(((A148)+1)/2)*(Inputs!$J$7-Inputs!$I$7)))/Inputs!$C$39)*SIN(2*PI()*(Inputs!$C$6)/Inputs!$C$40)+-Inputs!$C$41*EXP(-(((Inputs!$C$6)-Inputs!$C$43)^2)/(2*Inputs!$C$44^2))*EXP(-((((Inputs!$I$7+(((A148)+1)/2)*(Inputs!$J$7-Inputs!$I$7)))-Inputs!$C$42)^2)/(2*Inputs!$C$45^2))+Inputs!$C$48*(0.7*(0.45*SIN(2*PI()*((((Inputs!$I$7+(((A148)+1)/2)*(Inputs!$J$7-Inputs!$I$7)))/Inputs!$C$49)+Inputs!$C$47*0.137))+0.35*COS(2*PI()*(((Inputs!$C$6)/Inputs!$C$50)+Inputs!$C$47*0.173))+0.2*SIN(2*PI()*((((Inputs!$I$7+(((A148)+1)/2)*(Inputs!$J$7-Inputs!$I$7)))+(Inputs!$C$6))/(0.5*(Inputs!$C$49+Inputs!$C$50))+Inputs!$C$47*0.097)))+0.3*(2*((SIN((((Inputs!$I$7+(((A148)+1)/2)*(Inputs!$J$7-Inputs!$I$7)))*12.9898+(Inputs!$C$6)*78.233+Inputs!$C$47*37.719))*43758.5453)-INT((SIN((((Inputs!$I$7+(((A148)+1)/2)*(Inputs!$J$7-Inputs!$I$7)))*12.9898+(Inputs!$C$6)*78.233+Inputs!$C$47*37.719))*43758.5453)))-1))),NA())</f>
        <v/>
      </c>
      <c r="AU148" s="9">
        <f>IF(OR(Inputs!$F$8=TRUE,Inputs!$F$8="TRUE",Inputs!$F$8=1),IF(OR(Inputs!$C$27=TRUE,Inputs!$C$27="TRUE",Inputs!$C$27=1),1,0)*(Inputs!$C$51*(115*EXP(-(((Inputs!$C$6)-25)^2)/(4.5^2))+70*EXP(-(((Inputs!$C$6)+38)^2)/(7^2))*(0.55+0.45*SIN(2*PI()*((Inputs!$I$8+(((A148)+1)/2)*(Inputs!$J$8-Inputs!$I$8)))/45))+24*SIN(2*PI()*(Inputs!$C$6)/9+((Inputs!$I$8+(((A148)+1)/2)*(Inputs!$J$8-Inputs!$I$8)))/18)*EXP(-(((Inputs!$C$6)+5)^2)/(22^2))+18*SIN(2*PI()*((Inputs!$I$8+(((A148)+1)/2)*(Inputs!$J$8-Inputs!$I$8)))/70))+Inputs!$C$28*EXP(-((((Inputs!$I$8+(((A148)+1)/2)*(Inputs!$J$8-Inputs!$I$8)))-Inputs!$C$29)^2)/(2*Inputs!$C$31^2))*EXP(-(((Inputs!$C$6)-Inputs!$C$30)^2)/(2*Inputs!$C$32^2))+-Inputs!$C$33*EXP(-((((((Inputs!$I$8+(((A148)+1)/2)*(Inputs!$J$8-Inputs!$I$8)))-Inputs!$C$34)^2)+(((Inputs!$C$6)-Inputs!$C$35)^2))/(2*Inputs!$C$36^2)))+Inputs!$C$37*(0.55*SIN(2*PI()*((Inputs!$I$8+(((A148)+1)/2)*(Inputs!$J$8-Inputs!$I$8)))/Inputs!$C$39)+0.35*COS(2*PI()*(Inputs!$C$6)/Inputs!$C$40)+0.2*SIN(2*PI()*(((Inputs!$I$8+(((A148)+1)/2)*(Inputs!$J$8-Inputs!$I$8)))+(Inputs!$C$6))/(0.5*(Inputs!$C$39+Inputs!$C$40))))+Inputs!$C$38*SIN(2*PI()*((Inputs!$I$8+(((A148)+1)/2)*(Inputs!$J$8-Inputs!$I$8)))/Inputs!$C$39)*SIN(2*PI()*(Inputs!$C$6)/Inputs!$C$40)+-Inputs!$C$41*EXP(-(((Inputs!$C$6)-Inputs!$C$43)^2)/(2*Inputs!$C$44^2))*EXP(-((((Inputs!$I$8+(((A148)+1)/2)*(Inputs!$J$8-Inputs!$I$8)))-Inputs!$C$42)^2)/(2*Inputs!$C$45^2))+Inputs!$C$48*(0.7*(0.45*SIN(2*PI()*((((Inputs!$I$8+(((A148)+1)/2)*(Inputs!$J$8-Inputs!$I$8)))/Inputs!$C$49)+Inputs!$C$47*0.137))+0.35*COS(2*PI()*(((Inputs!$C$6)/Inputs!$C$50)+Inputs!$C$47*0.173))+0.2*SIN(2*PI()*((((Inputs!$I$8+(((A148)+1)/2)*(Inputs!$J$8-Inputs!$I$8)))+(Inputs!$C$6))/(0.5*(Inputs!$C$49+Inputs!$C$50))+Inputs!$C$47*0.097)))+0.3*(2*((SIN((((Inputs!$I$8+(((A148)+1)/2)*(Inputs!$J$8-Inputs!$I$8)))*12.9898+(Inputs!$C$6)*78.233+Inputs!$C$47*37.719))*43758.5453)-INT((SIN((((Inputs!$I$8+(((A148)+1)/2)*(Inputs!$J$8-Inputs!$I$8)))*12.9898+(Inputs!$C$6)*78.233+Inputs!$C$47*37.719))*43758.5453)))-1))),NA())</f>
        <v/>
      </c>
      <c r="AV148" s="9">
        <f>IF(OR(Inputs!$F$9=TRUE,Inputs!$F$9="TRUE",Inputs!$F$9=1),IF(OR(Inputs!$C$27=TRUE,Inputs!$C$27="TRUE",Inputs!$C$27=1),1,0)*(Inputs!$C$51*(115*EXP(-(((Inputs!$C$6)-25)^2)/(4.5^2))+70*EXP(-(((Inputs!$C$6)+38)^2)/(7^2))*(0.55+0.45*SIN(2*PI()*((Inputs!$I$9+(((A148)+1)/2)*(Inputs!$J$9-Inputs!$I$9)))/45))+24*SIN(2*PI()*(Inputs!$C$6)/9+((Inputs!$I$9+(((A148)+1)/2)*(Inputs!$J$9-Inputs!$I$9)))/18)*EXP(-(((Inputs!$C$6)+5)^2)/(22^2))+18*SIN(2*PI()*((Inputs!$I$9+(((A148)+1)/2)*(Inputs!$J$9-Inputs!$I$9)))/70))+Inputs!$C$28*EXP(-((((Inputs!$I$9+(((A148)+1)/2)*(Inputs!$J$9-Inputs!$I$9)))-Inputs!$C$29)^2)/(2*Inputs!$C$31^2))*EXP(-(((Inputs!$C$6)-Inputs!$C$30)^2)/(2*Inputs!$C$32^2))+-Inputs!$C$33*EXP(-((((((Inputs!$I$9+(((A148)+1)/2)*(Inputs!$J$9-Inputs!$I$9)))-Inputs!$C$34)^2)+(((Inputs!$C$6)-Inputs!$C$35)^2))/(2*Inputs!$C$36^2)))+Inputs!$C$37*(0.55*SIN(2*PI()*((Inputs!$I$9+(((A148)+1)/2)*(Inputs!$J$9-Inputs!$I$9)))/Inputs!$C$39)+0.35*COS(2*PI()*(Inputs!$C$6)/Inputs!$C$40)+0.2*SIN(2*PI()*(((Inputs!$I$9+(((A148)+1)/2)*(Inputs!$J$9-Inputs!$I$9)))+(Inputs!$C$6))/(0.5*(Inputs!$C$39+Inputs!$C$40))))+Inputs!$C$38*SIN(2*PI()*((Inputs!$I$9+(((A148)+1)/2)*(Inputs!$J$9-Inputs!$I$9)))/Inputs!$C$39)*SIN(2*PI()*(Inputs!$C$6)/Inputs!$C$40)+-Inputs!$C$41*EXP(-(((Inputs!$C$6)-Inputs!$C$43)^2)/(2*Inputs!$C$44^2))*EXP(-((((Inputs!$I$9+(((A148)+1)/2)*(Inputs!$J$9-Inputs!$I$9)))-Inputs!$C$42)^2)/(2*Inputs!$C$45^2))+Inputs!$C$48*(0.7*(0.45*SIN(2*PI()*((((Inputs!$I$9+(((A148)+1)/2)*(Inputs!$J$9-Inputs!$I$9)))/Inputs!$C$49)+Inputs!$C$47*0.137))+0.35*COS(2*PI()*(((Inputs!$C$6)/Inputs!$C$50)+Inputs!$C$47*0.173))+0.2*SIN(2*PI()*((((Inputs!$I$9+(((A148)+1)/2)*(Inputs!$J$9-Inputs!$I$9)))+(Inputs!$C$6))/(0.5*(Inputs!$C$49+Inputs!$C$50))+Inputs!$C$47*0.097)))+0.3*(2*((SIN((((Inputs!$I$9+(((A148)+1)/2)*(Inputs!$J$9-Inputs!$I$9)))*12.9898+(Inputs!$C$6)*78.233+Inputs!$C$47*37.719))*43758.5453)-INT((SIN((((Inputs!$I$9+(((A148)+1)/2)*(Inputs!$J$9-Inputs!$I$9)))*12.9898+(Inputs!$C$6)*78.233+Inputs!$C$47*37.719))*43758.5453)))-1))),NA())</f>
        <v/>
      </c>
      <c r="AW148" s="10" t="n"/>
      <c r="AX148" s="9">
        <f>A148</f>
        <v/>
      </c>
      <c r="AY148" s="9">
        <f>0</f>
        <v/>
      </c>
      <c r="AZ148" s="9">
        <f>IF(OR(Inputs!$F$6=TRUE,Inputs!$F$6="TRUE",Inputs!$F$6=1),(Inputs!$H$6+Inputs!$L$6*(((Inputs!$I$6+(((A148)+1)/2)*(Inputs!$J$6-Inputs!$I$6)))/Inputs!$K$6)^2),NA())</f>
        <v/>
      </c>
      <c r="BA148" s="9">
        <f>IF(OR(Inputs!$F$7=TRUE,Inputs!$F$7="TRUE",Inputs!$F$7=1),(Inputs!$H$7+Inputs!$L$7*(((Inputs!$I$7+(((A148)+1)/2)*(Inputs!$J$7-Inputs!$I$7)))/Inputs!$K$7)^2),NA())</f>
        <v/>
      </c>
      <c r="BB148" s="9">
        <f>IF(OR(Inputs!$F$8=TRUE,Inputs!$F$8="TRUE",Inputs!$F$8=1),(Inputs!$H$8+Inputs!$L$8*(((Inputs!$I$8+(((A148)+1)/2)*(Inputs!$J$8-Inputs!$I$8)))/Inputs!$K$8)^2),NA())</f>
        <v/>
      </c>
      <c r="BC148" s="9">
        <f>IF(OR(Inputs!$F$9=TRUE,Inputs!$F$9="TRUE",Inputs!$F$9=1),(Inputs!$H$9+Inputs!$L$9*(((Inputs!$I$9+(((A148)+1)/2)*(Inputs!$J$9-Inputs!$I$9)))/Inputs!$K$9)^2),NA())</f>
        <v/>
      </c>
      <c r="BD148" s="10" t="n"/>
      <c r="BE148" s="9">
        <f>A148</f>
        <v/>
      </c>
      <c r="BF148" s="9">
        <f>0</f>
        <v/>
      </c>
      <c r="BG148" s="9">
        <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f>
        <v/>
      </c>
      <c r="BH148" s="9">
        <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f>
        <v/>
      </c>
      <c r="BI148" s="9">
        <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f>
        <v/>
      </c>
      <c r="BJ148" s="9">
        <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f>
        <v/>
      </c>
    </row>
    <row r="149">
      <c r="A149" s="9">
        <f>ROUND(-1+147*2/240,3)</f>
        <v/>
      </c>
      <c r="B149" s="9">
        <f>IF(OR(Inputs!$F$6=TRUE,Inputs!$F$6="TRUE",Inputs!$F$6=1),(Inputs!$H$6+Inputs!$L$6*(((Inputs!$I$6+(((A149)+1)/2)*(Inputs!$J$6-Inputs!$I$6)))/Inputs!$K$6)^2),NA())</f>
        <v/>
      </c>
      <c r="C149" s="9">
        <f>IF(OR(Inputs!$F$7=TRUE,Inputs!$F$7="TRUE",Inputs!$F$7=1),(Inputs!$H$7+Inputs!$L$7*(((Inputs!$I$7+(((A149)+1)/2)*(Inputs!$J$7-Inputs!$I$7)))/Inputs!$K$7)^2),NA())</f>
        <v/>
      </c>
      <c r="D149" s="9">
        <f>IF(OR(Inputs!$F$8=TRUE,Inputs!$F$8="TRUE",Inputs!$F$8=1),(Inputs!$H$8+Inputs!$L$8*(((Inputs!$I$8+(((A149)+1)/2)*(Inputs!$J$8-Inputs!$I$8)))/Inputs!$K$8)^2),NA())</f>
        <v/>
      </c>
      <c r="E149" s="9">
        <f>IF(OR(Inputs!$F$9=TRUE,Inputs!$F$9="TRUE",Inputs!$F$9=1),(Inputs!$H$9+Inputs!$L$9*(((Inputs!$I$9+(((A149)+1)/2)*(Inputs!$J$9-Inputs!$I$9)))/Inputs!$K$9)^2),NA())</f>
        <v/>
      </c>
      <c r="F149" s="10" t="n"/>
      <c r="G149" s="9">
        <f>A149</f>
        <v/>
      </c>
      <c r="H149" s="9">
        <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f>
        <v/>
      </c>
      <c r="I149" s="9">
        <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f>
        <v/>
      </c>
      <c r="J149" s="9">
        <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f>
        <v/>
      </c>
      <c r="K149" s="9">
        <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f>
        <v/>
      </c>
      <c r="L149" s="10" t="n"/>
      <c r="M149" s="9">
        <f>A149</f>
        <v/>
      </c>
      <c r="N149" s="9">
        <f>IF(OR(Inputs!$F$6=TRUE,Inputs!$F$6="TRUE",Inputs!$F$6=1),(-2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NA())</f>
        <v/>
      </c>
      <c r="O149" s="9">
        <f>IF(OR(Inputs!$F$7=TRUE,Inputs!$F$7="TRUE",Inputs!$F$7=1),(-2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NA())</f>
        <v/>
      </c>
      <c r="P149" s="9">
        <f>IF(OR(Inputs!$F$8=TRUE,Inputs!$F$8="TRUE",Inputs!$F$8=1),(-2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NA())</f>
        <v/>
      </c>
      <c r="Q149" s="9">
        <f>IF(OR(Inputs!$F$9=TRUE,Inputs!$F$9="TRUE",Inputs!$F$9=1),(-2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NA())</f>
        <v/>
      </c>
      <c r="R149" s="10" t="n"/>
      <c r="S149" s="9">
        <f>A149</f>
        <v/>
      </c>
      <c r="T149" s="9">
        <f>(Inputs!$I$6+(((A149)+1)/2)*(Inputs!$J$6-Inputs!$I$6))</f>
        <v/>
      </c>
      <c r="U149" s="9">
        <f>(Inputs!$I$7+(((A149)+1)/2)*(Inputs!$J$7-Inputs!$I$7))</f>
        <v/>
      </c>
      <c r="V149" s="9">
        <f>(Inputs!$I$8+(((A149)+1)/2)*(Inputs!$J$8-Inputs!$I$8))</f>
        <v/>
      </c>
      <c r="W149" s="9">
        <f>(Inputs!$I$9+(((A149)+1)/2)*(Inputs!$J$9-Inputs!$I$9))</f>
        <v/>
      </c>
      <c r="X149" s="10" t="n"/>
      <c r="Y149" s="9">
        <f>A149</f>
        <v/>
      </c>
      <c r="Z149" s="9">
        <f>(Inputs!$H$6+Inputs!$L$6*(((Inputs!$I$6+(((A149)+1)/2)*(Inputs!$J$6-Inputs!$I$6)))/Inputs!$K$6)^2)</f>
        <v/>
      </c>
      <c r="AA149" s="9">
        <f>(Inputs!$H$7+Inputs!$L$7*(((Inputs!$I$7+(((A149)+1)/2)*(Inputs!$J$7-Inputs!$I$7)))/Inputs!$K$7)^2)</f>
        <v/>
      </c>
      <c r="AB149" s="9">
        <f>(Inputs!$H$8+Inputs!$L$8*(((Inputs!$I$8+(((A149)+1)/2)*(Inputs!$J$8-Inputs!$I$8)))/Inputs!$K$8)^2)</f>
        <v/>
      </c>
      <c r="AC149" s="9">
        <f>(Inputs!$H$9+Inputs!$L$9*(((Inputs!$I$9+(((A149)+1)/2)*(Inputs!$J$9-Inputs!$I$9)))/Inputs!$K$9)^2)</f>
        <v/>
      </c>
      <c r="AD149" s="10" t="n"/>
      <c r="AE149" s="9">
        <f>A149</f>
        <v/>
      </c>
      <c r="AF149" s="9">
        <f>(((SQRT((Inputs!$C$52+((Inputs!$H$6+Inputs!$L$6*(((Inputs!$I$6+(((A149)+1)/2)*(Inputs!$J$6-Inputs!$I$6)))/Inputs!$K$6)^2)))^2+Inputs!$C$52^2-2*(Inputs!$C$52+((Inputs!$H$6+Inputs!$L$6*(((Inputs!$I$6+(((A149)+1)/2)*(Inputs!$J$6-Inputs!$I$6)))/Inputs!$K$6)^2)))*Inputs!$C$52*COS(SQRT(((Inputs!$I$6+(((A149)+1)/2)*(Inputs!$J$6-Inputs!$I$6)))^2+Inputs!$C$6^2)/Inputs!$C$52)))-((Inputs!$H$6+Inputs!$L$6*(((Inputs!$I$6+(((A149)+1)/2)*(Inputs!$J$6-Inputs!$I$6)))/Inputs!$K$6)^2)))*1000/Inputs!$C$12)</f>
        <v/>
      </c>
      <c r="AG149" s="9">
        <f>(((SQRT((Inputs!$C$52+((Inputs!$H$7+Inputs!$L$7*(((Inputs!$I$7+(((A149)+1)/2)*(Inputs!$J$7-Inputs!$I$7)))/Inputs!$K$7)^2)))^2+Inputs!$C$52^2-2*(Inputs!$C$52+((Inputs!$H$7+Inputs!$L$7*(((Inputs!$I$7+(((A149)+1)/2)*(Inputs!$J$7-Inputs!$I$7)))/Inputs!$K$7)^2)))*Inputs!$C$52*COS(SQRT(((Inputs!$I$7+(((A149)+1)/2)*(Inputs!$J$7-Inputs!$I$7)))^2+Inputs!$C$6^2)/Inputs!$C$52)))-((Inputs!$H$7+Inputs!$L$7*(((Inputs!$I$7+(((A149)+1)/2)*(Inputs!$J$7-Inputs!$I$7)))/Inputs!$K$7)^2)))*1000/Inputs!$C$12)</f>
        <v/>
      </c>
      <c r="AH149" s="9">
        <f>(((SQRT((Inputs!$C$52+((Inputs!$H$8+Inputs!$L$8*(((Inputs!$I$8+(((A149)+1)/2)*(Inputs!$J$8-Inputs!$I$8)))/Inputs!$K$8)^2)))^2+Inputs!$C$52^2-2*(Inputs!$C$52+((Inputs!$H$8+Inputs!$L$8*(((Inputs!$I$8+(((A149)+1)/2)*(Inputs!$J$8-Inputs!$I$8)))/Inputs!$K$8)^2)))*Inputs!$C$52*COS(SQRT(((Inputs!$I$8+(((A149)+1)/2)*(Inputs!$J$8-Inputs!$I$8)))^2+Inputs!$C$6^2)/Inputs!$C$52)))-((Inputs!$H$8+Inputs!$L$8*(((Inputs!$I$8+(((A149)+1)/2)*(Inputs!$J$8-Inputs!$I$8)))/Inputs!$K$8)^2)))*1000/Inputs!$C$12)</f>
        <v/>
      </c>
      <c r="AI149" s="9">
        <f>(((SQRT((Inputs!$C$52+((Inputs!$H$9+Inputs!$L$9*(((Inputs!$I$9+(((A149)+1)/2)*(Inputs!$J$9-Inputs!$I$9)))/Inputs!$K$9)^2)))^2+Inputs!$C$52^2-2*(Inputs!$C$52+((Inputs!$H$9+Inputs!$L$9*(((Inputs!$I$9+(((A149)+1)/2)*(Inputs!$J$9-Inputs!$I$9)))/Inputs!$K$9)^2)))*Inputs!$C$52*COS(SQRT(((Inputs!$I$9+(((A149)+1)/2)*(Inputs!$J$9-Inputs!$I$9)))^2+Inputs!$C$6^2)/Inputs!$C$52)))-((Inputs!$H$9+Inputs!$L$9*(((Inputs!$I$9+(((A149)+1)/2)*(Inputs!$J$9-Inputs!$I$9)))/Inputs!$K$9)^2)))*1000/Inputs!$C$12)</f>
        <v/>
      </c>
      <c r="AJ149" s="10" t="n"/>
      <c r="AK149" s="9">
        <f>A149</f>
        <v/>
      </c>
      <c r="AL149" s="9">
        <f>(-2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f>
        <v/>
      </c>
      <c r="AM149" s="9">
        <f>(-2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f>
        <v/>
      </c>
      <c r="AN149" s="9">
        <f>(-2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f>
        <v/>
      </c>
      <c r="AO149" s="9">
        <f>(-2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f>
        <v/>
      </c>
      <c r="AP149" s="10" t="n"/>
      <c r="AQ149" s="9">
        <f>A149</f>
        <v/>
      </c>
      <c r="AR149" s="9">
        <f>0</f>
        <v/>
      </c>
      <c r="AS149" s="9">
        <f>IF(OR(Inputs!$F$6=TRUE,Inputs!$F$6="TRUE",Inputs!$F$6=1),IF(OR(Inputs!$C$27=TRUE,Inputs!$C$27="TRUE",Inputs!$C$27=1),1,0)*(Inputs!$C$51*(115*EXP(-(((Inputs!$C$6)-25)^2)/(4.5^2))+70*EXP(-(((Inputs!$C$6)+38)^2)/(7^2))*(0.55+0.45*SIN(2*PI()*((Inputs!$I$6+(((A149)+1)/2)*(Inputs!$J$6-Inputs!$I$6)))/45))+24*SIN(2*PI()*(Inputs!$C$6)/9+((Inputs!$I$6+(((A149)+1)/2)*(Inputs!$J$6-Inputs!$I$6)))/18)*EXP(-(((Inputs!$C$6)+5)^2)/(22^2))+18*SIN(2*PI()*((Inputs!$I$6+(((A149)+1)/2)*(Inputs!$J$6-Inputs!$I$6)))/70))+Inputs!$C$28*EXP(-((((Inputs!$I$6+(((A149)+1)/2)*(Inputs!$J$6-Inputs!$I$6)))-Inputs!$C$29)^2)/(2*Inputs!$C$31^2))*EXP(-(((Inputs!$C$6)-Inputs!$C$30)^2)/(2*Inputs!$C$32^2))+-Inputs!$C$33*EXP(-((((((Inputs!$I$6+(((A149)+1)/2)*(Inputs!$J$6-Inputs!$I$6)))-Inputs!$C$34)^2)+(((Inputs!$C$6)-Inputs!$C$35)^2))/(2*Inputs!$C$36^2)))+Inputs!$C$37*(0.55*SIN(2*PI()*((Inputs!$I$6+(((A149)+1)/2)*(Inputs!$J$6-Inputs!$I$6)))/Inputs!$C$39)+0.35*COS(2*PI()*(Inputs!$C$6)/Inputs!$C$40)+0.2*SIN(2*PI()*(((Inputs!$I$6+(((A149)+1)/2)*(Inputs!$J$6-Inputs!$I$6)))+(Inputs!$C$6))/(0.5*(Inputs!$C$39+Inputs!$C$40))))+Inputs!$C$38*SIN(2*PI()*((Inputs!$I$6+(((A149)+1)/2)*(Inputs!$J$6-Inputs!$I$6)))/Inputs!$C$39)*SIN(2*PI()*(Inputs!$C$6)/Inputs!$C$40)+-Inputs!$C$41*EXP(-(((Inputs!$C$6)-Inputs!$C$43)^2)/(2*Inputs!$C$44^2))*EXP(-((((Inputs!$I$6+(((A149)+1)/2)*(Inputs!$J$6-Inputs!$I$6)))-Inputs!$C$42)^2)/(2*Inputs!$C$45^2))+Inputs!$C$48*(0.7*(0.45*SIN(2*PI()*((((Inputs!$I$6+(((A149)+1)/2)*(Inputs!$J$6-Inputs!$I$6)))/Inputs!$C$49)+Inputs!$C$47*0.137))+0.35*COS(2*PI()*(((Inputs!$C$6)/Inputs!$C$50)+Inputs!$C$47*0.173))+0.2*SIN(2*PI()*((((Inputs!$I$6+(((A149)+1)/2)*(Inputs!$J$6-Inputs!$I$6)))+(Inputs!$C$6))/(0.5*(Inputs!$C$49+Inputs!$C$50))+Inputs!$C$47*0.097)))+0.3*(2*((SIN((((Inputs!$I$6+(((A149)+1)/2)*(Inputs!$J$6-Inputs!$I$6)))*12.9898+(Inputs!$C$6)*78.233+Inputs!$C$47*37.719))*43758.5453)-INT((SIN((((Inputs!$I$6+(((A149)+1)/2)*(Inputs!$J$6-Inputs!$I$6)))*12.9898+(Inputs!$C$6)*78.233+Inputs!$C$47*37.719))*43758.5453)))-1))),NA())</f>
        <v/>
      </c>
      <c r="AT149" s="9">
        <f>IF(OR(Inputs!$F$7=TRUE,Inputs!$F$7="TRUE",Inputs!$F$7=1),IF(OR(Inputs!$C$27=TRUE,Inputs!$C$27="TRUE",Inputs!$C$27=1),1,0)*(Inputs!$C$51*(115*EXP(-(((Inputs!$C$6)-25)^2)/(4.5^2))+70*EXP(-(((Inputs!$C$6)+38)^2)/(7^2))*(0.55+0.45*SIN(2*PI()*((Inputs!$I$7+(((A149)+1)/2)*(Inputs!$J$7-Inputs!$I$7)))/45))+24*SIN(2*PI()*(Inputs!$C$6)/9+((Inputs!$I$7+(((A149)+1)/2)*(Inputs!$J$7-Inputs!$I$7)))/18)*EXP(-(((Inputs!$C$6)+5)^2)/(22^2))+18*SIN(2*PI()*((Inputs!$I$7+(((A149)+1)/2)*(Inputs!$J$7-Inputs!$I$7)))/70))+Inputs!$C$28*EXP(-((((Inputs!$I$7+(((A149)+1)/2)*(Inputs!$J$7-Inputs!$I$7)))-Inputs!$C$29)^2)/(2*Inputs!$C$31^2))*EXP(-(((Inputs!$C$6)-Inputs!$C$30)^2)/(2*Inputs!$C$32^2))+-Inputs!$C$33*EXP(-((((((Inputs!$I$7+(((A149)+1)/2)*(Inputs!$J$7-Inputs!$I$7)))-Inputs!$C$34)^2)+(((Inputs!$C$6)-Inputs!$C$35)^2))/(2*Inputs!$C$36^2)))+Inputs!$C$37*(0.55*SIN(2*PI()*((Inputs!$I$7+(((A149)+1)/2)*(Inputs!$J$7-Inputs!$I$7)))/Inputs!$C$39)+0.35*COS(2*PI()*(Inputs!$C$6)/Inputs!$C$40)+0.2*SIN(2*PI()*(((Inputs!$I$7+(((A149)+1)/2)*(Inputs!$J$7-Inputs!$I$7)))+(Inputs!$C$6))/(0.5*(Inputs!$C$39+Inputs!$C$40))))+Inputs!$C$38*SIN(2*PI()*((Inputs!$I$7+(((A149)+1)/2)*(Inputs!$J$7-Inputs!$I$7)))/Inputs!$C$39)*SIN(2*PI()*(Inputs!$C$6)/Inputs!$C$40)+-Inputs!$C$41*EXP(-(((Inputs!$C$6)-Inputs!$C$43)^2)/(2*Inputs!$C$44^2))*EXP(-((((Inputs!$I$7+(((A149)+1)/2)*(Inputs!$J$7-Inputs!$I$7)))-Inputs!$C$42)^2)/(2*Inputs!$C$45^2))+Inputs!$C$48*(0.7*(0.45*SIN(2*PI()*((((Inputs!$I$7+(((A149)+1)/2)*(Inputs!$J$7-Inputs!$I$7)))/Inputs!$C$49)+Inputs!$C$47*0.137))+0.35*COS(2*PI()*(((Inputs!$C$6)/Inputs!$C$50)+Inputs!$C$47*0.173))+0.2*SIN(2*PI()*((((Inputs!$I$7+(((A149)+1)/2)*(Inputs!$J$7-Inputs!$I$7)))+(Inputs!$C$6))/(0.5*(Inputs!$C$49+Inputs!$C$50))+Inputs!$C$47*0.097)))+0.3*(2*((SIN((((Inputs!$I$7+(((A149)+1)/2)*(Inputs!$J$7-Inputs!$I$7)))*12.9898+(Inputs!$C$6)*78.233+Inputs!$C$47*37.719))*43758.5453)-INT((SIN((((Inputs!$I$7+(((A149)+1)/2)*(Inputs!$J$7-Inputs!$I$7)))*12.9898+(Inputs!$C$6)*78.233+Inputs!$C$47*37.719))*43758.5453)))-1))),NA())</f>
        <v/>
      </c>
      <c r="AU149" s="9">
        <f>IF(OR(Inputs!$F$8=TRUE,Inputs!$F$8="TRUE",Inputs!$F$8=1),IF(OR(Inputs!$C$27=TRUE,Inputs!$C$27="TRUE",Inputs!$C$27=1),1,0)*(Inputs!$C$51*(115*EXP(-(((Inputs!$C$6)-25)^2)/(4.5^2))+70*EXP(-(((Inputs!$C$6)+38)^2)/(7^2))*(0.55+0.45*SIN(2*PI()*((Inputs!$I$8+(((A149)+1)/2)*(Inputs!$J$8-Inputs!$I$8)))/45))+24*SIN(2*PI()*(Inputs!$C$6)/9+((Inputs!$I$8+(((A149)+1)/2)*(Inputs!$J$8-Inputs!$I$8)))/18)*EXP(-(((Inputs!$C$6)+5)^2)/(22^2))+18*SIN(2*PI()*((Inputs!$I$8+(((A149)+1)/2)*(Inputs!$J$8-Inputs!$I$8)))/70))+Inputs!$C$28*EXP(-((((Inputs!$I$8+(((A149)+1)/2)*(Inputs!$J$8-Inputs!$I$8)))-Inputs!$C$29)^2)/(2*Inputs!$C$31^2))*EXP(-(((Inputs!$C$6)-Inputs!$C$30)^2)/(2*Inputs!$C$32^2))+-Inputs!$C$33*EXP(-((((((Inputs!$I$8+(((A149)+1)/2)*(Inputs!$J$8-Inputs!$I$8)))-Inputs!$C$34)^2)+(((Inputs!$C$6)-Inputs!$C$35)^2))/(2*Inputs!$C$36^2)))+Inputs!$C$37*(0.55*SIN(2*PI()*((Inputs!$I$8+(((A149)+1)/2)*(Inputs!$J$8-Inputs!$I$8)))/Inputs!$C$39)+0.35*COS(2*PI()*(Inputs!$C$6)/Inputs!$C$40)+0.2*SIN(2*PI()*(((Inputs!$I$8+(((A149)+1)/2)*(Inputs!$J$8-Inputs!$I$8)))+(Inputs!$C$6))/(0.5*(Inputs!$C$39+Inputs!$C$40))))+Inputs!$C$38*SIN(2*PI()*((Inputs!$I$8+(((A149)+1)/2)*(Inputs!$J$8-Inputs!$I$8)))/Inputs!$C$39)*SIN(2*PI()*(Inputs!$C$6)/Inputs!$C$40)+-Inputs!$C$41*EXP(-(((Inputs!$C$6)-Inputs!$C$43)^2)/(2*Inputs!$C$44^2))*EXP(-((((Inputs!$I$8+(((A149)+1)/2)*(Inputs!$J$8-Inputs!$I$8)))-Inputs!$C$42)^2)/(2*Inputs!$C$45^2))+Inputs!$C$48*(0.7*(0.45*SIN(2*PI()*((((Inputs!$I$8+(((A149)+1)/2)*(Inputs!$J$8-Inputs!$I$8)))/Inputs!$C$49)+Inputs!$C$47*0.137))+0.35*COS(2*PI()*(((Inputs!$C$6)/Inputs!$C$50)+Inputs!$C$47*0.173))+0.2*SIN(2*PI()*((((Inputs!$I$8+(((A149)+1)/2)*(Inputs!$J$8-Inputs!$I$8)))+(Inputs!$C$6))/(0.5*(Inputs!$C$49+Inputs!$C$50))+Inputs!$C$47*0.097)))+0.3*(2*((SIN((((Inputs!$I$8+(((A149)+1)/2)*(Inputs!$J$8-Inputs!$I$8)))*12.9898+(Inputs!$C$6)*78.233+Inputs!$C$47*37.719))*43758.5453)-INT((SIN((((Inputs!$I$8+(((A149)+1)/2)*(Inputs!$J$8-Inputs!$I$8)))*12.9898+(Inputs!$C$6)*78.233+Inputs!$C$47*37.719))*43758.5453)))-1))),NA())</f>
        <v/>
      </c>
      <c r="AV149" s="9">
        <f>IF(OR(Inputs!$F$9=TRUE,Inputs!$F$9="TRUE",Inputs!$F$9=1),IF(OR(Inputs!$C$27=TRUE,Inputs!$C$27="TRUE",Inputs!$C$27=1),1,0)*(Inputs!$C$51*(115*EXP(-(((Inputs!$C$6)-25)^2)/(4.5^2))+70*EXP(-(((Inputs!$C$6)+38)^2)/(7^2))*(0.55+0.45*SIN(2*PI()*((Inputs!$I$9+(((A149)+1)/2)*(Inputs!$J$9-Inputs!$I$9)))/45))+24*SIN(2*PI()*(Inputs!$C$6)/9+((Inputs!$I$9+(((A149)+1)/2)*(Inputs!$J$9-Inputs!$I$9)))/18)*EXP(-(((Inputs!$C$6)+5)^2)/(22^2))+18*SIN(2*PI()*((Inputs!$I$9+(((A149)+1)/2)*(Inputs!$J$9-Inputs!$I$9)))/70))+Inputs!$C$28*EXP(-((((Inputs!$I$9+(((A149)+1)/2)*(Inputs!$J$9-Inputs!$I$9)))-Inputs!$C$29)^2)/(2*Inputs!$C$31^2))*EXP(-(((Inputs!$C$6)-Inputs!$C$30)^2)/(2*Inputs!$C$32^2))+-Inputs!$C$33*EXP(-((((((Inputs!$I$9+(((A149)+1)/2)*(Inputs!$J$9-Inputs!$I$9)))-Inputs!$C$34)^2)+(((Inputs!$C$6)-Inputs!$C$35)^2))/(2*Inputs!$C$36^2)))+Inputs!$C$37*(0.55*SIN(2*PI()*((Inputs!$I$9+(((A149)+1)/2)*(Inputs!$J$9-Inputs!$I$9)))/Inputs!$C$39)+0.35*COS(2*PI()*(Inputs!$C$6)/Inputs!$C$40)+0.2*SIN(2*PI()*(((Inputs!$I$9+(((A149)+1)/2)*(Inputs!$J$9-Inputs!$I$9)))+(Inputs!$C$6))/(0.5*(Inputs!$C$39+Inputs!$C$40))))+Inputs!$C$38*SIN(2*PI()*((Inputs!$I$9+(((A149)+1)/2)*(Inputs!$J$9-Inputs!$I$9)))/Inputs!$C$39)*SIN(2*PI()*(Inputs!$C$6)/Inputs!$C$40)+-Inputs!$C$41*EXP(-(((Inputs!$C$6)-Inputs!$C$43)^2)/(2*Inputs!$C$44^2))*EXP(-((((Inputs!$I$9+(((A149)+1)/2)*(Inputs!$J$9-Inputs!$I$9)))-Inputs!$C$42)^2)/(2*Inputs!$C$45^2))+Inputs!$C$48*(0.7*(0.45*SIN(2*PI()*((((Inputs!$I$9+(((A149)+1)/2)*(Inputs!$J$9-Inputs!$I$9)))/Inputs!$C$49)+Inputs!$C$47*0.137))+0.35*COS(2*PI()*(((Inputs!$C$6)/Inputs!$C$50)+Inputs!$C$47*0.173))+0.2*SIN(2*PI()*((((Inputs!$I$9+(((A149)+1)/2)*(Inputs!$J$9-Inputs!$I$9)))+(Inputs!$C$6))/(0.5*(Inputs!$C$49+Inputs!$C$50))+Inputs!$C$47*0.097)))+0.3*(2*((SIN((((Inputs!$I$9+(((A149)+1)/2)*(Inputs!$J$9-Inputs!$I$9)))*12.9898+(Inputs!$C$6)*78.233+Inputs!$C$47*37.719))*43758.5453)-INT((SIN((((Inputs!$I$9+(((A149)+1)/2)*(Inputs!$J$9-Inputs!$I$9)))*12.9898+(Inputs!$C$6)*78.233+Inputs!$C$47*37.719))*43758.5453)))-1))),NA())</f>
        <v/>
      </c>
      <c r="AW149" s="10" t="n"/>
      <c r="AX149" s="9">
        <f>A149</f>
        <v/>
      </c>
      <c r="AY149" s="9">
        <f>0</f>
        <v/>
      </c>
      <c r="AZ149" s="9">
        <f>IF(OR(Inputs!$F$6=TRUE,Inputs!$F$6="TRUE",Inputs!$F$6=1),(Inputs!$H$6+Inputs!$L$6*(((Inputs!$I$6+(((A149)+1)/2)*(Inputs!$J$6-Inputs!$I$6)))/Inputs!$K$6)^2),NA())</f>
        <v/>
      </c>
      <c r="BA149" s="9">
        <f>IF(OR(Inputs!$F$7=TRUE,Inputs!$F$7="TRUE",Inputs!$F$7=1),(Inputs!$H$7+Inputs!$L$7*(((Inputs!$I$7+(((A149)+1)/2)*(Inputs!$J$7-Inputs!$I$7)))/Inputs!$K$7)^2),NA())</f>
        <v/>
      </c>
      <c r="BB149" s="9">
        <f>IF(OR(Inputs!$F$8=TRUE,Inputs!$F$8="TRUE",Inputs!$F$8=1),(Inputs!$H$8+Inputs!$L$8*(((Inputs!$I$8+(((A149)+1)/2)*(Inputs!$J$8-Inputs!$I$8)))/Inputs!$K$8)^2),NA())</f>
        <v/>
      </c>
      <c r="BC149" s="9">
        <f>IF(OR(Inputs!$F$9=TRUE,Inputs!$F$9="TRUE",Inputs!$F$9=1),(Inputs!$H$9+Inputs!$L$9*(((Inputs!$I$9+(((A149)+1)/2)*(Inputs!$J$9-Inputs!$I$9)))/Inputs!$K$9)^2),NA())</f>
        <v/>
      </c>
      <c r="BD149" s="10" t="n"/>
      <c r="BE149" s="9">
        <f>A149</f>
        <v/>
      </c>
      <c r="BF149" s="9">
        <f>0</f>
        <v/>
      </c>
      <c r="BG149" s="9">
        <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f>
        <v/>
      </c>
      <c r="BH149" s="9">
        <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f>
        <v/>
      </c>
      <c r="BI149" s="9">
        <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f>
        <v/>
      </c>
      <c r="BJ149" s="9">
        <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f>
        <v/>
      </c>
    </row>
    <row r="150">
      <c r="A150" s="9">
        <f>ROUND(-1+148*2/240,3)</f>
        <v/>
      </c>
      <c r="B150" s="9">
        <f>IF(OR(Inputs!$F$6=TRUE,Inputs!$F$6="TRUE",Inputs!$F$6=1),(Inputs!$H$6+Inputs!$L$6*(((Inputs!$I$6+(((A150)+1)/2)*(Inputs!$J$6-Inputs!$I$6)))/Inputs!$K$6)^2),NA())</f>
        <v/>
      </c>
      <c r="C150" s="9">
        <f>IF(OR(Inputs!$F$7=TRUE,Inputs!$F$7="TRUE",Inputs!$F$7=1),(Inputs!$H$7+Inputs!$L$7*(((Inputs!$I$7+(((A150)+1)/2)*(Inputs!$J$7-Inputs!$I$7)))/Inputs!$K$7)^2),NA())</f>
        <v/>
      </c>
      <c r="D150" s="9">
        <f>IF(OR(Inputs!$F$8=TRUE,Inputs!$F$8="TRUE",Inputs!$F$8=1),(Inputs!$H$8+Inputs!$L$8*(((Inputs!$I$8+(((A150)+1)/2)*(Inputs!$J$8-Inputs!$I$8)))/Inputs!$K$8)^2),NA())</f>
        <v/>
      </c>
      <c r="E150" s="9">
        <f>IF(OR(Inputs!$F$9=TRUE,Inputs!$F$9="TRUE",Inputs!$F$9=1),(Inputs!$H$9+Inputs!$L$9*(((Inputs!$I$9+(((A150)+1)/2)*(Inputs!$J$9-Inputs!$I$9)))/Inputs!$K$9)^2),NA())</f>
        <v/>
      </c>
      <c r="F150" s="10" t="n"/>
      <c r="G150" s="9">
        <f>A150</f>
        <v/>
      </c>
      <c r="H150" s="9">
        <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f>
        <v/>
      </c>
      <c r="I150" s="9">
        <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f>
        <v/>
      </c>
      <c r="J150" s="9">
        <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f>
        <v/>
      </c>
      <c r="K150" s="9">
        <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f>
        <v/>
      </c>
      <c r="L150" s="10" t="n"/>
      <c r="M150" s="9">
        <f>A150</f>
        <v/>
      </c>
      <c r="N150" s="9">
        <f>IF(OR(Inputs!$F$6=TRUE,Inputs!$F$6="TRUE",Inputs!$F$6=1),(-2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NA())</f>
        <v/>
      </c>
      <c r="O150" s="9">
        <f>IF(OR(Inputs!$F$7=TRUE,Inputs!$F$7="TRUE",Inputs!$F$7=1),(-2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NA())</f>
        <v/>
      </c>
      <c r="P150" s="9">
        <f>IF(OR(Inputs!$F$8=TRUE,Inputs!$F$8="TRUE",Inputs!$F$8=1),(-2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NA())</f>
        <v/>
      </c>
      <c r="Q150" s="9">
        <f>IF(OR(Inputs!$F$9=TRUE,Inputs!$F$9="TRUE",Inputs!$F$9=1),(-2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NA())</f>
        <v/>
      </c>
      <c r="R150" s="10" t="n"/>
      <c r="S150" s="9">
        <f>A150</f>
        <v/>
      </c>
      <c r="T150" s="9">
        <f>(Inputs!$I$6+(((A150)+1)/2)*(Inputs!$J$6-Inputs!$I$6))</f>
        <v/>
      </c>
      <c r="U150" s="9">
        <f>(Inputs!$I$7+(((A150)+1)/2)*(Inputs!$J$7-Inputs!$I$7))</f>
        <v/>
      </c>
      <c r="V150" s="9">
        <f>(Inputs!$I$8+(((A150)+1)/2)*(Inputs!$J$8-Inputs!$I$8))</f>
        <v/>
      </c>
      <c r="W150" s="9">
        <f>(Inputs!$I$9+(((A150)+1)/2)*(Inputs!$J$9-Inputs!$I$9))</f>
        <v/>
      </c>
      <c r="X150" s="10" t="n"/>
      <c r="Y150" s="9">
        <f>A150</f>
        <v/>
      </c>
      <c r="Z150" s="9">
        <f>(Inputs!$H$6+Inputs!$L$6*(((Inputs!$I$6+(((A150)+1)/2)*(Inputs!$J$6-Inputs!$I$6)))/Inputs!$K$6)^2)</f>
        <v/>
      </c>
      <c r="AA150" s="9">
        <f>(Inputs!$H$7+Inputs!$L$7*(((Inputs!$I$7+(((A150)+1)/2)*(Inputs!$J$7-Inputs!$I$7)))/Inputs!$K$7)^2)</f>
        <v/>
      </c>
      <c r="AB150" s="9">
        <f>(Inputs!$H$8+Inputs!$L$8*(((Inputs!$I$8+(((A150)+1)/2)*(Inputs!$J$8-Inputs!$I$8)))/Inputs!$K$8)^2)</f>
        <v/>
      </c>
      <c r="AC150" s="9">
        <f>(Inputs!$H$9+Inputs!$L$9*(((Inputs!$I$9+(((A150)+1)/2)*(Inputs!$J$9-Inputs!$I$9)))/Inputs!$K$9)^2)</f>
        <v/>
      </c>
      <c r="AD150" s="10" t="n"/>
      <c r="AE150" s="9">
        <f>A150</f>
        <v/>
      </c>
      <c r="AF150" s="9">
        <f>(((SQRT((Inputs!$C$52+((Inputs!$H$6+Inputs!$L$6*(((Inputs!$I$6+(((A150)+1)/2)*(Inputs!$J$6-Inputs!$I$6)))/Inputs!$K$6)^2)))^2+Inputs!$C$52^2-2*(Inputs!$C$52+((Inputs!$H$6+Inputs!$L$6*(((Inputs!$I$6+(((A150)+1)/2)*(Inputs!$J$6-Inputs!$I$6)))/Inputs!$K$6)^2)))*Inputs!$C$52*COS(SQRT(((Inputs!$I$6+(((A150)+1)/2)*(Inputs!$J$6-Inputs!$I$6)))^2+Inputs!$C$6^2)/Inputs!$C$52)))-((Inputs!$H$6+Inputs!$L$6*(((Inputs!$I$6+(((A150)+1)/2)*(Inputs!$J$6-Inputs!$I$6)))/Inputs!$K$6)^2)))*1000/Inputs!$C$12)</f>
        <v/>
      </c>
      <c r="AG150" s="9">
        <f>(((SQRT((Inputs!$C$52+((Inputs!$H$7+Inputs!$L$7*(((Inputs!$I$7+(((A150)+1)/2)*(Inputs!$J$7-Inputs!$I$7)))/Inputs!$K$7)^2)))^2+Inputs!$C$52^2-2*(Inputs!$C$52+((Inputs!$H$7+Inputs!$L$7*(((Inputs!$I$7+(((A150)+1)/2)*(Inputs!$J$7-Inputs!$I$7)))/Inputs!$K$7)^2)))*Inputs!$C$52*COS(SQRT(((Inputs!$I$7+(((A150)+1)/2)*(Inputs!$J$7-Inputs!$I$7)))^2+Inputs!$C$6^2)/Inputs!$C$52)))-((Inputs!$H$7+Inputs!$L$7*(((Inputs!$I$7+(((A150)+1)/2)*(Inputs!$J$7-Inputs!$I$7)))/Inputs!$K$7)^2)))*1000/Inputs!$C$12)</f>
        <v/>
      </c>
      <c r="AH150" s="9">
        <f>(((SQRT((Inputs!$C$52+((Inputs!$H$8+Inputs!$L$8*(((Inputs!$I$8+(((A150)+1)/2)*(Inputs!$J$8-Inputs!$I$8)))/Inputs!$K$8)^2)))^2+Inputs!$C$52^2-2*(Inputs!$C$52+((Inputs!$H$8+Inputs!$L$8*(((Inputs!$I$8+(((A150)+1)/2)*(Inputs!$J$8-Inputs!$I$8)))/Inputs!$K$8)^2)))*Inputs!$C$52*COS(SQRT(((Inputs!$I$8+(((A150)+1)/2)*(Inputs!$J$8-Inputs!$I$8)))^2+Inputs!$C$6^2)/Inputs!$C$52)))-((Inputs!$H$8+Inputs!$L$8*(((Inputs!$I$8+(((A150)+1)/2)*(Inputs!$J$8-Inputs!$I$8)))/Inputs!$K$8)^2)))*1000/Inputs!$C$12)</f>
        <v/>
      </c>
      <c r="AI150" s="9">
        <f>(((SQRT((Inputs!$C$52+((Inputs!$H$9+Inputs!$L$9*(((Inputs!$I$9+(((A150)+1)/2)*(Inputs!$J$9-Inputs!$I$9)))/Inputs!$K$9)^2)))^2+Inputs!$C$52^2-2*(Inputs!$C$52+((Inputs!$H$9+Inputs!$L$9*(((Inputs!$I$9+(((A150)+1)/2)*(Inputs!$J$9-Inputs!$I$9)))/Inputs!$K$9)^2)))*Inputs!$C$52*COS(SQRT(((Inputs!$I$9+(((A150)+1)/2)*(Inputs!$J$9-Inputs!$I$9)))^2+Inputs!$C$6^2)/Inputs!$C$52)))-((Inputs!$H$9+Inputs!$L$9*(((Inputs!$I$9+(((A150)+1)/2)*(Inputs!$J$9-Inputs!$I$9)))/Inputs!$K$9)^2)))*1000/Inputs!$C$12)</f>
        <v/>
      </c>
      <c r="AJ150" s="10" t="n"/>
      <c r="AK150" s="9">
        <f>A150</f>
        <v/>
      </c>
      <c r="AL150" s="9">
        <f>(-2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f>
        <v/>
      </c>
      <c r="AM150" s="9">
        <f>(-2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f>
        <v/>
      </c>
      <c r="AN150" s="9">
        <f>(-2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f>
        <v/>
      </c>
      <c r="AO150" s="9">
        <f>(-2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f>
        <v/>
      </c>
      <c r="AP150" s="10" t="n"/>
      <c r="AQ150" s="9">
        <f>A150</f>
        <v/>
      </c>
      <c r="AR150" s="9">
        <f>0</f>
        <v/>
      </c>
      <c r="AS150" s="9">
        <f>IF(OR(Inputs!$F$6=TRUE,Inputs!$F$6="TRUE",Inputs!$F$6=1),IF(OR(Inputs!$C$27=TRUE,Inputs!$C$27="TRUE",Inputs!$C$27=1),1,0)*(Inputs!$C$51*(115*EXP(-(((Inputs!$C$6)-25)^2)/(4.5^2))+70*EXP(-(((Inputs!$C$6)+38)^2)/(7^2))*(0.55+0.45*SIN(2*PI()*((Inputs!$I$6+(((A150)+1)/2)*(Inputs!$J$6-Inputs!$I$6)))/45))+24*SIN(2*PI()*(Inputs!$C$6)/9+((Inputs!$I$6+(((A150)+1)/2)*(Inputs!$J$6-Inputs!$I$6)))/18)*EXP(-(((Inputs!$C$6)+5)^2)/(22^2))+18*SIN(2*PI()*((Inputs!$I$6+(((A150)+1)/2)*(Inputs!$J$6-Inputs!$I$6)))/70))+Inputs!$C$28*EXP(-((((Inputs!$I$6+(((A150)+1)/2)*(Inputs!$J$6-Inputs!$I$6)))-Inputs!$C$29)^2)/(2*Inputs!$C$31^2))*EXP(-(((Inputs!$C$6)-Inputs!$C$30)^2)/(2*Inputs!$C$32^2))+-Inputs!$C$33*EXP(-((((((Inputs!$I$6+(((A150)+1)/2)*(Inputs!$J$6-Inputs!$I$6)))-Inputs!$C$34)^2)+(((Inputs!$C$6)-Inputs!$C$35)^2))/(2*Inputs!$C$36^2)))+Inputs!$C$37*(0.55*SIN(2*PI()*((Inputs!$I$6+(((A150)+1)/2)*(Inputs!$J$6-Inputs!$I$6)))/Inputs!$C$39)+0.35*COS(2*PI()*(Inputs!$C$6)/Inputs!$C$40)+0.2*SIN(2*PI()*(((Inputs!$I$6+(((A150)+1)/2)*(Inputs!$J$6-Inputs!$I$6)))+(Inputs!$C$6))/(0.5*(Inputs!$C$39+Inputs!$C$40))))+Inputs!$C$38*SIN(2*PI()*((Inputs!$I$6+(((A150)+1)/2)*(Inputs!$J$6-Inputs!$I$6)))/Inputs!$C$39)*SIN(2*PI()*(Inputs!$C$6)/Inputs!$C$40)+-Inputs!$C$41*EXP(-(((Inputs!$C$6)-Inputs!$C$43)^2)/(2*Inputs!$C$44^2))*EXP(-((((Inputs!$I$6+(((A150)+1)/2)*(Inputs!$J$6-Inputs!$I$6)))-Inputs!$C$42)^2)/(2*Inputs!$C$45^2))+Inputs!$C$48*(0.7*(0.45*SIN(2*PI()*((((Inputs!$I$6+(((A150)+1)/2)*(Inputs!$J$6-Inputs!$I$6)))/Inputs!$C$49)+Inputs!$C$47*0.137))+0.35*COS(2*PI()*(((Inputs!$C$6)/Inputs!$C$50)+Inputs!$C$47*0.173))+0.2*SIN(2*PI()*((((Inputs!$I$6+(((A150)+1)/2)*(Inputs!$J$6-Inputs!$I$6)))+(Inputs!$C$6))/(0.5*(Inputs!$C$49+Inputs!$C$50))+Inputs!$C$47*0.097)))+0.3*(2*((SIN((((Inputs!$I$6+(((A150)+1)/2)*(Inputs!$J$6-Inputs!$I$6)))*12.9898+(Inputs!$C$6)*78.233+Inputs!$C$47*37.719))*43758.5453)-INT((SIN((((Inputs!$I$6+(((A150)+1)/2)*(Inputs!$J$6-Inputs!$I$6)))*12.9898+(Inputs!$C$6)*78.233+Inputs!$C$47*37.719))*43758.5453)))-1))),NA())</f>
        <v/>
      </c>
      <c r="AT150" s="9">
        <f>IF(OR(Inputs!$F$7=TRUE,Inputs!$F$7="TRUE",Inputs!$F$7=1),IF(OR(Inputs!$C$27=TRUE,Inputs!$C$27="TRUE",Inputs!$C$27=1),1,0)*(Inputs!$C$51*(115*EXP(-(((Inputs!$C$6)-25)^2)/(4.5^2))+70*EXP(-(((Inputs!$C$6)+38)^2)/(7^2))*(0.55+0.45*SIN(2*PI()*((Inputs!$I$7+(((A150)+1)/2)*(Inputs!$J$7-Inputs!$I$7)))/45))+24*SIN(2*PI()*(Inputs!$C$6)/9+((Inputs!$I$7+(((A150)+1)/2)*(Inputs!$J$7-Inputs!$I$7)))/18)*EXP(-(((Inputs!$C$6)+5)^2)/(22^2))+18*SIN(2*PI()*((Inputs!$I$7+(((A150)+1)/2)*(Inputs!$J$7-Inputs!$I$7)))/70))+Inputs!$C$28*EXP(-((((Inputs!$I$7+(((A150)+1)/2)*(Inputs!$J$7-Inputs!$I$7)))-Inputs!$C$29)^2)/(2*Inputs!$C$31^2))*EXP(-(((Inputs!$C$6)-Inputs!$C$30)^2)/(2*Inputs!$C$32^2))+-Inputs!$C$33*EXP(-((((((Inputs!$I$7+(((A150)+1)/2)*(Inputs!$J$7-Inputs!$I$7)))-Inputs!$C$34)^2)+(((Inputs!$C$6)-Inputs!$C$35)^2))/(2*Inputs!$C$36^2)))+Inputs!$C$37*(0.55*SIN(2*PI()*((Inputs!$I$7+(((A150)+1)/2)*(Inputs!$J$7-Inputs!$I$7)))/Inputs!$C$39)+0.35*COS(2*PI()*(Inputs!$C$6)/Inputs!$C$40)+0.2*SIN(2*PI()*(((Inputs!$I$7+(((A150)+1)/2)*(Inputs!$J$7-Inputs!$I$7)))+(Inputs!$C$6))/(0.5*(Inputs!$C$39+Inputs!$C$40))))+Inputs!$C$38*SIN(2*PI()*((Inputs!$I$7+(((A150)+1)/2)*(Inputs!$J$7-Inputs!$I$7)))/Inputs!$C$39)*SIN(2*PI()*(Inputs!$C$6)/Inputs!$C$40)+-Inputs!$C$41*EXP(-(((Inputs!$C$6)-Inputs!$C$43)^2)/(2*Inputs!$C$44^2))*EXP(-((((Inputs!$I$7+(((A150)+1)/2)*(Inputs!$J$7-Inputs!$I$7)))-Inputs!$C$42)^2)/(2*Inputs!$C$45^2))+Inputs!$C$48*(0.7*(0.45*SIN(2*PI()*((((Inputs!$I$7+(((A150)+1)/2)*(Inputs!$J$7-Inputs!$I$7)))/Inputs!$C$49)+Inputs!$C$47*0.137))+0.35*COS(2*PI()*(((Inputs!$C$6)/Inputs!$C$50)+Inputs!$C$47*0.173))+0.2*SIN(2*PI()*((((Inputs!$I$7+(((A150)+1)/2)*(Inputs!$J$7-Inputs!$I$7)))+(Inputs!$C$6))/(0.5*(Inputs!$C$49+Inputs!$C$50))+Inputs!$C$47*0.097)))+0.3*(2*((SIN((((Inputs!$I$7+(((A150)+1)/2)*(Inputs!$J$7-Inputs!$I$7)))*12.9898+(Inputs!$C$6)*78.233+Inputs!$C$47*37.719))*43758.5453)-INT((SIN((((Inputs!$I$7+(((A150)+1)/2)*(Inputs!$J$7-Inputs!$I$7)))*12.9898+(Inputs!$C$6)*78.233+Inputs!$C$47*37.719))*43758.5453)))-1))),NA())</f>
        <v/>
      </c>
      <c r="AU150" s="9">
        <f>IF(OR(Inputs!$F$8=TRUE,Inputs!$F$8="TRUE",Inputs!$F$8=1),IF(OR(Inputs!$C$27=TRUE,Inputs!$C$27="TRUE",Inputs!$C$27=1),1,0)*(Inputs!$C$51*(115*EXP(-(((Inputs!$C$6)-25)^2)/(4.5^2))+70*EXP(-(((Inputs!$C$6)+38)^2)/(7^2))*(0.55+0.45*SIN(2*PI()*((Inputs!$I$8+(((A150)+1)/2)*(Inputs!$J$8-Inputs!$I$8)))/45))+24*SIN(2*PI()*(Inputs!$C$6)/9+((Inputs!$I$8+(((A150)+1)/2)*(Inputs!$J$8-Inputs!$I$8)))/18)*EXP(-(((Inputs!$C$6)+5)^2)/(22^2))+18*SIN(2*PI()*((Inputs!$I$8+(((A150)+1)/2)*(Inputs!$J$8-Inputs!$I$8)))/70))+Inputs!$C$28*EXP(-((((Inputs!$I$8+(((A150)+1)/2)*(Inputs!$J$8-Inputs!$I$8)))-Inputs!$C$29)^2)/(2*Inputs!$C$31^2))*EXP(-(((Inputs!$C$6)-Inputs!$C$30)^2)/(2*Inputs!$C$32^2))+-Inputs!$C$33*EXP(-((((((Inputs!$I$8+(((A150)+1)/2)*(Inputs!$J$8-Inputs!$I$8)))-Inputs!$C$34)^2)+(((Inputs!$C$6)-Inputs!$C$35)^2))/(2*Inputs!$C$36^2)))+Inputs!$C$37*(0.55*SIN(2*PI()*((Inputs!$I$8+(((A150)+1)/2)*(Inputs!$J$8-Inputs!$I$8)))/Inputs!$C$39)+0.35*COS(2*PI()*(Inputs!$C$6)/Inputs!$C$40)+0.2*SIN(2*PI()*(((Inputs!$I$8+(((A150)+1)/2)*(Inputs!$J$8-Inputs!$I$8)))+(Inputs!$C$6))/(0.5*(Inputs!$C$39+Inputs!$C$40))))+Inputs!$C$38*SIN(2*PI()*((Inputs!$I$8+(((A150)+1)/2)*(Inputs!$J$8-Inputs!$I$8)))/Inputs!$C$39)*SIN(2*PI()*(Inputs!$C$6)/Inputs!$C$40)+-Inputs!$C$41*EXP(-(((Inputs!$C$6)-Inputs!$C$43)^2)/(2*Inputs!$C$44^2))*EXP(-((((Inputs!$I$8+(((A150)+1)/2)*(Inputs!$J$8-Inputs!$I$8)))-Inputs!$C$42)^2)/(2*Inputs!$C$45^2))+Inputs!$C$48*(0.7*(0.45*SIN(2*PI()*((((Inputs!$I$8+(((A150)+1)/2)*(Inputs!$J$8-Inputs!$I$8)))/Inputs!$C$49)+Inputs!$C$47*0.137))+0.35*COS(2*PI()*(((Inputs!$C$6)/Inputs!$C$50)+Inputs!$C$47*0.173))+0.2*SIN(2*PI()*((((Inputs!$I$8+(((A150)+1)/2)*(Inputs!$J$8-Inputs!$I$8)))+(Inputs!$C$6))/(0.5*(Inputs!$C$49+Inputs!$C$50))+Inputs!$C$47*0.097)))+0.3*(2*((SIN((((Inputs!$I$8+(((A150)+1)/2)*(Inputs!$J$8-Inputs!$I$8)))*12.9898+(Inputs!$C$6)*78.233+Inputs!$C$47*37.719))*43758.5453)-INT((SIN((((Inputs!$I$8+(((A150)+1)/2)*(Inputs!$J$8-Inputs!$I$8)))*12.9898+(Inputs!$C$6)*78.233+Inputs!$C$47*37.719))*43758.5453)))-1))),NA())</f>
        <v/>
      </c>
      <c r="AV150" s="9">
        <f>IF(OR(Inputs!$F$9=TRUE,Inputs!$F$9="TRUE",Inputs!$F$9=1),IF(OR(Inputs!$C$27=TRUE,Inputs!$C$27="TRUE",Inputs!$C$27=1),1,0)*(Inputs!$C$51*(115*EXP(-(((Inputs!$C$6)-25)^2)/(4.5^2))+70*EXP(-(((Inputs!$C$6)+38)^2)/(7^2))*(0.55+0.45*SIN(2*PI()*((Inputs!$I$9+(((A150)+1)/2)*(Inputs!$J$9-Inputs!$I$9)))/45))+24*SIN(2*PI()*(Inputs!$C$6)/9+((Inputs!$I$9+(((A150)+1)/2)*(Inputs!$J$9-Inputs!$I$9)))/18)*EXP(-(((Inputs!$C$6)+5)^2)/(22^2))+18*SIN(2*PI()*((Inputs!$I$9+(((A150)+1)/2)*(Inputs!$J$9-Inputs!$I$9)))/70))+Inputs!$C$28*EXP(-((((Inputs!$I$9+(((A150)+1)/2)*(Inputs!$J$9-Inputs!$I$9)))-Inputs!$C$29)^2)/(2*Inputs!$C$31^2))*EXP(-(((Inputs!$C$6)-Inputs!$C$30)^2)/(2*Inputs!$C$32^2))+-Inputs!$C$33*EXP(-((((((Inputs!$I$9+(((A150)+1)/2)*(Inputs!$J$9-Inputs!$I$9)))-Inputs!$C$34)^2)+(((Inputs!$C$6)-Inputs!$C$35)^2))/(2*Inputs!$C$36^2)))+Inputs!$C$37*(0.55*SIN(2*PI()*((Inputs!$I$9+(((A150)+1)/2)*(Inputs!$J$9-Inputs!$I$9)))/Inputs!$C$39)+0.35*COS(2*PI()*(Inputs!$C$6)/Inputs!$C$40)+0.2*SIN(2*PI()*(((Inputs!$I$9+(((A150)+1)/2)*(Inputs!$J$9-Inputs!$I$9)))+(Inputs!$C$6))/(0.5*(Inputs!$C$39+Inputs!$C$40))))+Inputs!$C$38*SIN(2*PI()*((Inputs!$I$9+(((A150)+1)/2)*(Inputs!$J$9-Inputs!$I$9)))/Inputs!$C$39)*SIN(2*PI()*(Inputs!$C$6)/Inputs!$C$40)+-Inputs!$C$41*EXP(-(((Inputs!$C$6)-Inputs!$C$43)^2)/(2*Inputs!$C$44^2))*EXP(-((((Inputs!$I$9+(((A150)+1)/2)*(Inputs!$J$9-Inputs!$I$9)))-Inputs!$C$42)^2)/(2*Inputs!$C$45^2))+Inputs!$C$48*(0.7*(0.45*SIN(2*PI()*((((Inputs!$I$9+(((A150)+1)/2)*(Inputs!$J$9-Inputs!$I$9)))/Inputs!$C$49)+Inputs!$C$47*0.137))+0.35*COS(2*PI()*(((Inputs!$C$6)/Inputs!$C$50)+Inputs!$C$47*0.173))+0.2*SIN(2*PI()*((((Inputs!$I$9+(((A150)+1)/2)*(Inputs!$J$9-Inputs!$I$9)))+(Inputs!$C$6))/(0.5*(Inputs!$C$49+Inputs!$C$50))+Inputs!$C$47*0.097)))+0.3*(2*((SIN((((Inputs!$I$9+(((A150)+1)/2)*(Inputs!$J$9-Inputs!$I$9)))*12.9898+(Inputs!$C$6)*78.233+Inputs!$C$47*37.719))*43758.5453)-INT((SIN((((Inputs!$I$9+(((A150)+1)/2)*(Inputs!$J$9-Inputs!$I$9)))*12.9898+(Inputs!$C$6)*78.233+Inputs!$C$47*37.719))*43758.5453)))-1))),NA())</f>
        <v/>
      </c>
      <c r="AW150" s="10" t="n"/>
      <c r="AX150" s="9">
        <f>A150</f>
        <v/>
      </c>
      <c r="AY150" s="9">
        <f>0</f>
        <v/>
      </c>
      <c r="AZ150" s="9">
        <f>IF(OR(Inputs!$F$6=TRUE,Inputs!$F$6="TRUE",Inputs!$F$6=1),(Inputs!$H$6+Inputs!$L$6*(((Inputs!$I$6+(((A150)+1)/2)*(Inputs!$J$6-Inputs!$I$6)))/Inputs!$K$6)^2),NA())</f>
        <v/>
      </c>
      <c r="BA150" s="9">
        <f>IF(OR(Inputs!$F$7=TRUE,Inputs!$F$7="TRUE",Inputs!$F$7=1),(Inputs!$H$7+Inputs!$L$7*(((Inputs!$I$7+(((A150)+1)/2)*(Inputs!$J$7-Inputs!$I$7)))/Inputs!$K$7)^2),NA())</f>
        <v/>
      </c>
      <c r="BB150" s="9">
        <f>IF(OR(Inputs!$F$8=TRUE,Inputs!$F$8="TRUE",Inputs!$F$8=1),(Inputs!$H$8+Inputs!$L$8*(((Inputs!$I$8+(((A150)+1)/2)*(Inputs!$J$8-Inputs!$I$8)))/Inputs!$K$8)^2),NA())</f>
        <v/>
      </c>
      <c r="BC150" s="9">
        <f>IF(OR(Inputs!$F$9=TRUE,Inputs!$F$9="TRUE",Inputs!$F$9=1),(Inputs!$H$9+Inputs!$L$9*(((Inputs!$I$9+(((A150)+1)/2)*(Inputs!$J$9-Inputs!$I$9)))/Inputs!$K$9)^2),NA())</f>
        <v/>
      </c>
      <c r="BD150" s="10" t="n"/>
      <c r="BE150" s="9">
        <f>A150</f>
        <v/>
      </c>
      <c r="BF150" s="9">
        <f>0</f>
        <v/>
      </c>
      <c r="BG150" s="9">
        <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f>
        <v/>
      </c>
      <c r="BH150" s="9">
        <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f>
        <v/>
      </c>
      <c r="BI150" s="9">
        <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f>
        <v/>
      </c>
      <c r="BJ150" s="9">
        <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f>
        <v/>
      </c>
    </row>
    <row r="151">
      <c r="A151" s="9">
        <f>ROUND(-1+149*2/240,3)</f>
        <v/>
      </c>
      <c r="B151" s="9">
        <f>IF(OR(Inputs!$F$6=TRUE,Inputs!$F$6="TRUE",Inputs!$F$6=1),(Inputs!$H$6+Inputs!$L$6*(((Inputs!$I$6+(((A151)+1)/2)*(Inputs!$J$6-Inputs!$I$6)))/Inputs!$K$6)^2),NA())</f>
        <v/>
      </c>
      <c r="C151" s="9">
        <f>IF(OR(Inputs!$F$7=TRUE,Inputs!$F$7="TRUE",Inputs!$F$7=1),(Inputs!$H$7+Inputs!$L$7*(((Inputs!$I$7+(((A151)+1)/2)*(Inputs!$J$7-Inputs!$I$7)))/Inputs!$K$7)^2),NA())</f>
        <v/>
      </c>
      <c r="D151" s="9">
        <f>IF(OR(Inputs!$F$8=TRUE,Inputs!$F$8="TRUE",Inputs!$F$8=1),(Inputs!$H$8+Inputs!$L$8*(((Inputs!$I$8+(((A151)+1)/2)*(Inputs!$J$8-Inputs!$I$8)))/Inputs!$K$8)^2),NA())</f>
        <v/>
      </c>
      <c r="E151" s="9">
        <f>IF(OR(Inputs!$F$9=TRUE,Inputs!$F$9="TRUE",Inputs!$F$9=1),(Inputs!$H$9+Inputs!$L$9*(((Inputs!$I$9+(((A151)+1)/2)*(Inputs!$J$9-Inputs!$I$9)))/Inputs!$K$9)^2),NA())</f>
        <v/>
      </c>
      <c r="F151" s="10" t="n"/>
      <c r="G151" s="9">
        <f>A151</f>
        <v/>
      </c>
      <c r="H151" s="9">
        <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f>
        <v/>
      </c>
      <c r="I151" s="9">
        <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f>
        <v/>
      </c>
      <c r="J151" s="9">
        <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f>
        <v/>
      </c>
      <c r="K151" s="9">
        <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f>
        <v/>
      </c>
      <c r="L151" s="10" t="n"/>
      <c r="M151" s="9">
        <f>A151</f>
        <v/>
      </c>
      <c r="N151" s="9">
        <f>IF(OR(Inputs!$F$6=TRUE,Inputs!$F$6="TRUE",Inputs!$F$6=1),(-2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NA())</f>
        <v/>
      </c>
      <c r="O151" s="9">
        <f>IF(OR(Inputs!$F$7=TRUE,Inputs!$F$7="TRUE",Inputs!$F$7=1),(-2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NA())</f>
        <v/>
      </c>
      <c r="P151" s="9">
        <f>IF(OR(Inputs!$F$8=TRUE,Inputs!$F$8="TRUE",Inputs!$F$8=1),(-2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NA())</f>
        <v/>
      </c>
      <c r="Q151" s="9">
        <f>IF(OR(Inputs!$F$9=TRUE,Inputs!$F$9="TRUE",Inputs!$F$9=1),(-2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NA())</f>
        <v/>
      </c>
      <c r="R151" s="10" t="n"/>
      <c r="S151" s="9">
        <f>A151</f>
        <v/>
      </c>
      <c r="T151" s="9">
        <f>(Inputs!$I$6+(((A151)+1)/2)*(Inputs!$J$6-Inputs!$I$6))</f>
        <v/>
      </c>
      <c r="U151" s="9">
        <f>(Inputs!$I$7+(((A151)+1)/2)*(Inputs!$J$7-Inputs!$I$7))</f>
        <v/>
      </c>
      <c r="V151" s="9">
        <f>(Inputs!$I$8+(((A151)+1)/2)*(Inputs!$J$8-Inputs!$I$8))</f>
        <v/>
      </c>
      <c r="W151" s="9">
        <f>(Inputs!$I$9+(((A151)+1)/2)*(Inputs!$J$9-Inputs!$I$9))</f>
        <v/>
      </c>
      <c r="X151" s="10" t="n"/>
      <c r="Y151" s="9">
        <f>A151</f>
        <v/>
      </c>
      <c r="Z151" s="9">
        <f>(Inputs!$H$6+Inputs!$L$6*(((Inputs!$I$6+(((A151)+1)/2)*(Inputs!$J$6-Inputs!$I$6)))/Inputs!$K$6)^2)</f>
        <v/>
      </c>
      <c r="AA151" s="9">
        <f>(Inputs!$H$7+Inputs!$L$7*(((Inputs!$I$7+(((A151)+1)/2)*(Inputs!$J$7-Inputs!$I$7)))/Inputs!$K$7)^2)</f>
        <v/>
      </c>
      <c r="AB151" s="9">
        <f>(Inputs!$H$8+Inputs!$L$8*(((Inputs!$I$8+(((A151)+1)/2)*(Inputs!$J$8-Inputs!$I$8)))/Inputs!$K$8)^2)</f>
        <v/>
      </c>
      <c r="AC151" s="9">
        <f>(Inputs!$H$9+Inputs!$L$9*(((Inputs!$I$9+(((A151)+1)/2)*(Inputs!$J$9-Inputs!$I$9)))/Inputs!$K$9)^2)</f>
        <v/>
      </c>
      <c r="AD151" s="10" t="n"/>
      <c r="AE151" s="9">
        <f>A151</f>
        <v/>
      </c>
      <c r="AF151" s="9">
        <f>(((SQRT((Inputs!$C$52+((Inputs!$H$6+Inputs!$L$6*(((Inputs!$I$6+(((A151)+1)/2)*(Inputs!$J$6-Inputs!$I$6)))/Inputs!$K$6)^2)))^2+Inputs!$C$52^2-2*(Inputs!$C$52+((Inputs!$H$6+Inputs!$L$6*(((Inputs!$I$6+(((A151)+1)/2)*(Inputs!$J$6-Inputs!$I$6)))/Inputs!$K$6)^2)))*Inputs!$C$52*COS(SQRT(((Inputs!$I$6+(((A151)+1)/2)*(Inputs!$J$6-Inputs!$I$6)))^2+Inputs!$C$6^2)/Inputs!$C$52)))-((Inputs!$H$6+Inputs!$L$6*(((Inputs!$I$6+(((A151)+1)/2)*(Inputs!$J$6-Inputs!$I$6)))/Inputs!$K$6)^2)))*1000/Inputs!$C$12)</f>
        <v/>
      </c>
      <c r="AG151" s="9">
        <f>(((SQRT((Inputs!$C$52+((Inputs!$H$7+Inputs!$L$7*(((Inputs!$I$7+(((A151)+1)/2)*(Inputs!$J$7-Inputs!$I$7)))/Inputs!$K$7)^2)))^2+Inputs!$C$52^2-2*(Inputs!$C$52+((Inputs!$H$7+Inputs!$L$7*(((Inputs!$I$7+(((A151)+1)/2)*(Inputs!$J$7-Inputs!$I$7)))/Inputs!$K$7)^2)))*Inputs!$C$52*COS(SQRT(((Inputs!$I$7+(((A151)+1)/2)*(Inputs!$J$7-Inputs!$I$7)))^2+Inputs!$C$6^2)/Inputs!$C$52)))-((Inputs!$H$7+Inputs!$L$7*(((Inputs!$I$7+(((A151)+1)/2)*(Inputs!$J$7-Inputs!$I$7)))/Inputs!$K$7)^2)))*1000/Inputs!$C$12)</f>
        <v/>
      </c>
      <c r="AH151" s="9">
        <f>(((SQRT((Inputs!$C$52+((Inputs!$H$8+Inputs!$L$8*(((Inputs!$I$8+(((A151)+1)/2)*(Inputs!$J$8-Inputs!$I$8)))/Inputs!$K$8)^2)))^2+Inputs!$C$52^2-2*(Inputs!$C$52+((Inputs!$H$8+Inputs!$L$8*(((Inputs!$I$8+(((A151)+1)/2)*(Inputs!$J$8-Inputs!$I$8)))/Inputs!$K$8)^2)))*Inputs!$C$52*COS(SQRT(((Inputs!$I$8+(((A151)+1)/2)*(Inputs!$J$8-Inputs!$I$8)))^2+Inputs!$C$6^2)/Inputs!$C$52)))-((Inputs!$H$8+Inputs!$L$8*(((Inputs!$I$8+(((A151)+1)/2)*(Inputs!$J$8-Inputs!$I$8)))/Inputs!$K$8)^2)))*1000/Inputs!$C$12)</f>
        <v/>
      </c>
      <c r="AI151" s="9">
        <f>(((SQRT((Inputs!$C$52+((Inputs!$H$9+Inputs!$L$9*(((Inputs!$I$9+(((A151)+1)/2)*(Inputs!$J$9-Inputs!$I$9)))/Inputs!$K$9)^2)))^2+Inputs!$C$52^2-2*(Inputs!$C$52+((Inputs!$H$9+Inputs!$L$9*(((Inputs!$I$9+(((A151)+1)/2)*(Inputs!$J$9-Inputs!$I$9)))/Inputs!$K$9)^2)))*Inputs!$C$52*COS(SQRT(((Inputs!$I$9+(((A151)+1)/2)*(Inputs!$J$9-Inputs!$I$9)))^2+Inputs!$C$6^2)/Inputs!$C$52)))-((Inputs!$H$9+Inputs!$L$9*(((Inputs!$I$9+(((A151)+1)/2)*(Inputs!$J$9-Inputs!$I$9)))/Inputs!$K$9)^2)))*1000/Inputs!$C$12)</f>
        <v/>
      </c>
      <c r="AJ151" s="10" t="n"/>
      <c r="AK151" s="9">
        <f>A151</f>
        <v/>
      </c>
      <c r="AL151" s="9">
        <f>(-2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f>
        <v/>
      </c>
      <c r="AM151" s="9">
        <f>(-2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f>
        <v/>
      </c>
      <c r="AN151" s="9">
        <f>(-2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f>
        <v/>
      </c>
      <c r="AO151" s="9">
        <f>(-2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f>
        <v/>
      </c>
      <c r="AP151" s="10" t="n"/>
      <c r="AQ151" s="9">
        <f>A151</f>
        <v/>
      </c>
      <c r="AR151" s="9">
        <f>0</f>
        <v/>
      </c>
      <c r="AS151" s="9">
        <f>IF(OR(Inputs!$F$6=TRUE,Inputs!$F$6="TRUE",Inputs!$F$6=1),IF(OR(Inputs!$C$27=TRUE,Inputs!$C$27="TRUE",Inputs!$C$27=1),1,0)*(Inputs!$C$51*(115*EXP(-(((Inputs!$C$6)-25)^2)/(4.5^2))+70*EXP(-(((Inputs!$C$6)+38)^2)/(7^2))*(0.55+0.45*SIN(2*PI()*((Inputs!$I$6+(((A151)+1)/2)*(Inputs!$J$6-Inputs!$I$6)))/45))+24*SIN(2*PI()*(Inputs!$C$6)/9+((Inputs!$I$6+(((A151)+1)/2)*(Inputs!$J$6-Inputs!$I$6)))/18)*EXP(-(((Inputs!$C$6)+5)^2)/(22^2))+18*SIN(2*PI()*((Inputs!$I$6+(((A151)+1)/2)*(Inputs!$J$6-Inputs!$I$6)))/70))+Inputs!$C$28*EXP(-((((Inputs!$I$6+(((A151)+1)/2)*(Inputs!$J$6-Inputs!$I$6)))-Inputs!$C$29)^2)/(2*Inputs!$C$31^2))*EXP(-(((Inputs!$C$6)-Inputs!$C$30)^2)/(2*Inputs!$C$32^2))+-Inputs!$C$33*EXP(-((((((Inputs!$I$6+(((A151)+1)/2)*(Inputs!$J$6-Inputs!$I$6)))-Inputs!$C$34)^2)+(((Inputs!$C$6)-Inputs!$C$35)^2))/(2*Inputs!$C$36^2)))+Inputs!$C$37*(0.55*SIN(2*PI()*((Inputs!$I$6+(((A151)+1)/2)*(Inputs!$J$6-Inputs!$I$6)))/Inputs!$C$39)+0.35*COS(2*PI()*(Inputs!$C$6)/Inputs!$C$40)+0.2*SIN(2*PI()*(((Inputs!$I$6+(((A151)+1)/2)*(Inputs!$J$6-Inputs!$I$6)))+(Inputs!$C$6))/(0.5*(Inputs!$C$39+Inputs!$C$40))))+Inputs!$C$38*SIN(2*PI()*((Inputs!$I$6+(((A151)+1)/2)*(Inputs!$J$6-Inputs!$I$6)))/Inputs!$C$39)*SIN(2*PI()*(Inputs!$C$6)/Inputs!$C$40)+-Inputs!$C$41*EXP(-(((Inputs!$C$6)-Inputs!$C$43)^2)/(2*Inputs!$C$44^2))*EXP(-((((Inputs!$I$6+(((A151)+1)/2)*(Inputs!$J$6-Inputs!$I$6)))-Inputs!$C$42)^2)/(2*Inputs!$C$45^2))+Inputs!$C$48*(0.7*(0.45*SIN(2*PI()*((((Inputs!$I$6+(((A151)+1)/2)*(Inputs!$J$6-Inputs!$I$6)))/Inputs!$C$49)+Inputs!$C$47*0.137))+0.35*COS(2*PI()*(((Inputs!$C$6)/Inputs!$C$50)+Inputs!$C$47*0.173))+0.2*SIN(2*PI()*((((Inputs!$I$6+(((A151)+1)/2)*(Inputs!$J$6-Inputs!$I$6)))+(Inputs!$C$6))/(0.5*(Inputs!$C$49+Inputs!$C$50))+Inputs!$C$47*0.097)))+0.3*(2*((SIN((((Inputs!$I$6+(((A151)+1)/2)*(Inputs!$J$6-Inputs!$I$6)))*12.9898+(Inputs!$C$6)*78.233+Inputs!$C$47*37.719))*43758.5453)-INT((SIN((((Inputs!$I$6+(((A151)+1)/2)*(Inputs!$J$6-Inputs!$I$6)))*12.9898+(Inputs!$C$6)*78.233+Inputs!$C$47*37.719))*43758.5453)))-1))),NA())</f>
        <v/>
      </c>
      <c r="AT151" s="9">
        <f>IF(OR(Inputs!$F$7=TRUE,Inputs!$F$7="TRUE",Inputs!$F$7=1),IF(OR(Inputs!$C$27=TRUE,Inputs!$C$27="TRUE",Inputs!$C$27=1),1,0)*(Inputs!$C$51*(115*EXP(-(((Inputs!$C$6)-25)^2)/(4.5^2))+70*EXP(-(((Inputs!$C$6)+38)^2)/(7^2))*(0.55+0.45*SIN(2*PI()*((Inputs!$I$7+(((A151)+1)/2)*(Inputs!$J$7-Inputs!$I$7)))/45))+24*SIN(2*PI()*(Inputs!$C$6)/9+((Inputs!$I$7+(((A151)+1)/2)*(Inputs!$J$7-Inputs!$I$7)))/18)*EXP(-(((Inputs!$C$6)+5)^2)/(22^2))+18*SIN(2*PI()*((Inputs!$I$7+(((A151)+1)/2)*(Inputs!$J$7-Inputs!$I$7)))/70))+Inputs!$C$28*EXP(-((((Inputs!$I$7+(((A151)+1)/2)*(Inputs!$J$7-Inputs!$I$7)))-Inputs!$C$29)^2)/(2*Inputs!$C$31^2))*EXP(-(((Inputs!$C$6)-Inputs!$C$30)^2)/(2*Inputs!$C$32^2))+-Inputs!$C$33*EXP(-((((((Inputs!$I$7+(((A151)+1)/2)*(Inputs!$J$7-Inputs!$I$7)))-Inputs!$C$34)^2)+(((Inputs!$C$6)-Inputs!$C$35)^2))/(2*Inputs!$C$36^2)))+Inputs!$C$37*(0.55*SIN(2*PI()*((Inputs!$I$7+(((A151)+1)/2)*(Inputs!$J$7-Inputs!$I$7)))/Inputs!$C$39)+0.35*COS(2*PI()*(Inputs!$C$6)/Inputs!$C$40)+0.2*SIN(2*PI()*(((Inputs!$I$7+(((A151)+1)/2)*(Inputs!$J$7-Inputs!$I$7)))+(Inputs!$C$6))/(0.5*(Inputs!$C$39+Inputs!$C$40))))+Inputs!$C$38*SIN(2*PI()*((Inputs!$I$7+(((A151)+1)/2)*(Inputs!$J$7-Inputs!$I$7)))/Inputs!$C$39)*SIN(2*PI()*(Inputs!$C$6)/Inputs!$C$40)+-Inputs!$C$41*EXP(-(((Inputs!$C$6)-Inputs!$C$43)^2)/(2*Inputs!$C$44^2))*EXP(-((((Inputs!$I$7+(((A151)+1)/2)*(Inputs!$J$7-Inputs!$I$7)))-Inputs!$C$42)^2)/(2*Inputs!$C$45^2))+Inputs!$C$48*(0.7*(0.45*SIN(2*PI()*((((Inputs!$I$7+(((A151)+1)/2)*(Inputs!$J$7-Inputs!$I$7)))/Inputs!$C$49)+Inputs!$C$47*0.137))+0.35*COS(2*PI()*(((Inputs!$C$6)/Inputs!$C$50)+Inputs!$C$47*0.173))+0.2*SIN(2*PI()*((((Inputs!$I$7+(((A151)+1)/2)*(Inputs!$J$7-Inputs!$I$7)))+(Inputs!$C$6))/(0.5*(Inputs!$C$49+Inputs!$C$50))+Inputs!$C$47*0.097)))+0.3*(2*((SIN((((Inputs!$I$7+(((A151)+1)/2)*(Inputs!$J$7-Inputs!$I$7)))*12.9898+(Inputs!$C$6)*78.233+Inputs!$C$47*37.719))*43758.5453)-INT((SIN((((Inputs!$I$7+(((A151)+1)/2)*(Inputs!$J$7-Inputs!$I$7)))*12.9898+(Inputs!$C$6)*78.233+Inputs!$C$47*37.719))*43758.5453)))-1))),NA())</f>
        <v/>
      </c>
      <c r="AU151" s="9">
        <f>IF(OR(Inputs!$F$8=TRUE,Inputs!$F$8="TRUE",Inputs!$F$8=1),IF(OR(Inputs!$C$27=TRUE,Inputs!$C$27="TRUE",Inputs!$C$27=1),1,0)*(Inputs!$C$51*(115*EXP(-(((Inputs!$C$6)-25)^2)/(4.5^2))+70*EXP(-(((Inputs!$C$6)+38)^2)/(7^2))*(0.55+0.45*SIN(2*PI()*((Inputs!$I$8+(((A151)+1)/2)*(Inputs!$J$8-Inputs!$I$8)))/45))+24*SIN(2*PI()*(Inputs!$C$6)/9+((Inputs!$I$8+(((A151)+1)/2)*(Inputs!$J$8-Inputs!$I$8)))/18)*EXP(-(((Inputs!$C$6)+5)^2)/(22^2))+18*SIN(2*PI()*((Inputs!$I$8+(((A151)+1)/2)*(Inputs!$J$8-Inputs!$I$8)))/70))+Inputs!$C$28*EXP(-((((Inputs!$I$8+(((A151)+1)/2)*(Inputs!$J$8-Inputs!$I$8)))-Inputs!$C$29)^2)/(2*Inputs!$C$31^2))*EXP(-(((Inputs!$C$6)-Inputs!$C$30)^2)/(2*Inputs!$C$32^2))+-Inputs!$C$33*EXP(-((((((Inputs!$I$8+(((A151)+1)/2)*(Inputs!$J$8-Inputs!$I$8)))-Inputs!$C$34)^2)+(((Inputs!$C$6)-Inputs!$C$35)^2))/(2*Inputs!$C$36^2)))+Inputs!$C$37*(0.55*SIN(2*PI()*((Inputs!$I$8+(((A151)+1)/2)*(Inputs!$J$8-Inputs!$I$8)))/Inputs!$C$39)+0.35*COS(2*PI()*(Inputs!$C$6)/Inputs!$C$40)+0.2*SIN(2*PI()*(((Inputs!$I$8+(((A151)+1)/2)*(Inputs!$J$8-Inputs!$I$8)))+(Inputs!$C$6))/(0.5*(Inputs!$C$39+Inputs!$C$40))))+Inputs!$C$38*SIN(2*PI()*((Inputs!$I$8+(((A151)+1)/2)*(Inputs!$J$8-Inputs!$I$8)))/Inputs!$C$39)*SIN(2*PI()*(Inputs!$C$6)/Inputs!$C$40)+-Inputs!$C$41*EXP(-(((Inputs!$C$6)-Inputs!$C$43)^2)/(2*Inputs!$C$44^2))*EXP(-((((Inputs!$I$8+(((A151)+1)/2)*(Inputs!$J$8-Inputs!$I$8)))-Inputs!$C$42)^2)/(2*Inputs!$C$45^2))+Inputs!$C$48*(0.7*(0.45*SIN(2*PI()*((((Inputs!$I$8+(((A151)+1)/2)*(Inputs!$J$8-Inputs!$I$8)))/Inputs!$C$49)+Inputs!$C$47*0.137))+0.35*COS(2*PI()*(((Inputs!$C$6)/Inputs!$C$50)+Inputs!$C$47*0.173))+0.2*SIN(2*PI()*((((Inputs!$I$8+(((A151)+1)/2)*(Inputs!$J$8-Inputs!$I$8)))+(Inputs!$C$6))/(0.5*(Inputs!$C$49+Inputs!$C$50))+Inputs!$C$47*0.097)))+0.3*(2*((SIN((((Inputs!$I$8+(((A151)+1)/2)*(Inputs!$J$8-Inputs!$I$8)))*12.9898+(Inputs!$C$6)*78.233+Inputs!$C$47*37.719))*43758.5453)-INT((SIN((((Inputs!$I$8+(((A151)+1)/2)*(Inputs!$J$8-Inputs!$I$8)))*12.9898+(Inputs!$C$6)*78.233+Inputs!$C$47*37.719))*43758.5453)))-1))),NA())</f>
        <v/>
      </c>
      <c r="AV151" s="9">
        <f>IF(OR(Inputs!$F$9=TRUE,Inputs!$F$9="TRUE",Inputs!$F$9=1),IF(OR(Inputs!$C$27=TRUE,Inputs!$C$27="TRUE",Inputs!$C$27=1),1,0)*(Inputs!$C$51*(115*EXP(-(((Inputs!$C$6)-25)^2)/(4.5^2))+70*EXP(-(((Inputs!$C$6)+38)^2)/(7^2))*(0.55+0.45*SIN(2*PI()*((Inputs!$I$9+(((A151)+1)/2)*(Inputs!$J$9-Inputs!$I$9)))/45))+24*SIN(2*PI()*(Inputs!$C$6)/9+((Inputs!$I$9+(((A151)+1)/2)*(Inputs!$J$9-Inputs!$I$9)))/18)*EXP(-(((Inputs!$C$6)+5)^2)/(22^2))+18*SIN(2*PI()*((Inputs!$I$9+(((A151)+1)/2)*(Inputs!$J$9-Inputs!$I$9)))/70))+Inputs!$C$28*EXP(-((((Inputs!$I$9+(((A151)+1)/2)*(Inputs!$J$9-Inputs!$I$9)))-Inputs!$C$29)^2)/(2*Inputs!$C$31^2))*EXP(-(((Inputs!$C$6)-Inputs!$C$30)^2)/(2*Inputs!$C$32^2))+-Inputs!$C$33*EXP(-((((((Inputs!$I$9+(((A151)+1)/2)*(Inputs!$J$9-Inputs!$I$9)))-Inputs!$C$34)^2)+(((Inputs!$C$6)-Inputs!$C$35)^2))/(2*Inputs!$C$36^2)))+Inputs!$C$37*(0.55*SIN(2*PI()*((Inputs!$I$9+(((A151)+1)/2)*(Inputs!$J$9-Inputs!$I$9)))/Inputs!$C$39)+0.35*COS(2*PI()*(Inputs!$C$6)/Inputs!$C$40)+0.2*SIN(2*PI()*(((Inputs!$I$9+(((A151)+1)/2)*(Inputs!$J$9-Inputs!$I$9)))+(Inputs!$C$6))/(0.5*(Inputs!$C$39+Inputs!$C$40))))+Inputs!$C$38*SIN(2*PI()*((Inputs!$I$9+(((A151)+1)/2)*(Inputs!$J$9-Inputs!$I$9)))/Inputs!$C$39)*SIN(2*PI()*(Inputs!$C$6)/Inputs!$C$40)+-Inputs!$C$41*EXP(-(((Inputs!$C$6)-Inputs!$C$43)^2)/(2*Inputs!$C$44^2))*EXP(-((((Inputs!$I$9+(((A151)+1)/2)*(Inputs!$J$9-Inputs!$I$9)))-Inputs!$C$42)^2)/(2*Inputs!$C$45^2))+Inputs!$C$48*(0.7*(0.45*SIN(2*PI()*((((Inputs!$I$9+(((A151)+1)/2)*(Inputs!$J$9-Inputs!$I$9)))/Inputs!$C$49)+Inputs!$C$47*0.137))+0.35*COS(2*PI()*(((Inputs!$C$6)/Inputs!$C$50)+Inputs!$C$47*0.173))+0.2*SIN(2*PI()*((((Inputs!$I$9+(((A151)+1)/2)*(Inputs!$J$9-Inputs!$I$9)))+(Inputs!$C$6))/(0.5*(Inputs!$C$49+Inputs!$C$50))+Inputs!$C$47*0.097)))+0.3*(2*((SIN((((Inputs!$I$9+(((A151)+1)/2)*(Inputs!$J$9-Inputs!$I$9)))*12.9898+(Inputs!$C$6)*78.233+Inputs!$C$47*37.719))*43758.5453)-INT((SIN((((Inputs!$I$9+(((A151)+1)/2)*(Inputs!$J$9-Inputs!$I$9)))*12.9898+(Inputs!$C$6)*78.233+Inputs!$C$47*37.719))*43758.5453)))-1))),NA())</f>
        <v/>
      </c>
      <c r="AW151" s="10" t="n"/>
      <c r="AX151" s="9">
        <f>A151</f>
        <v/>
      </c>
      <c r="AY151" s="9">
        <f>0</f>
        <v/>
      </c>
      <c r="AZ151" s="9">
        <f>IF(OR(Inputs!$F$6=TRUE,Inputs!$F$6="TRUE",Inputs!$F$6=1),(Inputs!$H$6+Inputs!$L$6*(((Inputs!$I$6+(((A151)+1)/2)*(Inputs!$J$6-Inputs!$I$6)))/Inputs!$K$6)^2),NA())</f>
        <v/>
      </c>
      <c r="BA151" s="9">
        <f>IF(OR(Inputs!$F$7=TRUE,Inputs!$F$7="TRUE",Inputs!$F$7=1),(Inputs!$H$7+Inputs!$L$7*(((Inputs!$I$7+(((A151)+1)/2)*(Inputs!$J$7-Inputs!$I$7)))/Inputs!$K$7)^2),NA())</f>
        <v/>
      </c>
      <c r="BB151" s="9">
        <f>IF(OR(Inputs!$F$8=TRUE,Inputs!$F$8="TRUE",Inputs!$F$8=1),(Inputs!$H$8+Inputs!$L$8*(((Inputs!$I$8+(((A151)+1)/2)*(Inputs!$J$8-Inputs!$I$8)))/Inputs!$K$8)^2),NA())</f>
        <v/>
      </c>
      <c r="BC151" s="9">
        <f>IF(OR(Inputs!$F$9=TRUE,Inputs!$F$9="TRUE",Inputs!$F$9=1),(Inputs!$H$9+Inputs!$L$9*(((Inputs!$I$9+(((A151)+1)/2)*(Inputs!$J$9-Inputs!$I$9)))/Inputs!$K$9)^2),NA())</f>
        <v/>
      </c>
      <c r="BD151" s="10" t="n"/>
      <c r="BE151" s="9">
        <f>A151</f>
        <v/>
      </c>
      <c r="BF151" s="9">
        <f>0</f>
        <v/>
      </c>
      <c r="BG151" s="9">
        <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f>
        <v/>
      </c>
      <c r="BH151" s="9">
        <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f>
        <v/>
      </c>
      <c r="BI151" s="9">
        <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f>
        <v/>
      </c>
      <c r="BJ151" s="9">
        <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f>
        <v/>
      </c>
    </row>
    <row r="152">
      <c r="A152" s="9">
        <f>ROUND(-1+150*2/240,3)</f>
        <v/>
      </c>
      <c r="B152" s="9">
        <f>IF(OR(Inputs!$F$6=TRUE,Inputs!$F$6="TRUE",Inputs!$F$6=1),(Inputs!$H$6+Inputs!$L$6*(((Inputs!$I$6+(((A152)+1)/2)*(Inputs!$J$6-Inputs!$I$6)))/Inputs!$K$6)^2),NA())</f>
        <v/>
      </c>
      <c r="C152" s="9">
        <f>IF(OR(Inputs!$F$7=TRUE,Inputs!$F$7="TRUE",Inputs!$F$7=1),(Inputs!$H$7+Inputs!$L$7*(((Inputs!$I$7+(((A152)+1)/2)*(Inputs!$J$7-Inputs!$I$7)))/Inputs!$K$7)^2),NA())</f>
        <v/>
      </c>
      <c r="D152" s="9">
        <f>IF(OR(Inputs!$F$8=TRUE,Inputs!$F$8="TRUE",Inputs!$F$8=1),(Inputs!$H$8+Inputs!$L$8*(((Inputs!$I$8+(((A152)+1)/2)*(Inputs!$J$8-Inputs!$I$8)))/Inputs!$K$8)^2),NA())</f>
        <v/>
      </c>
      <c r="E152" s="9">
        <f>IF(OR(Inputs!$F$9=TRUE,Inputs!$F$9="TRUE",Inputs!$F$9=1),(Inputs!$H$9+Inputs!$L$9*(((Inputs!$I$9+(((A152)+1)/2)*(Inputs!$J$9-Inputs!$I$9)))/Inputs!$K$9)^2),NA())</f>
        <v/>
      </c>
      <c r="F152" s="10" t="n"/>
      <c r="G152" s="9">
        <f>A152</f>
        <v/>
      </c>
      <c r="H152" s="9">
        <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f>
        <v/>
      </c>
      <c r="I152" s="9">
        <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f>
        <v/>
      </c>
      <c r="J152" s="9">
        <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f>
        <v/>
      </c>
      <c r="K152" s="9">
        <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f>
        <v/>
      </c>
      <c r="L152" s="10" t="n"/>
      <c r="M152" s="9">
        <f>A152</f>
        <v/>
      </c>
      <c r="N152" s="9">
        <f>IF(OR(Inputs!$F$6=TRUE,Inputs!$F$6="TRUE",Inputs!$F$6=1),(-2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NA())</f>
        <v/>
      </c>
      <c r="O152" s="9">
        <f>IF(OR(Inputs!$F$7=TRUE,Inputs!$F$7="TRUE",Inputs!$F$7=1),(-2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NA())</f>
        <v/>
      </c>
      <c r="P152" s="9">
        <f>IF(OR(Inputs!$F$8=TRUE,Inputs!$F$8="TRUE",Inputs!$F$8=1),(-2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NA())</f>
        <v/>
      </c>
      <c r="Q152" s="9">
        <f>IF(OR(Inputs!$F$9=TRUE,Inputs!$F$9="TRUE",Inputs!$F$9=1),(-2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NA())</f>
        <v/>
      </c>
      <c r="R152" s="10" t="n"/>
      <c r="S152" s="9">
        <f>A152</f>
        <v/>
      </c>
      <c r="T152" s="9">
        <f>(Inputs!$I$6+(((A152)+1)/2)*(Inputs!$J$6-Inputs!$I$6))</f>
        <v/>
      </c>
      <c r="U152" s="9">
        <f>(Inputs!$I$7+(((A152)+1)/2)*(Inputs!$J$7-Inputs!$I$7))</f>
        <v/>
      </c>
      <c r="V152" s="9">
        <f>(Inputs!$I$8+(((A152)+1)/2)*(Inputs!$J$8-Inputs!$I$8))</f>
        <v/>
      </c>
      <c r="W152" s="9">
        <f>(Inputs!$I$9+(((A152)+1)/2)*(Inputs!$J$9-Inputs!$I$9))</f>
        <v/>
      </c>
      <c r="X152" s="10" t="n"/>
      <c r="Y152" s="9">
        <f>A152</f>
        <v/>
      </c>
      <c r="Z152" s="9">
        <f>(Inputs!$H$6+Inputs!$L$6*(((Inputs!$I$6+(((A152)+1)/2)*(Inputs!$J$6-Inputs!$I$6)))/Inputs!$K$6)^2)</f>
        <v/>
      </c>
      <c r="AA152" s="9">
        <f>(Inputs!$H$7+Inputs!$L$7*(((Inputs!$I$7+(((A152)+1)/2)*(Inputs!$J$7-Inputs!$I$7)))/Inputs!$K$7)^2)</f>
        <v/>
      </c>
      <c r="AB152" s="9">
        <f>(Inputs!$H$8+Inputs!$L$8*(((Inputs!$I$8+(((A152)+1)/2)*(Inputs!$J$8-Inputs!$I$8)))/Inputs!$K$8)^2)</f>
        <v/>
      </c>
      <c r="AC152" s="9">
        <f>(Inputs!$H$9+Inputs!$L$9*(((Inputs!$I$9+(((A152)+1)/2)*(Inputs!$J$9-Inputs!$I$9)))/Inputs!$K$9)^2)</f>
        <v/>
      </c>
      <c r="AD152" s="10" t="n"/>
      <c r="AE152" s="9">
        <f>A152</f>
        <v/>
      </c>
      <c r="AF152" s="9">
        <f>(((SQRT((Inputs!$C$52+((Inputs!$H$6+Inputs!$L$6*(((Inputs!$I$6+(((A152)+1)/2)*(Inputs!$J$6-Inputs!$I$6)))/Inputs!$K$6)^2)))^2+Inputs!$C$52^2-2*(Inputs!$C$52+((Inputs!$H$6+Inputs!$L$6*(((Inputs!$I$6+(((A152)+1)/2)*(Inputs!$J$6-Inputs!$I$6)))/Inputs!$K$6)^2)))*Inputs!$C$52*COS(SQRT(((Inputs!$I$6+(((A152)+1)/2)*(Inputs!$J$6-Inputs!$I$6)))^2+Inputs!$C$6^2)/Inputs!$C$52)))-((Inputs!$H$6+Inputs!$L$6*(((Inputs!$I$6+(((A152)+1)/2)*(Inputs!$J$6-Inputs!$I$6)))/Inputs!$K$6)^2)))*1000/Inputs!$C$12)</f>
        <v/>
      </c>
      <c r="AG152" s="9">
        <f>(((SQRT((Inputs!$C$52+((Inputs!$H$7+Inputs!$L$7*(((Inputs!$I$7+(((A152)+1)/2)*(Inputs!$J$7-Inputs!$I$7)))/Inputs!$K$7)^2)))^2+Inputs!$C$52^2-2*(Inputs!$C$52+((Inputs!$H$7+Inputs!$L$7*(((Inputs!$I$7+(((A152)+1)/2)*(Inputs!$J$7-Inputs!$I$7)))/Inputs!$K$7)^2)))*Inputs!$C$52*COS(SQRT(((Inputs!$I$7+(((A152)+1)/2)*(Inputs!$J$7-Inputs!$I$7)))^2+Inputs!$C$6^2)/Inputs!$C$52)))-((Inputs!$H$7+Inputs!$L$7*(((Inputs!$I$7+(((A152)+1)/2)*(Inputs!$J$7-Inputs!$I$7)))/Inputs!$K$7)^2)))*1000/Inputs!$C$12)</f>
        <v/>
      </c>
      <c r="AH152" s="9">
        <f>(((SQRT((Inputs!$C$52+((Inputs!$H$8+Inputs!$L$8*(((Inputs!$I$8+(((A152)+1)/2)*(Inputs!$J$8-Inputs!$I$8)))/Inputs!$K$8)^2)))^2+Inputs!$C$52^2-2*(Inputs!$C$52+((Inputs!$H$8+Inputs!$L$8*(((Inputs!$I$8+(((A152)+1)/2)*(Inputs!$J$8-Inputs!$I$8)))/Inputs!$K$8)^2)))*Inputs!$C$52*COS(SQRT(((Inputs!$I$8+(((A152)+1)/2)*(Inputs!$J$8-Inputs!$I$8)))^2+Inputs!$C$6^2)/Inputs!$C$52)))-((Inputs!$H$8+Inputs!$L$8*(((Inputs!$I$8+(((A152)+1)/2)*(Inputs!$J$8-Inputs!$I$8)))/Inputs!$K$8)^2)))*1000/Inputs!$C$12)</f>
        <v/>
      </c>
      <c r="AI152" s="9">
        <f>(((SQRT((Inputs!$C$52+((Inputs!$H$9+Inputs!$L$9*(((Inputs!$I$9+(((A152)+1)/2)*(Inputs!$J$9-Inputs!$I$9)))/Inputs!$K$9)^2)))^2+Inputs!$C$52^2-2*(Inputs!$C$52+((Inputs!$H$9+Inputs!$L$9*(((Inputs!$I$9+(((A152)+1)/2)*(Inputs!$J$9-Inputs!$I$9)))/Inputs!$K$9)^2)))*Inputs!$C$52*COS(SQRT(((Inputs!$I$9+(((A152)+1)/2)*(Inputs!$J$9-Inputs!$I$9)))^2+Inputs!$C$6^2)/Inputs!$C$52)))-((Inputs!$H$9+Inputs!$L$9*(((Inputs!$I$9+(((A152)+1)/2)*(Inputs!$J$9-Inputs!$I$9)))/Inputs!$K$9)^2)))*1000/Inputs!$C$12)</f>
        <v/>
      </c>
      <c r="AJ152" s="10" t="n"/>
      <c r="AK152" s="9">
        <f>A152</f>
        <v/>
      </c>
      <c r="AL152" s="9">
        <f>(-2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f>
        <v/>
      </c>
      <c r="AM152" s="9">
        <f>(-2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f>
        <v/>
      </c>
      <c r="AN152" s="9">
        <f>(-2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f>
        <v/>
      </c>
      <c r="AO152" s="9">
        <f>(-2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f>
        <v/>
      </c>
      <c r="AP152" s="10" t="n"/>
      <c r="AQ152" s="9">
        <f>A152</f>
        <v/>
      </c>
      <c r="AR152" s="9">
        <f>0</f>
        <v/>
      </c>
      <c r="AS152" s="9">
        <f>IF(OR(Inputs!$F$6=TRUE,Inputs!$F$6="TRUE",Inputs!$F$6=1),IF(OR(Inputs!$C$27=TRUE,Inputs!$C$27="TRUE",Inputs!$C$27=1),1,0)*(Inputs!$C$51*(115*EXP(-(((Inputs!$C$6)-25)^2)/(4.5^2))+70*EXP(-(((Inputs!$C$6)+38)^2)/(7^2))*(0.55+0.45*SIN(2*PI()*((Inputs!$I$6+(((A152)+1)/2)*(Inputs!$J$6-Inputs!$I$6)))/45))+24*SIN(2*PI()*(Inputs!$C$6)/9+((Inputs!$I$6+(((A152)+1)/2)*(Inputs!$J$6-Inputs!$I$6)))/18)*EXP(-(((Inputs!$C$6)+5)^2)/(22^2))+18*SIN(2*PI()*((Inputs!$I$6+(((A152)+1)/2)*(Inputs!$J$6-Inputs!$I$6)))/70))+Inputs!$C$28*EXP(-((((Inputs!$I$6+(((A152)+1)/2)*(Inputs!$J$6-Inputs!$I$6)))-Inputs!$C$29)^2)/(2*Inputs!$C$31^2))*EXP(-(((Inputs!$C$6)-Inputs!$C$30)^2)/(2*Inputs!$C$32^2))+-Inputs!$C$33*EXP(-((((((Inputs!$I$6+(((A152)+1)/2)*(Inputs!$J$6-Inputs!$I$6)))-Inputs!$C$34)^2)+(((Inputs!$C$6)-Inputs!$C$35)^2))/(2*Inputs!$C$36^2)))+Inputs!$C$37*(0.55*SIN(2*PI()*((Inputs!$I$6+(((A152)+1)/2)*(Inputs!$J$6-Inputs!$I$6)))/Inputs!$C$39)+0.35*COS(2*PI()*(Inputs!$C$6)/Inputs!$C$40)+0.2*SIN(2*PI()*(((Inputs!$I$6+(((A152)+1)/2)*(Inputs!$J$6-Inputs!$I$6)))+(Inputs!$C$6))/(0.5*(Inputs!$C$39+Inputs!$C$40))))+Inputs!$C$38*SIN(2*PI()*((Inputs!$I$6+(((A152)+1)/2)*(Inputs!$J$6-Inputs!$I$6)))/Inputs!$C$39)*SIN(2*PI()*(Inputs!$C$6)/Inputs!$C$40)+-Inputs!$C$41*EXP(-(((Inputs!$C$6)-Inputs!$C$43)^2)/(2*Inputs!$C$44^2))*EXP(-((((Inputs!$I$6+(((A152)+1)/2)*(Inputs!$J$6-Inputs!$I$6)))-Inputs!$C$42)^2)/(2*Inputs!$C$45^2))+Inputs!$C$48*(0.7*(0.45*SIN(2*PI()*((((Inputs!$I$6+(((A152)+1)/2)*(Inputs!$J$6-Inputs!$I$6)))/Inputs!$C$49)+Inputs!$C$47*0.137))+0.35*COS(2*PI()*(((Inputs!$C$6)/Inputs!$C$50)+Inputs!$C$47*0.173))+0.2*SIN(2*PI()*((((Inputs!$I$6+(((A152)+1)/2)*(Inputs!$J$6-Inputs!$I$6)))+(Inputs!$C$6))/(0.5*(Inputs!$C$49+Inputs!$C$50))+Inputs!$C$47*0.097)))+0.3*(2*((SIN((((Inputs!$I$6+(((A152)+1)/2)*(Inputs!$J$6-Inputs!$I$6)))*12.9898+(Inputs!$C$6)*78.233+Inputs!$C$47*37.719))*43758.5453)-INT((SIN((((Inputs!$I$6+(((A152)+1)/2)*(Inputs!$J$6-Inputs!$I$6)))*12.9898+(Inputs!$C$6)*78.233+Inputs!$C$47*37.719))*43758.5453)))-1))),NA())</f>
        <v/>
      </c>
      <c r="AT152" s="9">
        <f>IF(OR(Inputs!$F$7=TRUE,Inputs!$F$7="TRUE",Inputs!$F$7=1),IF(OR(Inputs!$C$27=TRUE,Inputs!$C$27="TRUE",Inputs!$C$27=1),1,0)*(Inputs!$C$51*(115*EXP(-(((Inputs!$C$6)-25)^2)/(4.5^2))+70*EXP(-(((Inputs!$C$6)+38)^2)/(7^2))*(0.55+0.45*SIN(2*PI()*((Inputs!$I$7+(((A152)+1)/2)*(Inputs!$J$7-Inputs!$I$7)))/45))+24*SIN(2*PI()*(Inputs!$C$6)/9+((Inputs!$I$7+(((A152)+1)/2)*(Inputs!$J$7-Inputs!$I$7)))/18)*EXP(-(((Inputs!$C$6)+5)^2)/(22^2))+18*SIN(2*PI()*((Inputs!$I$7+(((A152)+1)/2)*(Inputs!$J$7-Inputs!$I$7)))/70))+Inputs!$C$28*EXP(-((((Inputs!$I$7+(((A152)+1)/2)*(Inputs!$J$7-Inputs!$I$7)))-Inputs!$C$29)^2)/(2*Inputs!$C$31^2))*EXP(-(((Inputs!$C$6)-Inputs!$C$30)^2)/(2*Inputs!$C$32^2))+-Inputs!$C$33*EXP(-((((((Inputs!$I$7+(((A152)+1)/2)*(Inputs!$J$7-Inputs!$I$7)))-Inputs!$C$34)^2)+(((Inputs!$C$6)-Inputs!$C$35)^2))/(2*Inputs!$C$36^2)))+Inputs!$C$37*(0.55*SIN(2*PI()*((Inputs!$I$7+(((A152)+1)/2)*(Inputs!$J$7-Inputs!$I$7)))/Inputs!$C$39)+0.35*COS(2*PI()*(Inputs!$C$6)/Inputs!$C$40)+0.2*SIN(2*PI()*(((Inputs!$I$7+(((A152)+1)/2)*(Inputs!$J$7-Inputs!$I$7)))+(Inputs!$C$6))/(0.5*(Inputs!$C$39+Inputs!$C$40))))+Inputs!$C$38*SIN(2*PI()*((Inputs!$I$7+(((A152)+1)/2)*(Inputs!$J$7-Inputs!$I$7)))/Inputs!$C$39)*SIN(2*PI()*(Inputs!$C$6)/Inputs!$C$40)+-Inputs!$C$41*EXP(-(((Inputs!$C$6)-Inputs!$C$43)^2)/(2*Inputs!$C$44^2))*EXP(-((((Inputs!$I$7+(((A152)+1)/2)*(Inputs!$J$7-Inputs!$I$7)))-Inputs!$C$42)^2)/(2*Inputs!$C$45^2))+Inputs!$C$48*(0.7*(0.45*SIN(2*PI()*((((Inputs!$I$7+(((A152)+1)/2)*(Inputs!$J$7-Inputs!$I$7)))/Inputs!$C$49)+Inputs!$C$47*0.137))+0.35*COS(2*PI()*(((Inputs!$C$6)/Inputs!$C$50)+Inputs!$C$47*0.173))+0.2*SIN(2*PI()*((((Inputs!$I$7+(((A152)+1)/2)*(Inputs!$J$7-Inputs!$I$7)))+(Inputs!$C$6))/(0.5*(Inputs!$C$49+Inputs!$C$50))+Inputs!$C$47*0.097)))+0.3*(2*((SIN((((Inputs!$I$7+(((A152)+1)/2)*(Inputs!$J$7-Inputs!$I$7)))*12.9898+(Inputs!$C$6)*78.233+Inputs!$C$47*37.719))*43758.5453)-INT((SIN((((Inputs!$I$7+(((A152)+1)/2)*(Inputs!$J$7-Inputs!$I$7)))*12.9898+(Inputs!$C$6)*78.233+Inputs!$C$47*37.719))*43758.5453)))-1))),NA())</f>
        <v/>
      </c>
      <c r="AU152" s="9">
        <f>IF(OR(Inputs!$F$8=TRUE,Inputs!$F$8="TRUE",Inputs!$F$8=1),IF(OR(Inputs!$C$27=TRUE,Inputs!$C$27="TRUE",Inputs!$C$27=1),1,0)*(Inputs!$C$51*(115*EXP(-(((Inputs!$C$6)-25)^2)/(4.5^2))+70*EXP(-(((Inputs!$C$6)+38)^2)/(7^2))*(0.55+0.45*SIN(2*PI()*((Inputs!$I$8+(((A152)+1)/2)*(Inputs!$J$8-Inputs!$I$8)))/45))+24*SIN(2*PI()*(Inputs!$C$6)/9+((Inputs!$I$8+(((A152)+1)/2)*(Inputs!$J$8-Inputs!$I$8)))/18)*EXP(-(((Inputs!$C$6)+5)^2)/(22^2))+18*SIN(2*PI()*((Inputs!$I$8+(((A152)+1)/2)*(Inputs!$J$8-Inputs!$I$8)))/70))+Inputs!$C$28*EXP(-((((Inputs!$I$8+(((A152)+1)/2)*(Inputs!$J$8-Inputs!$I$8)))-Inputs!$C$29)^2)/(2*Inputs!$C$31^2))*EXP(-(((Inputs!$C$6)-Inputs!$C$30)^2)/(2*Inputs!$C$32^2))+-Inputs!$C$33*EXP(-((((((Inputs!$I$8+(((A152)+1)/2)*(Inputs!$J$8-Inputs!$I$8)))-Inputs!$C$34)^2)+(((Inputs!$C$6)-Inputs!$C$35)^2))/(2*Inputs!$C$36^2)))+Inputs!$C$37*(0.55*SIN(2*PI()*((Inputs!$I$8+(((A152)+1)/2)*(Inputs!$J$8-Inputs!$I$8)))/Inputs!$C$39)+0.35*COS(2*PI()*(Inputs!$C$6)/Inputs!$C$40)+0.2*SIN(2*PI()*(((Inputs!$I$8+(((A152)+1)/2)*(Inputs!$J$8-Inputs!$I$8)))+(Inputs!$C$6))/(0.5*(Inputs!$C$39+Inputs!$C$40))))+Inputs!$C$38*SIN(2*PI()*((Inputs!$I$8+(((A152)+1)/2)*(Inputs!$J$8-Inputs!$I$8)))/Inputs!$C$39)*SIN(2*PI()*(Inputs!$C$6)/Inputs!$C$40)+-Inputs!$C$41*EXP(-(((Inputs!$C$6)-Inputs!$C$43)^2)/(2*Inputs!$C$44^2))*EXP(-((((Inputs!$I$8+(((A152)+1)/2)*(Inputs!$J$8-Inputs!$I$8)))-Inputs!$C$42)^2)/(2*Inputs!$C$45^2))+Inputs!$C$48*(0.7*(0.45*SIN(2*PI()*((((Inputs!$I$8+(((A152)+1)/2)*(Inputs!$J$8-Inputs!$I$8)))/Inputs!$C$49)+Inputs!$C$47*0.137))+0.35*COS(2*PI()*(((Inputs!$C$6)/Inputs!$C$50)+Inputs!$C$47*0.173))+0.2*SIN(2*PI()*((((Inputs!$I$8+(((A152)+1)/2)*(Inputs!$J$8-Inputs!$I$8)))+(Inputs!$C$6))/(0.5*(Inputs!$C$49+Inputs!$C$50))+Inputs!$C$47*0.097)))+0.3*(2*((SIN((((Inputs!$I$8+(((A152)+1)/2)*(Inputs!$J$8-Inputs!$I$8)))*12.9898+(Inputs!$C$6)*78.233+Inputs!$C$47*37.719))*43758.5453)-INT((SIN((((Inputs!$I$8+(((A152)+1)/2)*(Inputs!$J$8-Inputs!$I$8)))*12.9898+(Inputs!$C$6)*78.233+Inputs!$C$47*37.719))*43758.5453)))-1))),NA())</f>
        <v/>
      </c>
      <c r="AV152" s="9">
        <f>IF(OR(Inputs!$F$9=TRUE,Inputs!$F$9="TRUE",Inputs!$F$9=1),IF(OR(Inputs!$C$27=TRUE,Inputs!$C$27="TRUE",Inputs!$C$27=1),1,0)*(Inputs!$C$51*(115*EXP(-(((Inputs!$C$6)-25)^2)/(4.5^2))+70*EXP(-(((Inputs!$C$6)+38)^2)/(7^2))*(0.55+0.45*SIN(2*PI()*((Inputs!$I$9+(((A152)+1)/2)*(Inputs!$J$9-Inputs!$I$9)))/45))+24*SIN(2*PI()*(Inputs!$C$6)/9+((Inputs!$I$9+(((A152)+1)/2)*(Inputs!$J$9-Inputs!$I$9)))/18)*EXP(-(((Inputs!$C$6)+5)^2)/(22^2))+18*SIN(2*PI()*((Inputs!$I$9+(((A152)+1)/2)*(Inputs!$J$9-Inputs!$I$9)))/70))+Inputs!$C$28*EXP(-((((Inputs!$I$9+(((A152)+1)/2)*(Inputs!$J$9-Inputs!$I$9)))-Inputs!$C$29)^2)/(2*Inputs!$C$31^2))*EXP(-(((Inputs!$C$6)-Inputs!$C$30)^2)/(2*Inputs!$C$32^2))+-Inputs!$C$33*EXP(-((((((Inputs!$I$9+(((A152)+1)/2)*(Inputs!$J$9-Inputs!$I$9)))-Inputs!$C$34)^2)+(((Inputs!$C$6)-Inputs!$C$35)^2))/(2*Inputs!$C$36^2)))+Inputs!$C$37*(0.55*SIN(2*PI()*((Inputs!$I$9+(((A152)+1)/2)*(Inputs!$J$9-Inputs!$I$9)))/Inputs!$C$39)+0.35*COS(2*PI()*(Inputs!$C$6)/Inputs!$C$40)+0.2*SIN(2*PI()*(((Inputs!$I$9+(((A152)+1)/2)*(Inputs!$J$9-Inputs!$I$9)))+(Inputs!$C$6))/(0.5*(Inputs!$C$39+Inputs!$C$40))))+Inputs!$C$38*SIN(2*PI()*((Inputs!$I$9+(((A152)+1)/2)*(Inputs!$J$9-Inputs!$I$9)))/Inputs!$C$39)*SIN(2*PI()*(Inputs!$C$6)/Inputs!$C$40)+-Inputs!$C$41*EXP(-(((Inputs!$C$6)-Inputs!$C$43)^2)/(2*Inputs!$C$44^2))*EXP(-((((Inputs!$I$9+(((A152)+1)/2)*(Inputs!$J$9-Inputs!$I$9)))-Inputs!$C$42)^2)/(2*Inputs!$C$45^2))+Inputs!$C$48*(0.7*(0.45*SIN(2*PI()*((((Inputs!$I$9+(((A152)+1)/2)*(Inputs!$J$9-Inputs!$I$9)))/Inputs!$C$49)+Inputs!$C$47*0.137))+0.35*COS(2*PI()*(((Inputs!$C$6)/Inputs!$C$50)+Inputs!$C$47*0.173))+0.2*SIN(2*PI()*((((Inputs!$I$9+(((A152)+1)/2)*(Inputs!$J$9-Inputs!$I$9)))+(Inputs!$C$6))/(0.5*(Inputs!$C$49+Inputs!$C$50))+Inputs!$C$47*0.097)))+0.3*(2*((SIN((((Inputs!$I$9+(((A152)+1)/2)*(Inputs!$J$9-Inputs!$I$9)))*12.9898+(Inputs!$C$6)*78.233+Inputs!$C$47*37.719))*43758.5453)-INT((SIN((((Inputs!$I$9+(((A152)+1)/2)*(Inputs!$J$9-Inputs!$I$9)))*12.9898+(Inputs!$C$6)*78.233+Inputs!$C$47*37.719))*43758.5453)))-1))),NA())</f>
        <v/>
      </c>
      <c r="AW152" s="10" t="n"/>
      <c r="AX152" s="9">
        <f>A152</f>
        <v/>
      </c>
      <c r="AY152" s="9">
        <f>0</f>
        <v/>
      </c>
      <c r="AZ152" s="9">
        <f>IF(OR(Inputs!$F$6=TRUE,Inputs!$F$6="TRUE",Inputs!$F$6=1),(Inputs!$H$6+Inputs!$L$6*(((Inputs!$I$6+(((A152)+1)/2)*(Inputs!$J$6-Inputs!$I$6)))/Inputs!$K$6)^2),NA())</f>
        <v/>
      </c>
      <c r="BA152" s="9">
        <f>IF(OR(Inputs!$F$7=TRUE,Inputs!$F$7="TRUE",Inputs!$F$7=1),(Inputs!$H$7+Inputs!$L$7*(((Inputs!$I$7+(((A152)+1)/2)*(Inputs!$J$7-Inputs!$I$7)))/Inputs!$K$7)^2),NA())</f>
        <v/>
      </c>
      <c r="BB152" s="9">
        <f>IF(OR(Inputs!$F$8=TRUE,Inputs!$F$8="TRUE",Inputs!$F$8=1),(Inputs!$H$8+Inputs!$L$8*(((Inputs!$I$8+(((A152)+1)/2)*(Inputs!$J$8-Inputs!$I$8)))/Inputs!$K$8)^2),NA())</f>
        <v/>
      </c>
      <c r="BC152" s="9">
        <f>IF(OR(Inputs!$F$9=TRUE,Inputs!$F$9="TRUE",Inputs!$F$9=1),(Inputs!$H$9+Inputs!$L$9*(((Inputs!$I$9+(((A152)+1)/2)*(Inputs!$J$9-Inputs!$I$9)))/Inputs!$K$9)^2),NA())</f>
        <v/>
      </c>
      <c r="BD152" s="10" t="n"/>
      <c r="BE152" s="9">
        <f>A152</f>
        <v/>
      </c>
      <c r="BF152" s="9">
        <f>0</f>
        <v/>
      </c>
      <c r="BG152" s="9">
        <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f>
        <v/>
      </c>
      <c r="BH152" s="9">
        <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f>
        <v/>
      </c>
      <c r="BI152" s="9">
        <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f>
        <v/>
      </c>
      <c r="BJ152" s="9">
        <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f>
        <v/>
      </c>
    </row>
    <row r="153">
      <c r="A153" s="9">
        <f>ROUND(-1+151*2/240,3)</f>
        <v/>
      </c>
      <c r="B153" s="9">
        <f>IF(OR(Inputs!$F$6=TRUE,Inputs!$F$6="TRUE",Inputs!$F$6=1),(Inputs!$H$6+Inputs!$L$6*(((Inputs!$I$6+(((A153)+1)/2)*(Inputs!$J$6-Inputs!$I$6)))/Inputs!$K$6)^2),NA())</f>
        <v/>
      </c>
      <c r="C153" s="9">
        <f>IF(OR(Inputs!$F$7=TRUE,Inputs!$F$7="TRUE",Inputs!$F$7=1),(Inputs!$H$7+Inputs!$L$7*(((Inputs!$I$7+(((A153)+1)/2)*(Inputs!$J$7-Inputs!$I$7)))/Inputs!$K$7)^2),NA())</f>
        <v/>
      </c>
      <c r="D153" s="9">
        <f>IF(OR(Inputs!$F$8=TRUE,Inputs!$F$8="TRUE",Inputs!$F$8=1),(Inputs!$H$8+Inputs!$L$8*(((Inputs!$I$8+(((A153)+1)/2)*(Inputs!$J$8-Inputs!$I$8)))/Inputs!$K$8)^2),NA())</f>
        <v/>
      </c>
      <c r="E153" s="9">
        <f>IF(OR(Inputs!$F$9=TRUE,Inputs!$F$9="TRUE",Inputs!$F$9=1),(Inputs!$H$9+Inputs!$L$9*(((Inputs!$I$9+(((A153)+1)/2)*(Inputs!$J$9-Inputs!$I$9)))/Inputs!$K$9)^2),NA())</f>
        <v/>
      </c>
      <c r="F153" s="10" t="n"/>
      <c r="G153" s="9">
        <f>A153</f>
        <v/>
      </c>
      <c r="H153" s="9">
        <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f>
        <v/>
      </c>
      <c r="I153" s="9">
        <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f>
        <v/>
      </c>
      <c r="J153" s="9">
        <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f>
        <v/>
      </c>
      <c r="K153" s="9">
        <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f>
        <v/>
      </c>
      <c r="L153" s="10" t="n"/>
      <c r="M153" s="9">
        <f>A153</f>
        <v/>
      </c>
      <c r="N153" s="9">
        <f>IF(OR(Inputs!$F$6=TRUE,Inputs!$F$6="TRUE",Inputs!$F$6=1),(-2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NA())</f>
        <v/>
      </c>
      <c r="O153" s="9">
        <f>IF(OR(Inputs!$F$7=TRUE,Inputs!$F$7="TRUE",Inputs!$F$7=1),(-2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NA())</f>
        <v/>
      </c>
      <c r="P153" s="9">
        <f>IF(OR(Inputs!$F$8=TRUE,Inputs!$F$8="TRUE",Inputs!$F$8=1),(-2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NA())</f>
        <v/>
      </c>
      <c r="Q153" s="9">
        <f>IF(OR(Inputs!$F$9=TRUE,Inputs!$F$9="TRUE",Inputs!$F$9=1),(-2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NA())</f>
        <v/>
      </c>
      <c r="R153" s="10" t="n"/>
      <c r="S153" s="9">
        <f>A153</f>
        <v/>
      </c>
      <c r="T153" s="9">
        <f>(Inputs!$I$6+(((A153)+1)/2)*(Inputs!$J$6-Inputs!$I$6))</f>
        <v/>
      </c>
      <c r="U153" s="9">
        <f>(Inputs!$I$7+(((A153)+1)/2)*(Inputs!$J$7-Inputs!$I$7))</f>
        <v/>
      </c>
      <c r="V153" s="9">
        <f>(Inputs!$I$8+(((A153)+1)/2)*(Inputs!$J$8-Inputs!$I$8))</f>
        <v/>
      </c>
      <c r="W153" s="9">
        <f>(Inputs!$I$9+(((A153)+1)/2)*(Inputs!$J$9-Inputs!$I$9))</f>
        <v/>
      </c>
      <c r="X153" s="10" t="n"/>
      <c r="Y153" s="9">
        <f>A153</f>
        <v/>
      </c>
      <c r="Z153" s="9">
        <f>(Inputs!$H$6+Inputs!$L$6*(((Inputs!$I$6+(((A153)+1)/2)*(Inputs!$J$6-Inputs!$I$6)))/Inputs!$K$6)^2)</f>
        <v/>
      </c>
      <c r="AA153" s="9">
        <f>(Inputs!$H$7+Inputs!$L$7*(((Inputs!$I$7+(((A153)+1)/2)*(Inputs!$J$7-Inputs!$I$7)))/Inputs!$K$7)^2)</f>
        <v/>
      </c>
      <c r="AB153" s="9">
        <f>(Inputs!$H$8+Inputs!$L$8*(((Inputs!$I$8+(((A153)+1)/2)*(Inputs!$J$8-Inputs!$I$8)))/Inputs!$K$8)^2)</f>
        <v/>
      </c>
      <c r="AC153" s="9">
        <f>(Inputs!$H$9+Inputs!$L$9*(((Inputs!$I$9+(((A153)+1)/2)*(Inputs!$J$9-Inputs!$I$9)))/Inputs!$K$9)^2)</f>
        <v/>
      </c>
      <c r="AD153" s="10" t="n"/>
      <c r="AE153" s="9">
        <f>A153</f>
        <v/>
      </c>
      <c r="AF153" s="9">
        <f>(((SQRT((Inputs!$C$52+((Inputs!$H$6+Inputs!$L$6*(((Inputs!$I$6+(((A153)+1)/2)*(Inputs!$J$6-Inputs!$I$6)))/Inputs!$K$6)^2)))^2+Inputs!$C$52^2-2*(Inputs!$C$52+((Inputs!$H$6+Inputs!$L$6*(((Inputs!$I$6+(((A153)+1)/2)*(Inputs!$J$6-Inputs!$I$6)))/Inputs!$K$6)^2)))*Inputs!$C$52*COS(SQRT(((Inputs!$I$6+(((A153)+1)/2)*(Inputs!$J$6-Inputs!$I$6)))^2+Inputs!$C$6^2)/Inputs!$C$52)))-((Inputs!$H$6+Inputs!$L$6*(((Inputs!$I$6+(((A153)+1)/2)*(Inputs!$J$6-Inputs!$I$6)))/Inputs!$K$6)^2)))*1000/Inputs!$C$12)</f>
        <v/>
      </c>
      <c r="AG153" s="9">
        <f>(((SQRT((Inputs!$C$52+((Inputs!$H$7+Inputs!$L$7*(((Inputs!$I$7+(((A153)+1)/2)*(Inputs!$J$7-Inputs!$I$7)))/Inputs!$K$7)^2)))^2+Inputs!$C$52^2-2*(Inputs!$C$52+((Inputs!$H$7+Inputs!$L$7*(((Inputs!$I$7+(((A153)+1)/2)*(Inputs!$J$7-Inputs!$I$7)))/Inputs!$K$7)^2)))*Inputs!$C$52*COS(SQRT(((Inputs!$I$7+(((A153)+1)/2)*(Inputs!$J$7-Inputs!$I$7)))^2+Inputs!$C$6^2)/Inputs!$C$52)))-((Inputs!$H$7+Inputs!$L$7*(((Inputs!$I$7+(((A153)+1)/2)*(Inputs!$J$7-Inputs!$I$7)))/Inputs!$K$7)^2)))*1000/Inputs!$C$12)</f>
        <v/>
      </c>
      <c r="AH153" s="9">
        <f>(((SQRT((Inputs!$C$52+((Inputs!$H$8+Inputs!$L$8*(((Inputs!$I$8+(((A153)+1)/2)*(Inputs!$J$8-Inputs!$I$8)))/Inputs!$K$8)^2)))^2+Inputs!$C$52^2-2*(Inputs!$C$52+((Inputs!$H$8+Inputs!$L$8*(((Inputs!$I$8+(((A153)+1)/2)*(Inputs!$J$8-Inputs!$I$8)))/Inputs!$K$8)^2)))*Inputs!$C$52*COS(SQRT(((Inputs!$I$8+(((A153)+1)/2)*(Inputs!$J$8-Inputs!$I$8)))^2+Inputs!$C$6^2)/Inputs!$C$52)))-((Inputs!$H$8+Inputs!$L$8*(((Inputs!$I$8+(((A153)+1)/2)*(Inputs!$J$8-Inputs!$I$8)))/Inputs!$K$8)^2)))*1000/Inputs!$C$12)</f>
        <v/>
      </c>
      <c r="AI153" s="9">
        <f>(((SQRT((Inputs!$C$52+((Inputs!$H$9+Inputs!$L$9*(((Inputs!$I$9+(((A153)+1)/2)*(Inputs!$J$9-Inputs!$I$9)))/Inputs!$K$9)^2)))^2+Inputs!$C$52^2-2*(Inputs!$C$52+((Inputs!$H$9+Inputs!$L$9*(((Inputs!$I$9+(((A153)+1)/2)*(Inputs!$J$9-Inputs!$I$9)))/Inputs!$K$9)^2)))*Inputs!$C$52*COS(SQRT(((Inputs!$I$9+(((A153)+1)/2)*(Inputs!$J$9-Inputs!$I$9)))^2+Inputs!$C$6^2)/Inputs!$C$52)))-((Inputs!$H$9+Inputs!$L$9*(((Inputs!$I$9+(((A153)+1)/2)*(Inputs!$J$9-Inputs!$I$9)))/Inputs!$K$9)^2)))*1000/Inputs!$C$12)</f>
        <v/>
      </c>
      <c r="AJ153" s="10" t="n"/>
      <c r="AK153" s="9">
        <f>A153</f>
        <v/>
      </c>
      <c r="AL153" s="9">
        <f>(-2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f>
        <v/>
      </c>
      <c r="AM153" s="9">
        <f>(-2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f>
        <v/>
      </c>
      <c r="AN153" s="9">
        <f>(-2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f>
        <v/>
      </c>
      <c r="AO153" s="9">
        <f>(-2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f>
        <v/>
      </c>
      <c r="AP153" s="10" t="n"/>
      <c r="AQ153" s="9">
        <f>A153</f>
        <v/>
      </c>
      <c r="AR153" s="9">
        <f>0</f>
        <v/>
      </c>
      <c r="AS153" s="9">
        <f>IF(OR(Inputs!$F$6=TRUE,Inputs!$F$6="TRUE",Inputs!$F$6=1),IF(OR(Inputs!$C$27=TRUE,Inputs!$C$27="TRUE",Inputs!$C$27=1),1,0)*(Inputs!$C$51*(115*EXP(-(((Inputs!$C$6)-25)^2)/(4.5^2))+70*EXP(-(((Inputs!$C$6)+38)^2)/(7^2))*(0.55+0.45*SIN(2*PI()*((Inputs!$I$6+(((A153)+1)/2)*(Inputs!$J$6-Inputs!$I$6)))/45))+24*SIN(2*PI()*(Inputs!$C$6)/9+((Inputs!$I$6+(((A153)+1)/2)*(Inputs!$J$6-Inputs!$I$6)))/18)*EXP(-(((Inputs!$C$6)+5)^2)/(22^2))+18*SIN(2*PI()*((Inputs!$I$6+(((A153)+1)/2)*(Inputs!$J$6-Inputs!$I$6)))/70))+Inputs!$C$28*EXP(-((((Inputs!$I$6+(((A153)+1)/2)*(Inputs!$J$6-Inputs!$I$6)))-Inputs!$C$29)^2)/(2*Inputs!$C$31^2))*EXP(-(((Inputs!$C$6)-Inputs!$C$30)^2)/(2*Inputs!$C$32^2))+-Inputs!$C$33*EXP(-((((((Inputs!$I$6+(((A153)+1)/2)*(Inputs!$J$6-Inputs!$I$6)))-Inputs!$C$34)^2)+(((Inputs!$C$6)-Inputs!$C$35)^2))/(2*Inputs!$C$36^2)))+Inputs!$C$37*(0.55*SIN(2*PI()*((Inputs!$I$6+(((A153)+1)/2)*(Inputs!$J$6-Inputs!$I$6)))/Inputs!$C$39)+0.35*COS(2*PI()*(Inputs!$C$6)/Inputs!$C$40)+0.2*SIN(2*PI()*(((Inputs!$I$6+(((A153)+1)/2)*(Inputs!$J$6-Inputs!$I$6)))+(Inputs!$C$6))/(0.5*(Inputs!$C$39+Inputs!$C$40))))+Inputs!$C$38*SIN(2*PI()*((Inputs!$I$6+(((A153)+1)/2)*(Inputs!$J$6-Inputs!$I$6)))/Inputs!$C$39)*SIN(2*PI()*(Inputs!$C$6)/Inputs!$C$40)+-Inputs!$C$41*EXP(-(((Inputs!$C$6)-Inputs!$C$43)^2)/(2*Inputs!$C$44^2))*EXP(-((((Inputs!$I$6+(((A153)+1)/2)*(Inputs!$J$6-Inputs!$I$6)))-Inputs!$C$42)^2)/(2*Inputs!$C$45^2))+Inputs!$C$48*(0.7*(0.45*SIN(2*PI()*((((Inputs!$I$6+(((A153)+1)/2)*(Inputs!$J$6-Inputs!$I$6)))/Inputs!$C$49)+Inputs!$C$47*0.137))+0.35*COS(2*PI()*(((Inputs!$C$6)/Inputs!$C$50)+Inputs!$C$47*0.173))+0.2*SIN(2*PI()*((((Inputs!$I$6+(((A153)+1)/2)*(Inputs!$J$6-Inputs!$I$6)))+(Inputs!$C$6))/(0.5*(Inputs!$C$49+Inputs!$C$50))+Inputs!$C$47*0.097)))+0.3*(2*((SIN((((Inputs!$I$6+(((A153)+1)/2)*(Inputs!$J$6-Inputs!$I$6)))*12.9898+(Inputs!$C$6)*78.233+Inputs!$C$47*37.719))*43758.5453)-INT((SIN((((Inputs!$I$6+(((A153)+1)/2)*(Inputs!$J$6-Inputs!$I$6)))*12.9898+(Inputs!$C$6)*78.233+Inputs!$C$47*37.719))*43758.5453)))-1))),NA())</f>
        <v/>
      </c>
      <c r="AT153" s="9">
        <f>IF(OR(Inputs!$F$7=TRUE,Inputs!$F$7="TRUE",Inputs!$F$7=1),IF(OR(Inputs!$C$27=TRUE,Inputs!$C$27="TRUE",Inputs!$C$27=1),1,0)*(Inputs!$C$51*(115*EXP(-(((Inputs!$C$6)-25)^2)/(4.5^2))+70*EXP(-(((Inputs!$C$6)+38)^2)/(7^2))*(0.55+0.45*SIN(2*PI()*((Inputs!$I$7+(((A153)+1)/2)*(Inputs!$J$7-Inputs!$I$7)))/45))+24*SIN(2*PI()*(Inputs!$C$6)/9+((Inputs!$I$7+(((A153)+1)/2)*(Inputs!$J$7-Inputs!$I$7)))/18)*EXP(-(((Inputs!$C$6)+5)^2)/(22^2))+18*SIN(2*PI()*((Inputs!$I$7+(((A153)+1)/2)*(Inputs!$J$7-Inputs!$I$7)))/70))+Inputs!$C$28*EXP(-((((Inputs!$I$7+(((A153)+1)/2)*(Inputs!$J$7-Inputs!$I$7)))-Inputs!$C$29)^2)/(2*Inputs!$C$31^2))*EXP(-(((Inputs!$C$6)-Inputs!$C$30)^2)/(2*Inputs!$C$32^2))+-Inputs!$C$33*EXP(-((((((Inputs!$I$7+(((A153)+1)/2)*(Inputs!$J$7-Inputs!$I$7)))-Inputs!$C$34)^2)+(((Inputs!$C$6)-Inputs!$C$35)^2))/(2*Inputs!$C$36^2)))+Inputs!$C$37*(0.55*SIN(2*PI()*((Inputs!$I$7+(((A153)+1)/2)*(Inputs!$J$7-Inputs!$I$7)))/Inputs!$C$39)+0.35*COS(2*PI()*(Inputs!$C$6)/Inputs!$C$40)+0.2*SIN(2*PI()*(((Inputs!$I$7+(((A153)+1)/2)*(Inputs!$J$7-Inputs!$I$7)))+(Inputs!$C$6))/(0.5*(Inputs!$C$39+Inputs!$C$40))))+Inputs!$C$38*SIN(2*PI()*((Inputs!$I$7+(((A153)+1)/2)*(Inputs!$J$7-Inputs!$I$7)))/Inputs!$C$39)*SIN(2*PI()*(Inputs!$C$6)/Inputs!$C$40)+-Inputs!$C$41*EXP(-(((Inputs!$C$6)-Inputs!$C$43)^2)/(2*Inputs!$C$44^2))*EXP(-((((Inputs!$I$7+(((A153)+1)/2)*(Inputs!$J$7-Inputs!$I$7)))-Inputs!$C$42)^2)/(2*Inputs!$C$45^2))+Inputs!$C$48*(0.7*(0.45*SIN(2*PI()*((((Inputs!$I$7+(((A153)+1)/2)*(Inputs!$J$7-Inputs!$I$7)))/Inputs!$C$49)+Inputs!$C$47*0.137))+0.35*COS(2*PI()*(((Inputs!$C$6)/Inputs!$C$50)+Inputs!$C$47*0.173))+0.2*SIN(2*PI()*((((Inputs!$I$7+(((A153)+1)/2)*(Inputs!$J$7-Inputs!$I$7)))+(Inputs!$C$6))/(0.5*(Inputs!$C$49+Inputs!$C$50))+Inputs!$C$47*0.097)))+0.3*(2*((SIN((((Inputs!$I$7+(((A153)+1)/2)*(Inputs!$J$7-Inputs!$I$7)))*12.9898+(Inputs!$C$6)*78.233+Inputs!$C$47*37.719))*43758.5453)-INT((SIN((((Inputs!$I$7+(((A153)+1)/2)*(Inputs!$J$7-Inputs!$I$7)))*12.9898+(Inputs!$C$6)*78.233+Inputs!$C$47*37.719))*43758.5453)))-1))),NA())</f>
        <v/>
      </c>
      <c r="AU153" s="9">
        <f>IF(OR(Inputs!$F$8=TRUE,Inputs!$F$8="TRUE",Inputs!$F$8=1),IF(OR(Inputs!$C$27=TRUE,Inputs!$C$27="TRUE",Inputs!$C$27=1),1,0)*(Inputs!$C$51*(115*EXP(-(((Inputs!$C$6)-25)^2)/(4.5^2))+70*EXP(-(((Inputs!$C$6)+38)^2)/(7^2))*(0.55+0.45*SIN(2*PI()*((Inputs!$I$8+(((A153)+1)/2)*(Inputs!$J$8-Inputs!$I$8)))/45))+24*SIN(2*PI()*(Inputs!$C$6)/9+((Inputs!$I$8+(((A153)+1)/2)*(Inputs!$J$8-Inputs!$I$8)))/18)*EXP(-(((Inputs!$C$6)+5)^2)/(22^2))+18*SIN(2*PI()*((Inputs!$I$8+(((A153)+1)/2)*(Inputs!$J$8-Inputs!$I$8)))/70))+Inputs!$C$28*EXP(-((((Inputs!$I$8+(((A153)+1)/2)*(Inputs!$J$8-Inputs!$I$8)))-Inputs!$C$29)^2)/(2*Inputs!$C$31^2))*EXP(-(((Inputs!$C$6)-Inputs!$C$30)^2)/(2*Inputs!$C$32^2))+-Inputs!$C$33*EXP(-((((((Inputs!$I$8+(((A153)+1)/2)*(Inputs!$J$8-Inputs!$I$8)))-Inputs!$C$34)^2)+(((Inputs!$C$6)-Inputs!$C$35)^2))/(2*Inputs!$C$36^2)))+Inputs!$C$37*(0.55*SIN(2*PI()*((Inputs!$I$8+(((A153)+1)/2)*(Inputs!$J$8-Inputs!$I$8)))/Inputs!$C$39)+0.35*COS(2*PI()*(Inputs!$C$6)/Inputs!$C$40)+0.2*SIN(2*PI()*(((Inputs!$I$8+(((A153)+1)/2)*(Inputs!$J$8-Inputs!$I$8)))+(Inputs!$C$6))/(0.5*(Inputs!$C$39+Inputs!$C$40))))+Inputs!$C$38*SIN(2*PI()*((Inputs!$I$8+(((A153)+1)/2)*(Inputs!$J$8-Inputs!$I$8)))/Inputs!$C$39)*SIN(2*PI()*(Inputs!$C$6)/Inputs!$C$40)+-Inputs!$C$41*EXP(-(((Inputs!$C$6)-Inputs!$C$43)^2)/(2*Inputs!$C$44^2))*EXP(-((((Inputs!$I$8+(((A153)+1)/2)*(Inputs!$J$8-Inputs!$I$8)))-Inputs!$C$42)^2)/(2*Inputs!$C$45^2))+Inputs!$C$48*(0.7*(0.45*SIN(2*PI()*((((Inputs!$I$8+(((A153)+1)/2)*(Inputs!$J$8-Inputs!$I$8)))/Inputs!$C$49)+Inputs!$C$47*0.137))+0.35*COS(2*PI()*(((Inputs!$C$6)/Inputs!$C$50)+Inputs!$C$47*0.173))+0.2*SIN(2*PI()*((((Inputs!$I$8+(((A153)+1)/2)*(Inputs!$J$8-Inputs!$I$8)))+(Inputs!$C$6))/(0.5*(Inputs!$C$49+Inputs!$C$50))+Inputs!$C$47*0.097)))+0.3*(2*((SIN((((Inputs!$I$8+(((A153)+1)/2)*(Inputs!$J$8-Inputs!$I$8)))*12.9898+(Inputs!$C$6)*78.233+Inputs!$C$47*37.719))*43758.5453)-INT((SIN((((Inputs!$I$8+(((A153)+1)/2)*(Inputs!$J$8-Inputs!$I$8)))*12.9898+(Inputs!$C$6)*78.233+Inputs!$C$47*37.719))*43758.5453)))-1))),NA())</f>
        <v/>
      </c>
      <c r="AV153" s="9">
        <f>IF(OR(Inputs!$F$9=TRUE,Inputs!$F$9="TRUE",Inputs!$F$9=1),IF(OR(Inputs!$C$27=TRUE,Inputs!$C$27="TRUE",Inputs!$C$27=1),1,0)*(Inputs!$C$51*(115*EXP(-(((Inputs!$C$6)-25)^2)/(4.5^2))+70*EXP(-(((Inputs!$C$6)+38)^2)/(7^2))*(0.55+0.45*SIN(2*PI()*((Inputs!$I$9+(((A153)+1)/2)*(Inputs!$J$9-Inputs!$I$9)))/45))+24*SIN(2*PI()*(Inputs!$C$6)/9+((Inputs!$I$9+(((A153)+1)/2)*(Inputs!$J$9-Inputs!$I$9)))/18)*EXP(-(((Inputs!$C$6)+5)^2)/(22^2))+18*SIN(2*PI()*((Inputs!$I$9+(((A153)+1)/2)*(Inputs!$J$9-Inputs!$I$9)))/70))+Inputs!$C$28*EXP(-((((Inputs!$I$9+(((A153)+1)/2)*(Inputs!$J$9-Inputs!$I$9)))-Inputs!$C$29)^2)/(2*Inputs!$C$31^2))*EXP(-(((Inputs!$C$6)-Inputs!$C$30)^2)/(2*Inputs!$C$32^2))+-Inputs!$C$33*EXP(-((((((Inputs!$I$9+(((A153)+1)/2)*(Inputs!$J$9-Inputs!$I$9)))-Inputs!$C$34)^2)+(((Inputs!$C$6)-Inputs!$C$35)^2))/(2*Inputs!$C$36^2)))+Inputs!$C$37*(0.55*SIN(2*PI()*((Inputs!$I$9+(((A153)+1)/2)*(Inputs!$J$9-Inputs!$I$9)))/Inputs!$C$39)+0.35*COS(2*PI()*(Inputs!$C$6)/Inputs!$C$40)+0.2*SIN(2*PI()*(((Inputs!$I$9+(((A153)+1)/2)*(Inputs!$J$9-Inputs!$I$9)))+(Inputs!$C$6))/(0.5*(Inputs!$C$39+Inputs!$C$40))))+Inputs!$C$38*SIN(2*PI()*((Inputs!$I$9+(((A153)+1)/2)*(Inputs!$J$9-Inputs!$I$9)))/Inputs!$C$39)*SIN(2*PI()*(Inputs!$C$6)/Inputs!$C$40)+-Inputs!$C$41*EXP(-(((Inputs!$C$6)-Inputs!$C$43)^2)/(2*Inputs!$C$44^2))*EXP(-((((Inputs!$I$9+(((A153)+1)/2)*(Inputs!$J$9-Inputs!$I$9)))-Inputs!$C$42)^2)/(2*Inputs!$C$45^2))+Inputs!$C$48*(0.7*(0.45*SIN(2*PI()*((((Inputs!$I$9+(((A153)+1)/2)*(Inputs!$J$9-Inputs!$I$9)))/Inputs!$C$49)+Inputs!$C$47*0.137))+0.35*COS(2*PI()*(((Inputs!$C$6)/Inputs!$C$50)+Inputs!$C$47*0.173))+0.2*SIN(2*PI()*((((Inputs!$I$9+(((A153)+1)/2)*(Inputs!$J$9-Inputs!$I$9)))+(Inputs!$C$6))/(0.5*(Inputs!$C$49+Inputs!$C$50))+Inputs!$C$47*0.097)))+0.3*(2*((SIN((((Inputs!$I$9+(((A153)+1)/2)*(Inputs!$J$9-Inputs!$I$9)))*12.9898+(Inputs!$C$6)*78.233+Inputs!$C$47*37.719))*43758.5453)-INT((SIN((((Inputs!$I$9+(((A153)+1)/2)*(Inputs!$J$9-Inputs!$I$9)))*12.9898+(Inputs!$C$6)*78.233+Inputs!$C$47*37.719))*43758.5453)))-1))),NA())</f>
        <v/>
      </c>
      <c r="AW153" s="10" t="n"/>
      <c r="AX153" s="9">
        <f>A153</f>
        <v/>
      </c>
      <c r="AY153" s="9">
        <f>0</f>
        <v/>
      </c>
      <c r="AZ153" s="9">
        <f>IF(OR(Inputs!$F$6=TRUE,Inputs!$F$6="TRUE",Inputs!$F$6=1),(Inputs!$H$6+Inputs!$L$6*(((Inputs!$I$6+(((A153)+1)/2)*(Inputs!$J$6-Inputs!$I$6)))/Inputs!$K$6)^2),NA())</f>
        <v/>
      </c>
      <c r="BA153" s="9">
        <f>IF(OR(Inputs!$F$7=TRUE,Inputs!$F$7="TRUE",Inputs!$F$7=1),(Inputs!$H$7+Inputs!$L$7*(((Inputs!$I$7+(((A153)+1)/2)*(Inputs!$J$7-Inputs!$I$7)))/Inputs!$K$7)^2),NA())</f>
        <v/>
      </c>
      <c r="BB153" s="9">
        <f>IF(OR(Inputs!$F$8=TRUE,Inputs!$F$8="TRUE",Inputs!$F$8=1),(Inputs!$H$8+Inputs!$L$8*(((Inputs!$I$8+(((A153)+1)/2)*(Inputs!$J$8-Inputs!$I$8)))/Inputs!$K$8)^2),NA())</f>
        <v/>
      </c>
      <c r="BC153" s="9">
        <f>IF(OR(Inputs!$F$9=TRUE,Inputs!$F$9="TRUE",Inputs!$F$9=1),(Inputs!$H$9+Inputs!$L$9*(((Inputs!$I$9+(((A153)+1)/2)*(Inputs!$J$9-Inputs!$I$9)))/Inputs!$K$9)^2),NA())</f>
        <v/>
      </c>
      <c r="BD153" s="10" t="n"/>
      <c r="BE153" s="9">
        <f>A153</f>
        <v/>
      </c>
      <c r="BF153" s="9">
        <f>0</f>
        <v/>
      </c>
      <c r="BG153" s="9">
        <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f>
        <v/>
      </c>
      <c r="BH153" s="9">
        <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f>
        <v/>
      </c>
      <c r="BI153" s="9">
        <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f>
        <v/>
      </c>
      <c r="BJ153" s="9">
        <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f>
        <v/>
      </c>
    </row>
    <row r="154">
      <c r="A154" s="9">
        <f>ROUND(-1+152*2/240,3)</f>
        <v/>
      </c>
      <c r="B154" s="9">
        <f>IF(OR(Inputs!$F$6=TRUE,Inputs!$F$6="TRUE",Inputs!$F$6=1),(Inputs!$H$6+Inputs!$L$6*(((Inputs!$I$6+(((A154)+1)/2)*(Inputs!$J$6-Inputs!$I$6)))/Inputs!$K$6)^2),NA())</f>
        <v/>
      </c>
      <c r="C154" s="9">
        <f>IF(OR(Inputs!$F$7=TRUE,Inputs!$F$7="TRUE",Inputs!$F$7=1),(Inputs!$H$7+Inputs!$L$7*(((Inputs!$I$7+(((A154)+1)/2)*(Inputs!$J$7-Inputs!$I$7)))/Inputs!$K$7)^2),NA())</f>
        <v/>
      </c>
      <c r="D154" s="9">
        <f>IF(OR(Inputs!$F$8=TRUE,Inputs!$F$8="TRUE",Inputs!$F$8=1),(Inputs!$H$8+Inputs!$L$8*(((Inputs!$I$8+(((A154)+1)/2)*(Inputs!$J$8-Inputs!$I$8)))/Inputs!$K$8)^2),NA())</f>
        <v/>
      </c>
      <c r="E154" s="9">
        <f>IF(OR(Inputs!$F$9=TRUE,Inputs!$F$9="TRUE",Inputs!$F$9=1),(Inputs!$H$9+Inputs!$L$9*(((Inputs!$I$9+(((A154)+1)/2)*(Inputs!$J$9-Inputs!$I$9)))/Inputs!$K$9)^2),NA())</f>
        <v/>
      </c>
      <c r="F154" s="10" t="n"/>
      <c r="G154" s="9">
        <f>A154</f>
        <v/>
      </c>
      <c r="H154" s="9">
        <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f>
        <v/>
      </c>
      <c r="I154" s="9">
        <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f>
        <v/>
      </c>
      <c r="J154" s="9">
        <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f>
        <v/>
      </c>
      <c r="K154" s="9">
        <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f>
        <v/>
      </c>
      <c r="L154" s="10" t="n"/>
      <c r="M154" s="9">
        <f>A154</f>
        <v/>
      </c>
      <c r="N154" s="9">
        <f>IF(OR(Inputs!$F$6=TRUE,Inputs!$F$6="TRUE",Inputs!$F$6=1),(-2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NA())</f>
        <v/>
      </c>
      <c r="O154" s="9">
        <f>IF(OR(Inputs!$F$7=TRUE,Inputs!$F$7="TRUE",Inputs!$F$7=1),(-2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NA())</f>
        <v/>
      </c>
      <c r="P154" s="9">
        <f>IF(OR(Inputs!$F$8=TRUE,Inputs!$F$8="TRUE",Inputs!$F$8=1),(-2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NA())</f>
        <v/>
      </c>
      <c r="Q154" s="9">
        <f>IF(OR(Inputs!$F$9=TRUE,Inputs!$F$9="TRUE",Inputs!$F$9=1),(-2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NA())</f>
        <v/>
      </c>
      <c r="R154" s="10" t="n"/>
      <c r="S154" s="9">
        <f>A154</f>
        <v/>
      </c>
      <c r="T154" s="9">
        <f>(Inputs!$I$6+(((A154)+1)/2)*(Inputs!$J$6-Inputs!$I$6))</f>
        <v/>
      </c>
      <c r="U154" s="9">
        <f>(Inputs!$I$7+(((A154)+1)/2)*(Inputs!$J$7-Inputs!$I$7))</f>
        <v/>
      </c>
      <c r="V154" s="9">
        <f>(Inputs!$I$8+(((A154)+1)/2)*(Inputs!$J$8-Inputs!$I$8))</f>
        <v/>
      </c>
      <c r="W154" s="9">
        <f>(Inputs!$I$9+(((A154)+1)/2)*(Inputs!$J$9-Inputs!$I$9))</f>
        <v/>
      </c>
      <c r="X154" s="10" t="n"/>
      <c r="Y154" s="9">
        <f>A154</f>
        <v/>
      </c>
      <c r="Z154" s="9">
        <f>(Inputs!$H$6+Inputs!$L$6*(((Inputs!$I$6+(((A154)+1)/2)*(Inputs!$J$6-Inputs!$I$6)))/Inputs!$K$6)^2)</f>
        <v/>
      </c>
      <c r="AA154" s="9">
        <f>(Inputs!$H$7+Inputs!$L$7*(((Inputs!$I$7+(((A154)+1)/2)*(Inputs!$J$7-Inputs!$I$7)))/Inputs!$K$7)^2)</f>
        <v/>
      </c>
      <c r="AB154" s="9">
        <f>(Inputs!$H$8+Inputs!$L$8*(((Inputs!$I$8+(((A154)+1)/2)*(Inputs!$J$8-Inputs!$I$8)))/Inputs!$K$8)^2)</f>
        <v/>
      </c>
      <c r="AC154" s="9">
        <f>(Inputs!$H$9+Inputs!$L$9*(((Inputs!$I$9+(((A154)+1)/2)*(Inputs!$J$9-Inputs!$I$9)))/Inputs!$K$9)^2)</f>
        <v/>
      </c>
      <c r="AD154" s="10" t="n"/>
      <c r="AE154" s="9">
        <f>A154</f>
        <v/>
      </c>
      <c r="AF154" s="9">
        <f>(((SQRT((Inputs!$C$52+((Inputs!$H$6+Inputs!$L$6*(((Inputs!$I$6+(((A154)+1)/2)*(Inputs!$J$6-Inputs!$I$6)))/Inputs!$K$6)^2)))^2+Inputs!$C$52^2-2*(Inputs!$C$52+((Inputs!$H$6+Inputs!$L$6*(((Inputs!$I$6+(((A154)+1)/2)*(Inputs!$J$6-Inputs!$I$6)))/Inputs!$K$6)^2)))*Inputs!$C$52*COS(SQRT(((Inputs!$I$6+(((A154)+1)/2)*(Inputs!$J$6-Inputs!$I$6)))^2+Inputs!$C$6^2)/Inputs!$C$52)))-((Inputs!$H$6+Inputs!$L$6*(((Inputs!$I$6+(((A154)+1)/2)*(Inputs!$J$6-Inputs!$I$6)))/Inputs!$K$6)^2)))*1000/Inputs!$C$12)</f>
        <v/>
      </c>
      <c r="AG154" s="9">
        <f>(((SQRT((Inputs!$C$52+((Inputs!$H$7+Inputs!$L$7*(((Inputs!$I$7+(((A154)+1)/2)*(Inputs!$J$7-Inputs!$I$7)))/Inputs!$K$7)^2)))^2+Inputs!$C$52^2-2*(Inputs!$C$52+((Inputs!$H$7+Inputs!$L$7*(((Inputs!$I$7+(((A154)+1)/2)*(Inputs!$J$7-Inputs!$I$7)))/Inputs!$K$7)^2)))*Inputs!$C$52*COS(SQRT(((Inputs!$I$7+(((A154)+1)/2)*(Inputs!$J$7-Inputs!$I$7)))^2+Inputs!$C$6^2)/Inputs!$C$52)))-((Inputs!$H$7+Inputs!$L$7*(((Inputs!$I$7+(((A154)+1)/2)*(Inputs!$J$7-Inputs!$I$7)))/Inputs!$K$7)^2)))*1000/Inputs!$C$12)</f>
        <v/>
      </c>
      <c r="AH154" s="9">
        <f>(((SQRT((Inputs!$C$52+((Inputs!$H$8+Inputs!$L$8*(((Inputs!$I$8+(((A154)+1)/2)*(Inputs!$J$8-Inputs!$I$8)))/Inputs!$K$8)^2)))^2+Inputs!$C$52^2-2*(Inputs!$C$52+((Inputs!$H$8+Inputs!$L$8*(((Inputs!$I$8+(((A154)+1)/2)*(Inputs!$J$8-Inputs!$I$8)))/Inputs!$K$8)^2)))*Inputs!$C$52*COS(SQRT(((Inputs!$I$8+(((A154)+1)/2)*(Inputs!$J$8-Inputs!$I$8)))^2+Inputs!$C$6^2)/Inputs!$C$52)))-((Inputs!$H$8+Inputs!$L$8*(((Inputs!$I$8+(((A154)+1)/2)*(Inputs!$J$8-Inputs!$I$8)))/Inputs!$K$8)^2)))*1000/Inputs!$C$12)</f>
        <v/>
      </c>
      <c r="AI154" s="9">
        <f>(((SQRT((Inputs!$C$52+((Inputs!$H$9+Inputs!$L$9*(((Inputs!$I$9+(((A154)+1)/2)*(Inputs!$J$9-Inputs!$I$9)))/Inputs!$K$9)^2)))^2+Inputs!$C$52^2-2*(Inputs!$C$52+((Inputs!$H$9+Inputs!$L$9*(((Inputs!$I$9+(((A154)+1)/2)*(Inputs!$J$9-Inputs!$I$9)))/Inputs!$K$9)^2)))*Inputs!$C$52*COS(SQRT(((Inputs!$I$9+(((A154)+1)/2)*(Inputs!$J$9-Inputs!$I$9)))^2+Inputs!$C$6^2)/Inputs!$C$52)))-((Inputs!$H$9+Inputs!$L$9*(((Inputs!$I$9+(((A154)+1)/2)*(Inputs!$J$9-Inputs!$I$9)))/Inputs!$K$9)^2)))*1000/Inputs!$C$12)</f>
        <v/>
      </c>
      <c r="AJ154" s="10" t="n"/>
      <c r="AK154" s="9">
        <f>A154</f>
        <v/>
      </c>
      <c r="AL154" s="9">
        <f>(-2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f>
        <v/>
      </c>
      <c r="AM154" s="9">
        <f>(-2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f>
        <v/>
      </c>
      <c r="AN154" s="9">
        <f>(-2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f>
        <v/>
      </c>
      <c r="AO154" s="9">
        <f>(-2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f>
        <v/>
      </c>
      <c r="AP154" s="10" t="n"/>
      <c r="AQ154" s="9">
        <f>A154</f>
        <v/>
      </c>
      <c r="AR154" s="9">
        <f>0</f>
        <v/>
      </c>
      <c r="AS154" s="9">
        <f>IF(OR(Inputs!$F$6=TRUE,Inputs!$F$6="TRUE",Inputs!$F$6=1),IF(OR(Inputs!$C$27=TRUE,Inputs!$C$27="TRUE",Inputs!$C$27=1),1,0)*(Inputs!$C$51*(115*EXP(-(((Inputs!$C$6)-25)^2)/(4.5^2))+70*EXP(-(((Inputs!$C$6)+38)^2)/(7^2))*(0.55+0.45*SIN(2*PI()*((Inputs!$I$6+(((A154)+1)/2)*(Inputs!$J$6-Inputs!$I$6)))/45))+24*SIN(2*PI()*(Inputs!$C$6)/9+((Inputs!$I$6+(((A154)+1)/2)*(Inputs!$J$6-Inputs!$I$6)))/18)*EXP(-(((Inputs!$C$6)+5)^2)/(22^2))+18*SIN(2*PI()*((Inputs!$I$6+(((A154)+1)/2)*(Inputs!$J$6-Inputs!$I$6)))/70))+Inputs!$C$28*EXP(-((((Inputs!$I$6+(((A154)+1)/2)*(Inputs!$J$6-Inputs!$I$6)))-Inputs!$C$29)^2)/(2*Inputs!$C$31^2))*EXP(-(((Inputs!$C$6)-Inputs!$C$30)^2)/(2*Inputs!$C$32^2))+-Inputs!$C$33*EXP(-((((((Inputs!$I$6+(((A154)+1)/2)*(Inputs!$J$6-Inputs!$I$6)))-Inputs!$C$34)^2)+(((Inputs!$C$6)-Inputs!$C$35)^2))/(2*Inputs!$C$36^2)))+Inputs!$C$37*(0.55*SIN(2*PI()*((Inputs!$I$6+(((A154)+1)/2)*(Inputs!$J$6-Inputs!$I$6)))/Inputs!$C$39)+0.35*COS(2*PI()*(Inputs!$C$6)/Inputs!$C$40)+0.2*SIN(2*PI()*(((Inputs!$I$6+(((A154)+1)/2)*(Inputs!$J$6-Inputs!$I$6)))+(Inputs!$C$6))/(0.5*(Inputs!$C$39+Inputs!$C$40))))+Inputs!$C$38*SIN(2*PI()*((Inputs!$I$6+(((A154)+1)/2)*(Inputs!$J$6-Inputs!$I$6)))/Inputs!$C$39)*SIN(2*PI()*(Inputs!$C$6)/Inputs!$C$40)+-Inputs!$C$41*EXP(-(((Inputs!$C$6)-Inputs!$C$43)^2)/(2*Inputs!$C$44^2))*EXP(-((((Inputs!$I$6+(((A154)+1)/2)*(Inputs!$J$6-Inputs!$I$6)))-Inputs!$C$42)^2)/(2*Inputs!$C$45^2))+Inputs!$C$48*(0.7*(0.45*SIN(2*PI()*((((Inputs!$I$6+(((A154)+1)/2)*(Inputs!$J$6-Inputs!$I$6)))/Inputs!$C$49)+Inputs!$C$47*0.137))+0.35*COS(2*PI()*(((Inputs!$C$6)/Inputs!$C$50)+Inputs!$C$47*0.173))+0.2*SIN(2*PI()*((((Inputs!$I$6+(((A154)+1)/2)*(Inputs!$J$6-Inputs!$I$6)))+(Inputs!$C$6))/(0.5*(Inputs!$C$49+Inputs!$C$50))+Inputs!$C$47*0.097)))+0.3*(2*((SIN((((Inputs!$I$6+(((A154)+1)/2)*(Inputs!$J$6-Inputs!$I$6)))*12.9898+(Inputs!$C$6)*78.233+Inputs!$C$47*37.719))*43758.5453)-INT((SIN((((Inputs!$I$6+(((A154)+1)/2)*(Inputs!$J$6-Inputs!$I$6)))*12.9898+(Inputs!$C$6)*78.233+Inputs!$C$47*37.719))*43758.5453)))-1))),NA())</f>
        <v/>
      </c>
      <c r="AT154" s="9">
        <f>IF(OR(Inputs!$F$7=TRUE,Inputs!$F$7="TRUE",Inputs!$F$7=1),IF(OR(Inputs!$C$27=TRUE,Inputs!$C$27="TRUE",Inputs!$C$27=1),1,0)*(Inputs!$C$51*(115*EXP(-(((Inputs!$C$6)-25)^2)/(4.5^2))+70*EXP(-(((Inputs!$C$6)+38)^2)/(7^2))*(0.55+0.45*SIN(2*PI()*((Inputs!$I$7+(((A154)+1)/2)*(Inputs!$J$7-Inputs!$I$7)))/45))+24*SIN(2*PI()*(Inputs!$C$6)/9+((Inputs!$I$7+(((A154)+1)/2)*(Inputs!$J$7-Inputs!$I$7)))/18)*EXP(-(((Inputs!$C$6)+5)^2)/(22^2))+18*SIN(2*PI()*((Inputs!$I$7+(((A154)+1)/2)*(Inputs!$J$7-Inputs!$I$7)))/70))+Inputs!$C$28*EXP(-((((Inputs!$I$7+(((A154)+1)/2)*(Inputs!$J$7-Inputs!$I$7)))-Inputs!$C$29)^2)/(2*Inputs!$C$31^2))*EXP(-(((Inputs!$C$6)-Inputs!$C$30)^2)/(2*Inputs!$C$32^2))+-Inputs!$C$33*EXP(-((((((Inputs!$I$7+(((A154)+1)/2)*(Inputs!$J$7-Inputs!$I$7)))-Inputs!$C$34)^2)+(((Inputs!$C$6)-Inputs!$C$35)^2))/(2*Inputs!$C$36^2)))+Inputs!$C$37*(0.55*SIN(2*PI()*((Inputs!$I$7+(((A154)+1)/2)*(Inputs!$J$7-Inputs!$I$7)))/Inputs!$C$39)+0.35*COS(2*PI()*(Inputs!$C$6)/Inputs!$C$40)+0.2*SIN(2*PI()*(((Inputs!$I$7+(((A154)+1)/2)*(Inputs!$J$7-Inputs!$I$7)))+(Inputs!$C$6))/(0.5*(Inputs!$C$39+Inputs!$C$40))))+Inputs!$C$38*SIN(2*PI()*((Inputs!$I$7+(((A154)+1)/2)*(Inputs!$J$7-Inputs!$I$7)))/Inputs!$C$39)*SIN(2*PI()*(Inputs!$C$6)/Inputs!$C$40)+-Inputs!$C$41*EXP(-(((Inputs!$C$6)-Inputs!$C$43)^2)/(2*Inputs!$C$44^2))*EXP(-((((Inputs!$I$7+(((A154)+1)/2)*(Inputs!$J$7-Inputs!$I$7)))-Inputs!$C$42)^2)/(2*Inputs!$C$45^2))+Inputs!$C$48*(0.7*(0.45*SIN(2*PI()*((((Inputs!$I$7+(((A154)+1)/2)*(Inputs!$J$7-Inputs!$I$7)))/Inputs!$C$49)+Inputs!$C$47*0.137))+0.35*COS(2*PI()*(((Inputs!$C$6)/Inputs!$C$50)+Inputs!$C$47*0.173))+0.2*SIN(2*PI()*((((Inputs!$I$7+(((A154)+1)/2)*(Inputs!$J$7-Inputs!$I$7)))+(Inputs!$C$6))/(0.5*(Inputs!$C$49+Inputs!$C$50))+Inputs!$C$47*0.097)))+0.3*(2*((SIN((((Inputs!$I$7+(((A154)+1)/2)*(Inputs!$J$7-Inputs!$I$7)))*12.9898+(Inputs!$C$6)*78.233+Inputs!$C$47*37.719))*43758.5453)-INT((SIN((((Inputs!$I$7+(((A154)+1)/2)*(Inputs!$J$7-Inputs!$I$7)))*12.9898+(Inputs!$C$6)*78.233+Inputs!$C$47*37.719))*43758.5453)))-1))),NA())</f>
        <v/>
      </c>
      <c r="AU154" s="9">
        <f>IF(OR(Inputs!$F$8=TRUE,Inputs!$F$8="TRUE",Inputs!$F$8=1),IF(OR(Inputs!$C$27=TRUE,Inputs!$C$27="TRUE",Inputs!$C$27=1),1,0)*(Inputs!$C$51*(115*EXP(-(((Inputs!$C$6)-25)^2)/(4.5^2))+70*EXP(-(((Inputs!$C$6)+38)^2)/(7^2))*(0.55+0.45*SIN(2*PI()*((Inputs!$I$8+(((A154)+1)/2)*(Inputs!$J$8-Inputs!$I$8)))/45))+24*SIN(2*PI()*(Inputs!$C$6)/9+((Inputs!$I$8+(((A154)+1)/2)*(Inputs!$J$8-Inputs!$I$8)))/18)*EXP(-(((Inputs!$C$6)+5)^2)/(22^2))+18*SIN(2*PI()*((Inputs!$I$8+(((A154)+1)/2)*(Inputs!$J$8-Inputs!$I$8)))/70))+Inputs!$C$28*EXP(-((((Inputs!$I$8+(((A154)+1)/2)*(Inputs!$J$8-Inputs!$I$8)))-Inputs!$C$29)^2)/(2*Inputs!$C$31^2))*EXP(-(((Inputs!$C$6)-Inputs!$C$30)^2)/(2*Inputs!$C$32^2))+-Inputs!$C$33*EXP(-((((((Inputs!$I$8+(((A154)+1)/2)*(Inputs!$J$8-Inputs!$I$8)))-Inputs!$C$34)^2)+(((Inputs!$C$6)-Inputs!$C$35)^2))/(2*Inputs!$C$36^2)))+Inputs!$C$37*(0.55*SIN(2*PI()*((Inputs!$I$8+(((A154)+1)/2)*(Inputs!$J$8-Inputs!$I$8)))/Inputs!$C$39)+0.35*COS(2*PI()*(Inputs!$C$6)/Inputs!$C$40)+0.2*SIN(2*PI()*(((Inputs!$I$8+(((A154)+1)/2)*(Inputs!$J$8-Inputs!$I$8)))+(Inputs!$C$6))/(0.5*(Inputs!$C$39+Inputs!$C$40))))+Inputs!$C$38*SIN(2*PI()*((Inputs!$I$8+(((A154)+1)/2)*(Inputs!$J$8-Inputs!$I$8)))/Inputs!$C$39)*SIN(2*PI()*(Inputs!$C$6)/Inputs!$C$40)+-Inputs!$C$41*EXP(-(((Inputs!$C$6)-Inputs!$C$43)^2)/(2*Inputs!$C$44^2))*EXP(-((((Inputs!$I$8+(((A154)+1)/2)*(Inputs!$J$8-Inputs!$I$8)))-Inputs!$C$42)^2)/(2*Inputs!$C$45^2))+Inputs!$C$48*(0.7*(0.45*SIN(2*PI()*((((Inputs!$I$8+(((A154)+1)/2)*(Inputs!$J$8-Inputs!$I$8)))/Inputs!$C$49)+Inputs!$C$47*0.137))+0.35*COS(2*PI()*(((Inputs!$C$6)/Inputs!$C$50)+Inputs!$C$47*0.173))+0.2*SIN(2*PI()*((((Inputs!$I$8+(((A154)+1)/2)*(Inputs!$J$8-Inputs!$I$8)))+(Inputs!$C$6))/(0.5*(Inputs!$C$49+Inputs!$C$50))+Inputs!$C$47*0.097)))+0.3*(2*((SIN((((Inputs!$I$8+(((A154)+1)/2)*(Inputs!$J$8-Inputs!$I$8)))*12.9898+(Inputs!$C$6)*78.233+Inputs!$C$47*37.719))*43758.5453)-INT((SIN((((Inputs!$I$8+(((A154)+1)/2)*(Inputs!$J$8-Inputs!$I$8)))*12.9898+(Inputs!$C$6)*78.233+Inputs!$C$47*37.719))*43758.5453)))-1))),NA())</f>
        <v/>
      </c>
      <c r="AV154" s="9">
        <f>IF(OR(Inputs!$F$9=TRUE,Inputs!$F$9="TRUE",Inputs!$F$9=1),IF(OR(Inputs!$C$27=TRUE,Inputs!$C$27="TRUE",Inputs!$C$27=1),1,0)*(Inputs!$C$51*(115*EXP(-(((Inputs!$C$6)-25)^2)/(4.5^2))+70*EXP(-(((Inputs!$C$6)+38)^2)/(7^2))*(0.55+0.45*SIN(2*PI()*((Inputs!$I$9+(((A154)+1)/2)*(Inputs!$J$9-Inputs!$I$9)))/45))+24*SIN(2*PI()*(Inputs!$C$6)/9+((Inputs!$I$9+(((A154)+1)/2)*(Inputs!$J$9-Inputs!$I$9)))/18)*EXP(-(((Inputs!$C$6)+5)^2)/(22^2))+18*SIN(2*PI()*((Inputs!$I$9+(((A154)+1)/2)*(Inputs!$J$9-Inputs!$I$9)))/70))+Inputs!$C$28*EXP(-((((Inputs!$I$9+(((A154)+1)/2)*(Inputs!$J$9-Inputs!$I$9)))-Inputs!$C$29)^2)/(2*Inputs!$C$31^2))*EXP(-(((Inputs!$C$6)-Inputs!$C$30)^2)/(2*Inputs!$C$32^2))+-Inputs!$C$33*EXP(-((((((Inputs!$I$9+(((A154)+1)/2)*(Inputs!$J$9-Inputs!$I$9)))-Inputs!$C$34)^2)+(((Inputs!$C$6)-Inputs!$C$35)^2))/(2*Inputs!$C$36^2)))+Inputs!$C$37*(0.55*SIN(2*PI()*((Inputs!$I$9+(((A154)+1)/2)*(Inputs!$J$9-Inputs!$I$9)))/Inputs!$C$39)+0.35*COS(2*PI()*(Inputs!$C$6)/Inputs!$C$40)+0.2*SIN(2*PI()*(((Inputs!$I$9+(((A154)+1)/2)*(Inputs!$J$9-Inputs!$I$9)))+(Inputs!$C$6))/(0.5*(Inputs!$C$39+Inputs!$C$40))))+Inputs!$C$38*SIN(2*PI()*((Inputs!$I$9+(((A154)+1)/2)*(Inputs!$J$9-Inputs!$I$9)))/Inputs!$C$39)*SIN(2*PI()*(Inputs!$C$6)/Inputs!$C$40)+-Inputs!$C$41*EXP(-(((Inputs!$C$6)-Inputs!$C$43)^2)/(2*Inputs!$C$44^2))*EXP(-((((Inputs!$I$9+(((A154)+1)/2)*(Inputs!$J$9-Inputs!$I$9)))-Inputs!$C$42)^2)/(2*Inputs!$C$45^2))+Inputs!$C$48*(0.7*(0.45*SIN(2*PI()*((((Inputs!$I$9+(((A154)+1)/2)*(Inputs!$J$9-Inputs!$I$9)))/Inputs!$C$49)+Inputs!$C$47*0.137))+0.35*COS(2*PI()*(((Inputs!$C$6)/Inputs!$C$50)+Inputs!$C$47*0.173))+0.2*SIN(2*PI()*((((Inputs!$I$9+(((A154)+1)/2)*(Inputs!$J$9-Inputs!$I$9)))+(Inputs!$C$6))/(0.5*(Inputs!$C$49+Inputs!$C$50))+Inputs!$C$47*0.097)))+0.3*(2*((SIN((((Inputs!$I$9+(((A154)+1)/2)*(Inputs!$J$9-Inputs!$I$9)))*12.9898+(Inputs!$C$6)*78.233+Inputs!$C$47*37.719))*43758.5453)-INT((SIN((((Inputs!$I$9+(((A154)+1)/2)*(Inputs!$J$9-Inputs!$I$9)))*12.9898+(Inputs!$C$6)*78.233+Inputs!$C$47*37.719))*43758.5453)))-1))),NA())</f>
        <v/>
      </c>
      <c r="AW154" s="10" t="n"/>
      <c r="AX154" s="9">
        <f>A154</f>
        <v/>
      </c>
      <c r="AY154" s="9">
        <f>0</f>
        <v/>
      </c>
      <c r="AZ154" s="9">
        <f>IF(OR(Inputs!$F$6=TRUE,Inputs!$F$6="TRUE",Inputs!$F$6=1),(Inputs!$H$6+Inputs!$L$6*(((Inputs!$I$6+(((A154)+1)/2)*(Inputs!$J$6-Inputs!$I$6)))/Inputs!$K$6)^2),NA())</f>
        <v/>
      </c>
      <c r="BA154" s="9">
        <f>IF(OR(Inputs!$F$7=TRUE,Inputs!$F$7="TRUE",Inputs!$F$7=1),(Inputs!$H$7+Inputs!$L$7*(((Inputs!$I$7+(((A154)+1)/2)*(Inputs!$J$7-Inputs!$I$7)))/Inputs!$K$7)^2),NA())</f>
        <v/>
      </c>
      <c r="BB154" s="9">
        <f>IF(OR(Inputs!$F$8=TRUE,Inputs!$F$8="TRUE",Inputs!$F$8=1),(Inputs!$H$8+Inputs!$L$8*(((Inputs!$I$8+(((A154)+1)/2)*(Inputs!$J$8-Inputs!$I$8)))/Inputs!$K$8)^2),NA())</f>
        <v/>
      </c>
      <c r="BC154" s="9">
        <f>IF(OR(Inputs!$F$9=TRUE,Inputs!$F$9="TRUE",Inputs!$F$9=1),(Inputs!$H$9+Inputs!$L$9*(((Inputs!$I$9+(((A154)+1)/2)*(Inputs!$J$9-Inputs!$I$9)))/Inputs!$K$9)^2),NA())</f>
        <v/>
      </c>
      <c r="BD154" s="10" t="n"/>
      <c r="BE154" s="9">
        <f>A154</f>
        <v/>
      </c>
      <c r="BF154" s="9">
        <f>0</f>
        <v/>
      </c>
      <c r="BG154" s="9">
        <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f>
        <v/>
      </c>
      <c r="BH154" s="9">
        <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f>
        <v/>
      </c>
      <c r="BI154" s="9">
        <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f>
        <v/>
      </c>
      <c r="BJ154" s="9">
        <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f>
        <v/>
      </c>
    </row>
    <row r="155">
      <c r="A155" s="9">
        <f>ROUND(-1+153*2/240,3)</f>
        <v/>
      </c>
      <c r="B155" s="9">
        <f>IF(OR(Inputs!$F$6=TRUE,Inputs!$F$6="TRUE",Inputs!$F$6=1),(Inputs!$H$6+Inputs!$L$6*(((Inputs!$I$6+(((A155)+1)/2)*(Inputs!$J$6-Inputs!$I$6)))/Inputs!$K$6)^2),NA())</f>
        <v/>
      </c>
      <c r="C155" s="9">
        <f>IF(OR(Inputs!$F$7=TRUE,Inputs!$F$7="TRUE",Inputs!$F$7=1),(Inputs!$H$7+Inputs!$L$7*(((Inputs!$I$7+(((A155)+1)/2)*(Inputs!$J$7-Inputs!$I$7)))/Inputs!$K$7)^2),NA())</f>
        <v/>
      </c>
      <c r="D155" s="9">
        <f>IF(OR(Inputs!$F$8=TRUE,Inputs!$F$8="TRUE",Inputs!$F$8=1),(Inputs!$H$8+Inputs!$L$8*(((Inputs!$I$8+(((A155)+1)/2)*(Inputs!$J$8-Inputs!$I$8)))/Inputs!$K$8)^2),NA())</f>
        <v/>
      </c>
      <c r="E155" s="9">
        <f>IF(OR(Inputs!$F$9=TRUE,Inputs!$F$9="TRUE",Inputs!$F$9=1),(Inputs!$H$9+Inputs!$L$9*(((Inputs!$I$9+(((A155)+1)/2)*(Inputs!$J$9-Inputs!$I$9)))/Inputs!$K$9)^2),NA())</f>
        <v/>
      </c>
      <c r="F155" s="10" t="n"/>
      <c r="G155" s="9">
        <f>A155</f>
        <v/>
      </c>
      <c r="H155" s="9">
        <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f>
        <v/>
      </c>
      <c r="I155" s="9">
        <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f>
        <v/>
      </c>
      <c r="J155" s="9">
        <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f>
        <v/>
      </c>
      <c r="K155" s="9">
        <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f>
        <v/>
      </c>
      <c r="L155" s="10" t="n"/>
      <c r="M155" s="9">
        <f>A155</f>
        <v/>
      </c>
      <c r="N155" s="9">
        <f>IF(OR(Inputs!$F$6=TRUE,Inputs!$F$6="TRUE",Inputs!$F$6=1),(-2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NA())</f>
        <v/>
      </c>
      <c r="O155" s="9">
        <f>IF(OR(Inputs!$F$7=TRUE,Inputs!$F$7="TRUE",Inputs!$F$7=1),(-2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NA())</f>
        <v/>
      </c>
      <c r="P155" s="9">
        <f>IF(OR(Inputs!$F$8=TRUE,Inputs!$F$8="TRUE",Inputs!$F$8=1),(-2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NA())</f>
        <v/>
      </c>
      <c r="Q155" s="9">
        <f>IF(OR(Inputs!$F$9=TRUE,Inputs!$F$9="TRUE",Inputs!$F$9=1),(-2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NA())</f>
        <v/>
      </c>
      <c r="R155" s="10" t="n"/>
      <c r="S155" s="9">
        <f>A155</f>
        <v/>
      </c>
      <c r="T155" s="9">
        <f>(Inputs!$I$6+(((A155)+1)/2)*(Inputs!$J$6-Inputs!$I$6))</f>
        <v/>
      </c>
      <c r="U155" s="9">
        <f>(Inputs!$I$7+(((A155)+1)/2)*(Inputs!$J$7-Inputs!$I$7))</f>
        <v/>
      </c>
      <c r="V155" s="9">
        <f>(Inputs!$I$8+(((A155)+1)/2)*(Inputs!$J$8-Inputs!$I$8))</f>
        <v/>
      </c>
      <c r="W155" s="9">
        <f>(Inputs!$I$9+(((A155)+1)/2)*(Inputs!$J$9-Inputs!$I$9))</f>
        <v/>
      </c>
      <c r="X155" s="10" t="n"/>
      <c r="Y155" s="9">
        <f>A155</f>
        <v/>
      </c>
      <c r="Z155" s="9">
        <f>(Inputs!$H$6+Inputs!$L$6*(((Inputs!$I$6+(((A155)+1)/2)*(Inputs!$J$6-Inputs!$I$6)))/Inputs!$K$6)^2)</f>
        <v/>
      </c>
      <c r="AA155" s="9">
        <f>(Inputs!$H$7+Inputs!$L$7*(((Inputs!$I$7+(((A155)+1)/2)*(Inputs!$J$7-Inputs!$I$7)))/Inputs!$K$7)^2)</f>
        <v/>
      </c>
      <c r="AB155" s="9">
        <f>(Inputs!$H$8+Inputs!$L$8*(((Inputs!$I$8+(((A155)+1)/2)*(Inputs!$J$8-Inputs!$I$8)))/Inputs!$K$8)^2)</f>
        <v/>
      </c>
      <c r="AC155" s="9">
        <f>(Inputs!$H$9+Inputs!$L$9*(((Inputs!$I$9+(((A155)+1)/2)*(Inputs!$J$9-Inputs!$I$9)))/Inputs!$K$9)^2)</f>
        <v/>
      </c>
      <c r="AD155" s="10" t="n"/>
      <c r="AE155" s="9">
        <f>A155</f>
        <v/>
      </c>
      <c r="AF155" s="9">
        <f>(((SQRT((Inputs!$C$52+((Inputs!$H$6+Inputs!$L$6*(((Inputs!$I$6+(((A155)+1)/2)*(Inputs!$J$6-Inputs!$I$6)))/Inputs!$K$6)^2)))^2+Inputs!$C$52^2-2*(Inputs!$C$52+((Inputs!$H$6+Inputs!$L$6*(((Inputs!$I$6+(((A155)+1)/2)*(Inputs!$J$6-Inputs!$I$6)))/Inputs!$K$6)^2)))*Inputs!$C$52*COS(SQRT(((Inputs!$I$6+(((A155)+1)/2)*(Inputs!$J$6-Inputs!$I$6)))^2+Inputs!$C$6^2)/Inputs!$C$52)))-((Inputs!$H$6+Inputs!$L$6*(((Inputs!$I$6+(((A155)+1)/2)*(Inputs!$J$6-Inputs!$I$6)))/Inputs!$K$6)^2)))*1000/Inputs!$C$12)</f>
        <v/>
      </c>
      <c r="AG155" s="9">
        <f>(((SQRT((Inputs!$C$52+((Inputs!$H$7+Inputs!$L$7*(((Inputs!$I$7+(((A155)+1)/2)*(Inputs!$J$7-Inputs!$I$7)))/Inputs!$K$7)^2)))^2+Inputs!$C$52^2-2*(Inputs!$C$52+((Inputs!$H$7+Inputs!$L$7*(((Inputs!$I$7+(((A155)+1)/2)*(Inputs!$J$7-Inputs!$I$7)))/Inputs!$K$7)^2)))*Inputs!$C$52*COS(SQRT(((Inputs!$I$7+(((A155)+1)/2)*(Inputs!$J$7-Inputs!$I$7)))^2+Inputs!$C$6^2)/Inputs!$C$52)))-((Inputs!$H$7+Inputs!$L$7*(((Inputs!$I$7+(((A155)+1)/2)*(Inputs!$J$7-Inputs!$I$7)))/Inputs!$K$7)^2)))*1000/Inputs!$C$12)</f>
        <v/>
      </c>
      <c r="AH155" s="9">
        <f>(((SQRT((Inputs!$C$52+((Inputs!$H$8+Inputs!$L$8*(((Inputs!$I$8+(((A155)+1)/2)*(Inputs!$J$8-Inputs!$I$8)))/Inputs!$K$8)^2)))^2+Inputs!$C$52^2-2*(Inputs!$C$52+((Inputs!$H$8+Inputs!$L$8*(((Inputs!$I$8+(((A155)+1)/2)*(Inputs!$J$8-Inputs!$I$8)))/Inputs!$K$8)^2)))*Inputs!$C$52*COS(SQRT(((Inputs!$I$8+(((A155)+1)/2)*(Inputs!$J$8-Inputs!$I$8)))^2+Inputs!$C$6^2)/Inputs!$C$52)))-((Inputs!$H$8+Inputs!$L$8*(((Inputs!$I$8+(((A155)+1)/2)*(Inputs!$J$8-Inputs!$I$8)))/Inputs!$K$8)^2)))*1000/Inputs!$C$12)</f>
        <v/>
      </c>
      <c r="AI155" s="9">
        <f>(((SQRT((Inputs!$C$52+((Inputs!$H$9+Inputs!$L$9*(((Inputs!$I$9+(((A155)+1)/2)*(Inputs!$J$9-Inputs!$I$9)))/Inputs!$K$9)^2)))^2+Inputs!$C$52^2-2*(Inputs!$C$52+((Inputs!$H$9+Inputs!$L$9*(((Inputs!$I$9+(((A155)+1)/2)*(Inputs!$J$9-Inputs!$I$9)))/Inputs!$K$9)^2)))*Inputs!$C$52*COS(SQRT(((Inputs!$I$9+(((A155)+1)/2)*(Inputs!$J$9-Inputs!$I$9)))^2+Inputs!$C$6^2)/Inputs!$C$52)))-((Inputs!$H$9+Inputs!$L$9*(((Inputs!$I$9+(((A155)+1)/2)*(Inputs!$J$9-Inputs!$I$9)))/Inputs!$K$9)^2)))*1000/Inputs!$C$12)</f>
        <v/>
      </c>
      <c r="AJ155" s="10" t="n"/>
      <c r="AK155" s="9">
        <f>A155</f>
        <v/>
      </c>
      <c r="AL155" s="9">
        <f>(-2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f>
        <v/>
      </c>
      <c r="AM155" s="9">
        <f>(-2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f>
        <v/>
      </c>
      <c r="AN155" s="9">
        <f>(-2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f>
        <v/>
      </c>
      <c r="AO155" s="9">
        <f>(-2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f>
        <v/>
      </c>
      <c r="AP155" s="10" t="n"/>
      <c r="AQ155" s="9">
        <f>A155</f>
        <v/>
      </c>
      <c r="AR155" s="9">
        <f>0</f>
        <v/>
      </c>
      <c r="AS155" s="9">
        <f>IF(OR(Inputs!$F$6=TRUE,Inputs!$F$6="TRUE",Inputs!$F$6=1),IF(OR(Inputs!$C$27=TRUE,Inputs!$C$27="TRUE",Inputs!$C$27=1),1,0)*(Inputs!$C$51*(115*EXP(-(((Inputs!$C$6)-25)^2)/(4.5^2))+70*EXP(-(((Inputs!$C$6)+38)^2)/(7^2))*(0.55+0.45*SIN(2*PI()*((Inputs!$I$6+(((A155)+1)/2)*(Inputs!$J$6-Inputs!$I$6)))/45))+24*SIN(2*PI()*(Inputs!$C$6)/9+((Inputs!$I$6+(((A155)+1)/2)*(Inputs!$J$6-Inputs!$I$6)))/18)*EXP(-(((Inputs!$C$6)+5)^2)/(22^2))+18*SIN(2*PI()*((Inputs!$I$6+(((A155)+1)/2)*(Inputs!$J$6-Inputs!$I$6)))/70))+Inputs!$C$28*EXP(-((((Inputs!$I$6+(((A155)+1)/2)*(Inputs!$J$6-Inputs!$I$6)))-Inputs!$C$29)^2)/(2*Inputs!$C$31^2))*EXP(-(((Inputs!$C$6)-Inputs!$C$30)^2)/(2*Inputs!$C$32^2))+-Inputs!$C$33*EXP(-((((((Inputs!$I$6+(((A155)+1)/2)*(Inputs!$J$6-Inputs!$I$6)))-Inputs!$C$34)^2)+(((Inputs!$C$6)-Inputs!$C$35)^2))/(2*Inputs!$C$36^2)))+Inputs!$C$37*(0.55*SIN(2*PI()*((Inputs!$I$6+(((A155)+1)/2)*(Inputs!$J$6-Inputs!$I$6)))/Inputs!$C$39)+0.35*COS(2*PI()*(Inputs!$C$6)/Inputs!$C$40)+0.2*SIN(2*PI()*(((Inputs!$I$6+(((A155)+1)/2)*(Inputs!$J$6-Inputs!$I$6)))+(Inputs!$C$6))/(0.5*(Inputs!$C$39+Inputs!$C$40))))+Inputs!$C$38*SIN(2*PI()*((Inputs!$I$6+(((A155)+1)/2)*(Inputs!$J$6-Inputs!$I$6)))/Inputs!$C$39)*SIN(2*PI()*(Inputs!$C$6)/Inputs!$C$40)+-Inputs!$C$41*EXP(-(((Inputs!$C$6)-Inputs!$C$43)^2)/(2*Inputs!$C$44^2))*EXP(-((((Inputs!$I$6+(((A155)+1)/2)*(Inputs!$J$6-Inputs!$I$6)))-Inputs!$C$42)^2)/(2*Inputs!$C$45^2))+Inputs!$C$48*(0.7*(0.45*SIN(2*PI()*((((Inputs!$I$6+(((A155)+1)/2)*(Inputs!$J$6-Inputs!$I$6)))/Inputs!$C$49)+Inputs!$C$47*0.137))+0.35*COS(2*PI()*(((Inputs!$C$6)/Inputs!$C$50)+Inputs!$C$47*0.173))+0.2*SIN(2*PI()*((((Inputs!$I$6+(((A155)+1)/2)*(Inputs!$J$6-Inputs!$I$6)))+(Inputs!$C$6))/(0.5*(Inputs!$C$49+Inputs!$C$50))+Inputs!$C$47*0.097)))+0.3*(2*((SIN((((Inputs!$I$6+(((A155)+1)/2)*(Inputs!$J$6-Inputs!$I$6)))*12.9898+(Inputs!$C$6)*78.233+Inputs!$C$47*37.719))*43758.5453)-INT((SIN((((Inputs!$I$6+(((A155)+1)/2)*(Inputs!$J$6-Inputs!$I$6)))*12.9898+(Inputs!$C$6)*78.233+Inputs!$C$47*37.719))*43758.5453)))-1))),NA())</f>
        <v/>
      </c>
      <c r="AT155" s="9">
        <f>IF(OR(Inputs!$F$7=TRUE,Inputs!$F$7="TRUE",Inputs!$F$7=1),IF(OR(Inputs!$C$27=TRUE,Inputs!$C$27="TRUE",Inputs!$C$27=1),1,0)*(Inputs!$C$51*(115*EXP(-(((Inputs!$C$6)-25)^2)/(4.5^2))+70*EXP(-(((Inputs!$C$6)+38)^2)/(7^2))*(0.55+0.45*SIN(2*PI()*((Inputs!$I$7+(((A155)+1)/2)*(Inputs!$J$7-Inputs!$I$7)))/45))+24*SIN(2*PI()*(Inputs!$C$6)/9+((Inputs!$I$7+(((A155)+1)/2)*(Inputs!$J$7-Inputs!$I$7)))/18)*EXP(-(((Inputs!$C$6)+5)^2)/(22^2))+18*SIN(2*PI()*((Inputs!$I$7+(((A155)+1)/2)*(Inputs!$J$7-Inputs!$I$7)))/70))+Inputs!$C$28*EXP(-((((Inputs!$I$7+(((A155)+1)/2)*(Inputs!$J$7-Inputs!$I$7)))-Inputs!$C$29)^2)/(2*Inputs!$C$31^2))*EXP(-(((Inputs!$C$6)-Inputs!$C$30)^2)/(2*Inputs!$C$32^2))+-Inputs!$C$33*EXP(-((((((Inputs!$I$7+(((A155)+1)/2)*(Inputs!$J$7-Inputs!$I$7)))-Inputs!$C$34)^2)+(((Inputs!$C$6)-Inputs!$C$35)^2))/(2*Inputs!$C$36^2)))+Inputs!$C$37*(0.55*SIN(2*PI()*((Inputs!$I$7+(((A155)+1)/2)*(Inputs!$J$7-Inputs!$I$7)))/Inputs!$C$39)+0.35*COS(2*PI()*(Inputs!$C$6)/Inputs!$C$40)+0.2*SIN(2*PI()*(((Inputs!$I$7+(((A155)+1)/2)*(Inputs!$J$7-Inputs!$I$7)))+(Inputs!$C$6))/(0.5*(Inputs!$C$39+Inputs!$C$40))))+Inputs!$C$38*SIN(2*PI()*((Inputs!$I$7+(((A155)+1)/2)*(Inputs!$J$7-Inputs!$I$7)))/Inputs!$C$39)*SIN(2*PI()*(Inputs!$C$6)/Inputs!$C$40)+-Inputs!$C$41*EXP(-(((Inputs!$C$6)-Inputs!$C$43)^2)/(2*Inputs!$C$44^2))*EXP(-((((Inputs!$I$7+(((A155)+1)/2)*(Inputs!$J$7-Inputs!$I$7)))-Inputs!$C$42)^2)/(2*Inputs!$C$45^2))+Inputs!$C$48*(0.7*(0.45*SIN(2*PI()*((((Inputs!$I$7+(((A155)+1)/2)*(Inputs!$J$7-Inputs!$I$7)))/Inputs!$C$49)+Inputs!$C$47*0.137))+0.35*COS(2*PI()*(((Inputs!$C$6)/Inputs!$C$50)+Inputs!$C$47*0.173))+0.2*SIN(2*PI()*((((Inputs!$I$7+(((A155)+1)/2)*(Inputs!$J$7-Inputs!$I$7)))+(Inputs!$C$6))/(0.5*(Inputs!$C$49+Inputs!$C$50))+Inputs!$C$47*0.097)))+0.3*(2*((SIN((((Inputs!$I$7+(((A155)+1)/2)*(Inputs!$J$7-Inputs!$I$7)))*12.9898+(Inputs!$C$6)*78.233+Inputs!$C$47*37.719))*43758.5453)-INT((SIN((((Inputs!$I$7+(((A155)+1)/2)*(Inputs!$J$7-Inputs!$I$7)))*12.9898+(Inputs!$C$6)*78.233+Inputs!$C$47*37.719))*43758.5453)))-1))),NA())</f>
        <v/>
      </c>
      <c r="AU155" s="9">
        <f>IF(OR(Inputs!$F$8=TRUE,Inputs!$F$8="TRUE",Inputs!$F$8=1),IF(OR(Inputs!$C$27=TRUE,Inputs!$C$27="TRUE",Inputs!$C$27=1),1,0)*(Inputs!$C$51*(115*EXP(-(((Inputs!$C$6)-25)^2)/(4.5^2))+70*EXP(-(((Inputs!$C$6)+38)^2)/(7^2))*(0.55+0.45*SIN(2*PI()*((Inputs!$I$8+(((A155)+1)/2)*(Inputs!$J$8-Inputs!$I$8)))/45))+24*SIN(2*PI()*(Inputs!$C$6)/9+((Inputs!$I$8+(((A155)+1)/2)*(Inputs!$J$8-Inputs!$I$8)))/18)*EXP(-(((Inputs!$C$6)+5)^2)/(22^2))+18*SIN(2*PI()*((Inputs!$I$8+(((A155)+1)/2)*(Inputs!$J$8-Inputs!$I$8)))/70))+Inputs!$C$28*EXP(-((((Inputs!$I$8+(((A155)+1)/2)*(Inputs!$J$8-Inputs!$I$8)))-Inputs!$C$29)^2)/(2*Inputs!$C$31^2))*EXP(-(((Inputs!$C$6)-Inputs!$C$30)^2)/(2*Inputs!$C$32^2))+-Inputs!$C$33*EXP(-((((((Inputs!$I$8+(((A155)+1)/2)*(Inputs!$J$8-Inputs!$I$8)))-Inputs!$C$34)^2)+(((Inputs!$C$6)-Inputs!$C$35)^2))/(2*Inputs!$C$36^2)))+Inputs!$C$37*(0.55*SIN(2*PI()*((Inputs!$I$8+(((A155)+1)/2)*(Inputs!$J$8-Inputs!$I$8)))/Inputs!$C$39)+0.35*COS(2*PI()*(Inputs!$C$6)/Inputs!$C$40)+0.2*SIN(2*PI()*(((Inputs!$I$8+(((A155)+1)/2)*(Inputs!$J$8-Inputs!$I$8)))+(Inputs!$C$6))/(0.5*(Inputs!$C$39+Inputs!$C$40))))+Inputs!$C$38*SIN(2*PI()*((Inputs!$I$8+(((A155)+1)/2)*(Inputs!$J$8-Inputs!$I$8)))/Inputs!$C$39)*SIN(2*PI()*(Inputs!$C$6)/Inputs!$C$40)+-Inputs!$C$41*EXP(-(((Inputs!$C$6)-Inputs!$C$43)^2)/(2*Inputs!$C$44^2))*EXP(-((((Inputs!$I$8+(((A155)+1)/2)*(Inputs!$J$8-Inputs!$I$8)))-Inputs!$C$42)^2)/(2*Inputs!$C$45^2))+Inputs!$C$48*(0.7*(0.45*SIN(2*PI()*((((Inputs!$I$8+(((A155)+1)/2)*(Inputs!$J$8-Inputs!$I$8)))/Inputs!$C$49)+Inputs!$C$47*0.137))+0.35*COS(2*PI()*(((Inputs!$C$6)/Inputs!$C$50)+Inputs!$C$47*0.173))+0.2*SIN(2*PI()*((((Inputs!$I$8+(((A155)+1)/2)*(Inputs!$J$8-Inputs!$I$8)))+(Inputs!$C$6))/(0.5*(Inputs!$C$49+Inputs!$C$50))+Inputs!$C$47*0.097)))+0.3*(2*((SIN((((Inputs!$I$8+(((A155)+1)/2)*(Inputs!$J$8-Inputs!$I$8)))*12.9898+(Inputs!$C$6)*78.233+Inputs!$C$47*37.719))*43758.5453)-INT((SIN((((Inputs!$I$8+(((A155)+1)/2)*(Inputs!$J$8-Inputs!$I$8)))*12.9898+(Inputs!$C$6)*78.233+Inputs!$C$47*37.719))*43758.5453)))-1))),NA())</f>
        <v/>
      </c>
      <c r="AV155" s="9">
        <f>IF(OR(Inputs!$F$9=TRUE,Inputs!$F$9="TRUE",Inputs!$F$9=1),IF(OR(Inputs!$C$27=TRUE,Inputs!$C$27="TRUE",Inputs!$C$27=1),1,0)*(Inputs!$C$51*(115*EXP(-(((Inputs!$C$6)-25)^2)/(4.5^2))+70*EXP(-(((Inputs!$C$6)+38)^2)/(7^2))*(0.55+0.45*SIN(2*PI()*((Inputs!$I$9+(((A155)+1)/2)*(Inputs!$J$9-Inputs!$I$9)))/45))+24*SIN(2*PI()*(Inputs!$C$6)/9+((Inputs!$I$9+(((A155)+1)/2)*(Inputs!$J$9-Inputs!$I$9)))/18)*EXP(-(((Inputs!$C$6)+5)^2)/(22^2))+18*SIN(2*PI()*((Inputs!$I$9+(((A155)+1)/2)*(Inputs!$J$9-Inputs!$I$9)))/70))+Inputs!$C$28*EXP(-((((Inputs!$I$9+(((A155)+1)/2)*(Inputs!$J$9-Inputs!$I$9)))-Inputs!$C$29)^2)/(2*Inputs!$C$31^2))*EXP(-(((Inputs!$C$6)-Inputs!$C$30)^2)/(2*Inputs!$C$32^2))+-Inputs!$C$33*EXP(-((((((Inputs!$I$9+(((A155)+1)/2)*(Inputs!$J$9-Inputs!$I$9)))-Inputs!$C$34)^2)+(((Inputs!$C$6)-Inputs!$C$35)^2))/(2*Inputs!$C$36^2)))+Inputs!$C$37*(0.55*SIN(2*PI()*((Inputs!$I$9+(((A155)+1)/2)*(Inputs!$J$9-Inputs!$I$9)))/Inputs!$C$39)+0.35*COS(2*PI()*(Inputs!$C$6)/Inputs!$C$40)+0.2*SIN(2*PI()*(((Inputs!$I$9+(((A155)+1)/2)*(Inputs!$J$9-Inputs!$I$9)))+(Inputs!$C$6))/(0.5*(Inputs!$C$39+Inputs!$C$40))))+Inputs!$C$38*SIN(2*PI()*((Inputs!$I$9+(((A155)+1)/2)*(Inputs!$J$9-Inputs!$I$9)))/Inputs!$C$39)*SIN(2*PI()*(Inputs!$C$6)/Inputs!$C$40)+-Inputs!$C$41*EXP(-(((Inputs!$C$6)-Inputs!$C$43)^2)/(2*Inputs!$C$44^2))*EXP(-((((Inputs!$I$9+(((A155)+1)/2)*(Inputs!$J$9-Inputs!$I$9)))-Inputs!$C$42)^2)/(2*Inputs!$C$45^2))+Inputs!$C$48*(0.7*(0.45*SIN(2*PI()*((((Inputs!$I$9+(((A155)+1)/2)*(Inputs!$J$9-Inputs!$I$9)))/Inputs!$C$49)+Inputs!$C$47*0.137))+0.35*COS(2*PI()*(((Inputs!$C$6)/Inputs!$C$50)+Inputs!$C$47*0.173))+0.2*SIN(2*PI()*((((Inputs!$I$9+(((A155)+1)/2)*(Inputs!$J$9-Inputs!$I$9)))+(Inputs!$C$6))/(0.5*(Inputs!$C$49+Inputs!$C$50))+Inputs!$C$47*0.097)))+0.3*(2*((SIN((((Inputs!$I$9+(((A155)+1)/2)*(Inputs!$J$9-Inputs!$I$9)))*12.9898+(Inputs!$C$6)*78.233+Inputs!$C$47*37.719))*43758.5453)-INT((SIN((((Inputs!$I$9+(((A155)+1)/2)*(Inputs!$J$9-Inputs!$I$9)))*12.9898+(Inputs!$C$6)*78.233+Inputs!$C$47*37.719))*43758.5453)))-1))),NA())</f>
        <v/>
      </c>
      <c r="AW155" s="10" t="n"/>
      <c r="AX155" s="9">
        <f>A155</f>
        <v/>
      </c>
      <c r="AY155" s="9">
        <f>0</f>
        <v/>
      </c>
      <c r="AZ155" s="9">
        <f>IF(OR(Inputs!$F$6=TRUE,Inputs!$F$6="TRUE",Inputs!$F$6=1),(Inputs!$H$6+Inputs!$L$6*(((Inputs!$I$6+(((A155)+1)/2)*(Inputs!$J$6-Inputs!$I$6)))/Inputs!$K$6)^2),NA())</f>
        <v/>
      </c>
      <c r="BA155" s="9">
        <f>IF(OR(Inputs!$F$7=TRUE,Inputs!$F$7="TRUE",Inputs!$F$7=1),(Inputs!$H$7+Inputs!$L$7*(((Inputs!$I$7+(((A155)+1)/2)*(Inputs!$J$7-Inputs!$I$7)))/Inputs!$K$7)^2),NA())</f>
        <v/>
      </c>
      <c r="BB155" s="9">
        <f>IF(OR(Inputs!$F$8=TRUE,Inputs!$F$8="TRUE",Inputs!$F$8=1),(Inputs!$H$8+Inputs!$L$8*(((Inputs!$I$8+(((A155)+1)/2)*(Inputs!$J$8-Inputs!$I$8)))/Inputs!$K$8)^2),NA())</f>
        <v/>
      </c>
      <c r="BC155" s="9">
        <f>IF(OR(Inputs!$F$9=TRUE,Inputs!$F$9="TRUE",Inputs!$F$9=1),(Inputs!$H$9+Inputs!$L$9*(((Inputs!$I$9+(((A155)+1)/2)*(Inputs!$J$9-Inputs!$I$9)))/Inputs!$K$9)^2),NA())</f>
        <v/>
      </c>
      <c r="BD155" s="10" t="n"/>
      <c r="BE155" s="9">
        <f>A155</f>
        <v/>
      </c>
      <c r="BF155" s="9">
        <f>0</f>
        <v/>
      </c>
      <c r="BG155" s="9">
        <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f>
        <v/>
      </c>
      <c r="BH155" s="9">
        <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f>
        <v/>
      </c>
      <c r="BI155" s="9">
        <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f>
        <v/>
      </c>
      <c r="BJ155" s="9">
        <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f>
        <v/>
      </c>
    </row>
    <row r="156">
      <c r="A156" s="9">
        <f>ROUND(-1+154*2/240,3)</f>
        <v/>
      </c>
      <c r="B156" s="9">
        <f>IF(OR(Inputs!$F$6=TRUE,Inputs!$F$6="TRUE",Inputs!$F$6=1),(Inputs!$H$6+Inputs!$L$6*(((Inputs!$I$6+(((A156)+1)/2)*(Inputs!$J$6-Inputs!$I$6)))/Inputs!$K$6)^2),NA())</f>
        <v/>
      </c>
      <c r="C156" s="9">
        <f>IF(OR(Inputs!$F$7=TRUE,Inputs!$F$7="TRUE",Inputs!$F$7=1),(Inputs!$H$7+Inputs!$L$7*(((Inputs!$I$7+(((A156)+1)/2)*(Inputs!$J$7-Inputs!$I$7)))/Inputs!$K$7)^2),NA())</f>
        <v/>
      </c>
      <c r="D156" s="9">
        <f>IF(OR(Inputs!$F$8=TRUE,Inputs!$F$8="TRUE",Inputs!$F$8=1),(Inputs!$H$8+Inputs!$L$8*(((Inputs!$I$8+(((A156)+1)/2)*(Inputs!$J$8-Inputs!$I$8)))/Inputs!$K$8)^2),NA())</f>
        <v/>
      </c>
      <c r="E156" s="9">
        <f>IF(OR(Inputs!$F$9=TRUE,Inputs!$F$9="TRUE",Inputs!$F$9=1),(Inputs!$H$9+Inputs!$L$9*(((Inputs!$I$9+(((A156)+1)/2)*(Inputs!$J$9-Inputs!$I$9)))/Inputs!$K$9)^2),NA())</f>
        <v/>
      </c>
      <c r="F156" s="10" t="n"/>
      <c r="G156" s="9">
        <f>A156</f>
        <v/>
      </c>
      <c r="H156" s="9">
        <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f>
        <v/>
      </c>
      <c r="I156" s="9">
        <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f>
        <v/>
      </c>
      <c r="J156" s="9">
        <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f>
        <v/>
      </c>
      <c r="K156" s="9">
        <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f>
        <v/>
      </c>
      <c r="L156" s="10" t="n"/>
      <c r="M156" s="9">
        <f>A156</f>
        <v/>
      </c>
      <c r="N156" s="9">
        <f>IF(OR(Inputs!$F$6=TRUE,Inputs!$F$6="TRUE",Inputs!$F$6=1),(-2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NA())</f>
        <v/>
      </c>
      <c r="O156" s="9">
        <f>IF(OR(Inputs!$F$7=TRUE,Inputs!$F$7="TRUE",Inputs!$F$7=1),(-2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NA())</f>
        <v/>
      </c>
      <c r="P156" s="9">
        <f>IF(OR(Inputs!$F$8=TRUE,Inputs!$F$8="TRUE",Inputs!$F$8=1),(-2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NA())</f>
        <v/>
      </c>
      <c r="Q156" s="9">
        <f>IF(OR(Inputs!$F$9=TRUE,Inputs!$F$9="TRUE",Inputs!$F$9=1),(-2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NA())</f>
        <v/>
      </c>
      <c r="R156" s="10" t="n"/>
      <c r="S156" s="9">
        <f>A156</f>
        <v/>
      </c>
      <c r="T156" s="9">
        <f>(Inputs!$I$6+(((A156)+1)/2)*(Inputs!$J$6-Inputs!$I$6))</f>
        <v/>
      </c>
      <c r="U156" s="9">
        <f>(Inputs!$I$7+(((A156)+1)/2)*(Inputs!$J$7-Inputs!$I$7))</f>
        <v/>
      </c>
      <c r="V156" s="9">
        <f>(Inputs!$I$8+(((A156)+1)/2)*(Inputs!$J$8-Inputs!$I$8))</f>
        <v/>
      </c>
      <c r="W156" s="9">
        <f>(Inputs!$I$9+(((A156)+1)/2)*(Inputs!$J$9-Inputs!$I$9))</f>
        <v/>
      </c>
      <c r="X156" s="10" t="n"/>
      <c r="Y156" s="9">
        <f>A156</f>
        <v/>
      </c>
      <c r="Z156" s="9">
        <f>(Inputs!$H$6+Inputs!$L$6*(((Inputs!$I$6+(((A156)+1)/2)*(Inputs!$J$6-Inputs!$I$6)))/Inputs!$K$6)^2)</f>
        <v/>
      </c>
      <c r="AA156" s="9">
        <f>(Inputs!$H$7+Inputs!$L$7*(((Inputs!$I$7+(((A156)+1)/2)*(Inputs!$J$7-Inputs!$I$7)))/Inputs!$K$7)^2)</f>
        <v/>
      </c>
      <c r="AB156" s="9">
        <f>(Inputs!$H$8+Inputs!$L$8*(((Inputs!$I$8+(((A156)+1)/2)*(Inputs!$J$8-Inputs!$I$8)))/Inputs!$K$8)^2)</f>
        <v/>
      </c>
      <c r="AC156" s="9">
        <f>(Inputs!$H$9+Inputs!$L$9*(((Inputs!$I$9+(((A156)+1)/2)*(Inputs!$J$9-Inputs!$I$9)))/Inputs!$K$9)^2)</f>
        <v/>
      </c>
      <c r="AD156" s="10" t="n"/>
      <c r="AE156" s="9">
        <f>A156</f>
        <v/>
      </c>
      <c r="AF156" s="9">
        <f>(((SQRT((Inputs!$C$52+((Inputs!$H$6+Inputs!$L$6*(((Inputs!$I$6+(((A156)+1)/2)*(Inputs!$J$6-Inputs!$I$6)))/Inputs!$K$6)^2)))^2+Inputs!$C$52^2-2*(Inputs!$C$52+((Inputs!$H$6+Inputs!$L$6*(((Inputs!$I$6+(((A156)+1)/2)*(Inputs!$J$6-Inputs!$I$6)))/Inputs!$K$6)^2)))*Inputs!$C$52*COS(SQRT(((Inputs!$I$6+(((A156)+1)/2)*(Inputs!$J$6-Inputs!$I$6)))^2+Inputs!$C$6^2)/Inputs!$C$52)))-((Inputs!$H$6+Inputs!$L$6*(((Inputs!$I$6+(((A156)+1)/2)*(Inputs!$J$6-Inputs!$I$6)))/Inputs!$K$6)^2)))*1000/Inputs!$C$12)</f>
        <v/>
      </c>
      <c r="AG156" s="9">
        <f>(((SQRT((Inputs!$C$52+((Inputs!$H$7+Inputs!$L$7*(((Inputs!$I$7+(((A156)+1)/2)*(Inputs!$J$7-Inputs!$I$7)))/Inputs!$K$7)^2)))^2+Inputs!$C$52^2-2*(Inputs!$C$52+((Inputs!$H$7+Inputs!$L$7*(((Inputs!$I$7+(((A156)+1)/2)*(Inputs!$J$7-Inputs!$I$7)))/Inputs!$K$7)^2)))*Inputs!$C$52*COS(SQRT(((Inputs!$I$7+(((A156)+1)/2)*(Inputs!$J$7-Inputs!$I$7)))^2+Inputs!$C$6^2)/Inputs!$C$52)))-((Inputs!$H$7+Inputs!$L$7*(((Inputs!$I$7+(((A156)+1)/2)*(Inputs!$J$7-Inputs!$I$7)))/Inputs!$K$7)^2)))*1000/Inputs!$C$12)</f>
        <v/>
      </c>
      <c r="AH156" s="9">
        <f>(((SQRT((Inputs!$C$52+((Inputs!$H$8+Inputs!$L$8*(((Inputs!$I$8+(((A156)+1)/2)*(Inputs!$J$8-Inputs!$I$8)))/Inputs!$K$8)^2)))^2+Inputs!$C$52^2-2*(Inputs!$C$52+((Inputs!$H$8+Inputs!$L$8*(((Inputs!$I$8+(((A156)+1)/2)*(Inputs!$J$8-Inputs!$I$8)))/Inputs!$K$8)^2)))*Inputs!$C$52*COS(SQRT(((Inputs!$I$8+(((A156)+1)/2)*(Inputs!$J$8-Inputs!$I$8)))^2+Inputs!$C$6^2)/Inputs!$C$52)))-((Inputs!$H$8+Inputs!$L$8*(((Inputs!$I$8+(((A156)+1)/2)*(Inputs!$J$8-Inputs!$I$8)))/Inputs!$K$8)^2)))*1000/Inputs!$C$12)</f>
        <v/>
      </c>
      <c r="AI156" s="9">
        <f>(((SQRT((Inputs!$C$52+((Inputs!$H$9+Inputs!$L$9*(((Inputs!$I$9+(((A156)+1)/2)*(Inputs!$J$9-Inputs!$I$9)))/Inputs!$K$9)^2)))^2+Inputs!$C$52^2-2*(Inputs!$C$52+((Inputs!$H$9+Inputs!$L$9*(((Inputs!$I$9+(((A156)+1)/2)*(Inputs!$J$9-Inputs!$I$9)))/Inputs!$K$9)^2)))*Inputs!$C$52*COS(SQRT(((Inputs!$I$9+(((A156)+1)/2)*(Inputs!$J$9-Inputs!$I$9)))^2+Inputs!$C$6^2)/Inputs!$C$52)))-((Inputs!$H$9+Inputs!$L$9*(((Inputs!$I$9+(((A156)+1)/2)*(Inputs!$J$9-Inputs!$I$9)))/Inputs!$K$9)^2)))*1000/Inputs!$C$12)</f>
        <v/>
      </c>
      <c r="AJ156" s="10" t="n"/>
      <c r="AK156" s="9">
        <f>A156</f>
        <v/>
      </c>
      <c r="AL156" s="9">
        <f>(-2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f>
        <v/>
      </c>
      <c r="AM156" s="9">
        <f>(-2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f>
        <v/>
      </c>
      <c r="AN156" s="9">
        <f>(-2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f>
        <v/>
      </c>
      <c r="AO156" s="9">
        <f>(-2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f>
        <v/>
      </c>
      <c r="AP156" s="10" t="n"/>
      <c r="AQ156" s="9">
        <f>A156</f>
        <v/>
      </c>
      <c r="AR156" s="9">
        <f>0</f>
        <v/>
      </c>
      <c r="AS156" s="9">
        <f>IF(OR(Inputs!$F$6=TRUE,Inputs!$F$6="TRUE",Inputs!$F$6=1),IF(OR(Inputs!$C$27=TRUE,Inputs!$C$27="TRUE",Inputs!$C$27=1),1,0)*(Inputs!$C$51*(115*EXP(-(((Inputs!$C$6)-25)^2)/(4.5^2))+70*EXP(-(((Inputs!$C$6)+38)^2)/(7^2))*(0.55+0.45*SIN(2*PI()*((Inputs!$I$6+(((A156)+1)/2)*(Inputs!$J$6-Inputs!$I$6)))/45))+24*SIN(2*PI()*(Inputs!$C$6)/9+((Inputs!$I$6+(((A156)+1)/2)*(Inputs!$J$6-Inputs!$I$6)))/18)*EXP(-(((Inputs!$C$6)+5)^2)/(22^2))+18*SIN(2*PI()*((Inputs!$I$6+(((A156)+1)/2)*(Inputs!$J$6-Inputs!$I$6)))/70))+Inputs!$C$28*EXP(-((((Inputs!$I$6+(((A156)+1)/2)*(Inputs!$J$6-Inputs!$I$6)))-Inputs!$C$29)^2)/(2*Inputs!$C$31^2))*EXP(-(((Inputs!$C$6)-Inputs!$C$30)^2)/(2*Inputs!$C$32^2))+-Inputs!$C$33*EXP(-((((((Inputs!$I$6+(((A156)+1)/2)*(Inputs!$J$6-Inputs!$I$6)))-Inputs!$C$34)^2)+(((Inputs!$C$6)-Inputs!$C$35)^2))/(2*Inputs!$C$36^2)))+Inputs!$C$37*(0.55*SIN(2*PI()*((Inputs!$I$6+(((A156)+1)/2)*(Inputs!$J$6-Inputs!$I$6)))/Inputs!$C$39)+0.35*COS(2*PI()*(Inputs!$C$6)/Inputs!$C$40)+0.2*SIN(2*PI()*(((Inputs!$I$6+(((A156)+1)/2)*(Inputs!$J$6-Inputs!$I$6)))+(Inputs!$C$6))/(0.5*(Inputs!$C$39+Inputs!$C$40))))+Inputs!$C$38*SIN(2*PI()*((Inputs!$I$6+(((A156)+1)/2)*(Inputs!$J$6-Inputs!$I$6)))/Inputs!$C$39)*SIN(2*PI()*(Inputs!$C$6)/Inputs!$C$40)+-Inputs!$C$41*EXP(-(((Inputs!$C$6)-Inputs!$C$43)^2)/(2*Inputs!$C$44^2))*EXP(-((((Inputs!$I$6+(((A156)+1)/2)*(Inputs!$J$6-Inputs!$I$6)))-Inputs!$C$42)^2)/(2*Inputs!$C$45^2))+Inputs!$C$48*(0.7*(0.45*SIN(2*PI()*((((Inputs!$I$6+(((A156)+1)/2)*(Inputs!$J$6-Inputs!$I$6)))/Inputs!$C$49)+Inputs!$C$47*0.137))+0.35*COS(2*PI()*(((Inputs!$C$6)/Inputs!$C$50)+Inputs!$C$47*0.173))+0.2*SIN(2*PI()*((((Inputs!$I$6+(((A156)+1)/2)*(Inputs!$J$6-Inputs!$I$6)))+(Inputs!$C$6))/(0.5*(Inputs!$C$49+Inputs!$C$50))+Inputs!$C$47*0.097)))+0.3*(2*((SIN((((Inputs!$I$6+(((A156)+1)/2)*(Inputs!$J$6-Inputs!$I$6)))*12.9898+(Inputs!$C$6)*78.233+Inputs!$C$47*37.719))*43758.5453)-INT((SIN((((Inputs!$I$6+(((A156)+1)/2)*(Inputs!$J$6-Inputs!$I$6)))*12.9898+(Inputs!$C$6)*78.233+Inputs!$C$47*37.719))*43758.5453)))-1))),NA())</f>
        <v/>
      </c>
      <c r="AT156" s="9">
        <f>IF(OR(Inputs!$F$7=TRUE,Inputs!$F$7="TRUE",Inputs!$F$7=1),IF(OR(Inputs!$C$27=TRUE,Inputs!$C$27="TRUE",Inputs!$C$27=1),1,0)*(Inputs!$C$51*(115*EXP(-(((Inputs!$C$6)-25)^2)/(4.5^2))+70*EXP(-(((Inputs!$C$6)+38)^2)/(7^2))*(0.55+0.45*SIN(2*PI()*((Inputs!$I$7+(((A156)+1)/2)*(Inputs!$J$7-Inputs!$I$7)))/45))+24*SIN(2*PI()*(Inputs!$C$6)/9+((Inputs!$I$7+(((A156)+1)/2)*(Inputs!$J$7-Inputs!$I$7)))/18)*EXP(-(((Inputs!$C$6)+5)^2)/(22^2))+18*SIN(2*PI()*((Inputs!$I$7+(((A156)+1)/2)*(Inputs!$J$7-Inputs!$I$7)))/70))+Inputs!$C$28*EXP(-((((Inputs!$I$7+(((A156)+1)/2)*(Inputs!$J$7-Inputs!$I$7)))-Inputs!$C$29)^2)/(2*Inputs!$C$31^2))*EXP(-(((Inputs!$C$6)-Inputs!$C$30)^2)/(2*Inputs!$C$32^2))+-Inputs!$C$33*EXP(-((((((Inputs!$I$7+(((A156)+1)/2)*(Inputs!$J$7-Inputs!$I$7)))-Inputs!$C$34)^2)+(((Inputs!$C$6)-Inputs!$C$35)^2))/(2*Inputs!$C$36^2)))+Inputs!$C$37*(0.55*SIN(2*PI()*((Inputs!$I$7+(((A156)+1)/2)*(Inputs!$J$7-Inputs!$I$7)))/Inputs!$C$39)+0.35*COS(2*PI()*(Inputs!$C$6)/Inputs!$C$40)+0.2*SIN(2*PI()*(((Inputs!$I$7+(((A156)+1)/2)*(Inputs!$J$7-Inputs!$I$7)))+(Inputs!$C$6))/(0.5*(Inputs!$C$39+Inputs!$C$40))))+Inputs!$C$38*SIN(2*PI()*((Inputs!$I$7+(((A156)+1)/2)*(Inputs!$J$7-Inputs!$I$7)))/Inputs!$C$39)*SIN(2*PI()*(Inputs!$C$6)/Inputs!$C$40)+-Inputs!$C$41*EXP(-(((Inputs!$C$6)-Inputs!$C$43)^2)/(2*Inputs!$C$44^2))*EXP(-((((Inputs!$I$7+(((A156)+1)/2)*(Inputs!$J$7-Inputs!$I$7)))-Inputs!$C$42)^2)/(2*Inputs!$C$45^2))+Inputs!$C$48*(0.7*(0.45*SIN(2*PI()*((((Inputs!$I$7+(((A156)+1)/2)*(Inputs!$J$7-Inputs!$I$7)))/Inputs!$C$49)+Inputs!$C$47*0.137))+0.35*COS(2*PI()*(((Inputs!$C$6)/Inputs!$C$50)+Inputs!$C$47*0.173))+0.2*SIN(2*PI()*((((Inputs!$I$7+(((A156)+1)/2)*(Inputs!$J$7-Inputs!$I$7)))+(Inputs!$C$6))/(0.5*(Inputs!$C$49+Inputs!$C$50))+Inputs!$C$47*0.097)))+0.3*(2*((SIN((((Inputs!$I$7+(((A156)+1)/2)*(Inputs!$J$7-Inputs!$I$7)))*12.9898+(Inputs!$C$6)*78.233+Inputs!$C$47*37.719))*43758.5453)-INT((SIN((((Inputs!$I$7+(((A156)+1)/2)*(Inputs!$J$7-Inputs!$I$7)))*12.9898+(Inputs!$C$6)*78.233+Inputs!$C$47*37.719))*43758.5453)))-1))),NA())</f>
        <v/>
      </c>
      <c r="AU156" s="9">
        <f>IF(OR(Inputs!$F$8=TRUE,Inputs!$F$8="TRUE",Inputs!$F$8=1),IF(OR(Inputs!$C$27=TRUE,Inputs!$C$27="TRUE",Inputs!$C$27=1),1,0)*(Inputs!$C$51*(115*EXP(-(((Inputs!$C$6)-25)^2)/(4.5^2))+70*EXP(-(((Inputs!$C$6)+38)^2)/(7^2))*(0.55+0.45*SIN(2*PI()*((Inputs!$I$8+(((A156)+1)/2)*(Inputs!$J$8-Inputs!$I$8)))/45))+24*SIN(2*PI()*(Inputs!$C$6)/9+((Inputs!$I$8+(((A156)+1)/2)*(Inputs!$J$8-Inputs!$I$8)))/18)*EXP(-(((Inputs!$C$6)+5)^2)/(22^2))+18*SIN(2*PI()*((Inputs!$I$8+(((A156)+1)/2)*(Inputs!$J$8-Inputs!$I$8)))/70))+Inputs!$C$28*EXP(-((((Inputs!$I$8+(((A156)+1)/2)*(Inputs!$J$8-Inputs!$I$8)))-Inputs!$C$29)^2)/(2*Inputs!$C$31^2))*EXP(-(((Inputs!$C$6)-Inputs!$C$30)^2)/(2*Inputs!$C$32^2))+-Inputs!$C$33*EXP(-((((((Inputs!$I$8+(((A156)+1)/2)*(Inputs!$J$8-Inputs!$I$8)))-Inputs!$C$34)^2)+(((Inputs!$C$6)-Inputs!$C$35)^2))/(2*Inputs!$C$36^2)))+Inputs!$C$37*(0.55*SIN(2*PI()*((Inputs!$I$8+(((A156)+1)/2)*(Inputs!$J$8-Inputs!$I$8)))/Inputs!$C$39)+0.35*COS(2*PI()*(Inputs!$C$6)/Inputs!$C$40)+0.2*SIN(2*PI()*(((Inputs!$I$8+(((A156)+1)/2)*(Inputs!$J$8-Inputs!$I$8)))+(Inputs!$C$6))/(0.5*(Inputs!$C$39+Inputs!$C$40))))+Inputs!$C$38*SIN(2*PI()*((Inputs!$I$8+(((A156)+1)/2)*(Inputs!$J$8-Inputs!$I$8)))/Inputs!$C$39)*SIN(2*PI()*(Inputs!$C$6)/Inputs!$C$40)+-Inputs!$C$41*EXP(-(((Inputs!$C$6)-Inputs!$C$43)^2)/(2*Inputs!$C$44^2))*EXP(-((((Inputs!$I$8+(((A156)+1)/2)*(Inputs!$J$8-Inputs!$I$8)))-Inputs!$C$42)^2)/(2*Inputs!$C$45^2))+Inputs!$C$48*(0.7*(0.45*SIN(2*PI()*((((Inputs!$I$8+(((A156)+1)/2)*(Inputs!$J$8-Inputs!$I$8)))/Inputs!$C$49)+Inputs!$C$47*0.137))+0.35*COS(2*PI()*(((Inputs!$C$6)/Inputs!$C$50)+Inputs!$C$47*0.173))+0.2*SIN(2*PI()*((((Inputs!$I$8+(((A156)+1)/2)*(Inputs!$J$8-Inputs!$I$8)))+(Inputs!$C$6))/(0.5*(Inputs!$C$49+Inputs!$C$50))+Inputs!$C$47*0.097)))+0.3*(2*((SIN((((Inputs!$I$8+(((A156)+1)/2)*(Inputs!$J$8-Inputs!$I$8)))*12.9898+(Inputs!$C$6)*78.233+Inputs!$C$47*37.719))*43758.5453)-INT((SIN((((Inputs!$I$8+(((A156)+1)/2)*(Inputs!$J$8-Inputs!$I$8)))*12.9898+(Inputs!$C$6)*78.233+Inputs!$C$47*37.719))*43758.5453)))-1))),NA())</f>
        <v/>
      </c>
      <c r="AV156" s="9">
        <f>IF(OR(Inputs!$F$9=TRUE,Inputs!$F$9="TRUE",Inputs!$F$9=1),IF(OR(Inputs!$C$27=TRUE,Inputs!$C$27="TRUE",Inputs!$C$27=1),1,0)*(Inputs!$C$51*(115*EXP(-(((Inputs!$C$6)-25)^2)/(4.5^2))+70*EXP(-(((Inputs!$C$6)+38)^2)/(7^2))*(0.55+0.45*SIN(2*PI()*((Inputs!$I$9+(((A156)+1)/2)*(Inputs!$J$9-Inputs!$I$9)))/45))+24*SIN(2*PI()*(Inputs!$C$6)/9+((Inputs!$I$9+(((A156)+1)/2)*(Inputs!$J$9-Inputs!$I$9)))/18)*EXP(-(((Inputs!$C$6)+5)^2)/(22^2))+18*SIN(2*PI()*((Inputs!$I$9+(((A156)+1)/2)*(Inputs!$J$9-Inputs!$I$9)))/70))+Inputs!$C$28*EXP(-((((Inputs!$I$9+(((A156)+1)/2)*(Inputs!$J$9-Inputs!$I$9)))-Inputs!$C$29)^2)/(2*Inputs!$C$31^2))*EXP(-(((Inputs!$C$6)-Inputs!$C$30)^2)/(2*Inputs!$C$32^2))+-Inputs!$C$33*EXP(-((((((Inputs!$I$9+(((A156)+1)/2)*(Inputs!$J$9-Inputs!$I$9)))-Inputs!$C$34)^2)+(((Inputs!$C$6)-Inputs!$C$35)^2))/(2*Inputs!$C$36^2)))+Inputs!$C$37*(0.55*SIN(2*PI()*((Inputs!$I$9+(((A156)+1)/2)*(Inputs!$J$9-Inputs!$I$9)))/Inputs!$C$39)+0.35*COS(2*PI()*(Inputs!$C$6)/Inputs!$C$40)+0.2*SIN(2*PI()*(((Inputs!$I$9+(((A156)+1)/2)*(Inputs!$J$9-Inputs!$I$9)))+(Inputs!$C$6))/(0.5*(Inputs!$C$39+Inputs!$C$40))))+Inputs!$C$38*SIN(2*PI()*((Inputs!$I$9+(((A156)+1)/2)*(Inputs!$J$9-Inputs!$I$9)))/Inputs!$C$39)*SIN(2*PI()*(Inputs!$C$6)/Inputs!$C$40)+-Inputs!$C$41*EXP(-(((Inputs!$C$6)-Inputs!$C$43)^2)/(2*Inputs!$C$44^2))*EXP(-((((Inputs!$I$9+(((A156)+1)/2)*(Inputs!$J$9-Inputs!$I$9)))-Inputs!$C$42)^2)/(2*Inputs!$C$45^2))+Inputs!$C$48*(0.7*(0.45*SIN(2*PI()*((((Inputs!$I$9+(((A156)+1)/2)*(Inputs!$J$9-Inputs!$I$9)))/Inputs!$C$49)+Inputs!$C$47*0.137))+0.35*COS(2*PI()*(((Inputs!$C$6)/Inputs!$C$50)+Inputs!$C$47*0.173))+0.2*SIN(2*PI()*((((Inputs!$I$9+(((A156)+1)/2)*(Inputs!$J$9-Inputs!$I$9)))+(Inputs!$C$6))/(0.5*(Inputs!$C$49+Inputs!$C$50))+Inputs!$C$47*0.097)))+0.3*(2*((SIN((((Inputs!$I$9+(((A156)+1)/2)*(Inputs!$J$9-Inputs!$I$9)))*12.9898+(Inputs!$C$6)*78.233+Inputs!$C$47*37.719))*43758.5453)-INT((SIN((((Inputs!$I$9+(((A156)+1)/2)*(Inputs!$J$9-Inputs!$I$9)))*12.9898+(Inputs!$C$6)*78.233+Inputs!$C$47*37.719))*43758.5453)))-1))),NA())</f>
        <v/>
      </c>
      <c r="AW156" s="10" t="n"/>
      <c r="AX156" s="9">
        <f>A156</f>
        <v/>
      </c>
      <c r="AY156" s="9">
        <f>0</f>
        <v/>
      </c>
      <c r="AZ156" s="9">
        <f>IF(OR(Inputs!$F$6=TRUE,Inputs!$F$6="TRUE",Inputs!$F$6=1),(Inputs!$H$6+Inputs!$L$6*(((Inputs!$I$6+(((A156)+1)/2)*(Inputs!$J$6-Inputs!$I$6)))/Inputs!$K$6)^2),NA())</f>
        <v/>
      </c>
      <c r="BA156" s="9">
        <f>IF(OR(Inputs!$F$7=TRUE,Inputs!$F$7="TRUE",Inputs!$F$7=1),(Inputs!$H$7+Inputs!$L$7*(((Inputs!$I$7+(((A156)+1)/2)*(Inputs!$J$7-Inputs!$I$7)))/Inputs!$K$7)^2),NA())</f>
        <v/>
      </c>
      <c r="BB156" s="9">
        <f>IF(OR(Inputs!$F$8=TRUE,Inputs!$F$8="TRUE",Inputs!$F$8=1),(Inputs!$H$8+Inputs!$L$8*(((Inputs!$I$8+(((A156)+1)/2)*(Inputs!$J$8-Inputs!$I$8)))/Inputs!$K$8)^2),NA())</f>
        <v/>
      </c>
      <c r="BC156" s="9">
        <f>IF(OR(Inputs!$F$9=TRUE,Inputs!$F$9="TRUE",Inputs!$F$9=1),(Inputs!$H$9+Inputs!$L$9*(((Inputs!$I$9+(((A156)+1)/2)*(Inputs!$J$9-Inputs!$I$9)))/Inputs!$K$9)^2),NA())</f>
        <v/>
      </c>
      <c r="BD156" s="10" t="n"/>
      <c r="BE156" s="9">
        <f>A156</f>
        <v/>
      </c>
      <c r="BF156" s="9">
        <f>0</f>
        <v/>
      </c>
      <c r="BG156" s="9">
        <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f>
        <v/>
      </c>
      <c r="BH156" s="9">
        <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f>
        <v/>
      </c>
      <c r="BI156" s="9">
        <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f>
        <v/>
      </c>
      <c r="BJ156" s="9">
        <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f>
        <v/>
      </c>
    </row>
    <row r="157">
      <c r="A157" s="9">
        <f>ROUND(-1+155*2/240,3)</f>
        <v/>
      </c>
      <c r="B157" s="9">
        <f>IF(OR(Inputs!$F$6=TRUE,Inputs!$F$6="TRUE",Inputs!$F$6=1),(Inputs!$H$6+Inputs!$L$6*(((Inputs!$I$6+(((A157)+1)/2)*(Inputs!$J$6-Inputs!$I$6)))/Inputs!$K$6)^2),NA())</f>
        <v/>
      </c>
      <c r="C157" s="9">
        <f>IF(OR(Inputs!$F$7=TRUE,Inputs!$F$7="TRUE",Inputs!$F$7=1),(Inputs!$H$7+Inputs!$L$7*(((Inputs!$I$7+(((A157)+1)/2)*(Inputs!$J$7-Inputs!$I$7)))/Inputs!$K$7)^2),NA())</f>
        <v/>
      </c>
      <c r="D157" s="9">
        <f>IF(OR(Inputs!$F$8=TRUE,Inputs!$F$8="TRUE",Inputs!$F$8=1),(Inputs!$H$8+Inputs!$L$8*(((Inputs!$I$8+(((A157)+1)/2)*(Inputs!$J$8-Inputs!$I$8)))/Inputs!$K$8)^2),NA())</f>
        <v/>
      </c>
      <c r="E157" s="9">
        <f>IF(OR(Inputs!$F$9=TRUE,Inputs!$F$9="TRUE",Inputs!$F$9=1),(Inputs!$H$9+Inputs!$L$9*(((Inputs!$I$9+(((A157)+1)/2)*(Inputs!$J$9-Inputs!$I$9)))/Inputs!$K$9)^2),NA())</f>
        <v/>
      </c>
      <c r="F157" s="10" t="n"/>
      <c r="G157" s="9">
        <f>A157</f>
        <v/>
      </c>
      <c r="H157" s="9">
        <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f>
        <v/>
      </c>
      <c r="I157" s="9">
        <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f>
        <v/>
      </c>
      <c r="J157" s="9">
        <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f>
        <v/>
      </c>
      <c r="K157" s="9">
        <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f>
        <v/>
      </c>
      <c r="L157" s="10" t="n"/>
      <c r="M157" s="9">
        <f>A157</f>
        <v/>
      </c>
      <c r="N157" s="9">
        <f>IF(OR(Inputs!$F$6=TRUE,Inputs!$F$6="TRUE",Inputs!$F$6=1),(-2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NA())</f>
        <v/>
      </c>
      <c r="O157" s="9">
        <f>IF(OR(Inputs!$F$7=TRUE,Inputs!$F$7="TRUE",Inputs!$F$7=1),(-2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NA())</f>
        <v/>
      </c>
      <c r="P157" s="9">
        <f>IF(OR(Inputs!$F$8=TRUE,Inputs!$F$8="TRUE",Inputs!$F$8=1),(-2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NA())</f>
        <v/>
      </c>
      <c r="Q157" s="9">
        <f>IF(OR(Inputs!$F$9=TRUE,Inputs!$F$9="TRUE",Inputs!$F$9=1),(-2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NA())</f>
        <v/>
      </c>
      <c r="R157" s="10" t="n"/>
      <c r="S157" s="9">
        <f>A157</f>
        <v/>
      </c>
      <c r="T157" s="9">
        <f>(Inputs!$I$6+(((A157)+1)/2)*(Inputs!$J$6-Inputs!$I$6))</f>
        <v/>
      </c>
      <c r="U157" s="9">
        <f>(Inputs!$I$7+(((A157)+1)/2)*(Inputs!$J$7-Inputs!$I$7))</f>
        <v/>
      </c>
      <c r="V157" s="9">
        <f>(Inputs!$I$8+(((A157)+1)/2)*(Inputs!$J$8-Inputs!$I$8))</f>
        <v/>
      </c>
      <c r="W157" s="9">
        <f>(Inputs!$I$9+(((A157)+1)/2)*(Inputs!$J$9-Inputs!$I$9))</f>
        <v/>
      </c>
      <c r="X157" s="10" t="n"/>
      <c r="Y157" s="9">
        <f>A157</f>
        <v/>
      </c>
      <c r="Z157" s="9">
        <f>(Inputs!$H$6+Inputs!$L$6*(((Inputs!$I$6+(((A157)+1)/2)*(Inputs!$J$6-Inputs!$I$6)))/Inputs!$K$6)^2)</f>
        <v/>
      </c>
      <c r="AA157" s="9">
        <f>(Inputs!$H$7+Inputs!$L$7*(((Inputs!$I$7+(((A157)+1)/2)*(Inputs!$J$7-Inputs!$I$7)))/Inputs!$K$7)^2)</f>
        <v/>
      </c>
      <c r="AB157" s="9">
        <f>(Inputs!$H$8+Inputs!$L$8*(((Inputs!$I$8+(((A157)+1)/2)*(Inputs!$J$8-Inputs!$I$8)))/Inputs!$K$8)^2)</f>
        <v/>
      </c>
      <c r="AC157" s="9">
        <f>(Inputs!$H$9+Inputs!$L$9*(((Inputs!$I$9+(((A157)+1)/2)*(Inputs!$J$9-Inputs!$I$9)))/Inputs!$K$9)^2)</f>
        <v/>
      </c>
      <c r="AD157" s="10" t="n"/>
      <c r="AE157" s="9">
        <f>A157</f>
        <v/>
      </c>
      <c r="AF157" s="9">
        <f>(((SQRT((Inputs!$C$52+((Inputs!$H$6+Inputs!$L$6*(((Inputs!$I$6+(((A157)+1)/2)*(Inputs!$J$6-Inputs!$I$6)))/Inputs!$K$6)^2)))^2+Inputs!$C$52^2-2*(Inputs!$C$52+((Inputs!$H$6+Inputs!$L$6*(((Inputs!$I$6+(((A157)+1)/2)*(Inputs!$J$6-Inputs!$I$6)))/Inputs!$K$6)^2)))*Inputs!$C$52*COS(SQRT(((Inputs!$I$6+(((A157)+1)/2)*(Inputs!$J$6-Inputs!$I$6)))^2+Inputs!$C$6^2)/Inputs!$C$52)))-((Inputs!$H$6+Inputs!$L$6*(((Inputs!$I$6+(((A157)+1)/2)*(Inputs!$J$6-Inputs!$I$6)))/Inputs!$K$6)^2)))*1000/Inputs!$C$12)</f>
        <v/>
      </c>
      <c r="AG157" s="9">
        <f>(((SQRT((Inputs!$C$52+((Inputs!$H$7+Inputs!$L$7*(((Inputs!$I$7+(((A157)+1)/2)*(Inputs!$J$7-Inputs!$I$7)))/Inputs!$K$7)^2)))^2+Inputs!$C$52^2-2*(Inputs!$C$52+((Inputs!$H$7+Inputs!$L$7*(((Inputs!$I$7+(((A157)+1)/2)*(Inputs!$J$7-Inputs!$I$7)))/Inputs!$K$7)^2)))*Inputs!$C$52*COS(SQRT(((Inputs!$I$7+(((A157)+1)/2)*(Inputs!$J$7-Inputs!$I$7)))^2+Inputs!$C$6^2)/Inputs!$C$52)))-((Inputs!$H$7+Inputs!$L$7*(((Inputs!$I$7+(((A157)+1)/2)*(Inputs!$J$7-Inputs!$I$7)))/Inputs!$K$7)^2)))*1000/Inputs!$C$12)</f>
        <v/>
      </c>
      <c r="AH157" s="9">
        <f>(((SQRT((Inputs!$C$52+((Inputs!$H$8+Inputs!$L$8*(((Inputs!$I$8+(((A157)+1)/2)*(Inputs!$J$8-Inputs!$I$8)))/Inputs!$K$8)^2)))^2+Inputs!$C$52^2-2*(Inputs!$C$52+((Inputs!$H$8+Inputs!$L$8*(((Inputs!$I$8+(((A157)+1)/2)*(Inputs!$J$8-Inputs!$I$8)))/Inputs!$K$8)^2)))*Inputs!$C$52*COS(SQRT(((Inputs!$I$8+(((A157)+1)/2)*(Inputs!$J$8-Inputs!$I$8)))^2+Inputs!$C$6^2)/Inputs!$C$52)))-((Inputs!$H$8+Inputs!$L$8*(((Inputs!$I$8+(((A157)+1)/2)*(Inputs!$J$8-Inputs!$I$8)))/Inputs!$K$8)^2)))*1000/Inputs!$C$12)</f>
        <v/>
      </c>
      <c r="AI157" s="9">
        <f>(((SQRT((Inputs!$C$52+((Inputs!$H$9+Inputs!$L$9*(((Inputs!$I$9+(((A157)+1)/2)*(Inputs!$J$9-Inputs!$I$9)))/Inputs!$K$9)^2)))^2+Inputs!$C$52^2-2*(Inputs!$C$52+((Inputs!$H$9+Inputs!$L$9*(((Inputs!$I$9+(((A157)+1)/2)*(Inputs!$J$9-Inputs!$I$9)))/Inputs!$K$9)^2)))*Inputs!$C$52*COS(SQRT(((Inputs!$I$9+(((A157)+1)/2)*(Inputs!$J$9-Inputs!$I$9)))^2+Inputs!$C$6^2)/Inputs!$C$52)))-((Inputs!$H$9+Inputs!$L$9*(((Inputs!$I$9+(((A157)+1)/2)*(Inputs!$J$9-Inputs!$I$9)))/Inputs!$K$9)^2)))*1000/Inputs!$C$12)</f>
        <v/>
      </c>
      <c r="AJ157" s="10" t="n"/>
      <c r="AK157" s="9">
        <f>A157</f>
        <v/>
      </c>
      <c r="AL157" s="9">
        <f>(-2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f>
        <v/>
      </c>
      <c r="AM157" s="9">
        <f>(-2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f>
        <v/>
      </c>
      <c r="AN157" s="9">
        <f>(-2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f>
        <v/>
      </c>
      <c r="AO157" s="9">
        <f>(-2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f>
        <v/>
      </c>
      <c r="AP157" s="10" t="n"/>
      <c r="AQ157" s="9">
        <f>A157</f>
        <v/>
      </c>
      <c r="AR157" s="9">
        <f>0</f>
        <v/>
      </c>
      <c r="AS157" s="9">
        <f>IF(OR(Inputs!$F$6=TRUE,Inputs!$F$6="TRUE",Inputs!$F$6=1),IF(OR(Inputs!$C$27=TRUE,Inputs!$C$27="TRUE",Inputs!$C$27=1),1,0)*(Inputs!$C$51*(115*EXP(-(((Inputs!$C$6)-25)^2)/(4.5^2))+70*EXP(-(((Inputs!$C$6)+38)^2)/(7^2))*(0.55+0.45*SIN(2*PI()*((Inputs!$I$6+(((A157)+1)/2)*(Inputs!$J$6-Inputs!$I$6)))/45))+24*SIN(2*PI()*(Inputs!$C$6)/9+((Inputs!$I$6+(((A157)+1)/2)*(Inputs!$J$6-Inputs!$I$6)))/18)*EXP(-(((Inputs!$C$6)+5)^2)/(22^2))+18*SIN(2*PI()*((Inputs!$I$6+(((A157)+1)/2)*(Inputs!$J$6-Inputs!$I$6)))/70))+Inputs!$C$28*EXP(-((((Inputs!$I$6+(((A157)+1)/2)*(Inputs!$J$6-Inputs!$I$6)))-Inputs!$C$29)^2)/(2*Inputs!$C$31^2))*EXP(-(((Inputs!$C$6)-Inputs!$C$30)^2)/(2*Inputs!$C$32^2))+-Inputs!$C$33*EXP(-((((((Inputs!$I$6+(((A157)+1)/2)*(Inputs!$J$6-Inputs!$I$6)))-Inputs!$C$34)^2)+(((Inputs!$C$6)-Inputs!$C$35)^2))/(2*Inputs!$C$36^2)))+Inputs!$C$37*(0.55*SIN(2*PI()*((Inputs!$I$6+(((A157)+1)/2)*(Inputs!$J$6-Inputs!$I$6)))/Inputs!$C$39)+0.35*COS(2*PI()*(Inputs!$C$6)/Inputs!$C$40)+0.2*SIN(2*PI()*(((Inputs!$I$6+(((A157)+1)/2)*(Inputs!$J$6-Inputs!$I$6)))+(Inputs!$C$6))/(0.5*(Inputs!$C$39+Inputs!$C$40))))+Inputs!$C$38*SIN(2*PI()*((Inputs!$I$6+(((A157)+1)/2)*(Inputs!$J$6-Inputs!$I$6)))/Inputs!$C$39)*SIN(2*PI()*(Inputs!$C$6)/Inputs!$C$40)+-Inputs!$C$41*EXP(-(((Inputs!$C$6)-Inputs!$C$43)^2)/(2*Inputs!$C$44^2))*EXP(-((((Inputs!$I$6+(((A157)+1)/2)*(Inputs!$J$6-Inputs!$I$6)))-Inputs!$C$42)^2)/(2*Inputs!$C$45^2))+Inputs!$C$48*(0.7*(0.45*SIN(2*PI()*((((Inputs!$I$6+(((A157)+1)/2)*(Inputs!$J$6-Inputs!$I$6)))/Inputs!$C$49)+Inputs!$C$47*0.137))+0.35*COS(2*PI()*(((Inputs!$C$6)/Inputs!$C$50)+Inputs!$C$47*0.173))+0.2*SIN(2*PI()*((((Inputs!$I$6+(((A157)+1)/2)*(Inputs!$J$6-Inputs!$I$6)))+(Inputs!$C$6))/(0.5*(Inputs!$C$49+Inputs!$C$50))+Inputs!$C$47*0.097)))+0.3*(2*((SIN((((Inputs!$I$6+(((A157)+1)/2)*(Inputs!$J$6-Inputs!$I$6)))*12.9898+(Inputs!$C$6)*78.233+Inputs!$C$47*37.719))*43758.5453)-INT((SIN((((Inputs!$I$6+(((A157)+1)/2)*(Inputs!$J$6-Inputs!$I$6)))*12.9898+(Inputs!$C$6)*78.233+Inputs!$C$47*37.719))*43758.5453)))-1))),NA())</f>
        <v/>
      </c>
      <c r="AT157" s="9">
        <f>IF(OR(Inputs!$F$7=TRUE,Inputs!$F$7="TRUE",Inputs!$F$7=1),IF(OR(Inputs!$C$27=TRUE,Inputs!$C$27="TRUE",Inputs!$C$27=1),1,0)*(Inputs!$C$51*(115*EXP(-(((Inputs!$C$6)-25)^2)/(4.5^2))+70*EXP(-(((Inputs!$C$6)+38)^2)/(7^2))*(0.55+0.45*SIN(2*PI()*((Inputs!$I$7+(((A157)+1)/2)*(Inputs!$J$7-Inputs!$I$7)))/45))+24*SIN(2*PI()*(Inputs!$C$6)/9+((Inputs!$I$7+(((A157)+1)/2)*(Inputs!$J$7-Inputs!$I$7)))/18)*EXP(-(((Inputs!$C$6)+5)^2)/(22^2))+18*SIN(2*PI()*((Inputs!$I$7+(((A157)+1)/2)*(Inputs!$J$7-Inputs!$I$7)))/70))+Inputs!$C$28*EXP(-((((Inputs!$I$7+(((A157)+1)/2)*(Inputs!$J$7-Inputs!$I$7)))-Inputs!$C$29)^2)/(2*Inputs!$C$31^2))*EXP(-(((Inputs!$C$6)-Inputs!$C$30)^2)/(2*Inputs!$C$32^2))+-Inputs!$C$33*EXP(-((((((Inputs!$I$7+(((A157)+1)/2)*(Inputs!$J$7-Inputs!$I$7)))-Inputs!$C$34)^2)+(((Inputs!$C$6)-Inputs!$C$35)^2))/(2*Inputs!$C$36^2)))+Inputs!$C$37*(0.55*SIN(2*PI()*((Inputs!$I$7+(((A157)+1)/2)*(Inputs!$J$7-Inputs!$I$7)))/Inputs!$C$39)+0.35*COS(2*PI()*(Inputs!$C$6)/Inputs!$C$40)+0.2*SIN(2*PI()*(((Inputs!$I$7+(((A157)+1)/2)*(Inputs!$J$7-Inputs!$I$7)))+(Inputs!$C$6))/(0.5*(Inputs!$C$39+Inputs!$C$40))))+Inputs!$C$38*SIN(2*PI()*((Inputs!$I$7+(((A157)+1)/2)*(Inputs!$J$7-Inputs!$I$7)))/Inputs!$C$39)*SIN(2*PI()*(Inputs!$C$6)/Inputs!$C$40)+-Inputs!$C$41*EXP(-(((Inputs!$C$6)-Inputs!$C$43)^2)/(2*Inputs!$C$44^2))*EXP(-((((Inputs!$I$7+(((A157)+1)/2)*(Inputs!$J$7-Inputs!$I$7)))-Inputs!$C$42)^2)/(2*Inputs!$C$45^2))+Inputs!$C$48*(0.7*(0.45*SIN(2*PI()*((((Inputs!$I$7+(((A157)+1)/2)*(Inputs!$J$7-Inputs!$I$7)))/Inputs!$C$49)+Inputs!$C$47*0.137))+0.35*COS(2*PI()*(((Inputs!$C$6)/Inputs!$C$50)+Inputs!$C$47*0.173))+0.2*SIN(2*PI()*((((Inputs!$I$7+(((A157)+1)/2)*(Inputs!$J$7-Inputs!$I$7)))+(Inputs!$C$6))/(0.5*(Inputs!$C$49+Inputs!$C$50))+Inputs!$C$47*0.097)))+0.3*(2*((SIN((((Inputs!$I$7+(((A157)+1)/2)*(Inputs!$J$7-Inputs!$I$7)))*12.9898+(Inputs!$C$6)*78.233+Inputs!$C$47*37.719))*43758.5453)-INT((SIN((((Inputs!$I$7+(((A157)+1)/2)*(Inputs!$J$7-Inputs!$I$7)))*12.9898+(Inputs!$C$6)*78.233+Inputs!$C$47*37.719))*43758.5453)))-1))),NA())</f>
        <v/>
      </c>
      <c r="AU157" s="9">
        <f>IF(OR(Inputs!$F$8=TRUE,Inputs!$F$8="TRUE",Inputs!$F$8=1),IF(OR(Inputs!$C$27=TRUE,Inputs!$C$27="TRUE",Inputs!$C$27=1),1,0)*(Inputs!$C$51*(115*EXP(-(((Inputs!$C$6)-25)^2)/(4.5^2))+70*EXP(-(((Inputs!$C$6)+38)^2)/(7^2))*(0.55+0.45*SIN(2*PI()*((Inputs!$I$8+(((A157)+1)/2)*(Inputs!$J$8-Inputs!$I$8)))/45))+24*SIN(2*PI()*(Inputs!$C$6)/9+((Inputs!$I$8+(((A157)+1)/2)*(Inputs!$J$8-Inputs!$I$8)))/18)*EXP(-(((Inputs!$C$6)+5)^2)/(22^2))+18*SIN(2*PI()*((Inputs!$I$8+(((A157)+1)/2)*(Inputs!$J$8-Inputs!$I$8)))/70))+Inputs!$C$28*EXP(-((((Inputs!$I$8+(((A157)+1)/2)*(Inputs!$J$8-Inputs!$I$8)))-Inputs!$C$29)^2)/(2*Inputs!$C$31^2))*EXP(-(((Inputs!$C$6)-Inputs!$C$30)^2)/(2*Inputs!$C$32^2))+-Inputs!$C$33*EXP(-((((((Inputs!$I$8+(((A157)+1)/2)*(Inputs!$J$8-Inputs!$I$8)))-Inputs!$C$34)^2)+(((Inputs!$C$6)-Inputs!$C$35)^2))/(2*Inputs!$C$36^2)))+Inputs!$C$37*(0.55*SIN(2*PI()*((Inputs!$I$8+(((A157)+1)/2)*(Inputs!$J$8-Inputs!$I$8)))/Inputs!$C$39)+0.35*COS(2*PI()*(Inputs!$C$6)/Inputs!$C$40)+0.2*SIN(2*PI()*(((Inputs!$I$8+(((A157)+1)/2)*(Inputs!$J$8-Inputs!$I$8)))+(Inputs!$C$6))/(0.5*(Inputs!$C$39+Inputs!$C$40))))+Inputs!$C$38*SIN(2*PI()*((Inputs!$I$8+(((A157)+1)/2)*(Inputs!$J$8-Inputs!$I$8)))/Inputs!$C$39)*SIN(2*PI()*(Inputs!$C$6)/Inputs!$C$40)+-Inputs!$C$41*EXP(-(((Inputs!$C$6)-Inputs!$C$43)^2)/(2*Inputs!$C$44^2))*EXP(-((((Inputs!$I$8+(((A157)+1)/2)*(Inputs!$J$8-Inputs!$I$8)))-Inputs!$C$42)^2)/(2*Inputs!$C$45^2))+Inputs!$C$48*(0.7*(0.45*SIN(2*PI()*((((Inputs!$I$8+(((A157)+1)/2)*(Inputs!$J$8-Inputs!$I$8)))/Inputs!$C$49)+Inputs!$C$47*0.137))+0.35*COS(2*PI()*(((Inputs!$C$6)/Inputs!$C$50)+Inputs!$C$47*0.173))+0.2*SIN(2*PI()*((((Inputs!$I$8+(((A157)+1)/2)*(Inputs!$J$8-Inputs!$I$8)))+(Inputs!$C$6))/(0.5*(Inputs!$C$49+Inputs!$C$50))+Inputs!$C$47*0.097)))+0.3*(2*((SIN((((Inputs!$I$8+(((A157)+1)/2)*(Inputs!$J$8-Inputs!$I$8)))*12.9898+(Inputs!$C$6)*78.233+Inputs!$C$47*37.719))*43758.5453)-INT((SIN((((Inputs!$I$8+(((A157)+1)/2)*(Inputs!$J$8-Inputs!$I$8)))*12.9898+(Inputs!$C$6)*78.233+Inputs!$C$47*37.719))*43758.5453)))-1))),NA())</f>
        <v/>
      </c>
      <c r="AV157" s="9">
        <f>IF(OR(Inputs!$F$9=TRUE,Inputs!$F$9="TRUE",Inputs!$F$9=1),IF(OR(Inputs!$C$27=TRUE,Inputs!$C$27="TRUE",Inputs!$C$27=1),1,0)*(Inputs!$C$51*(115*EXP(-(((Inputs!$C$6)-25)^2)/(4.5^2))+70*EXP(-(((Inputs!$C$6)+38)^2)/(7^2))*(0.55+0.45*SIN(2*PI()*((Inputs!$I$9+(((A157)+1)/2)*(Inputs!$J$9-Inputs!$I$9)))/45))+24*SIN(2*PI()*(Inputs!$C$6)/9+((Inputs!$I$9+(((A157)+1)/2)*(Inputs!$J$9-Inputs!$I$9)))/18)*EXP(-(((Inputs!$C$6)+5)^2)/(22^2))+18*SIN(2*PI()*((Inputs!$I$9+(((A157)+1)/2)*(Inputs!$J$9-Inputs!$I$9)))/70))+Inputs!$C$28*EXP(-((((Inputs!$I$9+(((A157)+1)/2)*(Inputs!$J$9-Inputs!$I$9)))-Inputs!$C$29)^2)/(2*Inputs!$C$31^2))*EXP(-(((Inputs!$C$6)-Inputs!$C$30)^2)/(2*Inputs!$C$32^2))+-Inputs!$C$33*EXP(-((((((Inputs!$I$9+(((A157)+1)/2)*(Inputs!$J$9-Inputs!$I$9)))-Inputs!$C$34)^2)+(((Inputs!$C$6)-Inputs!$C$35)^2))/(2*Inputs!$C$36^2)))+Inputs!$C$37*(0.55*SIN(2*PI()*((Inputs!$I$9+(((A157)+1)/2)*(Inputs!$J$9-Inputs!$I$9)))/Inputs!$C$39)+0.35*COS(2*PI()*(Inputs!$C$6)/Inputs!$C$40)+0.2*SIN(2*PI()*(((Inputs!$I$9+(((A157)+1)/2)*(Inputs!$J$9-Inputs!$I$9)))+(Inputs!$C$6))/(0.5*(Inputs!$C$39+Inputs!$C$40))))+Inputs!$C$38*SIN(2*PI()*((Inputs!$I$9+(((A157)+1)/2)*(Inputs!$J$9-Inputs!$I$9)))/Inputs!$C$39)*SIN(2*PI()*(Inputs!$C$6)/Inputs!$C$40)+-Inputs!$C$41*EXP(-(((Inputs!$C$6)-Inputs!$C$43)^2)/(2*Inputs!$C$44^2))*EXP(-((((Inputs!$I$9+(((A157)+1)/2)*(Inputs!$J$9-Inputs!$I$9)))-Inputs!$C$42)^2)/(2*Inputs!$C$45^2))+Inputs!$C$48*(0.7*(0.45*SIN(2*PI()*((((Inputs!$I$9+(((A157)+1)/2)*(Inputs!$J$9-Inputs!$I$9)))/Inputs!$C$49)+Inputs!$C$47*0.137))+0.35*COS(2*PI()*(((Inputs!$C$6)/Inputs!$C$50)+Inputs!$C$47*0.173))+0.2*SIN(2*PI()*((((Inputs!$I$9+(((A157)+1)/2)*(Inputs!$J$9-Inputs!$I$9)))+(Inputs!$C$6))/(0.5*(Inputs!$C$49+Inputs!$C$50))+Inputs!$C$47*0.097)))+0.3*(2*((SIN((((Inputs!$I$9+(((A157)+1)/2)*(Inputs!$J$9-Inputs!$I$9)))*12.9898+(Inputs!$C$6)*78.233+Inputs!$C$47*37.719))*43758.5453)-INT((SIN((((Inputs!$I$9+(((A157)+1)/2)*(Inputs!$J$9-Inputs!$I$9)))*12.9898+(Inputs!$C$6)*78.233+Inputs!$C$47*37.719))*43758.5453)))-1))),NA())</f>
        <v/>
      </c>
      <c r="AW157" s="10" t="n"/>
      <c r="AX157" s="9">
        <f>A157</f>
        <v/>
      </c>
      <c r="AY157" s="9">
        <f>0</f>
        <v/>
      </c>
      <c r="AZ157" s="9">
        <f>IF(OR(Inputs!$F$6=TRUE,Inputs!$F$6="TRUE",Inputs!$F$6=1),(Inputs!$H$6+Inputs!$L$6*(((Inputs!$I$6+(((A157)+1)/2)*(Inputs!$J$6-Inputs!$I$6)))/Inputs!$K$6)^2),NA())</f>
        <v/>
      </c>
      <c r="BA157" s="9">
        <f>IF(OR(Inputs!$F$7=TRUE,Inputs!$F$7="TRUE",Inputs!$F$7=1),(Inputs!$H$7+Inputs!$L$7*(((Inputs!$I$7+(((A157)+1)/2)*(Inputs!$J$7-Inputs!$I$7)))/Inputs!$K$7)^2),NA())</f>
        <v/>
      </c>
      <c r="BB157" s="9">
        <f>IF(OR(Inputs!$F$8=TRUE,Inputs!$F$8="TRUE",Inputs!$F$8=1),(Inputs!$H$8+Inputs!$L$8*(((Inputs!$I$8+(((A157)+1)/2)*(Inputs!$J$8-Inputs!$I$8)))/Inputs!$K$8)^2),NA())</f>
        <v/>
      </c>
      <c r="BC157" s="9">
        <f>IF(OR(Inputs!$F$9=TRUE,Inputs!$F$9="TRUE",Inputs!$F$9=1),(Inputs!$H$9+Inputs!$L$9*(((Inputs!$I$9+(((A157)+1)/2)*(Inputs!$J$9-Inputs!$I$9)))/Inputs!$K$9)^2),NA())</f>
        <v/>
      </c>
      <c r="BD157" s="10" t="n"/>
      <c r="BE157" s="9">
        <f>A157</f>
        <v/>
      </c>
      <c r="BF157" s="9">
        <f>0</f>
        <v/>
      </c>
      <c r="BG157" s="9">
        <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f>
        <v/>
      </c>
      <c r="BH157" s="9">
        <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f>
        <v/>
      </c>
      <c r="BI157" s="9">
        <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f>
        <v/>
      </c>
      <c r="BJ157" s="9">
        <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f>
        <v/>
      </c>
    </row>
    <row r="158">
      <c r="A158" s="9">
        <f>ROUND(-1+156*2/240,3)</f>
        <v/>
      </c>
      <c r="B158" s="9">
        <f>IF(OR(Inputs!$F$6=TRUE,Inputs!$F$6="TRUE",Inputs!$F$6=1),(Inputs!$H$6+Inputs!$L$6*(((Inputs!$I$6+(((A158)+1)/2)*(Inputs!$J$6-Inputs!$I$6)))/Inputs!$K$6)^2),NA())</f>
        <v/>
      </c>
      <c r="C158" s="9">
        <f>IF(OR(Inputs!$F$7=TRUE,Inputs!$F$7="TRUE",Inputs!$F$7=1),(Inputs!$H$7+Inputs!$L$7*(((Inputs!$I$7+(((A158)+1)/2)*(Inputs!$J$7-Inputs!$I$7)))/Inputs!$K$7)^2),NA())</f>
        <v/>
      </c>
      <c r="D158" s="9">
        <f>IF(OR(Inputs!$F$8=TRUE,Inputs!$F$8="TRUE",Inputs!$F$8=1),(Inputs!$H$8+Inputs!$L$8*(((Inputs!$I$8+(((A158)+1)/2)*(Inputs!$J$8-Inputs!$I$8)))/Inputs!$K$8)^2),NA())</f>
        <v/>
      </c>
      <c r="E158" s="9">
        <f>IF(OR(Inputs!$F$9=TRUE,Inputs!$F$9="TRUE",Inputs!$F$9=1),(Inputs!$H$9+Inputs!$L$9*(((Inputs!$I$9+(((A158)+1)/2)*(Inputs!$J$9-Inputs!$I$9)))/Inputs!$K$9)^2),NA())</f>
        <v/>
      </c>
      <c r="F158" s="10" t="n"/>
      <c r="G158" s="9">
        <f>A158</f>
        <v/>
      </c>
      <c r="H158" s="9">
        <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f>
        <v/>
      </c>
      <c r="I158" s="9">
        <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f>
        <v/>
      </c>
      <c r="J158" s="9">
        <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f>
        <v/>
      </c>
      <c r="K158" s="9">
        <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f>
        <v/>
      </c>
      <c r="L158" s="10" t="n"/>
      <c r="M158" s="9">
        <f>A158</f>
        <v/>
      </c>
      <c r="N158" s="9">
        <f>IF(OR(Inputs!$F$6=TRUE,Inputs!$F$6="TRUE",Inputs!$F$6=1),(-2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NA())</f>
        <v/>
      </c>
      <c r="O158" s="9">
        <f>IF(OR(Inputs!$F$7=TRUE,Inputs!$F$7="TRUE",Inputs!$F$7=1),(-2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NA())</f>
        <v/>
      </c>
      <c r="P158" s="9">
        <f>IF(OR(Inputs!$F$8=TRUE,Inputs!$F$8="TRUE",Inputs!$F$8=1),(-2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NA())</f>
        <v/>
      </c>
      <c r="Q158" s="9">
        <f>IF(OR(Inputs!$F$9=TRUE,Inputs!$F$9="TRUE",Inputs!$F$9=1),(-2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NA())</f>
        <v/>
      </c>
      <c r="R158" s="10" t="n"/>
      <c r="S158" s="9">
        <f>A158</f>
        <v/>
      </c>
      <c r="T158" s="9">
        <f>(Inputs!$I$6+(((A158)+1)/2)*(Inputs!$J$6-Inputs!$I$6))</f>
        <v/>
      </c>
      <c r="U158" s="9">
        <f>(Inputs!$I$7+(((A158)+1)/2)*(Inputs!$J$7-Inputs!$I$7))</f>
        <v/>
      </c>
      <c r="V158" s="9">
        <f>(Inputs!$I$8+(((A158)+1)/2)*(Inputs!$J$8-Inputs!$I$8))</f>
        <v/>
      </c>
      <c r="W158" s="9">
        <f>(Inputs!$I$9+(((A158)+1)/2)*(Inputs!$J$9-Inputs!$I$9))</f>
        <v/>
      </c>
      <c r="X158" s="10" t="n"/>
      <c r="Y158" s="9">
        <f>A158</f>
        <v/>
      </c>
      <c r="Z158" s="9">
        <f>(Inputs!$H$6+Inputs!$L$6*(((Inputs!$I$6+(((A158)+1)/2)*(Inputs!$J$6-Inputs!$I$6)))/Inputs!$K$6)^2)</f>
        <v/>
      </c>
      <c r="AA158" s="9">
        <f>(Inputs!$H$7+Inputs!$L$7*(((Inputs!$I$7+(((A158)+1)/2)*(Inputs!$J$7-Inputs!$I$7)))/Inputs!$K$7)^2)</f>
        <v/>
      </c>
      <c r="AB158" s="9">
        <f>(Inputs!$H$8+Inputs!$L$8*(((Inputs!$I$8+(((A158)+1)/2)*(Inputs!$J$8-Inputs!$I$8)))/Inputs!$K$8)^2)</f>
        <v/>
      </c>
      <c r="AC158" s="9">
        <f>(Inputs!$H$9+Inputs!$L$9*(((Inputs!$I$9+(((A158)+1)/2)*(Inputs!$J$9-Inputs!$I$9)))/Inputs!$K$9)^2)</f>
        <v/>
      </c>
      <c r="AD158" s="10" t="n"/>
      <c r="AE158" s="9">
        <f>A158</f>
        <v/>
      </c>
      <c r="AF158" s="9">
        <f>(((SQRT((Inputs!$C$52+((Inputs!$H$6+Inputs!$L$6*(((Inputs!$I$6+(((A158)+1)/2)*(Inputs!$J$6-Inputs!$I$6)))/Inputs!$K$6)^2)))^2+Inputs!$C$52^2-2*(Inputs!$C$52+((Inputs!$H$6+Inputs!$L$6*(((Inputs!$I$6+(((A158)+1)/2)*(Inputs!$J$6-Inputs!$I$6)))/Inputs!$K$6)^2)))*Inputs!$C$52*COS(SQRT(((Inputs!$I$6+(((A158)+1)/2)*(Inputs!$J$6-Inputs!$I$6)))^2+Inputs!$C$6^2)/Inputs!$C$52)))-((Inputs!$H$6+Inputs!$L$6*(((Inputs!$I$6+(((A158)+1)/2)*(Inputs!$J$6-Inputs!$I$6)))/Inputs!$K$6)^2)))*1000/Inputs!$C$12)</f>
        <v/>
      </c>
      <c r="AG158" s="9">
        <f>(((SQRT((Inputs!$C$52+((Inputs!$H$7+Inputs!$L$7*(((Inputs!$I$7+(((A158)+1)/2)*(Inputs!$J$7-Inputs!$I$7)))/Inputs!$K$7)^2)))^2+Inputs!$C$52^2-2*(Inputs!$C$52+((Inputs!$H$7+Inputs!$L$7*(((Inputs!$I$7+(((A158)+1)/2)*(Inputs!$J$7-Inputs!$I$7)))/Inputs!$K$7)^2)))*Inputs!$C$52*COS(SQRT(((Inputs!$I$7+(((A158)+1)/2)*(Inputs!$J$7-Inputs!$I$7)))^2+Inputs!$C$6^2)/Inputs!$C$52)))-((Inputs!$H$7+Inputs!$L$7*(((Inputs!$I$7+(((A158)+1)/2)*(Inputs!$J$7-Inputs!$I$7)))/Inputs!$K$7)^2)))*1000/Inputs!$C$12)</f>
        <v/>
      </c>
      <c r="AH158" s="9">
        <f>(((SQRT((Inputs!$C$52+((Inputs!$H$8+Inputs!$L$8*(((Inputs!$I$8+(((A158)+1)/2)*(Inputs!$J$8-Inputs!$I$8)))/Inputs!$K$8)^2)))^2+Inputs!$C$52^2-2*(Inputs!$C$52+((Inputs!$H$8+Inputs!$L$8*(((Inputs!$I$8+(((A158)+1)/2)*(Inputs!$J$8-Inputs!$I$8)))/Inputs!$K$8)^2)))*Inputs!$C$52*COS(SQRT(((Inputs!$I$8+(((A158)+1)/2)*(Inputs!$J$8-Inputs!$I$8)))^2+Inputs!$C$6^2)/Inputs!$C$52)))-((Inputs!$H$8+Inputs!$L$8*(((Inputs!$I$8+(((A158)+1)/2)*(Inputs!$J$8-Inputs!$I$8)))/Inputs!$K$8)^2)))*1000/Inputs!$C$12)</f>
        <v/>
      </c>
      <c r="AI158" s="9">
        <f>(((SQRT((Inputs!$C$52+((Inputs!$H$9+Inputs!$L$9*(((Inputs!$I$9+(((A158)+1)/2)*(Inputs!$J$9-Inputs!$I$9)))/Inputs!$K$9)^2)))^2+Inputs!$C$52^2-2*(Inputs!$C$52+((Inputs!$H$9+Inputs!$L$9*(((Inputs!$I$9+(((A158)+1)/2)*(Inputs!$J$9-Inputs!$I$9)))/Inputs!$K$9)^2)))*Inputs!$C$52*COS(SQRT(((Inputs!$I$9+(((A158)+1)/2)*(Inputs!$J$9-Inputs!$I$9)))^2+Inputs!$C$6^2)/Inputs!$C$52)))-((Inputs!$H$9+Inputs!$L$9*(((Inputs!$I$9+(((A158)+1)/2)*(Inputs!$J$9-Inputs!$I$9)))/Inputs!$K$9)^2)))*1000/Inputs!$C$12)</f>
        <v/>
      </c>
      <c r="AJ158" s="10" t="n"/>
      <c r="AK158" s="9">
        <f>A158</f>
        <v/>
      </c>
      <c r="AL158" s="9">
        <f>(-2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f>
        <v/>
      </c>
      <c r="AM158" s="9">
        <f>(-2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f>
        <v/>
      </c>
      <c r="AN158" s="9">
        <f>(-2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f>
        <v/>
      </c>
      <c r="AO158" s="9">
        <f>(-2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f>
        <v/>
      </c>
      <c r="AP158" s="10" t="n"/>
      <c r="AQ158" s="9">
        <f>A158</f>
        <v/>
      </c>
      <c r="AR158" s="9">
        <f>0</f>
        <v/>
      </c>
      <c r="AS158" s="9">
        <f>IF(OR(Inputs!$F$6=TRUE,Inputs!$F$6="TRUE",Inputs!$F$6=1),IF(OR(Inputs!$C$27=TRUE,Inputs!$C$27="TRUE",Inputs!$C$27=1),1,0)*(Inputs!$C$51*(115*EXP(-(((Inputs!$C$6)-25)^2)/(4.5^2))+70*EXP(-(((Inputs!$C$6)+38)^2)/(7^2))*(0.55+0.45*SIN(2*PI()*((Inputs!$I$6+(((A158)+1)/2)*(Inputs!$J$6-Inputs!$I$6)))/45))+24*SIN(2*PI()*(Inputs!$C$6)/9+((Inputs!$I$6+(((A158)+1)/2)*(Inputs!$J$6-Inputs!$I$6)))/18)*EXP(-(((Inputs!$C$6)+5)^2)/(22^2))+18*SIN(2*PI()*((Inputs!$I$6+(((A158)+1)/2)*(Inputs!$J$6-Inputs!$I$6)))/70))+Inputs!$C$28*EXP(-((((Inputs!$I$6+(((A158)+1)/2)*(Inputs!$J$6-Inputs!$I$6)))-Inputs!$C$29)^2)/(2*Inputs!$C$31^2))*EXP(-(((Inputs!$C$6)-Inputs!$C$30)^2)/(2*Inputs!$C$32^2))+-Inputs!$C$33*EXP(-((((((Inputs!$I$6+(((A158)+1)/2)*(Inputs!$J$6-Inputs!$I$6)))-Inputs!$C$34)^2)+(((Inputs!$C$6)-Inputs!$C$35)^2))/(2*Inputs!$C$36^2)))+Inputs!$C$37*(0.55*SIN(2*PI()*((Inputs!$I$6+(((A158)+1)/2)*(Inputs!$J$6-Inputs!$I$6)))/Inputs!$C$39)+0.35*COS(2*PI()*(Inputs!$C$6)/Inputs!$C$40)+0.2*SIN(2*PI()*(((Inputs!$I$6+(((A158)+1)/2)*(Inputs!$J$6-Inputs!$I$6)))+(Inputs!$C$6))/(0.5*(Inputs!$C$39+Inputs!$C$40))))+Inputs!$C$38*SIN(2*PI()*((Inputs!$I$6+(((A158)+1)/2)*(Inputs!$J$6-Inputs!$I$6)))/Inputs!$C$39)*SIN(2*PI()*(Inputs!$C$6)/Inputs!$C$40)+-Inputs!$C$41*EXP(-(((Inputs!$C$6)-Inputs!$C$43)^2)/(2*Inputs!$C$44^2))*EXP(-((((Inputs!$I$6+(((A158)+1)/2)*(Inputs!$J$6-Inputs!$I$6)))-Inputs!$C$42)^2)/(2*Inputs!$C$45^2))+Inputs!$C$48*(0.7*(0.45*SIN(2*PI()*((((Inputs!$I$6+(((A158)+1)/2)*(Inputs!$J$6-Inputs!$I$6)))/Inputs!$C$49)+Inputs!$C$47*0.137))+0.35*COS(2*PI()*(((Inputs!$C$6)/Inputs!$C$50)+Inputs!$C$47*0.173))+0.2*SIN(2*PI()*((((Inputs!$I$6+(((A158)+1)/2)*(Inputs!$J$6-Inputs!$I$6)))+(Inputs!$C$6))/(0.5*(Inputs!$C$49+Inputs!$C$50))+Inputs!$C$47*0.097)))+0.3*(2*((SIN((((Inputs!$I$6+(((A158)+1)/2)*(Inputs!$J$6-Inputs!$I$6)))*12.9898+(Inputs!$C$6)*78.233+Inputs!$C$47*37.719))*43758.5453)-INT((SIN((((Inputs!$I$6+(((A158)+1)/2)*(Inputs!$J$6-Inputs!$I$6)))*12.9898+(Inputs!$C$6)*78.233+Inputs!$C$47*37.719))*43758.5453)))-1))),NA())</f>
        <v/>
      </c>
      <c r="AT158" s="9">
        <f>IF(OR(Inputs!$F$7=TRUE,Inputs!$F$7="TRUE",Inputs!$F$7=1),IF(OR(Inputs!$C$27=TRUE,Inputs!$C$27="TRUE",Inputs!$C$27=1),1,0)*(Inputs!$C$51*(115*EXP(-(((Inputs!$C$6)-25)^2)/(4.5^2))+70*EXP(-(((Inputs!$C$6)+38)^2)/(7^2))*(0.55+0.45*SIN(2*PI()*((Inputs!$I$7+(((A158)+1)/2)*(Inputs!$J$7-Inputs!$I$7)))/45))+24*SIN(2*PI()*(Inputs!$C$6)/9+((Inputs!$I$7+(((A158)+1)/2)*(Inputs!$J$7-Inputs!$I$7)))/18)*EXP(-(((Inputs!$C$6)+5)^2)/(22^2))+18*SIN(2*PI()*((Inputs!$I$7+(((A158)+1)/2)*(Inputs!$J$7-Inputs!$I$7)))/70))+Inputs!$C$28*EXP(-((((Inputs!$I$7+(((A158)+1)/2)*(Inputs!$J$7-Inputs!$I$7)))-Inputs!$C$29)^2)/(2*Inputs!$C$31^2))*EXP(-(((Inputs!$C$6)-Inputs!$C$30)^2)/(2*Inputs!$C$32^2))+-Inputs!$C$33*EXP(-((((((Inputs!$I$7+(((A158)+1)/2)*(Inputs!$J$7-Inputs!$I$7)))-Inputs!$C$34)^2)+(((Inputs!$C$6)-Inputs!$C$35)^2))/(2*Inputs!$C$36^2)))+Inputs!$C$37*(0.55*SIN(2*PI()*((Inputs!$I$7+(((A158)+1)/2)*(Inputs!$J$7-Inputs!$I$7)))/Inputs!$C$39)+0.35*COS(2*PI()*(Inputs!$C$6)/Inputs!$C$40)+0.2*SIN(2*PI()*(((Inputs!$I$7+(((A158)+1)/2)*(Inputs!$J$7-Inputs!$I$7)))+(Inputs!$C$6))/(0.5*(Inputs!$C$39+Inputs!$C$40))))+Inputs!$C$38*SIN(2*PI()*((Inputs!$I$7+(((A158)+1)/2)*(Inputs!$J$7-Inputs!$I$7)))/Inputs!$C$39)*SIN(2*PI()*(Inputs!$C$6)/Inputs!$C$40)+-Inputs!$C$41*EXP(-(((Inputs!$C$6)-Inputs!$C$43)^2)/(2*Inputs!$C$44^2))*EXP(-((((Inputs!$I$7+(((A158)+1)/2)*(Inputs!$J$7-Inputs!$I$7)))-Inputs!$C$42)^2)/(2*Inputs!$C$45^2))+Inputs!$C$48*(0.7*(0.45*SIN(2*PI()*((((Inputs!$I$7+(((A158)+1)/2)*(Inputs!$J$7-Inputs!$I$7)))/Inputs!$C$49)+Inputs!$C$47*0.137))+0.35*COS(2*PI()*(((Inputs!$C$6)/Inputs!$C$50)+Inputs!$C$47*0.173))+0.2*SIN(2*PI()*((((Inputs!$I$7+(((A158)+1)/2)*(Inputs!$J$7-Inputs!$I$7)))+(Inputs!$C$6))/(0.5*(Inputs!$C$49+Inputs!$C$50))+Inputs!$C$47*0.097)))+0.3*(2*((SIN((((Inputs!$I$7+(((A158)+1)/2)*(Inputs!$J$7-Inputs!$I$7)))*12.9898+(Inputs!$C$6)*78.233+Inputs!$C$47*37.719))*43758.5453)-INT((SIN((((Inputs!$I$7+(((A158)+1)/2)*(Inputs!$J$7-Inputs!$I$7)))*12.9898+(Inputs!$C$6)*78.233+Inputs!$C$47*37.719))*43758.5453)))-1))),NA())</f>
        <v/>
      </c>
      <c r="AU158" s="9">
        <f>IF(OR(Inputs!$F$8=TRUE,Inputs!$F$8="TRUE",Inputs!$F$8=1),IF(OR(Inputs!$C$27=TRUE,Inputs!$C$27="TRUE",Inputs!$C$27=1),1,0)*(Inputs!$C$51*(115*EXP(-(((Inputs!$C$6)-25)^2)/(4.5^2))+70*EXP(-(((Inputs!$C$6)+38)^2)/(7^2))*(0.55+0.45*SIN(2*PI()*((Inputs!$I$8+(((A158)+1)/2)*(Inputs!$J$8-Inputs!$I$8)))/45))+24*SIN(2*PI()*(Inputs!$C$6)/9+((Inputs!$I$8+(((A158)+1)/2)*(Inputs!$J$8-Inputs!$I$8)))/18)*EXP(-(((Inputs!$C$6)+5)^2)/(22^2))+18*SIN(2*PI()*((Inputs!$I$8+(((A158)+1)/2)*(Inputs!$J$8-Inputs!$I$8)))/70))+Inputs!$C$28*EXP(-((((Inputs!$I$8+(((A158)+1)/2)*(Inputs!$J$8-Inputs!$I$8)))-Inputs!$C$29)^2)/(2*Inputs!$C$31^2))*EXP(-(((Inputs!$C$6)-Inputs!$C$30)^2)/(2*Inputs!$C$32^2))+-Inputs!$C$33*EXP(-((((((Inputs!$I$8+(((A158)+1)/2)*(Inputs!$J$8-Inputs!$I$8)))-Inputs!$C$34)^2)+(((Inputs!$C$6)-Inputs!$C$35)^2))/(2*Inputs!$C$36^2)))+Inputs!$C$37*(0.55*SIN(2*PI()*((Inputs!$I$8+(((A158)+1)/2)*(Inputs!$J$8-Inputs!$I$8)))/Inputs!$C$39)+0.35*COS(2*PI()*(Inputs!$C$6)/Inputs!$C$40)+0.2*SIN(2*PI()*(((Inputs!$I$8+(((A158)+1)/2)*(Inputs!$J$8-Inputs!$I$8)))+(Inputs!$C$6))/(0.5*(Inputs!$C$39+Inputs!$C$40))))+Inputs!$C$38*SIN(2*PI()*((Inputs!$I$8+(((A158)+1)/2)*(Inputs!$J$8-Inputs!$I$8)))/Inputs!$C$39)*SIN(2*PI()*(Inputs!$C$6)/Inputs!$C$40)+-Inputs!$C$41*EXP(-(((Inputs!$C$6)-Inputs!$C$43)^2)/(2*Inputs!$C$44^2))*EXP(-((((Inputs!$I$8+(((A158)+1)/2)*(Inputs!$J$8-Inputs!$I$8)))-Inputs!$C$42)^2)/(2*Inputs!$C$45^2))+Inputs!$C$48*(0.7*(0.45*SIN(2*PI()*((((Inputs!$I$8+(((A158)+1)/2)*(Inputs!$J$8-Inputs!$I$8)))/Inputs!$C$49)+Inputs!$C$47*0.137))+0.35*COS(2*PI()*(((Inputs!$C$6)/Inputs!$C$50)+Inputs!$C$47*0.173))+0.2*SIN(2*PI()*((((Inputs!$I$8+(((A158)+1)/2)*(Inputs!$J$8-Inputs!$I$8)))+(Inputs!$C$6))/(0.5*(Inputs!$C$49+Inputs!$C$50))+Inputs!$C$47*0.097)))+0.3*(2*((SIN((((Inputs!$I$8+(((A158)+1)/2)*(Inputs!$J$8-Inputs!$I$8)))*12.9898+(Inputs!$C$6)*78.233+Inputs!$C$47*37.719))*43758.5453)-INT((SIN((((Inputs!$I$8+(((A158)+1)/2)*(Inputs!$J$8-Inputs!$I$8)))*12.9898+(Inputs!$C$6)*78.233+Inputs!$C$47*37.719))*43758.5453)))-1))),NA())</f>
        <v/>
      </c>
      <c r="AV158" s="9">
        <f>IF(OR(Inputs!$F$9=TRUE,Inputs!$F$9="TRUE",Inputs!$F$9=1),IF(OR(Inputs!$C$27=TRUE,Inputs!$C$27="TRUE",Inputs!$C$27=1),1,0)*(Inputs!$C$51*(115*EXP(-(((Inputs!$C$6)-25)^2)/(4.5^2))+70*EXP(-(((Inputs!$C$6)+38)^2)/(7^2))*(0.55+0.45*SIN(2*PI()*((Inputs!$I$9+(((A158)+1)/2)*(Inputs!$J$9-Inputs!$I$9)))/45))+24*SIN(2*PI()*(Inputs!$C$6)/9+((Inputs!$I$9+(((A158)+1)/2)*(Inputs!$J$9-Inputs!$I$9)))/18)*EXP(-(((Inputs!$C$6)+5)^2)/(22^2))+18*SIN(2*PI()*((Inputs!$I$9+(((A158)+1)/2)*(Inputs!$J$9-Inputs!$I$9)))/70))+Inputs!$C$28*EXP(-((((Inputs!$I$9+(((A158)+1)/2)*(Inputs!$J$9-Inputs!$I$9)))-Inputs!$C$29)^2)/(2*Inputs!$C$31^2))*EXP(-(((Inputs!$C$6)-Inputs!$C$30)^2)/(2*Inputs!$C$32^2))+-Inputs!$C$33*EXP(-((((((Inputs!$I$9+(((A158)+1)/2)*(Inputs!$J$9-Inputs!$I$9)))-Inputs!$C$34)^2)+(((Inputs!$C$6)-Inputs!$C$35)^2))/(2*Inputs!$C$36^2)))+Inputs!$C$37*(0.55*SIN(2*PI()*((Inputs!$I$9+(((A158)+1)/2)*(Inputs!$J$9-Inputs!$I$9)))/Inputs!$C$39)+0.35*COS(2*PI()*(Inputs!$C$6)/Inputs!$C$40)+0.2*SIN(2*PI()*(((Inputs!$I$9+(((A158)+1)/2)*(Inputs!$J$9-Inputs!$I$9)))+(Inputs!$C$6))/(0.5*(Inputs!$C$39+Inputs!$C$40))))+Inputs!$C$38*SIN(2*PI()*((Inputs!$I$9+(((A158)+1)/2)*(Inputs!$J$9-Inputs!$I$9)))/Inputs!$C$39)*SIN(2*PI()*(Inputs!$C$6)/Inputs!$C$40)+-Inputs!$C$41*EXP(-(((Inputs!$C$6)-Inputs!$C$43)^2)/(2*Inputs!$C$44^2))*EXP(-((((Inputs!$I$9+(((A158)+1)/2)*(Inputs!$J$9-Inputs!$I$9)))-Inputs!$C$42)^2)/(2*Inputs!$C$45^2))+Inputs!$C$48*(0.7*(0.45*SIN(2*PI()*((((Inputs!$I$9+(((A158)+1)/2)*(Inputs!$J$9-Inputs!$I$9)))/Inputs!$C$49)+Inputs!$C$47*0.137))+0.35*COS(2*PI()*(((Inputs!$C$6)/Inputs!$C$50)+Inputs!$C$47*0.173))+0.2*SIN(2*PI()*((((Inputs!$I$9+(((A158)+1)/2)*(Inputs!$J$9-Inputs!$I$9)))+(Inputs!$C$6))/(0.5*(Inputs!$C$49+Inputs!$C$50))+Inputs!$C$47*0.097)))+0.3*(2*((SIN((((Inputs!$I$9+(((A158)+1)/2)*(Inputs!$J$9-Inputs!$I$9)))*12.9898+(Inputs!$C$6)*78.233+Inputs!$C$47*37.719))*43758.5453)-INT((SIN((((Inputs!$I$9+(((A158)+1)/2)*(Inputs!$J$9-Inputs!$I$9)))*12.9898+(Inputs!$C$6)*78.233+Inputs!$C$47*37.719))*43758.5453)))-1))),NA())</f>
        <v/>
      </c>
      <c r="AW158" s="10" t="n"/>
      <c r="AX158" s="9">
        <f>A158</f>
        <v/>
      </c>
      <c r="AY158" s="9">
        <f>0</f>
        <v/>
      </c>
      <c r="AZ158" s="9">
        <f>IF(OR(Inputs!$F$6=TRUE,Inputs!$F$6="TRUE",Inputs!$F$6=1),(Inputs!$H$6+Inputs!$L$6*(((Inputs!$I$6+(((A158)+1)/2)*(Inputs!$J$6-Inputs!$I$6)))/Inputs!$K$6)^2),NA())</f>
        <v/>
      </c>
      <c r="BA158" s="9">
        <f>IF(OR(Inputs!$F$7=TRUE,Inputs!$F$7="TRUE",Inputs!$F$7=1),(Inputs!$H$7+Inputs!$L$7*(((Inputs!$I$7+(((A158)+1)/2)*(Inputs!$J$7-Inputs!$I$7)))/Inputs!$K$7)^2),NA())</f>
        <v/>
      </c>
      <c r="BB158" s="9">
        <f>IF(OR(Inputs!$F$8=TRUE,Inputs!$F$8="TRUE",Inputs!$F$8=1),(Inputs!$H$8+Inputs!$L$8*(((Inputs!$I$8+(((A158)+1)/2)*(Inputs!$J$8-Inputs!$I$8)))/Inputs!$K$8)^2),NA())</f>
        <v/>
      </c>
      <c r="BC158" s="9">
        <f>IF(OR(Inputs!$F$9=TRUE,Inputs!$F$9="TRUE",Inputs!$F$9=1),(Inputs!$H$9+Inputs!$L$9*(((Inputs!$I$9+(((A158)+1)/2)*(Inputs!$J$9-Inputs!$I$9)))/Inputs!$K$9)^2),NA())</f>
        <v/>
      </c>
      <c r="BD158" s="10" t="n"/>
      <c r="BE158" s="9">
        <f>A158</f>
        <v/>
      </c>
      <c r="BF158" s="9">
        <f>0</f>
        <v/>
      </c>
      <c r="BG158" s="9">
        <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f>
        <v/>
      </c>
      <c r="BH158" s="9">
        <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f>
        <v/>
      </c>
      <c r="BI158" s="9">
        <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f>
        <v/>
      </c>
      <c r="BJ158" s="9">
        <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f>
        <v/>
      </c>
    </row>
    <row r="159">
      <c r="A159" s="9">
        <f>ROUND(-1+157*2/240,3)</f>
        <v/>
      </c>
      <c r="B159" s="9">
        <f>IF(OR(Inputs!$F$6=TRUE,Inputs!$F$6="TRUE",Inputs!$F$6=1),(Inputs!$H$6+Inputs!$L$6*(((Inputs!$I$6+(((A159)+1)/2)*(Inputs!$J$6-Inputs!$I$6)))/Inputs!$K$6)^2),NA())</f>
        <v/>
      </c>
      <c r="C159" s="9">
        <f>IF(OR(Inputs!$F$7=TRUE,Inputs!$F$7="TRUE",Inputs!$F$7=1),(Inputs!$H$7+Inputs!$L$7*(((Inputs!$I$7+(((A159)+1)/2)*(Inputs!$J$7-Inputs!$I$7)))/Inputs!$K$7)^2),NA())</f>
        <v/>
      </c>
      <c r="D159" s="9">
        <f>IF(OR(Inputs!$F$8=TRUE,Inputs!$F$8="TRUE",Inputs!$F$8=1),(Inputs!$H$8+Inputs!$L$8*(((Inputs!$I$8+(((A159)+1)/2)*(Inputs!$J$8-Inputs!$I$8)))/Inputs!$K$8)^2),NA())</f>
        <v/>
      </c>
      <c r="E159" s="9">
        <f>IF(OR(Inputs!$F$9=TRUE,Inputs!$F$9="TRUE",Inputs!$F$9=1),(Inputs!$H$9+Inputs!$L$9*(((Inputs!$I$9+(((A159)+1)/2)*(Inputs!$J$9-Inputs!$I$9)))/Inputs!$K$9)^2),NA())</f>
        <v/>
      </c>
      <c r="F159" s="10" t="n"/>
      <c r="G159" s="9">
        <f>A159</f>
        <v/>
      </c>
      <c r="H159" s="9">
        <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f>
        <v/>
      </c>
      <c r="I159" s="9">
        <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f>
        <v/>
      </c>
      <c r="J159" s="9">
        <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f>
        <v/>
      </c>
      <c r="K159" s="9">
        <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f>
        <v/>
      </c>
      <c r="L159" s="10" t="n"/>
      <c r="M159" s="9">
        <f>A159</f>
        <v/>
      </c>
      <c r="N159" s="9">
        <f>IF(OR(Inputs!$F$6=TRUE,Inputs!$F$6="TRUE",Inputs!$F$6=1),(-2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NA())</f>
        <v/>
      </c>
      <c r="O159" s="9">
        <f>IF(OR(Inputs!$F$7=TRUE,Inputs!$F$7="TRUE",Inputs!$F$7=1),(-2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NA())</f>
        <v/>
      </c>
      <c r="P159" s="9">
        <f>IF(OR(Inputs!$F$8=TRUE,Inputs!$F$8="TRUE",Inputs!$F$8=1),(-2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NA())</f>
        <v/>
      </c>
      <c r="Q159" s="9">
        <f>IF(OR(Inputs!$F$9=TRUE,Inputs!$F$9="TRUE",Inputs!$F$9=1),(-2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NA())</f>
        <v/>
      </c>
      <c r="R159" s="10" t="n"/>
      <c r="S159" s="9">
        <f>A159</f>
        <v/>
      </c>
      <c r="T159" s="9">
        <f>(Inputs!$I$6+(((A159)+1)/2)*(Inputs!$J$6-Inputs!$I$6))</f>
        <v/>
      </c>
      <c r="U159" s="9">
        <f>(Inputs!$I$7+(((A159)+1)/2)*(Inputs!$J$7-Inputs!$I$7))</f>
        <v/>
      </c>
      <c r="V159" s="9">
        <f>(Inputs!$I$8+(((A159)+1)/2)*(Inputs!$J$8-Inputs!$I$8))</f>
        <v/>
      </c>
      <c r="W159" s="9">
        <f>(Inputs!$I$9+(((A159)+1)/2)*(Inputs!$J$9-Inputs!$I$9))</f>
        <v/>
      </c>
      <c r="X159" s="10" t="n"/>
      <c r="Y159" s="9">
        <f>A159</f>
        <v/>
      </c>
      <c r="Z159" s="9">
        <f>(Inputs!$H$6+Inputs!$L$6*(((Inputs!$I$6+(((A159)+1)/2)*(Inputs!$J$6-Inputs!$I$6)))/Inputs!$K$6)^2)</f>
        <v/>
      </c>
      <c r="AA159" s="9">
        <f>(Inputs!$H$7+Inputs!$L$7*(((Inputs!$I$7+(((A159)+1)/2)*(Inputs!$J$7-Inputs!$I$7)))/Inputs!$K$7)^2)</f>
        <v/>
      </c>
      <c r="AB159" s="9">
        <f>(Inputs!$H$8+Inputs!$L$8*(((Inputs!$I$8+(((A159)+1)/2)*(Inputs!$J$8-Inputs!$I$8)))/Inputs!$K$8)^2)</f>
        <v/>
      </c>
      <c r="AC159" s="9">
        <f>(Inputs!$H$9+Inputs!$L$9*(((Inputs!$I$9+(((A159)+1)/2)*(Inputs!$J$9-Inputs!$I$9)))/Inputs!$K$9)^2)</f>
        <v/>
      </c>
      <c r="AD159" s="10" t="n"/>
      <c r="AE159" s="9">
        <f>A159</f>
        <v/>
      </c>
      <c r="AF159" s="9">
        <f>(((SQRT((Inputs!$C$52+((Inputs!$H$6+Inputs!$L$6*(((Inputs!$I$6+(((A159)+1)/2)*(Inputs!$J$6-Inputs!$I$6)))/Inputs!$K$6)^2)))^2+Inputs!$C$52^2-2*(Inputs!$C$52+((Inputs!$H$6+Inputs!$L$6*(((Inputs!$I$6+(((A159)+1)/2)*(Inputs!$J$6-Inputs!$I$6)))/Inputs!$K$6)^2)))*Inputs!$C$52*COS(SQRT(((Inputs!$I$6+(((A159)+1)/2)*(Inputs!$J$6-Inputs!$I$6)))^2+Inputs!$C$6^2)/Inputs!$C$52)))-((Inputs!$H$6+Inputs!$L$6*(((Inputs!$I$6+(((A159)+1)/2)*(Inputs!$J$6-Inputs!$I$6)))/Inputs!$K$6)^2)))*1000/Inputs!$C$12)</f>
        <v/>
      </c>
      <c r="AG159" s="9">
        <f>(((SQRT((Inputs!$C$52+((Inputs!$H$7+Inputs!$L$7*(((Inputs!$I$7+(((A159)+1)/2)*(Inputs!$J$7-Inputs!$I$7)))/Inputs!$K$7)^2)))^2+Inputs!$C$52^2-2*(Inputs!$C$52+((Inputs!$H$7+Inputs!$L$7*(((Inputs!$I$7+(((A159)+1)/2)*(Inputs!$J$7-Inputs!$I$7)))/Inputs!$K$7)^2)))*Inputs!$C$52*COS(SQRT(((Inputs!$I$7+(((A159)+1)/2)*(Inputs!$J$7-Inputs!$I$7)))^2+Inputs!$C$6^2)/Inputs!$C$52)))-((Inputs!$H$7+Inputs!$L$7*(((Inputs!$I$7+(((A159)+1)/2)*(Inputs!$J$7-Inputs!$I$7)))/Inputs!$K$7)^2)))*1000/Inputs!$C$12)</f>
        <v/>
      </c>
      <c r="AH159" s="9">
        <f>(((SQRT((Inputs!$C$52+((Inputs!$H$8+Inputs!$L$8*(((Inputs!$I$8+(((A159)+1)/2)*(Inputs!$J$8-Inputs!$I$8)))/Inputs!$K$8)^2)))^2+Inputs!$C$52^2-2*(Inputs!$C$52+((Inputs!$H$8+Inputs!$L$8*(((Inputs!$I$8+(((A159)+1)/2)*(Inputs!$J$8-Inputs!$I$8)))/Inputs!$K$8)^2)))*Inputs!$C$52*COS(SQRT(((Inputs!$I$8+(((A159)+1)/2)*(Inputs!$J$8-Inputs!$I$8)))^2+Inputs!$C$6^2)/Inputs!$C$52)))-((Inputs!$H$8+Inputs!$L$8*(((Inputs!$I$8+(((A159)+1)/2)*(Inputs!$J$8-Inputs!$I$8)))/Inputs!$K$8)^2)))*1000/Inputs!$C$12)</f>
        <v/>
      </c>
      <c r="AI159" s="9">
        <f>(((SQRT((Inputs!$C$52+((Inputs!$H$9+Inputs!$L$9*(((Inputs!$I$9+(((A159)+1)/2)*(Inputs!$J$9-Inputs!$I$9)))/Inputs!$K$9)^2)))^2+Inputs!$C$52^2-2*(Inputs!$C$52+((Inputs!$H$9+Inputs!$L$9*(((Inputs!$I$9+(((A159)+1)/2)*(Inputs!$J$9-Inputs!$I$9)))/Inputs!$K$9)^2)))*Inputs!$C$52*COS(SQRT(((Inputs!$I$9+(((A159)+1)/2)*(Inputs!$J$9-Inputs!$I$9)))^2+Inputs!$C$6^2)/Inputs!$C$52)))-((Inputs!$H$9+Inputs!$L$9*(((Inputs!$I$9+(((A159)+1)/2)*(Inputs!$J$9-Inputs!$I$9)))/Inputs!$K$9)^2)))*1000/Inputs!$C$12)</f>
        <v/>
      </c>
      <c r="AJ159" s="10" t="n"/>
      <c r="AK159" s="9">
        <f>A159</f>
        <v/>
      </c>
      <c r="AL159" s="9">
        <f>(-2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f>
        <v/>
      </c>
      <c r="AM159" s="9">
        <f>(-2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f>
        <v/>
      </c>
      <c r="AN159" s="9">
        <f>(-2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f>
        <v/>
      </c>
      <c r="AO159" s="9">
        <f>(-2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f>
        <v/>
      </c>
      <c r="AP159" s="10" t="n"/>
      <c r="AQ159" s="9">
        <f>A159</f>
        <v/>
      </c>
      <c r="AR159" s="9">
        <f>0</f>
        <v/>
      </c>
      <c r="AS159" s="9">
        <f>IF(OR(Inputs!$F$6=TRUE,Inputs!$F$6="TRUE",Inputs!$F$6=1),IF(OR(Inputs!$C$27=TRUE,Inputs!$C$27="TRUE",Inputs!$C$27=1),1,0)*(Inputs!$C$51*(115*EXP(-(((Inputs!$C$6)-25)^2)/(4.5^2))+70*EXP(-(((Inputs!$C$6)+38)^2)/(7^2))*(0.55+0.45*SIN(2*PI()*((Inputs!$I$6+(((A159)+1)/2)*(Inputs!$J$6-Inputs!$I$6)))/45))+24*SIN(2*PI()*(Inputs!$C$6)/9+((Inputs!$I$6+(((A159)+1)/2)*(Inputs!$J$6-Inputs!$I$6)))/18)*EXP(-(((Inputs!$C$6)+5)^2)/(22^2))+18*SIN(2*PI()*((Inputs!$I$6+(((A159)+1)/2)*(Inputs!$J$6-Inputs!$I$6)))/70))+Inputs!$C$28*EXP(-((((Inputs!$I$6+(((A159)+1)/2)*(Inputs!$J$6-Inputs!$I$6)))-Inputs!$C$29)^2)/(2*Inputs!$C$31^2))*EXP(-(((Inputs!$C$6)-Inputs!$C$30)^2)/(2*Inputs!$C$32^2))+-Inputs!$C$33*EXP(-((((((Inputs!$I$6+(((A159)+1)/2)*(Inputs!$J$6-Inputs!$I$6)))-Inputs!$C$34)^2)+(((Inputs!$C$6)-Inputs!$C$35)^2))/(2*Inputs!$C$36^2)))+Inputs!$C$37*(0.55*SIN(2*PI()*((Inputs!$I$6+(((A159)+1)/2)*(Inputs!$J$6-Inputs!$I$6)))/Inputs!$C$39)+0.35*COS(2*PI()*(Inputs!$C$6)/Inputs!$C$40)+0.2*SIN(2*PI()*(((Inputs!$I$6+(((A159)+1)/2)*(Inputs!$J$6-Inputs!$I$6)))+(Inputs!$C$6))/(0.5*(Inputs!$C$39+Inputs!$C$40))))+Inputs!$C$38*SIN(2*PI()*((Inputs!$I$6+(((A159)+1)/2)*(Inputs!$J$6-Inputs!$I$6)))/Inputs!$C$39)*SIN(2*PI()*(Inputs!$C$6)/Inputs!$C$40)+-Inputs!$C$41*EXP(-(((Inputs!$C$6)-Inputs!$C$43)^2)/(2*Inputs!$C$44^2))*EXP(-((((Inputs!$I$6+(((A159)+1)/2)*(Inputs!$J$6-Inputs!$I$6)))-Inputs!$C$42)^2)/(2*Inputs!$C$45^2))+Inputs!$C$48*(0.7*(0.45*SIN(2*PI()*((((Inputs!$I$6+(((A159)+1)/2)*(Inputs!$J$6-Inputs!$I$6)))/Inputs!$C$49)+Inputs!$C$47*0.137))+0.35*COS(2*PI()*(((Inputs!$C$6)/Inputs!$C$50)+Inputs!$C$47*0.173))+0.2*SIN(2*PI()*((((Inputs!$I$6+(((A159)+1)/2)*(Inputs!$J$6-Inputs!$I$6)))+(Inputs!$C$6))/(0.5*(Inputs!$C$49+Inputs!$C$50))+Inputs!$C$47*0.097)))+0.3*(2*((SIN((((Inputs!$I$6+(((A159)+1)/2)*(Inputs!$J$6-Inputs!$I$6)))*12.9898+(Inputs!$C$6)*78.233+Inputs!$C$47*37.719))*43758.5453)-INT((SIN((((Inputs!$I$6+(((A159)+1)/2)*(Inputs!$J$6-Inputs!$I$6)))*12.9898+(Inputs!$C$6)*78.233+Inputs!$C$47*37.719))*43758.5453)))-1))),NA())</f>
        <v/>
      </c>
      <c r="AT159" s="9">
        <f>IF(OR(Inputs!$F$7=TRUE,Inputs!$F$7="TRUE",Inputs!$F$7=1),IF(OR(Inputs!$C$27=TRUE,Inputs!$C$27="TRUE",Inputs!$C$27=1),1,0)*(Inputs!$C$51*(115*EXP(-(((Inputs!$C$6)-25)^2)/(4.5^2))+70*EXP(-(((Inputs!$C$6)+38)^2)/(7^2))*(0.55+0.45*SIN(2*PI()*((Inputs!$I$7+(((A159)+1)/2)*(Inputs!$J$7-Inputs!$I$7)))/45))+24*SIN(2*PI()*(Inputs!$C$6)/9+((Inputs!$I$7+(((A159)+1)/2)*(Inputs!$J$7-Inputs!$I$7)))/18)*EXP(-(((Inputs!$C$6)+5)^2)/(22^2))+18*SIN(2*PI()*((Inputs!$I$7+(((A159)+1)/2)*(Inputs!$J$7-Inputs!$I$7)))/70))+Inputs!$C$28*EXP(-((((Inputs!$I$7+(((A159)+1)/2)*(Inputs!$J$7-Inputs!$I$7)))-Inputs!$C$29)^2)/(2*Inputs!$C$31^2))*EXP(-(((Inputs!$C$6)-Inputs!$C$30)^2)/(2*Inputs!$C$32^2))+-Inputs!$C$33*EXP(-((((((Inputs!$I$7+(((A159)+1)/2)*(Inputs!$J$7-Inputs!$I$7)))-Inputs!$C$34)^2)+(((Inputs!$C$6)-Inputs!$C$35)^2))/(2*Inputs!$C$36^2)))+Inputs!$C$37*(0.55*SIN(2*PI()*((Inputs!$I$7+(((A159)+1)/2)*(Inputs!$J$7-Inputs!$I$7)))/Inputs!$C$39)+0.35*COS(2*PI()*(Inputs!$C$6)/Inputs!$C$40)+0.2*SIN(2*PI()*(((Inputs!$I$7+(((A159)+1)/2)*(Inputs!$J$7-Inputs!$I$7)))+(Inputs!$C$6))/(0.5*(Inputs!$C$39+Inputs!$C$40))))+Inputs!$C$38*SIN(2*PI()*((Inputs!$I$7+(((A159)+1)/2)*(Inputs!$J$7-Inputs!$I$7)))/Inputs!$C$39)*SIN(2*PI()*(Inputs!$C$6)/Inputs!$C$40)+-Inputs!$C$41*EXP(-(((Inputs!$C$6)-Inputs!$C$43)^2)/(2*Inputs!$C$44^2))*EXP(-((((Inputs!$I$7+(((A159)+1)/2)*(Inputs!$J$7-Inputs!$I$7)))-Inputs!$C$42)^2)/(2*Inputs!$C$45^2))+Inputs!$C$48*(0.7*(0.45*SIN(2*PI()*((((Inputs!$I$7+(((A159)+1)/2)*(Inputs!$J$7-Inputs!$I$7)))/Inputs!$C$49)+Inputs!$C$47*0.137))+0.35*COS(2*PI()*(((Inputs!$C$6)/Inputs!$C$50)+Inputs!$C$47*0.173))+0.2*SIN(2*PI()*((((Inputs!$I$7+(((A159)+1)/2)*(Inputs!$J$7-Inputs!$I$7)))+(Inputs!$C$6))/(0.5*(Inputs!$C$49+Inputs!$C$50))+Inputs!$C$47*0.097)))+0.3*(2*((SIN((((Inputs!$I$7+(((A159)+1)/2)*(Inputs!$J$7-Inputs!$I$7)))*12.9898+(Inputs!$C$6)*78.233+Inputs!$C$47*37.719))*43758.5453)-INT((SIN((((Inputs!$I$7+(((A159)+1)/2)*(Inputs!$J$7-Inputs!$I$7)))*12.9898+(Inputs!$C$6)*78.233+Inputs!$C$47*37.719))*43758.5453)))-1))),NA())</f>
        <v/>
      </c>
      <c r="AU159" s="9">
        <f>IF(OR(Inputs!$F$8=TRUE,Inputs!$F$8="TRUE",Inputs!$F$8=1),IF(OR(Inputs!$C$27=TRUE,Inputs!$C$27="TRUE",Inputs!$C$27=1),1,0)*(Inputs!$C$51*(115*EXP(-(((Inputs!$C$6)-25)^2)/(4.5^2))+70*EXP(-(((Inputs!$C$6)+38)^2)/(7^2))*(0.55+0.45*SIN(2*PI()*((Inputs!$I$8+(((A159)+1)/2)*(Inputs!$J$8-Inputs!$I$8)))/45))+24*SIN(2*PI()*(Inputs!$C$6)/9+((Inputs!$I$8+(((A159)+1)/2)*(Inputs!$J$8-Inputs!$I$8)))/18)*EXP(-(((Inputs!$C$6)+5)^2)/(22^2))+18*SIN(2*PI()*((Inputs!$I$8+(((A159)+1)/2)*(Inputs!$J$8-Inputs!$I$8)))/70))+Inputs!$C$28*EXP(-((((Inputs!$I$8+(((A159)+1)/2)*(Inputs!$J$8-Inputs!$I$8)))-Inputs!$C$29)^2)/(2*Inputs!$C$31^2))*EXP(-(((Inputs!$C$6)-Inputs!$C$30)^2)/(2*Inputs!$C$32^2))+-Inputs!$C$33*EXP(-((((((Inputs!$I$8+(((A159)+1)/2)*(Inputs!$J$8-Inputs!$I$8)))-Inputs!$C$34)^2)+(((Inputs!$C$6)-Inputs!$C$35)^2))/(2*Inputs!$C$36^2)))+Inputs!$C$37*(0.55*SIN(2*PI()*((Inputs!$I$8+(((A159)+1)/2)*(Inputs!$J$8-Inputs!$I$8)))/Inputs!$C$39)+0.35*COS(2*PI()*(Inputs!$C$6)/Inputs!$C$40)+0.2*SIN(2*PI()*(((Inputs!$I$8+(((A159)+1)/2)*(Inputs!$J$8-Inputs!$I$8)))+(Inputs!$C$6))/(0.5*(Inputs!$C$39+Inputs!$C$40))))+Inputs!$C$38*SIN(2*PI()*((Inputs!$I$8+(((A159)+1)/2)*(Inputs!$J$8-Inputs!$I$8)))/Inputs!$C$39)*SIN(2*PI()*(Inputs!$C$6)/Inputs!$C$40)+-Inputs!$C$41*EXP(-(((Inputs!$C$6)-Inputs!$C$43)^2)/(2*Inputs!$C$44^2))*EXP(-((((Inputs!$I$8+(((A159)+1)/2)*(Inputs!$J$8-Inputs!$I$8)))-Inputs!$C$42)^2)/(2*Inputs!$C$45^2))+Inputs!$C$48*(0.7*(0.45*SIN(2*PI()*((((Inputs!$I$8+(((A159)+1)/2)*(Inputs!$J$8-Inputs!$I$8)))/Inputs!$C$49)+Inputs!$C$47*0.137))+0.35*COS(2*PI()*(((Inputs!$C$6)/Inputs!$C$50)+Inputs!$C$47*0.173))+0.2*SIN(2*PI()*((((Inputs!$I$8+(((A159)+1)/2)*(Inputs!$J$8-Inputs!$I$8)))+(Inputs!$C$6))/(0.5*(Inputs!$C$49+Inputs!$C$50))+Inputs!$C$47*0.097)))+0.3*(2*((SIN((((Inputs!$I$8+(((A159)+1)/2)*(Inputs!$J$8-Inputs!$I$8)))*12.9898+(Inputs!$C$6)*78.233+Inputs!$C$47*37.719))*43758.5453)-INT((SIN((((Inputs!$I$8+(((A159)+1)/2)*(Inputs!$J$8-Inputs!$I$8)))*12.9898+(Inputs!$C$6)*78.233+Inputs!$C$47*37.719))*43758.5453)))-1))),NA())</f>
        <v/>
      </c>
      <c r="AV159" s="9">
        <f>IF(OR(Inputs!$F$9=TRUE,Inputs!$F$9="TRUE",Inputs!$F$9=1),IF(OR(Inputs!$C$27=TRUE,Inputs!$C$27="TRUE",Inputs!$C$27=1),1,0)*(Inputs!$C$51*(115*EXP(-(((Inputs!$C$6)-25)^2)/(4.5^2))+70*EXP(-(((Inputs!$C$6)+38)^2)/(7^2))*(0.55+0.45*SIN(2*PI()*((Inputs!$I$9+(((A159)+1)/2)*(Inputs!$J$9-Inputs!$I$9)))/45))+24*SIN(2*PI()*(Inputs!$C$6)/9+((Inputs!$I$9+(((A159)+1)/2)*(Inputs!$J$9-Inputs!$I$9)))/18)*EXP(-(((Inputs!$C$6)+5)^2)/(22^2))+18*SIN(2*PI()*((Inputs!$I$9+(((A159)+1)/2)*(Inputs!$J$9-Inputs!$I$9)))/70))+Inputs!$C$28*EXP(-((((Inputs!$I$9+(((A159)+1)/2)*(Inputs!$J$9-Inputs!$I$9)))-Inputs!$C$29)^2)/(2*Inputs!$C$31^2))*EXP(-(((Inputs!$C$6)-Inputs!$C$30)^2)/(2*Inputs!$C$32^2))+-Inputs!$C$33*EXP(-((((((Inputs!$I$9+(((A159)+1)/2)*(Inputs!$J$9-Inputs!$I$9)))-Inputs!$C$34)^2)+(((Inputs!$C$6)-Inputs!$C$35)^2))/(2*Inputs!$C$36^2)))+Inputs!$C$37*(0.55*SIN(2*PI()*((Inputs!$I$9+(((A159)+1)/2)*(Inputs!$J$9-Inputs!$I$9)))/Inputs!$C$39)+0.35*COS(2*PI()*(Inputs!$C$6)/Inputs!$C$40)+0.2*SIN(2*PI()*(((Inputs!$I$9+(((A159)+1)/2)*(Inputs!$J$9-Inputs!$I$9)))+(Inputs!$C$6))/(0.5*(Inputs!$C$39+Inputs!$C$40))))+Inputs!$C$38*SIN(2*PI()*((Inputs!$I$9+(((A159)+1)/2)*(Inputs!$J$9-Inputs!$I$9)))/Inputs!$C$39)*SIN(2*PI()*(Inputs!$C$6)/Inputs!$C$40)+-Inputs!$C$41*EXP(-(((Inputs!$C$6)-Inputs!$C$43)^2)/(2*Inputs!$C$44^2))*EXP(-((((Inputs!$I$9+(((A159)+1)/2)*(Inputs!$J$9-Inputs!$I$9)))-Inputs!$C$42)^2)/(2*Inputs!$C$45^2))+Inputs!$C$48*(0.7*(0.45*SIN(2*PI()*((((Inputs!$I$9+(((A159)+1)/2)*(Inputs!$J$9-Inputs!$I$9)))/Inputs!$C$49)+Inputs!$C$47*0.137))+0.35*COS(2*PI()*(((Inputs!$C$6)/Inputs!$C$50)+Inputs!$C$47*0.173))+0.2*SIN(2*PI()*((((Inputs!$I$9+(((A159)+1)/2)*(Inputs!$J$9-Inputs!$I$9)))+(Inputs!$C$6))/(0.5*(Inputs!$C$49+Inputs!$C$50))+Inputs!$C$47*0.097)))+0.3*(2*((SIN((((Inputs!$I$9+(((A159)+1)/2)*(Inputs!$J$9-Inputs!$I$9)))*12.9898+(Inputs!$C$6)*78.233+Inputs!$C$47*37.719))*43758.5453)-INT((SIN((((Inputs!$I$9+(((A159)+1)/2)*(Inputs!$J$9-Inputs!$I$9)))*12.9898+(Inputs!$C$6)*78.233+Inputs!$C$47*37.719))*43758.5453)))-1))),NA())</f>
        <v/>
      </c>
      <c r="AW159" s="10" t="n"/>
      <c r="AX159" s="9">
        <f>A159</f>
        <v/>
      </c>
      <c r="AY159" s="9">
        <f>0</f>
        <v/>
      </c>
      <c r="AZ159" s="9">
        <f>IF(OR(Inputs!$F$6=TRUE,Inputs!$F$6="TRUE",Inputs!$F$6=1),(Inputs!$H$6+Inputs!$L$6*(((Inputs!$I$6+(((A159)+1)/2)*(Inputs!$J$6-Inputs!$I$6)))/Inputs!$K$6)^2),NA())</f>
        <v/>
      </c>
      <c r="BA159" s="9">
        <f>IF(OR(Inputs!$F$7=TRUE,Inputs!$F$7="TRUE",Inputs!$F$7=1),(Inputs!$H$7+Inputs!$L$7*(((Inputs!$I$7+(((A159)+1)/2)*(Inputs!$J$7-Inputs!$I$7)))/Inputs!$K$7)^2),NA())</f>
        <v/>
      </c>
      <c r="BB159" s="9">
        <f>IF(OR(Inputs!$F$8=TRUE,Inputs!$F$8="TRUE",Inputs!$F$8=1),(Inputs!$H$8+Inputs!$L$8*(((Inputs!$I$8+(((A159)+1)/2)*(Inputs!$J$8-Inputs!$I$8)))/Inputs!$K$8)^2),NA())</f>
        <v/>
      </c>
      <c r="BC159" s="9">
        <f>IF(OR(Inputs!$F$9=TRUE,Inputs!$F$9="TRUE",Inputs!$F$9=1),(Inputs!$H$9+Inputs!$L$9*(((Inputs!$I$9+(((A159)+1)/2)*(Inputs!$J$9-Inputs!$I$9)))/Inputs!$K$9)^2),NA())</f>
        <v/>
      </c>
      <c r="BD159" s="10" t="n"/>
      <c r="BE159" s="9">
        <f>A159</f>
        <v/>
      </c>
      <c r="BF159" s="9">
        <f>0</f>
        <v/>
      </c>
      <c r="BG159" s="9">
        <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f>
        <v/>
      </c>
      <c r="BH159" s="9">
        <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f>
        <v/>
      </c>
      <c r="BI159" s="9">
        <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f>
        <v/>
      </c>
      <c r="BJ159" s="9">
        <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f>
        <v/>
      </c>
    </row>
    <row r="160">
      <c r="A160" s="9">
        <f>ROUND(-1+158*2/240,3)</f>
        <v/>
      </c>
      <c r="B160" s="9">
        <f>IF(OR(Inputs!$F$6=TRUE,Inputs!$F$6="TRUE",Inputs!$F$6=1),(Inputs!$H$6+Inputs!$L$6*(((Inputs!$I$6+(((A160)+1)/2)*(Inputs!$J$6-Inputs!$I$6)))/Inputs!$K$6)^2),NA())</f>
        <v/>
      </c>
      <c r="C160" s="9">
        <f>IF(OR(Inputs!$F$7=TRUE,Inputs!$F$7="TRUE",Inputs!$F$7=1),(Inputs!$H$7+Inputs!$L$7*(((Inputs!$I$7+(((A160)+1)/2)*(Inputs!$J$7-Inputs!$I$7)))/Inputs!$K$7)^2),NA())</f>
        <v/>
      </c>
      <c r="D160" s="9">
        <f>IF(OR(Inputs!$F$8=TRUE,Inputs!$F$8="TRUE",Inputs!$F$8=1),(Inputs!$H$8+Inputs!$L$8*(((Inputs!$I$8+(((A160)+1)/2)*(Inputs!$J$8-Inputs!$I$8)))/Inputs!$K$8)^2),NA())</f>
        <v/>
      </c>
      <c r="E160" s="9">
        <f>IF(OR(Inputs!$F$9=TRUE,Inputs!$F$9="TRUE",Inputs!$F$9=1),(Inputs!$H$9+Inputs!$L$9*(((Inputs!$I$9+(((A160)+1)/2)*(Inputs!$J$9-Inputs!$I$9)))/Inputs!$K$9)^2),NA())</f>
        <v/>
      </c>
      <c r="F160" s="10" t="n"/>
      <c r="G160" s="9">
        <f>A160</f>
        <v/>
      </c>
      <c r="H160" s="9">
        <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f>
        <v/>
      </c>
      <c r="I160" s="9">
        <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f>
        <v/>
      </c>
      <c r="J160" s="9">
        <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f>
        <v/>
      </c>
      <c r="K160" s="9">
        <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f>
        <v/>
      </c>
      <c r="L160" s="10" t="n"/>
      <c r="M160" s="9">
        <f>A160</f>
        <v/>
      </c>
      <c r="N160" s="9">
        <f>IF(OR(Inputs!$F$6=TRUE,Inputs!$F$6="TRUE",Inputs!$F$6=1),(-2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NA())</f>
        <v/>
      </c>
      <c r="O160" s="9">
        <f>IF(OR(Inputs!$F$7=TRUE,Inputs!$F$7="TRUE",Inputs!$F$7=1),(-2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NA())</f>
        <v/>
      </c>
      <c r="P160" s="9">
        <f>IF(OR(Inputs!$F$8=TRUE,Inputs!$F$8="TRUE",Inputs!$F$8=1),(-2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NA())</f>
        <v/>
      </c>
      <c r="Q160" s="9">
        <f>IF(OR(Inputs!$F$9=TRUE,Inputs!$F$9="TRUE",Inputs!$F$9=1),(-2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NA())</f>
        <v/>
      </c>
      <c r="R160" s="10" t="n"/>
      <c r="S160" s="9">
        <f>A160</f>
        <v/>
      </c>
      <c r="T160" s="9">
        <f>(Inputs!$I$6+(((A160)+1)/2)*(Inputs!$J$6-Inputs!$I$6))</f>
        <v/>
      </c>
      <c r="U160" s="9">
        <f>(Inputs!$I$7+(((A160)+1)/2)*(Inputs!$J$7-Inputs!$I$7))</f>
        <v/>
      </c>
      <c r="V160" s="9">
        <f>(Inputs!$I$8+(((A160)+1)/2)*(Inputs!$J$8-Inputs!$I$8))</f>
        <v/>
      </c>
      <c r="W160" s="9">
        <f>(Inputs!$I$9+(((A160)+1)/2)*(Inputs!$J$9-Inputs!$I$9))</f>
        <v/>
      </c>
      <c r="X160" s="10" t="n"/>
      <c r="Y160" s="9">
        <f>A160</f>
        <v/>
      </c>
      <c r="Z160" s="9">
        <f>(Inputs!$H$6+Inputs!$L$6*(((Inputs!$I$6+(((A160)+1)/2)*(Inputs!$J$6-Inputs!$I$6)))/Inputs!$K$6)^2)</f>
        <v/>
      </c>
      <c r="AA160" s="9">
        <f>(Inputs!$H$7+Inputs!$L$7*(((Inputs!$I$7+(((A160)+1)/2)*(Inputs!$J$7-Inputs!$I$7)))/Inputs!$K$7)^2)</f>
        <v/>
      </c>
      <c r="AB160" s="9">
        <f>(Inputs!$H$8+Inputs!$L$8*(((Inputs!$I$8+(((A160)+1)/2)*(Inputs!$J$8-Inputs!$I$8)))/Inputs!$K$8)^2)</f>
        <v/>
      </c>
      <c r="AC160" s="9">
        <f>(Inputs!$H$9+Inputs!$L$9*(((Inputs!$I$9+(((A160)+1)/2)*(Inputs!$J$9-Inputs!$I$9)))/Inputs!$K$9)^2)</f>
        <v/>
      </c>
      <c r="AD160" s="10" t="n"/>
      <c r="AE160" s="9">
        <f>A160</f>
        <v/>
      </c>
      <c r="AF160" s="9">
        <f>(((SQRT((Inputs!$C$52+((Inputs!$H$6+Inputs!$L$6*(((Inputs!$I$6+(((A160)+1)/2)*(Inputs!$J$6-Inputs!$I$6)))/Inputs!$K$6)^2)))^2+Inputs!$C$52^2-2*(Inputs!$C$52+((Inputs!$H$6+Inputs!$L$6*(((Inputs!$I$6+(((A160)+1)/2)*(Inputs!$J$6-Inputs!$I$6)))/Inputs!$K$6)^2)))*Inputs!$C$52*COS(SQRT(((Inputs!$I$6+(((A160)+1)/2)*(Inputs!$J$6-Inputs!$I$6)))^2+Inputs!$C$6^2)/Inputs!$C$52)))-((Inputs!$H$6+Inputs!$L$6*(((Inputs!$I$6+(((A160)+1)/2)*(Inputs!$J$6-Inputs!$I$6)))/Inputs!$K$6)^2)))*1000/Inputs!$C$12)</f>
        <v/>
      </c>
      <c r="AG160" s="9">
        <f>(((SQRT((Inputs!$C$52+((Inputs!$H$7+Inputs!$L$7*(((Inputs!$I$7+(((A160)+1)/2)*(Inputs!$J$7-Inputs!$I$7)))/Inputs!$K$7)^2)))^2+Inputs!$C$52^2-2*(Inputs!$C$52+((Inputs!$H$7+Inputs!$L$7*(((Inputs!$I$7+(((A160)+1)/2)*(Inputs!$J$7-Inputs!$I$7)))/Inputs!$K$7)^2)))*Inputs!$C$52*COS(SQRT(((Inputs!$I$7+(((A160)+1)/2)*(Inputs!$J$7-Inputs!$I$7)))^2+Inputs!$C$6^2)/Inputs!$C$52)))-((Inputs!$H$7+Inputs!$L$7*(((Inputs!$I$7+(((A160)+1)/2)*(Inputs!$J$7-Inputs!$I$7)))/Inputs!$K$7)^2)))*1000/Inputs!$C$12)</f>
        <v/>
      </c>
      <c r="AH160" s="9">
        <f>(((SQRT((Inputs!$C$52+((Inputs!$H$8+Inputs!$L$8*(((Inputs!$I$8+(((A160)+1)/2)*(Inputs!$J$8-Inputs!$I$8)))/Inputs!$K$8)^2)))^2+Inputs!$C$52^2-2*(Inputs!$C$52+((Inputs!$H$8+Inputs!$L$8*(((Inputs!$I$8+(((A160)+1)/2)*(Inputs!$J$8-Inputs!$I$8)))/Inputs!$K$8)^2)))*Inputs!$C$52*COS(SQRT(((Inputs!$I$8+(((A160)+1)/2)*(Inputs!$J$8-Inputs!$I$8)))^2+Inputs!$C$6^2)/Inputs!$C$52)))-((Inputs!$H$8+Inputs!$L$8*(((Inputs!$I$8+(((A160)+1)/2)*(Inputs!$J$8-Inputs!$I$8)))/Inputs!$K$8)^2)))*1000/Inputs!$C$12)</f>
        <v/>
      </c>
      <c r="AI160" s="9">
        <f>(((SQRT((Inputs!$C$52+((Inputs!$H$9+Inputs!$L$9*(((Inputs!$I$9+(((A160)+1)/2)*(Inputs!$J$9-Inputs!$I$9)))/Inputs!$K$9)^2)))^2+Inputs!$C$52^2-2*(Inputs!$C$52+((Inputs!$H$9+Inputs!$L$9*(((Inputs!$I$9+(((A160)+1)/2)*(Inputs!$J$9-Inputs!$I$9)))/Inputs!$K$9)^2)))*Inputs!$C$52*COS(SQRT(((Inputs!$I$9+(((A160)+1)/2)*(Inputs!$J$9-Inputs!$I$9)))^2+Inputs!$C$6^2)/Inputs!$C$52)))-((Inputs!$H$9+Inputs!$L$9*(((Inputs!$I$9+(((A160)+1)/2)*(Inputs!$J$9-Inputs!$I$9)))/Inputs!$K$9)^2)))*1000/Inputs!$C$12)</f>
        <v/>
      </c>
      <c r="AJ160" s="10" t="n"/>
      <c r="AK160" s="9">
        <f>A160</f>
        <v/>
      </c>
      <c r="AL160" s="9">
        <f>(-2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f>
        <v/>
      </c>
      <c r="AM160" s="9">
        <f>(-2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f>
        <v/>
      </c>
      <c r="AN160" s="9">
        <f>(-2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f>
        <v/>
      </c>
      <c r="AO160" s="9">
        <f>(-2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f>
        <v/>
      </c>
      <c r="AP160" s="10" t="n"/>
      <c r="AQ160" s="9">
        <f>A160</f>
        <v/>
      </c>
      <c r="AR160" s="9">
        <f>0</f>
        <v/>
      </c>
      <c r="AS160" s="9">
        <f>IF(OR(Inputs!$F$6=TRUE,Inputs!$F$6="TRUE",Inputs!$F$6=1),IF(OR(Inputs!$C$27=TRUE,Inputs!$C$27="TRUE",Inputs!$C$27=1),1,0)*(Inputs!$C$51*(115*EXP(-(((Inputs!$C$6)-25)^2)/(4.5^2))+70*EXP(-(((Inputs!$C$6)+38)^2)/(7^2))*(0.55+0.45*SIN(2*PI()*((Inputs!$I$6+(((A160)+1)/2)*(Inputs!$J$6-Inputs!$I$6)))/45))+24*SIN(2*PI()*(Inputs!$C$6)/9+((Inputs!$I$6+(((A160)+1)/2)*(Inputs!$J$6-Inputs!$I$6)))/18)*EXP(-(((Inputs!$C$6)+5)^2)/(22^2))+18*SIN(2*PI()*((Inputs!$I$6+(((A160)+1)/2)*(Inputs!$J$6-Inputs!$I$6)))/70))+Inputs!$C$28*EXP(-((((Inputs!$I$6+(((A160)+1)/2)*(Inputs!$J$6-Inputs!$I$6)))-Inputs!$C$29)^2)/(2*Inputs!$C$31^2))*EXP(-(((Inputs!$C$6)-Inputs!$C$30)^2)/(2*Inputs!$C$32^2))+-Inputs!$C$33*EXP(-((((((Inputs!$I$6+(((A160)+1)/2)*(Inputs!$J$6-Inputs!$I$6)))-Inputs!$C$34)^2)+(((Inputs!$C$6)-Inputs!$C$35)^2))/(2*Inputs!$C$36^2)))+Inputs!$C$37*(0.55*SIN(2*PI()*((Inputs!$I$6+(((A160)+1)/2)*(Inputs!$J$6-Inputs!$I$6)))/Inputs!$C$39)+0.35*COS(2*PI()*(Inputs!$C$6)/Inputs!$C$40)+0.2*SIN(2*PI()*(((Inputs!$I$6+(((A160)+1)/2)*(Inputs!$J$6-Inputs!$I$6)))+(Inputs!$C$6))/(0.5*(Inputs!$C$39+Inputs!$C$40))))+Inputs!$C$38*SIN(2*PI()*((Inputs!$I$6+(((A160)+1)/2)*(Inputs!$J$6-Inputs!$I$6)))/Inputs!$C$39)*SIN(2*PI()*(Inputs!$C$6)/Inputs!$C$40)+-Inputs!$C$41*EXP(-(((Inputs!$C$6)-Inputs!$C$43)^2)/(2*Inputs!$C$44^2))*EXP(-((((Inputs!$I$6+(((A160)+1)/2)*(Inputs!$J$6-Inputs!$I$6)))-Inputs!$C$42)^2)/(2*Inputs!$C$45^2))+Inputs!$C$48*(0.7*(0.45*SIN(2*PI()*((((Inputs!$I$6+(((A160)+1)/2)*(Inputs!$J$6-Inputs!$I$6)))/Inputs!$C$49)+Inputs!$C$47*0.137))+0.35*COS(2*PI()*(((Inputs!$C$6)/Inputs!$C$50)+Inputs!$C$47*0.173))+0.2*SIN(2*PI()*((((Inputs!$I$6+(((A160)+1)/2)*(Inputs!$J$6-Inputs!$I$6)))+(Inputs!$C$6))/(0.5*(Inputs!$C$49+Inputs!$C$50))+Inputs!$C$47*0.097)))+0.3*(2*((SIN((((Inputs!$I$6+(((A160)+1)/2)*(Inputs!$J$6-Inputs!$I$6)))*12.9898+(Inputs!$C$6)*78.233+Inputs!$C$47*37.719))*43758.5453)-INT((SIN((((Inputs!$I$6+(((A160)+1)/2)*(Inputs!$J$6-Inputs!$I$6)))*12.9898+(Inputs!$C$6)*78.233+Inputs!$C$47*37.719))*43758.5453)))-1))),NA())</f>
        <v/>
      </c>
      <c r="AT160" s="9">
        <f>IF(OR(Inputs!$F$7=TRUE,Inputs!$F$7="TRUE",Inputs!$F$7=1),IF(OR(Inputs!$C$27=TRUE,Inputs!$C$27="TRUE",Inputs!$C$27=1),1,0)*(Inputs!$C$51*(115*EXP(-(((Inputs!$C$6)-25)^2)/(4.5^2))+70*EXP(-(((Inputs!$C$6)+38)^2)/(7^2))*(0.55+0.45*SIN(2*PI()*((Inputs!$I$7+(((A160)+1)/2)*(Inputs!$J$7-Inputs!$I$7)))/45))+24*SIN(2*PI()*(Inputs!$C$6)/9+((Inputs!$I$7+(((A160)+1)/2)*(Inputs!$J$7-Inputs!$I$7)))/18)*EXP(-(((Inputs!$C$6)+5)^2)/(22^2))+18*SIN(2*PI()*((Inputs!$I$7+(((A160)+1)/2)*(Inputs!$J$7-Inputs!$I$7)))/70))+Inputs!$C$28*EXP(-((((Inputs!$I$7+(((A160)+1)/2)*(Inputs!$J$7-Inputs!$I$7)))-Inputs!$C$29)^2)/(2*Inputs!$C$31^2))*EXP(-(((Inputs!$C$6)-Inputs!$C$30)^2)/(2*Inputs!$C$32^2))+-Inputs!$C$33*EXP(-((((((Inputs!$I$7+(((A160)+1)/2)*(Inputs!$J$7-Inputs!$I$7)))-Inputs!$C$34)^2)+(((Inputs!$C$6)-Inputs!$C$35)^2))/(2*Inputs!$C$36^2)))+Inputs!$C$37*(0.55*SIN(2*PI()*((Inputs!$I$7+(((A160)+1)/2)*(Inputs!$J$7-Inputs!$I$7)))/Inputs!$C$39)+0.35*COS(2*PI()*(Inputs!$C$6)/Inputs!$C$40)+0.2*SIN(2*PI()*(((Inputs!$I$7+(((A160)+1)/2)*(Inputs!$J$7-Inputs!$I$7)))+(Inputs!$C$6))/(0.5*(Inputs!$C$39+Inputs!$C$40))))+Inputs!$C$38*SIN(2*PI()*((Inputs!$I$7+(((A160)+1)/2)*(Inputs!$J$7-Inputs!$I$7)))/Inputs!$C$39)*SIN(2*PI()*(Inputs!$C$6)/Inputs!$C$40)+-Inputs!$C$41*EXP(-(((Inputs!$C$6)-Inputs!$C$43)^2)/(2*Inputs!$C$44^2))*EXP(-((((Inputs!$I$7+(((A160)+1)/2)*(Inputs!$J$7-Inputs!$I$7)))-Inputs!$C$42)^2)/(2*Inputs!$C$45^2))+Inputs!$C$48*(0.7*(0.45*SIN(2*PI()*((((Inputs!$I$7+(((A160)+1)/2)*(Inputs!$J$7-Inputs!$I$7)))/Inputs!$C$49)+Inputs!$C$47*0.137))+0.35*COS(2*PI()*(((Inputs!$C$6)/Inputs!$C$50)+Inputs!$C$47*0.173))+0.2*SIN(2*PI()*((((Inputs!$I$7+(((A160)+1)/2)*(Inputs!$J$7-Inputs!$I$7)))+(Inputs!$C$6))/(0.5*(Inputs!$C$49+Inputs!$C$50))+Inputs!$C$47*0.097)))+0.3*(2*((SIN((((Inputs!$I$7+(((A160)+1)/2)*(Inputs!$J$7-Inputs!$I$7)))*12.9898+(Inputs!$C$6)*78.233+Inputs!$C$47*37.719))*43758.5453)-INT((SIN((((Inputs!$I$7+(((A160)+1)/2)*(Inputs!$J$7-Inputs!$I$7)))*12.9898+(Inputs!$C$6)*78.233+Inputs!$C$47*37.719))*43758.5453)))-1))),NA())</f>
        <v/>
      </c>
      <c r="AU160" s="9">
        <f>IF(OR(Inputs!$F$8=TRUE,Inputs!$F$8="TRUE",Inputs!$F$8=1),IF(OR(Inputs!$C$27=TRUE,Inputs!$C$27="TRUE",Inputs!$C$27=1),1,0)*(Inputs!$C$51*(115*EXP(-(((Inputs!$C$6)-25)^2)/(4.5^2))+70*EXP(-(((Inputs!$C$6)+38)^2)/(7^2))*(0.55+0.45*SIN(2*PI()*((Inputs!$I$8+(((A160)+1)/2)*(Inputs!$J$8-Inputs!$I$8)))/45))+24*SIN(2*PI()*(Inputs!$C$6)/9+((Inputs!$I$8+(((A160)+1)/2)*(Inputs!$J$8-Inputs!$I$8)))/18)*EXP(-(((Inputs!$C$6)+5)^2)/(22^2))+18*SIN(2*PI()*((Inputs!$I$8+(((A160)+1)/2)*(Inputs!$J$8-Inputs!$I$8)))/70))+Inputs!$C$28*EXP(-((((Inputs!$I$8+(((A160)+1)/2)*(Inputs!$J$8-Inputs!$I$8)))-Inputs!$C$29)^2)/(2*Inputs!$C$31^2))*EXP(-(((Inputs!$C$6)-Inputs!$C$30)^2)/(2*Inputs!$C$32^2))+-Inputs!$C$33*EXP(-((((((Inputs!$I$8+(((A160)+1)/2)*(Inputs!$J$8-Inputs!$I$8)))-Inputs!$C$34)^2)+(((Inputs!$C$6)-Inputs!$C$35)^2))/(2*Inputs!$C$36^2)))+Inputs!$C$37*(0.55*SIN(2*PI()*((Inputs!$I$8+(((A160)+1)/2)*(Inputs!$J$8-Inputs!$I$8)))/Inputs!$C$39)+0.35*COS(2*PI()*(Inputs!$C$6)/Inputs!$C$40)+0.2*SIN(2*PI()*(((Inputs!$I$8+(((A160)+1)/2)*(Inputs!$J$8-Inputs!$I$8)))+(Inputs!$C$6))/(0.5*(Inputs!$C$39+Inputs!$C$40))))+Inputs!$C$38*SIN(2*PI()*((Inputs!$I$8+(((A160)+1)/2)*(Inputs!$J$8-Inputs!$I$8)))/Inputs!$C$39)*SIN(2*PI()*(Inputs!$C$6)/Inputs!$C$40)+-Inputs!$C$41*EXP(-(((Inputs!$C$6)-Inputs!$C$43)^2)/(2*Inputs!$C$44^2))*EXP(-((((Inputs!$I$8+(((A160)+1)/2)*(Inputs!$J$8-Inputs!$I$8)))-Inputs!$C$42)^2)/(2*Inputs!$C$45^2))+Inputs!$C$48*(0.7*(0.45*SIN(2*PI()*((((Inputs!$I$8+(((A160)+1)/2)*(Inputs!$J$8-Inputs!$I$8)))/Inputs!$C$49)+Inputs!$C$47*0.137))+0.35*COS(2*PI()*(((Inputs!$C$6)/Inputs!$C$50)+Inputs!$C$47*0.173))+0.2*SIN(2*PI()*((((Inputs!$I$8+(((A160)+1)/2)*(Inputs!$J$8-Inputs!$I$8)))+(Inputs!$C$6))/(0.5*(Inputs!$C$49+Inputs!$C$50))+Inputs!$C$47*0.097)))+0.3*(2*((SIN((((Inputs!$I$8+(((A160)+1)/2)*(Inputs!$J$8-Inputs!$I$8)))*12.9898+(Inputs!$C$6)*78.233+Inputs!$C$47*37.719))*43758.5453)-INT((SIN((((Inputs!$I$8+(((A160)+1)/2)*(Inputs!$J$8-Inputs!$I$8)))*12.9898+(Inputs!$C$6)*78.233+Inputs!$C$47*37.719))*43758.5453)))-1))),NA())</f>
        <v/>
      </c>
      <c r="AV160" s="9">
        <f>IF(OR(Inputs!$F$9=TRUE,Inputs!$F$9="TRUE",Inputs!$F$9=1),IF(OR(Inputs!$C$27=TRUE,Inputs!$C$27="TRUE",Inputs!$C$27=1),1,0)*(Inputs!$C$51*(115*EXP(-(((Inputs!$C$6)-25)^2)/(4.5^2))+70*EXP(-(((Inputs!$C$6)+38)^2)/(7^2))*(0.55+0.45*SIN(2*PI()*((Inputs!$I$9+(((A160)+1)/2)*(Inputs!$J$9-Inputs!$I$9)))/45))+24*SIN(2*PI()*(Inputs!$C$6)/9+((Inputs!$I$9+(((A160)+1)/2)*(Inputs!$J$9-Inputs!$I$9)))/18)*EXP(-(((Inputs!$C$6)+5)^2)/(22^2))+18*SIN(2*PI()*((Inputs!$I$9+(((A160)+1)/2)*(Inputs!$J$9-Inputs!$I$9)))/70))+Inputs!$C$28*EXP(-((((Inputs!$I$9+(((A160)+1)/2)*(Inputs!$J$9-Inputs!$I$9)))-Inputs!$C$29)^2)/(2*Inputs!$C$31^2))*EXP(-(((Inputs!$C$6)-Inputs!$C$30)^2)/(2*Inputs!$C$32^2))+-Inputs!$C$33*EXP(-((((((Inputs!$I$9+(((A160)+1)/2)*(Inputs!$J$9-Inputs!$I$9)))-Inputs!$C$34)^2)+(((Inputs!$C$6)-Inputs!$C$35)^2))/(2*Inputs!$C$36^2)))+Inputs!$C$37*(0.55*SIN(2*PI()*((Inputs!$I$9+(((A160)+1)/2)*(Inputs!$J$9-Inputs!$I$9)))/Inputs!$C$39)+0.35*COS(2*PI()*(Inputs!$C$6)/Inputs!$C$40)+0.2*SIN(2*PI()*(((Inputs!$I$9+(((A160)+1)/2)*(Inputs!$J$9-Inputs!$I$9)))+(Inputs!$C$6))/(0.5*(Inputs!$C$39+Inputs!$C$40))))+Inputs!$C$38*SIN(2*PI()*((Inputs!$I$9+(((A160)+1)/2)*(Inputs!$J$9-Inputs!$I$9)))/Inputs!$C$39)*SIN(2*PI()*(Inputs!$C$6)/Inputs!$C$40)+-Inputs!$C$41*EXP(-(((Inputs!$C$6)-Inputs!$C$43)^2)/(2*Inputs!$C$44^2))*EXP(-((((Inputs!$I$9+(((A160)+1)/2)*(Inputs!$J$9-Inputs!$I$9)))-Inputs!$C$42)^2)/(2*Inputs!$C$45^2))+Inputs!$C$48*(0.7*(0.45*SIN(2*PI()*((((Inputs!$I$9+(((A160)+1)/2)*(Inputs!$J$9-Inputs!$I$9)))/Inputs!$C$49)+Inputs!$C$47*0.137))+0.35*COS(2*PI()*(((Inputs!$C$6)/Inputs!$C$50)+Inputs!$C$47*0.173))+0.2*SIN(2*PI()*((((Inputs!$I$9+(((A160)+1)/2)*(Inputs!$J$9-Inputs!$I$9)))+(Inputs!$C$6))/(0.5*(Inputs!$C$49+Inputs!$C$50))+Inputs!$C$47*0.097)))+0.3*(2*((SIN((((Inputs!$I$9+(((A160)+1)/2)*(Inputs!$J$9-Inputs!$I$9)))*12.9898+(Inputs!$C$6)*78.233+Inputs!$C$47*37.719))*43758.5453)-INT((SIN((((Inputs!$I$9+(((A160)+1)/2)*(Inputs!$J$9-Inputs!$I$9)))*12.9898+(Inputs!$C$6)*78.233+Inputs!$C$47*37.719))*43758.5453)))-1))),NA())</f>
        <v/>
      </c>
      <c r="AW160" s="10" t="n"/>
      <c r="AX160" s="9">
        <f>A160</f>
        <v/>
      </c>
      <c r="AY160" s="9">
        <f>0</f>
        <v/>
      </c>
      <c r="AZ160" s="9">
        <f>IF(OR(Inputs!$F$6=TRUE,Inputs!$F$6="TRUE",Inputs!$F$6=1),(Inputs!$H$6+Inputs!$L$6*(((Inputs!$I$6+(((A160)+1)/2)*(Inputs!$J$6-Inputs!$I$6)))/Inputs!$K$6)^2),NA())</f>
        <v/>
      </c>
      <c r="BA160" s="9">
        <f>IF(OR(Inputs!$F$7=TRUE,Inputs!$F$7="TRUE",Inputs!$F$7=1),(Inputs!$H$7+Inputs!$L$7*(((Inputs!$I$7+(((A160)+1)/2)*(Inputs!$J$7-Inputs!$I$7)))/Inputs!$K$7)^2),NA())</f>
        <v/>
      </c>
      <c r="BB160" s="9">
        <f>IF(OR(Inputs!$F$8=TRUE,Inputs!$F$8="TRUE",Inputs!$F$8=1),(Inputs!$H$8+Inputs!$L$8*(((Inputs!$I$8+(((A160)+1)/2)*(Inputs!$J$8-Inputs!$I$8)))/Inputs!$K$8)^2),NA())</f>
        <v/>
      </c>
      <c r="BC160" s="9">
        <f>IF(OR(Inputs!$F$9=TRUE,Inputs!$F$9="TRUE",Inputs!$F$9=1),(Inputs!$H$9+Inputs!$L$9*(((Inputs!$I$9+(((A160)+1)/2)*(Inputs!$J$9-Inputs!$I$9)))/Inputs!$K$9)^2),NA())</f>
        <v/>
      </c>
      <c r="BD160" s="10" t="n"/>
      <c r="BE160" s="9">
        <f>A160</f>
        <v/>
      </c>
      <c r="BF160" s="9">
        <f>0</f>
        <v/>
      </c>
      <c r="BG160" s="9">
        <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f>
        <v/>
      </c>
      <c r="BH160" s="9">
        <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f>
        <v/>
      </c>
      <c r="BI160" s="9">
        <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f>
        <v/>
      </c>
      <c r="BJ160" s="9">
        <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f>
        <v/>
      </c>
    </row>
    <row r="161">
      <c r="A161" s="9">
        <f>ROUND(-1+159*2/240,3)</f>
        <v/>
      </c>
      <c r="B161" s="9">
        <f>IF(OR(Inputs!$F$6=TRUE,Inputs!$F$6="TRUE",Inputs!$F$6=1),(Inputs!$H$6+Inputs!$L$6*(((Inputs!$I$6+(((A161)+1)/2)*(Inputs!$J$6-Inputs!$I$6)))/Inputs!$K$6)^2),NA())</f>
        <v/>
      </c>
      <c r="C161" s="9">
        <f>IF(OR(Inputs!$F$7=TRUE,Inputs!$F$7="TRUE",Inputs!$F$7=1),(Inputs!$H$7+Inputs!$L$7*(((Inputs!$I$7+(((A161)+1)/2)*(Inputs!$J$7-Inputs!$I$7)))/Inputs!$K$7)^2),NA())</f>
        <v/>
      </c>
      <c r="D161" s="9">
        <f>IF(OR(Inputs!$F$8=TRUE,Inputs!$F$8="TRUE",Inputs!$F$8=1),(Inputs!$H$8+Inputs!$L$8*(((Inputs!$I$8+(((A161)+1)/2)*(Inputs!$J$8-Inputs!$I$8)))/Inputs!$K$8)^2),NA())</f>
        <v/>
      </c>
      <c r="E161" s="9">
        <f>IF(OR(Inputs!$F$9=TRUE,Inputs!$F$9="TRUE",Inputs!$F$9=1),(Inputs!$H$9+Inputs!$L$9*(((Inputs!$I$9+(((A161)+1)/2)*(Inputs!$J$9-Inputs!$I$9)))/Inputs!$K$9)^2),NA())</f>
        <v/>
      </c>
      <c r="F161" s="10" t="n"/>
      <c r="G161" s="9">
        <f>A161</f>
        <v/>
      </c>
      <c r="H161" s="9">
        <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f>
        <v/>
      </c>
      <c r="I161" s="9">
        <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f>
        <v/>
      </c>
      <c r="J161" s="9">
        <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f>
        <v/>
      </c>
      <c r="K161" s="9">
        <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f>
        <v/>
      </c>
      <c r="L161" s="10" t="n"/>
      <c r="M161" s="9">
        <f>A161</f>
        <v/>
      </c>
      <c r="N161" s="9">
        <f>IF(OR(Inputs!$F$6=TRUE,Inputs!$F$6="TRUE",Inputs!$F$6=1),(-2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NA())</f>
        <v/>
      </c>
      <c r="O161" s="9">
        <f>IF(OR(Inputs!$F$7=TRUE,Inputs!$F$7="TRUE",Inputs!$F$7=1),(-2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NA())</f>
        <v/>
      </c>
      <c r="P161" s="9">
        <f>IF(OR(Inputs!$F$8=TRUE,Inputs!$F$8="TRUE",Inputs!$F$8=1),(-2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NA())</f>
        <v/>
      </c>
      <c r="Q161" s="9">
        <f>IF(OR(Inputs!$F$9=TRUE,Inputs!$F$9="TRUE",Inputs!$F$9=1),(-2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NA())</f>
        <v/>
      </c>
      <c r="R161" s="10" t="n"/>
      <c r="S161" s="9">
        <f>A161</f>
        <v/>
      </c>
      <c r="T161" s="9">
        <f>(Inputs!$I$6+(((A161)+1)/2)*(Inputs!$J$6-Inputs!$I$6))</f>
        <v/>
      </c>
      <c r="U161" s="9">
        <f>(Inputs!$I$7+(((A161)+1)/2)*(Inputs!$J$7-Inputs!$I$7))</f>
        <v/>
      </c>
      <c r="V161" s="9">
        <f>(Inputs!$I$8+(((A161)+1)/2)*(Inputs!$J$8-Inputs!$I$8))</f>
        <v/>
      </c>
      <c r="W161" s="9">
        <f>(Inputs!$I$9+(((A161)+1)/2)*(Inputs!$J$9-Inputs!$I$9))</f>
        <v/>
      </c>
      <c r="X161" s="10" t="n"/>
      <c r="Y161" s="9">
        <f>A161</f>
        <v/>
      </c>
      <c r="Z161" s="9">
        <f>(Inputs!$H$6+Inputs!$L$6*(((Inputs!$I$6+(((A161)+1)/2)*(Inputs!$J$6-Inputs!$I$6)))/Inputs!$K$6)^2)</f>
        <v/>
      </c>
      <c r="AA161" s="9">
        <f>(Inputs!$H$7+Inputs!$L$7*(((Inputs!$I$7+(((A161)+1)/2)*(Inputs!$J$7-Inputs!$I$7)))/Inputs!$K$7)^2)</f>
        <v/>
      </c>
      <c r="AB161" s="9">
        <f>(Inputs!$H$8+Inputs!$L$8*(((Inputs!$I$8+(((A161)+1)/2)*(Inputs!$J$8-Inputs!$I$8)))/Inputs!$K$8)^2)</f>
        <v/>
      </c>
      <c r="AC161" s="9">
        <f>(Inputs!$H$9+Inputs!$L$9*(((Inputs!$I$9+(((A161)+1)/2)*(Inputs!$J$9-Inputs!$I$9)))/Inputs!$K$9)^2)</f>
        <v/>
      </c>
      <c r="AD161" s="10" t="n"/>
      <c r="AE161" s="9">
        <f>A161</f>
        <v/>
      </c>
      <c r="AF161" s="9">
        <f>(((SQRT((Inputs!$C$52+((Inputs!$H$6+Inputs!$L$6*(((Inputs!$I$6+(((A161)+1)/2)*(Inputs!$J$6-Inputs!$I$6)))/Inputs!$K$6)^2)))^2+Inputs!$C$52^2-2*(Inputs!$C$52+((Inputs!$H$6+Inputs!$L$6*(((Inputs!$I$6+(((A161)+1)/2)*(Inputs!$J$6-Inputs!$I$6)))/Inputs!$K$6)^2)))*Inputs!$C$52*COS(SQRT(((Inputs!$I$6+(((A161)+1)/2)*(Inputs!$J$6-Inputs!$I$6)))^2+Inputs!$C$6^2)/Inputs!$C$52)))-((Inputs!$H$6+Inputs!$L$6*(((Inputs!$I$6+(((A161)+1)/2)*(Inputs!$J$6-Inputs!$I$6)))/Inputs!$K$6)^2)))*1000/Inputs!$C$12)</f>
        <v/>
      </c>
      <c r="AG161" s="9">
        <f>(((SQRT((Inputs!$C$52+((Inputs!$H$7+Inputs!$L$7*(((Inputs!$I$7+(((A161)+1)/2)*(Inputs!$J$7-Inputs!$I$7)))/Inputs!$K$7)^2)))^2+Inputs!$C$52^2-2*(Inputs!$C$52+((Inputs!$H$7+Inputs!$L$7*(((Inputs!$I$7+(((A161)+1)/2)*(Inputs!$J$7-Inputs!$I$7)))/Inputs!$K$7)^2)))*Inputs!$C$52*COS(SQRT(((Inputs!$I$7+(((A161)+1)/2)*(Inputs!$J$7-Inputs!$I$7)))^2+Inputs!$C$6^2)/Inputs!$C$52)))-((Inputs!$H$7+Inputs!$L$7*(((Inputs!$I$7+(((A161)+1)/2)*(Inputs!$J$7-Inputs!$I$7)))/Inputs!$K$7)^2)))*1000/Inputs!$C$12)</f>
        <v/>
      </c>
      <c r="AH161" s="9">
        <f>(((SQRT((Inputs!$C$52+((Inputs!$H$8+Inputs!$L$8*(((Inputs!$I$8+(((A161)+1)/2)*(Inputs!$J$8-Inputs!$I$8)))/Inputs!$K$8)^2)))^2+Inputs!$C$52^2-2*(Inputs!$C$52+((Inputs!$H$8+Inputs!$L$8*(((Inputs!$I$8+(((A161)+1)/2)*(Inputs!$J$8-Inputs!$I$8)))/Inputs!$K$8)^2)))*Inputs!$C$52*COS(SQRT(((Inputs!$I$8+(((A161)+1)/2)*(Inputs!$J$8-Inputs!$I$8)))^2+Inputs!$C$6^2)/Inputs!$C$52)))-((Inputs!$H$8+Inputs!$L$8*(((Inputs!$I$8+(((A161)+1)/2)*(Inputs!$J$8-Inputs!$I$8)))/Inputs!$K$8)^2)))*1000/Inputs!$C$12)</f>
        <v/>
      </c>
      <c r="AI161" s="9">
        <f>(((SQRT((Inputs!$C$52+((Inputs!$H$9+Inputs!$L$9*(((Inputs!$I$9+(((A161)+1)/2)*(Inputs!$J$9-Inputs!$I$9)))/Inputs!$K$9)^2)))^2+Inputs!$C$52^2-2*(Inputs!$C$52+((Inputs!$H$9+Inputs!$L$9*(((Inputs!$I$9+(((A161)+1)/2)*(Inputs!$J$9-Inputs!$I$9)))/Inputs!$K$9)^2)))*Inputs!$C$52*COS(SQRT(((Inputs!$I$9+(((A161)+1)/2)*(Inputs!$J$9-Inputs!$I$9)))^2+Inputs!$C$6^2)/Inputs!$C$52)))-((Inputs!$H$9+Inputs!$L$9*(((Inputs!$I$9+(((A161)+1)/2)*(Inputs!$J$9-Inputs!$I$9)))/Inputs!$K$9)^2)))*1000/Inputs!$C$12)</f>
        <v/>
      </c>
      <c r="AJ161" s="10" t="n"/>
      <c r="AK161" s="9">
        <f>A161</f>
        <v/>
      </c>
      <c r="AL161" s="9">
        <f>(-2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f>
        <v/>
      </c>
      <c r="AM161" s="9">
        <f>(-2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f>
        <v/>
      </c>
      <c r="AN161" s="9">
        <f>(-2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f>
        <v/>
      </c>
      <c r="AO161" s="9">
        <f>(-2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f>
        <v/>
      </c>
      <c r="AP161" s="10" t="n"/>
      <c r="AQ161" s="9">
        <f>A161</f>
        <v/>
      </c>
      <c r="AR161" s="9">
        <f>0</f>
        <v/>
      </c>
      <c r="AS161" s="9">
        <f>IF(OR(Inputs!$F$6=TRUE,Inputs!$F$6="TRUE",Inputs!$F$6=1),IF(OR(Inputs!$C$27=TRUE,Inputs!$C$27="TRUE",Inputs!$C$27=1),1,0)*(Inputs!$C$51*(115*EXP(-(((Inputs!$C$6)-25)^2)/(4.5^2))+70*EXP(-(((Inputs!$C$6)+38)^2)/(7^2))*(0.55+0.45*SIN(2*PI()*((Inputs!$I$6+(((A161)+1)/2)*(Inputs!$J$6-Inputs!$I$6)))/45))+24*SIN(2*PI()*(Inputs!$C$6)/9+((Inputs!$I$6+(((A161)+1)/2)*(Inputs!$J$6-Inputs!$I$6)))/18)*EXP(-(((Inputs!$C$6)+5)^2)/(22^2))+18*SIN(2*PI()*((Inputs!$I$6+(((A161)+1)/2)*(Inputs!$J$6-Inputs!$I$6)))/70))+Inputs!$C$28*EXP(-((((Inputs!$I$6+(((A161)+1)/2)*(Inputs!$J$6-Inputs!$I$6)))-Inputs!$C$29)^2)/(2*Inputs!$C$31^2))*EXP(-(((Inputs!$C$6)-Inputs!$C$30)^2)/(2*Inputs!$C$32^2))+-Inputs!$C$33*EXP(-((((((Inputs!$I$6+(((A161)+1)/2)*(Inputs!$J$6-Inputs!$I$6)))-Inputs!$C$34)^2)+(((Inputs!$C$6)-Inputs!$C$35)^2))/(2*Inputs!$C$36^2)))+Inputs!$C$37*(0.55*SIN(2*PI()*((Inputs!$I$6+(((A161)+1)/2)*(Inputs!$J$6-Inputs!$I$6)))/Inputs!$C$39)+0.35*COS(2*PI()*(Inputs!$C$6)/Inputs!$C$40)+0.2*SIN(2*PI()*(((Inputs!$I$6+(((A161)+1)/2)*(Inputs!$J$6-Inputs!$I$6)))+(Inputs!$C$6))/(0.5*(Inputs!$C$39+Inputs!$C$40))))+Inputs!$C$38*SIN(2*PI()*((Inputs!$I$6+(((A161)+1)/2)*(Inputs!$J$6-Inputs!$I$6)))/Inputs!$C$39)*SIN(2*PI()*(Inputs!$C$6)/Inputs!$C$40)+-Inputs!$C$41*EXP(-(((Inputs!$C$6)-Inputs!$C$43)^2)/(2*Inputs!$C$44^2))*EXP(-((((Inputs!$I$6+(((A161)+1)/2)*(Inputs!$J$6-Inputs!$I$6)))-Inputs!$C$42)^2)/(2*Inputs!$C$45^2))+Inputs!$C$48*(0.7*(0.45*SIN(2*PI()*((((Inputs!$I$6+(((A161)+1)/2)*(Inputs!$J$6-Inputs!$I$6)))/Inputs!$C$49)+Inputs!$C$47*0.137))+0.35*COS(2*PI()*(((Inputs!$C$6)/Inputs!$C$50)+Inputs!$C$47*0.173))+0.2*SIN(2*PI()*((((Inputs!$I$6+(((A161)+1)/2)*(Inputs!$J$6-Inputs!$I$6)))+(Inputs!$C$6))/(0.5*(Inputs!$C$49+Inputs!$C$50))+Inputs!$C$47*0.097)))+0.3*(2*((SIN((((Inputs!$I$6+(((A161)+1)/2)*(Inputs!$J$6-Inputs!$I$6)))*12.9898+(Inputs!$C$6)*78.233+Inputs!$C$47*37.719))*43758.5453)-INT((SIN((((Inputs!$I$6+(((A161)+1)/2)*(Inputs!$J$6-Inputs!$I$6)))*12.9898+(Inputs!$C$6)*78.233+Inputs!$C$47*37.719))*43758.5453)))-1))),NA())</f>
        <v/>
      </c>
      <c r="AT161" s="9">
        <f>IF(OR(Inputs!$F$7=TRUE,Inputs!$F$7="TRUE",Inputs!$F$7=1),IF(OR(Inputs!$C$27=TRUE,Inputs!$C$27="TRUE",Inputs!$C$27=1),1,0)*(Inputs!$C$51*(115*EXP(-(((Inputs!$C$6)-25)^2)/(4.5^2))+70*EXP(-(((Inputs!$C$6)+38)^2)/(7^2))*(0.55+0.45*SIN(2*PI()*((Inputs!$I$7+(((A161)+1)/2)*(Inputs!$J$7-Inputs!$I$7)))/45))+24*SIN(2*PI()*(Inputs!$C$6)/9+((Inputs!$I$7+(((A161)+1)/2)*(Inputs!$J$7-Inputs!$I$7)))/18)*EXP(-(((Inputs!$C$6)+5)^2)/(22^2))+18*SIN(2*PI()*((Inputs!$I$7+(((A161)+1)/2)*(Inputs!$J$7-Inputs!$I$7)))/70))+Inputs!$C$28*EXP(-((((Inputs!$I$7+(((A161)+1)/2)*(Inputs!$J$7-Inputs!$I$7)))-Inputs!$C$29)^2)/(2*Inputs!$C$31^2))*EXP(-(((Inputs!$C$6)-Inputs!$C$30)^2)/(2*Inputs!$C$32^2))+-Inputs!$C$33*EXP(-((((((Inputs!$I$7+(((A161)+1)/2)*(Inputs!$J$7-Inputs!$I$7)))-Inputs!$C$34)^2)+(((Inputs!$C$6)-Inputs!$C$35)^2))/(2*Inputs!$C$36^2)))+Inputs!$C$37*(0.55*SIN(2*PI()*((Inputs!$I$7+(((A161)+1)/2)*(Inputs!$J$7-Inputs!$I$7)))/Inputs!$C$39)+0.35*COS(2*PI()*(Inputs!$C$6)/Inputs!$C$40)+0.2*SIN(2*PI()*(((Inputs!$I$7+(((A161)+1)/2)*(Inputs!$J$7-Inputs!$I$7)))+(Inputs!$C$6))/(0.5*(Inputs!$C$39+Inputs!$C$40))))+Inputs!$C$38*SIN(2*PI()*((Inputs!$I$7+(((A161)+1)/2)*(Inputs!$J$7-Inputs!$I$7)))/Inputs!$C$39)*SIN(2*PI()*(Inputs!$C$6)/Inputs!$C$40)+-Inputs!$C$41*EXP(-(((Inputs!$C$6)-Inputs!$C$43)^2)/(2*Inputs!$C$44^2))*EXP(-((((Inputs!$I$7+(((A161)+1)/2)*(Inputs!$J$7-Inputs!$I$7)))-Inputs!$C$42)^2)/(2*Inputs!$C$45^2))+Inputs!$C$48*(0.7*(0.45*SIN(2*PI()*((((Inputs!$I$7+(((A161)+1)/2)*(Inputs!$J$7-Inputs!$I$7)))/Inputs!$C$49)+Inputs!$C$47*0.137))+0.35*COS(2*PI()*(((Inputs!$C$6)/Inputs!$C$50)+Inputs!$C$47*0.173))+0.2*SIN(2*PI()*((((Inputs!$I$7+(((A161)+1)/2)*(Inputs!$J$7-Inputs!$I$7)))+(Inputs!$C$6))/(0.5*(Inputs!$C$49+Inputs!$C$50))+Inputs!$C$47*0.097)))+0.3*(2*((SIN((((Inputs!$I$7+(((A161)+1)/2)*(Inputs!$J$7-Inputs!$I$7)))*12.9898+(Inputs!$C$6)*78.233+Inputs!$C$47*37.719))*43758.5453)-INT((SIN((((Inputs!$I$7+(((A161)+1)/2)*(Inputs!$J$7-Inputs!$I$7)))*12.9898+(Inputs!$C$6)*78.233+Inputs!$C$47*37.719))*43758.5453)))-1))),NA())</f>
        <v/>
      </c>
      <c r="AU161" s="9">
        <f>IF(OR(Inputs!$F$8=TRUE,Inputs!$F$8="TRUE",Inputs!$F$8=1),IF(OR(Inputs!$C$27=TRUE,Inputs!$C$27="TRUE",Inputs!$C$27=1),1,0)*(Inputs!$C$51*(115*EXP(-(((Inputs!$C$6)-25)^2)/(4.5^2))+70*EXP(-(((Inputs!$C$6)+38)^2)/(7^2))*(0.55+0.45*SIN(2*PI()*((Inputs!$I$8+(((A161)+1)/2)*(Inputs!$J$8-Inputs!$I$8)))/45))+24*SIN(2*PI()*(Inputs!$C$6)/9+((Inputs!$I$8+(((A161)+1)/2)*(Inputs!$J$8-Inputs!$I$8)))/18)*EXP(-(((Inputs!$C$6)+5)^2)/(22^2))+18*SIN(2*PI()*((Inputs!$I$8+(((A161)+1)/2)*(Inputs!$J$8-Inputs!$I$8)))/70))+Inputs!$C$28*EXP(-((((Inputs!$I$8+(((A161)+1)/2)*(Inputs!$J$8-Inputs!$I$8)))-Inputs!$C$29)^2)/(2*Inputs!$C$31^2))*EXP(-(((Inputs!$C$6)-Inputs!$C$30)^2)/(2*Inputs!$C$32^2))+-Inputs!$C$33*EXP(-((((((Inputs!$I$8+(((A161)+1)/2)*(Inputs!$J$8-Inputs!$I$8)))-Inputs!$C$34)^2)+(((Inputs!$C$6)-Inputs!$C$35)^2))/(2*Inputs!$C$36^2)))+Inputs!$C$37*(0.55*SIN(2*PI()*((Inputs!$I$8+(((A161)+1)/2)*(Inputs!$J$8-Inputs!$I$8)))/Inputs!$C$39)+0.35*COS(2*PI()*(Inputs!$C$6)/Inputs!$C$40)+0.2*SIN(2*PI()*(((Inputs!$I$8+(((A161)+1)/2)*(Inputs!$J$8-Inputs!$I$8)))+(Inputs!$C$6))/(0.5*(Inputs!$C$39+Inputs!$C$40))))+Inputs!$C$38*SIN(2*PI()*((Inputs!$I$8+(((A161)+1)/2)*(Inputs!$J$8-Inputs!$I$8)))/Inputs!$C$39)*SIN(2*PI()*(Inputs!$C$6)/Inputs!$C$40)+-Inputs!$C$41*EXP(-(((Inputs!$C$6)-Inputs!$C$43)^2)/(2*Inputs!$C$44^2))*EXP(-((((Inputs!$I$8+(((A161)+1)/2)*(Inputs!$J$8-Inputs!$I$8)))-Inputs!$C$42)^2)/(2*Inputs!$C$45^2))+Inputs!$C$48*(0.7*(0.45*SIN(2*PI()*((((Inputs!$I$8+(((A161)+1)/2)*(Inputs!$J$8-Inputs!$I$8)))/Inputs!$C$49)+Inputs!$C$47*0.137))+0.35*COS(2*PI()*(((Inputs!$C$6)/Inputs!$C$50)+Inputs!$C$47*0.173))+0.2*SIN(2*PI()*((((Inputs!$I$8+(((A161)+1)/2)*(Inputs!$J$8-Inputs!$I$8)))+(Inputs!$C$6))/(0.5*(Inputs!$C$49+Inputs!$C$50))+Inputs!$C$47*0.097)))+0.3*(2*((SIN((((Inputs!$I$8+(((A161)+1)/2)*(Inputs!$J$8-Inputs!$I$8)))*12.9898+(Inputs!$C$6)*78.233+Inputs!$C$47*37.719))*43758.5453)-INT((SIN((((Inputs!$I$8+(((A161)+1)/2)*(Inputs!$J$8-Inputs!$I$8)))*12.9898+(Inputs!$C$6)*78.233+Inputs!$C$47*37.719))*43758.5453)))-1))),NA())</f>
        <v/>
      </c>
      <c r="AV161" s="9">
        <f>IF(OR(Inputs!$F$9=TRUE,Inputs!$F$9="TRUE",Inputs!$F$9=1),IF(OR(Inputs!$C$27=TRUE,Inputs!$C$27="TRUE",Inputs!$C$27=1),1,0)*(Inputs!$C$51*(115*EXP(-(((Inputs!$C$6)-25)^2)/(4.5^2))+70*EXP(-(((Inputs!$C$6)+38)^2)/(7^2))*(0.55+0.45*SIN(2*PI()*((Inputs!$I$9+(((A161)+1)/2)*(Inputs!$J$9-Inputs!$I$9)))/45))+24*SIN(2*PI()*(Inputs!$C$6)/9+((Inputs!$I$9+(((A161)+1)/2)*(Inputs!$J$9-Inputs!$I$9)))/18)*EXP(-(((Inputs!$C$6)+5)^2)/(22^2))+18*SIN(2*PI()*((Inputs!$I$9+(((A161)+1)/2)*(Inputs!$J$9-Inputs!$I$9)))/70))+Inputs!$C$28*EXP(-((((Inputs!$I$9+(((A161)+1)/2)*(Inputs!$J$9-Inputs!$I$9)))-Inputs!$C$29)^2)/(2*Inputs!$C$31^2))*EXP(-(((Inputs!$C$6)-Inputs!$C$30)^2)/(2*Inputs!$C$32^2))+-Inputs!$C$33*EXP(-((((((Inputs!$I$9+(((A161)+1)/2)*(Inputs!$J$9-Inputs!$I$9)))-Inputs!$C$34)^2)+(((Inputs!$C$6)-Inputs!$C$35)^2))/(2*Inputs!$C$36^2)))+Inputs!$C$37*(0.55*SIN(2*PI()*((Inputs!$I$9+(((A161)+1)/2)*(Inputs!$J$9-Inputs!$I$9)))/Inputs!$C$39)+0.35*COS(2*PI()*(Inputs!$C$6)/Inputs!$C$40)+0.2*SIN(2*PI()*(((Inputs!$I$9+(((A161)+1)/2)*(Inputs!$J$9-Inputs!$I$9)))+(Inputs!$C$6))/(0.5*(Inputs!$C$39+Inputs!$C$40))))+Inputs!$C$38*SIN(2*PI()*((Inputs!$I$9+(((A161)+1)/2)*(Inputs!$J$9-Inputs!$I$9)))/Inputs!$C$39)*SIN(2*PI()*(Inputs!$C$6)/Inputs!$C$40)+-Inputs!$C$41*EXP(-(((Inputs!$C$6)-Inputs!$C$43)^2)/(2*Inputs!$C$44^2))*EXP(-((((Inputs!$I$9+(((A161)+1)/2)*(Inputs!$J$9-Inputs!$I$9)))-Inputs!$C$42)^2)/(2*Inputs!$C$45^2))+Inputs!$C$48*(0.7*(0.45*SIN(2*PI()*((((Inputs!$I$9+(((A161)+1)/2)*(Inputs!$J$9-Inputs!$I$9)))/Inputs!$C$49)+Inputs!$C$47*0.137))+0.35*COS(2*PI()*(((Inputs!$C$6)/Inputs!$C$50)+Inputs!$C$47*0.173))+0.2*SIN(2*PI()*((((Inputs!$I$9+(((A161)+1)/2)*(Inputs!$J$9-Inputs!$I$9)))+(Inputs!$C$6))/(0.5*(Inputs!$C$49+Inputs!$C$50))+Inputs!$C$47*0.097)))+0.3*(2*((SIN((((Inputs!$I$9+(((A161)+1)/2)*(Inputs!$J$9-Inputs!$I$9)))*12.9898+(Inputs!$C$6)*78.233+Inputs!$C$47*37.719))*43758.5453)-INT((SIN((((Inputs!$I$9+(((A161)+1)/2)*(Inputs!$J$9-Inputs!$I$9)))*12.9898+(Inputs!$C$6)*78.233+Inputs!$C$47*37.719))*43758.5453)))-1))),NA())</f>
        <v/>
      </c>
      <c r="AW161" s="10" t="n"/>
      <c r="AX161" s="9">
        <f>A161</f>
        <v/>
      </c>
      <c r="AY161" s="9">
        <f>0</f>
        <v/>
      </c>
      <c r="AZ161" s="9">
        <f>IF(OR(Inputs!$F$6=TRUE,Inputs!$F$6="TRUE",Inputs!$F$6=1),(Inputs!$H$6+Inputs!$L$6*(((Inputs!$I$6+(((A161)+1)/2)*(Inputs!$J$6-Inputs!$I$6)))/Inputs!$K$6)^2),NA())</f>
        <v/>
      </c>
      <c r="BA161" s="9">
        <f>IF(OR(Inputs!$F$7=TRUE,Inputs!$F$7="TRUE",Inputs!$F$7=1),(Inputs!$H$7+Inputs!$L$7*(((Inputs!$I$7+(((A161)+1)/2)*(Inputs!$J$7-Inputs!$I$7)))/Inputs!$K$7)^2),NA())</f>
        <v/>
      </c>
      <c r="BB161" s="9">
        <f>IF(OR(Inputs!$F$8=TRUE,Inputs!$F$8="TRUE",Inputs!$F$8=1),(Inputs!$H$8+Inputs!$L$8*(((Inputs!$I$8+(((A161)+1)/2)*(Inputs!$J$8-Inputs!$I$8)))/Inputs!$K$8)^2),NA())</f>
        <v/>
      </c>
      <c r="BC161" s="9">
        <f>IF(OR(Inputs!$F$9=TRUE,Inputs!$F$9="TRUE",Inputs!$F$9=1),(Inputs!$H$9+Inputs!$L$9*(((Inputs!$I$9+(((A161)+1)/2)*(Inputs!$J$9-Inputs!$I$9)))/Inputs!$K$9)^2),NA())</f>
        <v/>
      </c>
      <c r="BD161" s="10" t="n"/>
      <c r="BE161" s="9">
        <f>A161</f>
        <v/>
      </c>
      <c r="BF161" s="9">
        <f>0</f>
        <v/>
      </c>
      <c r="BG161" s="9">
        <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f>
        <v/>
      </c>
      <c r="BH161" s="9">
        <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f>
        <v/>
      </c>
      <c r="BI161" s="9">
        <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f>
        <v/>
      </c>
      <c r="BJ161" s="9">
        <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f>
        <v/>
      </c>
    </row>
    <row r="162">
      <c r="A162" s="9">
        <f>ROUND(-1+160*2/240,3)</f>
        <v/>
      </c>
      <c r="B162" s="9">
        <f>IF(OR(Inputs!$F$6=TRUE,Inputs!$F$6="TRUE",Inputs!$F$6=1),(Inputs!$H$6+Inputs!$L$6*(((Inputs!$I$6+(((A162)+1)/2)*(Inputs!$J$6-Inputs!$I$6)))/Inputs!$K$6)^2),NA())</f>
        <v/>
      </c>
      <c r="C162" s="9">
        <f>IF(OR(Inputs!$F$7=TRUE,Inputs!$F$7="TRUE",Inputs!$F$7=1),(Inputs!$H$7+Inputs!$L$7*(((Inputs!$I$7+(((A162)+1)/2)*(Inputs!$J$7-Inputs!$I$7)))/Inputs!$K$7)^2),NA())</f>
        <v/>
      </c>
      <c r="D162" s="9">
        <f>IF(OR(Inputs!$F$8=TRUE,Inputs!$F$8="TRUE",Inputs!$F$8=1),(Inputs!$H$8+Inputs!$L$8*(((Inputs!$I$8+(((A162)+1)/2)*(Inputs!$J$8-Inputs!$I$8)))/Inputs!$K$8)^2),NA())</f>
        <v/>
      </c>
      <c r="E162" s="9">
        <f>IF(OR(Inputs!$F$9=TRUE,Inputs!$F$9="TRUE",Inputs!$F$9=1),(Inputs!$H$9+Inputs!$L$9*(((Inputs!$I$9+(((A162)+1)/2)*(Inputs!$J$9-Inputs!$I$9)))/Inputs!$K$9)^2),NA())</f>
        <v/>
      </c>
      <c r="F162" s="10" t="n"/>
      <c r="G162" s="9">
        <f>A162</f>
        <v/>
      </c>
      <c r="H162" s="9">
        <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f>
        <v/>
      </c>
      <c r="I162" s="9">
        <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f>
        <v/>
      </c>
      <c r="J162" s="9">
        <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f>
        <v/>
      </c>
      <c r="K162" s="9">
        <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f>
        <v/>
      </c>
      <c r="L162" s="10" t="n"/>
      <c r="M162" s="9">
        <f>A162</f>
        <v/>
      </c>
      <c r="N162" s="9">
        <f>IF(OR(Inputs!$F$6=TRUE,Inputs!$F$6="TRUE",Inputs!$F$6=1),(-2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NA())</f>
        <v/>
      </c>
      <c r="O162" s="9">
        <f>IF(OR(Inputs!$F$7=TRUE,Inputs!$F$7="TRUE",Inputs!$F$7=1),(-2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NA())</f>
        <v/>
      </c>
      <c r="P162" s="9">
        <f>IF(OR(Inputs!$F$8=TRUE,Inputs!$F$8="TRUE",Inputs!$F$8=1),(-2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NA())</f>
        <v/>
      </c>
      <c r="Q162" s="9">
        <f>IF(OR(Inputs!$F$9=TRUE,Inputs!$F$9="TRUE",Inputs!$F$9=1),(-2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NA())</f>
        <v/>
      </c>
      <c r="R162" s="10" t="n"/>
      <c r="S162" s="9">
        <f>A162</f>
        <v/>
      </c>
      <c r="T162" s="9">
        <f>(Inputs!$I$6+(((A162)+1)/2)*(Inputs!$J$6-Inputs!$I$6))</f>
        <v/>
      </c>
      <c r="U162" s="9">
        <f>(Inputs!$I$7+(((A162)+1)/2)*(Inputs!$J$7-Inputs!$I$7))</f>
        <v/>
      </c>
      <c r="V162" s="9">
        <f>(Inputs!$I$8+(((A162)+1)/2)*(Inputs!$J$8-Inputs!$I$8))</f>
        <v/>
      </c>
      <c r="W162" s="9">
        <f>(Inputs!$I$9+(((A162)+1)/2)*(Inputs!$J$9-Inputs!$I$9))</f>
        <v/>
      </c>
      <c r="X162" s="10" t="n"/>
      <c r="Y162" s="9">
        <f>A162</f>
        <v/>
      </c>
      <c r="Z162" s="9">
        <f>(Inputs!$H$6+Inputs!$L$6*(((Inputs!$I$6+(((A162)+1)/2)*(Inputs!$J$6-Inputs!$I$6)))/Inputs!$K$6)^2)</f>
        <v/>
      </c>
      <c r="AA162" s="9">
        <f>(Inputs!$H$7+Inputs!$L$7*(((Inputs!$I$7+(((A162)+1)/2)*(Inputs!$J$7-Inputs!$I$7)))/Inputs!$K$7)^2)</f>
        <v/>
      </c>
      <c r="AB162" s="9">
        <f>(Inputs!$H$8+Inputs!$L$8*(((Inputs!$I$8+(((A162)+1)/2)*(Inputs!$J$8-Inputs!$I$8)))/Inputs!$K$8)^2)</f>
        <v/>
      </c>
      <c r="AC162" s="9">
        <f>(Inputs!$H$9+Inputs!$L$9*(((Inputs!$I$9+(((A162)+1)/2)*(Inputs!$J$9-Inputs!$I$9)))/Inputs!$K$9)^2)</f>
        <v/>
      </c>
      <c r="AD162" s="10" t="n"/>
      <c r="AE162" s="9">
        <f>A162</f>
        <v/>
      </c>
      <c r="AF162" s="9">
        <f>(((SQRT((Inputs!$C$52+((Inputs!$H$6+Inputs!$L$6*(((Inputs!$I$6+(((A162)+1)/2)*(Inputs!$J$6-Inputs!$I$6)))/Inputs!$K$6)^2)))^2+Inputs!$C$52^2-2*(Inputs!$C$52+((Inputs!$H$6+Inputs!$L$6*(((Inputs!$I$6+(((A162)+1)/2)*(Inputs!$J$6-Inputs!$I$6)))/Inputs!$K$6)^2)))*Inputs!$C$52*COS(SQRT(((Inputs!$I$6+(((A162)+1)/2)*(Inputs!$J$6-Inputs!$I$6)))^2+Inputs!$C$6^2)/Inputs!$C$52)))-((Inputs!$H$6+Inputs!$L$6*(((Inputs!$I$6+(((A162)+1)/2)*(Inputs!$J$6-Inputs!$I$6)))/Inputs!$K$6)^2)))*1000/Inputs!$C$12)</f>
        <v/>
      </c>
      <c r="AG162" s="9">
        <f>(((SQRT((Inputs!$C$52+((Inputs!$H$7+Inputs!$L$7*(((Inputs!$I$7+(((A162)+1)/2)*(Inputs!$J$7-Inputs!$I$7)))/Inputs!$K$7)^2)))^2+Inputs!$C$52^2-2*(Inputs!$C$52+((Inputs!$H$7+Inputs!$L$7*(((Inputs!$I$7+(((A162)+1)/2)*(Inputs!$J$7-Inputs!$I$7)))/Inputs!$K$7)^2)))*Inputs!$C$52*COS(SQRT(((Inputs!$I$7+(((A162)+1)/2)*(Inputs!$J$7-Inputs!$I$7)))^2+Inputs!$C$6^2)/Inputs!$C$52)))-((Inputs!$H$7+Inputs!$L$7*(((Inputs!$I$7+(((A162)+1)/2)*(Inputs!$J$7-Inputs!$I$7)))/Inputs!$K$7)^2)))*1000/Inputs!$C$12)</f>
        <v/>
      </c>
      <c r="AH162" s="9">
        <f>(((SQRT((Inputs!$C$52+((Inputs!$H$8+Inputs!$L$8*(((Inputs!$I$8+(((A162)+1)/2)*(Inputs!$J$8-Inputs!$I$8)))/Inputs!$K$8)^2)))^2+Inputs!$C$52^2-2*(Inputs!$C$52+((Inputs!$H$8+Inputs!$L$8*(((Inputs!$I$8+(((A162)+1)/2)*(Inputs!$J$8-Inputs!$I$8)))/Inputs!$K$8)^2)))*Inputs!$C$52*COS(SQRT(((Inputs!$I$8+(((A162)+1)/2)*(Inputs!$J$8-Inputs!$I$8)))^2+Inputs!$C$6^2)/Inputs!$C$52)))-((Inputs!$H$8+Inputs!$L$8*(((Inputs!$I$8+(((A162)+1)/2)*(Inputs!$J$8-Inputs!$I$8)))/Inputs!$K$8)^2)))*1000/Inputs!$C$12)</f>
        <v/>
      </c>
      <c r="AI162" s="9">
        <f>(((SQRT((Inputs!$C$52+((Inputs!$H$9+Inputs!$L$9*(((Inputs!$I$9+(((A162)+1)/2)*(Inputs!$J$9-Inputs!$I$9)))/Inputs!$K$9)^2)))^2+Inputs!$C$52^2-2*(Inputs!$C$52+((Inputs!$H$9+Inputs!$L$9*(((Inputs!$I$9+(((A162)+1)/2)*(Inputs!$J$9-Inputs!$I$9)))/Inputs!$K$9)^2)))*Inputs!$C$52*COS(SQRT(((Inputs!$I$9+(((A162)+1)/2)*(Inputs!$J$9-Inputs!$I$9)))^2+Inputs!$C$6^2)/Inputs!$C$52)))-((Inputs!$H$9+Inputs!$L$9*(((Inputs!$I$9+(((A162)+1)/2)*(Inputs!$J$9-Inputs!$I$9)))/Inputs!$K$9)^2)))*1000/Inputs!$C$12)</f>
        <v/>
      </c>
      <c r="AJ162" s="10" t="n"/>
      <c r="AK162" s="9">
        <f>A162</f>
        <v/>
      </c>
      <c r="AL162" s="9">
        <f>(-2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f>
        <v/>
      </c>
      <c r="AM162" s="9">
        <f>(-2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f>
        <v/>
      </c>
      <c r="AN162" s="9">
        <f>(-2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f>
        <v/>
      </c>
      <c r="AO162" s="9">
        <f>(-2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f>
        <v/>
      </c>
      <c r="AP162" s="10" t="n"/>
      <c r="AQ162" s="9">
        <f>A162</f>
        <v/>
      </c>
      <c r="AR162" s="9">
        <f>0</f>
        <v/>
      </c>
      <c r="AS162" s="9">
        <f>IF(OR(Inputs!$F$6=TRUE,Inputs!$F$6="TRUE",Inputs!$F$6=1),IF(OR(Inputs!$C$27=TRUE,Inputs!$C$27="TRUE",Inputs!$C$27=1),1,0)*(Inputs!$C$51*(115*EXP(-(((Inputs!$C$6)-25)^2)/(4.5^2))+70*EXP(-(((Inputs!$C$6)+38)^2)/(7^2))*(0.55+0.45*SIN(2*PI()*((Inputs!$I$6+(((A162)+1)/2)*(Inputs!$J$6-Inputs!$I$6)))/45))+24*SIN(2*PI()*(Inputs!$C$6)/9+((Inputs!$I$6+(((A162)+1)/2)*(Inputs!$J$6-Inputs!$I$6)))/18)*EXP(-(((Inputs!$C$6)+5)^2)/(22^2))+18*SIN(2*PI()*((Inputs!$I$6+(((A162)+1)/2)*(Inputs!$J$6-Inputs!$I$6)))/70))+Inputs!$C$28*EXP(-((((Inputs!$I$6+(((A162)+1)/2)*(Inputs!$J$6-Inputs!$I$6)))-Inputs!$C$29)^2)/(2*Inputs!$C$31^2))*EXP(-(((Inputs!$C$6)-Inputs!$C$30)^2)/(2*Inputs!$C$32^2))+-Inputs!$C$33*EXP(-((((((Inputs!$I$6+(((A162)+1)/2)*(Inputs!$J$6-Inputs!$I$6)))-Inputs!$C$34)^2)+(((Inputs!$C$6)-Inputs!$C$35)^2))/(2*Inputs!$C$36^2)))+Inputs!$C$37*(0.55*SIN(2*PI()*((Inputs!$I$6+(((A162)+1)/2)*(Inputs!$J$6-Inputs!$I$6)))/Inputs!$C$39)+0.35*COS(2*PI()*(Inputs!$C$6)/Inputs!$C$40)+0.2*SIN(2*PI()*(((Inputs!$I$6+(((A162)+1)/2)*(Inputs!$J$6-Inputs!$I$6)))+(Inputs!$C$6))/(0.5*(Inputs!$C$39+Inputs!$C$40))))+Inputs!$C$38*SIN(2*PI()*((Inputs!$I$6+(((A162)+1)/2)*(Inputs!$J$6-Inputs!$I$6)))/Inputs!$C$39)*SIN(2*PI()*(Inputs!$C$6)/Inputs!$C$40)+-Inputs!$C$41*EXP(-(((Inputs!$C$6)-Inputs!$C$43)^2)/(2*Inputs!$C$44^2))*EXP(-((((Inputs!$I$6+(((A162)+1)/2)*(Inputs!$J$6-Inputs!$I$6)))-Inputs!$C$42)^2)/(2*Inputs!$C$45^2))+Inputs!$C$48*(0.7*(0.45*SIN(2*PI()*((((Inputs!$I$6+(((A162)+1)/2)*(Inputs!$J$6-Inputs!$I$6)))/Inputs!$C$49)+Inputs!$C$47*0.137))+0.35*COS(2*PI()*(((Inputs!$C$6)/Inputs!$C$50)+Inputs!$C$47*0.173))+0.2*SIN(2*PI()*((((Inputs!$I$6+(((A162)+1)/2)*(Inputs!$J$6-Inputs!$I$6)))+(Inputs!$C$6))/(0.5*(Inputs!$C$49+Inputs!$C$50))+Inputs!$C$47*0.097)))+0.3*(2*((SIN((((Inputs!$I$6+(((A162)+1)/2)*(Inputs!$J$6-Inputs!$I$6)))*12.9898+(Inputs!$C$6)*78.233+Inputs!$C$47*37.719))*43758.5453)-INT((SIN((((Inputs!$I$6+(((A162)+1)/2)*(Inputs!$J$6-Inputs!$I$6)))*12.9898+(Inputs!$C$6)*78.233+Inputs!$C$47*37.719))*43758.5453)))-1))),NA())</f>
        <v/>
      </c>
      <c r="AT162" s="9">
        <f>IF(OR(Inputs!$F$7=TRUE,Inputs!$F$7="TRUE",Inputs!$F$7=1),IF(OR(Inputs!$C$27=TRUE,Inputs!$C$27="TRUE",Inputs!$C$27=1),1,0)*(Inputs!$C$51*(115*EXP(-(((Inputs!$C$6)-25)^2)/(4.5^2))+70*EXP(-(((Inputs!$C$6)+38)^2)/(7^2))*(0.55+0.45*SIN(2*PI()*((Inputs!$I$7+(((A162)+1)/2)*(Inputs!$J$7-Inputs!$I$7)))/45))+24*SIN(2*PI()*(Inputs!$C$6)/9+((Inputs!$I$7+(((A162)+1)/2)*(Inputs!$J$7-Inputs!$I$7)))/18)*EXP(-(((Inputs!$C$6)+5)^2)/(22^2))+18*SIN(2*PI()*((Inputs!$I$7+(((A162)+1)/2)*(Inputs!$J$7-Inputs!$I$7)))/70))+Inputs!$C$28*EXP(-((((Inputs!$I$7+(((A162)+1)/2)*(Inputs!$J$7-Inputs!$I$7)))-Inputs!$C$29)^2)/(2*Inputs!$C$31^2))*EXP(-(((Inputs!$C$6)-Inputs!$C$30)^2)/(2*Inputs!$C$32^2))+-Inputs!$C$33*EXP(-((((((Inputs!$I$7+(((A162)+1)/2)*(Inputs!$J$7-Inputs!$I$7)))-Inputs!$C$34)^2)+(((Inputs!$C$6)-Inputs!$C$35)^2))/(2*Inputs!$C$36^2)))+Inputs!$C$37*(0.55*SIN(2*PI()*((Inputs!$I$7+(((A162)+1)/2)*(Inputs!$J$7-Inputs!$I$7)))/Inputs!$C$39)+0.35*COS(2*PI()*(Inputs!$C$6)/Inputs!$C$40)+0.2*SIN(2*PI()*(((Inputs!$I$7+(((A162)+1)/2)*(Inputs!$J$7-Inputs!$I$7)))+(Inputs!$C$6))/(0.5*(Inputs!$C$39+Inputs!$C$40))))+Inputs!$C$38*SIN(2*PI()*((Inputs!$I$7+(((A162)+1)/2)*(Inputs!$J$7-Inputs!$I$7)))/Inputs!$C$39)*SIN(2*PI()*(Inputs!$C$6)/Inputs!$C$40)+-Inputs!$C$41*EXP(-(((Inputs!$C$6)-Inputs!$C$43)^2)/(2*Inputs!$C$44^2))*EXP(-((((Inputs!$I$7+(((A162)+1)/2)*(Inputs!$J$7-Inputs!$I$7)))-Inputs!$C$42)^2)/(2*Inputs!$C$45^2))+Inputs!$C$48*(0.7*(0.45*SIN(2*PI()*((((Inputs!$I$7+(((A162)+1)/2)*(Inputs!$J$7-Inputs!$I$7)))/Inputs!$C$49)+Inputs!$C$47*0.137))+0.35*COS(2*PI()*(((Inputs!$C$6)/Inputs!$C$50)+Inputs!$C$47*0.173))+0.2*SIN(2*PI()*((((Inputs!$I$7+(((A162)+1)/2)*(Inputs!$J$7-Inputs!$I$7)))+(Inputs!$C$6))/(0.5*(Inputs!$C$49+Inputs!$C$50))+Inputs!$C$47*0.097)))+0.3*(2*((SIN((((Inputs!$I$7+(((A162)+1)/2)*(Inputs!$J$7-Inputs!$I$7)))*12.9898+(Inputs!$C$6)*78.233+Inputs!$C$47*37.719))*43758.5453)-INT((SIN((((Inputs!$I$7+(((A162)+1)/2)*(Inputs!$J$7-Inputs!$I$7)))*12.9898+(Inputs!$C$6)*78.233+Inputs!$C$47*37.719))*43758.5453)))-1))),NA())</f>
        <v/>
      </c>
      <c r="AU162" s="9">
        <f>IF(OR(Inputs!$F$8=TRUE,Inputs!$F$8="TRUE",Inputs!$F$8=1),IF(OR(Inputs!$C$27=TRUE,Inputs!$C$27="TRUE",Inputs!$C$27=1),1,0)*(Inputs!$C$51*(115*EXP(-(((Inputs!$C$6)-25)^2)/(4.5^2))+70*EXP(-(((Inputs!$C$6)+38)^2)/(7^2))*(0.55+0.45*SIN(2*PI()*((Inputs!$I$8+(((A162)+1)/2)*(Inputs!$J$8-Inputs!$I$8)))/45))+24*SIN(2*PI()*(Inputs!$C$6)/9+((Inputs!$I$8+(((A162)+1)/2)*(Inputs!$J$8-Inputs!$I$8)))/18)*EXP(-(((Inputs!$C$6)+5)^2)/(22^2))+18*SIN(2*PI()*((Inputs!$I$8+(((A162)+1)/2)*(Inputs!$J$8-Inputs!$I$8)))/70))+Inputs!$C$28*EXP(-((((Inputs!$I$8+(((A162)+1)/2)*(Inputs!$J$8-Inputs!$I$8)))-Inputs!$C$29)^2)/(2*Inputs!$C$31^2))*EXP(-(((Inputs!$C$6)-Inputs!$C$30)^2)/(2*Inputs!$C$32^2))+-Inputs!$C$33*EXP(-((((((Inputs!$I$8+(((A162)+1)/2)*(Inputs!$J$8-Inputs!$I$8)))-Inputs!$C$34)^2)+(((Inputs!$C$6)-Inputs!$C$35)^2))/(2*Inputs!$C$36^2)))+Inputs!$C$37*(0.55*SIN(2*PI()*((Inputs!$I$8+(((A162)+1)/2)*(Inputs!$J$8-Inputs!$I$8)))/Inputs!$C$39)+0.35*COS(2*PI()*(Inputs!$C$6)/Inputs!$C$40)+0.2*SIN(2*PI()*(((Inputs!$I$8+(((A162)+1)/2)*(Inputs!$J$8-Inputs!$I$8)))+(Inputs!$C$6))/(0.5*(Inputs!$C$39+Inputs!$C$40))))+Inputs!$C$38*SIN(2*PI()*((Inputs!$I$8+(((A162)+1)/2)*(Inputs!$J$8-Inputs!$I$8)))/Inputs!$C$39)*SIN(2*PI()*(Inputs!$C$6)/Inputs!$C$40)+-Inputs!$C$41*EXP(-(((Inputs!$C$6)-Inputs!$C$43)^2)/(2*Inputs!$C$44^2))*EXP(-((((Inputs!$I$8+(((A162)+1)/2)*(Inputs!$J$8-Inputs!$I$8)))-Inputs!$C$42)^2)/(2*Inputs!$C$45^2))+Inputs!$C$48*(0.7*(0.45*SIN(2*PI()*((((Inputs!$I$8+(((A162)+1)/2)*(Inputs!$J$8-Inputs!$I$8)))/Inputs!$C$49)+Inputs!$C$47*0.137))+0.35*COS(2*PI()*(((Inputs!$C$6)/Inputs!$C$50)+Inputs!$C$47*0.173))+0.2*SIN(2*PI()*((((Inputs!$I$8+(((A162)+1)/2)*(Inputs!$J$8-Inputs!$I$8)))+(Inputs!$C$6))/(0.5*(Inputs!$C$49+Inputs!$C$50))+Inputs!$C$47*0.097)))+0.3*(2*((SIN((((Inputs!$I$8+(((A162)+1)/2)*(Inputs!$J$8-Inputs!$I$8)))*12.9898+(Inputs!$C$6)*78.233+Inputs!$C$47*37.719))*43758.5453)-INT((SIN((((Inputs!$I$8+(((A162)+1)/2)*(Inputs!$J$8-Inputs!$I$8)))*12.9898+(Inputs!$C$6)*78.233+Inputs!$C$47*37.719))*43758.5453)))-1))),NA())</f>
        <v/>
      </c>
      <c r="AV162" s="9">
        <f>IF(OR(Inputs!$F$9=TRUE,Inputs!$F$9="TRUE",Inputs!$F$9=1),IF(OR(Inputs!$C$27=TRUE,Inputs!$C$27="TRUE",Inputs!$C$27=1),1,0)*(Inputs!$C$51*(115*EXP(-(((Inputs!$C$6)-25)^2)/(4.5^2))+70*EXP(-(((Inputs!$C$6)+38)^2)/(7^2))*(0.55+0.45*SIN(2*PI()*((Inputs!$I$9+(((A162)+1)/2)*(Inputs!$J$9-Inputs!$I$9)))/45))+24*SIN(2*PI()*(Inputs!$C$6)/9+((Inputs!$I$9+(((A162)+1)/2)*(Inputs!$J$9-Inputs!$I$9)))/18)*EXP(-(((Inputs!$C$6)+5)^2)/(22^2))+18*SIN(2*PI()*((Inputs!$I$9+(((A162)+1)/2)*(Inputs!$J$9-Inputs!$I$9)))/70))+Inputs!$C$28*EXP(-((((Inputs!$I$9+(((A162)+1)/2)*(Inputs!$J$9-Inputs!$I$9)))-Inputs!$C$29)^2)/(2*Inputs!$C$31^2))*EXP(-(((Inputs!$C$6)-Inputs!$C$30)^2)/(2*Inputs!$C$32^2))+-Inputs!$C$33*EXP(-((((((Inputs!$I$9+(((A162)+1)/2)*(Inputs!$J$9-Inputs!$I$9)))-Inputs!$C$34)^2)+(((Inputs!$C$6)-Inputs!$C$35)^2))/(2*Inputs!$C$36^2)))+Inputs!$C$37*(0.55*SIN(2*PI()*((Inputs!$I$9+(((A162)+1)/2)*(Inputs!$J$9-Inputs!$I$9)))/Inputs!$C$39)+0.35*COS(2*PI()*(Inputs!$C$6)/Inputs!$C$40)+0.2*SIN(2*PI()*(((Inputs!$I$9+(((A162)+1)/2)*(Inputs!$J$9-Inputs!$I$9)))+(Inputs!$C$6))/(0.5*(Inputs!$C$39+Inputs!$C$40))))+Inputs!$C$38*SIN(2*PI()*((Inputs!$I$9+(((A162)+1)/2)*(Inputs!$J$9-Inputs!$I$9)))/Inputs!$C$39)*SIN(2*PI()*(Inputs!$C$6)/Inputs!$C$40)+-Inputs!$C$41*EXP(-(((Inputs!$C$6)-Inputs!$C$43)^2)/(2*Inputs!$C$44^2))*EXP(-((((Inputs!$I$9+(((A162)+1)/2)*(Inputs!$J$9-Inputs!$I$9)))-Inputs!$C$42)^2)/(2*Inputs!$C$45^2))+Inputs!$C$48*(0.7*(0.45*SIN(2*PI()*((((Inputs!$I$9+(((A162)+1)/2)*(Inputs!$J$9-Inputs!$I$9)))/Inputs!$C$49)+Inputs!$C$47*0.137))+0.35*COS(2*PI()*(((Inputs!$C$6)/Inputs!$C$50)+Inputs!$C$47*0.173))+0.2*SIN(2*PI()*((((Inputs!$I$9+(((A162)+1)/2)*(Inputs!$J$9-Inputs!$I$9)))+(Inputs!$C$6))/(0.5*(Inputs!$C$49+Inputs!$C$50))+Inputs!$C$47*0.097)))+0.3*(2*((SIN((((Inputs!$I$9+(((A162)+1)/2)*(Inputs!$J$9-Inputs!$I$9)))*12.9898+(Inputs!$C$6)*78.233+Inputs!$C$47*37.719))*43758.5453)-INT((SIN((((Inputs!$I$9+(((A162)+1)/2)*(Inputs!$J$9-Inputs!$I$9)))*12.9898+(Inputs!$C$6)*78.233+Inputs!$C$47*37.719))*43758.5453)))-1))),NA())</f>
        <v/>
      </c>
      <c r="AW162" s="10" t="n"/>
      <c r="AX162" s="9">
        <f>A162</f>
        <v/>
      </c>
      <c r="AY162" s="9">
        <f>0</f>
        <v/>
      </c>
      <c r="AZ162" s="9">
        <f>IF(OR(Inputs!$F$6=TRUE,Inputs!$F$6="TRUE",Inputs!$F$6=1),(Inputs!$H$6+Inputs!$L$6*(((Inputs!$I$6+(((A162)+1)/2)*(Inputs!$J$6-Inputs!$I$6)))/Inputs!$K$6)^2),NA())</f>
        <v/>
      </c>
      <c r="BA162" s="9">
        <f>IF(OR(Inputs!$F$7=TRUE,Inputs!$F$7="TRUE",Inputs!$F$7=1),(Inputs!$H$7+Inputs!$L$7*(((Inputs!$I$7+(((A162)+1)/2)*(Inputs!$J$7-Inputs!$I$7)))/Inputs!$K$7)^2),NA())</f>
        <v/>
      </c>
      <c r="BB162" s="9">
        <f>IF(OR(Inputs!$F$8=TRUE,Inputs!$F$8="TRUE",Inputs!$F$8=1),(Inputs!$H$8+Inputs!$L$8*(((Inputs!$I$8+(((A162)+1)/2)*(Inputs!$J$8-Inputs!$I$8)))/Inputs!$K$8)^2),NA())</f>
        <v/>
      </c>
      <c r="BC162" s="9">
        <f>IF(OR(Inputs!$F$9=TRUE,Inputs!$F$9="TRUE",Inputs!$F$9=1),(Inputs!$H$9+Inputs!$L$9*(((Inputs!$I$9+(((A162)+1)/2)*(Inputs!$J$9-Inputs!$I$9)))/Inputs!$K$9)^2),NA())</f>
        <v/>
      </c>
      <c r="BD162" s="10" t="n"/>
      <c r="BE162" s="9">
        <f>A162</f>
        <v/>
      </c>
      <c r="BF162" s="9">
        <f>0</f>
        <v/>
      </c>
      <c r="BG162" s="9">
        <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f>
        <v/>
      </c>
      <c r="BH162" s="9">
        <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f>
        <v/>
      </c>
      <c r="BI162" s="9">
        <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f>
        <v/>
      </c>
      <c r="BJ162" s="9">
        <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f>
        <v/>
      </c>
    </row>
    <row r="163">
      <c r="A163" s="9">
        <f>ROUND(-1+161*2/240,3)</f>
        <v/>
      </c>
      <c r="B163" s="9">
        <f>IF(OR(Inputs!$F$6=TRUE,Inputs!$F$6="TRUE",Inputs!$F$6=1),(Inputs!$H$6+Inputs!$L$6*(((Inputs!$I$6+(((A163)+1)/2)*(Inputs!$J$6-Inputs!$I$6)))/Inputs!$K$6)^2),NA())</f>
        <v/>
      </c>
      <c r="C163" s="9">
        <f>IF(OR(Inputs!$F$7=TRUE,Inputs!$F$7="TRUE",Inputs!$F$7=1),(Inputs!$H$7+Inputs!$L$7*(((Inputs!$I$7+(((A163)+1)/2)*(Inputs!$J$7-Inputs!$I$7)))/Inputs!$K$7)^2),NA())</f>
        <v/>
      </c>
      <c r="D163" s="9">
        <f>IF(OR(Inputs!$F$8=TRUE,Inputs!$F$8="TRUE",Inputs!$F$8=1),(Inputs!$H$8+Inputs!$L$8*(((Inputs!$I$8+(((A163)+1)/2)*(Inputs!$J$8-Inputs!$I$8)))/Inputs!$K$8)^2),NA())</f>
        <v/>
      </c>
      <c r="E163" s="9">
        <f>IF(OR(Inputs!$F$9=TRUE,Inputs!$F$9="TRUE",Inputs!$F$9=1),(Inputs!$H$9+Inputs!$L$9*(((Inputs!$I$9+(((A163)+1)/2)*(Inputs!$J$9-Inputs!$I$9)))/Inputs!$K$9)^2),NA())</f>
        <v/>
      </c>
      <c r="F163" s="10" t="n"/>
      <c r="G163" s="9">
        <f>A163</f>
        <v/>
      </c>
      <c r="H163" s="9">
        <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f>
        <v/>
      </c>
      <c r="I163" s="9">
        <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f>
        <v/>
      </c>
      <c r="J163" s="9">
        <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f>
        <v/>
      </c>
      <c r="K163" s="9">
        <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f>
        <v/>
      </c>
      <c r="L163" s="10" t="n"/>
      <c r="M163" s="9">
        <f>A163</f>
        <v/>
      </c>
      <c r="N163" s="9">
        <f>IF(OR(Inputs!$F$6=TRUE,Inputs!$F$6="TRUE",Inputs!$F$6=1),(-2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NA())</f>
        <v/>
      </c>
      <c r="O163" s="9">
        <f>IF(OR(Inputs!$F$7=TRUE,Inputs!$F$7="TRUE",Inputs!$F$7=1),(-2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NA())</f>
        <v/>
      </c>
      <c r="P163" s="9">
        <f>IF(OR(Inputs!$F$8=TRUE,Inputs!$F$8="TRUE",Inputs!$F$8=1),(-2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NA())</f>
        <v/>
      </c>
      <c r="Q163" s="9">
        <f>IF(OR(Inputs!$F$9=TRUE,Inputs!$F$9="TRUE",Inputs!$F$9=1),(-2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NA())</f>
        <v/>
      </c>
      <c r="R163" s="10" t="n"/>
      <c r="S163" s="9">
        <f>A163</f>
        <v/>
      </c>
      <c r="T163" s="9">
        <f>(Inputs!$I$6+(((A163)+1)/2)*(Inputs!$J$6-Inputs!$I$6))</f>
        <v/>
      </c>
      <c r="U163" s="9">
        <f>(Inputs!$I$7+(((A163)+1)/2)*(Inputs!$J$7-Inputs!$I$7))</f>
        <v/>
      </c>
      <c r="V163" s="9">
        <f>(Inputs!$I$8+(((A163)+1)/2)*(Inputs!$J$8-Inputs!$I$8))</f>
        <v/>
      </c>
      <c r="W163" s="9">
        <f>(Inputs!$I$9+(((A163)+1)/2)*(Inputs!$J$9-Inputs!$I$9))</f>
        <v/>
      </c>
      <c r="X163" s="10" t="n"/>
      <c r="Y163" s="9">
        <f>A163</f>
        <v/>
      </c>
      <c r="Z163" s="9">
        <f>(Inputs!$H$6+Inputs!$L$6*(((Inputs!$I$6+(((A163)+1)/2)*(Inputs!$J$6-Inputs!$I$6)))/Inputs!$K$6)^2)</f>
        <v/>
      </c>
      <c r="AA163" s="9">
        <f>(Inputs!$H$7+Inputs!$L$7*(((Inputs!$I$7+(((A163)+1)/2)*(Inputs!$J$7-Inputs!$I$7)))/Inputs!$K$7)^2)</f>
        <v/>
      </c>
      <c r="AB163" s="9">
        <f>(Inputs!$H$8+Inputs!$L$8*(((Inputs!$I$8+(((A163)+1)/2)*(Inputs!$J$8-Inputs!$I$8)))/Inputs!$K$8)^2)</f>
        <v/>
      </c>
      <c r="AC163" s="9">
        <f>(Inputs!$H$9+Inputs!$L$9*(((Inputs!$I$9+(((A163)+1)/2)*(Inputs!$J$9-Inputs!$I$9)))/Inputs!$K$9)^2)</f>
        <v/>
      </c>
      <c r="AD163" s="10" t="n"/>
      <c r="AE163" s="9">
        <f>A163</f>
        <v/>
      </c>
      <c r="AF163" s="9">
        <f>(((SQRT((Inputs!$C$52+((Inputs!$H$6+Inputs!$L$6*(((Inputs!$I$6+(((A163)+1)/2)*(Inputs!$J$6-Inputs!$I$6)))/Inputs!$K$6)^2)))^2+Inputs!$C$52^2-2*(Inputs!$C$52+((Inputs!$H$6+Inputs!$L$6*(((Inputs!$I$6+(((A163)+1)/2)*(Inputs!$J$6-Inputs!$I$6)))/Inputs!$K$6)^2)))*Inputs!$C$52*COS(SQRT(((Inputs!$I$6+(((A163)+1)/2)*(Inputs!$J$6-Inputs!$I$6)))^2+Inputs!$C$6^2)/Inputs!$C$52)))-((Inputs!$H$6+Inputs!$L$6*(((Inputs!$I$6+(((A163)+1)/2)*(Inputs!$J$6-Inputs!$I$6)))/Inputs!$K$6)^2)))*1000/Inputs!$C$12)</f>
        <v/>
      </c>
      <c r="AG163" s="9">
        <f>(((SQRT((Inputs!$C$52+((Inputs!$H$7+Inputs!$L$7*(((Inputs!$I$7+(((A163)+1)/2)*(Inputs!$J$7-Inputs!$I$7)))/Inputs!$K$7)^2)))^2+Inputs!$C$52^2-2*(Inputs!$C$52+((Inputs!$H$7+Inputs!$L$7*(((Inputs!$I$7+(((A163)+1)/2)*(Inputs!$J$7-Inputs!$I$7)))/Inputs!$K$7)^2)))*Inputs!$C$52*COS(SQRT(((Inputs!$I$7+(((A163)+1)/2)*(Inputs!$J$7-Inputs!$I$7)))^2+Inputs!$C$6^2)/Inputs!$C$52)))-((Inputs!$H$7+Inputs!$L$7*(((Inputs!$I$7+(((A163)+1)/2)*(Inputs!$J$7-Inputs!$I$7)))/Inputs!$K$7)^2)))*1000/Inputs!$C$12)</f>
        <v/>
      </c>
      <c r="AH163" s="9">
        <f>(((SQRT((Inputs!$C$52+((Inputs!$H$8+Inputs!$L$8*(((Inputs!$I$8+(((A163)+1)/2)*(Inputs!$J$8-Inputs!$I$8)))/Inputs!$K$8)^2)))^2+Inputs!$C$52^2-2*(Inputs!$C$52+((Inputs!$H$8+Inputs!$L$8*(((Inputs!$I$8+(((A163)+1)/2)*(Inputs!$J$8-Inputs!$I$8)))/Inputs!$K$8)^2)))*Inputs!$C$52*COS(SQRT(((Inputs!$I$8+(((A163)+1)/2)*(Inputs!$J$8-Inputs!$I$8)))^2+Inputs!$C$6^2)/Inputs!$C$52)))-((Inputs!$H$8+Inputs!$L$8*(((Inputs!$I$8+(((A163)+1)/2)*(Inputs!$J$8-Inputs!$I$8)))/Inputs!$K$8)^2)))*1000/Inputs!$C$12)</f>
        <v/>
      </c>
      <c r="AI163" s="9">
        <f>(((SQRT((Inputs!$C$52+((Inputs!$H$9+Inputs!$L$9*(((Inputs!$I$9+(((A163)+1)/2)*(Inputs!$J$9-Inputs!$I$9)))/Inputs!$K$9)^2)))^2+Inputs!$C$52^2-2*(Inputs!$C$52+((Inputs!$H$9+Inputs!$L$9*(((Inputs!$I$9+(((A163)+1)/2)*(Inputs!$J$9-Inputs!$I$9)))/Inputs!$K$9)^2)))*Inputs!$C$52*COS(SQRT(((Inputs!$I$9+(((A163)+1)/2)*(Inputs!$J$9-Inputs!$I$9)))^2+Inputs!$C$6^2)/Inputs!$C$52)))-((Inputs!$H$9+Inputs!$L$9*(((Inputs!$I$9+(((A163)+1)/2)*(Inputs!$J$9-Inputs!$I$9)))/Inputs!$K$9)^2)))*1000/Inputs!$C$12)</f>
        <v/>
      </c>
      <c r="AJ163" s="10" t="n"/>
      <c r="AK163" s="9">
        <f>A163</f>
        <v/>
      </c>
      <c r="AL163" s="9">
        <f>(-2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f>
        <v/>
      </c>
      <c r="AM163" s="9">
        <f>(-2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f>
        <v/>
      </c>
      <c r="AN163" s="9">
        <f>(-2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f>
        <v/>
      </c>
      <c r="AO163" s="9">
        <f>(-2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f>
        <v/>
      </c>
      <c r="AP163" s="10" t="n"/>
      <c r="AQ163" s="9">
        <f>A163</f>
        <v/>
      </c>
      <c r="AR163" s="9">
        <f>0</f>
        <v/>
      </c>
      <c r="AS163" s="9">
        <f>IF(OR(Inputs!$F$6=TRUE,Inputs!$F$6="TRUE",Inputs!$F$6=1),IF(OR(Inputs!$C$27=TRUE,Inputs!$C$27="TRUE",Inputs!$C$27=1),1,0)*(Inputs!$C$51*(115*EXP(-(((Inputs!$C$6)-25)^2)/(4.5^2))+70*EXP(-(((Inputs!$C$6)+38)^2)/(7^2))*(0.55+0.45*SIN(2*PI()*((Inputs!$I$6+(((A163)+1)/2)*(Inputs!$J$6-Inputs!$I$6)))/45))+24*SIN(2*PI()*(Inputs!$C$6)/9+((Inputs!$I$6+(((A163)+1)/2)*(Inputs!$J$6-Inputs!$I$6)))/18)*EXP(-(((Inputs!$C$6)+5)^2)/(22^2))+18*SIN(2*PI()*((Inputs!$I$6+(((A163)+1)/2)*(Inputs!$J$6-Inputs!$I$6)))/70))+Inputs!$C$28*EXP(-((((Inputs!$I$6+(((A163)+1)/2)*(Inputs!$J$6-Inputs!$I$6)))-Inputs!$C$29)^2)/(2*Inputs!$C$31^2))*EXP(-(((Inputs!$C$6)-Inputs!$C$30)^2)/(2*Inputs!$C$32^2))+-Inputs!$C$33*EXP(-((((((Inputs!$I$6+(((A163)+1)/2)*(Inputs!$J$6-Inputs!$I$6)))-Inputs!$C$34)^2)+(((Inputs!$C$6)-Inputs!$C$35)^2))/(2*Inputs!$C$36^2)))+Inputs!$C$37*(0.55*SIN(2*PI()*((Inputs!$I$6+(((A163)+1)/2)*(Inputs!$J$6-Inputs!$I$6)))/Inputs!$C$39)+0.35*COS(2*PI()*(Inputs!$C$6)/Inputs!$C$40)+0.2*SIN(2*PI()*(((Inputs!$I$6+(((A163)+1)/2)*(Inputs!$J$6-Inputs!$I$6)))+(Inputs!$C$6))/(0.5*(Inputs!$C$39+Inputs!$C$40))))+Inputs!$C$38*SIN(2*PI()*((Inputs!$I$6+(((A163)+1)/2)*(Inputs!$J$6-Inputs!$I$6)))/Inputs!$C$39)*SIN(2*PI()*(Inputs!$C$6)/Inputs!$C$40)+-Inputs!$C$41*EXP(-(((Inputs!$C$6)-Inputs!$C$43)^2)/(2*Inputs!$C$44^2))*EXP(-((((Inputs!$I$6+(((A163)+1)/2)*(Inputs!$J$6-Inputs!$I$6)))-Inputs!$C$42)^2)/(2*Inputs!$C$45^2))+Inputs!$C$48*(0.7*(0.45*SIN(2*PI()*((((Inputs!$I$6+(((A163)+1)/2)*(Inputs!$J$6-Inputs!$I$6)))/Inputs!$C$49)+Inputs!$C$47*0.137))+0.35*COS(2*PI()*(((Inputs!$C$6)/Inputs!$C$50)+Inputs!$C$47*0.173))+0.2*SIN(2*PI()*((((Inputs!$I$6+(((A163)+1)/2)*(Inputs!$J$6-Inputs!$I$6)))+(Inputs!$C$6))/(0.5*(Inputs!$C$49+Inputs!$C$50))+Inputs!$C$47*0.097)))+0.3*(2*((SIN((((Inputs!$I$6+(((A163)+1)/2)*(Inputs!$J$6-Inputs!$I$6)))*12.9898+(Inputs!$C$6)*78.233+Inputs!$C$47*37.719))*43758.5453)-INT((SIN((((Inputs!$I$6+(((A163)+1)/2)*(Inputs!$J$6-Inputs!$I$6)))*12.9898+(Inputs!$C$6)*78.233+Inputs!$C$47*37.719))*43758.5453)))-1))),NA())</f>
        <v/>
      </c>
      <c r="AT163" s="9">
        <f>IF(OR(Inputs!$F$7=TRUE,Inputs!$F$7="TRUE",Inputs!$F$7=1),IF(OR(Inputs!$C$27=TRUE,Inputs!$C$27="TRUE",Inputs!$C$27=1),1,0)*(Inputs!$C$51*(115*EXP(-(((Inputs!$C$6)-25)^2)/(4.5^2))+70*EXP(-(((Inputs!$C$6)+38)^2)/(7^2))*(0.55+0.45*SIN(2*PI()*((Inputs!$I$7+(((A163)+1)/2)*(Inputs!$J$7-Inputs!$I$7)))/45))+24*SIN(2*PI()*(Inputs!$C$6)/9+((Inputs!$I$7+(((A163)+1)/2)*(Inputs!$J$7-Inputs!$I$7)))/18)*EXP(-(((Inputs!$C$6)+5)^2)/(22^2))+18*SIN(2*PI()*((Inputs!$I$7+(((A163)+1)/2)*(Inputs!$J$7-Inputs!$I$7)))/70))+Inputs!$C$28*EXP(-((((Inputs!$I$7+(((A163)+1)/2)*(Inputs!$J$7-Inputs!$I$7)))-Inputs!$C$29)^2)/(2*Inputs!$C$31^2))*EXP(-(((Inputs!$C$6)-Inputs!$C$30)^2)/(2*Inputs!$C$32^2))+-Inputs!$C$33*EXP(-((((((Inputs!$I$7+(((A163)+1)/2)*(Inputs!$J$7-Inputs!$I$7)))-Inputs!$C$34)^2)+(((Inputs!$C$6)-Inputs!$C$35)^2))/(2*Inputs!$C$36^2)))+Inputs!$C$37*(0.55*SIN(2*PI()*((Inputs!$I$7+(((A163)+1)/2)*(Inputs!$J$7-Inputs!$I$7)))/Inputs!$C$39)+0.35*COS(2*PI()*(Inputs!$C$6)/Inputs!$C$40)+0.2*SIN(2*PI()*(((Inputs!$I$7+(((A163)+1)/2)*(Inputs!$J$7-Inputs!$I$7)))+(Inputs!$C$6))/(0.5*(Inputs!$C$39+Inputs!$C$40))))+Inputs!$C$38*SIN(2*PI()*((Inputs!$I$7+(((A163)+1)/2)*(Inputs!$J$7-Inputs!$I$7)))/Inputs!$C$39)*SIN(2*PI()*(Inputs!$C$6)/Inputs!$C$40)+-Inputs!$C$41*EXP(-(((Inputs!$C$6)-Inputs!$C$43)^2)/(2*Inputs!$C$44^2))*EXP(-((((Inputs!$I$7+(((A163)+1)/2)*(Inputs!$J$7-Inputs!$I$7)))-Inputs!$C$42)^2)/(2*Inputs!$C$45^2))+Inputs!$C$48*(0.7*(0.45*SIN(2*PI()*((((Inputs!$I$7+(((A163)+1)/2)*(Inputs!$J$7-Inputs!$I$7)))/Inputs!$C$49)+Inputs!$C$47*0.137))+0.35*COS(2*PI()*(((Inputs!$C$6)/Inputs!$C$50)+Inputs!$C$47*0.173))+0.2*SIN(2*PI()*((((Inputs!$I$7+(((A163)+1)/2)*(Inputs!$J$7-Inputs!$I$7)))+(Inputs!$C$6))/(0.5*(Inputs!$C$49+Inputs!$C$50))+Inputs!$C$47*0.097)))+0.3*(2*((SIN((((Inputs!$I$7+(((A163)+1)/2)*(Inputs!$J$7-Inputs!$I$7)))*12.9898+(Inputs!$C$6)*78.233+Inputs!$C$47*37.719))*43758.5453)-INT((SIN((((Inputs!$I$7+(((A163)+1)/2)*(Inputs!$J$7-Inputs!$I$7)))*12.9898+(Inputs!$C$6)*78.233+Inputs!$C$47*37.719))*43758.5453)))-1))),NA())</f>
        <v/>
      </c>
      <c r="AU163" s="9">
        <f>IF(OR(Inputs!$F$8=TRUE,Inputs!$F$8="TRUE",Inputs!$F$8=1),IF(OR(Inputs!$C$27=TRUE,Inputs!$C$27="TRUE",Inputs!$C$27=1),1,0)*(Inputs!$C$51*(115*EXP(-(((Inputs!$C$6)-25)^2)/(4.5^2))+70*EXP(-(((Inputs!$C$6)+38)^2)/(7^2))*(0.55+0.45*SIN(2*PI()*((Inputs!$I$8+(((A163)+1)/2)*(Inputs!$J$8-Inputs!$I$8)))/45))+24*SIN(2*PI()*(Inputs!$C$6)/9+((Inputs!$I$8+(((A163)+1)/2)*(Inputs!$J$8-Inputs!$I$8)))/18)*EXP(-(((Inputs!$C$6)+5)^2)/(22^2))+18*SIN(2*PI()*((Inputs!$I$8+(((A163)+1)/2)*(Inputs!$J$8-Inputs!$I$8)))/70))+Inputs!$C$28*EXP(-((((Inputs!$I$8+(((A163)+1)/2)*(Inputs!$J$8-Inputs!$I$8)))-Inputs!$C$29)^2)/(2*Inputs!$C$31^2))*EXP(-(((Inputs!$C$6)-Inputs!$C$30)^2)/(2*Inputs!$C$32^2))+-Inputs!$C$33*EXP(-((((((Inputs!$I$8+(((A163)+1)/2)*(Inputs!$J$8-Inputs!$I$8)))-Inputs!$C$34)^2)+(((Inputs!$C$6)-Inputs!$C$35)^2))/(2*Inputs!$C$36^2)))+Inputs!$C$37*(0.55*SIN(2*PI()*((Inputs!$I$8+(((A163)+1)/2)*(Inputs!$J$8-Inputs!$I$8)))/Inputs!$C$39)+0.35*COS(2*PI()*(Inputs!$C$6)/Inputs!$C$40)+0.2*SIN(2*PI()*(((Inputs!$I$8+(((A163)+1)/2)*(Inputs!$J$8-Inputs!$I$8)))+(Inputs!$C$6))/(0.5*(Inputs!$C$39+Inputs!$C$40))))+Inputs!$C$38*SIN(2*PI()*((Inputs!$I$8+(((A163)+1)/2)*(Inputs!$J$8-Inputs!$I$8)))/Inputs!$C$39)*SIN(2*PI()*(Inputs!$C$6)/Inputs!$C$40)+-Inputs!$C$41*EXP(-(((Inputs!$C$6)-Inputs!$C$43)^2)/(2*Inputs!$C$44^2))*EXP(-((((Inputs!$I$8+(((A163)+1)/2)*(Inputs!$J$8-Inputs!$I$8)))-Inputs!$C$42)^2)/(2*Inputs!$C$45^2))+Inputs!$C$48*(0.7*(0.45*SIN(2*PI()*((((Inputs!$I$8+(((A163)+1)/2)*(Inputs!$J$8-Inputs!$I$8)))/Inputs!$C$49)+Inputs!$C$47*0.137))+0.35*COS(2*PI()*(((Inputs!$C$6)/Inputs!$C$50)+Inputs!$C$47*0.173))+0.2*SIN(2*PI()*((((Inputs!$I$8+(((A163)+1)/2)*(Inputs!$J$8-Inputs!$I$8)))+(Inputs!$C$6))/(0.5*(Inputs!$C$49+Inputs!$C$50))+Inputs!$C$47*0.097)))+0.3*(2*((SIN((((Inputs!$I$8+(((A163)+1)/2)*(Inputs!$J$8-Inputs!$I$8)))*12.9898+(Inputs!$C$6)*78.233+Inputs!$C$47*37.719))*43758.5453)-INT((SIN((((Inputs!$I$8+(((A163)+1)/2)*(Inputs!$J$8-Inputs!$I$8)))*12.9898+(Inputs!$C$6)*78.233+Inputs!$C$47*37.719))*43758.5453)))-1))),NA())</f>
        <v/>
      </c>
      <c r="AV163" s="9">
        <f>IF(OR(Inputs!$F$9=TRUE,Inputs!$F$9="TRUE",Inputs!$F$9=1),IF(OR(Inputs!$C$27=TRUE,Inputs!$C$27="TRUE",Inputs!$C$27=1),1,0)*(Inputs!$C$51*(115*EXP(-(((Inputs!$C$6)-25)^2)/(4.5^2))+70*EXP(-(((Inputs!$C$6)+38)^2)/(7^2))*(0.55+0.45*SIN(2*PI()*((Inputs!$I$9+(((A163)+1)/2)*(Inputs!$J$9-Inputs!$I$9)))/45))+24*SIN(2*PI()*(Inputs!$C$6)/9+((Inputs!$I$9+(((A163)+1)/2)*(Inputs!$J$9-Inputs!$I$9)))/18)*EXP(-(((Inputs!$C$6)+5)^2)/(22^2))+18*SIN(2*PI()*((Inputs!$I$9+(((A163)+1)/2)*(Inputs!$J$9-Inputs!$I$9)))/70))+Inputs!$C$28*EXP(-((((Inputs!$I$9+(((A163)+1)/2)*(Inputs!$J$9-Inputs!$I$9)))-Inputs!$C$29)^2)/(2*Inputs!$C$31^2))*EXP(-(((Inputs!$C$6)-Inputs!$C$30)^2)/(2*Inputs!$C$32^2))+-Inputs!$C$33*EXP(-((((((Inputs!$I$9+(((A163)+1)/2)*(Inputs!$J$9-Inputs!$I$9)))-Inputs!$C$34)^2)+(((Inputs!$C$6)-Inputs!$C$35)^2))/(2*Inputs!$C$36^2)))+Inputs!$C$37*(0.55*SIN(2*PI()*((Inputs!$I$9+(((A163)+1)/2)*(Inputs!$J$9-Inputs!$I$9)))/Inputs!$C$39)+0.35*COS(2*PI()*(Inputs!$C$6)/Inputs!$C$40)+0.2*SIN(2*PI()*(((Inputs!$I$9+(((A163)+1)/2)*(Inputs!$J$9-Inputs!$I$9)))+(Inputs!$C$6))/(0.5*(Inputs!$C$39+Inputs!$C$40))))+Inputs!$C$38*SIN(2*PI()*((Inputs!$I$9+(((A163)+1)/2)*(Inputs!$J$9-Inputs!$I$9)))/Inputs!$C$39)*SIN(2*PI()*(Inputs!$C$6)/Inputs!$C$40)+-Inputs!$C$41*EXP(-(((Inputs!$C$6)-Inputs!$C$43)^2)/(2*Inputs!$C$44^2))*EXP(-((((Inputs!$I$9+(((A163)+1)/2)*(Inputs!$J$9-Inputs!$I$9)))-Inputs!$C$42)^2)/(2*Inputs!$C$45^2))+Inputs!$C$48*(0.7*(0.45*SIN(2*PI()*((((Inputs!$I$9+(((A163)+1)/2)*(Inputs!$J$9-Inputs!$I$9)))/Inputs!$C$49)+Inputs!$C$47*0.137))+0.35*COS(2*PI()*(((Inputs!$C$6)/Inputs!$C$50)+Inputs!$C$47*0.173))+0.2*SIN(2*PI()*((((Inputs!$I$9+(((A163)+1)/2)*(Inputs!$J$9-Inputs!$I$9)))+(Inputs!$C$6))/(0.5*(Inputs!$C$49+Inputs!$C$50))+Inputs!$C$47*0.097)))+0.3*(2*((SIN((((Inputs!$I$9+(((A163)+1)/2)*(Inputs!$J$9-Inputs!$I$9)))*12.9898+(Inputs!$C$6)*78.233+Inputs!$C$47*37.719))*43758.5453)-INT((SIN((((Inputs!$I$9+(((A163)+1)/2)*(Inputs!$J$9-Inputs!$I$9)))*12.9898+(Inputs!$C$6)*78.233+Inputs!$C$47*37.719))*43758.5453)))-1))),NA())</f>
        <v/>
      </c>
      <c r="AW163" s="10" t="n"/>
      <c r="AX163" s="9">
        <f>A163</f>
        <v/>
      </c>
      <c r="AY163" s="9">
        <f>0</f>
        <v/>
      </c>
      <c r="AZ163" s="9">
        <f>IF(OR(Inputs!$F$6=TRUE,Inputs!$F$6="TRUE",Inputs!$F$6=1),(Inputs!$H$6+Inputs!$L$6*(((Inputs!$I$6+(((A163)+1)/2)*(Inputs!$J$6-Inputs!$I$6)))/Inputs!$K$6)^2),NA())</f>
        <v/>
      </c>
      <c r="BA163" s="9">
        <f>IF(OR(Inputs!$F$7=TRUE,Inputs!$F$7="TRUE",Inputs!$F$7=1),(Inputs!$H$7+Inputs!$L$7*(((Inputs!$I$7+(((A163)+1)/2)*(Inputs!$J$7-Inputs!$I$7)))/Inputs!$K$7)^2),NA())</f>
        <v/>
      </c>
      <c r="BB163" s="9">
        <f>IF(OR(Inputs!$F$8=TRUE,Inputs!$F$8="TRUE",Inputs!$F$8=1),(Inputs!$H$8+Inputs!$L$8*(((Inputs!$I$8+(((A163)+1)/2)*(Inputs!$J$8-Inputs!$I$8)))/Inputs!$K$8)^2),NA())</f>
        <v/>
      </c>
      <c r="BC163" s="9">
        <f>IF(OR(Inputs!$F$9=TRUE,Inputs!$F$9="TRUE",Inputs!$F$9=1),(Inputs!$H$9+Inputs!$L$9*(((Inputs!$I$9+(((A163)+1)/2)*(Inputs!$J$9-Inputs!$I$9)))/Inputs!$K$9)^2),NA())</f>
        <v/>
      </c>
      <c r="BD163" s="10" t="n"/>
      <c r="BE163" s="9">
        <f>A163</f>
        <v/>
      </c>
      <c r="BF163" s="9">
        <f>0</f>
        <v/>
      </c>
      <c r="BG163" s="9">
        <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f>
        <v/>
      </c>
      <c r="BH163" s="9">
        <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f>
        <v/>
      </c>
      <c r="BI163" s="9">
        <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f>
        <v/>
      </c>
      <c r="BJ163" s="9">
        <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f>
        <v/>
      </c>
    </row>
    <row r="164">
      <c r="A164" s="9">
        <f>ROUND(-1+162*2/240,3)</f>
        <v/>
      </c>
      <c r="B164" s="9">
        <f>IF(OR(Inputs!$F$6=TRUE,Inputs!$F$6="TRUE",Inputs!$F$6=1),(Inputs!$H$6+Inputs!$L$6*(((Inputs!$I$6+(((A164)+1)/2)*(Inputs!$J$6-Inputs!$I$6)))/Inputs!$K$6)^2),NA())</f>
        <v/>
      </c>
      <c r="C164" s="9">
        <f>IF(OR(Inputs!$F$7=TRUE,Inputs!$F$7="TRUE",Inputs!$F$7=1),(Inputs!$H$7+Inputs!$L$7*(((Inputs!$I$7+(((A164)+1)/2)*(Inputs!$J$7-Inputs!$I$7)))/Inputs!$K$7)^2),NA())</f>
        <v/>
      </c>
      <c r="D164" s="9">
        <f>IF(OR(Inputs!$F$8=TRUE,Inputs!$F$8="TRUE",Inputs!$F$8=1),(Inputs!$H$8+Inputs!$L$8*(((Inputs!$I$8+(((A164)+1)/2)*(Inputs!$J$8-Inputs!$I$8)))/Inputs!$K$8)^2),NA())</f>
        <v/>
      </c>
      <c r="E164" s="9">
        <f>IF(OR(Inputs!$F$9=TRUE,Inputs!$F$9="TRUE",Inputs!$F$9=1),(Inputs!$H$9+Inputs!$L$9*(((Inputs!$I$9+(((A164)+1)/2)*(Inputs!$J$9-Inputs!$I$9)))/Inputs!$K$9)^2),NA())</f>
        <v/>
      </c>
      <c r="F164" s="10" t="n"/>
      <c r="G164" s="9">
        <f>A164</f>
        <v/>
      </c>
      <c r="H164" s="9">
        <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f>
        <v/>
      </c>
      <c r="I164" s="9">
        <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f>
        <v/>
      </c>
      <c r="J164" s="9">
        <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f>
        <v/>
      </c>
      <c r="K164" s="9">
        <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f>
        <v/>
      </c>
      <c r="L164" s="10" t="n"/>
      <c r="M164" s="9">
        <f>A164</f>
        <v/>
      </c>
      <c r="N164" s="9">
        <f>IF(OR(Inputs!$F$6=TRUE,Inputs!$F$6="TRUE",Inputs!$F$6=1),(-2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NA())</f>
        <v/>
      </c>
      <c r="O164" s="9">
        <f>IF(OR(Inputs!$F$7=TRUE,Inputs!$F$7="TRUE",Inputs!$F$7=1),(-2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NA())</f>
        <v/>
      </c>
      <c r="P164" s="9">
        <f>IF(OR(Inputs!$F$8=TRUE,Inputs!$F$8="TRUE",Inputs!$F$8=1),(-2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NA())</f>
        <v/>
      </c>
      <c r="Q164" s="9">
        <f>IF(OR(Inputs!$F$9=TRUE,Inputs!$F$9="TRUE",Inputs!$F$9=1),(-2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NA())</f>
        <v/>
      </c>
      <c r="R164" s="10" t="n"/>
      <c r="S164" s="9">
        <f>A164</f>
        <v/>
      </c>
      <c r="T164" s="9">
        <f>(Inputs!$I$6+(((A164)+1)/2)*(Inputs!$J$6-Inputs!$I$6))</f>
        <v/>
      </c>
      <c r="U164" s="9">
        <f>(Inputs!$I$7+(((A164)+1)/2)*(Inputs!$J$7-Inputs!$I$7))</f>
        <v/>
      </c>
      <c r="V164" s="9">
        <f>(Inputs!$I$8+(((A164)+1)/2)*(Inputs!$J$8-Inputs!$I$8))</f>
        <v/>
      </c>
      <c r="W164" s="9">
        <f>(Inputs!$I$9+(((A164)+1)/2)*(Inputs!$J$9-Inputs!$I$9))</f>
        <v/>
      </c>
      <c r="X164" s="10" t="n"/>
      <c r="Y164" s="9">
        <f>A164</f>
        <v/>
      </c>
      <c r="Z164" s="9">
        <f>(Inputs!$H$6+Inputs!$L$6*(((Inputs!$I$6+(((A164)+1)/2)*(Inputs!$J$6-Inputs!$I$6)))/Inputs!$K$6)^2)</f>
        <v/>
      </c>
      <c r="AA164" s="9">
        <f>(Inputs!$H$7+Inputs!$L$7*(((Inputs!$I$7+(((A164)+1)/2)*(Inputs!$J$7-Inputs!$I$7)))/Inputs!$K$7)^2)</f>
        <v/>
      </c>
      <c r="AB164" s="9">
        <f>(Inputs!$H$8+Inputs!$L$8*(((Inputs!$I$8+(((A164)+1)/2)*(Inputs!$J$8-Inputs!$I$8)))/Inputs!$K$8)^2)</f>
        <v/>
      </c>
      <c r="AC164" s="9">
        <f>(Inputs!$H$9+Inputs!$L$9*(((Inputs!$I$9+(((A164)+1)/2)*(Inputs!$J$9-Inputs!$I$9)))/Inputs!$K$9)^2)</f>
        <v/>
      </c>
      <c r="AD164" s="10" t="n"/>
      <c r="AE164" s="9">
        <f>A164</f>
        <v/>
      </c>
      <c r="AF164" s="9">
        <f>(((SQRT((Inputs!$C$52+((Inputs!$H$6+Inputs!$L$6*(((Inputs!$I$6+(((A164)+1)/2)*(Inputs!$J$6-Inputs!$I$6)))/Inputs!$K$6)^2)))^2+Inputs!$C$52^2-2*(Inputs!$C$52+((Inputs!$H$6+Inputs!$L$6*(((Inputs!$I$6+(((A164)+1)/2)*(Inputs!$J$6-Inputs!$I$6)))/Inputs!$K$6)^2)))*Inputs!$C$52*COS(SQRT(((Inputs!$I$6+(((A164)+1)/2)*(Inputs!$J$6-Inputs!$I$6)))^2+Inputs!$C$6^2)/Inputs!$C$52)))-((Inputs!$H$6+Inputs!$L$6*(((Inputs!$I$6+(((A164)+1)/2)*(Inputs!$J$6-Inputs!$I$6)))/Inputs!$K$6)^2)))*1000/Inputs!$C$12)</f>
        <v/>
      </c>
      <c r="AG164" s="9">
        <f>(((SQRT((Inputs!$C$52+((Inputs!$H$7+Inputs!$L$7*(((Inputs!$I$7+(((A164)+1)/2)*(Inputs!$J$7-Inputs!$I$7)))/Inputs!$K$7)^2)))^2+Inputs!$C$52^2-2*(Inputs!$C$52+((Inputs!$H$7+Inputs!$L$7*(((Inputs!$I$7+(((A164)+1)/2)*(Inputs!$J$7-Inputs!$I$7)))/Inputs!$K$7)^2)))*Inputs!$C$52*COS(SQRT(((Inputs!$I$7+(((A164)+1)/2)*(Inputs!$J$7-Inputs!$I$7)))^2+Inputs!$C$6^2)/Inputs!$C$52)))-((Inputs!$H$7+Inputs!$L$7*(((Inputs!$I$7+(((A164)+1)/2)*(Inputs!$J$7-Inputs!$I$7)))/Inputs!$K$7)^2)))*1000/Inputs!$C$12)</f>
        <v/>
      </c>
      <c r="AH164" s="9">
        <f>(((SQRT((Inputs!$C$52+((Inputs!$H$8+Inputs!$L$8*(((Inputs!$I$8+(((A164)+1)/2)*(Inputs!$J$8-Inputs!$I$8)))/Inputs!$K$8)^2)))^2+Inputs!$C$52^2-2*(Inputs!$C$52+((Inputs!$H$8+Inputs!$L$8*(((Inputs!$I$8+(((A164)+1)/2)*(Inputs!$J$8-Inputs!$I$8)))/Inputs!$K$8)^2)))*Inputs!$C$52*COS(SQRT(((Inputs!$I$8+(((A164)+1)/2)*(Inputs!$J$8-Inputs!$I$8)))^2+Inputs!$C$6^2)/Inputs!$C$52)))-((Inputs!$H$8+Inputs!$L$8*(((Inputs!$I$8+(((A164)+1)/2)*(Inputs!$J$8-Inputs!$I$8)))/Inputs!$K$8)^2)))*1000/Inputs!$C$12)</f>
        <v/>
      </c>
      <c r="AI164" s="9">
        <f>(((SQRT((Inputs!$C$52+((Inputs!$H$9+Inputs!$L$9*(((Inputs!$I$9+(((A164)+1)/2)*(Inputs!$J$9-Inputs!$I$9)))/Inputs!$K$9)^2)))^2+Inputs!$C$52^2-2*(Inputs!$C$52+((Inputs!$H$9+Inputs!$L$9*(((Inputs!$I$9+(((A164)+1)/2)*(Inputs!$J$9-Inputs!$I$9)))/Inputs!$K$9)^2)))*Inputs!$C$52*COS(SQRT(((Inputs!$I$9+(((A164)+1)/2)*(Inputs!$J$9-Inputs!$I$9)))^2+Inputs!$C$6^2)/Inputs!$C$52)))-((Inputs!$H$9+Inputs!$L$9*(((Inputs!$I$9+(((A164)+1)/2)*(Inputs!$J$9-Inputs!$I$9)))/Inputs!$K$9)^2)))*1000/Inputs!$C$12)</f>
        <v/>
      </c>
      <c r="AJ164" s="10" t="n"/>
      <c r="AK164" s="9">
        <f>A164</f>
        <v/>
      </c>
      <c r="AL164" s="9">
        <f>(-2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f>
        <v/>
      </c>
      <c r="AM164" s="9">
        <f>(-2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f>
        <v/>
      </c>
      <c r="AN164" s="9">
        <f>(-2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f>
        <v/>
      </c>
      <c r="AO164" s="9">
        <f>(-2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f>
        <v/>
      </c>
      <c r="AP164" s="10" t="n"/>
      <c r="AQ164" s="9">
        <f>A164</f>
        <v/>
      </c>
      <c r="AR164" s="9">
        <f>0</f>
        <v/>
      </c>
      <c r="AS164" s="9">
        <f>IF(OR(Inputs!$F$6=TRUE,Inputs!$F$6="TRUE",Inputs!$F$6=1),IF(OR(Inputs!$C$27=TRUE,Inputs!$C$27="TRUE",Inputs!$C$27=1),1,0)*(Inputs!$C$51*(115*EXP(-(((Inputs!$C$6)-25)^2)/(4.5^2))+70*EXP(-(((Inputs!$C$6)+38)^2)/(7^2))*(0.55+0.45*SIN(2*PI()*((Inputs!$I$6+(((A164)+1)/2)*(Inputs!$J$6-Inputs!$I$6)))/45))+24*SIN(2*PI()*(Inputs!$C$6)/9+((Inputs!$I$6+(((A164)+1)/2)*(Inputs!$J$6-Inputs!$I$6)))/18)*EXP(-(((Inputs!$C$6)+5)^2)/(22^2))+18*SIN(2*PI()*((Inputs!$I$6+(((A164)+1)/2)*(Inputs!$J$6-Inputs!$I$6)))/70))+Inputs!$C$28*EXP(-((((Inputs!$I$6+(((A164)+1)/2)*(Inputs!$J$6-Inputs!$I$6)))-Inputs!$C$29)^2)/(2*Inputs!$C$31^2))*EXP(-(((Inputs!$C$6)-Inputs!$C$30)^2)/(2*Inputs!$C$32^2))+-Inputs!$C$33*EXP(-((((((Inputs!$I$6+(((A164)+1)/2)*(Inputs!$J$6-Inputs!$I$6)))-Inputs!$C$34)^2)+(((Inputs!$C$6)-Inputs!$C$35)^2))/(2*Inputs!$C$36^2)))+Inputs!$C$37*(0.55*SIN(2*PI()*((Inputs!$I$6+(((A164)+1)/2)*(Inputs!$J$6-Inputs!$I$6)))/Inputs!$C$39)+0.35*COS(2*PI()*(Inputs!$C$6)/Inputs!$C$40)+0.2*SIN(2*PI()*(((Inputs!$I$6+(((A164)+1)/2)*(Inputs!$J$6-Inputs!$I$6)))+(Inputs!$C$6))/(0.5*(Inputs!$C$39+Inputs!$C$40))))+Inputs!$C$38*SIN(2*PI()*((Inputs!$I$6+(((A164)+1)/2)*(Inputs!$J$6-Inputs!$I$6)))/Inputs!$C$39)*SIN(2*PI()*(Inputs!$C$6)/Inputs!$C$40)+-Inputs!$C$41*EXP(-(((Inputs!$C$6)-Inputs!$C$43)^2)/(2*Inputs!$C$44^2))*EXP(-((((Inputs!$I$6+(((A164)+1)/2)*(Inputs!$J$6-Inputs!$I$6)))-Inputs!$C$42)^2)/(2*Inputs!$C$45^2))+Inputs!$C$48*(0.7*(0.45*SIN(2*PI()*((((Inputs!$I$6+(((A164)+1)/2)*(Inputs!$J$6-Inputs!$I$6)))/Inputs!$C$49)+Inputs!$C$47*0.137))+0.35*COS(2*PI()*(((Inputs!$C$6)/Inputs!$C$50)+Inputs!$C$47*0.173))+0.2*SIN(2*PI()*((((Inputs!$I$6+(((A164)+1)/2)*(Inputs!$J$6-Inputs!$I$6)))+(Inputs!$C$6))/(0.5*(Inputs!$C$49+Inputs!$C$50))+Inputs!$C$47*0.097)))+0.3*(2*((SIN((((Inputs!$I$6+(((A164)+1)/2)*(Inputs!$J$6-Inputs!$I$6)))*12.9898+(Inputs!$C$6)*78.233+Inputs!$C$47*37.719))*43758.5453)-INT((SIN((((Inputs!$I$6+(((A164)+1)/2)*(Inputs!$J$6-Inputs!$I$6)))*12.9898+(Inputs!$C$6)*78.233+Inputs!$C$47*37.719))*43758.5453)))-1))),NA())</f>
        <v/>
      </c>
      <c r="AT164" s="9">
        <f>IF(OR(Inputs!$F$7=TRUE,Inputs!$F$7="TRUE",Inputs!$F$7=1),IF(OR(Inputs!$C$27=TRUE,Inputs!$C$27="TRUE",Inputs!$C$27=1),1,0)*(Inputs!$C$51*(115*EXP(-(((Inputs!$C$6)-25)^2)/(4.5^2))+70*EXP(-(((Inputs!$C$6)+38)^2)/(7^2))*(0.55+0.45*SIN(2*PI()*((Inputs!$I$7+(((A164)+1)/2)*(Inputs!$J$7-Inputs!$I$7)))/45))+24*SIN(2*PI()*(Inputs!$C$6)/9+((Inputs!$I$7+(((A164)+1)/2)*(Inputs!$J$7-Inputs!$I$7)))/18)*EXP(-(((Inputs!$C$6)+5)^2)/(22^2))+18*SIN(2*PI()*((Inputs!$I$7+(((A164)+1)/2)*(Inputs!$J$7-Inputs!$I$7)))/70))+Inputs!$C$28*EXP(-((((Inputs!$I$7+(((A164)+1)/2)*(Inputs!$J$7-Inputs!$I$7)))-Inputs!$C$29)^2)/(2*Inputs!$C$31^2))*EXP(-(((Inputs!$C$6)-Inputs!$C$30)^2)/(2*Inputs!$C$32^2))+-Inputs!$C$33*EXP(-((((((Inputs!$I$7+(((A164)+1)/2)*(Inputs!$J$7-Inputs!$I$7)))-Inputs!$C$34)^2)+(((Inputs!$C$6)-Inputs!$C$35)^2))/(2*Inputs!$C$36^2)))+Inputs!$C$37*(0.55*SIN(2*PI()*((Inputs!$I$7+(((A164)+1)/2)*(Inputs!$J$7-Inputs!$I$7)))/Inputs!$C$39)+0.35*COS(2*PI()*(Inputs!$C$6)/Inputs!$C$40)+0.2*SIN(2*PI()*(((Inputs!$I$7+(((A164)+1)/2)*(Inputs!$J$7-Inputs!$I$7)))+(Inputs!$C$6))/(0.5*(Inputs!$C$39+Inputs!$C$40))))+Inputs!$C$38*SIN(2*PI()*((Inputs!$I$7+(((A164)+1)/2)*(Inputs!$J$7-Inputs!$I$7)))/Inputs!$C$39)*SIN(2*PI()*(Inputs!$C$6)/Inputs!$C$40)+-Inputs!$C$41*EXP(-(((Inputs!$C$6)-Inputs!$C$43)^2)/(2*Inputs!$C$44^2))*EXP(-((((Inputs!$I$7+(((A164)+1)/2)*(Inputs!$J$7-Inputs!$I$7)))-Inputs!$C$42)^2)/(2*Inputs!$C$45^2))+Inputs!$C$48*(0.7*(0.45*SIN(2*PI()*((((Inputs!$I$7+(((A164)+1)/2)*(Inputs!$J$7-Inputs!$I$7)))/Inputs!$C$49)+Inputs!$C$47*0.137))+0.35*COS(2*PI()*(((Inputs!$C$6)/Inputs!$C$50)+Inputs!$C$47*0.173))+0.2*SIN(2*PI()*((((Inputs!$I$7+(((A164)+1)/2)*(Inputs!$J$7-Inputs!$I$7)))+(Inputs!$C$6))/(0.5*(Inputs!$C$49+Inputs!$C$50))+Inputs!$C$47*0.097)))+0.3*(2*((SIN((((Inputs!$I$7+(((A164)+1)/2)*(Inputs!$J$7-Inputs!$I$7)))*12.9898+(Inputs!$C$6)*78.233+Inputs!$C$47*37.719))*43758.5453)-INT((SIN((((Inputs!$I$7+(((A164)+1)/2)*(Inputs!$J$7-Inputs!$I$7)))*12.9898+(Inputs!$C$6)*78.233+Inputs!$C$47*37.719))*43758.5453)))-1))),NA())</f>
        <v/>
      </c>
      <c r="AU164" s="9">
        <f>IF(OR(Inputs!$F$8=TRUE,Inputs!$F$8="TRUE",Inputs!$F$8=1),IF(OR(Inputs!$C$27=TRUE,Inputs!$C$27="TRUE",Inputs!$C$27=1),1,0)*(Inputs!$C$51*(115*EXP(-(((Inputs!$C$6)-25)^2)/(4.5^2))+70*EXP(-(((Inputs!$C$6)+38)^2)/(7^2))*(0.55+0.45*SIN(2*PI()*((Inputs!$I$8+(((A164)+1)/2)*(Inputs!$J$8-Inputs!$I$8)))/45))+24*SIN(2*PI()*(Inputs!$C$6)/9+((Inputs!$I$8+(((A164)+1)/2)*(Inputs!$J$8-Inputs!$I$8)))/18)*EXP(-(((Inputs!$C$6)+5)^2)/(22^2))+18*SIN(2*PI()*((Inputs!$I$8+(((A164)+1)/2)*(Inputs!$J$8-Inputs!$I$8)))/70))+Inputs!$C$28*EXP(-((((Inputs!$I$8+(((A164)+1)/2)*(Inputs!$J$8-Inputs!$I$8)))-Inputs!$C$29)^2)/(2*Inputs!$C$31^2))*EXP(-(((Inputs!$C$6)-Inputs!$C$30)^2)/(2*Inputs!$C$32^2))+-Inputs!$C$33*EXP(-((((((Inputs!$I$8+(((A164)+1)/2)*(Inputs!$J$8-Inputs!$I$8)))-Inputs!$C$34)^2)+(((Inputs!$C$6)-Inputs!$C$35)^2))/(2*Inputs!$C$36^2)))+Inputs!$C$37*(0.55*SIN(2*PI()*((Inputs!$I$8+(((A164)+1)/2)*(Inputs!$J$8-Inputs!$I$8)))/Inputs!$C$39)+0.35*COS(2*PI()*(Inputs!$C$6)/Inputs!$C$40)+0.2*SIN(2*PI()*(((Inputs!$I$8+(((A164)+1)/2)*(Inputs!$J$8-Inputs!$I$8)))+(Inputs!$C$6))/(0.5*(Inputs!$C$39+Inputs!$C$40))))+Inputs!$C$38*SIN(2*PI()*((Inputs!$I$8+(((A164)+1)/2)*(Inputs!$J$8-Inputs!$I$8)))/Inputs!$C$39)*SIN(2*PI()*(Inputs!$C$6)/Inputs!$C$40)+-Inputs!$C$41*EXP(-(((Inputs!$C$6)-Inputs!$C$43)^2)/(2*Inputs!$C$44^2))*EXP(-((((Inputs!$I$8+(((A164)+1)/2)*(Inputs!$J$8-Inputs!$I$8)))-Inputs!$C$42)^2)/(2*Inputs!$C$45^2))+Inputs!$C$48*(0.7*(0.45*SIN(2*PI()*((((Inputs!$I$8+(((A164)+1)/2)*(Inputs!$J$8-Inputs!$I$8)))/Inputs!$C$49)+Inputs!$C$47*0.137))+0.35*COS(2*PI()*(((Inputs!$C$6)/Inputs!$C$50)+Inputs!$C$47*0.173))+0.2*SIN(2*PI()*((((Inputs!$I$8+(((A164)+1)/2)*(Inputs!$J$8-Inputs!$I$8)))+(Inputs!$C$6))/(0.5*(Inputs!$C$49+Inputs!$C$50))+Inputs!$C$47*0.097)))+0.3*(2*((SIN((((Inputs!$I$8+(((A164)+1)/2)*(Inputs!$J$8-Inputs!$I$8)))*12.9898+(Inputs!$C$6)*78.233+Inputs!$C$47*37.719))*43758.5453)-INT((SIN((((Inputs!$I$8+(((A164)+1)/2)*(Inputs!$J$8-Inputs!$I$8)))*12.9898+(Inputs!$C$6)*78.233+Inputs!$C$47*37.719))*43758.5453)))-1))),NA())</f>
        <v/>
      </c>
      <c r="AV164" s="9">
        <f>IF(OR(Inputs!$F$9=TRUE,Inputs!$F$9="TRUE",Inputs!$F$9=1),IF(OR(Inputs!$C$27=TRUE,Inputs!$C$27="TRUE",Inputs!$C$27=1),1,0)*(Inputs!$C$51*(115*EXP(-(((Inputs!$C$6)-25)^2)/(4.5^2))+70*EXP(-(((Inputs!$C$6)+38)^2)/(7^2))*(0.55+0.45*SIN(2*PI()*((Inputs!$I$9+(((A164)+1)/2)*(Inputs!$J$9-Inputs!$I$9)))/45))+24*SIN(2*PI()*(Inputs!$C$6)/9+((Inputs!$I$9+(((A164)+1)/2)*(Inputs!$J$9-Inputs!$I$9)))/18)*EXP(-(((Inputs!$C$6)+5)^2)/(22^2))+18*SIN(2*PI()*((Inputs!$I$9+(((A164)+1)/2)*(Inputs!$J$9-Inputs!$I$9)))/70))+Inputs!$C$28*EXP(-((((Inputs!$I$9+(((A164)+1)/2)*(Inputs!$J$9-Inputs!$I$9)))-Inputs!$C$29)^2)/(2*Inputs!$C$31^2))*EXP(-(((Inputs!$C$6)-Inputs!$C$30)^2)/(2*Inputs!$C$32^2))+-Inputs!$C$33*EXP(-((((((Inputs!$I$9+(((A164)+1)/2)*(Inputs!$J$9-Inputs!$I$9)))-Inputs!$C$34)^2)+(((Inputs!$C$6)-Inputs!$C$35)^2))/(2*Inputs!$C$36^2)))+Inputs!$C$37*(0.55*SIN(2*PI()*((Inputs!$I$9+(((A164)+1)/2)*(Inputs!$J$9-Inputs!$I$9)))/Inputs!$C$39)+0.35*COS(2*PI()*(Inputs!$C$6)/Inputs!$C$40)+0.2*SIN(2*PI()*(((Inputs!$I$9+(((A164)+1)/2)*(Inputs!$J$9-Inputs!$I$9)))+(Inputs!$C$6))/(0.5*(Inputs!$C$39+Inputs!$C$40))))+Inputs!$C$38*SIN(2*PI()*((Inputs!$I$9+(((A164)+1)/2)*(Inputs!$J$9-Inputs!$I$9)))/Inputs!$C$39)*SIN(2*PI()*(Inputs!$C$6)/Inputs!$C$40)+-Inputs!$C$41*EXP(-(((Inputs!$C$6)-Inputs!$C$43)^2)/(2*Inputs!$C$44^2))*EXP(-((((Inputs!$I$9+(((A164)+1)/2)*(Inputs!$J$9-Inputs!$I$9)))-Inputs!$C$42)^2)/(2*Inputs!$C$45^2))+Inputs!$C$48*(0.7*(0.45*SIN(2*PI()*((((Inputs!$I$9+(((A164)+1)/2)*(Inputs!$J$9-Inputs!$I$9)))/Inputs!$C$49)+Inputs!$C$47*0.137))+0.35*COS(2*PI()*(((Inputs!$C$6)/Inputs!$C$50)+Inputs!$C$47*0.173))+0.2*SIN(2*PI()*((((Inputs!$I$9+(((A164)+1)/2)*(Inputs!$J$9-Inputs!$I$9)))+(Inputs!$C$6))/(0.5*(Inputs!$C$49+Inputs!$C$50))+Inputs!$C$47*0.097)))+0.3*(2*((SIN((((Inputs!$I$9+(((A164)+1)/2)*(Inputs!$J$9-Inputs!$I$9)))*12.9898+(Inputs!$C$6)*78.233+Inputs!$C$47*37.719))*43758.5453)-INT((SIN((((Inputs!$I$9+(((A164)+1)/2)*(Inputs!$J$9-Inputs!$I$9)))*12.9898+(Inputs!$C$6)*78.233+Inputs!$C$47*37.719))*43758.5453)))-1))),NA())</f>
        <v/>
      </c>
      <c r="AW164" s="10" t="n"/>
      <c r="AX164" s="9">
        <f>A164</f>
        <v/>
      </c>
      <c r="AY164" s="9">
        <f>0</f>
        <v/>
      </c>
      <c r="AZ164" s="9">
        <f>IF(OR(Inputs!$F$6=TRUE,Inputs!$F$6="TRUE",Inputs!$F$6=1),(Inputs!$H$6+Inputs!$L$6*(((Inputs!$I$6+(((A164)+1)/2)*(Inputs!$J$6-Inputs!$I$6)))/Inputs!$K$6)^2),NA())</f>
        <v/>
      </c>
      <c r="BA164" s="9">
        <f>IF(OR(Inputs!$F$7=TRUE,Inputs!$F$7="TRUE",Inputs!$F$7=1),(Inputs!$H$7+Inputs!$L$7*(((Inputs!$I$7+(((A164)+1)/2)*(Inputs!$J$7-Inputs!$I$7)))/Inputs!$K$7)^2),NA())</f>
        <v/>
      </c>
      <c r="BB164" s="9">
        <f>IF(OR(Inputs!$F$8=TRUE,Inputs!$F$8="TRUE",Inputs!$F$8=1),(Inputs!$H$8+Inputs!$L$8*(((Inputs!$I$8+(((A164)+1)/2)*(Inputs!$J$8-Inputs!$I$8)))/Inputs!$K$8)^2),NA())</f>
        <v/>
      </c>
      <c r="BC164" s="9">
        <f>IF(OR(Inputs!$F$9=TRUE,Inputs!$F$9="TRUE",Inputs!$F$9=1),(Inputs!$H$9+Inputs!$L$9*(((Inputs!$I$9+(((A164)+1)/2)*(Inputs!$J$9-Inputs!$I$9)))/Inputs!$K$9)^2),NA())</f>
        <v/>
      </c>
      <c r="BD164" s="10" t="n"/>
      <c r="BE164" s="9">
        <f>A164</f>
        <v/>
      </c>
      <c r="BF164" s="9">
        <f>0</f>
        <v/>
      </c>
      <c r="BG164" s="9">
        <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f>
        <v/>
      </c>
      <c r="BH164" s="9">
        <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f>
        <v/>
      </c>
      <c r="BI164" s="9">
        <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f>
        <v/>
      </c>
      <c r="BJ164" s="9">
        <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f>
        <v/>
      </c>
    </row>
    <row r="165">
      <c r="A165" s="9">
        <f>ROUND(-1+163*2/240,3)</f>
        <v/>
      </c>
      <c r="B165" s="9">
        <f>IF(OR(Inputs!$F$6=TRUE,Inputs!$F$6="TRUE",Inputs!$F$6=1),(Inputs!$H$6+Inputs!$L$6*(((Inputs!$I$6+(((A165)+1)/2)*(Inputs!$J$6-Inputs!$I$6)))/Inputs!$K$6)^2),NA())</f>
        <v/>
      </c>
      <c r="C165" s="9">
        <f>IF(OR(Inputs!$F$7=TRUE,Inputs!$F$7="TRUE",Inputs!$F$7=1),(Inputs!$H$7+Inputs!$L$7*(((Inputs!$I$7+(((A165)+1)/2)*(Inputs!$J$7-Inputs!$I$7)))/Inputs!$K$7)^2),NA())</f>
        <v/>
      </c>
      <c r="D165" s="9">
        <f>IF(OR(Inputs!$F$8=TRUE,Inputs!$F$8="TRUE",Inputs!$F$8=1),(Inputs!$H$8+Inputs!$L$8*(((Inputs!$I$8+(((A165)+1)/2)*(Inputs!$J$8-Inputs!$I$8)))/Inputs!$K$8)^2),NA())</f>
        <v/>
      </c>
      <c r="E165" s="9">
        <f>IF(OR(Inputs!$F$9=TRUE,Inputs!$F$9="TRUE",Inputs!$F$9=1),(Inputs!$H$9+Inputs!$L$9*(((Inputs!$I$9+(((A165)+1)/2)*(Inputs!$J$9-Inputs!$I$9)))/Inputs!$K$9)^2),NA())</f>
        <v/>
      </c>
      <c r="F165" s="10" t="n"/>
      <c r="G165" s="9">
        <f>A165</f>
        <v/>
      </c>
      <c r="H165" s="9">
        <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f>
        <v/>
      </c>
      <c r="I165" s="9">
        <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f>
        <v/>
      </c>
      <c r="J165" s="9">
        <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f>
        <v/>
      </c>
      <c r="K165" s="9">
        <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f>
        <v/>
      </c>
      <c r="L165" s="10" t="n"/>
      <c r="M165" s="9">
        <f>A165</f>
        <v/>
      </c>
      <c r="N165" s="9">
        <f>IF(OR(Inputs!$F$6=TRUE,Inputs!$F$6="TRUE",Inputs!$F$6=1),(-2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NA())</f>
        <v/>
      </c>
      <c r="O165" s="9">
        <f>IF(OR(Inputs!$F$7=TRUE,Inputs!$F$7="TRUE",Inputs!$F$7=1),(-2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NA())</f>
        <v/>
      </c>
      <c r="P165" s="9">
        <f>IF(OR(Inputs!$F$8=TRUE,Inputs!$F$8="TRUE",Inputs!$F$8=1),(-2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NA())</f>
        <v/>
      </c>
      <c r="Q165" s="9">
        <f>IF(OR(Inputs!$F$9=TRUE,Inputs!$F$9="TRUE",Inputs!$F$9=1),(-2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NA())</f>
        <v/>
      </c>
      <c r="R165" s="10" t="n"/>
      <c r="S165" s="9">
        <f>A165</f>
        <v/>
      </c>
      <c r="T165" s="9">
        <f>(Inputs!$I$6+(((A165)+1)/2)*(Inputs!$J$6-Inputs!$I$6))</f>
        <v/>
      </c>
      <c r="U165" s="9">
        <f>(Inputs!$I$7+(((A165)+1)/2)*(Inputs!$J$7-Inputs!$I$7))</f>
        <v/>
      </c>
      <c r="V165" s="9">
        <f>(Inputs!$I$8+(((A165)+1)/2)*(Inputs!$J$8-Inputs!$I$8))</f>
        <v/>
      </c>
      <c r="W165" s="9">
        <f>(Inputs!$I$9+(((A165)+1)/2)*(Inputs!$J$9-Inputs!$I$9))</f>
        <v/>
      </c>
      <c r="X165" s="10" t="n"/>
      <c r="Y165" s="9">
        <f>A165</f>
        <v/>
      </c>
      <c r="Z165" s="9">
        <f>(Inputs!$H$6+Inputs!$L$6*(((Inputs!$I$6+(((A165)+1)/2)*(Inputs!$J$6-Inputs!$I$6)))/Inputs!$K$6)^2)</f>
        <v/>
      </c>
      <c r="AA165" s="9">
        <f>(Inputs!$H$7+Inputs!$L$7*(((Inputs!$I$7+(((A165)+1)/2)*(Inputs!$J$7-Inputs!$I$7)))/Inputs!$K$7)^2)</f>
        <v/>
      </c>
      <c r="AB165" s="9">
        <f>(Inputs!$H$8+Inputs!$L$8*(((Inputs!$I$8+(((A165)+1)/2)*(Inputs!$J$8-Inputs!$I$8)))/Inputs!$K$8)^2)</f>
        <v/>
      </c>
      <c r="AC165" s="9">
        <f>(Inputs!$H$9+Inputs!$L$9*(((Inputs!$I$9+(((A165)+1)/2)*(Inputs!$J$9-Inputs!$I$9)))/Inputs!$K$9)^2)</f>
        <v/>
      </c>
      <c r="AD165" s="10" t="n"/>
      <c r="AE165" s="9">
        <f>A165</f>
        <v/>
      </c>
      <c r="AF165" s="9">
        <f>(((SQRT((Inputs!$C$52+((Inputs!$H$6+Inputs!$L$6*(((Inputs!$I$6+(((A165)+1)/2)*(Inputs!$J$6-Inputs!$I$6)))/Inputs!$K$6)^2)))^2+Inputs!$C$52^2-2*(Inputs!$C$52+((Inputs!$H$6+Inputs!$L$6*(((Inputs!$I$6+(((A165)+1)/2)*(Inputs!$J$6-Inputs!$I$6)))/Inputs!$K$6)^2)))*Inputs!$C$52*COS(SQRT(((Inputs!$I$6+(((A165)+1)/2)*(Inputs!$J$6-Inputs!$I$6)))^2+Inputs!$C$6^2)/Inputs!$C$52)))-((Inputs!$H$6+Inputs!$L$6*(((Inputs!$I$6+(((A165)+1)/2)*(Inputs!$J$6-Inputs!$I$6)))/Inputs!$K$6)^2)))*1000/Inputs!$C$12)</f>
        <v/>
      </c>
      <c r="AG165" s="9">
        <f>(((SQRT((Inputs!$C$52+((Inputs!$H$7+Inputs!$L$7*(((Inputs!$I$7+(((A165)+1)/2)*(Inputs!$J$7-Inputs!$I$7)))/Inputs!$K$7)^2)))^2+Inputs!$C$52^2-2*(Inputs!$C$52+((Inputs!$H$7+Inputs!$L$7*(((Inputs!$I$7+(((A165)+1)/2)*(Inputs!$J$7-Inputs!$I$7)))/Inputs!$K$7)^2)))*Inputs!$C$52*COS(SQRT(((Inputs!$I$7+(((A165)+1)/2)*(Inputs!$J$7-Inputs!$I$7)))^2+Inputs!$C$6^2)/Inputs!$C$52)))-((Inputs!$H$7+Inputs!$L$7*(((Inputs!$I$7+(((A165)+1)/2)*(Inputs!$J$7-Inputs!$I$7)))/Inputs!$K$7)^2)))*1000/Inputs!$C$12)</f>
        <v/>
      </c>
      <c r="AH165" s="9">
        <f>(((SQRT((Inputs!$C$52+((Inputs!$H$8+Inputs!$L$8*(((Inputs!$I$8+(((A165)+1)/2)*(Inputs!$J$8-Inputs!$I$8)))/Inputs!$K$8)^2)))^2+Inputs!$C$52^2-2*(Inputs!$C$52+((Inputs!$H$8+Inputs!$L$8*(((Inputs!$I$8+(((A165)+1)/2)*(Inputs!$J$8-Inputs!$I$8)))/Inputs!$K$8)^2)))*Inputs!$C$52*COS(SQRT(((Inputs!$I$8+(((A165)+1)/2)*(Inputs!$J$8-Inputs!$I$8)))^2+Inputs!$C$6^2)/Inputs!$C$52)))-((Inputs!$H$8+Inputs!$L$8*(((Inputs!$I$8+(((A165)+1)/2)*(Inputs!$J$8-Inputs!$I$8)))/Inputs!$K$8)^2)))*1000/Inputs!$C$12)</f>
        <v/>
      </c>
      <c r="AI165" s="9">
        <f>(((SQRT((Inputs!$C$52+((Inputs!$H$9+Inputs!$L$9*(((Inputs!$I$9+(((A165)+1)/2)*(Inputs!$J$9-Inputs!$I$9)))/Inputs!$K$9)^2)))^2+Inputs!$C$52^2-2*(Inputs!$C$52+((Inputs!$H$9+Inputs!$L$9*(((Inputs!$I$9+(((A165)+1)/2)*(Inputs!$J$9-Inputs!$I$9)))/Inputs!$K$9)^2)))*Inputs!$C$52*COS(SQRT(((Inputs!$I$9+(((A165)+1)/2)*(Inputs!$J$9-Inputs!$I$9)))^2+Inputs!$C$6^2)/Inputs!$C$52)))-((Inputs!$H$9+Inputs!$L$9*(((Inputs!$I$9+(((A165)+1)/2)*(Inputs!$J$9-Inputs!$I$9)))/Inputs!$K$9)^2)))*1000/Inputs!$C$12)</f>
        <v/>
      </c>
      <c r="AJ165" s="10" t="n"/>
      <c r="AK165" s="9">
        <f>A165</f>
        <v/>
      </c>
      <c r="AL165" s="9">
        <f>(-2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f>
        <v/>
      </c>
      <c r="AM165" s="9">
        <f>(-2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f>
        <v/>
      </c>
      <c r="AN165" s="9">
        <f>(-2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f>
        <v/>
      </c>
      <c r="AO165" s="9">
        <f>(-2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f>
        <v/>
      </c>
      <c r="AP165" s="10" t="n"/>
      <c r="AQ165" s="9">
        <f>A165</f>
        <v/>
      </c>
      <c r="AR165" s="9">
        <f>0</f>
        <v/>
      </c>
      <c r="AS165" s="9">
        <f>IF(OR(Inputs!$F$6=TRUE,Inputs!$F$6="TRUE",Inputs!$F$6=1),IF(OR(Inputs!$C$27=TRUE,Inputs!$C$27="TRUE",Inputs!$C$27=1),1,0)*(Inputs!$C$51*(115*EXP(-(((Inputs!$C$6)-25)^2)/(4.5^2))+70*EXP(-(((Inputs!$C$6)+38)^2)/(7^2))*(0.55+0.45*SIN(2*PI()*((Inputs!$I$6+(((A165)+1)/2)*(Inputs!$J$6-Inputs!$I$6)))/45))+24*SIN(2*PI()*(Inputs!$C$6)/9+((Inputs!$I$6+(((A165)+1)/2)*(Inputs!$J$6-Inputs!$I$6)))/18)*EXP(-(((Inputs!$C$6)+5)^2)/(22^2))+18*SIN(2*PI()*((Inputs!$I$6+(((A165)+1)/2)*(Inputs!$J$6-Inputs!$I$6)))/70))+Inputs!$C$28*EXP(-((((Inputs!$I$6+(((A165)+1)/2)*(Inputs!$J$6-Inputs!$I$6)))-Inputs!$C$29)^2)/(2*Inputs!$C$31^2))*EXP(-(((Inputs!$C$6)-Inputs!$C$30)^2)/(2*Inputs!$C$32^2))+-Inputs!$C$33*EXP(-((((((Inputs!$I$6+(((A165)+1)/2)*(Inputs!$J$6-Inputs!$I$6)))-Inputs!$C$34)^2)+(((Inputs!$C$6)-Inputs!$C$35)^2))/(2*Inputs!$C$36^2)))+Inputs!$C$37*(0.55*SIN(2*PI()*((Inputs!$I$6+(((A165)+1)/2)*(Inputs!$J$6-Inputs!$I$6)))/Inputs!$C$39)+0.35*COS(2*PI()*(Inputs!$C$6)/Inputs!$C$40)+0.2*SIN(2*PI()*(((Inputs!$I$6+(((A165)+1)/2)*(Inputs!$J$6-Inputs!$I$6)))+(Inputs!$C$6))/(0.5*(Inputs!$C$39+Inputs!$C$40))))+Inputs!$C$38*SIN(2*PI()*((Inputs!$I$6+(((A165)+1)/2)*(Inputs!$J$6-Inputs!$I$6)))/Inputs!$C$39)*SIN(2*PI()*(Inputs!$C$6)/Inputs!$C$40)+-Inputs!$C$41*EXP(-(((Inputs!$C$6)-Inputs!$C$43)^2)/(2*Inputs!$C$44^2))*EXP(-((((Inputs!$I$6+(((A165)+1)/2)*(Inputs!$J$6-Inputs!$I$6)))-Inputs!$C$42)^2)/(2*Inputs!$C$45^2))+Inputs!$C$48*(0.7*(0.45*SIN(2*PI()*((((Inputs!$I$6+(((A165)+1)/2)*(Inputs!$J$6-Inputs!$I$6)))/Inputs!$C$49)+Inputs!$C$47*0.137))+0.35*COS(2*PI()*(((Inputs!$C$6)/Inputs!$C$50)+Inputs!$C$47*0.173))+0.2*SIN(2*PI()*((((Inputs!$I$6+(((A165)+1)/2)*(Inputs!$J$6-Inputs!$I$6)))+(Inputs!$C$6))/(0.5*(Inputs!$C$49+Inputs!$C$50))+Inputs!$C$47*0.097)))+0.3*(2*((SIN((((Inputs!$I$6+(((A165)+1)/2)*(Inputs!$J$6-Inputs!$I$6)))*12.9898+(Inputs!$C$6)*78.233+Inputs!$C$47*37.719))*43758.5453)-INT((SIN((((Inputs!$I$6+(((A165)+1)/2)*(Inputs!$J$6-Inputs!$I$6)))*12.9898+(Inputs!$C$6)*78.233+Inputs!$C$47*37.719))*43758.5453)))-1))),NA())</f>
        <v/>
      </c>
      <c r="AT165" s="9">
        <f>IF(OR(Inputs!$F$7=TRUE,Inputs!$F$7="TRUE",Inputs!$F$7=1),IF(OR(Inputs!$C$27=TRUE,Inputs!$C$27="TRUE",Inputs!$C$27=1),1,0)*(Inputs!$C$51*(115*EXP(-(((Inputs!$C$6)-25)^2)/(4.5^2))+70*EXP(-(((Inputs!$C$6)+38)^2)/(7^2))*(0.55+0.45*SIN(2*PI()*((Inputs!$I$7+(((A165)+1)/2)*(Inputs!$J$7-Inputs!$I$7)))/45))+24*SIN(2*PI()*(Inputs!$C$6)/9+((Inputs!$I$7+(((A165)+1)/2)*(Inputs!$J$7-Inputs!$I$7)))/18)*EXP(-(((Inputs!$C$6)+5)^2)/(22^2))+18*SIN(2*PI()*((Inputs!$I$7+(((A165)+1)/2)*(Inputs!$J$7-Inputs!$I$7)))/70))+Inputs!$C$28*EXP(-((((Inputs!$I$7+(((A165)+1)/2)*(Inputs!$J$7-Inputs!$I$7)))-Inputs!$C$29)^2)/(2*Inputs!$C$31^2))*EXP(-(((Inputs!$C$6)-Inputs!$C$30)^2)/(2*Inputs!$C$32^2))+-Inputs!$C$33*EXP(-((((((Inputs!$I$7+(((A165)+1)/2)*(Inputs!$J$7-Inputs!$I$7)))-Inputs!$C$34)^2)+(((Inputs!$C$6)-Inputs!$C$35)^2))/(2*Inputs!$C$36^2)))+Inputs!$C$37*(0.55*SIN(2*PI()*((Inputs!$I$7+(((A165)+1)/2)*(Inputs!$J$7-Inputs!$I$7)))/Inputs!$C$39)+0.35*COS(2*PI()*(Inputs!$C$6)/Inputs!$C$40)+0.2*SIN(2*PI()*(((Inputs!$I$7+(((A165)+1)/2)*(Inputs!$J$7-Inputs!$I$7)))+(Inputs!$C$6))/(0.5*(Inputs!$C$39+Inputs!$C$40))))+Inputs!$C$38*SIN(2*PI()*((Inputs!$I$7+(((A165)+1)/2)*(Inputs!$J$7-Inputs!$I$7)))/Inputs!$C$39)*SIN(2*PI()*(Inputs!$C$6)/Inputs!$C$40)+-Inputs!$C$41*EXP(-(((Inputs!$C$6)-Inputs!$C$43)^2)/(2*Inputs!$C$44^2))*EXP(-((((Inputs!$I$7+(((A165)+1)/2)*(Inputs!$J$7-Inputs!$I$7)))-Inputs!$C$42)^2)/(2*Inputs!$C$45^2))+Inputs!$C$48*(0.7*(0.45*SIN(2*PI()*((((Inputs!$I$7+(((A165)+1)/2)*(Inputs!$J$7-Inputs!$I$7)))/Inputs!$C$49)+Inputs!$C$47*0.137))+0.35*COS(2*PI()*(((Inputs!$C$6)/Inputs!$C$50)+Inputs!$C$47*0.173))+0.2*SIN(2*PI()*((((Inputs!$I$7+(((A165)+1)/2)*(Inputs!$J$7-Inputs!$I$7)))+(Inputs!$C$6))/(0.5*(Inputs!$C$49+Inputs!$C$50))+Inputs!$C$47*0.097)))+0.3*(2*((SIN((((Inputs!$I$7+(((A165)+1)/2)*(Inputs!$J$7-Inputs!$I$7)))*12.9898+(Inputs!$C$6)*78.233+Inputs!$C$47*37.719))*43758.5453)-INT((SIN((((Inputs!$I$7+(((A165)+1)/2)*(Inputs!$J$7-Inputs!$I$7)))*12.9898+(Inputs!$C$6)*78.233+Inputs!$C$47*37.719))*43758.5453)))-1))),NA())</f>
        <v/>
      </c>
      <c r="AU165" s="9">
        <f>IF(OR(Inputs!$F$8=TRUE,Inputs!$F$8="TRUE",Inputs!$F$8=1),IF(OR(Inputs!$C$27=TRUE,Inputs!$C$27="TRUE",Inputs!$C$27=1),1,0)*(Inputs!$C$51*(115*EXP(-(((Inputs!$C$6)-25)^2)/(4.5^2))+70*EXP(-(((Inputs!$C$6)+38)^2)/(7^2))*(0.55+0.45*SIN(2*PI()*((Inputs!$I$8+(((A165)+1)/2)*(Inputs!$J$8-Inputs!$I$8)))/45))+24*SIN(2*PI()*(Inputs!$C$6)/9+((Inputs!$I$8+(((A165)+1)/2)*(Inputs!$J$8-Inputs!$I$8)))/18)*EXP(-(((Inputs!$C$6)+5)^2)/(22^2))+18*SIN(2*PI()*((Inputs!$I$8+(((A165)+1)/2)*(Inputs!$J$8-Inputs!$I$8)))/70))+Inputs!$C$28*EXP(-((((Inputs!$I$8+(((A165)+1)/2)*(Inputs!$J$8-Inputs!$I$8)))-Inputs!$C$29)^2)/(2*Inputs!$C$31^2))*EXP(-(((Inputs!$C$6)-Inputs!$C$30)^2)/(2*Inputs!$C$32^2))+-Inputs!$C$33*EXP(-((((((Inputs!$I$8+(((A165)+1)/2)*(Inputs!$J$8-Inputs!$I$8)))-Inputs!$C$34)^2)+(((Inputs!$C$6)-Inputs!$C$35)^2))/(2*Inputs!$C$36^2)))+Inputs!$C$37*(0.55*SIN(2*PI()*((Inputs!$I$8+(((A165)+1)/2)*(Inputs!$J$8-Inputs!$I$8)))/Inputs!$C$39)+0.35*COS(2*PI()*(Inputs!$C$6)/Inputs!$C$40)+0.2*SIN(2*PI()*(((Inputs!$I$8+(((A165)+1)/2)*(Inputs!$J$8-Inputs!$I$8)))+(Inputs!$C$6))/(0.5*(Inputs!$C$39+Inputs!$C$40))))+Inputs!$C$38*SIN(2*PI()*((Inputs!$I$8+(((A165)+1)/2)*(Inputs!$J$8-Inputs!$I$8)))/Inputs!$C$39)*SIN(2*PI()*(Inputs!$C$6)/Inputs!$C$40)+-Inputs!$C$41*EXP(-(((Inputs!$C$6)-Inputs!$C$43)^2)/(2*Inputs!$C$44^2))*EXP(-((((Inputs!$I$8+(((A165)+1)/2)*(Inputs!$J$8-Inputs!$I$8)))-Inputs!$C$42)^2)/(2*Inputs!$C$45^2))+Inputs!$C$48*(0.7*(0.45*SIN(2*PI()*((((Inputs!$I$8+(((A165)+1)/2)*(Inputs!$J$8-Inputs!$I$8)))/Inputs!$C$49)+Inputs!$C$47*0.137))+0.35*COS(2*PI()*(((Inputs!$C$6)/Inputs!$C$50)+Inputs!$C$47*0.173))+0.2*SIN(2*PI()*((((Inputs!$I$8+(((A165)+1)/2)*(Inputs!$J$8-Inputs!$I$8)))+(Inputs!$C$6))/(0.5*(Inputs!$C$49+Inputs!$C$50))+Inputs!$C$47*0.097)))+0.3*(2*((SIN((((Inputs!$I$8+(((A165)+1)/2)*(Inputs!$J$8-Inputs!$I$8)))*12.9898+(Inputs!$C$6)*78.233+Inputs!$C$47*37.719))*43758.5453)-INT((SIN((((Inputs!$I$8+(((A165)+1)/2)*(Inputs!$J$8-Inputs!$I$8)))*12.9898+(Inputs!$C$6)*78.233+Inputs!$C$47*37.719))*43758.5453)))-1))),NA())</f>
        <v/>
      </c>
      <c r="AV165" s="9">
        <f>IF(OR(Inputs!$F$9=TRUE,Inputs!$F$9="TRUE",Inputs!$F$9=1),IF(OR(Inputs!$C$27=TRUE,Inputs!$C$27="TRUE",Inputs!$C$27=1),1,0)*(Inputs!$C$51*(115*EXP(-(((Inputs!$C$6)-25)^2)/(4.5^2))+70*EXP(-(((Inputs!$C$6)+38)^2)/(7^2))*(0.55+0.45*SIN(2*PI()*((Inputs!$I$9+(((A165)+1)/2)*(Inputs!$J$9-Inputs!$I$9)))/45))+24*SIN(2*PI()*(Inputs!$C$6)/9+((Inputs!$I$9+(((A165)+1)/2)*(Inputs!$J$9-Inputs!$I$9)))/18)*EXP(-(((Inputs!$C$6)+5)^2)/(22^2))+18*SIN(2*PI()*((Inputs!$I$9+(((A165)+1)/2)*(Inputs!$J$9-Inputs!$I$9)))/70))+Inputs!$C$28*EXP(-((((Inputs!$I$9+(((A165)+1)/2)*(Inputs!$J$9-Inputs!$I$9)))-Inputs!$C$29)^2)/(2*Inputs!$C$31^2))*EXP(-(((Inputs!$C$6)-Inputs!$C$30)^2)/(2*Inputs!$C$32^2))+-Inputs!$C$33*EXP(-((((((Inputs!$I$9+(((A165)+1)/2)*(Inputs!$J$9-Inputs!$I$9)))-Inputs!$C$34)^2)+(((Inputs!$C$6)-Inputs!$C$35)^2))/(2*Inputs!$C$36^2)))+Inputs!$C$37*(0.55*SIN(2*PI()*((Inputs!$I$9+(((A165)+1)/2)*(Inputs!$J$9-Inputs!$I$9)))/Inputs!$C$39)+0.35*COS(2*PI()*(Inputs!$C$6)/Inputs!$C$40)+0.2*SIN(2*PI()*(((Inputs!$I$9+(((A165)+1)/2)*(Inputs!$J$9-Inputs!$I$9)))+(Inputs!$C$6))/(0.5*(Inputs!$C$39+Inputs!$C$40))))+Inputs!$C$38*SIN(2*PI()*((Inputs!$I$9+(((A165)+1)/2)*(Inputs!$J$9-Inputs!$I$9)))/Inputs!$C$39)*SIN(2*PI()*(Inputs!$C$6)/Inputs!$C$40)+-Inputs!$C$41*EXP(-(((Inputs!$C$6)-Inputs!$C$43)^2)/(2*Inputs!$C$44^2))*EXP(-((((Inputs!$I$9+(((A165)+1)/2)*(Inputs!$J$9-Inputs!$I$9)))-Inputs!$C$42)^2)/(2*Inputs!$C$45^2))+Inputs!$C$48*(0.7*(0.45*SIN(2*PI()*((((Inputs!$I$9+(((A165)+1)/2)*(Inputs!$J$9-Inputs!$I$9)))/Inputs!$C$49)+Inputs!$C$47*0.137))+0.35*COS(2*PI()*(((Inputs!$C$6)/Inputs!$C$50)+Inputs!$C$47*0.173))+0.2*SIN(2*PI()*((((Inputs!$I$9+(((A165)+1)/2)*(Inputs!$J$9-Inputs!$I$9)))+(Inputs!$C$6))/(0.5*(Inputs!$C$49+Inputs!$C$50))+Inputs!$C$47*0.097)))+0.3*(2*((SIN((((Inputs!$I$9+(((A165)+1)/2)*(Inputs!$J$9-Inputs!$I$9)))*12.9898+(Inputs!$C$6)*78.233+Inputs!$C$47*37.719))*43758.5453)-INT((SIN((((Inputs!$I$9+(((A165)+1)/2)*(Inputs!$J$9-Inputs!$I$9)))*12.9898+(Inputs!$C$6)*78.233+Inputs!$C$47*37.719))*43758.5453)))-1))),NA())</f>
        <v/>
      </c>
      <c r="AW165" s="10" t="n"/>
      <c r="AX165" s="9">
        <f>A165</f>
        <v/>
      </c>
      <c r="AY165" s="9">
        <f>0</f>
        <v/>
      </c>
      <c r="AZ165" s="9">
        <f>IF(OR(Inputs!$F$6=TRUE,Inputs!$F$6="TRUE",Inputs!$F$6=1),(Inputs!$H$6+Inputs!$L$6*(((Inputs!$I$6+(((A165)+1)/2)*(Inputs!$J$6-Inputs!$I$6)))/Inputs!$K$6)^2),NA())</f>
        <v/>
      </c>
      <c r="BA165" s="9">
        <f>IF(OR(Inputs!$F$7=TRUE,Inputs!$F$7="TRUE",Inputs!$F$7=1),(Inputs!$H$7+Inputs!$L$7*(((Inputs!$I$7+(((A165)+1)/2)*(Inputs!$J$7-Inputs!$I$7)))/Inputs!$K$7)^2),NA())</f>
        <v/>
      </c>
      <c r="BB165" s="9">
        <f>IF(OR(Inputs!$F$8=TRUE,Inputs!$F$8="TRUE",Inputs!$F$8=1),(Inputs!$H$8+Inputs!$L$8*(((Inputs!$I$8+(((A165)+1)/2)*(Inputs!$J$8-Inputs!$I$8)))/Inputs!$K$8)^2),NA())</f>
        <v/>
      </c>
      <c r="BC165" s="9">
        <f>IF(OR(Inputs!$F$9=TRUE,Inputs!$F$9="TRUE",Inputs!$F$9=1),(Inputs!$H$9+Inputs!$L$9*(((Inputs!$I$9+(((A165)+1)/2)*(Inputs!$J$9-Inputs!$I$9)))/Inputs!$K$9)^2),NA())</f>
        <v/>
      </c>
      <c r="BD165" s="10" t="n"/>
      <c r="BE165" s="9">
        <f>A165</f>
        <v/>
      </c>
      <c r="BF165" s="9">
        <f>0</f>
        <v/>
      </c>
      <c r="BG165" s="9">
        <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f>
        <v/>
      </c>
      <c r="BH165" s="9">
        <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f>
        <v/>
      </c>
      <c r="BI165" s="9">
        <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f>
        <v/>
      </c>
      <c r="BJ165" s="9">
        <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f>
        <v/>
      </c>
    </row>
    <row r="166">
      <c r="A166" s="9">
        <f>ROUND(-1+164*2/240,3)</f>
        <v/>
      </c>
      <c r="B166" s="9">
        <f>IF(OR(Inputs!$F$6=TRUE,Inputs!$F$6="TRUE",Inputs!$F$6=1),(Inputs!$H$6+Inputs!$L$6*(((Inputs!$I$6+(((A166)+1)/2)*(Inputs!$J$6-Inputs!$I$6)))/Inputs!$K$6)^2),NA())</f>
        <v/>
      </c>
      <c r="C166" s="9">
        <f>IF(OR(Inputs!$F$7=TRUE,Inputs!$F$7="TRUE",Inputs!$F$7=1),(Inputs!$H$7+Inputs!$L$7*(((Inputs!$I$7+(((A166)+1)/2)*(Inputs!$J$7-Inputs!$I$7)))/Inputs!$K$7)^2),NA())</f>
        <v/>
      </c>
      <c r="D166" s="9">
        <f>IF(OR(Inputs!$F$8=TRUE,Inputs!$F$8="TRUE",Inputs!$F$8=1),(Inputs!$H$8+Inputs!$L$8*(((Inputs!$I$8+(((A166)+1)/2)*(Inputs!$J$8-Inputs!$I$8)))/Inputs!$K$8)^2),NA())</f>
        <v/>
      </c>
      <c r="E166" s="9">
        <f>IF(OR(Inputs!$F$9=TRUE,Inputs!$F$9="TRUE",Inputs!$F$9=1),(Inputs!$H$9+Inputs!$L$9*(((Inputs!$I$9+(((A166)+1)/2)*(Inputs!$J$9-Inputs!$I$9)))/Inputs!$K$9)^2),NA())</f>
        <v/>
      </c>
      <c r="F166" s="10" t="n"/>
      <c r="G166" s="9">
        <f>A166</f>
        <v/>
      </c>
      <c r="H166" s="9">
        <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f>
        <v/>
      </c>
      <c r="I166" s="9">
        <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f>
        <v/>
      </c>
      <c r="J166" s="9">
        <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f>
        <v/>
      </c>
      <c r="K166" s="9">
        <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f>
        <v/>
      </c>
      <c r="L166" s="10" t="n"/>
      <c r="M166" s="9">
        <f>A166</f>
        <v/>
      </c>
      <c r="N166" s="9">
        <f>IF(OR(Inputs!$F$6=TRUE,Inputs!$F$6="TRUE",Inputs!$F$6=1),(-2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NA())</f>
        <v/>
      </c>
      <c r="O166" s="9">
        <f>IF(OR(Inputs!$F$7=TRUE,Inputs!$F$7="TRUE",Inputs!$F$7=1),(-2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NA())</f>
        <v/>
      </c>
      <c r="P166" s="9">
        <f>IF(OR(Inputs!$F$8=TRUE,Inputs!$F$8="TRUE",Inputs!$F$8=1),(-2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NA())</f>
        <v/>
      </c>
      <c r="Q166" s="9">
        <f>IF(OR(Inputs!$F$9=TRUE,Inputs!$F$9="TRUE",Inputs!$F$9=1),(-2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NA())</f>
        <v/>
      </c>
      <c r="R166" s="10" t="n"/>
      <c r="S166" s="9">
        <f>A166</f>
        <v/>
      </c>
      <c r="T166" s="9">
        <f>(Inputs!$I$6+(((A166)+1)/2)*(Inputs!$J$6-Inputs!$I$6))</f>
        <v/>
      </c>
      <c r="U166" s="9">
        <f>(Inputs!$I$7+(((A166)+1)/2)*(Inputs!$J$7-Inputs!$I$7))</f>
        <v/>
      </c>
      <c r="V166" s="9">
        <f>(Inputs!$I$8+(((A166)+1)/2)*(Inputs!$J$8-Inputs!$I$8))</f>
        <v/>
      </c>
      <c r="W166" s="9">
        <f>(Inputs!$I$9+(((A166)+1)/2)*(Inputs!$J$9-Inputs!$I$9))</f>
        <v/>
      </c>
      <c r="X166" s="10" t="n"/>
      <c r="Y166" s="9">
        <f>A166</f>
        <v/>
      </c>
      <c r="Z166" s="9">
        <f>(Inputs!$H$6+Inputs!$L$6*(((Inputs!$I$6+(((A166)+1)/2)*(Inputs!$J$6-Inputs!$I$6)))/Inputs!$K$6)^2)</f>
        <v/>
      </c>
      <c r="AA166" s="9">
        <f>(Inputs!$H$7+Inputs!$L$7*(((Inputs!$I$7+(((A166)+1)/2)*(Inputs!$J$7-Inputs!$I$7)))/Inputs!$K$7)^2)</f>
        <v/>
      </c>
      <c r="AB166" s="9">
        <f>(Inputs!$H$8+Inputs!$L$8*(((Inputs!$I$8+(((A166)+1)/2)*(Inputs!$J$8-Inputs!$I$8)))/Inputs!$K$8)^2)</f>
        <v/>
      </c>
      <c r="AC166" s="9">
        <f>(Inputs!$H$9+Inputs!$L$9*(((Inputs!$I$9+(((A166)+1)/2)*(Inputs!$J$9-Inputs!$I$9)))/Inputs!$K$9)^2)</f>
        <v/>
      </c>
      <c r="AD166" s="10" t="n"/>
      <c r="AE166" s="9">
        <f>A166</f>
        <v/>
      </c>
      <c r="AF166" s="9">
        <f>(((SQRT((Inputs!$C$52+((Inputs!$H$6+Inputs!$L$6*(((Inputs!$I$6+(((A166)+1)/2)*(Inputs!$J$6-Inputs!$I$6)))/Inputs!$K$6)^2)))^2+Inputs!$C$52^2-2*(Inputs!$C$52+((Inputs!$H$6+Inputs!$L$6*(((Inputs!$I$6+(((A166)+1)/2)*(Inputs!$J$6-Inputs!$I$6)))/Inputs!$K$6)^2)))*Inputs!$C$52*COS(SQRT(((Inputs!$I$6+(((A166)+1)/2)*(Inputs!$J$6-Inputs!$I$6)))^2+Inputs!$C$6^2)/Inputs!$C$52)))-((Inputs!$H$6+Inputs!$L$6*(((Inputs!$I$6+(((A166)+1)/2)*(Inputs!$J$6-Inputs!$I$6)))/Inputs!$K$6)^2)))*1000/Inputs!$C$12)</f>
        <v/>
      </c>
      <c r="AG166" s="9">
        <f>(((SQRT((Inputs!$C$52+((Inputs!$H$7+Inputs!$L$7*(((Inputs!$I$7+(((A166)+1)/2)*(Inputs!$J$7-Inputs!$I$7)))/Inputs!$K$7)^2)))^2+Inputs!$C$52^2-2*(Inputs!$C$52+((Inputs!$H$7+Inputs!$L$7*(((Inputs!$I$7+(((A166)+1)/2)*(Inputs!$J$7-Inputs!$I$7)))/Inputs!$K$7)^2)))*Inputs!$C$52*COS(SQRT(((Inputs!$I$7+(((A166)+1)/2)*(Inputs!$J$7-Inputs!$I$7)))^2+Inputs!$C$6^2)/Inputs!$C$52)))-((Inputs!$H$7+Inputs!$L$7*(((Inputs!$I$7+(((A166)+1)/2)*(Inputs!$J$7-Inputs!$I$7)))/Inputs!$K$7)^2)))*1000/Inputs!$C$12)</f>
        <v/>
      </c>
      <c r="AH166" s="9">
        <f>(((SQRT((Inputs!$C$52+((Inputs!$H$8+Inputs!$L$8*(((Inputs!$I$8+(((A166)+1)/2)*(Inputs!$J$8-Inputs!$I$8)))/Inputs!$K$8)^2)))^2+Inputs!$C$52^2-2*(Inputs!$C$52+((Inputs!$H$8+Inputs!$L$8*(((Inputs!$I$8+(((A166)+1)/2)*(Inputs!$J$8-Inputs!$I$8)))/Inputs!$K$8)^2)))*Inputs!$C$52*COS(SQRT(((Inputs!$I$8+(((A166)+1)/2)*(Inputs!$J$8-Inputs!$I$8)))^2+Inputs!$C$6^2)/Inputs!$C$52)))-((Inputs!$H$8+Inputs!$L$8*(((Inputs!$I$8+(((A166)+1)/2)*(Inputs!$J$8-Inputs!$I$8)))/Inputs!$K$8)^2)))*1000/Inputs!$C$12)</f>
        <v/>
      </c>
      <c r="AI166" s="9">
        <f>(((SQRT((Inputs!$C$52+((Inputs!$H$9+Inputs!$L$9*(((Inputs!$I$9+(((A166)+1)/2)*(Inputs!$J$9-Inputs!$I$9)))/Inputs!$K$9)^2)))^2+Inputs!$C$52^2-2*(Inputs!$C$52+((Inputs!$H$9+Inputs!$L$9*(((Inputs!$I$9+(((A166)+1)/2)*(Inputs!$J$9-Inputs!$I$9)))/Inputs!$K$9)^2)))*Inputs!$C$52*COS(SQRT(((Inputs!$I$9+(((A166)+1)/2)*(Inputs!$J$9-Inputs!$I$9)))^2+Inputs!$C$6^2)/Inputs!$C$52)))-((Inputs!$H$9+Inputs!$L$9*(((Inputs!$I$9+(((A166)+1)/2)*(Inputs!$J$9-Inputs!$I$9)))/Inputs!$K$9)^2)))*1000/Inputs!$C$12)</f>
        <v/>
      </c>
      <c r="AJ166" s="10" t="n"/>
      <c r="AK166" s="9">
        <f>A166</f>
        <v/>
      </c>
      <c r="AL166" s="9">
        <f>(-2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f>
        <v/>
      </c>
      <c r="AM166" s="9">
        <f>(-2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f>
        <v/>
      </c>
      <c r="AN166" s="9">
        <f>(-2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f>
        <v/>
      </c>
      <c r="AO166" s="9">
        <f>(-2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f>
        <v/>
      </c>
      <c r="AP166" s="10" t="n"/>
      <c r="AQ166" s="9">
        <f>A166</f>
        <v/>
      </c>
      <c r="AR166" s="9">
        <f>0</f>
        <v/>
      </c>
      <c r="AS166" s="9">
        <f>IF(OR(Inputs!$F$6=TRUE,Inputs!$F$6="TRUE",Inputs!$F$6=1),IF(OR(Inputs!$C$27=TRUE,Inputs!$C$27="TRUE",Inputs!$C$27=1),1,0)*(Inputs!$C$51*(115*EXP(-(((Inputs!$C$6)-25)^2)/(4.5^2))+70*EXP(-(((Inputs!$C$6)+38)^2)/(7^2))*(0.55+0.45*SIN(2*PI()*((Inputs!$I$6+(((A166)+1)/2)*(Inputs!$J$6-Inputs!$I$6)))/45))+24*SIN(2*PI()*(Inputs!$C$6)/9+((Inputs!$I$6+(((A166)+1)/2)*(Inputs!$J$6-Inputs!$I$6)))/18)*EXP(-(((Inputs!$C$6)+5)^2)/(22^2))+18*SIN(2*PI()*((Inputs!$I$6+(((A166)+1)/2)*(Inputs!$J$6-Inputs!$I$6)))/70))+Inputs!$C$28*EXP(-((((Inputs!$I$6+(((A166)+1)/2)*(Inputs!$J$6-Inputs!$I$6)))-Inputs!$C$29)^2)/(2*Inputs!$C$31^2))*EXP(-(((Inputs!$C$6)-Inputs!$C$30)^2)/(2*Inputs!$C$32^2))+-Inputs!$C$33*EXP(-((((((Inputs!$I$6+(((A166)+1)/2)*(Inputs!$J$6-Inputs!$I$6)))-Inputs!$C$34)^2)+(((Inputs!$C$6)-Inputs!$C$35)^2))/(2*Inputs!$C$36^2)))+Inputs!$C$37*(0.55*SIN(2*PI()*((Inputs!$I$6+(((A166)+1)/2)*(Inputs!$J$6-Inputs!$I$6)))/Inputs!$C$39)+0.35*COS(2*PI()*(Inputs!$C$6)/Inputs!$C$40)+0.2*SIN(2*PI()*(((Inputs!$I$6+(((A166)+1)/2)*(Inputs!$J$6-Inputs!$I$6)))+(Inputs!$C$6))/(0.5*(Inputs!$C$39+Inputs!$C$40))))+Inputs!$C$38*SIN(2*PI()*((Inputs!$I$6+(((A166)+1)/2)*(Inputs!$J$6-Inputs!$I$6)))/Inputs!$C$39)*SIN(2*PI()*(Inputs!$C$6)/Inputs!$C$40)+-Inputs!$C$41*EXP(-(((Inputs!$C$6)-Inputs!$C$43)^2)/(2*Inputs!$C$44^2))*EXP(-((((Inputs!$I$6+(((A166)+1)/2)*(Inputs!$J$6-Inputs!$I$6)))-Inputs!$C$42)^2)/(2*Inputs!$C$45^2))+Inputs!$C$48*(0.7*(0.45*SIN(2*PI()*((((Inputs!$I$6+(((A166)+1)/2)*(Inputs!$J$6-Inputs!$I$6)))/Inputs!$C$49)+Inputs!$C$47*0.137))+0.35*COS(2*PI()*(((Inputs!$C$6)/Inputs!$C$50)+Inputs!$C$47*0.173))+0.2*SIN(2*PI()*((((Inputs!$I$6+(((A166)+1)/2)*(Inputs!$J$6-Inputs!$I$6)))+(Inputs!$C$6))/(0.5*(Inputs!$C$49+Inputs!$C$50))+Inputs!$C$47*0.097)))+0.3*(2*((SIN((((Inputs!$I$6+(((A166)+1)/2)*(Inputs!$J$6-Inputs!$I$6)))*12.9898+(Inputs!$C$6)*78.233+Inputs!$C$47*37.719))*43758.5453)-INT((SIN((((Inputs!$I$6+(((A166)+1)/2)*(Inputs!$J$6-Inputs!$I$6)))*12.9898+(Inputs!$C$6)*78.233+Inputs!$C$47*37.719))*43758.5453)))-1))),NA())</f>
        <v/>
      </c>
      <c r="AT166" s="9">
        <f>IF(OR(Inputs!$F$7=TRUE,Inputs!$F$7="TRUE",Inputs!$F$7=1),IF(OR(Inputs!$C$27=TRUE,Inputs!$C$27="TRUE",Inputs!$C$27=1),1,0)*(Inputs!$C$51*(115*EXP(-(((Inputs!$C$6)-25)^2)/(4.5^2))+70*EXP(-(((Inputs!$C$6)+38)^2)/(7^2))*(0.55+0.45*SIN(2*PI()*((Inputs!$I$7+(((A166)+1)/2)*(Inputs!$J$7-Inputs!$I$7)))/45))+24*SIN(2*PI()*(Inputs!$C$6)/9+((Inputs!$I$7+(((A166)+1)/2)*(Inputs!$J$7-Inputs!$I$7)))/18)*EXP(-(((Inputs!$C$6)+5)^2)/(22^2))+18*SIN(2*PI()*((Inputs!$I$7+(((A166)+1)/2)*(Inputs!$J$7-Inputs!$I$7)))/70))+Inputs!$C$28*EXP(-((((Inputs!$I$7+(((A166)+1)/2)*(Inputs!$J$7-Inputs!$I$7)))-Inputs!$C$29)^2)/(2*Inputs!$C$31^2))*EXP(-(((Inputs!$C$6)-Inputs!$C$30)^2)/(2*Inputs!$C$32^2))+-Inputs!$C$33*EXP(-((((((Inputs!$I$7+(((A166)+1)/2)*(Inputs!$J$7-Inputs!$I$7)))-Inputs!$C$34)^2)+(((Inputs!$C$6)-Inputs!$C$35)^2))/(2*Inputs!$C$36^2)))+Inputs!$C$37*(0.55*SIN(2*PI()*((Inputs!$I$7+(((A166)+1)/2)*(Inputs!$J$7-Inputs!$I$7)))/Inputs!$C$39)+0.35*COS(2*PI()*(Inputs!$C$6)/Inputs!$C$40)+0.2*SIN(2*PI()*(((Inputs!$I$7+(((A166)+1)/2)*(Inputs!$J$7-Inputs!$I$7)))+(Inputs!$C$6))/(0.5*(Inputs!$C$39+Inputs!$C$40))))+Inputs!$C$38*SIN(2*PI()*((Inputs!$I$7+(((A166)+1)/2)*(Inputs!$J$7-Inputs!$I$7)))/Inputs!$C$39)*SIN(2*PI()*(Inputs!$C$6)/Inputs!$C$40)+-Inputs!$C$41*EXP(-(((Inputs!$C$6)-Inputs!$C$43)^2)/(2*Inputs!$C$44^2))*EXP(-((((Inputs!$I$7+(((A166)+1)/2)*(Inputs!$J$7-Inputs!$I$7)))-Inputs!$C$42)^2)/(2*Inputs!$C$45^2))+Inputs!$C$48*(0.7*(0.45*SIN(2*PI()*((((Inputs!$I$7+(((A166)+1)/2)*(Inputs!$J$7-Inputs!$I$7)))/Inputs!$C$49)+Inputs!$C$47*0.137))+0.35*COS(2*PI()*(((Inputs!$C$6)/Inputs!$C$50)+Inputs!$C$47*0.173))+0.2*SIN(2*PI()*((((Inputs!$I$7+(((A166)+1)/2)*(Inputs!$J$7-Inputs!$I$7)))+(Inputs!$C$6))/(0.5*(Inputs!$C$49+Inputs!$C$50))+Inputs!$C$47*0.097)))+0.3*(2*((SIN((((Inputs!$I$7+(((A166)+1)/2)*(Inputs!$J$7-Inputs!$I$7)))*12.9898+(Inputs!$C$6)*78.233+Inputs!$C$47*37.719))*43758.5453)-INT((SIN((((Inputs!$I$7+(((A166)+1)/2)*(Inputs!$J$7-Inputs!$I$7)))*12.9898+(Inputs!$C$6)*78.233+Inputs!$C$47*37.719))*43758.5453)))-1))),NA())</f>
        <v/>
      </c>
      <c r="AU166" s="9">
        <f>IF(OR(Inputs!$F$8=TRUE,Inputs!$F$8="TRUE",Inputs!$F$8=1),IF(OR(Inputs!$C$27=TRUE,Inputs!$C$27="TRUE",Inputs!$C$27=1),1,0)*(Inputs!$C$51*(115*EXP(-(((Inputs!$C$6)-25)^2)/(4.5^2))+70*EXP(-(((Inputs!$C$6)+38)^2)/(7^2))*(0.55+0.45*SIN(2*PI()*((Inputs!$I$8+(((A166)+1)/2)*(Inputs!$J$8-Inputs!$I$8)))/45))+24*SIN(2*PI()*(Inputs!$C$6)/9+((Inputs!$I$8+(((A166)+1)/2)*(Inputs!$J$8-Inputs!$I$8)))/18)*EXP(-(((Inputs!$C$6)+5)^2)/(22^2))+18*SIN(2*PI()*((Inputs!$I$8+(((A166)+1)/2)*(Inputs!$J$8-Inputs!$I$8)))/70))+Inputs!$C$28*EXP(-((((Inputs!$I$8+(((A166)+1)/2)*(Inputs!$J$8-Inputs!$I$8)))-Inputs!$C$29)^2)/(2*Inputs!$C$31^2))*EXP(-(((Inputs!$C$6)-Inputs!$C$30)^2)/(2*Inputs!$C$32^2))+-Inputs!$C$33*EXP(-((((((Inputs!$I$8+(((A166)+1)/2)*(Inputs!$J$8-Inputs!$I$8)))-Inputs!$C$34)^2)+(((Inputs!$C$6)-Inputs!$C$35)^2))/(2*Inputs!$C$36^2)))+Inputs!$C$37*(0.55*SIN(2*PI()*((Inputs!$I$8+(((A166)+1)/2)*(Inputs!$J$8-Inputs!$I$8)))/Inputs!$C$39)+0.35*COS(2*PI()*(Inputs!$C$6)/Inputs!$C$40)+0.2*SIN(2*PI()*(((Inputs!$I$8+(((A166)+1)/2)*(Inputs!$J$8-Inputs!$I$8)))+(Inputs!$C$6))/(0.5*(Inputs!$C$39+Inputs!$C$40))))+Inputs!$C$38*SIN(2*PI()*((Inputs!$I$8+(((A166)+1)/2)*(Inputs!$J$8-Inputs!$I$8)))/Inputs!$C$39)*SIN(2*PI()*(Inputs!$C$6)/Inputs!$C$40)+-Inputs!$C$41*EXP(-(((Inputs!$C$6)-Inputs!$C$43)^2)/(2*Inputs!$C$44^2))*EXP(-((((Inputs!$I$8+(((A166)+1)/2)*(Inputs!$J$8-Inputs!$I$8)))-Inputs!$C$42)^2)/(2*Inputs!$C$45^2))+Inputs!$C$48*(0.7*(0.45*SIN(2*PI()*((((Inputs!$I$8+(((A166)+1)/2)*(Inputs!$J$8-Inputs!$I$8)))/Inputs!$C$49)+Inputs!$C$47*0.137))+0.35*COS(2*PI()*(((Inputs!$C$6)/Inputs!$C$50)+Inputs!$C$47*0.173))+0.2*SIN(2*PI()*((((Inputs!$I$8+(((A166)+1)/2)*(Inputs!$J$8-Inputs!$I$8)))+(Inputs!$C$6))/(0.5*(Inputs!$C$49+Inputs!$C$50))+Inputs!$C$47*0.097)))+0.3*(2*((SIN((((Inputs!$I$8+(((A166)+1)/2)*(Inputs!$J$8-Inputs!$I$8)))*12.9898+(Inputs!$C$6)*78.233+Inputs!$C$47*37.719))*43758.5453)-INT((SIN((((Inputs!$I$8+(((A166)+1)/2)*(Inputs!$J$8-Inputs!$I$8)))*12.9898+(Inputs!$C$6)*78.233+Inputs!$C$47*37.719))*43758.5453)))-1))),NA())</f>
        <v/>
      </c>
      <c r="AV166" s="9">
        <f>IF(OR(Inputs!$F$9=TRUE,Inputs!$F$9="TRUE",Inputs!$F$9=1),IF(OR(Inputs!$C$27=TRUE,Inputs!$C$27="TRUE",Inputs!$C$27=1),1,0)*(Inputs!$C$51*(115*EXP(-(((Inputs!$C$6)-25)^2)/(4.5^2))+70*EXP(-(((Inputs!$C$6)+38)^2)/(7^2))*(0.55+0.45*SIN(2*PI()*((Inputs!$I$9+(((A166)+1)/2)*(Inputs!$J$9-Inputs!$I$9)))/45))+24*SIN(2*PI()*(Inputs!$C$6)/9+((Inputs!$I$9+(((A166)+1)/2)*(Inputs!$J$9-Inputs!$I$9)))/18)*EXP(-(((Inputs!$C$6)+5)^2)/(22^2))+18*SIN(2*PI()*((Inputs!$I$9+(((A166)+1)/2)*(Inputs!$J$9-Inputs!$I$9)))/70))+Inputs!$C$28*EXP(-((((Inputs!$I$9+(((A166)+1)/2)*(Inputs!$J$9-Inputs!$I$9)))-Inputs!$C$29)^2)/(2*Inputs!$C$31^2))*EXP(-(((Inputs!$C$6)-Inputs!$C$30)^2)/(2*Inputs!$C$32^2))+-Inputs!$C$33*EXP(-((((((Inputs!$I$9+(((A166)+1)/2)*(Inputs!$J$9-Inputs!$I$9)))-Inputs!$C$34)^2)+(((Inputs!$C$6)-Inputs!$C$35)^2))/(2*Inputs!$C$36^2)))+Inputs!$C$37*(0.55*SIN(2*PI()*((Inputs!$I$9+(((A166)+1)/2)*(Inputs!$J$9-Inputs!$I$9)))/Inputs!$C$39)+0.35*COS(2*PI()*(Inputs!$C$6)/Inputs!$C$40)+0.2*SIN(2*PI()*(((Inputs!$I$9+(((A166)+1)/2)*(Inputs!$J$9-Inputs!$I$9)))+(Inputs!$C$6))/(0.5*(Inputs!$C$39+Inputs!$C$40))))+Inputs!$C$38*SIN(2*PI()*((Inputs!$I$9+(((A166)+1)/2)*(Inputs!$J$9-Inputs!$I$9)))/Inputs!$C$39)*SIN(2*PI()*(Inputs!$C$6)/Inputs!$C$40)+-Inputs!$C$41*EXP(-(((Inputs!$C$6)-Inputs!$C$43)^2)/(2*Inputs!$C$44^2))*EXP(-((((Inputs!$I$9+(((A166)+1)/2)*(Inputs!$J$9-Inputs!$I$9)))-Inputs!$C$42)^2)/(2*Inputs!$C$45^2))+Inputs!$C$48*(0.7*(0.45*SIN(2*PI()*((((Inputs!$I$9+(((A166)+1)/2)*(Inputs!$J$9-Inputs!$I$9)))/Inputs!$C$49)+Inputs!$C$47*0.137))+0.35*COS(2*PI()*(((Inputs!$C$6)/Inputs!$C$50)+Inputs!$C$47*0.173))+0.2*SIN(2*PI()*((((Inputs!$I$9+(((A166)+1)/2)*(Inputs!$J$9-Inputs!$I$9)))+(Inputs!$C$6))/(0.5*(Inputs!$C$49+Inputs!$C$50))+Inputs!$C$47*0.097)))+0.3*(2*((SIN((((Inputs!$I$9+(((A166)+1)/2)*(Inputs!$J$9-Inputs!$I$9)))*12.9898+(Inputs!$C$6)*78.233+Inputs!$C$47*37.719))*43758.5453)-INT((SIN((((Inputs!$I$9+(((A166)+1)/2)*(Inputs!$J$9-Inputs!$I$9)))*12.9898+(Inputs!$C$6)*78.233+Inputs!$C$47*37.719))*43758.5453)))-1))),NA())</f>
        <v/>
      </c>
      <c r="AW166" s="10" t="n"/>
      <c r="AX166" s="9">
        <f>A166</f>
        <v/>
      </c>
      <c r="AY166" s="9">
        <f>0</f>
        <v/>
      </c>
      <c r="AZ166" s="9">
        <f>IF(OR(Inputs!$F$6=TRUE,Inputs!$F$6="TRUE",Inputs!$F$6=1),(Inputs!$H$6+Inputs!$L$6*(((Inputs!$I$6+(((A166)+1)/2)*(Inputs!$J$6-Inputs!$I$6)))/Inputs!$K$6)^2),NA())</f>
        <v/>
      </c>
      <c r="BA166" s="9">
        <f>IF(OR(Inputs!$F$7=TRUE,Inputs!$F$7="TRUE",Inputs!$F$7=1),(Inputs!$H$7+Inputs!$L$7*(((Inputs!$I$7+(((A166)+1)/2)*(Inputs!$J$7-Inputs!$I$7)))/Inputs!$K$7)^2),NA())</f>
        <v/>
      </c>
      <c r="BB166" s="9">
        <f>IF(OR(Inputs!$F$8=TRUE,Inputs!$F$8="TRUE",Inputs!$F$8=1),(Inputs!$H$8+Inputs!$L$8*(((Inputs!$I$8+(((A166)+1)/2)*(Inputs!$J$8-Inputs!$I$8)))/Inputs!$K$8)^2),NA())</f>
        <v/>
      </c>
      <c r="BC166" s="9">
        <f>IF(OR(Inputs!$F$9=TRUE,Inputs!$F$9="TRUE",Inputs!$F$9=1),(Inputs!$H$9+Inputs!$L$9*(((Inputs!$I$9+(((A166)+1)/2)*(Inputs!$J$9-Inputs!$I$9)))/Inputs!$K$9)^2),NA())</f>
        <v/>
      </c>
      <c r="BD166" s="10" t="n"/>
      <c r="BE166" s="9">
        <f>A166</f>
        <v/>
      </c>
      <c r="BF166" s="9">
        <f>0</f>
        <v/>
      </c>
      <c r="BG166" s="9">
        <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f>
        <v/>
      </c>
      <c r="BH166" s="9">
        <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f>
        <v/>
      </c>
      <c r="BI166" s="9">
        <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f>
        <v/>
      </c>
      <c r="BJ166" s="9">
        <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f>
        <v/>
      </c>
    </row>
    <row r="167">
      <c r="A167" s="9">
        <f>ROUND(-1+165*2/240,3)</f>
        <v/>
      </c>
      <c r="B167" s="9">
        <f>IF(OR(Inputs!$F$6=TRUE,Inputs!$F$6="TRUE",Inputs!$F$6=1),(Inputs!$H$6+Inputs!$L$6*(((Inputs!$I$6+(((A167)+1)/2)*(Inputs!$J$6-Inputs!$I$6)))/Inputs!$K$6)^2),NA())</f>
        <v/>
      </c>
      <c r="C167" s="9">
        <f>IF(OR(Inputs!$F$7=TRUE,Inputs!$F$7="TRUE",Inputs!$F$7=1),(Inputs!$H$7+Inputs!$L$7*(((Inputs!$I$7+(((A167)+1)/2)*(Inputs!$J$7-Inputs!$I$7)))/Inputs!$K$7)^2),NA())</f>
        <v/>
      </c>
      <c r="D167" s="9">
        <f>IF(OR(Inputs!$F$8=TRUE,Inputs!$F$8="TRUE",Inputs!$F$8=1),(Inputs!$H$8+Inputs!$L$8*(((Inputs!$I$8+(((A167)+1)/2)*(Inputs!$J$8-Inputs!$I$8)))/Inputs!$K$8)^2),NA())</f>
        <v/>
      </c>
      <c r="E167" s="9">
        <f>IF(OR(Inputs!$F$9=TRUE,Inputs!$F$9="TRUE",Inputs!$F$9=1),(Inputs!$H$9+Inputs!$L$9*(((Inputs!$I$9+(((A167)+1)/2)*(Inputs!$J$9-Inputs!$I$9)))/Inputs!$K$9)^2),NA())</f>
        <v/>
      </c>
      <c r="F167" s="10" t="n"/>
      <c r="G167" s="9">
        <f>A167</f>
        <v/>
      </c>
      <c r="H167" s="9">
        <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f>
        <v/>
      </c>
      <c r="I167" s="9">
        <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f>
        <v/>
      </c>
      <c r="J167" s="9">
        <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f>
        <v/>
      </c>
      <c r="K167" s="9">
        <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f>
        <v/>
      </c>
      <c r="L167" s="10" t="n"/>
      <c r="M167" s="9">
        <f>A167</f>
        <v/>
      </c>
      <c r="N167" s="9">
        <f>IF(OR(Inputs!$F$6=TRUE,Inputs!$F$6="TRUE",Inputs!$F$6=1),(-2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NA())</f>
        <v/>
      </c>
      <c r="O167" s="9">
        <f>IF(OR(Inputs!$F$7=TRUE,Inputs!$F$7="TRUE",Inputs!$F$7=1),(-2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NA())</f>
        <v/>
      </c>
      <c r="P167" s="9">
        <f>IF(OR(Inputs!$F$8=TRUE,Inputs!$F$8="TRUE",Inputs!$F$8=1),(-2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NA())</f>
        <v/>
      </c>
      <c r="Q167" s="9">
        <f>IF(OR(Inputs!$F$9=TRUE,Inputs!$F$9="TRUE",Inputs!$F$9=1),(-2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NA())</f>
        <v/>
      </c>
      <c r="R167" s="10" t="n"/>
      <c r="S167" s="9">
        <f>A167</f>
        <v/>
      </c>
      <c r="T167" s="9">
        <f>(Inputs!$I$6+(((A167)+1)/2)*(Inputs!$J$6-Inputs!$I$6))</f>
        <v/>
      </c>
      <c r="U167" s="9">
        <f>(Inputs!$I$7+(((A167)+1)/2)*(Inputs!$J$7-Inputs!$I$7))</f>
        <v/>
      </c>
      <c r="V167" s="9">
        <f>(Inputs!$I$8+(((A167)+1)/2)*(Inputs!$J$8-Inputs!$I$8))</f>
        <v/>
      </c>
      <c r="W167" s="9">
        <f>(Inputs!$I$9+(((A167)+1)/2)*(Inputs!$J$9-Inputs!$I$9))</f>
        <v/>
      </c>
      <c r="X167" s="10" t="n"/>
      <c r="Y167" s="9">
        <f>A167</f>
        <v/>
      </c>
      <c r="Z167" s="9">
        <f>(Inputs!$H$6+Inputs!$L$6*(((Inputs!$I$6+(((A167)+1)/2)*(Inputs!$J$6-Inputs!$I$6)))/Inputs!$K$6)^2)</f>
        <v/>
      </c>
      <c r="AA167" s="9">
        <f>(Inputs!$H$7+Inputs!$L$7*(((Inputs!$I$7+(((A167)+1)/2)*(Inputs!$J$7-Inputs!$I$7)))/Inputs!$K$7)^2)</f>
        <v/>
      </c>
      <c r="AB167" s="9">
        <f>(Inputs!$H$8+Inputs!$L$8*(((Inputs!$I$8+(((A167)+1)/2)*(Inputs!$J$8-Inputs!$I$8)))/Inputs!$K$8)^2)</f>
        <v/>
      </c>
      <c r="AC167" s="9">
        <f>(Inputs!$H$9+Inputs!$L$9*(((Inputs!$I$9+(((A167)+1)/2)*(Inputs!$J$9-Inputs!$I$9)))/Inputs!$K$9)^2)</f>
        <v/>
      </c>
      <c r="AD167" s="10" t="n"/>
      <c r="AE167" s="9">
        <f>A167</f>
        <v/>
      </c>
      <c r="AF167" s="9">
        <f>(((SQRT((Inputs!$C$52+((Inputs!$H$6+Inputs!$L$6*(((Inputs!$I$6+(((A167)+1)/2)*(Inputs!$J$6-Inputs!$I$6)))/Inputs!$K$6)^2)))^2+Inputs!$C$52^2-2*(Inputs!$C$52+((Inputs!$H$6+Inputs!$L$6*(((Inputs!$I$6+(((A167)+1)/2)*(Inputs!$J$6-Inputs!$I$6)))/Inputs!$K$6)^2)))*Inputs!$C$52*COS(SQRT(((Inputs!$I$6+(((A167)+1)/2)*(Inputs!$J$6-Inputs!$I$6)))^2+Inputs!$C$6^2)/Inputs!$C$52)))-((Inputs!$H$6+Inputs!$L$6*(((Inputs!$I$6+(((A167)+1)/2)*(Inputs!$J$6-Inputs!$I$6)))/Inputs!$K$6)^2)))*1000/Inputs!$C$12)</f>
        <v/>
      </c>
      <c r="AG167" s="9">
        <f>(((SQRT((Inputs!$C$52+((Inputs!$H$7+Inputs!$L$7*(((Inputs!$I$7+(((A167)+1)/2)*(Inputs!$J$7-Inputs!$I$7)))/Inputs!$K$7)^2)))^2+Inputs!$C$52^2-2*(Inputs!$C$52+((Inputs!$H$7+Inputs!$L$7*(((Inputs!$I$7+(((A167)+1)/2)*(Inputs!$J$7-Inputs!$I$7)))/Inputs!$K$7)^2)))*Inputs!$C$52*COS(SQRT(((Inputs!$I$7+(((A167)+1)/2)*(Inputs!$J$7-Inputs!$I$7)))^2+Inputs!$C$6^2)/Inputs!$C$52)))-((Inputs!$H$7+Inputs!$L$7*(((Inputs!$I$7+(((A167)+1)/2)*(Inputs!$J$7-Inputs!$I$7)))/Inputs!$K$7)^2)))*1000/Inputs!$C$12)</f>
        <v/>
      </c>
      <c r="AH167" s="9">
        <f>(((SQRT((Inputs!$C$52+((Inputs!$H$8+Inputs!$L$8*(((Inputs!$I$8+(((A167)+1)/2)*(Inputs!$J$8-Inputs!$I$8)))/Inputs!$K$8)^2)))^2+Inputs!$C$52^2-2*(Inputs!$C$52+((Inputs!$H$8+Inputs!$L$8*(((Inputs!$I$8+(((A167)+1)/2)*(Inputs!$J$8-Inputs!$I$8)))/Inputs!$K$8)^2)))*Inputs!$C$52*COS(SQRT(((Inputs!$I$8+(((A167)+1)/2)*(Inputs!$J$8-Inputs!$I$8)))^2+Inputs!$C$6^2)/Inputs!$C$52)))-((Inputs!$H$8+Inputs!$L$8*(((Inputs!$I$8+(((A167)+1)/2)*(Inputs!$J$8-Inputs!$I$8)))/Inputs!$K$8)^2)))*1000/Inputs!$C$12)</f>
        <v/>
      </c>
      <c r="AI167" s="9">
        <f>(((SQRT((Inputs!$C$52+((Inputs!$H$9+Inputs!$L$9*(((Inputs!$I$9+(((A167)+1)/2)*(Inputs!$J$9-Inputs!$I$9)))/Inputs!$K$9)^2)))^2+Inputs!$C$52^2-2*(Inputs!$C$52+((Inputs!$H$9+Inputs!$L$9*(((Inputs!$I$9+(((A167)+1)/2)*(Inputs!$J$9-Inputs!$I$9)))/Inputs!$K$9)^2)))*Inputs!$C$52*COS(SQRT(((Inputs!$I$9+(((A167)+1)/2)*(Inputs!$J$9-Inputs!$I$9)))^2+Inputs!$C$6^2)/Inputs!$C$52)))-((Inputs!$H$9+Inputs!$L$9*(((Inputs!$I$9+(((A167)+1)/2)*(Inputs!$J$9-Inputs!$I$9)))/Inputs!$K$9)^2)))*1000/Inputs!$C$12)</f>
        <v/>
      </c>
      <c r="AJ167" s="10" t="n"/>
      <c r="AK167" s="9">
        <f>A167</f>
        <v/>
      </c>
      <c r="AL167" s="9">
        <f>(-2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f>
        <v/>
      </c>
      <c r="AM167" s="9">
        <f>(-2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f>
        <v/>
      </c>
      <c r="AN167" s="9">
        <f>(-2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f>
        <v/>
      </c>
      <c r="AO167" s="9">
        <f>(-2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f>
        <v/>
      </c>
      <c r="AP167" s="10" t="n"/>
      <c r="AQ167" s="9">
        <f>A167</f>
        <v/>
      </c>
      <c r="AR167" s="9">
        <f>0</f>
        <v/>
      </c>
      <c r="AS167" s="9">
        <f>IF(OR(Inputs!$F$6=TRUE,Inputs!$F$6="TRUE",Inputs!$F$6=1),IF(OR(Inputs!$C$27=TRUE,Inputs!$C$27="TRUE",Inputs!$C$27=1),1,0)*(Inputs!$C$51*(115*EXP(-(((Inputs!$C$6)-25)^2)/(4.5^2))+70*EXP(-(((Inputs!$C$6)+38)^2)/(7^2))*(0.55+0.45*SIN(2*PI()*((Inputs!$I$6+(((A167)+1)/2)*(Inputs!$J$6-Inputs!$I$6)))/45))+24*SIN(2*PI()*(Inputs!$C$6)/9+((Inputs!$I$6+(((A167)+1)/2)*(Inputs!$J$6-Inputs!$I$6)))/18)*EXP(-(((Inputs!$C$6)+5)^2)/(22^2))+18*SIN(2*PI()*((Inputs!$I$6+(((A167)+1)/2)*(Inputs!$J$6-Inputs!$I$6)))/70))+Inputs!$C$28*EXP(-((((Inputs!$I$6+(((A167)+1)/2)*(Inputs!$J$6-Inputs!$I$6)))-Inputs!$C$29)^2)/(2*Inputs!$C$31^2))*EXP(-(((Inputs!$C$6)-Inputs!$C$30)^2)/(2*Inputs!$C$32^2))+-Inputs!$C$33*EXP(-((((((Inputs!$I$6+(((A167)+1)/2)*(Inputs!$J$6-Inputs!$I$6)))-Inputs!$C$34)^2)+(((Inputs!$C$6)-Inputs!$C$35)^2))/(2*Inputs!$C$36^2)))+Inputs!$C$37*(0.55*SIN(2*PI()*((Inputs!$I$6+(((A167)+1)/2)*(Inputs!$J$6-Inputs!$I$6)))/Inputs!$C$39)+0.35*COS(2*PI()*(Inputs!$C$6)/Inputs!$C$40)+0.2*SIN(2*PI()*(((Inputs!$I$6+(((A167)+1)/2)*(Inputs!$J$6-Inputs!$I$6)))+(Inputs!$C$6))/(0.5*(Inputs!$C$39+Inputs!$C$40))))+Inputs!$C$38*SIN(2*PI()*((Inputs!$I$6+(((A167)+1)/2)*(Inputs!$J$6-Inputs!$I$6)))/Inputs!$C$39)*SIN(2*PI()*(Inputs!$C$6)/Inputs!$C$40)+-Inputs!$C$41*EXP(-(((Inputs!$C$6)-Inputs!$C$43)^2)/(2*Inputs!$C$44^2))*EXP(-((((Inputs!$I$6+(((A167)+1)/2)*(Inputs!$J$6-Inputs!$I$6)))-Inputs!$C$42)^2)/(2*Inputs!$C$45^2))+Inputs!$C$48*(0.7*(0.45*SIN(2*PI()*((((Inputs!$I$6+(((A167)+1)/2)*(Inputs!$J$6-Inputs!$I$6)))/Inputs!$C$49)+Inputs!$C$47*0.137))+0.35*COS(2*PI()*(((Inputs!$C$6)/Inputs!$C$50)+Inputs!$C$47*0.173))+0.2*SIN(2*PI()*((((Inputs!$I$6+(((A167)+1)/2)*(Inputs!$J$6-Inputs!$I$6)))+(Inputs!$C$6))/(0.5*(Inputs!$C$49+Inputs!$C$50))+Inputs!$C$47*0.097)))+0.3*(2*((SIN((((Inputs!$I$6+(((A167)+1)/2)*(Inputs!$J$6-Inputs!$I$6)))*12.9898+(Inputs!$C$6)*78.233+Inputs!$C$47*37.719))*43758.5453)-INT((SIN((((Inputs!$I$6+(((A167)+1)/2)*(Inputs!$J$6-Inputs!$I$6)))*12.9898+(Inputs!$C$6)*78.233+Inputs!$C$47*37.719))*43758.5453)))-1))),NA())</f>
        <v/>
      </c>
      <c r="AT167" s="9">
        <f>IF(OR(Inputs!$F$7=TRUE,Inputs!$F$7="TRUE",Inputs!$F$7=1),IF(OR(Inputs!$C$27=TRUE,Inputs!$C$27="TRUE",Inputs!$C$27=1),1,0)*(Inputs!$C$51*(115*EXP(-(((Inputs!$C$6)-25)^2)/(4.5^2))+70*EXP(-(((Inputs!$C$6)+38)^2)/(7^2))*(0.55+0.45*SIN(2*PI()*((Inputs!$I$7+(((A167)+1)/2)*(Inputs!$J$7-Inputs!$I$7)))/45))+24*SIN(2*PI()*(Inputs!$C$6)/9+((Inputs!$I$7+(((A167)+1)/2)*(Inputs!$J$7-Inputs!$I$7)))/18)*EXP(-(((Inputs!$C$6)+5)^2)/(22^2))+18*SIN(2*PI()*((Inputs!$I$7+(((A167)+1)/2)*(Inputs!$J$7-Inputs!$I$7)))/70))+Inputs!$C$28*EXP(-((((Inputs!$I$7+(((A167)+1)/2)*(Inputs!$J$7-Inputs!$I$7)))-Inputs!$C$29)^2)/(2*Inputs!$C$31^2))*EXP(-(((Inputs!$C$6)-Inputs!$C$30)^2)/(2*Inputs!$C$32^2))+-Inputs!$C$33*EXP(-((((((Inputs!$I$7+(((A167)+1)/2)*(Inputs!$J$7-Inputs!$I$7)))-Inputs!$C$34)^2)+(((Inputs!$C$6)-Inputs!$C$35)^2))/(2*Inputs!$C$36^2)))+Inputs!$C$37*(0.55*SIN(2*PI()*((Inputs!$I$7+(((A167)+1)/2)*(Inputs!$J$7-Inputs!$I$7)))/Inputs!$C$39)+0.35*COS(2*PI()*(Inputs!$C$6)/Inputs!$C$40)+0.2*SIN(2*PI()*(((Inputs!$I$7+(((A167)+1)/2)*(Inputs!$J$7-Inputs!$I$7)))+(Inputs!$C$6))/(0.5*(Inputs!$C$39+Inputs!$C$40))))+Inputs!$C$38*SIN(2*PI()*((Inputs!$I$7+(((A167)+1)/2)*(Inputs!$J$7-Inputs!$I$7)))/Inputs!$C$39)*SIN(2*PI()*(Inputs!$C$6)/Inputs!$C$40)+-Inputs!$C$41*EXP(-(((Inputs!$C$6)-Inputs!$C$43)^2)/(2*Inputs!$C$44^2))*EXP(-((((Inputs!$I$7+(((A167)+1)/2)*(Inputs!$J$7-Inputs!$I$7)))-Inputs!$C$42)^2)/(2*Inputs!$C$45^2))+Inputs!$C$48*(0.7*(0.45*SIN(2*PI()*((((Inputs!$I$7+(((A167)+1)/2)*(Inputs!$J$7-Inputs!$I$7)))/Inputs!$C$49)+Inputs!$C$47*0.137))+0.35*COS(2*PI()*(((Inputs!$C$6)/Inputs!$C$50)+Inputs!$C$47*0.173))+0.2*SIN(2*PI()*((((Inputs!$I$7+(((A167)+1)/2)*(Inputs!$J$7-Inputs!$I$7)))+(Inputs!$C$6))/(0.5*(Inputs!$C$49+Inputs!$C$50))+Inputs!$C$47*0.097)))+0.3*(2*((SIN((((Inputs!$I$7+(((A167)+1)/2)*(Inputs!$J$7-Inputs!$I$7)))*12.9898+(Inputs!$C$6)*78.233+Inputs!$C$47*37.719))*43758.5453)-INT((SIN((((Inputs!$I$7+(((A167)+1)/2)*(Inputs!$J$7-Inputs!$I$7)))*12.9898+(Inputs!$C$6)*78.233+Inputs!$C$47*37.719))*43758.5453)))-1))),NA())</f>
        <v/>
      </c>
      <c r="AU167" s="9">
        <f>IF(OR(Inputs!$F$8=TRUE,Inputs!$F$8="TRUE",Inputs!$F$8=1),IF(OR(Inputs!$C$27=TRUE,Inputs!$C$27="TRUE",Inputs!$C$27=1),1,0)*(Inputs!$C$51*(115*EXP(-(((Inputs!$C$6)-25)^2)/(4.5^2))+70*EXP(-(((Inputs!$C$6)+38)^2)/(7^2))*(0.55+0.45*SIN(2*PI()*((Inputs!$I$8+(((A167)+1)/2)*(Inputs!$J$8-Inputs!$I$8)))/45))+24*SIN(2*PI()*(Inputs!$C$6)/9+((Inputs!$I$8+(((A167)+1)/2)*(Inputs!$J$8-Inputs!$I$8)))/18)*EXP(-(((Inputs!$C$6)+5)^2)/(22^2))+18*SIN(2*PI()*((Inputs!$I$8+(((A167)+1)/2)*(Inputs!$J$8-Inputs!$I$8)))/70))+Inputs!$C$28*EXP(-((((Inputs!$I$8+(((A167)+1)/2)*(Inputs!$J$8-Inputs!$I$8)))-Inputs!$C$29)^2)/(2*Inputs!$C$31^2))*EXP(-(((Inputs!$C$6)-Inputs!$C$30)^2)/(2*Inputs!$C$32^2))+-Inputs!$C$33*EXP(-((((((Inputs!$I$8+(((A167)+1)/2)*(Inputs!$J$8-Inputs!$I$8)))-Inputs!$C$34)^2)+(((Inputs!$C$6)-Inputs!$C$35)^2))/(2*Inputs!$C$36^2)))+Inputs!$C$37*(0.55*SIN(2*PI()*((Inputs!$I$8+(((A167)+1)/2)*(Inputs!$J$8-Inputs!$I$8)))/Inputs!$C$39)+0.35*COS(2*PI()*(Inputs!$C$6)/Inputs!$C$40)+0.2*SIN(2*PI()*(((Inputs!$I$8+(((A167)+1)/2)*(Inputs!$J$8-Inputs!$I$8)))+(Inputs!$C$6))/(0.5*(Inputs!$C$39+Inputs!$C$40))))+Inputs!$C$38*SIN(2*PI()*((Inputs!$I$8+(((A167)+1)/2)*(Inputs!$J$8-Inputs!$I$8)))/Inputs!$C$39)*SIN(2*PI()*(Inputs!$C$6)/Inputs!$C$40)+-Inputs!$C$41*EXP(-(((Inputs!$C$6)-Inputs!$C$43)^2)/(2*Inputs!$C$44^2))*EXP(-((((Inputs!$I$8+(((A167)+1)/2)*(Inputs!$J$8-Inputs!$I$8)))-Inputs!$C$42)^2)/(2*Inputs!$C$45^2))+Inputs!$C$48*(0.7*(0.45*SIN(2*PI()*((((Inputs!$I$8+(((A167)+1)/2)*(Inputs!$J$8-Inputs!$I$8)))/Inputs!$C$49)+Inputs!$C$47*0.137))+0.35*COS(2*PI()*(((Inputs!$C$6)/Inputs!$C$50)+Inputs!$C$47*0.173))+0.2*SIN(2*PI()*((((Inputs!$I$8+(((A167)+1)/2)*(Inputs!$J$8-Inputs!$I$8)))+(Inputs!$C$6))/(0.5*(Inputs!$C$49+Inputs!$C$50))+Inputs!$C$47*0.097)))+0.3*(2*((SIN((((Inputs!$I$8+(((A167)+1)/2)*(Inputs!$J$8-Inputs!$I$8)))*12.9898+(Inputs!$C$6)*78.233+Inputs!$C$47*37.719))*43758.5453)-INT((SIN((((Inputs!$I$8+(((A167)+1)/2)*(Inputs!$J$8-Inputs!$I$8)))*12.9898+(Inputs!$C$6)*78.233+Inputs!$C$47*37.719))*43758.5453)))-1))),NA())</f>
        <v/>
      </c>
      <c r="AV167" s="9">
        <f>IF(OR(Inputs!$F$9=TRUE,Inputs!$F$9="TRUE",Inputs!$F$9=1),IF(OR(Inputs!$C$27=TRUE,Inputs!$C$27="TRUE",Inputs!$C$27=1),1,0)*(Inputs!$C$51*(115*EXP(-(((Inputs!$C$6)-25)^2)/(4.5^2))+70*EXP(-(((Inputs!$C$6)+38)^2)/(7^2))*(0.55+0.45*SIN(2*PI()*((Inputs!$I$9+(((A167)+1)/2)*(Inputs!$J$9-Inputs!$I$9)))/45))+24*SIN(2*PI()*(Inputs!$C$6)/9+((Inputs!$I$9+(((A167)+1)/2)*(Inputs!$J$9-Inputs!$I$9)))/18)*EXP(-(((Inputs!$C$6)+5)^2)/(22^2))+18*SIN(2*PI()*((Inputs!$I$9+(((A167)+1)/2)*(Inputs!$J$9-Inputs!$I$9)))/70))+Inputs!$C$28*EXP(-((((Inputs!$I$9+(((A167)+1)/2)*(Inputs!$J$9-Inputs!$I$9)))-Inputs!$C$29)^2)/(2*Inputs!$C$31^2))*EXP(-(((Inputs!$C$6)-Inputs!$C$30)^2)/(2*Inputs!$C$32^2))+-Inputs!$C$33*EXP(-((((((Inputs!$I$9+(((A167)+1)/2)*(Inputs!$J$9-Inputs!$I$9)))-Inputs!$C$34)^2)+(((Inputs!$C$6)-Inputs!$C$35)^2))/(2*Inputs!$C$36^2)))+Inputs!$C$37*(0.55*SIN(2*PI()*((Inputs!$I$9+(((A167)+1)/2)*(Inputs!$J$9-Inputs!$I$9)))/Inputs!$C$39)+0.35*COS(2*PI()*(Inputs!$C$6)/Inputs!$C$40)+0.2*SIN(2*PI()*(((Inputs!$I$9+(((A167)+1)/2)*(Inputs!$J$9-Inputs!$I$9)))+(Inputs!$C$6))/(0.5*(Inputs!$C$39+Inputs!$C$40))))+Inputs!$C$38*SIN(2*PI()*((Inputs!$I$9+(((A167)+1)/2)*(Inputs!$J$9-Inputs!$I$9)))/Inputs!$C$39)*SIN(2*PI()*(Inputs!$C$6)/Inputs!$C$40)+-Inputs!$C$41*EXP(-(((Inputs!$C$6)-Inputs!$C$43)^2)/(2*Inputs!$C$44^2))*EXP(-((((Inputs!$I$9+(((A167)+1)/2)*(Inputs!$J$9-Inputs!$I$9)))-Inputs!$C$42)^2)/(2*Inputs!$C$45^2))+Inputs!$C$48*(0.7*(0.45*SIN(2*PI()*((((Inputs!$I$9+(((A167)+1)/2)*(Inputs!$J$9-Inputs!$I$9)))/Inputs!$C$49)+Inputs!$C$47*0.137))+0.35*COS(2*PI()*(((Inputs!$C$6)/Inputs!$C$50)+Inputs!$C$47*0.173))+0.2*SIN(2*PI()*((((Inputs!$I$9+(((A167)+1)/2)*(Inputs!$J$9-Inputs!$I$9)))+(Inputs!$C$6))/(0.5*(Inputs!$C$49+Inputs!$C$50))+Inputs!$C$47*0.097)))+0.3*(2*((SIN((((Inputs!$I$9+(((A167)+1)/2)*(Inputs!$J$9-Inputs!$I$9)))*12.9898+(Inputs!$C$6)*78.233+Inputs!$C$47*37.719))*43758.5453)-INT((SIN((((Inputs!$I$9+(((A167)+1)/2)*(Inputs!$J$9-Inputs!$I$9)))*12.9898+(Inputs!$C$6)*78.233+Inputs!$C$47*37.719))*43758.5453)))-1))),NA())</f>
        <v/>
      </c>
      <c r="AW167" s="10" t="n"/>
      <c r="AX167" s="9">
        <f>A167</f>
        <v/>
      </c>
      <c r="AY167" s="9">
        <f>0</f>
        <v/>
      </c>
      <c r="AZ167" s="9">
        <f>IF(OR(Inputs!$F$6=TRUE,Inputs!$F$6="TRUE",Inputs!$F$6=1),(Inputs!$H$6+Inputs!$L$6*(((Inputs!$I$6+(((A167)+1)/2)*(Inputs!$J$6-Inputs!$I$6)))/Inputs!$K$6)^2),NA())</f>
        <v/>
      </c>
      <c r="BA167" s="9">
        <f>IF(OR(Inputs!$F$7=TRUE,Inputs!$F$7="TRUE",Inputs!$F$7=1),(Inputs!$H$7+Inputs!$L$7*(((Inputs!$I$7+(((A167)+1)/2)*(Inputs!$J$7-Inputs!$I$7)))/Inputs!$K$7)^2),NA())</f>
        <v/>
      </c>
      <c r="BB167" s="9">
        <f>IF(OR(Inputs!$F$8=TRUE,Inputs!$F$8="TRUE",Inputs!$F$8=1),(Inputs!$H$8+Inputs!$L$8*(((Inputs!$I$8+(((A167)+1)/2)*(Inputs!$J$8-Inputs!$I$8)))/Inputs!$K$8)^2),NA())</f>
        <v/>
      </c>
      <c r="BC167" s="9">
        <f>IF(OR(Inputs!$F$9=TRUE,Inputs!$F$9="TRUE",Inputs!$F$9=1),(Inputs!$H$9+Inputs!$L$9*(((Inputs!$I$9+(((A167)+1)/2)*(Inputs!$J$9-Inputs!$I$9)))/Inputs!$K$9)^2),NA())</f>
        <v/>
      </c>
      <c r="BD167" s="10" t="n"/>
      <c r="BE167" s="9">
        <f>A167</f>
        <v/>
      </c>
      <c r="BF167" s="9">
        <f>0</f>
        <v/>
      </c>
      <c r="BG167" s="9">
        <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f>
        <v/>
      </c>
      <c r="BH167" s="9">
        <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f>
        <v/>
      </c>
      <c r="BI167" s="9">
        <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f>
        <v/>
      </c>
      <c r="BJ167" s="9">
        <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f>
        <v/>
      </c>
    </row>
    <row r="168">
      <c r="A168" s="9">
        <f>ROUND(-1+166*2/240,3)</f>
        <v/>
      </c>
      <c r="B168" s="9">
        <f>IF(OR(Inputs!$F$6=TRUE,Inputs!$F$6="TRUE",Inputs!$F$6=1),(Inputs!$H$6+Inputs!$L$6*(((Inputs!$I$6+(((A168)+1)/2)*(Inputs!$J$6-Inputs!$I$6)))/Inputs!$K$6)^2),NA())</f>
        <v/>
      </c>
      <c r="C168" s="9">
        <f>IF(OR(Inputs!$F$7=TRUE,Inputs!$F$7="TRUE",Inputs!$F$7=1),(Inputs!$H$7+Inputs!$L$7*(((Inputs!$I$7+(((A168)+1)/2)*(Inputs!$J$7-Inputs!$I$7)))/Inputs!$K$7)^2),NA())</f>
        <v/>
      </c>
      <c r="D168" s="9">
        <f>IF(OR(Inputs!$F$8=TRUE,Inputs!$F$8="TRUE",Inputs!$F$8=1),(Inputs!$H$8+Inputs!$L$8*(((Inputs!$I$8+(((A168)+1)/2)*(Inputs!$J$8-Inputs!$I$8)))/Inputs!$K$8)^2),NA())</f>
        <v/>
      </c>
      <c r="E168" s="9">
        <f>IF(OR(Inputs!$F$9=TRUE,Inputs!$F$9="TRUE",Inputs!$F$9=1),(Inputs!$H$9+Inputs!$L$9*(((Inputs!$I$9+(((A168)+1)/2)*(Inputs!$J$9-Inputs!$I$9)))/Inputs!$K$9)^2),NA())</f>
        <v/>
      </c>
      <c r="F168" s="10" t="n"/>
      <c r="G168" s="9">
        <f>A168</f>
        <v/>
      </c>
      <c r="H168" s="9">
        <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f>
        <v/>
      </c>
      <c r="I168" s="9">
        <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f>
        <v/>
      </c>
      <c r="J168" s="9">
        <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f>
        <v/>
      </c>
      <c r="K168" s="9">
        <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f>
        <v/>
      </c>
      <c r="L168" s="10" t="n"/>
      <c r="M168" s="9">
        <f>A168</f>
        <v/>
      </c>
      <c r="N168" s="9">
        <f>IF(OR(Inputs!$F$6=TRUE,Inputs!$F$6="TRUE",Inputs!$F$6=1),(-2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NA())</f>
        <v/>
      </c>
      <c r="O168" s="9">
        <f>IF(OR(Inputs!$F$7=TRUE,Inputs!$F$7="TRUE",Inputs!$F$7=1),(-2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NA())</f>
        <v/>
      </c>
      <c r="P168" s="9">
        <f>IF(OR(Inputs!$F$8=TRUE,Inputs!$F$8="TRUE",Inputs!$F$8=1),(-2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NA())</f>
        <v/>
      </c>
      <c r="Q168" s="9">
        <f>IF(OR(Inputs!$F$9=TRUE,Inputs!$F$9="TRUE",Inputs!$F$9=1),(-2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NA())</f>
        <v/>
      </c>
      <c r="R168" s="10" t="n"/>
      <c r="S168" s="9">
        <f>A168</f>
        <v/>
      </c>
      <c r="T168" s="9">
        <f>(Inputs!$I$6+(((A168)+1)/2)*(Inputs!$J$6-Inputs!$I$6))</f>
        <v/>
      </c>
      <c r="U168" s="9">
        <f>(Inputs!$I$7+(((A168)+1)/2)*(Inputs!$J$7-Inputs!$I$7))</f>
        <v/>
      </c>
      <c r="V168" s="9">
        <f>(Inputs!$I$8+(((A168)+1)/2)*(Inputs!$J$8-Inputs!$I$8))</f>
        <v/>
      </c>
      <c r="W168" s="9">
        <f>(Inputs!$I$9+(((A168)+1)/2)*(Inputs!$J$9-Inputs!$I$9))</f>
        <v/>
      </c>
      <c r="X168" s="10" t="n"/>
      <c r="Y168" s="9">
        <f>A168</f>
        <v/>
      </c>
      <c r="Z168" s="9">
        <f>(Inputs!$H$6+Inputs!$L$6*(((Inputs!$I$6+(((A168)+1)/2)*(Inputs!$J$6-Inputs!$I$6)))/Inputs!$K$6)^2)</f>
        <v/>
      </c>
      <c r="AA168" s="9">
        <f>(Inputs!$H$7+Inputs!$L$7*(((Inputs!$I$7+(((A168)+1)/2)*(Inputs!$J$7-Inputs!$I$7)))/Inputs!$K$7)^2)</f>
        <v/>
      </c>
      <c r="AB168" s="9">
        <f>(Inputs!$H$8+Inputs!$L$8*(((Inputs!$I$8+(((A168)+1)/2)*(Inputs!$J$8-Inputs!$I$8)))/Inputs!$K$8)^2)</f>
        <v/>
      </c>
      <c r="AC168" s="9">
        <f>(Inputs!$H$9+Inputs!$L$9*(((Inputs!$I$9+(((A168)+1)/2)*(Inputs!$J$9-Inputs!$I$9)))/Inputs!$K$9)^2)</f>
        <v/>
      </c>
      <c r="AD168" s="10" t="n"/>
      <c r="AE168" s="9">
        <f>A168</f>
        <v/>
      </c>
      <c r="AF168" s="9">
        <f>(((SQRT((Inputs!$C$52+((Inputs!$H$6+Inputs!$L$6*(((Inputs!$I$6+(((A168)+1)/2)*(Inputs!$J$6-Inputs!$I$6)))/Inputs!$K$6)^2)))^2+Inputs!$C$52^2-2*(Inputs!$C$52+((Inputs!$H$6+Inputs!$L$6*(((Inputs!$I$6+(((A168)+1)/2)*(Inputs!$J$6-Inputs!$I$6)))/Inputs!$K$6)^2)))*Inputs!$C$52*COS(SQRT(((Inputs!$I$6+(((A168)+1)/2)*(Inputs!$J$6-Inputs!$I$6)))^2+Inputs!$C$6^2)/Inputs!$C$52)))-((Inputs!$H$6+Inputs!$L$6*(((Inputs!$I$6+(((A168)+1)/2)*(Inputs!$J$6-Inputs!$I$6)))/Inputs!$K$6)^2)))*1000/Inputs!$C$12)</f>
        <v/>
      </c>
      <c r="AG168" s="9">
        <f>(((SQRT((Inputs!$C$52+((Inputs!$H$7+Inputs!$L$7*(((Inputs!$I$7+(((A168)+1)/2)*(Inputs!$J$7-Inputs!$I$7)))/Inputs!$K$7)^2)))^2+Inputs!$C$52^2-2*(Inputs!$C$52+((Inputs!$H$7+Inputs!$L$7*(((Inputs!$I$7+(((A168)+1)/2)*(Inputs!$J$7-Inputs!$I$7)))/Inputs!$K$7)^2)))*Inputs!$C$52*COS(SQRT(((Inputs!$I$7+(((A168)+1)/2)*(Inputs!$J$7-Inputs!$I$7)))^2+Inputs!$C$6^2)/Inputs!$C$52)))-((Inputs!$H$7+Inputs!$L$7*(((Inputs!$I$7+(((A168)+1)/2)*(Inputs!$J$7-Inputs!$I$7)))/Inputs!$K$7)^2)))*1000/Inputs!$C$12)</f>
        <v/>
      </c>
      <c r="AH168" s="9">
        <f>(((SQRT((Inputs!$C$52+((Inputs!$H$8+Inputs!$L$8*(((Inputs!$I$8+(((A168)+1)/2)*(Inputs!$J$8-Inputs!$I$8)))/Inputs!$K$8)^2)))^2+Inputs!$C$52^2-2*(Inputs!$C$52+((Inputs!$H$8+Inputs!$L$8*(((Inputs!$I$8+(((A168)+1)/2)*(Inputs!$J$8-Inputs!$I$8)))/Inputs!$K$8)^2)))*Inputs!$C$52*COS(SQRT(((Inputs!$I$8+(((A168)+1)/2)*(Inputs!$J$8-Inputs!$I$8)))^2+Inputs!$C$6^2)/Inputs!$C$52)))-((Inputs!$H$8+Inputs!$L$8*(((Inputs!$I$8+(((A168)+1)/2)*(Inputs!$J$8-Inputs!$I$8)))/Inputs!$K$8)^2)))*1000/Inputs!$C$12)</f>
        <v/>
      </c>
      <c r="AI168" s="9">
        <f>(((SQRT((Inputs!$C$52+((Inputs!$H$9+Inputs!$L$9*(((Inputs!$I$9+(((A168)+1)/2)*(Inputs!$J$9-Inputs!$I$9)))/Inputs!$K$9)^2)))^2+Inputs!$C$52^2-2*(Inputs!$C$52+((Inputs!$H$9+Inputs!$L$9*(((Inputs!$I$9+(((A168)+1)/2)*(Inputs!$J$9-Inputs!$I$9)))/Inputs!$K$9)^2)))*Inputs!$C$52*COS(SQRT(((Inputs!$I$9+(((A168)+1)/2)*(Inputs!$J$9-Inputs!$I$9)))^2+Inputs!$C$6^2)/Inputs!$C$52)))-((Inputs!$H$9+Inputs!$L$9*(((Inputs!$I$9+(((A168)+1)/2)*(Inputs!$J$9-Inputs!$I$9)))/Inputs!$K$9)^2)))*1000/Inputs!$C$12)</f>
        <v/>
      </c>
      <c r="AJ168" s="10" t="n"/>
      <c r="AK168" s="9">
        <f>A168</f>
        <v/>
      </c>
      <c r="AL168" s="9">
        <f>(-2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f>
        <v/>
      </c>
      <c r="AM168" s="9">
        <f>(-2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f>
        <v/>
      </c>
      <c r="AN168" s="9">
        <f>(-2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f>
        <v/>
      </c>
      <c r="AO168" s="9">
        <f>(-2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f>
        <v/>
      </c>
      <c r="AP168" s="10" t="n"/>
      <c r="AQ168" s="9">
        <f>A168</f>
        <v/>
      </c>
      <c r="AR168" s="9">
        <f>0</f>
        <v/>
      </c>
      <c r="AS168" s="9">
        <f>IF(OR(Inputs!$F$6=TRUE,Inputs!$F$6="TRUE",Inputs!$F$6=1),IF(OR(Inputs!$C$27=TRUE,Inputs!$C$27="TRUE",Inputs!$C$27=1),1,0)*(Inputs!$C$51*(115*EXP(-(((Inputs!$C$6)-25)^2)/(4.5^2))+70*EXP(-(((Inputs!$C$6)+38)^2)/(7^2))*(0.55+0.45*SIN(2*PI()*((Inputs!$I$6+(((A168)+1)/2)*(Inputs!$J$6-Inputs!$I$6)))/45))+24*SIN(2*PI()*(Inputs!$C$6)/9+((Inputs!$I$6+(((A168)+1)/2)*(Inputs!$J$6-Inputs!$I$6)))/18)*EXP(-(((Inputs!$C$6)+5)^2)/(22^2))+18*SIN(2*PI()*((Inputs!$I$6+(((A168)+1)/2)*(Inputs!$J$6-Inputs!$I$6)))/70))+Inputs!$C$28*EXP(-((((Inputs!$I$6+(((A168)+1)/2)*(Inputs!$J$6-Inputs!$I$6)))-Inputs!$C$29)^2)/(2*Inputs!$C$31^2))*EXP(-(((Inputs!$C$6)-Inputs!$C$30)^2)/(2*Inputs!$C$32^2))+-Inputs!$C$33*EXP(-((((((Inputs!$I$6+(((A168)+1)/2)*(Inputs!$J$6-Inputs!$I$6)))-Inputs!$C$34)^2)+(((Inputs!$C$6)-Inputs!$C$35)^2))/(2*Inputs!$C$36^2)))+Inputs!$C$37*(0.55*SIN(2*PI()*((Inputs!$I$6+(((A168)+1)/2)*(Inputs!$J$6-Inputs!$I$6)))/Inputs!$C$39)+0.35*COS(2*PI()*(Inputs!$C$6)/Inputs!$C$40)+0.2*SIN(2*PI()*(((Inputs!$I$6+(((A168)+1)/2)*(Inputs!$J$6-Inputs!$I$6)))+(Inputs!$C$6))/(0.5*(Inputs!$C$39+Inputs!$C$40))))+Inputs!$C$38*SIN(2*PI()*((Inputs!$I$6+(((A168)+1)/2)*(Inputs!$J$6-Inputs!$I$6)))/Inputs!$C$39)*SIN(2*PI()*(Inputs!$C$6)/Inputs!$C$40)+-Inputs!$C$41*EXP(-(((Inputs!$C$6)-Inputs!$C$43)^2)/(2*Inputs!$C$44^2))*EXP(-((((Inputs!$I$6+(((A168)+1)/2)*(Inputs!$J$6-Inputs!$I$6)))-Inputs!$C$42)^2)/(2*Inputs!$C$45^2))+Inputs!$C$48*(0.7*(0.45*SIN(2*PI()*((((Inputs!$I$6+(((A168)+1)/2)*(Inputs!$J$6-Inputs!$I$6)))/Inputs!$C$49)+Inputs!$C$47*0.137))+0.35*COS(2*PI()*(((Inputs!$C$6)/Inputs!$C$50)+Inputs!$C$47*0.173))+0.2*SIN(2*PI()*((((Inputs!$I$6+(((A168)+1)/2)*(Inputs!$J$6-Inputs!$I$6)))+(Inputs!$C$6))/(0.5*(Inputs!$C$49+Inputs!$C$50))+Inputs!$C$47*0.097)))+0.3*(2*((SIN((((Inputs!$I$6+(((A168)+1)/2)*(Inputs!$J$6-Inputs!$I$6)))*12.9898+(Inputs!$C$6)*78.233+Inputs!$C$47*37.719))*43758.5453)-INT((SIN((((Inputs!$I$6+(((A168)+1)/2)*(Inputs!$J$6-Inputs!$I$6)))*12.9898+(Inputs!$C$6)*78.233+Inputs!$C$47*37.719))*43758.5453)))-1))),NA())</f>
        <v/>
      </c>
      <c r="AT168" s="9">
        <f>IF(OR(Inputs!$F$7=TRUE,Inputs!$F$7="TRUE",Inputs!$F$7=1),IF(OR(Inputs!$C$27=TRUE,Inputs!$C$27="TRUE",Inputs!$C$27=1),1,0)*(Inputs!$C$51*(115*EXP(-(((Inputs!$C$6)-25)^2)/(4.5^2))+70*EXP(-(((Inputs!$C$6)+38)^2)/(7^2))*(0.55+0.45*SIN(2*PI()*((Inputs!$I$7+(((A168)+1)/2)*(Inputs!$J$7-Inputs!$I$7)))/45))+24*SIN(2*PI()*(Inputs!$C$6)/9+((Inputs!$I$7+(((A168)+1)/2)*(Inputs!$J$7-Inputs!$I$7)))/18)*EXP(-(((Inputs!$C$6)+5)^2)/(22^2))+18*SIN(2*PI()*((Inputs!$I$7+(((A168)+1)/2)*(Inputs!$J$7-Inputs!$I$7)))/70))+Inputs!$C$28*EXP(-((((Inputs!$I$7+(((A168)+1)/2)*(Inputs!$J$7-Inputs!$I$7)))-Inputs!$C$29)^2)/(2*Inputs!$C$31^2))*EXP(-(((Inputs!$C$6)-Inputs!$C$30)^2)/(2*Inputs!$C$32^2))+-Inputs!$C$33*EXP(-((((((Inputs!$I$7+(((A168)+1)/2)*(Inputs!$J$7-Inputs!$I$7)))-Inputs!$C$34)^2)+(((Inputs!$C$6)-Inputs!$C$35)^2))/(2*Inputs!$C$36^2)))+Inputs!$C$37*(0.55*SIN(2*PI()*((Inputs!$I$7+(((A168)+1)/2)*(Inputs!$J$7-Inputs!$I$7)))/Inputs!$C$39)+0.35*COS(2*PI()*(Inputs!$C$6)/Inputs!$C$40)+0.2*SIN(2*PI()*(((Inputs!$I$7+(((A168)+1)/2)*(Inputs!$J$7-Inputs!$I$7)))+(Inputs!$C$6))/(0.5*(Inputs!$C$39+Inputs!$C$40))))+Inputs!$C$38*SIN(2*PI()*((Inputs!$I$7+(((A168)+1)/2)*(Inputs!$J$7-Inputs!$I$7)))/Inputs!$C$39)*SIN(2*PI()*(Inputs!$C$6)/Inputs!$C$40)+-Inputs!$C$41*EXP(-(((Inputs!$C$6)-Inputs!$C$43)^2)/(2*Inputs!$C$44^2))*EXP(-((((Inputs!$I$7+(((A168)+1)/2)*(Inputs!$J$7-Inputs!$I$7)))-Inputs!$C$42)^2)/(2*Inputs!$C$45^2))+Inputs!$C$48*(0.7*(0.45*SIN(2*PI()*((((Inputs!$I$7+(((A168)+1)/2)*(Inputs!$J$7-Inputs!$I$7)))/Inputs!$C$49)+Inputs!$C$47*0.137))+0.35*COS(2*PI()*(((Inputs!$C$6)/Inputs!$C$50)+Inputs!$C$47*0.173))+0.2*SIN(2*PI()*((((Inputs!$I$7+(((A168)+1)/2)*(Inputs!$J$7-Inputs!$I$7)))+(Inputs!$C$6))/(0.5*(Inputs!$C$49+Inputs!$C$50))+Inputs!$C$47*0.097)))+0.3*(2*((SIN((((Inputs!$I$7+(((A168)+1)/2)*(Inputs!$J$7-Inputs!$I$7)))*12.9898+(Inputs!$C$6)*78.233+Inputs!$C$47*37.719))*43758.5453)-INT((SIN((((Inputs!$I$7+(((A168)+1)/2)*(Inputs!$J$7-Inputs!$I$7)))*12.9898+(Inputs!$C$6)*78.233+Inputs!$C$47*37.719))*43758.5453)))-1))),NA())</f>
        <v/>
      </c>
      <c r="AU168" s="9">
        <f>IF(OR(Inputs!$F$8=TRUE,Inputs!$F$8="TRUE",Inputs!$F$8=1),IF(OR(Inputs!$C$27=TRUE,Inputs!$C$27="TRUE",Inputs!$C$27=1),1,0)*(Inputs!$C$51*(115*EXP(-(((Inputs!$C$6)-25)^2)/(4.5^2))+70*EXP(-(((Inputs!$C$6)+38)^2)/(7^2))*(0.55+0.45*SIN(2*PI()*((Inputs!$I$8+(((A168)+1)/2)*(Inputs!$J$8-Inputs!$I$8)))/45))+24*SIN(2*PI()*(Inputs!$C$6)/9+((Inputs!$I$8+(((A168)+1)/2)*(Inputs!$J$8-Inputs!$I$8)))/18)*EXP(-(((Inputs!$C$6)+5)^2)/(22^2))+18*SIN(2*PI()*((Inputs!$I$8+(((A168)+1)/2)*(Inputs!$J$8-Inputs!$I$8)))/70))+Inputs!$C$28*EXP(-((((Inputs!$I$8+(((A168)+1)/2)*(Inputs!$J$8-Inputs!$I$8)))-Inputs!$C$29)^2)/(2*Inputs!$C$31^2))*EXP(-(((Inputs!$C$6)-Inputs!$C$30)^2)/(2*Inputs!$C$32^2))+-Inputs!$C$33*EXP(-((((((Inputs!$I$8+(((A168)+1)/2)*(Inputs!$J$8-Inputs!$I$8)))-Inputs!$C$34)^2)+(((Inputs!$C$6)-Inputs!$C$35)^2))/(2*Inputs!$C$36^2)))+Inputs!$C$37*(0.55*SIN(2*PI()*((Inputs!$I$8+(((A168)+1)/2)*(Inputs!$J$8-Inputs!$I$8)))/Inputs!$C$39)+0.35*COS(2*PI()*(Inputs!$C$6)/Inputs!$C$40)+0.2*SIN(2*PI()*(((Inputs!$I$8+(((A168)+1)/2)*(Inputs!$J$8-Inputs!$I$8)))+(Inputs!$C$6))/(0.5*(Inputs!$C$39+Inputs!$C$40))))+Inputs!$C$38*SIN(2*PI()*((Inputs!$I$8+(((A168)+1)/2)*(Inputs!$J$8-Inputs!$I$8)))/Inputs!$C$39)*SIN(2*PI()*(Inputs!$C$6)/Inputs!$C$40)+-Inputs!$C$41*EXP(-(((Inputs!$C$6)-Inputs!$C$43)^2)/(2*Inputs!$C$44^2))*EXP(-((((Inputs!$I$8+(((A168)+1)/2)*(Inputs!$J$8-Inputs!$I$8)))-Inputs!$C$42)^2)/(2*Inputs!$C$45^2))+Inputs!$C$48*(0.7*(0.45*SIN(2*PI()*((((Inputs!$I$8+(((A168)+1)/2)*(Inputs!$J$8-Inputs!$I$8)))/Inputs!$C$49)+Inputs!$C$47*0.137))+0.35*COS(2*PI()*(((Inputs!$C$6)/Inputs!$C$50)+Inputs!$C$47*0.173))+0.2*SIN(2*PI()*((((Inputs!$I$8+(((A168)+1)/2)*(Inputs!$J$8-Inputs!$I$8)))+(Inputs!$C$6))/(0.5*(Inputs!$C$49+Inputs!$C$50))+Inputs!$C$47*0.097)))+0.3*(2*((SIN((((Inputs!$I$8+(((A168)+1)/2)*(Inputs!$J$8-Inputs!$I$8)))*12.9898+(Inputs!$C$6)*78.233+Inputs!$C$47*37.719))*43758.5453)-INT((SIN((((Inputs!$I$8+(((A168)+1)/2)*(Inputs!$J$8-Inputs!$I$8)))*12.9898+(Inputs!$C$6)*78.233+Inputs!$C$47*37.719))*43758.5453)))-1))),NA())</f>
        <v/>
      </c>
      <c r="AV168" s="9">
        <f>IF(OR(Inputs!$F$9=TRUE,Inputs!$F$9="TRUE",Inputs!$F$9=1),IF(OR(Inputs!$C$27=TRUE,Inputs!$C$27="TRUE",Inputs!$C$27=1),1,0)*(Inputs!$C$51*(115*EXP(-(((Inputs!$C$6)-25)^2)/(4.5^2))+70*EXP(-(((Inputs!$C$6)+38)^2)/(7^2))*(0.55+0.45*SIN(2*PI()*((Inputs!$I$9+(((A168)+1)/2)*(Inputs!$J$9-Inputs!$I$9)))/45))+24*SIN(2*PI()*(Inputs!$C$6)/9+((Inputs!$I$9+(((A168)+1)/2)*(Inputs!$J$9-Inputs!$I$9)))/18)*EXP(-(((Inputs!$C$6)+5)^2)/(22^2))+18*SIN(2*PI()*((Inputs!$I$9+(((A168)+1)/2)*(Inputs!$J$9-Inputs!$I$9)))/70))+Inputs!$C$28*EXP(-((((Inputs!$I$9+(((A168)+1)/2)*(Inputs!$J$9-Inputs!$I$9)))-Inputs!$C$29)^2)/(2*Inputs!$C$31^2))*EXP(-(((Inputs!$C$6)-Inputs!$C$30)^2)/(2*Inputs!$C$32^2))+-Inputs!$C$33*EXP(-((((((Inputs!$I$9+(((A168)+1)/2)*(Inputs!$J$9-Inputs!$I$9)))-Inputs!$C$34)^2)+(((Inputs!$C$6)-Inputs!$C$35)^2))/(2*Inputs!$C$36^2)))+Inputs!$C$37*(0.55*SIN(2*PI()*((Inputs!$I$9+(((A168)+1)/2)*(Inputs!$J$9-Inputs!$I$9)))/Inputs!$C$39)+0.35*COS(2*PI()*(Inputs!$C$6)/Inputs!$C$40)+0.2*SIN(2*PI()*(((Inputs!$I$9+(((A168)+1)/2)*(Inputs!$J$9-Inputs!$I$9)))+(Inputs!$C$6))/(0.5*(Inputs!$C$39+Inputs!$C$40))))+Inputs!$C$38*SIN(2*PI()*((Inputs!$I$9+(((A168)+1)/2)*(Inputs!$J$9-Inputs!$I$9)))/Inputs!$C$39)*SIN(2*PI()*(Inputs!$C$6)/Inputs!$C$40)+-Inputs!$C$41*EXP(-(((Inputs!$C$6)-Inputs!$C$43)^2)/(2*Inputs!$C$44^2))*EXP(-((((Inputs!$I$9+(((A168)+1)/2)*(Inputs!$J$9-Inputs!$I$9)))-Inputs!$C$42)^2)/(2*Inputs!$C$45^2))+Inputs!$C$48*(0.7*(0.45*SIN(2*PI()*((((Inputs!$I$9+(((A168)+1)/2)*(Inputs!$J$9-Inputs!$I$9)))/Inputs!$C$49)+Inputs!$C$47*0.137))+0.35*COS(2*PI()*(((Inputs!$C$6)/Inputs!$C$50)+Inputs!$C$47*0.173))+0.2*SIN(2*PI()*((((Inputs!$I$9+(((A168)+1)/2)*(Inputs!$J$9-Inputs!$I$9)))+(Inputs!$C$6))/(0.5*(Inputs!$C$49+Inputs!$C$50))+Inputs!$C$47*0.097)))+0.3*(2*((SIN((((Inputs!$I$9+(((A168)+1)/2)*(Inputs!$J$9-Inputs!$I$9)))*12.9898+(Inputs!$C$6)*78.233+Inputs!$C$47*37.719))*43758.5453)-INT((SIN((((Inputs!$I$9+(((A168)+1)/2)*(Inputs!$J$9-Inputs!$I$9)))*12.9898+(Inputs!$C$6)*78.233+Inputs!$C$47*37.719))*43758.5453)))-1))),NA())</f>
        <v/>
      </c>
      <c r="AW168" s="10" t="n"/>
      <c r="AX168" s="9">
        <f>A168</f>
        <v/>
      </c>
      <c r="AY168" s="9">
        <f>0</f>
        <v/>
      </c>
      <c r="AZ168" s="9">
        <f>IF(OR(Inputs!$F$6=TRUE,Inputs!$F$6="TRUE",Inputs!$F$6=1),(Inputs!$H$6+Inputs!$L$6*(((Inputs!$I$6+(((A168)+1)/2)*(Inputs!$J$6-Inputs!$I$6)))/Inputs!$K$6)^2),NA())</f>
        <v/>
      </c>
      <c r="BA168" s="9">
        <f>IF(OR(Inputs!$F$7=TRUE,Inputs!$F$7="TRUE",Inputs!$F$7=1),(Inputs!$H$7+Inputs!$L$7*(((Inputs!$I$7+(((A168)+1)/2)*(Inputs!$J$7-Inputs!$I$7)))/Inputs!$K$7)^2),NA())</f>
        <v/>
      </c>
      <c r="BB168" s="9">
        <f>IF(OR(Inputs!$F$8=TRUE,Inputs!$F$8="TRUE",Inputs!$F$8=1),(Inputs!$H$8+Inputs!$L$8*(((Inputs!$I$8+(((A168)+1)/2)*(Inputs!$J$8-Inputs!$I$8)))/Inputs!$K$8)^2),NA())</f>
        <v/>
      </c>
      <c r="BC168" s="9">
        <f>IF(OR(Inputs!$F$9=TRUE,Inputs!$F$9="TRUE",Inputs!$F$9=1),(Inputs!$H$9+Inputs!$L$9*(((Inputs!$I$9+(((A168)+1)/2)*(Inputs!$J$9-Inputs!$I$9)))/Inputs!$K$9)^2),NA())</f>
        <v/>
      </c>
      <c r="BD168" s="10" t="n"/>
      <c r="BE168" s="9">
        <f>A168</f>
        <v/>
      </c>
      <c r="BF168" s="9">
        <f>0</f>
        <v/>
      </c>
      <c r="BG168" s="9">
        <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f>
        <v/>
      </c>
      <c r="BH168" s="9">
        <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f>
        <v/>
      </c>
      <c r="BI168" s="9">
        <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f>
        <v/>
      </c>
      <c r="BJ168" s="9">
        <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f>
        <v/>
      </c>
    </row>
    <row r="169">
      <c r="A169" s="9">
        <f>ROUND(-1+167*2/240,3)</f>
        <v/>
      </c>
      <c r="B169" s="9">
        <f>IF(OR(Inputs!$F$6=TRUE,Inputs!$F$6="TRUE",Inputs!$F$6=1),(Inputs!$H$6+Inputs!$L$6*(((Inputs!$I$6+(((A169)+1)/2)*(Inputs!$J$6-Inputs!$I$6)))/Inputs!$K$6)^2),NA())</f>
        <v/>
      </c>
      <c r="C169" s="9">
        <f>IF(OR(Inputs!$F$7=TRUE,Inputs!$F$7="TRUE",Inputs!$F$7=1),(Inputs!$H$7+Inputs!$L$7*(((Inputs!$I$7+(((A169)+1)/2)*(Inputs!$J$7-Inputs!$I$7)))/Inputs!$K$7)^2),NA())</f>
        <v/>
      </c>
      <c r="D169" s="9">
        <f>IF(OR(Inputs!$F$8=TRUE,Inputs!$F$8="TRUE",Inputs!$F$8=1),(Inputs!$H$8+Inputs!$L$8*(((Inputs!$I$8+(((A169)+1)/2)*(Inputs!$J$8-Inputs!$I$8)))/Inputs!$K$8)^2),NA())</f>
        <v/>
      </c>
      <c r="E169" s="9">
        <f>IF(OR(Inputs!$F$9=TRUE,Inputs!$F$9="TRUE",Inputs!$F$9=1),(Inputs!$H$9+Inputs!$L$9*(((Inputs!$I$9+(((A169)+1)/2)*(Inputs!$J$9-Inputs!$I$9)))/Inputs!$K$9)^2),NA())</f>
        <v/>
      </c>
      <c r="F169" s="10" t="n"/>
      <c r="G169" s="9">
        <f>A169</f>
        <v/>
      </c>
      <c r="H169" s="9">
        <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f>
        <v/>
      </c>
      <c r="I169" s="9">
        <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f>
        <v/>
      </c>
      <c r="J169" s="9">
        <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f>
        <v/>
      </c>
      <c r="K169" s="9">
        <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f>
        <v/>
      </c>
      <c r="L169" s="10" t="n"/>
      <c r="M169" s="9">
        <f>A169</f>
        <v/>
      </c>
      <c r="N169" s="9">
        <f>IF(OR(Inputs!$F$6=TRUE,Inputs!$F$6="TRUE",Inputs!$F$6=1),(-2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NA())</f>
        <v/>
      </c>
      <c r="O169" s="9">
        <f>IF(OR(Inputs!$F$7=TRUE,Inputs!$F$7="TRUE",Inputs!$F$7=1),(-2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NA())</f>
        <v/>
      </c>
      <c r="P169" s="9">
        <f>IF(OR(Inputs!$F$8=TRUE,Inputs!$F$8="TRUE",Inputs!$F$8=1),(-2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NA())</f>
        <v/>
      </c>
      <c r="Q169" s="9">
        <f>IF(OR(Inputs!$F$9=TRUE,Inputs!$F$9="TRUE",Inputs!$F$9=1),(-2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NA())</f>
        <v/>
      </c>
      <c r="R169" s="10" t="n"/>
      <c r="S169" s="9">
        <f>A169</f>
        <v/>
      </c>
      <c r="T169" s="9">
        <f>(Inputs!$I$6+(((A169)+1)/2)*(Inputs!$J$6-Inputs!$I$6))</f>
        <v/>
      </c>
      <c r="U169" s="9">
        <f>(Inputs!$I$7+(((A169)+1)/2)*(Inputs!$J$7-Inputs!$I$7))</f>
        <v/>
      </c>
      <c r="V169" s="9">
        <f>(Inputs!$I$8+(((A169)+1)/2)*(Inputs!$J$8-Inputs!$I$8))</f>
        <v/>
      </c>
      <c r="W169" s="9">
        <f>(Inputs!$I$9+(((A169)+1)/2)*(Inputs!$J$9-Inputs!$I$9))</f>
        <v/>
      </c>
      <c r="X169" s="10" t="n"/>
      <c r="Y169" s="9">
        <f>A169</f>
        <v/>
      </c>
      <c r="Z169" s="9">
        <f>(Inputs!$H$6+Inputs!$L$6*(((Inputs!$I$6+(((A169)+1)/2)*(Inputs!$J$6-Inputs!$I$6)))/Inputs!$K$6)^2)</f>
        <v/>
      </c>
      <c r="AA169" s="9">
        <f>(Inputs!$H$7+Inputs!$L$7*(((Inputs!$I$7+(((A169)+1)/2)*(Inputs!$J$7-Inputs!$I$7)))/Inputs!$K$7)^2)</f>
        <v/>
      </c>
      <c r="AB169" s="9">
        <f>(Inputs!$H$8+Inputs!$L$8*(((Inputs!$I$8+(((A169)+1)/2)*(Inputs!$J$8-Inputs!$I$8)))/Inputs!$K$8)^2)</f>
        <v/>
      </c>
      <c r="AC169" s="9">
        <f>(Inputs!$H$9+Inputs!$L$9*(((Inputs!$I$9+(((A169)+1)/2)*(Inputs!$J$9-Inputs!$I$9)))/Inputs!$K$9)^2)</f>
        <v/>
      </c>
      <c r="AD169" s="10" t="n"/>
      <c r="AE169" s="9">
        <f>A169</f>
        <v/>
      </c>
      <c r="AF169" s="9">
        <f>(((SQRT((Inputs!$C$52+((Inputs!$H$6+Inputs!$L$6*(((Inputs!$I$6+(((A169)+1)/2)*(Inputs!$J$6-Inputs!$I$6)))/Inputs!$K$6)^2)))^2+Inputs!$C$52^2-2*(Inputs!$C$52+((Inputs!$H$6+Inputs!$L$6*(((Inputs!$I$6+(((A169)+1)/2)*(Inputs!$J$6-Inputs!$I$6)))/Inputs!$K$6)^2)))*Inputs!$C$52*COS(SQRT(((Inputs!$I$6+(((A169)+1)/2)*(Inputs!$J$6-Inputs!$I$6)))^2+Inputs!$C$6^2)/Inputs!$C$52)))-((Inputs!$H$6+Inputs!$L$6*(((Inputs!$I$6+(((A169)+1)/2)*(Inputs!$J$6-Inputs!$I$6)))/Inputs!$K$6)^2)))*1000/Inputs!$C$12)</f>
        <v/>
      </c>
      <c r="AG169" s="9">
        <f>(((SQRT((Inputs!$C$52+((Inputs!$H$7+Inputs!$L$7*(((Inputs!$I$7+(((A169)+1)/2)*(Inputs!$J$7-Inputs!$I$7)))/Inputs!$K$7)^2)))^2+Inputs!$C$52^2-2*(Inputs!$C$52+((Inputs!$H$7+Inputs!$L$7*(((Inputs!$I$7+(((A169)+1)/2)*(Inputs!$J$7-Inputs!$I$7)))/Inputs!$K$7)^2)))*Inputs!$C$52*COS(SQRT(((Inputs!$I$7+(((A169)+1)/2)*(Inputs!$J$7-Inputs!$I$7)))^2+Inputs!$C$6^2)/Inputs!$C$52)))-((Inputs!$H$7+Inputs!$L$7*(((Inputs!$I$7+(((A169)+1)/2)*(Inputs!$J$7-Inputs!$I$7)))/Inputs!$K$7)^2)))*1000/Inputs!$C$12)</f>
        <v/>
      </c>
      <c r="AH169" s="9">
        <f>(((SQRT((Inputs!$C$52+((Inputs!$H$8+Inputs!$L$8*(((Inputs!$I$8+(((A169)+1)/2)*(Inputs!$J$8-Inputs!$I$8)))/Inputs!$K$8)^2)))^2+Inputs!$C$52^2-2*(Inputs!$C$52+((Inputs!$H$8+Inputs!$L$8*(((Inputs!$I$8+(((A169)+1)/2)*(Inputs!$J$8-Inputs!$I$8)))/Inputs!$K$8)^2)))*Inputs!$C$52*COS(SQRT(((Inputs!$I$8+(((A169)+1)/2)*(Inputs!$J$8-Inputs!$I$8)))^2+Inputs!$C$6^2)/Inputs!$C$52)))-((Inputs!$H$8+Inputs!$L$8*(((Inputs!$I$8+(((A169)+1)/2)*(Inputs!$J$8-Inputs!$I$8)))/Inputs!$K$8)^2)))*1000/Inputs!$C$12)</f>
        <v/>
      </c>
      <c r="AI169" s="9">
        <f>(((SQRT((Inputs!$C$52+((Inputs!$H$9+Inputs!$L$9*(((Inputs!$I$9+(((A169)+1)/2)*(Inputs!$J$9-Inputs!$I$9)))/Inputs!$K$9)^2)))^2+Inputs!$C$52^2-2*(Inputs!$C$52+((Inputs!$H$9+Inputs!$L$9*(((Inputs!$I$9+(((A169)+1)/2)*(Inputs!$J$9-Inputs!$I$9)))/Inputs!$K$9)^2)))*Inputs!$C$52*COS(SQRT(((Inputs!$I$9+(((A169)+1)/2)*(Inputs!$J$9-Inputs!$I$9)))^2+Inputs!$C$6^2)/Inputs!$C$52)))-((Inputs!$H$9+Inputs!$L$9*(((Inputs!$I$9+(((A169)+1)/2)*(Inputs!$J$9-Inputs!$I$9)))/Inputs!$K$9)^2)))*1000/Inputs!$C$12)</f>
        <v/>
      </c>
      <c r="AJ169" s="10" t="n"/>
      <c r="AK169" s="9">
        <f>A169</f>
        <v/>
      </c>
      <c r="AL169" s="9">
        <f>(-2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f>
        <v/>
      </c>
      <c r="AM169" s="9">
        <f>(-2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f>
        <v/>
      </c>
      <c r="AN169" s="9">
        <f>(-2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f>
        <v/>
      </c>
      <c r="AO169" s="9">
        <f>(-2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f>
        <v/>
      </c>
      <c r="AP169" s="10" t="n"/>
      <c r="AQ169" s="9">
        <f>A169</f>
        <v/>
      </c>
      <c r="AR169" s="9">
        <f>0</f>
        <v/>
      </c>
      <c r="AS169" s="9">
        <f>IF(OR(Inputs!$F$6=TRUE,Inputs!$F$6="TRUE",Inputs!$F$6=1),IF(OR(Inputs!$C$27=TRUE,Inputs!$C$27="TRUE",Inputs!$C$27=1),1,0)*(Inputs!$C$51*(115*EXP(-(((Inputs!$C$6)-25)^2)/(4.5^2))+70*EXP(-(((Inputs!$C$6)+38)^2)/(7^2))*(0.55+0.45*SIN(2*PI()*((Inputs!$I$6+(((A169)+1)/2)*(Inputs!$J$6-Inputs!$I$6)))/45))+24*SIN(2*PI()*(Inputs!$C$6)/9+((Inputs!$I$6+(((A169)+1)/2)*(Inputs!$J$6-Inputs!$I$6)))/18)*EXP(-(((Inputs!$C$6)+5)^2)/(22^2))+18*SIN(2*PI()*((Inputs!$I$6+(((A169)+1)/2)*(Inputs!$J$6-Inputs!$I$6)))/70))+Inputs!$C$28*EXP(-((((Inputs!$I$6+(((A169)+1)/2)*(Inputs!$J$6-Inputs!$I$6)))-Inputs!$C$29)^2)/(2*Inputs!$C$31^2))*EXP(-(((Inputs!$C$6)-Inputs!$C$30)^2)/(2*Inputs!$C$32^2))+-Inputs!$C$33*EXP(-((((((Inputs!$I$6+(((A169)+1)/2)*(Inputs!$J$6-Inputs!$I$6)))-Inputs!$C$34)^2)+(((Inputs!$C$6)-Inputs!$C$35)^2))/(2*Inputs!$C$36^2)))+Inputs!$C$37*(0.55*SIN(2*PI()*((Inputs!$I$6+(((A169)+1)/2)*(Inputs!$J$6-Inputs!$I$6)))/Inputs!$C$39)+0.35*COS(2*PI()*(Inputs!$C$6)/Inputs!$C$40)+0.2*SIN(2*PI()*(((Inputs!$I$6+(((A169)+1)/2)*(Inputs!$J$6-Inputs!$I$6)))+(Inputs!$C$6))/(0.5*(Inputs!$C$39+Inputs!$C$40))))+Inputs!$C$38*SIN(2*PI()*((Inputs!$I$6+(((A169)+1)/2)*(Inputs!$J$6-Inputs!$I$6)))/Inputs!$C$39)*SIN(2*PI()*(Inputs!$C$6)/Inputs!$C$40)+-Inputs!$C$41*EXP(-(((Inputs!$C$6)-Inputs!$C$43)^2)/(2*Inputs!$C$44^2))*EXP(-((((Inputs!$I$6+(((A169)+1)/2)*(Inputs!$J$6-Inputs!$I$6)))-Inputs!$C$42)^2)/(2*Inputs!$C$45^2))+Inputs!$C$48*(0.7*(0.45*SIN(2*PI()*((((Inputs!$I$6+(((A169)+1)/2)*(Inputs!$J$6-Inputs!$I$6)))/Inputs!$C$49)+Inputs!$C$47*0.137))+0.35*COS(2*PI()*(((Inputs!$C$6)/Inputs!$C$50)+Inputs!$C$47*0.173))+0.2*SIN(2*PI()*((((Inputs!$I$6+(((A169)+1)/2)*(Inputs!$J$6-Inputs!$I$6)))+(Inputs!$C$6))/(0.5*(Inputs!$C$49+Inputs!$C$50))+Inputs!$C$47*0.097)))+0.3*(2*((SIN((((Inputs!$I$6+(((A169)+1)/2)*(Inputs!$J$6-Inputs!$I$6)))*12.9898+(Inputs!$C$6)*78.233+Inputs!$C$47*37.719))*43758.5453)-INT((SIN((((Inputs!$I$6+(((A169)+1)/2)*(Inputs!$J$6-Inputs!$I$6)))*12.9898+(Inputs!$C$6)*78.233+Inputs!$C$47*37.719))*43758.5453)))-1))),NA())</f>
        <v/>
      </c>
      <c r="AT169" s="9">
        <f>IF(OR(Inputs!$F$7=TRUE,Inputs!$F$7="TRUE",Inputs!$F$7=1),IF(OR(Inputs!$C$27=TRUE,Inputs!$C$27="TRUE",Inputs!$C$27=1),1,0)*(Inputs!$C$51*(115*EXP(-(((Inputs!$C$6)-25)^2)/(4.5^2))+70*EXP(-(((Inputs!$C$6)+38)^2)/(7^2))*(0.55+0.45*SIN(2*PI()*((Inputs!$I$7+(((A169)+1)/2)*(Inputs!$J$7-Inputs!$I$7)))/45))+24*SIN(2*PI()*(Inputs!$C$6)/9+((Inputs!$I$7+(((A169)+1)/2)*(Inputs!$J$7-Inputs!$I$7)))/18)*EXP(-(((Inputs!$C$6)+5)^2)/(22^2))+18*SIN(2*PI()*((Inputs!$I$7+(((A169)+1)/2)*(Inputs!$J$7-Inputs!$I$7)))/70))+Inputs!$C$28*EXP(-((((Inputs!$I$7+(((A169)+1)/2)*(Inputs!$J$7-Inputs!$I$7)))-Inputs!$C$29)^2)/(2*Inputs!$C$31^2))*EXP(-(((Inputs!$C$6)-Inputs!$C$30)^2)/(2*Inputs!$C$32^2))+-Inputs!$C$33*EXP(-((((((Inputs!$I$7+(((A169)+1)/2)*(Inputs!$J$7-Inputs!$I$7)))-Inputs!$C$34)^2)+(((Inputs!$C$6)-Inputs!$C$35)^2))/(2*Inputs!$C$36^2)))+Inputs!$C$37*(0.55*SIN(2*PI()*((Inputs!$I$7+(((A169)+1)/2)*(Inputs!$J$7-Inputs!$I$7)))/Inputs!$C$39)+0.35*COS(2*PI()*(Inputs!$C$6)/Inputs!$C$40)+0.2*SIN(2*PI()*(((Inputs!$I$7+(((A169)+1)/2)*(Inputs!$J$7-Inputs!$I$7)))+(Inputs!$C$6))/(0.5*(Inputs!$C$39+Inputs!$C$40))))+Inputs!$C$38*SIN(2*PI()*((Inputs!$I$7+(((A169)+1)/2)*(Inputs!$J$7-Inputs!$I$7)))/Inputs!$C$39)*SIN(2*PI()*(Inputs!$C$6)/Inputs!$C$40)+-Inputs!$C$41*EXP(-(((Inputs!$C$6)-Inputs!$C$43)^2)/(2*Inputs!$C$44^2))*EXP(-((((Inputs!$I$7+(((A169)+1)/2)*(Inputs!$J$7-Inputs!$I$7)))-Inputs!$C$42)^2)/(2*Inputs!$C$45^2))+Inputs!$C$48*(0.7*(0.45*SIN(2*PI()*((((Inputs!$I$7+(((A169)+1)/2)*(Inputs!$J$7-Inputs!$I$7)))/Inputs!$C$49)+Inputs!$C$47*0.137))+0.35*COS(2*PI()*(((Inputs!$C$6)/Inputs!$C$50)+Inputs!$C$47*0.173))+0.2*SIN(2*PI()*((((Inputs!$I$7+(((A169)+1)/2)*(Inputs!$J$7-Inputs!$I$7)))+(Inputs!$C$6))/(0.5*(Inputs!$C$49+Inputs!$C$50))+Inputs!$C$47*0.097)))+0.3*(2*((SIN((((Inputs!$I$7+(((A169)+1)/2)*(Inputs!$J$7-Inputs!$I$7)))*12.9898+(Inputs!$C$6)*78.233+Inputs!$C$47*37.719))*43758.5453)-INT((SIN((((Inputs!$I$7+(((A169)+1)/2)*(Inputs!$J$7-Inputs!$I$7)))*12.9898+(Inputs!$C$6)*78.233+Inputs!$C$47*37.719))*43758.5453)))-1))),NA())</f>
        <v/>
      </c>
      <c r="AU169" s="9">
        <f>IF(OR(Inputs!$F$8=TRUE,Inputs!$F$8="TRUE",Inputs!$F$8=1),IF(OR(Inputs!$C$27=TRUE,Inputs!$C$27="TRUE",Inputs!$C$27=1),1,0)*(Inputs!$C$51*(115*EXP(-(((Inputs!$C$6)-25)^2)/(4.5^2))+70*EXP(-(((Inputs!$C$6)+38)^2)/(7^2))*(0.55+0.45*SIN(2*PI()*((Inputs!$I$8+(((A169)+1)/2)*(Inputs!$J$8-Inputs!$I$8)))/45))+24*SIN(2*PI()*(Inputs!$C$6)/9+((Inputs!$I$8+(((A169)+1)/2)*(Inputs!$J$8-Inputs!$I$8)))/18)*EXP(-(((Inputs!$C$6)+5)^2)/(22^2))+18*SIN(2*PI()*((Inputs!$I$8+(((A169)+1)/2)*(Inputs!$J$8-Inputs!$I$8)))/70))+Inputs!$C$28*EXP(-((((Inputs!$I$8+(((A169)+1)/2)*(Inputs!$J$8-Inputs!$I$8)))-Inputs!$C$29)^2)/(2*Inputs!$C$31^2))*EXP(-(((Inputs!$C$6)-Inputs!$C$30)^2)/(2*Inputs!$C$32^2))+-Inputs!$C$33*EXP(-((((((Inputs!$I$8+(((A169)+1)/2)*(Inputs!$J$8-Inputs!$I$8)))-Inputs!$C$34)^2)+(((Inputs!$C$6)-Inputs!$C$35)^2))/(2*Inputs!$C$36^2)))+Inputs!$C$37*(0.55*SIN(2*PI()*((Inputs!$I$8+(((A169)+1)/2)*(Inputs!$J$8-Inputs!$I$8)))/Inputs!$C$39)+0.35*COS(2*PI()*(Inputs!$C$6)/Inputs!$C$40)+0.2*SIN(2*PI()*(((Inputs!$I$8+(((A169)+1)/2)*(Inputs!$J$8-Inputs!$I$8)))+(Inputs!$C$6))/(0.5*(Inputs!$C$39+Inputs!$C$40))))+Inputs!$C$38*SIN(2*PI()*((Inputs!$I$8+(((A169)+1)/2)*(Inputs!$J$8-Inputs!$I$8)))/Inputs!$C$39)*SIN(2*PI()*(Inputs!$C$6)/Inputs!$C$40)+-Inputs!$C$41*EXP(-(((Inputs!$C$6)-Inputs!$C$43)^2)/(2*Inputs!$C$44^2))*EXP(-((((Inputs!$I$8+(((A169)+1)/2)*(Inputs!$J$8-Inputs!$I$8)))-Inputs!$C$42)^2)/(2*Inputs!$C$45^2))+Inputs!$C$48*(0.7*(0.45*SIN(2*PI()*((((Inputs!$I$8+(((A169)+1)/2)*(Inputs!$J$8-Inputs!$I$8)))/Inputs!$C$49)+Inputs!$C$47*0.137))+0.35*COS(2*PI()*(((Inputs!$C$6)/Inputs!$C$50)+Inputs!$C$47*0.173))+0.2*SIN(2*PI()*((((Inputs!$I$8+(((A169)+1)/2)*(Inputs!$J$8-Inputs!$I$8)))+(Inputs!$C$6))/(0.5*(Inputs!$C$49+Inputs!$C$50))+Inputs!$C$47*0.097)))+0.3*(2*((SIN((((Inputs!$I$8+(((A169)+1)/2)*(Inputs!$J$8-Inputs!$I$8)))*12.9898+(Inputs!$C$6)*78.233+Inputs!$C$47*37.719))*43758.5453)-INT((SIN((((Inputs!$I$8+(((A169)+1)/2)*(Inputs!$J$8-Inputs!$I$8)))*12.9898+(Inputs!$C$6)*78.233+Inputs!$C$47*37.719))*43758.5453)))-1))),NA())</f>
        <v/>
      </c>
      <c r="AV169" s="9">
        <f>IF(OR(Inputs!$F$9=TRUE,Inputs!$F$9="TRUE",Inputs!$F$9=1),IF(OR(Inputs!$C$27=TRUE,Inputs!$C$27="TRUE",Inputs!$C$27=1),1,0)*(Inputs!$C$51*(115*EXP(-(((Inputs!$C$6)-25)^2)/(4.5^2))+70*EXP(-(((Inputs!$C$6)+38)^2)/(7^2))*(0.55+0.45*SIN(2*PI()*((Inputs!$I$9+(((A169)+1)/2)*(Inputs!$J$9-Inputs!$I$9)))/45))+24*SIN(2*PI()*(Inputs!$C$6)/9+((Inputs!$I$9+(((A169)+1)/2)*(Inputs!$J$9-Inputs!$I$9)))/18)*EXP(-(((Inputs!$C$6)+5)^2)/(22^2))+18*SIN(2*PI()*((Inputs!$I$9+(((A169)+1)/2)*(Inputs!$J$9-Inputs!$I$9)))/70))+Inputs!$C$28*EXP(-((((Inputs!$I$9+(((A169)+1)/2)*(Inputs!$J$9-Inputs!$I$9)))-Inputs!$C$29)^2)/(2*Inputs!$C$31^2))*EXP(-(((Inputs!$C$6)-Inputs!$C$30)^2)/(2*Inputs!$C$32^2))+-Inputs!$C$33*EXP(-((((((Inputs!$I$9+(((A169)+1)/2)*(Inputs!$J$9-Inputs!$I$9)))-Inputs!$C$34)^2)+(((Inputs!$C$6)-Inputs!$C$35)^2))/(2*Inputs!$C$36^2)))+Inputs!$C$37*(0.55*SIN(2*PI()*((Inputs!$I$9+(((A169)+1)/2)*(Inputs!$J$9-Inputs!$I$9)))/Inputs!$C$39)+0.35*COS(2*PI()*(Inputs!$C$6)/Inputs!$C$40)+0.2*SIN(2*PI()*(((Inputs!$I$9+(((A169)+1)/2)*(Inputs!$J$9-Inputs!$I$9)))+(Inputs!$C$6))/(0.5*(Inputs!$C$39+Inputs!$C$40))))+Inputs!$C$38*SIN(2*PI()*((Inputs!$I$9+(((A169)+1)/2)*(Inputs!$J$9-Inputs!$I$9)))/Inputs!$C$39)*SIN(2*PI()*(Inputs!$C$6)/Inputs!$C$40)+-Inputs!$C$41*EXP(-(((Inputs!$C$6)-Inputs!$C$43)^2)/(2*Inputs!$C$44^2))*EXP(-((((Inputs!$I$9+(((A169)+1)/2)*(Inputs!$J$9-Inputs!$I$9)))-Inputs!$C$42)^2)/(2*Inputs!$C$45^2))+Inputs!$C$48*(0.7*(0.45*SIN(2*PI()*((((Inputs!$I$9+(((A169)+1)/2)*(Inputs!$J$9-Inputs!$I$9)))/Inputs!$C$49)+Inputs!$C$47*0.137))+0.35*COS(2*PI()*(((Inputs!$C$6)/Inputs!$C$50)+Inputs!$C$47*0.173))+0.2*SIN(2*PI()*((((Inputs!$I$9+(((A169)+1)/2)*(Inputs!$J$9-Inputs!$I$9)))+(Inputs!$C$6))/(0.5*(Inputs!$C$49+Inputs!$C$50))+Inputs!$C$47*0.097)))+0.3*(2*((SIN((((Inputs!$I$9+(((A169)+1)/2)*(Inputs!$J$9-Inputs!$I$9)))*12.9898+(Inputs!$C$6)*78.233+Inputs!$C$47*37.719))*43758.5453)-INT((SIN((((Inputs!$I$9+(((A169)+1)/2)*(Inputs!$J$9-Inputs!$I$9)))*12.9898+(Inputs!$C$6)*78.233+Inputs!$C$47*37.719))*43758.5453)))-1))),NA())</f>
        <v/>
      </c>
      <c r="AW169" s="10" t="n"/>
      <c r="AX169" s="9">
        <f>A169</f>
        <v/>
      </c>
      <c r="AY169" s="9">
        <f>0</f>
        <v/>
      </c>
      <c r="AZ169" s="9">
        <f>IF(OR(Inputs!$F$6=TRUE,Inputs!$F$6="TRUE",Inputs!$F$6=1),(Inputs!$H$6+Inputs!$L$6*(((Inputs!$I$6+(((A169)+1)/2)*(Inputs!$J$6-Inputs!$I$6)))/Inputs!$K$6)^2),NA())</f>
        <v/>
      </c>
      <c r="BA169" s="9">
        <f>IF(OR(Inputs!$F$7=TRUE,Inputs!$F$7="TRUE",Inputs!$F$7=1),(Inputs!$H$7+Inputs!$L$7*(((Inputs!$I$7+(((A169)+1)/2)*(Inputs!$J$7-Inputs!$I$7)))/Inputs!$K$7)^2),NA())</f>
        <v/>
      </c>
      <c r="BB169" s="9">
        <f>IF(OR(Inputs!$F$8=TRUE,Inputs!$F$8="TRUE",Inputs!$F$8=1),(Inputs!$H$8+Inputs!$L$8*(((Inputs!$I$8+(((A169)+1)/2)*(Inputs!$J$8-Inputs!$I$8)))/Inputs!$K$8)^2),NA())</f>
        <v/>
      </c>
      <c r="BC169" s="9">
        <f>IF(OR(Inputs!$F$9=TRUE,Inputs!$F$9="TRUE",Inputs!$F$9=1),(Inputs!$H$9+Inputs!$L$9*(((Inputs!$I$9+(((A169)+1)/2)*(Inputs!$J$9-Inputs!$I$9)))/Inputs!$K$9)^2),NA())</f>
        <v/>
      </c>
      <c r="BD169" s="10" t="n"/>
      <c r="BE169" s="9">
        <f>A169</f>
        <v/>
      </c>
      <c r="BF169" s="9">
        <f>0</f>
        <v/>
      </c>
      <c r="BG169" s="9">
        <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f>
        <v/>
      </c>
      <c r="BH169" s="9">
        <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f>
        <v/>
      </c>
      <c r="BI169" s="9">
        <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f>
        <v/>
      </c>
      <c r="BJ169" s="9">
        <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f>
        <v/>
      </c>
    </row>
    <row r="170">
      <c r="A170" s="9">
        <f>ROUND(-1+168*2/240,3)</f>
        <v/>
      </c>
      <c r="B170" s="9">
        <f>IF(OR(Inputs!$F$6=TRUE,Inputs!$F$6="TRUE",Inputs!$F$6=1),(Inputs!$H$6+Inputs!$L$6*(((Inputs!$I$6+(((A170)+1)/2)*(Inputs!$J$6-Inputs!$I$6)))/Inputs!$K$6)^2),NA())</f>
        <v/>
      </c>
      <c r="C170" s="9">
        <f>IF(OR(Inputs!$F$7=TRUE,Inputs!$F$7="TRUE",Inputs!$F$7=1),(Inputs!$H$7+Inputs!$L$7*(((Inputs!$I$7+(((A170)+1)/2)*(Inputs!$J$7-Inputs!$I$7)))/Inputs!$K$7)^2),NA())</f>
        <v/>
      </c>
      <c r="D170" s="9">
        <f>IF(OR(Inputs!$F$8=TRUE,Inputs!$F$8="TRUE",Inputs!$F$8=1),(Inputs!$H$8+Inputs!$L$8*(((Inputs!$I$8+(((A170)+1)/2)*(Inputs!$J$8-Inputs!$I$8)))/Inputs!$K$8)^2),NA())</f>
        <v/>
      </c>
      <c r="E170" s="9">
        <f>IF(OR(Inputs!$F$9=TRUE,Inputs!$F$9="TRUE",Inputs!$F$9=1),(Inputs!$H$9+Inputs!$L$9*(((Inputs!$I$9+(((A170)+1)/2)*(Inputs!$J$9-Inputs!$I$9)))/Inputs!$K$9)^2),NA())</f>
        <v/>
      </c>
      <c r="F170" s="10" t="n"/>
      <c r="G170" s="9">
        <f>A170</f>
        <v/>
      </c>
      <c r="H170" s="9">
        <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f>
        <v/>
      </c>
      <c r="I170" s="9">
        <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f>
        <v/>
      </c>
      <c r="J170" s="9">
        <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f>
        <v/>
      </c>
      <c r="K170" s="9">
        <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f>
        <v/>
      </c>
      <c r="L170" s="10" t="n"/>
      <c r="M170" s="9">
        <f>A170</f>
        <v/>
      </c>
      <c r="N170" s="9">
        <f>IF(OR(Inputs!$F$6=TRUE,Inputs!$F$6="TRUE",Inputs!$F$6=1),(-2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NA())</f>
        <v/>
      </c>
      <c r="O170" s="9">
        <f>IF(OR(Inputs!$F$7=TRUE,Inputs!$F$7="TRUE",Inputs!$F$7=1),(-2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NA())</f>
        <v/>
      </c>
      <c r="P170" s="9">
        <f>IF(OR(Inputs!$F$8=TRUE,Inputs!$F$8="TRUE",Inputs!$F$8=1),(-2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NA())</f>
        <v/>
      </c>
      <c r="Q170" s="9">
        <f>IF(OR(Inputs!$F$9=TRUE,Inputs!$F$9="TRUE",Inputs!$F$9=1),(-2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NA())</f>
        <v/>
      </c>
      <c r="R170" s="10" t="n"/>
      <c r="S170" s="9">
        <f>A170</f>
        <v/>
      </c>
      <c r="T170" s="9">
        <f>(Inputs!$I$6+(((A170)+1)/2)*(Inputs!$J$6-Inputs!$I$6))</f>
        <v/>
      </c>
      <c r="U170" s="9">
        <f>(Inputs!$I$7+(((A170)+1)/2)*(Inputs!$J$7-Inputs!$I$7))</f>
        <v/>
      </c>
      <c r="V170" s="9">
        <f>(Inputs!$I$8+(((A170)+1)/2)*(Inputs!$J$8-Inputs!$I$8))</f>
        <v/>
      </c>
      <c r="W170" s="9">
        <f>(Inputs!$I$9+(((A170)+1)/2)*(Inputs!$J$9-Inputs!$I$9))</f>
        <v/>
      </c>
      <c r="X170" s="10" t="n"/>
      <c r="Y170" s="9">
        <f>A170</f>
        <v/>
      </c>
      <c r="Z170" s="9">
        <f>(Inputs!$H$6+Inputs!$L$6*(((Inputs!$I$6+(((A170)+1)/2)*(Inputs!$J$6-Inputs!$I$6)))/Inputs!$K$6)^2)</f>
        <v/>
      </c>
      <c r="AA170" s="9">
        <f>(Inputs!$H$7+Inputs!$L$7*(((Inputs!$I$7+(((A170)+1)/2)*(Inputs!$J$7-Inputs!$I$7)))/Inputs!$K$7)^2)</f>
        <v/>
      </c>
      <c r="AB170" s="9">
        <f>(Inputs!$H$8+Inputs!$L$8*(((Inputs!$I$8+(((A170)+1)/2)*(Inputs!$J$8-Inputs!$I$8)))/Inputs!$K$8)^2)</f>
        <v/>
      </c>
      <c r="AC170" s="9">
        <f>(Inputs!$H$9+Inputs!$L$9*(((Inputs!$I$9+(((A170)+1)/2)*(Inputs!$J$9-Inputs!$I$9)))/Inputs!$K$9)^2)</f>
        <v/>
      </c>
      <c r="AD170" s="10" t="n"/>
      <c r="AE170" s="9">
        <f>A170</f>
        <v/>
      </c>
      <c r="AF170" s="9">
        <f>(((SQRT((Inputs!$C$52+((Inputs!$H$6+Inputs!$L$6*(((Inputs!$I$6+(((A170)+1)/2)*(Inputs!$J$6-Inputs!$I$6)))/Inputs!$K$6)^2)))^2+Inputs!$C$52^2-2*(Inputs!$C$52+((Inputs!$H$6+Inputs!$L$6*(((Inputs!$I$6+(((A170)+1)/2)*(Inputs!$J$6-Inputs!$I$6)))/Inputs!$K$6)^2)))*Inputs!$C$52*COS(SQRT(((Inputs!$I$6+(((A170)+1)/2)*(Inputs!$J$6-Inputs!$I$6)))^2+Inputs!$C$6^2)/Inputs!$C$52)))-((Inputs!$H$6+Inputs!$L$6*(((Inputs!$I$6+(((A170)+1)/2)*(Inputs!$J$6-Inputs!$I$6)))/Inputs!$K$6)^2)))*1000/Inputs!$C$12)</f>
        <v/>
      </c>
      <c r="AG170" s="9">
        <f>(((SQRT((Inputs!$C$52+((Inputs!$H$7+Inputs!$L$7*(((Inputs!$I$7+(((A170)+1)/2)*(Inputs!$J$7-Inputs!$I$7)))/Inputs!$K$7)^2)))^2+Inputs!$C$52^2-2*(Inputs!$C$52+((Inputs!$H$7+Inputs!$L$7*(((Inputs!$I$7+(((A170)+1)/2)*(Inputs!$J$7-Inputs!$I$7)))/Inputs!$K$7)^2)))*Inputs!$C$52*COS(SQRT(((Inputs!$I$7+(((A170)+1)/2)*(Inputs!$J$7-Inputs!$I$7)))^2+Inputs!$C$6^2)/Inputs!$C$52)))-((Inputs!$H$7+Inputs!$L$7*(((Inputs!$I$7+(((A170)+1)/2)*(Inputs!$J$7-Inputs!$I$7)))/Inputs!$K$7)^2)))*1000/Inputs!$C$12)</f>
        <v/>
      </c>
      <c r="AH170" s="9">
        <f>(((SQRT((Inputs!$C$52+((Inputs!$H$8+Inputs!$L$8*(((Inputs!$I$8+(((A170)+1)/2)*(Inputs!$J$8-Inputs!$I$8)))/Inputs!$K$8)^2)))^2+Inputs!$C$52^2-2*(Inputs!$C$52+((Inputs!$H$8+Inputs!$L$8*(((Inputs!$I$8+(((A170)+1)/2)*(Inputs!$J$8-Inputs!$I$8)))/Inputs!$K$8)^2)))*Inputs!$C$52*COS(SQRT(((Inputs!$I$8+(((A170)+1)/2)*(Inputs!$J$8-Inputs!$I$8)))^2+Inputs!$C$6^2)/Inputs!$C$52)))-((Inputs!$H$8+Inputs!$L$8*(((Inputs!$I$8+(((A170)+1)/2)*(Inputs!$J$8-Inputs!$I$8)))/Inputs!$K$8)^2)))*1000/Inputs!$C$12)</f>
        <v/>
      </c>
      <c r="AI170" s="9">
        <f>(((SQRT((Inputs!$C$52+((Inputs!$H$9+Inputs!$L$9*(((Inputs!$I$9+(((A170)+1)/2)*(Inputs!$J$9-Inputs!$I$9)))/Inputs!$K$9)^2)))^2+Inputs!$C$52^2-2*(Inputs!$C$52+((Inputs!$H$9+Inputs!$L$9*(((Inputs!$I$9+(((A170)+1)/2)*(Inputs!$J$9-Inputs!$I$9)))/Inputs!$K$9)^2)))*Inputs!$C$52*COS(SQRT(((Inputs!$I$9+(((A170)+1)/2)*(Inputs!$J$9-Inputs!$I$9)))^2+Inputs!$C$6^2)/Inputs!$C$52)))-((Inputs!$H$9+Inputs!$L$9*(((Inputs!$I$9+(((A170)+1)/2)*(Inputs!$J$9-Inputs!$I$9)))/Inputs!$K$9)^2)))*1000/Inputs!$C$12)</f>
        <v/>
      </c>
      <c r="AJ170" s="10" t="n"/>
      <c r="AK170" s="9">
        <f>A170</f>
        <v/>
      </c>
      <c r="AL170" s="9">
        <f>(-2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f>
        <v/>
      </c>
      <c r="AM170" s="9">
        <f>(-2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f>
        <v/>
      </c>
      <c r="AN170" s="9">
        <f>(-2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f>
        <v/>
      </c>
      <c r="AO170" s="9">
        <f>(-2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f>
        <v/>
      </c>
      <c r="AP170" s="10" t="n"/>
      <c r="AQ170" s="9">
        <f>A170</f>
        <v/>
      </c>
      <c r="AR170" s="9">
        <f>0</f>
        <v/>
      </c>
      <c r="AS170" s="9">
        <f>IF(OR(Inputs!$F$6=TRUE,Inputs!$F$6="TRUE",Inputs!$F$6=1),IF(OR(Inputs!$C$27=TRUE,Inputs!$C$27="TRUE",Inputs!$C$27=1),1,0)*(Inputs!$C$51*(115*EXP(-(((Inputs!$C$6)-25)^2)/(4.5^2))+70*EXP(-(((Inputs!$C$6)+38)^2)/(7^2))*(0.55+0.45*SIN(2*PI()*((Inputs!$I$6+(((A170)+1)/2)*(Inputs!$J$6-Inputs!$I$6)))/45))+24*SIN(2*PI()*(Inputs!$C$6)/9+((Inputs!$I$6+(((A170)+1)/2)*(Inputs!$J$6-Inputs!$I$6)))/18)*EXP(-(((Inputs!$C$6)+5)^2)/(22^2))+18*SIN(2*PI()*((Inputs!$I$6+(((A170)+1)/2)*(Inputs!$J$6-Inputs!$I$6)))/70))+Inputs!$C$28*EXP(-((((Inputs!$I$6+(((A170)+1)/2)*(Inputs!$J$6-Inputs!$I$6)))-Inputs!$C$29)^2)/(2*Inputs!$C$31^2))*EXP(-(((Inputs!$C$6)-Inputs!$C$30)^2)/(2*Inputs!$C$32^2))+-Inputs!$C$33*EXP(-((((((Inputs!$I$6+(((A170)+1)/2)*(Inputs!$J$6-Inputs!$I$6)))-Inputs!$C$34)^2)+(((Inputs!$C$6)-Inputs!$C$35)^2))/(2*Inputs!$C$36^2)))+Inputs!$C$37*(0.55*SIN(2*PI()*((Inputs!$I$6+(((A170)+1)/2)*(Inputs!$J$6-Inputs!$I$6)))/Inputs!$C$39)+0.35*COS(2*PI()*(Inputs!$C$6)/Inputs!$C$40)+0.2*SIN(2*PI()*(((Inputs!$I$6+(((A170)+1)/2)*(Inputs!$J$6-Inputs!$I$6)))+(Inputs!$C$6))/(0.5*(Inputs!$C$39+Inputs!$C$40))))+Inputs!$C$38*SIN(2*PI()*((Inputs!$I$6+(((A170)+1)/2)*(Inputs!$J$6-Inputs!$I$6)))/Inputs!$C$39)*SIN(2*PI()*(Inputs!$C$6)/Inputs!$C$40)+-Inputs!$C$41*EXP(-(((Inputs!$C$6)-Inputs!$C$43)^2)/(2*Inputs!$C$44^2))*EXP(-((((Inputs!$I$6+(((A170)+1)/2)*(Inputs!$J$6-Inputs!$I$6)))-Inputs!$C$42)^2)/(2*Inputs!$C$45^2))+Inputs!$C$48*(0.7*(0.45*SIN(2*PI()*((((Inputs!$I$6+(((A170)+1)/2)*(Inputs!$J$6-Inputs!$I$6)))/Inputs!$C$49)+Inputs!$C$47*0.137))+0.35*COS(2*PI()*(((Inputs!$C$6)/Inputs!$C$50)+Inputs!$C$47*0.173))+0.2*SIN(2*PI()*((((Inputs!$I$6+(((A170)+1)/2)*(Inputs!$J$6-Inputs!$I$6)))+(Inputs!$C$6))/(0.5*(Inputs!$C$49+Inputs!$C$50))+Inputs!$C$47*0.097)))+0.3*(2*((SIN((((Inputs!$I$6+(((A170)+1)/2)*(Inputs!$J$6-Inputs!$I$6)))*12.9898+(Inputs!$C$6)*78.233+Inputs!$C$47*37.719))*43758.5453)-INT((SIN((((Inputs!$I$6+(((A170)+1)/2)*(Inputs!$J$6-Inputs!$I$6)))*12.9898+(Inputs!$C$6)*78.233+Inputs!$C$47*37.719))*43758.5453)))-1))),NA())</f>
        <v/>
      </c>
      <c r="AT170" s="9">
        <f>IF(OR(Inputs!$F$7=TRUE,Inputs!$F$7="TRUE",Inputs!$F$7=1),IF(OR(Inputs!$C$27=TRUE,Inputs!$C$27="TRUE",Inputs!$C$27=1),1,0)*(Inputs!$C$51*(115*EXP(-(((Inputs!$C$6)-25)^2)/(4.5^2))+70*EXP(-(((Inputs!$C$6)+38)^2)/(7^2))*(0.55+0.45*SIN(2*PI()*((Inputs!$I$7+(((A170)+1)/2)*(Inputs!$J$7-Inputs!$I$7)))/45))+24*SIN(2*PI()*(Inputs!$C$6)/9+((Inputs!$I$7+(((A170)+1)/2)*(Inputs!$J$7-Inputs!$I$7)))/18)*EXP(-(((Inputs!$C$6)+5)^2)/(22^2))+18*SIN(2*PI()*((Inputs!$I$7+(((A170)+1)/2)*(Inputs!$J$7-Inputs!$I$7)))/70))+Inputs!$C$28*EXP(-((((Inputs!$I$7+(((A170)+1)/2)*(Inputs!$J$7-Inputs!$I$7)))-Inputs!$C$29)^2)/(2*Inputs!$C$31^2))*EXP(-(((Inputs!$C$6)-Inputs!$C$30)^2)/(2*Inputs!$C$32^2))+-Inputs!$C$33*EXP(-((((((Inputs!$I$7+(((A170)+1)/2)*(Inputs!$J$7-Inputs!$I$7)))-Inputs!$C$34)^2)+(((Inputs!$C$6)-Inputs!$C$35)^2))/(2*Inputs!$C$36^2)))+Inputs!$C$37*(0.55*SIN(2*PI()*((Inputs!$I$7+(((A170)+1)/2)*(Inputs!$J$7-Inputs!$I$7)))/Inputs!$C$39)+0.35*COS(2*PI()*(Inputs!$C$6)/Inputs!$C$40)+0.2*SIN(2*PI()*(((Inputs!$I$7+(((A170)+1)/2)*(Inputs!$J$7-Inputs!$I$7)))+(Inputs!$C$6))/(0.5*(Inputs!$C$39+Inputs!$C$40))))+Inputs!$C$38*SIN(2*PI()*((Inputs!$I$7+(((A170)+1)/2)*(Inputs!$J$7-Inputs!$I$7)))/Inputs!$C$39)*SIN(2*PI()*(Inputs!$C$6)/Inputs!$C$40)+-Inputs!$C$41*EXP(-(((Inputs!$C$6)-Inputs!$C$43)^2)/(2*Inputs!$C$44^2))*EXP(-((((Inputs!$I$7+(((A170)+1)/2)*(Inputs!$J$7-Inputs!$I$7)))-Inputs!$C$42)^2)/(2*Inputs!$C$45^2))+Inputs!$C$48*(0.7*(0.45*SIN(2*PI()*((((Inputs!$I$7+(((A170)+1)/2)*(Inputs!$J$7-Inputs!$I$7)))/Inputs!$C$49)+Inputs!$C$47*0.137))+0.35*COS(2*PI()*(((Inputs!$C$6)/Inputs!$C$50)+Inputs!$C$47*0.173))+0.2*SIN(2*PI()*((((Inputs!$I$7+(((A170)+1)/2)*(Inputs!$J$7-Inputs!$I$7)))+(Inputs!$C$6))/(0.5*(Inputs!$C$49+Inputs!$C$50))+Inputs!$C$47*0.097)))+0.3*(2*((SIN((((Inputs!$I$7+(((A170)+1)/2)*(Inputs!$J$7-Inputs!$I$7)))*12.9898+(Inputs!$C$6)*78.233+Inputs!$C$47*37.719))*43758.5453)-INT((SIN((((Inputs!$I$7+(((A170)+1)/2)*(Inputs!$J$7-Inputs!$I$7)))*12.9898+(Inputs!$C$6)*78.233+Inputs!$C$47*37.719))*43758.5453)))-1))),NA())</f>
        <v/>
      </c>
      <c r="AU170" s="9">
        <f>IF(OR(Inputs!$F$8=TRUE,Inputs!$F$8="TRUE",Inputs!$F$8=1),IF(OR(Inputs!$C$27=TRUE,Inputs!$C$27="TRUE",Inputs!$C$27=1),1,0)*(Inputs!$C$51*(115*EXP(-(((Inputs!$C$6)-25)^2)/(4.5^2))+70*EXP(-(((Inputs!$C$6)+38)^2)/(7^2))*(0.55+0.45*SIN(2*PI()*((Inputs!$I$8+(((A170)+1)/2)*(Inputs!$J$8-Inputs!$I$8)))/45))+24*SIN(2*PI()*(Inputs!$C$6)/9+((Inputs!$I$8+(((A170)+1)/2)*(Inputs!$J$8-Inputs!$I$8)))/18)*EXP(-(((Inputs!$C$6)+5)^2)/(22^2))+18*SIN(2*PI()*((Inputs!$I$8+(((A170)+1)/2)*(Inputs!$J$8-Inputs!$I$8)))/70))+Inputs!$C$28*EXP(-((((Inputs!$I$8+(((A170)+1)/2)*(Inputs!$J$8-Inputs!$I$8)))-Inputs!$C$29)^2)/(2*Inputs!$C$31^2))*EXP(-(((Inputs!$C$6)-Inputs!$C$30)^2)/(2*Inputs!$C$32^2))+-Inputs!$C$33*EXP(-((((((Inputs!$I$8+(((A170)+1)/2)*(Inputs!$J$8-Inputs!$I$8)))-Inputs!$C$34)^2)+(((Inputs!$C$6)-Inputs!$C$35)^2))/(2*Inputs!$C$36^2)))+Inputs!$C$37*(0.55*SIN(2*PI()*((Inputs!$I$8+(((A170)+1)/2)*(Inputs!$J$8-Inputs!$I$8)))/Inputs!$C$39)+0.35*COS(2*PI()*(Inputs!$C$6)/Inputs!$C$40)+0.2*SIN(2*PI()*(((Inputs!$I$8+(((A170)+1)/2)*(Inputs!$J$8-Inputs!$I$8)))+(Inputs!$C$6))/(0.5*(Inputs!$C$39+Inputs!$C$40))))+Inputs!$C$38*SIN(2*PI()*((Inputs!$I$8+(((A170)+1)/2)*(Inputs!$J$8-Inputs!$I$8)))/Inputs!$C$39)*SIN(2*PI()*(Inputs!$C$6)/Inputs!$C$40)+-Inputs!$C$41*EXP(-(((Inputs!$C$6)-Inputs!$C$43)^2)/(2*Inputs!$C$44^2))*EXP(-((((Inputs!$I$8+(((A170)+1)/2)*(Inputs!$J$8-Inputs!$I$8)))-Inputs!$C$42)^2)/(2*Inputs!$C$45^2))+Inputs!$C$48*(0.7*(0.45*SIN(2*PI()*((((Inputs!$I$8+(((A170)+1)/2)*(Inputs!$J$8-Inputs!$I$8)))/Inputs!$C$49)+Inputs!$C$47*0.137))+0.35*COS(2*PI()*(((Inputs!$C$6)/Inputs!$C$50)+Inputs!$C$47*0.173))+0.2*SIN(2*PI()*((((Inputs!$I$8+(((A170)+1)/2)*(Inputs!$J$8-Inputs!$I$8)))+(Inputs!$C$6))/(0.5*(Inputs!$C$49+Inputs!$C$50))+Inputs!$C$47*0.097)))+0.3*(2*((SIN((((Inputs!$I$8+(((A170)+1)/2)*(Inputs!$J$8-Inputs!$I$8)))*12.9898+(Inputs!$C$6)*78.233+Inputs!$C$47*37.719))*43758.5453)-INT((SIN((((Inputs!$I$8+(((A170)+1)/2)*(Inputs!$J$8-Inputs!$I$8)))*12.9898+(Inputs!$C$6)*78.233+Inputs!$C$47*37.719))*43758.5453)))-1))),NA())</f>
        <v/>
      </c>
      <c r="AV170" s="9">
        <f>IF(OR(Inputs!$F$9=TRUE,Inputs!$F$9="TRUE",Inputs!$F$9=1),IF(OR(Inputs!$C$27=TRUE,Inputs!$C$27="TRUE",Inputs!$C$27=1),1,0)*(Inputs!$C$51*(115*EXP(-(((Inputs!$C$6)-25)^2)/(4.5^2))+70*EXP(-(((Inputs!$C$6)+38)^2)/(7^2))*(0.55+0.45*SIN(2*PI()*((Inputs!$I$9+(((A170)+1)/2)*(Inputs!$J$9-Inputs!$I$9)))/45))+24*SIN(2*PI()*(Inputs!$C$6)/9+((Inputs!$I$9+(((A170)+1)/2)*(Inputs!$J$9-Inputs!$I$9)))/18)*EXP(-(((Inputs!$C$6)+5)^2)/(22^2))+18*SIN(2*PI()*((Inputs!$I$9+(((A170)+1)/2)*(Inputs!$J$9-Inputs!$I$9)))/70))+Inputs!$C$28*EXP(-((((Inputs!$I$9+(((A170)+1)/2)*(Inputs!$J$9-Inputs!$I$9)))-Inputs!$C$29)^2)/(2*Inputs!$C$31^2))*EXP(-(((Inputs!$C$6)-Inputs!$C$30)^2)/(2*Inputs!$C$32^2))+-Inputs!$C$33*EXP(-((((((Inputs!$I$9+(((A170)+1)/2)*(Inputs!$J$9-Inputs!$I$9)))-Inputs!$C$34)^2)+(((Inputs!$C$6)-Inputs!$C$35)^2))/(2*Inputs!$C$36^2)))+Inputs!$C$37*(0.55*SIN(2*PI()*((Inputs!$I$9+(((A170)+1)/2)*(Inputs!$J$9-Inputs!$I$9)))/Inputs!$C$39)+0.35*COS(2*PI()*(Inputs!$C$6)/Inputs!$C$40)+0.2*SIN(2*PI()*(((Inputs!$I$9+(((A170)+1)/2)*(Inputs!$J$9-Inputs!$I$9)))+(Inputs!$C$6))/(0.5*(Inputs!$C$39+Inputs!$C$40))))+Inputs!$C$38*SIN(2*PI()*((Inputs!$I$9+(((A170)+1)/2)*(Inputs!$J$9-Inputs!$I$9)))/Inputs!$C$39)*SIN(2*PI()*(Inputs!$C$6)/Inputs!$C$40)+-Inputs!$C$41*EXP(-(((Inputs!$C$6)-Inputs!$C$43)^2)/(2*Inputs!$C$44^2))*EXP(-((((Inputs!$I$9+(((A170)+1)/2)*(Inputs!$J$9-Inputs!$I$9)))-Inputs!$C$42)^2)/(2*Inputs!$C$45^2))+Inputs!$C$48*(0.7*(0.45*SIN(2*PI()*((((Inputs!$I$9+(((A170)+1)/2)*(Inputs!$J$9-Inputs!$I$9)))/Inputs!$C$49)+Inputs!$C$47*0.137))+0.35*COS(2*PI()*(((Inputs!$C$6)/Inputs!$C$50)+Inputs!$C$47*0.173))+0.2*SIN(2*PI()*((((Inputs!$I$9+(((A170)+1)/2)*(Inputs!$J$9-Inputs!$I$9)))+(Inputs!$C$6))/(0.5*(Inputs!$C$49+Inputs!$C$50))+Inputs!$C$47*0.097)))+0.3*(2*((SIN((((Inputs!$I$9+(((A170)+1)/2)*(Inputs!$J$9-Inputs!$I$9)))*12.9898+(Inputs!$C$6)*78.233+Inputs!$C$47*37.719))*43758.5453)-INT((SIN((((Inputs!$I$9+(((A170)+1)/2)*(Inputs!$J$9-Inputs!$I$9)))*12.9898+(Inputs!$C$6)*78.233+Inputs!$C$47*37.719))*43758.5453)))-1))),NA())</f>
        <v/>
      </c>
      <c r="AW170" s="10" t="n"/>
      <c r="AX170" s="9">
        <f>A170</f>
        <v/>
      </c>
      <c r="AY170" s="9">
        <f>0</f>
        <v/>
      </c>
      <c r="AZ170" s="9">
        <f>IF(OR(Inputs!$F$6=TRUE,Inputs!$F$6="TRUE",Inputs!$F$6=1),(Inputs!$H$6+Inputs!$L$6*(((Inputs!$I$6+(((A170)+1)/2)*(Inputs!$J$6-Inputs!$I$6)))/Inputs!$K$6)^2),NA())</f>
        <v/>
      </c>
      <c r="BA170" s="9">
        <f>IF(OR(Inputs!$F$7=TRUE,Inputs!$F$7="TRUE",Inputs!$F$7=1),(Inputs!$H$7+Inputs!$L$7*(((Inputs!$I$7+(((A170)+1)/2)*(Inputs!$J$7-Inputs!$I$7)))/Inputs!$K$7)^2),NA())</f>
        <v/>
      </c>
      <c r="BB170" s="9">
        <f>IF(OR(Inputs!$F$8=TRUE,Inputs!$F$8="TRUE",Inputs!$F$8=1),(Inputs!$H$8+Inputs!$L$8*(((Inputs!$I$8+(((A170)+1)/2)*(Inputs!$J$8-Inputs!$I$8)))/Inputs!$K$8)^2),NA())</f>
        <v/>
      </c>
      <c r="BC170" s="9">
        <f>IF(OR(Inputs!$F$9=TRUE,Inputs!$F$9="TRUE",Inputs!$F$9=1),(Inputs!$H$9+Inputs!$L$9*(((Inputs!$I$9+(((A170)+1)/2)*(Inputs!$J$9-Inputs!$I$9)))/Inputs!$K$9)^2),NA())</f>
        <v/>
      </c>
      <c r="BD170" s="10" t="n"/>
      <c r="BE170" s="9">
        <f>A170</f>
        <v/>
      </c>
      <c r="BF170" s="9">
        <f>0</f>
        <v/>
      </c>
      <c r="BG170" s="9">
        <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f>
        <v/>
      </c>
      <c r="BH170" s="9">
        <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f>
        <v/>
      </c>
      <c r="BI170" s="9">
        <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f>
        <v/>
      </c>
      <c r="BJ170" s="9">
        <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f>
        <v/>
      </c>
    </row>
    <row r="171">
      <c r="A171" s="9">
        <f>ROUND(-1+169*2/240,3)</f>
        <v/>
      </c>
      <c r="B171" s="9">
        <f>IF(OR(Inputs!$F$6=TRUE,Inputs!$F$6="TRUE",Inputs!$F$6=1),(Inputs!$H$6+Inputs!$L$6*(((Inputs!$I$6+(((A171)+1)/2)*(Inputs!$J$6-Inputs!$I$6)))/Inputs!$K$6)^2),NA())</f>
        <v/>
      </c>
      <c r="C171" s="9">
        <f>IF(OR(Inputs!$F$7=TRUE,Inputs!$F$7="TRUE",Inputs!$F$7=1),(Inputs!$H$7+Inputs!$L$7*(((Inputs!$I$7+(((A171)+1)/2)*(Inputs!$J$7-Inputs!$I$7)))/Inputs!$K$7)^2),NA())</f>
        <v/>
      </c>
      <c r="D171" s="9">
        <f>IF(OR(Inputs!$F$8=TRUE,Inputs!$F$8="TRUE",Inputs!$F$8=1),(Inputs!$H$8+Inputs!$L$8*(((Inputs!$I$8+(((A171)+1)/2)*(Inputs!$J$8-Inputs!$I$8)))/Inputs!$K$8)^2),NA())</f>
        <v/>
      </c>
      <c r="E171" s="9">
        <f>IF(OR(Inputs!$F$9=TRUE,Inputs!$F$9="TRUE",Inputs!$F$9=1),(Inputs!$H$9+Inputs!$L$9*(((Inputs!$I$9+(((A171)+1)/2)*(Inputs!$J$9-Inputs!$I$9)))/Inputs!$K$9)^2),NA())</f>
        <v/>
      </c>
      <c r="F171" s="10" t="n"/>
      <c r="G171" s="9">
        <f>A171</f>
        <v/>
      </c>
      <c r="H171" s="9">
        <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f>
        <v/>
      </c>
      <c r="I171" s="9">
        <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f>
        <v/>
      </c>
      <c r="J171" s="9">
        <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f>
        <v/>
      </c>
      <c r="K171" s="9">
        <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f>
        <v/>
      </c>
      <c r="L171" s="10" t="n"/>
      <c r="M171" s="9">
        <f>A171</f>
        <v/>
      </c>
      <c r="N171" s="9">
        <f>IF(OR(Inputs!$F$6=TRUE,Inputs!$F$6="TRUE",Inputs!$F$6=1),(-2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NA())</f>
        <v/>
      </c>
      <c r="O171" s="9">
        <f>IF(OR(Inputs!$F$7=TRUE,Inputs!$F$7="TRUE",Inputs!$F$7=1),(-2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NA())</f>
        <v/>
      </c>
      <c r="P171" s="9">
        <f>IF(OR(Inputs!$F$8=TRUE,Inputs!$F$8="TRUE",Inputs!$F$8=1),(-2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NA())</f>
        <v/>
      </c>
      <c r="Q171" s="9">
        <f>IF(OR(Inputs!$F$9=TRUE,Inputs!$F$9="TRUE",Inputs!$F$9=1),(-2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NA())</f>
        <v/>
      </c>
      <c r="R171" s="10" t="n"/>
      <c r="S171" s="9">
        <f>A171</f>
        <v/>
      </c>
      <c r="T171" s="9">
        <f>(Inputs!$I$6+(((A171)+1)/2)*(Inputs!$J$6-Inputs!$I$6))</f>
        <v/>
      </c>
      <c r="U171" s="9">
        <f>(Inputs!$I$7+(((A171)+1)/2)*(Inputs!$J$7-Inputs!$I$7))</f>
        <v/>
      </c>
      <c r="V171" s="9">
        <f>(Inputs!$I$8+(((A171)+1)/2)*(Inputs!$J$8-Inputs!$I$8))</f>
        <v/>
      </c>
      <c r="W171" s="9">
        <f>(Inputs!$I$9+(((A171)+1)/2)*(Inputs!$J$9-Inputs!$I$9))</f>
        <v/>
      </c>
      <c r="X171" s="10" t="n"/>
      <c r="Y171" s="9">
        <f>A171</f>
        <v/>
      </c>
      <c r="Z171" s="9">
        <f>(Inputs!$H$6+Inputs!$L$6*(((Inputs!$I$6+(((A171)+1)/2)*(Inputs!$J$6-Inputs!$I$6)))/Inputs!$K$6)^2)</f>
        <v/>
      </c>
      <c r="AA171" s="9">
        <f>(Inputs!$H$7+Inputs!$L$7*(((Inputs!$I$7+(((A171)+1)/2)*(Inputs!$J$7-Inputs!$I$7)))/Inputs!$K$7)^2)</f>
        <v/>
      </c>
      <c r="AB171" s="9">
        <f>(Inputs!$H$8+Inputs!$L$8*(((Inputs!$I$8+(((A171)+1)/2)*(Inputs!$J$8-Inputs!$I$8)))/Inputs!$K$8)^2)</f>
        <v/>
      </c>
      <c r="AC171" s="9">
        <f>(Inputs!$H$9+Inputs!$L$9*(((Inputs!$I$9+(((A171)+1)/2)*(Inputs!$J$9-Inputs!$I$9)))/Inputs!$K$9)^2)</f>
        <v/>
      </c>
      <c r="AD171" s="10" t="n"/>
      <c r="AE171" s="9">
        <f>A171</f>
        <v/>
      </c>
      <c r="AF171" s="9">
        <f>(((SQRT((Inputs!$C$52+((Inputs!$H$6+Inputs!$L$6*(((Inputs!$I$6+(((A171)+1)/2)*(Inputs!$J$6-Inputs!$I$6)))/Inputs!$K$6)^2)))^2+Inputs!$C$52^2-2*(Inputs!$C$52+((Inputs!$H$6+Inputs!$L$6*(((Inputs!$I$6+(((A171)+1)/2)*(Inputs!$J$6-Inputs!$I$6)))/Inputs!$K$6)^2)))*Inputs!$C$52*COS(SQRT(((Inputs!$I$6+(((A171)+1)/2)*(Inputs!$J$6-Inputs!$I$6)))^2+Inputs!$C$6^2)/Inputs!$C$52)))-((Inputs!$H$6+Inputs!$L$6*(((Inputs!$I$6+(((A171)+1)/2)*(Inputs!$J$6-Inputs!$I$6)))/Inputs!$K$6)^2)))*1000/Inputs!$C$12)</f>
        <v/>
      </c>
      <c r="AG171" s="9">
        <f>(((SQRT((Inputs!$C$52+((Inputs!$H$7+Inputs!$L$7*(((Inputs!$I$7+(((A171)+1)/2)*(Inputs!$J$7-Inputs!$I$7)))/Inputs!$K$7)^2)))^2+Inputs!$C$52^2-2*(Inputs!$C$52+((Inputs!$H$7+Inputs!$L$7*(((Inputs!$I$7+(((A171)+1)/2)*(Inputs!$J$7-Inputs!$I$7)))/Inputs!$K$7)^2)))*Inputs!$C$52*COS(SQRT(((Inputs!$I$7+(((A171)+1)/2)*(Inputs!$J$7-Inputs!$I$7)))^2+Inputs!$C$6^2)/Inputs!$C$52)))-((Inputs!$H$7+Inputs!$L$7*(((Inputs!$I$7+(((A171)+1)/2)*(Inputs!$J$7-Inputs!$I$7)))/Inputs!$K$7)^2)))*1000/Inputs!$C$12)</f>
        <v/>
      </c>
      <c r="AH171" s="9">
        <f>(((SQRT((Inputs!$C$52+((Inputs!$H$8+Inputs!$L$8*(((Inputs!$I$8+(((A171)+1)/2)*(Inputs!$J$8-Inputs!$I$8)))/Inputs!$K$8)^2)))^2+Inputs!$C$52^2-2*(Inputs!$C$52+((Inputs!$H$8+Inputs!$L$8*(((Inputs!$I$8+(((A171)+1)/2)*(Inputs!$J$8-Inputs!$I$8)))/Inputs!$K$8)^2)))*Inputs!$C$52*COS(SQRT(((Inputs!$I$8+(((A171)+1)/2)*(Inputs!$J$8-Inputs!$I$8)))^2+Inputs!$C$6^2)/Inputs!$C$52)))-((Inputs!$H$8+Inputs!$L$8*(((Inputs!$I$8+(((A171)+1)/2)*(Inputs!$J$8-Inputs!$I$8)))/Inputs!$K$8)^2)))*1000/Inputs!$C$12)</f>
        <v/>
      </c>
      <c r="AI171" s="9">
        <f>(((SQRT((Inputs!$C$52+((Inputs!$H$9+Inputs!$L$9*(((Inputs!$I$9+(((A171)+1)/2)*(Inputs!$J$9-Inputs!$I$9)))/Inputs!$K$9)^2)))^2+Inputs!$C$52^2-2*(Inputs!$C$52+((Inputs!$H$9+Inputs!$L$9*(((Inputs!$I$9+(((A171)+1)/2)*(Inputs!$J$9-Inputs!$I$9)))/Inputs!$K$9)^2)))*Inputs!$C$52*COS(SQRT(((Inputs!$I$9+(((A171)+1)/2)*(Inputs!$J$9-Inputs!$I$9)))^2+Inputs!$C$6^2)/Inputs!$C$52)))-((Inputs!$H$9+Inputs!$L$9*(((Inputs!$I$9+(((A171)+1)/2)*(Inputs!$J$9-Inputs!$I$9)))/Inputs!$K$9)^2)))*1000/Inputs!$C$12)</f>
        <v/>
      </c>
      <c r="AJ171" s="10" t="n"/>
      <c r="AK171" s="9">
        <f>A171</f>
        <v/>
      </c>
      <c r="AL171" s="9">
        <f>(-2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f>
        <v/>
      </c>
      <c r="AM171" s="9">
        <f>(-2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f>
        <v/>
      </c>
      <c r="AN171" s="9">
        <f>(-2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f>
        <v/>
      </c>
      <c r="AO171" s="9">
        <f>(-2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f>
        <v/>
      </c>
      <c r="AP171" s="10" t="n"/>
      <c r="AQ171" s="9">
        <f>A171</f>
        <v/>
      </c>
      <c r="AR171" s="9">
        <f>0</f>
        <v/>
      </c>
      <c r="AS171" s="9">
        <f>IF(OR(Inputs!$F$6=TRUE,Inputs!$F$6="TRUE",Inputs!$F$6=1),IF(OR(Inputs!$C$27=TRUE,Inputs!$C$27="TRUE",Inputs!$C$27=1),1,0)*(Inputs!$C$51*(115*EXP(-(((Inputs!$C$6)-25)^2)/(4.5^2))+70*EXP(-(((Inputs!$C$6)+38)^2)/(7^2))*(0.55+0.45*SIN(2*PI()*((Inputs!$I$6+(((A171)+1)/2)*(Inputs!$J$6-Inputs!$I$6)))/45))+24*SIN(2*PI()*(Inputs!$C$6)/9+((Inputs!$I$6+(((A171)+1)/2)*(Inputs!$J$6-Inputs!$I$6)))/18)*EXP(-(((Inputs!$C$6)+5)^2)/(22^2))+18*SIN(2*PI()*((Inputs!$I$6+(((A171)+1)/2)*(Inputs!$J$6-Inputs!$I$6)))/70))+Inputs!$C$28*EXP(-((((Inputs!$I$6+(((A171)+1)/2)*(Inputs!$J$6-Inputs!$I$6)))-Inputs!$C$29)^2)/(2*Inputs!$C$31^2))*EXP(-(((Inputs!$C$6)-Inputs!$C$30)^2)/(2*Inputs!$C$32^2))+-Inputs!$C$33*EXP(-((((((Inputs!$I$6+(((A171)+1)/2)*(Inputs!$J$6-Inputs!$I$6)))-Inputs!$C$34)^2)+(((Inputs!$C$6)-Inputs!$C$35)^2))/(2*Inputs!$C$36^2)))+Inputs!$C$37*(0.55*SIN(2*PI()*((Inputs!$I$6+(((A171)+1)/2)*(Inputs!$J$6-Inputs!$I$6)))/Inputs!$C$39)+0.35*COS(2*PI()*(Inputs!$C$6)/Inputs!$C$40)+0.2*SIN(2*PI()*(((Inputs!$I$6+(((A171)+1)/2)*(Inputs!$J$6-Inputs!$I$6)))+(Inputs!$C$6))/(0.5*(Inputs!$C$39+Inputs!$C$40))))+Inputs!$C$38*SIN(2*PI()*((Inputs!$I$6+(((A171)+1)/2)*(Inputs!$J$6-Inputs!$I$6)))/Inputs!$C$39)*SIN(2*PI()*(Inputs!$C$6)/Inputs!$C$40)+-Inputs!$C$41*EXP(-(((Inputs!$C$6)-Inputs!$C$43)^2)/(2*Inputs!$C$44^2))*EXP(-((((Inputs!$I$6+(((A171)+1)/2)*(Inputs!$J$6-Inputs!$I$6)))-Inputs!$C$42)^2)/(2*Inputs!$C$45^2))+Inputs!$C$48*(0.7*(0.45*SIN(2*PI()*((((Inputs!$I$6+(((A171)+1)/2)*(Inputs!$J$6-Inputs!$I$6)))/Inputs!$C$49)+Inputs!$C$47*0.137))+0.35*COS(2*PI()*(((Inputs!$C$6)/Inputs!$C$50)+Inputs!$C$47*0.173))+0.2*SIN(2*PI()*((((Inputs!$I$6+(((A171)+1)/2)*(Inputs!$J$6-Inputs!$I$6)))+(Inputs!$C$6))/(0.5*(Inputs!$C$49+Inputs!$C$50))+Inputs!$C$47*0.097)))+0.3*(2*((SIN((((Inputs!$I$6+(((A171)+1)/2)*(Inputs!$J$6-Inputs!$I$6)))*12.9898+(Inputs!$C$6)*78.233+Inputs!$C$47*37.719))*43758.5453)-INT((SIN((((Inputs!$I$6+(((A171)+1)/2)*(Inputs!$J$6-Inputs!$I$6)))*12.9898+(Inputs!$C$6)*78.233+Inputs!$C$47*37.719))*43758.5453)))-1))),NA())</f>
        <v/>
      </c>
      <c r="AT171" s="9">
        <f>IF(OR(Inputs!$F$7=TRUE,Inputs!$F$7="TRUE",Inputs!$F$7=1),IF(OR(Inputs!$C$27=TRUE,Inputs!$C$27="TRUE",Inputs!$C$27=1),1,0)*(Inputs!$C$51*(115*EXP(-(((Inputs!$C$6)-25)^2)/(4.5^2))+70*EXP(-(((Inputs!$C$6)+38)^2)/(7^2))*(0.55+0.45*SIN(2*PI()*((Inputs!$I$7+(((A171)+1)/2)*(Inputs!$J$7-Inputs!$I$7)))/45))+24*SIN(2*PI()*(Inputs!$C$6)/9+((Inputs!$I$7+(((A171)+1)/2)*(Inputs!$J$7-Inputs!$I$7)))/18)*EXP(-(((Inputs!$C$6)+5)^2)/(22^2))+18*SIN(2*PI()*((Inputs!$I$7+(((A171)+1)/2)*(Inputs!$J$7-Inputs!$I$7)))/70))+Inputs!$C$28*EXP(-((((Inputs!$I$7+(((A171)+1)/2)*(Inputs!$J$7-Inputs!$I$7)))-Inputs!$C$29)^2)/(2*Inputs!$C$31^2))*EXP(-(((Inputs!$C$6)-Inputs!$C$30)^2)/(2*Inputs!$C$32^2))+-Inputs!$C$33*EXP(-((((((Inputs!$I$7+(((A171)+1)/2)*(Inputs!$J$7-Inputs!$I$7)))-Inputs!$C$34)^2)+(((Inputs!$C$6)-Inputs!$C$35)^2))/(2*Inputs!$C$36^2)))+Inputs!$C$37*(0.55*SIN(2*PI()*((Inputs!$I$7+(((A171)+1)/2)*(Inputs!$J$7-Inputs!$I$7)))/Inputs!$C$39)+0.35*COS(2*PI()*(Inputs!$C$6)/Inputs!$C$40)+0.2*SIN(2*PI()*(((Inputs!$I$7+(((A171)+1)/2)*(Inputs!$J$7-Inputs!$I$7)))+(Inputs!$C$6))/(0.5*(Inputs!$C$39+Inputs!$C$40))))+Inputs!$C$38*SIN(2*PI()*((Inputs!$I$7+(((A171)+1)/2)*(Inputs!$J$7-Inputs!$I$7)))/Inputs!$C$39)*SIN(2*PI()*(Inputs!$C$6)/Inputs!$C$40)+-Inputs!$C$41*EXP(-(((Inputs!$C$6)-Inputs!$C$43)^2)/(2*Inputs!$C$44^2))*EXP(-((((Inputs!$I$7+(((A171)+1)/2)*(Inputs!$J$7-Inputs!$I$7)))-Inputs!$C$42)^2)/(2*Inputs!$C$45^2))+Inputs!$C$48*(0.7*(0.45*SIN(2*PI()*((((Inputs!$I$7+(((A171)+1)/2)*(Inputs!$J$7-Inputs!$I$7)))/Inputs!$C$49)+Inputs!$C$47*0.137))+0.35*COS(2*PI()*(((Inputs!$C$6)/Inputs!$C$50)+Inputs!$C$47*0.173))+0.2*SIN(2*PI()*((((Inputs!$I$7+(((A171)+1)/2)*(Inputs!$J$7-Inputs!$I$7)))+(Inputs!$C$6))/(0.5*(Inputs!$C$49+Inputs!$C$50))+Inputs!$C$47*0.097)))+0.3*(2*((SIN((((Inputs!$I$7+(((A171)+1)/2)*(Inputs!$J$7-Inputs!$I$7)))*12.9898+(Inputs!$C$6)*78.233+Inputs!$C$47*37.719))*43758.5453)-INT((SIN((((Inputs!$I$7+(((A171)+1)/2)*(Inputs!$J$7-Inputs!$I$7)))*12.9898+(Inputs!$C$6)*78.233+Inputs!$C$47*37.719))*43758.5453)))-1))),NA())</f>
        <v/>
      </c>
      <c r="AU171" s="9">
        <f>IF(OR(Inputs!$F$8=TRUE,Inputs!$F$8="TRUE",Inputs!$F$8=1),IF(OR(Inputs!$C$27=TRUE,Inputs!$C$27="TRUE",Inputs!$C$27=1),1,0)*(Inputs!$C$51*(115*EXP(-(((Inputs!$C$6)-25)^2)/(4.5^2))+70*EXP(-(((Inputs!$C$6)+38)^2)/(7^2))*(0.55+0.45*SIN(2*PI()*((Inputs!$I$8+(((A171)+1)/2)*(Inputs!$J$8-Inputs!$I$8)))/45))+24*SIN(2*PI()*(Inputs!$C$6)/9+((Inputs!$I$8+(((A171)+1)/2)*(Inputs!$J$8-Inputs!$I$8)))/18)*EXP(-(((Inputs!$C$6)+5)^2)/(22^2))+18*SIN(2*PI()*((Inputs!$I$8+(((A171)+1)/2)*(Inputs!$J$8-Inputs!$I$8)))/70))+Inputs!$C$28*EXP(-((((Inputs!$I$8+(((A171)+1)/2)*(Inputs!$J$8-Inputs!$I$8)))-Inputs!$C$29)^2)/(2*Inputs!$C$31^2))*EXP(-(((Inputs!$C$6)-Inputs!$C$30)^2)/(2*Inputs!$C$32^2))+-Inputs!$C$33*EXP(-((((((Inputs!$I$8+(((A171)+1)/2)*(Inputs!$J$8-Inputs!$I$8)))-Inputs!$C$34)^2)+(((Inputs!$C$6)-Inputs!$C$35)^2))/(2*Inputs!$C$36^2)))+Inputs!$C$37*(0.55*SIN(2*PI()*((Inputs!$I$8+(((A171)+1)/2)*(Inputs!$J$8-Inputs!$I$8)))/Inputs!$C$39)+0.35*COS(2*PI()*(Inputs!$C$6)/Inputs!$C$40)+0.2*SIN(2*PI()*(((Inputs!$I$8+(((A171)+1)/2)*(Inputs!$J$8-Inputs!$I$8)))+(Inputs!$C$6))/(0.5*(Inputs!$C$39+Inputs!$C$40))))+Inputs!$C$38*SIN(2*PI()*((Inputs!$I$8+(((A171)+1)/2)*(Inputs!$J$8-Inputs!$I$8)))/Inputs!$C$39)*SIN(2*PI()*(Inputs!$C$6)/Inputs!$C$40)+-Inputs!$C$41*EXP(-(((Inputs!$C$6)-Inputs!$C$43)^2)/(2*Inputs!$C$44^2))*EXP(-((((Inputs!$I$8+(((A171)+1)/2)*(Inputs!$J$8-Inputs!$I$8)))-Inputs!$C$42)^2)/(2*Inputs!$C$45^2))+Inputs!$C$48*(0.7*(0.45*SIN(2*PI()*((((Inputs!$I$8+(((A171)+1)/2)*(Inputs!$J$8-Inputs!$I$8)))/Inputs!$C$49)+Inputs!$C$47*0.137))+0.35*COS(2*PI()*(((Inputs!$C$6)/Inputs!$C$50)+Inputs!$C$47*0.173))+0.2*SIN(2*PI()*((((Inputs!$I$8+(((A171)+1)/2)*(Inputs!$J$8-Inputs!$I$8)))+(Inputs!$C$6))/(0.5*(Inputs!$C$49+Inputs!$C$50))+Inputs!$C$47*0.097)))+0.3*(2*((SIN((((Inputs!$I$8+(((A171)+1)/2)*(Inputs!$J$8-Inputs!$I$8)))*12.9898+(Inputs!$C$6)*78.233+Inputs!$C$47*37.719))*43758.5453)-INT((SIN((((Inputs!$I$8+(((A171)+1)/2)*(Inputs!$J$8-Inputs!$I$8)))*12.9898+(Inputs!$C$6)*78.233+Inputs!$C$47*37.719))*43758.5453)))-1))),NA())</f>
        <v/>
      </c>
      <c r="AV171" s="9">
        <f>IF(OR(Inputs!$F$9=TRUE,Inputs!$F$9="TRUE",Inputs!$F$9=1),IF(OR(Inputs!$C$27=TRUE,Inputs!$C$27="TRUE",Inputs!$C$27=1),1,0)*(Inputs!$C$51*(115*EXP(-(((Inputs!$C$6)-25)^2)/(4.5^2))+70*EXP(-(((Inputs!$C$6)+38)^2)/(7^2))*(0.55+0.45*SIN(2*PI()*((Inputs!$I$9+(((A171)+1)/2)*(Inputs!$J$9-Inputs!$I$9)))/45))+24*SIN(2*PI()*(Inputs!$C$6)/9+((Inputs!$I$9+(((A171)+1)/2)*(Inputs!$J$9-Inputs!$I$9)))/18)*EXP(-(((Inputs!$C$6)+5)^2)/(22^2))+18*SIN(2*PI()*((Inputs!$I$9+(((A171)+1)/2)*(Inputs!$J$9-Inputs!$I$9)))/70))+Inputs!$C$28*EXP(-((((Inputs!$I$9+(((A171)+1)/2)*(Inputs!$J$9-Inputs!$I$9)))-Inputs!$C$29)^2)/(2*Inputs!$C$31^2))*EXP(-(((Inputs!$C$6)-Inputs!$C$30)^2)/(2*Inputs!$C$32^2))+-Inputs!$C$33*EXP(-((((((Inputs!$I$9+(((A171)+1)/2)*(Inputs!$J$9-Inputs!$I$9)))-Inputs!$C$34)^2)+(((Inputs!$C$6)-Inputs!$C$35)^2))/(2*Inputs!$C$36^2)))+Inputs!$C$37*(0.55*SIN(2*PI()*((Inputs!$I$9+(((A171)+1)/2)*(Inputs!$J$9-Inputs!$I$9)))/Inputs!$C$39)+0.35*COS(2*PI()*(Inputs!$C$6)/Inputs!$C$40)+0.2*SIN(2*PI()*(((Inputs!$I$9+(((A171)+1)/2)*(Inputs!$J$9-Inputs!$I$9)))+(Inputs!$C$6))/(0.5*(Inputs!$C$39+Inputs!$C$40))))+Inputs!$C$38*SIN(2*PI()*((Inputs!$I$9+(((A171)+1)/2)*(Inputs!$J$9-Inputs!$I$9)))/Inputs!$C$39)*SIN(2*PI()*(Inputs!$C$6)/Inputs!$C$40)+-Inputs!$C$41*EXP(-(((Inputs!$C$6)-Inputs!$C$43)^2)/(2*Inputs!$C$44^2))*EXP(-((((Inputs!$I$9+(((A171)+1)/2)*(Inputs!$J$9-Inputs!$I$9)))-Inputs!$C$42)^2)/(2*Inputs!$C$45^2))+Inputs!$C$48*(0.7*(0.45*SIN(2*PI()*((((Inputs!$I$9+(((A171)+1)/2)*(Inputs!$J$9-Inputs!$I$9)))/Inputs!$C$49)+Inputs!$C$47*0.137))+0.35*COS(2*PI()*(((Inputs!$C$6)/Inputs!$C$50)+Inputs!$C$47*0.173))+0.2*SIN(2*PI()*((((Inputs!$I$9+(((A171)+1)/2)*(Inputs!$J$9-Inputs!$I$9)))+(Inputs!$C$6))/(0.5*(Inputs!$C$49+Inputs!$C$50))+Inputs!$C$47*0.097)))+0.3*(2*((SIN((((Inputs!$I$9+(((A171)+1)/2)*(Inputs!$J$9-Inputs!$I$9)))*12.9898+(Inputs!$C$6)*78.233+Inputs!$C$47*37.719))*43758.5453)-INT((SIN((((Inputs!$I$9+(((A171)+1)/2)*(Inputs!$J$9-Inputs!$I$9)))*12.9898+(Inputs!$C$6)*78.233+Inputs!$C$47*37.719))*43758.5453)))-1))),NA())</f>
        <v/>
      </c>
      <c r="AW171" s="10" t="n"/>
      <c r="AX171" s="9">
        <f>A171</f>
        <v/>
      </c>
      <c r="AY171" s="9">
        <f>0</f>
        <v/>
      </c>
      <c r="AZ171" s="9">
        <f>IF(OR(Inputs!$F$6=TRUE,Inputs!$F$6="TRUE",Inputs!$F$6=1),(Inputs!$H$6+Inputs!$L$6*(((Inputs!$I$6+(((A171)+1)/2)*(Inputs!$J$6-Inputs!$I$6)))/Inputs!$K$6)^2),NA())</f>
        <v/>
      </c>
      <c r="BA171" s="9">
        <f>IF(OR(Inputs!$F$7=TRUE,Inputs!$F$7="TRUE",Inputs!$F$7=1),(Inputs!$H$7+Inputs!$L$7*(((Inputs!$I$7+(((A171)+1)/2)*(Inputs!$J$7-Inputs!$I$7)))/Inputs!$K$7)^2),NA())</f>
        <v/>
      </c>
      <c r="BB171" s="9">
        <f>IF(OR(Inputs!$F$8=TRUE,Inputs!$F$8="TRUE",Inputs!$F$8=1),(Inputs!$H$8+Inputs!$L$8*(((Inputs!$I$8+(((A171)+1)/2)*(Inputs!$J$8-Inputs!$I$8)))/Inputs!$K$8)^2),NA())</f>
        <v/>
      </c>
      <c r="BC171" s="9">
        <f>IF(OR(Inputs!$F$9=TRUE,Inputs!$F$9="TRUE",Inputs!$F$9=1),(Inputs!$H$9+Inputs!$L$9*(((Inputs!$I$9+(((A171)+1)/2)*(Inputs!$J$9-Inputs!$I$9)))/Inputs!$K$9)^2),NA())</f>
        <v/>
      </c>
      <c r="BD171" s="10" t="n"/>
      <c r="BE171" s="9">
        <f>A171</f>
        <v/>
      </c>
      <c r="BF171" s="9">
        <f>0</f>
        <v/>
      </c>
      <c r="BG171" s="9">
        <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f>
        <v/>
      </c>
      <c r="BH171" s="9">
        <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f>
        <v/>
      </c>
      <c r="BI171" s="9">
        <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f>
        <v/>
      </c>
      <c r="BJ171" s="9">
        <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f>
        <v/>
      </c>
    </row>
    <row r="172">
      <c r="A172" s="9">
        <f>ROUND(-1+170*2/240,3)</f>
        <v/>
      </c>
      <c r="B172" s="9">
        <f>IF(OR(Inputs!$F$6=TRUE,Inputs!$F$6="TRUE",Inputs!$F$6=1),(Inputs!$H$6+Inputs!$L$6*(((Inputs!$I$6+(((A172)+1)/2)*(Inputs!$J$6-Inputs!$I$6)))/Inputs!$K$6)^2),NA())</f>
        <v/>
      </c>
      <c r="C172" s="9">
        <f>IF(OR(Inputs!$F$7=TRUE,Inputs!$F$7="TRUE",Inputs!$F$7=1),(Inputs!$H$7+Inputs!$L$7*(((Inputs!$I$7+(((A172)+1)/2)*(Inputs!$J$7-Inputs!$I$7)))/Inputs!$K$7)^2),NA())</f>
        <v/>
      </c>
      <c r="D172" s="9">
        <f>IF(OR(Inputs!$F$8=TRUE,Inputs!$F$8="TRUE",Inputs!$F$8=1),(Inputs!$H$8+Inputs!$L$8*(((Inputs!$I$8+(((A172)+1)/2)*(Inputs!$J$8-Inputs!$I$8)))/Inputs!$K$8)^2),NA())</f>
        <v/>
      </c>
      <c r="E172" s="9">
        <f>IF(OR(Inputs!$F$9=TRUE,Inputs!$F$9="TRUE",Inputs!$F$9=1),(Inputs!$H$9+Inputs!$L$9*(((Inputs!$I$9+(((A172)+1)/2)*(Inputs!$J$9-Inputs!$I$9)))/Inputs!$K$9)^2),NA())</f>
        <v/>
      </c>
      <c r="F172" s="10" t="n"/>
      <c r="G172" s="9">
        <f>A172</f>
        <v/>
      </c>
      <c r="H172" s="9">
        <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f>
        <v/>
      </c>
      <c r="I172" s="9">
        <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f>
        <v/>
      </c>
      <c r="J172" s="9">
        <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f>
        <v/>
      </c>
      <c r="K172" s="9">
        <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f>
        <v/>
      </c>
      <c r="L172" s="10" t="n"/>
      <c r="M172" s="9">
        <f>A172</f>
        <v/>
      </c>
      <c r="N172" s="9">
        <f>IF(OR(Inputs!$F$6=TRUE,Inputs!$F$6="TRUE",Inputs!$F$6=1),(-2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NA())</f>
        <v/>
      </c>
      <c r="O172" s="9">
        <f>IF(OR(Inputs!$F$7=TRUE,Inputs!$F$7="TRUE",Inputs!$F$7=1),(-2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NA())</f>
        <v/>
      </c>
      <c r="P172" s="9">
        <f>IF(OR(Inputs!$F$8=TRUE,Inputs!$F$8="TRUE",Inputs!$F$8=1),(-2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NA())</f>
        <v/>
      </c>
      <c r="Q172" s="9">
        <f>IF(OR(Inputs!$F$9=TRUE,Inputs!$F$9="TRUE",Inputs!$F$9=1),(-2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NA())</f>
        <v/>
      </c>
      <c r="R172" s="10" t="n"/>
      <c r="S172" s="9">
        <f>A172</f>
        <v/>
      </c>
      <c r="T172" s="9">
        <f>(Inputs!$I$6+(((A172)+1)/2)*(Inputs!$J$6-Inputs!$I$6))</f>
        <v/>
      </c>
      <c r="U172" s="9">
        <f>(Inputs!$I$7+(((A172)+1)/2)*(Inputs!$J$7-Inputs!$I$7))</f>
        <v/>
      </c>
      <c r="V172" s="9">
        <f>(Inputs!$I$8+(((A172)+1)/2)*(Inputs!$J$8-Inputs!$I$8))</f>
        <v/>
      </c>
      <c r="W172" s="9">
        <f>(Inputs!$I$9+(((A172)+1)/2)*(Inputs!$J$9-Inputs!$I$9))</f>
        <v/>
      </c>
      <c r="X172" s="10" t="n"/>
      <c r="Y172" s="9">
        <f>A172</f>
        <v/>
      </c>
      <c r="Z172" s="9">
        <f>(Inputs!$H$6+Inputs!$L$6*(((Inputs!$I$6+(((A172)+1)/2)*(Inputs!$J$6-Inputs!$I$6)))/Inputs!$K$6)^2)</f>
        <v/>
      </c>
      <c r="AA172" s="9">
        <f>(Inputs!$H$7+Inputs!$L$7*(((Inputs!$I$7+(((A172)+1)/2)*(Inputs!$J$7-Inputs!$I$7)))/Inputs!$K$7)^2)</f>
        <v/>
      </c>
      <c r="AB172" s="9">
        <f>(Inputs!$H$8+Inputs!$L$8*(((Inputs!$I$8+(((A172)+1)/2)*(Inputs!$J$8-Inputs!$I$8)))/Inputs!$K$8)^2)</f>
        <v/>
      </c>
      <c r="AC172" s="9">
        <f>(Inputs!$H$9+Inputs!$L$9*(((Inputs!$I$9+(((A172)+1)/2)*(Inputs!$J$9-Inputs!$I$9)))/Inputs!$K$9)^2)</f>
        <v/>
      </c>
      <c r="AD172" s="10" t="n"/>
      <c r="AE172" s="9">
        <f>A172</f>
        <v/>
      </c>
      <c r="AF172" s="9">
        <f>(((SQRT((Inputs!$C$52+((Inputs!$H$6+Inputs!$L$6*(((Inputs!$I$6+(((A172)+1)/2)*(Inputs!$J$6-Inputs!$I$6)))/Inputs!$K$6)^2)))^2+Inputs!$C$52^2-2*(Inputs!$C$52+((Inputs!$H$6+Inputs!$L$6*(((Inputs!$I$6+(((A172)+1)/2)*(Inputs!$J$6-Inputs!$I$6)))/Inputs!$K$6)^2)))*Inputs!$C$52*COS(SQRT(((Inputs!$I$6+(((A172)+1)/2)*(Inputs!$J$6-Inputs!$I$6)))^2+Inputs!$C$6^2)/Inputs!$C$52)))-((Inputs!$H$6+Inputs!$L$6*(((Inputs!$I$6+(((A172)+1)/2)*(Inputs!$J$6-Inputs!$I$6)))/Inputs!$K$6)^2)))*1000/Inputs!$C$12)</f>
        <v/>
      </c>
      <c r="AG172" s="9">
        <f>(((SQRT((Inputs!$C$52+((Inputs!$H$7+Inputs!$L$7*(((Inputs!$I$7+(((A172)+1)/2)*(Inputs!$J$7-Inputs!$I$7)))/Inputs!$K$7)^2)))^2+Inputs!$C$52^2-2*(Inputs!$C$52+((Inputs!$H$7+Inputs!$L$7*(((Inputs!$I$7+(((A172)+1)/2)*(Inputs!$J$7-Inputs!$I$7)))/Inputs!$K$7)^2)))*Inputs!$C$52*COS(SQRT(((Inputs!$I$7+(((A172)+1)/2)*(Inputs!$J$7-Inputs!$I$7)))^2+Inputs!$C$6^2)/Inputs!$C$52)))-((Inputs!$H$7+Inputs!$L$7*(((Inputs!$I$7+(((A172)+1)/2)*(Inputs!$J$7-Inputs!$I$7)))/Inputs!$K$7)^2)))*1000/Inputs!$C$12)</f>
        <v/>
      </c>
      <c r="AH172" s="9">
        <f>(((SQRT((Inputs!$C$52+((Inputs!$H$8+Inputs!$L$8*(((Inputs!$I$8+(((A172)+1)/2)*(Inputs!$J$8-Inputs!$I$8)))/Inputs!$K$8)^2)))^2+Inputs!$C$52^2-2*(Inputs!$C$52+((Inputs!$H$8+Inputs!$L$8*(((Inputs!$I$8+(((A172)+1)/2)*(Inputs!$J$8-Inputs!$I$8)))/Inputs!$K$8)^2)))*Inputs!$C$52*COS(SQRT(((Inputs!$I$8+(((A172)+1)/2)*(Inputs!$J$8-Inputs!$I$8)))^2+Inputs!$C$6^2)/Inputs!$C$52)))-((Inputs!$H$8+Inputs!$L$8*(((Inputs!$I$8+(((A172)+1)/2)*(Inputs!$J$8-Inputs!$I$8)))/Inputs!$K$8)^2)))*1000/Inputs!$C$12)</f>
        <v/>
      </c>
      <c r="AI172" s="9">
        <f>(((SQRT((Inputs!$C$52+((Inputs!$H$9+Inputs!$L$9*(((Inputs!$I$9+(((A172)+1)/2)*(Inputs!$J$9-Inputs!$I$9)))/Inputs!$K$9)^2)))^2+Inputs!$C$52^2-2*(Inputs!$C$52+((Inputs!$H$9+Inputs!$L$9*(((Inputs!$I$9+(((A172)+1)/2)*(Inputs!$J$9-Inputs!$I$9)))/Inputs!$K$9)^2)))*Inputs!$C$52*COS(SQRT(((Inputs!$I$9+(((A172)+1)/2)*(Inputs!$J$9-Inputs!$I$9)))^2+Inputs!$C$6^2)/Inputs!$C$52)))-((Inputs!$H$9+Inputs!$L$9*(((Inputs!$I$9+(((A172)+1)/2)*(Inputs!$J$9-Inputs!$I$9)))/Inputs!$K$9)^2)))*1000/Inputs!$C$12)</f>
        <v/>
      </c>
      <c r="AJ172" s="10" t="n"/>
      <c r="AK172" s="9">
        <f>A172</f>
        <v/>
      </c>
      <c r="AL172" s="9">
        <f>(-2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f>
        <v/>
      </c>
      <c r="AM172" s="9">
        <f>(-2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f>
        <v/>
      </c>
      <c r="AN172" s="9">
        <f>(-2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f>
        <v/>
      </c>
      <c r="AO172" s="9">
        <f>(-2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f>
        <v/>
      </c>
      <c r="AP172" s="10" t="n"/>
      <c r="AQ172" s="9">
        <f>A172</f>
        <v/>
      </c>
      <c r="AR172" s="9">
        <f>0</f>
        <v/>
      </c>
      <c r="AS172" s="9">
        <f>IF(OR(Inputs!$F$6=TRUE,Inputs!$F$6="TRUE",Inputs!$F$6=1),IF(OR(Inputs!$C$27=TRUE,Inputs!$C$27="TRUE",Inputs!$C$27=1),1,0)*(Inputs!$C$51*(115*EXP(-(((Inputs!$C$6)-25)^2)/(4.5^2))+70*EXP(-(((Inputs!$C$6)+38)^2)/(7^2))*(0.55+0.45*SIN(2*PI()*((Inputs!$I$6+(((A172)+1)/2)*(Inputs!$J$6-Inputs!$I$6)))/45))+24*SIN(2*PI()*(Inputs!$C$6)/9+((Inputs!$I$6+(((A172)+1)/2)*(Inputs!$J$6-Inputs!$I$6)))/18)*EXP(-(((Inputs!$C$6)+5)^2)/(22^2))+18*SIN(2*PI()*((Inputs!$I$6+(((A172)+1)/2)*(Inputs!$J$6-Inputs!$I$6)))/70))+Inputs!$C$28*EXP(-((((Inputs!$I$6+(((A172)+1)/2)*(Inputs!$J$6-Inputs!$I$6)))-Inputs!$C$29)^2)/(2*Inputs!$C$31^2))*EXP(-(((Inputs!$C$6)-Inputs!$C$30)^2)/(2*Inputs!$C$32^2))+-Inputs!$C$33*EXP(-((((((Inputs!$I$6+(((A172)+1)/2)*(Inputs!$J$6-Inputs!$I$6)))-Inputs!$C$34)^2)+(((Inputs!$C$6)-Inputs!$C$35)^2))/(2*Inputs!$C$36^2)))+Inputs!$C$37*(0.55*SIN(2*PI()*((Inputs!$I$6+(((A172)+1)/2)*(Inputs!$J$6-Inputs!$I$6)))/Inputs!$C$39)+0.35*COS(2*PI()*(Inputs!$C$6)/Inputs!$C$40)+0.2*SIN(2*PI()*(((Inputs!$I$6+(((A172)+1)/2)*(Inputs!$J$6-Inputs!$I$6)))+(Inputs!$C$6))/(0.5*(Inputs!$C$39+Inputs!$C$40))))+Inputs!$C$38*SIN(2*PI()*((Inputs!$I$6+(((A172)+1)/2)*(Inputs!$J$6-Inputs!$I$6)))/Inputs!$C$39)*SIN(2*PI()*(Inputs!$C$6)/Inputs!$C$40)+-Inputs!$C$41*EXP(-(((Inputs!$C$6)-Inputs!$C$43)^2)/(2*Inputs!$C$44^2))*EXP(-((((Inputs!$I$6+(((A172)+1)/2)*(Inputs!$J$6-Inputs!$I$6)))-Inputs!$C$42)^2)/(2*Inputs!$C$45^2))+Inputs!$C$48*(0.7*(0.45*SIN(2*PI()*((((Inputs!$I$6+(((A172)+1)/2)*(Inputs!$J$6-Inputs!$I$6)))/Inputs!$C$49)+Inputs!$C$47*0.137))+0.35*COS(2*PI()*(((Inputs!$C$6)/Inputs!$C$50)+Inputs!$C$47*0.173))+0.2*SIN(2*PI()*((((Inputs!$I$6+(((A172)+1)/2)*(Inputs!$J$6-Inputs!$I$6)))+(Inputs!$C$6))/(0.5*(Inputs!$C$49+Inputs!$C$50))+Inputs!$C$47*0.097)))+0.3*(2*((SIN((((Inputs!$I$6+(((A172)+1)/2)*(Inputs!$J$6-Inputs!$I$6)))*12.9898+(Inputs!$C$6)*78.233+Inputs!$C$47*37.719))*43758.5453)-INT((SIN((((Inputs!$I$6+(((A172)+1)/2)*(Inputs!$J$6-Inputs!$I$6)))*12.9898+(Inputs!$C$6)*78.233+Inputs!$C$47*37.719))*43758.5453)))-1))),NA())</f>
        <v/>
      </c>
      <c r="AT172" s="9">
        <f>IF(OR(Inputs!$F$7=TRUE,Inputs!$F$7="TRUE",Inputs!$F$7=1),IF(OR(Inputs!$C$27=TRUE,Inputs!$C$27="TRUE",Inputs!$C$27=1),1,0)*(Inputs!$C$51*(115*EXP(-(((Inputs!$C$6)-25)^2)/(4.5^2))+70*EXP(-(((Inputs!$C$6)+38)^2)/(7^2))*(0.55+0.45*SIN(2*PI()*((Inputs!$I$7+(((A172)+1)/2)*(Inputs!$J$7-Inputs!$I$7)))/45))+24*SIN(2*PI()*(Inputs!$C$6)/9+((Inputs!$I$7+(((A172)+1)/2)*(Inputs!$J$7-Inputs!$I$7)))/18)*EXP(-(((Inputs!$C$6)+5)^2)/(22^2))+18*SIN(2*PI()*((Inputs!$I$7+(((A172)+1)/2)*(Inputs!$J$7-Inputs!$I$7)))/70))+Inputs!$C$28*EXP(-((((Inputs!$I$7+(((A172)+1)/2)*(Inputs!$J$7-Inputs!$I$7)))-Inputs!$C$29)^2)/(2*Inputs!$C$31^2))*EXP(-(((Inputs!$C$6)-Inputs!$C$30)^2)/(2*Inputs!$C$32^2))+-Inputs!$C$33*EXP(-((((((Inputs!$I$7+(((A172)+1)/2)*(Inputs!$J$7-Inputs!$I$7)))-Inputs!$C$34)^2)+(((Inputs!$C$6)-Inputs!$C$35)^2))/(2*Inputs!$C$36^2)))+Inputs!$C$37*(0.55*SIN(2*PI()*((Inputs!$I$7+(((A172)+1)/2)*(Inputs!$J$7-Inputs!$I$7)))/Inputs!$C$39)+0.35*COS(2*PI()*(Inputs!$C$6)/Inputs!$C$40)+0.2*SIN(2*PI()*(((Inputs!$I$7+(((A172)+1)/2)*(Inputs!$J$7-Inputs!$I$7)))+(Inputs!$C$6))/(0.5*(Inputs!$C$39+Inputs!$C$40))))+Inputs!$C$38*SIN(2*PI()*((Inputs!$I$7+(((A172)+1)/2)*(Inputs!$J$7-Inputs!$I$7)))/Inputs!$C$39)*SIN(2*PI()*(Inputs!$C$6)/Inputs!$C$40)+-Inputs!$C$41*EXP(-(((Inputs!$C$6)-Inputs!$C$43)^2)/(2*Inputs!$C$44^2))*EXP(-((((Inputs!$I$7+(((A172)+1)/2)*(Inputs!$J$7-Inputs!$I$7)))-Inputs!$C$42)^2)/(2*Inputs!$C$45^2))+Inputs!$C$48*(0.7*(0.45*SIN(2*PI()*((((Inputs!$I$7+(((A172)+1)/2)*(Inputs!$J$7-Inputs!$I$7)))/Inputs!$C$49)+Inputs!$C$47*0.137))+0.35*COS(2*PI()*(((Inputs!$C$6)/Inputs!$C$50)+Inputs!$C$47*0.173))+0.2*SIN(2*PI()*((((Inputs!$I$7+(((A172)+1)/2)*(Inputs!$J$7-Inputs!$I$7)))+(Inputs!$C$6))/(0.5*(Inputs!$C$49+Inputs!$C$50))+Inputs!$C$47*0.097)))+0.3*(2*((SIN((((Inputs!$I$7+(((A172)+1)/2)*(Inputs!$J$7-Inputs!$I$7)))*12.9898+(Inputs!$C$6)*78.233+Inputs!$C$47*37.719))*43758.5453)-INT((SIN((((Inputs!$I$7+(((A172)+1)/2)*(Inputs!$J$7-Inputs!$I$7)))*12.9898+(Inputs!$C$6)*78.233+Inputs!$C$47*37.719))*43758.5453)))-1))),NA())</f>
        <v/>
      </c>
      <c r="AU172" s="9">
        <f>IF(OR(Inputs!$F$8=TRUE,Inputs!$F$8="TRUE",Inputs!$F$8=1),IF(OR(Inputs!$C$27=TRUE,Inputs!$C$27="TRUE",Inputs!$C$27=1),1,0)*(Inputs!$C$51*(115*EXP(-(((Inputs!$C$6)-25)^2)/(4.5^2))+70*EXP(-(((Inputs!$C$6)+38)^2)/(7^2))*(0.55+0.45*SIN(2*PI()*((Inputs!$I$8+(((A172)+1)/2)*(Inputs!$J$8-Inputs!$I$8)))/45))+24*SIN(2*PI()*(Inputs!$C$6)/9+((Inputs!$I$8+(((A172)+1)/2)*(Inputs!$J$8-Inputs!$I$8)))/18)*EXP(-(((Inputs!$C$6)+5)^2)/(22^2))+18*SIN(2*PI()*((Inputs!$I$8+(((A172)+1)/2)*(Inputs!$J$8-Inputs!$I$8)))/70))+Inputs!$C$28*EXP(-((((Inputs!$I$8+(((A172)+1)/2)*(Inputs!$J$8-Inputs!$I$8)))-Inputs!$C$29)^2)/(2*Inputs!$C$31^2))*EXP(-(((Inputs!$C$6)-Inputs!$C$30)^2)/(2*Inputs!$C$32^2))+-Inputs!$C$33*EXP(-((((((Inputs!$I$8+(((A172)+1)/2)*(Inputs!$J$8-Inputs!$I$8)))-Inputs!$C$34)^2)+(((Inputs!$C$6)-Inputs!$C$35)^2))/(2*Inputs!$C$36^2)))+Inputs!$C$37*(0.55*SIN(2*PI()*((Inputs!$I$8+(((A172)+1)/2)*(Inputs!$J$8-Inputs!$I$8)))/Inputs!$C$39)+0.35*COS(2*PI()*(Inputs!$C$6)/Inputs!$C$40)+0.2*SIN(2*PI()*(((Inputs!$I$8+(((A172)+1)/2)*(Inputs!$J$8-Inputs!$I$8)))+(Inputs!$C$6))/(0.5*(Inputs!$C$39+Inputs!$C$40))))+Inputs!$C$38*SIN(2*PI()*((Inputs!$I$8+(((A172)+1)/2)*(Inputs!$J$8-Inputs!$I$8)))/Inputs!$C$39)*SIN(2*PI()*(Inputs!$C$6)/Inputs!$C$40)+-Inputs!$C$41*EXP(-(((Inputs!$C$6)-Inputs!$C$43)^2)/(2*Inputs!$C$44^2))*EXP(-((((Inputs!$I$8+(((A172)+1)/2)*(Inputs!$J$8-Inputs!$I$8)))-Inputs!$C$42)^2)/(2*Inputs!$C$45^2))+Inputs!$C$48*(0.7*(0.45*SIN(2*PI()*((((Inputs!$I$8+(((A172)+1)/2)*(Inputs!$J$8-Inputs!$I$8)))/Inputs!$C$49)+Inputs!$C$47*0.137))+0.35*COS(2*PI()*(((Inputs!$C$6)/Inputs!$C$50)+Inputs!$C$47*0.173))+0.2*SIN(2*PI()*((((Inputs!$I$8+(((A172)+1)/2)*(Inputs!$J$8-Inputs!$I$8)))+(Inputs!$C$6))/(0.5*(Inputs!$C$49+Inputs!$C$50))+Inputs!$C$47*0.097)))+0.3*(2*((SIN((((Inputs!$I$8+(((A172)+1)/2)*(Inputs!$J$8-Inputs!$I$8)))*12.9898+(Inputs!$C$6)*78.233+Inputs!$C$47*37.719))*43758.5453)-INT((SIN((((Inputs!$I$8+(((A172)+1)/2)*(Inputs!$J$8-Inputs!$I$8)))*12.9898+(Inputs!$C$6)*78.233+Inputs!$C$47*37.719))*43758.5453)))-1))),NA())</f>
        <v/>
      </c>
      <c r="AV172" s="9">
        <f>IF(OR(Inputs!$F$9=TRUE,Inputs!$F$9="TRUE",Inputs!$F$9=1),IF(OR(Inputs!$C$27=TRUE,Inputs!$C$27="TRUE",Inputs!$C$27=1),1,0)*(Inputs!$C$51*(115*EXP(-(((Inputs!$C$6)-25)^2)/(4.5^2))+70*EXP(-(((Inputs!$C$6)+38)^2)/(7^2))*(0.55+0.45*SIN(2*PI()*((Inputs!$I$9+(((A172)+1)/2)*(Inputs!$J$9-Inputs!$I$9)))/45))+24*SIN(2*PI()*(Inputs!$C$6)/9+((Inputs!$I$9+(((A172)+1)/2)*(Inputs!$J$9-Inputs!$I$9)))/18)*EXP(-(((Inputs!$C$6)+5)^2)/(22^2))+18*SIN(2*PI()*((Inputs!$I$9+(((A172)+1)/2)*(Inputs!$J$9-Inputs!$I$9)))/70))+Inputs!$C$28*EXP(-((((Inputs!$I$9+(((A172)+1)/2)*(Inputs!$J$9-Inputs!$I$9)))-Inputs!$C$29)^2)/(2*Inputs!$C$31^2))*EXP(-(((Inputs!$C$6)-Inputs!$C$30)^2)/(2*Inputs!$C$32^2))+-Inputs!$C$33*EXP(-((((((Inputs!$I$9+(((A172)+1)/2)*(Inputs!$J$9-Inputs!$I$9)))-Inputs!$C$34)^2)+(((Inputs!$C$6)-Inputs!$C$35)^2))/(2*Inputs!$C$36^2)))+Inputs!$C$37*(0.55*SIN(2*PI()*((Inputs!$I$9+(((A172)+1)/2)*(Inputs!$J$9-Inputs!$I$9)))/Inputs!$C$39)+0.35*COS(2*PI()*(Inputs!$C$6)/Inputs!$C$40)+0.2*SIN(2*PI()*(((Inputs!$I$9+(((A172)+1)/2)*(Inputs!$J$9-Inputs!$I$9)))+(Inputs!$C$6))/(0.5*(Inputs!$C$39+Inputs!$C$40))))+Inputs!$C$38*SIN(2*PI()*((Inputs!$I$9+(((A172)+1)/2)*(Inputs!$J$9-Inputs!$I$9)))/Inputs!$C$39)*SIN(2*PI()*(Inputs!$C$6)/Inputs!$C$40)+-Inputs!$C$41*EXP(-(((Inputs!$C$6)-Inputs!$C$43)^2)/(2*Inputs!$C$44^2))*EXP(-((((Inputs!$I$9+(((A172)+1)/2)*(Inputs!$J$9-Inputs!$I$9)))-Inputs!$C$42)^2)/(2*Inputs!$C$45^2))+Inputs!$C$48*(0.7*(0.45*SIN(2*PI()*((((Inputs!$I$9+(((A172)+1)/2)*(Inputs!$J$9-Inputs!$I$9)))/Inputs!$C$49)+Inputs!$C$47*0.137))+0.35*COS(2*PI()*(((Inputs!$C$6)/Inputs!$C$50)+Inputs!$C$47*0.173))+0.2*SIN(2*PI()*((((Inputs!$I$9+(((A172)+1)/2)*(Inputs!$J$9-Inputs!$I$9)))+(Inputs!$C$6))/(0.5*(Inputs!$C$49+Inputs!$C$50))+Inputs!$C$47*0.097)))+0.3*(2*((SIN((((Inputs!$I$9+(((A172)+1)/2)*(Inputs!$J$9-Inputs!$I$9)))*12.9898+(Inputs!$C$6)*78.233+Inputs!$C$47*37.719))*43758.5453)-INT((SIN((((Inputs!$I$9+(((A172)+1)/2)*(Inputs!$J$9-Inputs!$I$9)))*12.9898+(Inputs!$C$6)*78.233+Inputs!$C$47*37.719))*43758.5453)))-1))),NA())</f>
        <v/>
      </c>
      <c r="AW172" s="10" t="n"/>
      <c r="AX172" s="9">
        <f>A172</f>
        <v/>
      </c>
      <c r="AY172" s="9">
        <f>0</f>
        <v/>
      </c>
      <c r="AZ172" s="9">
        <f>IF(OR(Inputs!$F$6=TRUE,Inputs!$F$6="TRUE",Inputs!$F$6=1),(Inputs!$H$6+Inputs!$L$6*(((Inputs!$I$6+(((A172)+1)/2)*(Inputs!$J$6-Inputs!$I$6)))/Inputs!$K$6)^2),NA())</f>
        <v/>
      </c>
      <c r="BA172" s="9">
        <f>IF(OR(Inputs!$F$7=TRUE,Inputs!$F$7="TRUE",Inputs!$F$7=1),(Inputs!$H$7+Inputs!$L$7*(((Inputs!$I$7+(((A172)+1)/2)*(Inputs!$J$7-Inputs!$I$7)))/Inputs!$K$7)^2),NA())</f>
        <v/>
      </c>
      <c r="BB172" s="9">
        <f>IF(OR(Inputs!$F$8=TRUE,Inputs!$F$8="TRUE",Inputs!$F$8=1),(Inputs!$H$8+Inputs!$L$8*(((Inputs!$I$8+(((A172)+1)/2)*(Inputs!$J$8-Inputs!$I$8)))/Inputs!$K$8)^2),NA())</f>
        <v/>
      </c>
      <c r="BC172" s="9">
        <f>IF(OR(Inputs!$F$9=TRUE,Inputs!$F$9="TRUE",Inputs!$F$9=1),(Inputs!$H$9+Inputs!$L$9*(((Inputs!$I$9+(((A172)+1)/2)*(Inputs!$J$9-Inputs!$I$9)))/Inputs!$K$9)^2),NA())</f>
        <v/>
      </c>
      <c r="BD172" s="10" t="n"/>
      <c r="BE172" s="9">
        <f>A172</f>
        <v/>
      </c>
      <c r="BF172" s="9">
        <f>0</f>
        <v/>
      </c>
      <c r="BG172" s="9">
        <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f>
        <v/>
      </c>
      <c r="BH172" s="9">
        <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f>
        <v/>
      </c>
      <c r="BI172" s="9">
        <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f>
        <v/>
      </c>
      <c r="BJ172" s="9">
        <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f>
        <v/>
      </c>
    </row>
    <row r="173">
      <c r="A173" s="9">
        <f>ROUND(-1+171*2/240,3)</f>
        <v/>
      </c>
      <c r="B173" s="9">
        <f>IF(OR(Inputs!$F$6=TRUE,Inputs!$F$6="TRUE",Inputs!$F$6=1),(Inputs!$H$6+Inputs!$L$6*(((Inputs!$I$6+(((A173)+1)/2)*(Inputs!$J$6-Inputs!$I$6)))/Inputs!$K$6)^2),NA())</f>
        <v/>
      </c>
      <c r="C173" s="9">
        <f>IF(OR(Inputs!$F$7=TRUE,Inputs!$F$7="TRUE",Inputs!$F$7=1),(Inputs!$H$7+Inputs!$L$7*(((Inputs!$I$7+(((A173)+1)/2)*(Inputs!$J$7-Inputs!$I$7)))/Inputs!$K$7)^2),NA())</f>
        <v/>
      </c>
      <c r="D173" s="9">
        <f>IF(OR(Inputs!$F$8=TRUE,Inputs!$F$8="TRUE",Inputs!$F$8=1),(Inputs!$H$8+Inputs!$L$8*(((Inputs!$I$8+(((A173)+1)/2)*(Inputs!$J$8-Inputs!$I$8)))/Inputs!$K$8)^2),NA())</f>
        <v/>
      </c>
      <c r="E173" s="9">
        <f>IF(OR(Inputs!$F$9=TRUE,Inputs!$F$9="TRUE",Inputs!$F$9=1),(Inputs!$H$9+Inputs!$L$9*(((Inputs!$I$9+(((A173)+1)/2)*(Inputs!$J$9-Inputs!$I$9)))/Inputs!$K$9)^2),NA())</f>
        <v/>
      </c>
      <c r="F173" s="10" t="n"/>
      <c r="G173" s="9">
        <f>A173</f>
        <v/>
      </c>
      <c r="H173" s="9">
        <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f>
        <v/>
      </c>
      <c r="I173" s="9">
        <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f>
        <v/>
      </c>
      <c r="J173" s="9">
        <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f>
        <v/>
      </c>
      <c r="K173" s="9">
        <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f>
        <v/>
      </c>
      <c r="L173" s="10" t="n"/>
      <c r="M173" s="9">
        <f>A173</f>
        <v/>
      </c>
      <c r="N173" s="9">
        <f>IF(OR(Inputs!$F$6=TRUE,Inputs!$F$6="TRUE",Inputs!$F$6=1),(-2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NA())</f>
        <v/>
      </c>
      <c r="O173" s="9">
        <f>IF(OR(Inputs!$F$7=TRUE,Inputs!$F$7="TRUE",Inputs!$F$7=1),(-2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NA())</f>
        <v/>
      </c>
      <c r="P173" s="9">
        <f>IF(OR(Inputs!$F$8=TRUE,Inputs!$F$8="TRUE",Inputs!$F$8=1),(-2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NA())</f>
        <v/>
      </c>
      <c r="Q173" s="9">
        <f>IF(OR(Inputs!$F$9=TRUE,Inputs!$F$9="TRUE",Inputs!$F$9=1),(-2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NA())</f>
        <v/>
      </c>
      <c r="R173" s="10" t="n"/>
      <c r="S173" s="9">
        <f>A173</f>
        <v/>
      </c>
      <c r="T173" s="9">
        <f>(Inputs!$I$6+(((A173)+1)/2)*(Inputs!$J$6-Inputs!$I$6))</f>
        <v/>
      </c>
      <c r="U173" s="9">
        <f>(Inputs!$I$7+(((A173)+1)/2)*(Inputs!$J$7-Inputs!$I$7))</f>
        <v/>
      </c>
      <c r="V173" s="9">
        <f>(Inputs!$I$8+(((A173)+1)/2)*(Inputs!$J$8-Inputs!$I$8))</f>
        <v/>
      </c>
      <c r="W173" s="9">
        <f>(Inputs!$I$9+(((A173)+1)/2)*(Inputs!$J$9-Inputs!$I$9))</f>
        <v/>
      </c>
      <c r="X173" s="10" t="n"/>
      <c r="Y173" s="9">
        <f>A173</f>
        <v/>
      </c>
      <c r="Z173" s="9">
        <f>(Inputs!$H$6+Inputs!$L$6*(((Inputs!$I$6+(((A173)+1)/2)*(Inputs!$J$6-Inputs!$I$6)))/Inputs!$K$6)^2)</f>
        <v/>
      </c>
      <c r="AA173" s="9">
        <f>(Inputs!$H$7+Inputs!$L$7*(((Inputs!$I$7+(((A173)+1)/2)*(Inputs!$J$7-Inputs!$I$7)))/Inputs!$K$7)^2)</f>
        <v/>
      </c>
      <c r="AB173" s="9">
        <f>(Inputs!$H$8+Inputs!$L$8*(((Inputs!$I$8+(((A173)+1)/2)*(Inputs!$J$8-Inputs!$I$8)))/Inputs!$K$8)^2)</f>
        <v/>
      </c>
      <c r="AC173" s="9">
        <f>(Inputs!$H$9+Inputs!$L$9*(((Inputs!$I$9+(((A173)+1)/2)*(Inputs!$J$9-Inputs!$I$9)))/Inputs!$K$9)^2)</f>
        <v/>
      </c>
      <c r="AD173" s="10" t="n"/>
      <c r="AE173" s="9">
        <f>A173</f>
        <v/>
      </c>
      <c r="AF173" s="9">
        <f>(((SQRT((Inputs!$C$52+((Inputs!$H$6+Inputs!$L$6*(((Inputs!$I$6+(((A173)+1)/2)*(Inputs!$J$6-Inputs!$I$6)))/Inputs!$K$6)^2)))^2+Inputs!$C$52^2-2*(Inputs!$C$52+((Inputs!$H$6+Inputs!$L$6*(((Inputs!$I$6+(((A173)+1)/2)*(Inputs!$J$6-Inputs!$I$6)))/Inputs!$K$6)^2)))*Inputs!$C$52*COS(SQRT(((Inputs!$I$6+(((A173)+1)/2)*(Inputs!$J$6-Inputs!$I$6)))^2+Inputs!$C$6^2)/Inputs!$C$52)))-((Inputs!$H$6+Inputs!$L$6*(((Inputs!$I$6+(((A173)+1)/2)*(Inputs!$J$6-Inputs!$I$6)))/Inputs!$K$6)^2)))*1000/Inputs!$C$12)</f>
        <v/>
      </c>
      <c r="AG173" s="9">
        <f>(((SQRT((Inputs!$C$52+((Inputs!$H$7+Inputs!$L$7*(((Inputs!$I$7+(((A173)+1)/2)*(Inputs!$J$7-Inputs!$I$7)))/Inputs!$K$7)^2)))^2+Inputs!$C$52^2-2*(Inputs!$C$52+((Inputs!$H$7+Inputs!$L$7*(((Inputs!$I$7+(((A173)+1)/2)*(Inputs!$J$7-Inputs!$I$7)))/Inputs!$K$7)^2)))*Inputs!$C$52*COS(SQRT(((Inputs!$I$7+(((A173)+1)/2)*(Inputs!$J$7-Inputs!$I$7)))^2+Inputs!$C$6^2)/Inputs!$C$52)))-((Inputs!$H$7+Inputs!$L$7*(((Inputs!$I$7+(((A173)+1)/2)*(Inputs!$J$7-Inputs!$I$7)))/Inputs!$K$7)^2)))*1000/Inputs!$C$12)</f>
        <v/>
      </c>
      <c r="AH173" s="9">
        <f>(((SQRT((Inputs!$C$52+((Inputs!$H$8+Inputs!$L$8*(((Inputs!$I$8+(((A173)+1)/2)*(Inputs!$J$8-Inputs!$I$8)))/Inputs!$K$8)^2)))^2+Inputs!$C$52^2-2*(Inputs!$C$52+((Inputs!$H$8+Inputs!$L$8*(((Inputs!$I$8+(((A173)+1)/2)*(Inputs!$J$8-Inputs!$I$8)))/Inputs!$K$8)^2)))*Inputs!$C$52*COS(SQRT(((Inputs!$I$8+(((A173)+1)/2)*(Inputs!$J$8-Inputs!$I$8)))^2+Inputs!$C$6^2)/Inputs!$C$52)))-((Inputs!$H$8+Inputs!$L$8*(((Inputs!$I$8+(((A173)+1)/2)*(Inputs!$J$8-Inputs!$I$8)))/Inputs!$K$8)^2)))*1000/Inputs!$C$12)</f>
        <v/>
      </c>
      <c r="AI173" s="9">
        <f>(((SQRT((Inputs!$C$52+((Inputs!$H$9+Inputs!$L$9*(((Inputs!$I$9+(((A173)+1)/2)*(Inputs!$J$9-Inputs!$I$9)))/Inputs!$K$9)^2)))^2+Inputs!$C$52^2-2*(Inputs!$C$52+((Inputs!$H$9+Inputs!$L$9*(((Inputs!$I$9+(((A173)+1)/2)*(Inputs!$J$9-Inputs!$I$9)))/Inputs!$K$9)^2)))*Inputs!$C$52*COS(SQRT(((Inputs!$I$9+(((A173)+1)/2)*(Inputs!$J$9-Inputs!$I$9)))^2+Inputs!$C$6^2)/Inputs!$C$52)))-((Inputs!$H$9+Inputs!$L$9*(((Inputs!$I$9+(((A173)+1)/2)*(Inputs!$J$9-Inputs!$I$9)))/Inputs!$K$9)^2)))*1000/Inputs!$C$12)</f>
        <v/>
      </c>
      <c r="AJ173" s="10" t="n"/>
      <c r="AK173" s="9">
        <f>A173</f>
        <v/>
      </c>
      <c r="AL173" s="9">
        <f>(-2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f>
        <v/>
      </c>
      <c r="AM173" s="9">
        <f>(-2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f>
        <v/>
      </c>
      <c r="AN173" s="9">
        <f>(-2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f>
        <v/>
      </c>
      <c r="AO173" s="9">
        <f>(-2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f>
        <v/>
      </c>
      <c r="AP173" s="10" t="n"/>
      <c r="AQ173" s="9">
        <f>A173</f>
        <v/>
      </c>
      <c r="AR173" s="9">
        <f>0</f>
        <v/>
      </c>
      <c r="AS173" s="9">
        <f>IF(OR(Inputs!$F$6=TRUE,Inputs!$F$6="TRUE",Inputs!$F$6=1),IF(OR(Inputs!$C$27=TRUE,Inputs!$C$27="TRUE",Inputs!$C$27=1),1,0)*(Inputs!$C$51*(115*EXP(-(((Inputs!$C$6)-25)^2)/(4.5^2))+70*EXP(-(((Inputs!$C$6)+38)^2)/(7^2))*(0.55+0.45*SIN(2*PI()*((Inputs!$I$6+(((A173)+1)/2)*(Inputs!$J$6-Inputs!$I$6)))/45))+24*SIN(2*PI()*(Inputs!$C$6)/9+((Inputs!$I$6+(((A173)+1)/2)*(Inputs!$J$6-Inputs!$I$6)))/18)*EXP(-(((Inputs!$C$6)+5)^2)/(22^2))+18*SIN(2*PI()*((Inputs!$I$6+(((A173)+1)/2)*(Inputs!$J$6-Inputs!$I$6)))/70))+Inputs!$C$28*EXP(-((((Inputs!$I$6+(((A173)+1)/2)*(Inputs!$J$6-Inputs!$I$6)))-Inputs!$C$29)^2)/(2*Inputs!$C$31^2))*EXP(-(((Inputs!$C$6)-Inputs!$C$30)^2)/(2*Inputs!$C$32^2))+-Inputs!$C$33*EXP(-((((((Inputs!$I$6+(((A173)+1)/2)*(Inputs!$J$6-Inputs!$I$6)))-Inputs!$C$34)^2)+(((Inputs!$C$6)-Inputs!$C$35)^2))/(2*Inputs!$C$36^2)))+Inputs!$C$37*(0.55*SIN(2*PI()*((Inputs!$I$6+(((A173)+1)/2)*(Inputs!$J$6-Inputs!$I$6)))/Inputs!$C$39)+0.35*COS(2*PI()*(Inputs!$C$6)/Inputs!$C$40)+0.2*SIN(2*PI()*(((Inputs!$I$6+(((A173)+1)/2)*(Inputs!$J$6-Inputs!$I$6)))+(Inputs!$C$6))/(0.5*(Inputs!$C$39+Inputs!$C$40))))+Inputs!$C$38*SIN(2*PI()*((Inputs!$I$6+(((A173)+1)/2)*(Inputs!$J$6-Inputs!$I$6)))/Inputs!$C$39)*SIN(2*PI()*(Inputs!$C$6)/Inputs!$C$40)+-Inputs!$C$41*EXP(-(((Inputs!$C$6)-Inputs!$C$43)^2)/(2*Inputs!$C$44^2))*EXP(-((((Inputs!$I$6+(((A173)+1)/2)*(Inputs!$J$6-Inputs!$I$6)))-Inputs!$C$42)^2)/(2*Inputs!$C$45^2))+Inputs!$C$48*(0.7*(0.45*SIN(2*PI()*((((Inputs!$I$6+(((A173)+1)/2)*(Inputs!$J$6-Inputs!$I$6)))/Inputs!$C$49)+Inputs!$C$47*0.137))+0.35*COS(2*PI()*(((Inputs!$C$6)/Inputs!$C$50)+Inputs!$C$47*0.173))+0.2*SIN(2*PI()*((((Inputs!$I$6+(((A173)+1)/2)*(Inputs!$J$6-Inputs!$I$6)))+(Inputs!$C$6))/(0.5*(Inputs!$C$49+Inputs!$C$50))+Inputs!$C$47*0.097)))+0.3*(2*((SIN((((Inputs!$I$6+(((A173)+1)/2)*(Inputs!$J$6-Inputs!$I$6)))*12.9898+(Inputs!$C$6)*78.233+Inputs!$C$47*37.719))*43758.5453)-INT((SIN((((Inputs!$I$6+(((A173)+1)/2)*(Inputs!$J$6-Inputs!$I$6)))*12.9898+(Inputs!$C$6)*78.233+Inputs!$C$47*37.719))*43758.5453)))-1))),NA())</f>
        <v/>
      </c>
      <c r="AT173" s="9">
        <f>IF(OR(Inputs!$F$7=TRUE,Inputs!$F$7="TRUE",Inputs!$F$7=1),IF(OR(Inputs!$C$27=TRUE,Inputs!$C$27="TRUE",Inputs!$C$27=1),1,0)*(Inputs!$C$51*(115*EXP(-(((Inputs!$C$6)-25)^2)/(4.5^2))+70*EXP(-(((Inputs!$C$6)+38)^2)/(7^2))*(0.55+0.45*SIN(2*PI()*((Inputs!$I$7+(((A173)+1)/2)*(Inputs!$J$7-Inputs!$I$7)))/45))+24*SIN(2*PI()*(Inputs!$C$6)/9+((Inputs!$I$7+(((A173)+1)/2)*(Inputs!$J$7-Inputs!$I$7)))/18)*EXP(-(((Inputs!$C$6)+5)^2)/(22^2))+18*SIN(2*PI()*((Inputs!$I$7+(((A173)+1)/2)*(Inputs!$J$7-Inputs!$I$7)))/70))+Inputs!$C$28*EXP(-((((Inputs!$I$7+(((A173)+1)/2)*(Inputs!$J$7-Inputs!$I$7)))-Inputs!$C$29)^2)/(2*Inputs!$C$31^2))*EXP(-(((Inputs!$C$6)-Inputs!$C$30)^2)/(2*Inputs!$C$32^2))+-Inputs!$C$33*EXP(-((((((Inputs!$I$7+(((A173)+1)/2)*(Inputs!$J$7-Inputs!$I$7)))-Inputs!$C$34)^2)+(((Inputs!$C$6)-Inputs!$C$35)^2))/(2*Inputs!$C$36^2)))+Inputs!$C$37*(0.55*SIN(2*PI()*((Inputs!$I$7+(((A173)+1)/2)*(Inputs!$J$7-Inputs!$I$7)))/Inputs!$C$39)+0.35*COS(2*PI()*(Inputs!$C$6)/Inputs!$C$40)+0.2*SIN(2*PI()*(((Inputs!$I$7+(((A173)+1)/2)*(Inputs!$J$7-Inputs!$I$7)))+(Inputs!$C$6))/(0.5*(Inputs!$C$39+Inputs!$C$40))))+Inputs!$C$38*SIN(2*PI()*((Inputs!$I$7+(((A173)+1)/2)*(Inputs!$J$7-Inputs!$I$7)))/Inputs!$C$39)*SIN(2*PI()*(Inputs!$C$6)/Inputs!$C$40)+-Inputs!$C$41*EXP(-(((Inputs!$C$6)-Inputs!$C$43)^2)/(2*Inputs!$C$44^2))*EXP(-((((Inputs!$I$7+(((A173)+1)/2)*(Inputs!$J$7-Inputs!$I$7)))-Inputs!$C$42)^2)/(2*Inputs!$C$45^2))+Inputs!$C$48*(0.7*(0.45*SIN(2*PI()*((((Inputs!$I$7+(((A173)+1)/2)*(Inputs!$J$7-Inputs!$I$7)))/Inputs!$C$49)+Inputs!$C$47*0.137))+0.35*COS(2*PI()*(((Inputs!$C$6)/Inputs!$C$50)+Inputs!$C$47*0.173))+0.2*SIN(2*PI()*((((Inputs!$I$7+(((A173)+1)/2)*(Inputs!$J$7-Inputs!$I$7)))+(Inputs!$C$6))/(0.5*(Inputs!$C$49+Inputs!$C$50))+Inputs!$C$47*0.097)))+0.3*(2*((SIN((((Inputs!$I$7+(((A173)+1)/2)*(Inputs!$J$7-Inputs!$I$7)))*12.9898+(Inputs!$C$6)*78.233+Inputs!$C$47*37.719))*43758.5453)-INT((SIN((((Inputs!$I$7+(((A173)+1)/2)*(Inputs!$J$7-Inputs!$I$7)))*12.9898+(Inputs!$C$6)*78.233+Inputs!$C$47*37.719))*43758.5453)))-1))),NA())</f>
        <v/>
      </c>
      <c r="AU173" s="9">
        <f>IF(OR(Inputs!$F$8=TRUE,Inputs!$F$8="TRUE",Inputs!$F$8=1),IF(OR(Inputs!$C$27=TRUE,Inputs!$C$27="TRUE",Inputs!$C$27=1),1,0)*(Inputs!$C$51*(115*EXP(-(((Inputs!$C$6)-25)^2)/(4.5^2))+70*EXP(-(((Inputs!$C$6)+38)^2)/(7^2))*(0.55+0.45*SIN(2*PI()*((Inputs!$I$8+(((A173)+1)/2)*(Inputs!$J$8-Inputs!$I$8)))/45))+24*SIN(2*PI()*(Inputs!$C$6)/9+((Inputs!$I$8+(((A173)+1)/2)*(Inputs!$J$8-Inputs!$I$8)))/18)*EXP(-(((Inputs!$C$6)+5)^2)/(22^2))+18*SIN(2*PI()*((Inputs!$I$8+(((A173)+1)/2)*(Inputs!$J$8-Inputs!$I$8)))/70))+Inputs!$C$28*EXP(-((((Inputs!$I$8+(((A173)+1)/2)*(Inputs!$J$8-Inputs!$I$8)))-Inputs!$C$29)^2)/(2*Inputs!$C$31^2))*EXP(-(((Inputs!$C$6)-Inputs!$C$30)^2)/(2*Inputs!$C$32^2))+-Inputs!$C$33*EXP(-((((((Inputs!$I$8+(((A173)+1)/2)*(Inputs!$J$8-Inputs!$I$8)))-Inputs!$C$34)^2)+(((Inputs!$C$6)-Inputs!$C$35)^2))/(2*Inputs!$C$36^2)))+Inputs!$C$37*(0.55*SIN(2*PI()*((Inputs!$I$8+(((A173)+1)/2)*(Inputs!$J$8-Inputs!$I$8)))/Inputs!$C$39)+0.35*COS(2*PI()*(Inputs!$C$6)/Inputs!$C$40)+0.2*SIN(2*PI()*(((Inputs!$I$8+(((A173)+1)/2)*(Inputs!$J$8-Inputs!$I$8)))+(Inputs!$C$6))/(0.5*(Inputs!$C$39+Inputs!$C$40))))+Inputs!$C$38*SIN(2*PI()*((Inputs!$I$8+(((A173)+1)/2)*(Inputs!$J$8-Inputs!$I$8)))/Inputs!$C$39)*SIN(2*PI()*(Inputs!$C$6)/Inputs!$C$40)+-Inputs!$C$41*EXP(-(((Inputs!$C$6)-Inputs!$C$43)^2)/(2*Inputs!$C$44^2))*EXP(-((((Inputs!$I$8+(((A173)+1)/2)*(Inputs!$J$8-Inputs!$I$8)))-Inputs!$C$42)^2)/(2*Inputs!$C$45^2))+Inputs!$C$48*(0.7*(0.45*SIN(2*PI()*((((Inputs!$I$8+(((A173)+1)/2)*(Inputs!$J$8-Inputs!$I$8)))/Inputs!$C$49)+Inputs!$C$47*0.137))+0.35*COS(2*PI()*(((Inputs!$C$6)/Inputs!$C$50)+Inputs!$C$47*0.173))+0.2*SIN(2*PI()*((((Inputs!$I$8+(((A173)+1)/2)*(Inputs!$J$8-Inputs!$I$8)))+(Inputs!$C$6))/(0.5*(Inputs!$C$49+Inputs!$C$50))+Inputs!$C$47*0.097)))+0.3*(2*((SIN((((Inputs!$I$8+(((A173)+1)/2)*(Inputs!$J$8-Inputs!$I$8)))*12.9898+(Inputs!$C$6)*78.233+Inputs!$C$47*37.719))*43758.5453)-INT((SIN((((Inputs!$I$8+(((A173)+1)/2)*(Inputs!$J$8-Inputs!$I$8)))*12.9898+(Inputs!$C$6)*78.233+Inputs!$C$47*37.719))*43758.5453)))-1))),NA())</f>
        <v/>
      </c>
      <c r="AV173" s="9">
        <f>IF(OR(Inputs!$F$9=TRUE,Inputs!$F$9="TRUE",Inputs!$F$9=1),IF(OR(Inputs!$C$27=TRUE,Inputs!$C$27="TRUE",Inputs!$C$27=1),1,0)*(Inputs!$C$51*(115*EXP(-(((Inputs!$C$6)-25)^2)/(4.5^2))+70*EXP(-(((Inputs!$C$6)+38)^2)/(7^2))*(0.55+0.45*SIN(2*PI()*((Inputs!$I$9+(((A173)+1)/2)*(Inputs!$J$9-Inputs!$I$9)))/45))+24*SIN(2*PI()*(Inputs!$C$6)/9+((Inputs!$I$9+(((A173)+1)/2)*(Inputs!$J$9-Inputs!$I$9)))/18)*EXP(-(((Inputs!$C$6)+5)^2)/(22^2))+18*SIN(2*PI()*((Inputs!$I$9+(((A173)+1)/2)*(Inputs!$J$9-Inputs!$I$9)))/70))+Inputs!$C$28*EXP(-((((Inputs!$I$9+(((A173)+1)/2)*(Inputs!$J$9-Inputs!$I$9)))-Inputs!$C$29)^2)/(2*Inputs!$C$31^2))*EXP(-(((Inputs!$C$6)-Inputs!$C$30)^2)/(2*Inputs!$C$32^2))+-Inputs!$C$33*EXP(-((((((Inputs!$I$9+(((A173)+1)/2)*(Inputs!$J$9-Inputs!$I$9)))-Inputs!$C$34)^2)+(((Inputs!$C$6)-Inputs!$C$35)^2))/(2*Inputs!$C$36^2)))+Inputs!$C$37*(0.55*SIN(2*PI()*((Inputs!$I$9+(((A173)+1)/2)*(Inputs!$J$9-Inputs!$I$9)))/Inputs!$C$39)+0.35*COS(2*PI()*(Inputs!$C$6)/Inputs!$C$40)+0.2*SIN(2*PI()*(((Inputs!$I$9+(((A173)+1)/2)*(Inputs!$J$9-Inputs!$I$9)))+(Inputs!$C$6))/(0.5*(Inputs!$C$39+Inputs!$C$40))))+Inputs!$C$38*SIN(2*PI()*((Inputs!$I$9+(((A173)+1)/2)*(Inputs!$J$9-Inputs!$I$9)))/Inputs!$C$39)*SIN(2*PI()*(Inputs!$C$6)/Inputs!$C$40)+-Inputs!$C$41*EXP(-(((Inputs!$C$6)-Inputs!$C$43)^2)/(2*Inputs!$C$44^2))*EXP(-((((Inputs!$I$9+(((A173)+1)/2)*(Inputs!$J$9-Inputs!$I$9)))-Inputs!$C$42)^2)/(2*Inputs!$C$45^2))+Inputs!$C$48*(0.7*(0.45*SIN(2*PI()*((((Inputs!$I$9+(((A173)+1)/2)*(Inputs!$J$9-Inputs!$I$9)))/Inputs!$C$49)+Inputs!$C$47*0.137))+0.35*COS(2*PI()*(((Inputs!$C$6)/Inputs!$C$50)+Inputs!$C$47*0.173))+0.2*SIN(2*PI()*((((Inputs!$I$9+(((A173)+1)/2)*(Inputs!$J$9-Inputs!$I$9)))+(Inputs!$C$6))/(0.5*(Inputs!$C$49+Inputs!$C$50))+Inputs!$C$47*0.097)))+0.3*(2*((SIN((((Inputs!$I$9+(((A173)+1)/2)*(Inputs!$J$9-Inputs!$I$9)))*12.9898+(Inputs!$C$6)*78.233+Inputs!$C$47*37.719))*43758.5453)-INT((SIN((((Inputs!$I$9+(((A173)+1)/2)*(Inputs!$J$9-Inputs!$I$9)))*12.9898+(Inputs!$C$6)*78.233+Inputs!$C$47*37.719))*43758.5453)))-1))),NA())</f>
        <v/>
      </c>
      <c r="AW173" s="10" t="n"/>
      <c r="AX173" s="9">
        <f>A173</f>
        <v/>
      </c>
      <c r="AY173" s="9">
        <f>0</f>
        <v/>
      </c>
      <c r="AZ173" s="9">
        <f>IF(OR(Inputs!$F$6=TRUE,Inputs!$F$6="TRUE",Inputs!$F$6=1),(Inputs!$H$6+Inputs!$L$6*(((Inputs!$I$6+(((A173)+1)/2)*(Inputs!$J$6-Inputs!$I$6)))/Inputs!$K$6)^2),NA())</f>
        <v/>
      </c>
      <c r="BA173" s="9">
        <f>IF(OR(Inputs!$F$7=TRUE,Inputs!$F$7="TRUE",Inputs!$F$7=1),(Inputs!$H$7+Inputs!$L$7*(((Inputs!$I$7+(((A173)+1)/2)*(Inputs!$J$7-Inputs!$I$7)))/Inputs!$K$7)^2),NA())</f>
        <v/>
      </c>
      <c r="BB173" s="9">
        <f>IF(OR(Inputs!$F$8=TRUE,Inputs!$F$8="TRUE",Inputs!$F$8=1),(Inputs!$H$8+Inputs!$L$8*(((Inputs!$I$8+(((A173)+1)/2)*(Inputs!$J$8-Inputs!$I$8)))/Inputs!$K$8)^2),NA())</f>
        <v/>
      </c>
      <c r="BC173" s="9">
        <f>IF(OR(Inputs!$F$9=TRUE,Inputs!$F$9="TRUE",Inputs!$F$9=1),(Inputs!$H$9+Inputs!$L$9*(((Inputs!$I$9+(((A173)+1)/2)*(Inputs!$J$9-Inputs!$I$9)))/Inputs!$K$9)^2),NA())</f>
        <v/>
      </c>
      <c r="BD173" s="10" t="n"/>
      <c r="BE173" s="9">
        <f>A173</f>
        <v/>
      </c>
      <c r="BF173" s="9">
        <f>0</f>
        <v/>
      </c>
      <c r="BG173" s="9">
        <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f>
        <v/>
      </c>
      <c r="BH173" s="9">
        <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f>
        <v/>
      </c>
      <c r="BI173" s="9">
        <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f>
        <v/>
      </c>
      <c r="BJ173" s="9">
        <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f>
        <v/>
      </c>
    </row>
    <row r="174">
      <c r="A174" s="9">
        <f>ROUND(-1+172*2/240,3)</f>
        <v/>
      </c>
      <c r="B174" s="9">
        <f>IF(OR(Inputs!$F$6=TRUE,Inputs!$F$6="TRUE",Inputs!$F$6=1),(Inputs!$H$6+Inputs!$L$6*(((Inputs!$I$6+(((A174)+1)/2)*(Inputs!$J$6-Inputs!$I$6)))/Inputs!$K$6)^2),NA())</f>
        <v/>
      </c>
      <c r="C174" s="9">
        <f>IF(OR(Inputs!$F$7=TRUE,Inputs!$F$7="TRUE",Inputs!$F$7=1),(Inputs!$H$7+Inputs!$L$7*(((Inputs!$I$7+(((A174)+1)/2)*(Inputs!$J$7-Inputs!$I$7)))/Inputs!$K$7)^2),NA())</f>
        <v/>
      </c>
      <c r="D174" s="9">
        <f>IF(OR(Inputs!$F$8=TRUE,Inputs!$F$8="TRUE",Inputs!$F$8=1),(Inputs!$H$8+Inputs!$L$8*(((Inputs!$I$8+(((A174)+1)/2)*(Inputs!$J$8-Inputs!$I$8)))/Inputs!$K$8)^2),NA())</f>
        <v/>
      </c>
      <c r="E174" s="9">
        <f>IF(OR(Inputs!$F$9=TRUE,Inputs!$F$9="TRUE",Inputs!$F$9=1),(Inputs!$H$9+Inputs!$L$9*(((Inputs!$I$9+(((A174)+1)/2)*(Inputs!$J$9-Inputs!$I$9)))/Inputs!$K$9)^2),NA())</f>
        <v/>
      </c>
      <c r="F174" s="10" t="n"/>
      <c r="G174" s="9">
        <f>A174</f>
        <v/>
      </c>
      <c r="H174" s="9">
        <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f>
        <v/>
      </c>
      <c r="I174" s="9">
        <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f>
        <v/>
      </c>
      <c r="J174" s="9">
        <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f>
        <v/>
      </c>
      <c r="K174" s="9">
        <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f>
        <v/>
      </c>
      <c r="L174" s="10" t="n"/>
      <c r="M174" s="9">
        <f>A174</f>
        <v/>
      </c>
      <c r="N174" s="9">
        <f>IF(OR(Inputs!$F$6=TRUE,Inputs!$F$6="TRUE",Inputs!$F$6=1),(-2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NA())</f>
        <v/>
      </c>
      <c r="O174" s="9">
        <f>IF(OR(Inputs!$F$7=TRUE,Inputs!$F$7="TRUE",Inputs!$F$7=1),(-2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NA())</f>
        <v/>
      </c>
      <c r="P174" s="9">
        <f>IF(OR(Inputs!$F$8=TRUE,Inputs!$F$8="TRUE",Inputs!$F$8=1),(-2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NA())</f>
        <v/>
      </c>
      <c r="Q174" s="9">
        <f>IF(OR(Inputs!$F$9=TRUE,Inputs!$F$9="TRUE",Inputs!$F$9=1),(-2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NA())</f>
        <v/>
      </c>
      <c r="R174" s="10" t="n"/>
      <c r="S174" s="9">
        <f>A174</f>
        <v/>
      </c>
      <c r="T174" s="9">
        <f>(Inputs!$I$6+(((A174)+1)/2)*(Inputs!$J$6-Inputs!$I$6))</f>
        <v/>
      </c>
      <c r="U174" s="9">
        <f>(Inputs!$I$7+(((A174)+1)/2)*(Inputs!$J$7-Inputs!$I$7))</f>
        <v/>
      </c>
      <c r="V174" s="9">
        <f>(Inputs!$I$8+(((A174)+1)/2)*(Inputs!$J$8-Inputs!$I$8))</f>
        <v/>
      </c>
      <c r="W174" s="9">
        <f>(Inputs!$I$9+(((A174)+1)/2)*(Inputs!$J$9-Inputs!$I$9))</f>
        <v/>
      </c>
      <c r="X174" s="10" t="n"/>
      <c r="Y174" s="9">
        <f>A174</f>
        <v/>
      </c>
      <c r="Z174" s="9">
        <f>(Inputs!$H$6+Inputs!$L$6*(((Inputs!$I$6+(((A174)+1)/2)*(Inputs!$J$6-Inputs!$I$6)))/Inputs!$K$6)^2)</f>
        <v/>
      </c>
      <c r="AA174" s="9">
        <f>(Inputs!$H$7+Inputs!$L$7*(((Inputs!$I$7+(((A174)+1)/2)*(Inputs!$J$7-Inputs!$I$7)))/Inputs!$K$7)^2)</f>
        <v/>
      </c>
      <c r="AB174" s="9">
        <f>(Inputs!$H$8+Inputs!$L$8*(((Inputs!$I$8+(((A174)+1)/2)*(Inputs!$J$8-Inputs!$I$8)))/Inputs!$K$8)^2)</f>
        <v/>
      </c>
      <c r="AC174" s="9">
        <f>(Inputs!$H$9+Inputs!$L$9*(((Inputs!$I$9+(((A174)+1)/2)*(Inputs!$J$9-Inputs!$I$9)))/Inputs!$K$9)^2)</f>
        <v/>
      </c>
      <c r="AD174" s="10" t="n"/>
      <c r="AE174" s="9">
        <f>A174</f>
        <v/>
      </c>
      <c r="AF174" s="9">
        <f>(((SQRT((Inputs!$C$52+((Inputs!$H$6+Inputs!$L$6*(((Inputs!$I$6+(((A174)+1)/2)*(Inputs!$J$6-Inputs!$I$6)))/Inputs!$K$6)^2)))^2+Inputs!$C$52^2-2*(Inputs!$C$52+((Inputs!$H$6+Inputs!$L$6*(((Inputs!$I$6+(((A174)+1)/2)*(Inputs!$J$6-Inputs!$I$6)))/Inputs!$K$6)^2)))*Inputs!$C$52*COS(SQRT(((Inputs!$I$6+(((A174)+1)/2)*(Inputs!$J$6-Inputs!$I$6)))^2+Inputs!$C$6^2)/Inputs!$C$52)))-((Inputs!$H$6+Inputs!$L$6*(((Inputs!$I$6+(((A174)+1)/2)*(Inputs!$J$6-Inputs!$I$6)))/Inputs!$K$6)^2)))*1000/Inputs!$C$12)</f>
        <v/>
      </c>
      <c r="AG174" s="9">
        <f>(((SQRT((Inputs!$C$52+((Inputs!$H$7+Inputs!$L$7*(((Inputs!$I$7+(((A174)+1)/2)*(Inputs!$J$7-Inputs!$I$7)))/Inputs!$K$7)^2)))^2+Inputs!$C$52^2-2*(Inputs!$C$52+((Inputs!$H$7+Inputs!$L$7*(((Inputs!$I$7+(((A174)+1)/2)*(Inputs!$J$7-Inputs!$I$7)))/Inputs!$K$7)^2)))*Inputs!$C$52*COS(SQRT(((Inputs!$I$7+(((A174)+1)/2)*(Inputs!$J$7-Inputs!$I$7)))^2+Inputs!$C$6^2)/Inputs!$C$52)))-((Inputs!$H$7+Inputs!$L$7*(((Inputs!$I$7+(((A174)+1)/2)*(Inputs!$J$7-Inputs!$I$7)))/Inputs!$K$7)^2)))*1000/Inputs!$C$12)</f>
        <v/>
      </c>
      <c r="AH174" s="9">
        <f>(((SQRT((Inputs!$C$52+((Inputs!$H$8+Inputs!$L$8*(((Inputs!$I$8+(((A174)+1)/2)*(Inputs!$J$8-Inputs!$I$8)))/Inputs!$K$8)^2)))^2+Inputs!$C$52^2-2*(Inputs!$C$52+((Inputs!$H$8+Inputs!$L$8*(((Inputs!$I$8+(((A174)+1)/2)*(Inputs!$J$8-Inputs!$I$8)))/Inputs!$K$8)^2)))*Inputs!$C$52*COS(SQRT(((Inputs!$I$8+(((A174)+1)/2)*(Inputs!$J$8-Inputs!$I$8)))^2+Inputs!$C$6^2)/Inputs!$C$52)))-((Inputs!$H$8+Inputs!$L$8*(((Inputs!$I$8+(((A174)+1)/2)*(Inputs!$J$8-Inputs!$I$8)))/Inputs!$K$8)^2)))*1000/Inputs!$C$12)</f>
        <v/>
      </c>
      <c r="AI174" s="9">
        <f>(((SQRT((Inputs!$C$52+((Inputs!$H$9+Inputs!$L$9*(((Inputs!$I$9+(((A174)+1)/2)*(Inputs!$J$9-Inputs!$I$9)))/Inputs!$K$9)^2)))^2+Inputs!$C$52^2-2*(Inputs!$C$52+((Inputs!$H$9+Inputs!$L$9*(((Inputs!$I$9+(((A174)+1)/2)*(Inputs!$J$9-Inputs!$I$9)))/Inputs!$K$9)^2)))*Inputs!$C$52*COS(SQRT(((Inputs!$I$9+(((A174)+1)/2)*(Inputs!$J$9-Inputs!$I$9)))^2+Inputs!$C$6^2)/Inputs!$C$52)))-((Inputs!$H$9+Inputs!$L$9*(((Inputs!$I$9+(((A174)+1)/2)*(Inputs!$J$9-Inputs!$I$9)))/Inputs!$K$9)^2)))*1000/Inputs!$C$12)</f>
        <v/>
      </c>
      <c r="AJ174" s="10" t="n"/>
      <c r="AK174" s="9">
        <f>A174</f>
        <v/>
      </c>
      <c r="AL174" s="9">
        <f>(-2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f>
        <v/>
      </c>
      <c r="AM174" s="9">
        <f>(-2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f>
        <v/>
      </c>
      <c r="AN174" s="9">
        <f>(-2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f>
        <v/>
      </c>
      <c r="AO174" s="9">
        <f>(-2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f>
        <v/>
      </c>
      <c r="AP174" s="10" t="n"/>
      <c r="AQ174" s="9">
        <f>A174</f>
        <v/>
      </c>
      <c r="AR174" s="9">
        <f>0</f>
        <v/>
      </c>
      <c r="AS174" s="9">
        <f>IF(OR(Inputs!$F$6=TRUE,Inputs!$F$6="TRUE",Inputs!$F$6=1),IF(OR(Inputs!$C$27=TRUE,Inputs!$C$27="TRUE",Inputs!$C$27=1),1,0)*(Inputs!$C$51*(115*EXP(-(((Inputs!$C$6)-25)^2)/(4.5^2))+70*EXP(-(((Inputs!$C$6)+38)^2)/(7^2))*(0.55+0.45*SIN(2*PI()*((Inputs!$I$6+(((A174)+1)/2)*(Inputs!$J$6-Inputs!$I$6)))/45))+24*SIN(2*PI()*(Inputs!$C$6)/9+((Inputs!$I$6+(((A174)+1)/2)*(Inputs!$J$6-Inputs!$I$6)))/18)*EXP(-(((Inputs!$C$6)+5)^2)/(22^2))+18*SIN(2*PI()*((Inputs!$I$6+(((A174)+1)/2)*(Inputs!$J$6-Inputs!$I$6)))/70))+Inputs!$C$28*EXP(-((((Inputs!$I$6+(((A174)+1)/2)*(Inputs!$J$6-Inputs!$I$6)))-Inputs!$C$29)^2)/(2*Inputs!$C$31^2))*EXP(-(((Inputs!$C$6)-Inputs!$C$30)^2)/(2*Inputs!$C$32^2))+-Inputs!$C$33*EXP(-((((((Inputs!$I$6+(((A174)+1)/2)*(Inputs!$J$6-Inputs!$I$6)))-Inputs!$C$34)^2)+(((Inputs!$C$6)-Inputs!$C$35)^2))/(2*Inputs!$C$36^2)))+Inputs!$C$37*(0.55*SIN(2*PI()*((Inputs!$I$6+(((A174)+1)/2)*(Inputs!$J$6-Inputs!$I$6)))/Inputs!$C$39)+0.35*COS(2*PI()*(Inputs!$C$6)/Inputs!$C$40)+0.2*SIN(2*PI()*(((Inputs!$I$6+(((A174)+1)/2)*(Inputs!$J$6-Inputs!$I$6)))+(Inputs!$C$6))/(0.5*(Inputs!$C$39+Inputs!$C$40))))+Inputs!$C$38*SIN(2*PI()*((Inputs!$I$6+(((A174)+1)/2)*(Inputs!$J$6-Inputs!$I$6)))/Inputs!$C$39)*SIN(2*PI()*(Inputs!$C$6)/Inputs!$C$40)+-Inputs!$C$41*EXP(-(((Inputs!$C$6)-Inputs!$C$43)^2)/(2*Inputs!$C$44^2))*EXP(-((((Inputs!$I$6+(((A174)+1)/2)*(Inputs!$J$6-Inputs!$I$6)))-Inputs!$C$42)^2)/(2*Inputs!$C$45^2))+Inputs!$C$48*(0.7*(0.45*SIN(2*PI()*((((Inputs!$I$6+(((A174)+1)/2)*(Inputs!$J$6-Inputs!$I$6)))/Inputs!$C$49)+Inputs!$C$47*0.137))+0.35*COS(2*PI()*(((Inputs!$C$6)/Inputs!$C$50)+Inputs!$C$47*0.173))+0.2*SIN(2*PI()*((((Inputs!$I$6+(((A174)+1)/2)*(Inputs!$J$6-Inputs!$I$6)))+(Inputs!$C$6))/(0.5*(Inputs!$C$49+Inputs!$C$50))+Inputs!$C$47*0.097)))+0.3*(2*((SIN((((Inputs!$I$6+(((A174)+1)/2)*(Inputs!$J$6-Inputs!$I$6)))*12.9898+(Inputs!$C$6)*78.233+Inputs!$C$47*37.719))*43758.5453)-INT((SIN((((Inputs!$I$6+(((A174)+1)/2)*(Inputs!$J$6-Inputs!$I$6)))*12.9898+(Inputs!$C$6)*78.233+Inputs!$C$47*37.719))*43758.5453)))-1))),NA())</f>
        <v/>
      </c>
      <c r="AT174" s="9">
        <f>IF(OR(Inputs!$F$7=TRUE,Inputs!$F$7="TRUE",Inputs!$F$7=1),IF(OR(Inputs!$C$27=TRUE,Inputs!$C$27="TRUE",Inputs!$C$27=1),1,0)*(Inputs!$C$51*(115*EXP(-(((Inputs!$C$6)-25)^2)/(4.5^2))+70*EXP(-(((Inputs!$C$6)+38)^2)/(7^2))*(0.55+0.45*SIN(2*PI()*((Inputs!$I$7+(((A174)+1)/2)*(Inputs!$J$7-Inputs!$I$7)))/45))+24*SIN(2*PI()*(Inputs!$C$6)/9+((Inputs!$I$7+(((A174)+1)/2)*(Inputs!$J$7-Inputs!$I$7)))/18)*EXP(-(((Inputs!$C$6)+5)^2)/(22^2))+18*SIN(2*PI()*((Inputs!$I$7+(((A174)+1)/2)*(Inputs!$J$7-Inputs!$I$7)))/70))+Inputs!$C$28*EXP(-((((Inputs!$I$7+(((A174)+1)/2)*(Inputs!$J$7-Inputs!$I$7)))-Inputs!$C$29)^2)/(2*Inputs!$C$31^2))*EXP(-(((Inputs!$C$6)-Inputs!$C$30)^2)/(2*Inputs!$C$32^2))+-Inputs!$C$33*EXP(-((((((Inputs!$I$7+(((A174)+1)/2)*(Inputs!$J$7-Inputs!$I$7)))-Inputs!$C$34)^2)+(((Inputs!$C$6)-Inputs!$C$35)^2))/(2*Inputs!$C$36^2)))+Inputs!$C$37*(0.55*SIN(2*PI()*((Inputs!$I$7+(((A174)+1)/2)*(Inputs!$J$7-Inputs!$I$7)))/Inputs!$C$39)+0.35*COS(2*PI()*(Inputs!$C$6)/Inputs!$C$40)+0.2*SIN(2*PI()*(((Inputs!$I$7+(((A174)+1)/2)*(Inputs!$J$7-Inputs!$I$7)))+(Inputs!$C$6))/(0.5*(Inputs!$C$39+Inputs!$C$40))))+Inputs!$C$38*SIN(2*PI()*((Inputs!$I$7+(((A174)+1)/2)*(Inputs!$J$7-Inputs!$I$7)))/Inputs!$C$39)*SIN(2*PI()*(Inputs!$C$6)/Inputs!$C$40)+-Inputs!$C$41*EXP(-(((Inputs!$C$6)-Inputs!$C$43)^2)/(2*Inputs!$C$44^2))*EXP(-((((Inputs!$I$7+(((A174)+1)/2)*(Inputs!$J$7-Inputs!$I$7)))-Inputs!$C$42)^2)/(2*Inputs!$C$45^2))+Inputs!$C$48*(0.7*(0.45*SIN(2*PI()*((((Inputs!$I$7+(((A174)+1)/2)*(Inputs!$J$7-Inputs!$I$7)))/Inputs!$C$49)+Inputs!$C$47*0.137))+0.35*COS(2*PI()*(((Inputs!$C$6)/Inputs!$C$50)+Inputs!$C$47*0.173))+0.2*SIN(2*PI()*((((Inputs!$I$7+(((A174)+1)/2)*(Inputs!$J$7-Inputs!$I$7)))+(Inputs!$C$6))/(0.5*(Inputs!$C$49+Inputs!$C$50))+Inputs!$C$47*0.097)))+0.3*(2*((SIN((((Inputs!$I$7+(((A174)+1)/2)*(Inputs!$J$7-Inputs!$I$7)))*12.9898+(Inputs!$C$6)*78.233+Inputs!$C$47*37.719))*43758.5453)-INT((SIN((((Inputs!$I$7+(((A174)+1)/2)*(Inputs!$J$7-Inputs!$I$7)))*12.9898+(Inputs!$C$6)*78.233+Inputs!$C$47*37.719))*43758.5453)))-1))),NA())</f>
        <v/>
      </c>
      <c r="AU174" s="9">
        <f>IF(OR(Inputs!$F$8=TRUE,Inputs!$F$8="TRUE",Inputs!$F$8=1),IF(OR(Inputs!$C$27=TRUE,Inputs!$C$27="TRUE",Inputs!$C$27=1),1,0)*(Inputs!$C$51*(115*EXP(-(((Inputs!$C$6)-25)^2)/(4.5^2))+70*EXP(-(((Inputs!$C$6)+38)^2)/(7^2))*(0.55+0.45*SIN(2*PI()*((Inputs!$I$8+(((A174)+1)/2)*(Inputs!$J$8-Inputs!$I$8)))/45))+24*SIN(2*PI()*(Inputs!$C$6)/9+((Inputs!$I$8+(((A174)+1)/2)*(Inputs!$J$8-Inputs!$I$8)))/18)*EXP(-(((Inputs!$C$6)+5)^2)/(22^2))+18*SIN(2*PI()*((Inputs!$I$8+(((A174)+1)/2)*(Inputs!$J$8-Inputs!$I$8)))/70))+Inputs!$C$28*EXP(-((((Inputs!$I$8+(((A174)+1)/2)*(Inputs!$J$8-Inputs!$I$8)))-Inputs!$C$29)^2)/(2*Inputs!$C$31^2))*EXP(-(((Inputs!$C$6)-Inputs!$C$30)^2)/(2*Inputs!$C$32^2))+-Inputs!$C$33*EXP(-((((((Inputs!$I$8+(((A174)+1)/2)*(Inputs!$J$8-Inputs!$I$8)))-Inputs!$C$34)^2)+(((Inputs!$C$6)-Inputs!$C$35)^2))/(2*Inputs!$C$36^2)))+Inputs!$C$37*(0.55*SIN(2*PI()*((Inputs!$I$8+(((A174)+1)/2)*(Inputs!$J$8-Inputs!$I$8)))/Inputs!$C$39)+0.35*COS(2*PI()*(Inputs!$C$6)/Inputs!$C$40)+0.2*SIN(2*PI()*(((Inputs!$I$8+(((A174)+1)/2)*(Inputs!$J$8-Inputs!$I$8)))+(Inputs!$C$6))/(0.5*(Inputs!$C$39+Inputs!$C$40))))+Inputs!$C$38*SIN(2*PI()*((Inputs!$I$8+(((A174)+1)/2)*(Inputs!$J$8-Inputs!$I$8)))/Inputs!$C$39)*SIN(2*PI()*(Inputs!$C$6)/Inputs!$C$40)+-Inputs!$C$41*EXP(-(((Inputs!$C$6)-Inputs!$C$43)^2)/(2*Inputs!$C$44^2))*EXP(-((((Inputs!$I$8+(((A174)+1)/2)*(Inputs!$J$8-Inputs!$I$8)))-Inputs!$C$42)^2)/(2*Inputs!$C$45^2))+Inputs!$C$48*(0.7*(0.45*SIN(2*PI()*((((Inputs!$I$8+(((A174)+1)/2)*(Inputs!$J$8-Inputs!$I$8)))/Inputs!$C$49)+Inputs!$C$47*0.137))+0.35*COS(2*PI()*(((Inputs!$C$6)/Inputs!$C$50)+Inputs!$C$47*0.173))+0.2*SIN(2*PI()*((((Inputs!$I$8+(((A174)+1)/2)*(Inputs!$J$8-Inputs!$I$8)))+(Inputs!$C$6))/(0.5*(Inputs!$C$49+Inputs!$C$50))+Inputs!$C$47*0.097)))+0.3*(2*((SIN((((Inputs!$I$8+(((A174)+1)/2)*(Inputs!$J$8-Inputs!$I$8)))*12.9898+(Inputs!$C$6)*78.233+Inputs!$C$47*37.719))*43758.5453)-INT((SIN((((Inputs!$I$8+(((A174)+1)/2)*(Inputs!$J$8-Inputs!$I$8)))*12.9898+(Inputs!$C$6)*78.233+Inputs!$C$47*37.719))*43758.5453)))-1))),NA())</f>
        <v/>
      </c>
      <c r="AV174" s="9">
        <f>IF(OR(Inputs!$F$9=TRUE,Inputs!$F$9="TRUE",Inputs!$F$9=1),IF(OR(Inputs!$C$27=TRUE,Inputs!$C$27="TRUE",Inputs!$C$27=1),1,0)*(Inputs!$C$51*(115*EXP(-(((Inputs!$C$6)-25)^2)/(4.5^2))+70*EXP(-(((Inputs!$C$6)+38)^2)/(7^2))*(0.55+0.45*SIN(2*PI()*((Inputs!$I$9+(((A174)+1)/2)*(Inputs!$J$9-Inputs!$I$9)))/45))+24*SIN(2*PI()*(Inputs!$C$6)/9+((Inputs!$I$9+(((A174)+1)/2)*(Inputs!$J$9-Inputs!$I$9)))/18)*EXP(-(((Inputs!$C$6)+5)^2)/(22^2))+18*SIN(2*PI()*((Inputs!$I$9+(((A174)+1)/2)*(Inputs!$J$9-Inputs!$I$9)))/70))+Inputs!$C$28*EXP(-((((Inputs!$I$9+(((A174)+1)/2)*(Inputs!$J$9-Inputs!$I$9)))-Inputs!$C$29)^2)/(2*Inputs!$C$31^2))*EXP(-(((Inputs!$C$6)-Inputs!$C$30)^2)/(2*Inputs!$C$32^2))+-Inputs!$C$33*EXP(-((((((Inputs!$I$9+(((A174)+1)/2)*(Inputs!$J$9-Inputs!$I$9)))-Inputs!$C$34)^2)+(((Inputs!$C$6)-Inputs!$C$35)^2))/(2*Inputs!$C$36^2)))+Inputs!$C$37*(0.55*SIN(2*PI()*((Inputs!$I$9+(((A174)+1)/2)*(Inputs!$J$9-Inputs!$I$9)))/Inputs!$C$39)+0.35*COS(2*PI()*(Inputs!$C$6)/Inputs!$C$40)+0.2*SIN(2*PI()*(((Inputs!$I$9+(((A174)+1)/2)*(Inputs!$J$9-Inputs!$I$9)))+(Inputs!$C$6))/(0.5*(Inputs!$C$39+Inputs!$C$40))))+Inputs!$C$38*SIN(2*PI()*((Inputs!$I$9+(((A174)+1)/2)*(Inputs!$J$9-Inputs!$I$9)))/Inputs!$C$39)*SIN(2*PI()*(Inputs!$C$6)/Inputs!$C$40)+-Inputs!$C$41*EXP(-(((Inputs!$C$6)-Inputs!$C$43)^2)/(2*Inputs!$C$44^2))*EXP(-((((Inputs!$I$9+(((A174)+1)/2)*(Inputs!$J$9-Inputs!$I$9)))-Inputs!$C$42)^2)/(2*Inputs!$C$45^2))+Inputs!$C$48*(0.7*(0.45*SIN(2*PI()*((((Inputs!$I$9+(((A174)+1)/2)*(Inputs!$J$9-Inputs!$I$9)))/Inputs!$C$49)+Inputs!$C$47*0.137))+0.35*COS(2*PI()*(((Inputs!$C$6)/Inputs!$C$50)+Inputs!$C$47*0.173))+0.2*SIN(2*PI()*((((Inputs!$I$9+(((A174)+1)/2)*(Inputs!$J$9-Inputs!$I$9)))+(Inputs!$C$6))/(0.5*(Inputs!$C$49+Inputs!$C$50))+Inputs!$C$47*0.097)))+0.3*(2*((SIN((((Inputs!$I$9+(((A174)+1)/2)*(Inputs!$J$9-Inputs!$I$9)))*12.9898+(Inputs!$C$6)*78.233+Inputs!$C$47*37.719))*43758.5453)-INT((SIN((((Inputs!$I$9+(((A174)+1)/2)*(Inputs!$J$9-Inputs!$I$9)))*12.9898+(Inputs!$C$6)*78.233+Inputs!$C$47*37.719))*43758.5453)))-1))),NA())</f>
        <v/>
      </c>
      <c r="AW174" s="10" t="n"/>
      <c r="AX174" s="9">
        <f>A174</f>
        <v/>
      </c>
      <c r="AY174" s="9">
        <f>0</f>
        <v/>
      </c>
      <c r="AZ174" s="9">
        <f>IF(OR(Inputs!$F$6=TRUE,Inputs!$F$6="TRUE",Inputs!$F$6=1),(Inputs!$H$6+Inputs!$L$6*(((Inputs!$I$6+(((A174)+1)/2)*(Inputs!$J$6-Inputs!$I$6)))/Inputs!$K$6)^2),NA())</f>
        <v/>
      </c>
      <c r="BA174" s="9">
        <f>IF(OR(Inputs!$F$7=TRUE,Inputs!$F$7="TRUE",Inputs!$F$7=1),(Inputs!$H$7+Inputs!$L$7*(((Inputs!$I$7+(((A174)+1)/2)*(Inputs!$J$7-Inputs!$I$7)))/Inputs!$K$7)^2),NA())</f>
        <v/>
      </c>
      <c r="BB174" s="9">
        <f>IF(OR(Inputs!$F$8=TRUE,Inputs!$F$8="TRUE",Inputs!$F$8=1),(Inputs!$H$8+Inputs!$L$8*(((Inputs!$I$8+(((A174)+1)/2)*(Inputs!$J$8-Inputs!$I$8)))/Inputs!$K$8)^2),NA())</f>
        <v/>
      </c>
      <c r="BC174" s="9">
        <f>IF(OR(Inputs!$F$9=TRUE,Inputs!$F$9="TRUE",Inputs!$F$9=1),(Inputs!$H$9+Inputs!$L$9*(((Inputs!$I$9+(((A174)+1)/2)*(Inputs!$J$9-Inputs!$I$9)))/Inputs!$K$9)^2),NA())</f>
        <v/>
      </c>
      <c r="BD174" s="10" t="n"/>
      <c r="BE174" s="9">
        <f>A174</f>
        <v/>
      </c>
      <c r="BF174" s="9">
        <f>0</f>
        <v/>
      </c>
      <c r="BG174" s="9">
        <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f>
        <v/>
      </c>
      <c r="BH174" s="9">
        <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f>
        <v/>
      </c>
      <c r="BI174" s="9">
        <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f>
        <v/>
      </c>
      <c r="BJ174" s="9">
        <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f>
        <v/>
      </c>
    </row>
    <row r="175">
      <c r="A175" s="9">
        <f>ROUND(-1+173*2/240,3)</f>
        <v/>
      </c>
      <c r="B175" s="9">
        <f>IF(OR(Inputs!$F$6=TRUE,Inputs!$F$6="TRUE",Inputs!$F$6=1),(Inputs!$H$6+Inputs!$L$6*(((Inputs!$I$6+(((A175)+1)/2)*(Inputs!$J$6-Inputs!$I$6)))/Inputs!$K$6)^2),NA())</f>
        <v/>
      </c>
      <c r="C175" s="9">
        <f>IF(OR(Inputs!$F$7=TRUE,Inputs!$F$7="TRUE",Inputs!$F$7=1),(Inputs!$H$7+Inputs!$L$7*(((Inputs!$I$7+(((A175)+1)/2)*(Inputs!$J$7-Inputs!$I$7)))/Inputs!$K$7)^2),NA())</f>
        <v/>
      </c>
      <c r="D175" s="9">
        <f>IF(OR(Inputs!$F$8=TRUE,Inputs!$F$8="TRUE",Inputs!$F$8=1),(Inputs!$H$8+Inputs!$L$8*(((Inputs!$I$8+(((A175)+1)/2)*(Inputs!$J$8-Inputs!$I$8)))/Inputs!$K$8)^2),NA())</f>
        <v/>
      </c>
      <c r="E175" s="9">
        <f>IF(OR(Inputs!$F$9=TRUE,Inputs!$F$9="TRUE",Inputs!$F$9=1),(Inputs!$H$9+Inputs!$L$9*(((Inputs!$I$9+(((A175)+1)/2)*(Inputs!$J$9-Inputs!$I$9)))/Inputs!$K$9)^2),NA())</f>
        <v/>
      </c>
      <c r="F175" s="10" t="n"/>
      <c r="G175" s="9">
        <f>A175</f>
        <v/>
      </c>
      <c r="H175" s="9">
        <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f>
        <v/>
      </c>
      <c r="I175" s="9">
        <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f>
        <v/>
      </c>
      <c r="J175" s="9">
        <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f>
        <v/>
      </c>
      <c r="K175" s="9">
        <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f>
        <v/>
      </c>
      <c r="L175" s="10" t="n"/>
      <c r="M175" s="9">
        <f>A175</f>
        <v/>
      </c>
      <c r="N175" s="9">
        <f>IF(OR(Inputs!$F$6=TRUE,Inputs!$F$6="TRUE",Inputs!$F$6=1),(-2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NA())</f>
        <v/>
      </c>
      <c r="O175" s="9">
        <f>IF(OR(Inputs!$F$7=TRUE,Inputs!$F$7="TRUE",Inputs!$F$7=1),(-2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NA())</f>
        <v/>
      </c>
      <c r="P175" s="9">
        <f>IF(OR(Inputs!$F$8=TRUE,Inputs!$F$8="TRUE",Inputs!$F$8=1),(-2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NA())</f>
        <v/>
      </c>
      <c r="Q175" s="9">
        <f>IF(OR(Inputs!$F$9=TRUE,Inputs!$F$9="TRUE",Inputs!$F$9=1),(-2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NA())</f>
        <v/>
      </c>
      <c r="R175" s="10" t="n"/>
      <c r="S175" s="9">
        <f>A175</f>
        <v/>
      </c>
      <c r="T175" s="9">
        <f>(Inputs!$I$6+(((A175)+1)/2)*(Inputs!$J$6-Inputs!$I$6))</f>
        <v/>
      </c>
      <c r="U175" s="9">
        <f>(Inputs!$I$7+(((A175)+1)/2)*(Inputs!$J$7-Inputs!$I$7))</f>
        <v/>
      </c>
      <c r="V175" s="9">
        <f>(Inputs!$I$8+(((A175)+1)/2)*(Inputs!$J$8-Inputs!$I$8))</f>
        <v/>
      </c>
      <c r="W175" s="9">
        <f>(Inputs!$I$9+(((A175)+1)/2)*(Inputs!$J$9-Inputs!$I$9))</f>
        <v/>
      </c>
      <c r="X175" s="10" t="n"/>
      <c r="Y175" s="9">
        <f>A175</f>
        <v/>
      </c>
      <c r="Z175" s="9">
        <f>(Inputs!$H$6+Inputs!$L$6*(((Inputs!$I$6+(((A175)+1)/2)*(Inputs!$J$6-Inputs!$I$6)))/Inputs!$K$6)^2)</f>
        <v/>
      </c>
      <c r="AA175" s="9">
        <f>(Inputs!$H$7+Inputs!$L$7*(((Inputs!$I$7+(((A175)+1)/2)*(Inputs!$J$7-Inputs!$I$7)))/Inputs!$K$7)^2)</f>
        <v/>
      </c>
      <c r="AB175" s="9">
        <f>(Inputs!$H$8+Inputs!$L$8*(((Inputs!$I$8+(((A175)+1)/2)*(Inputs!$J$8-Inputs!$I$8)))/Inputs!$K$8)^2)</f>
        <v/>
      </c>
      <c r="AC175" s="9">
        <f>(Inputs!$H$9+Inputs!$L$9*(((Inputs!$I$9+(((A175)+1)/2)*(Inputs!$J$9-Inputs!$I$9)))/Inputs!$K$9)^2)</f>
        <v/>
      </c>
      <c r="AD175" s="10" t="n"/>
      <c r="AE175" s="9">
        <f>A175</f>
        <v/>
      </c>
      <c r="AF175" s="9">
        <f>(((SQRT((Inputs!$C$52+((Inputs!$H$6+Inputs!$L$6*(((Inputs!$I$6+(((A175)+1)/2)*(Inputs!$J$6-Inputs!$I$6)))/Inputs!$K$6)^2)))^2+Inputs!$C$52^2-2*(Inputs!$C$52+((Inputs!$H$6+Inputs!$L$6*(((Inputs!$I$6+(((A175)+1)/2)*(Inputs!$J$6-Inputs!$I$6)))/Inputs!$K$6)^2)))*Inputs!$C$52*COS(SQRT(((Inputs!$I$6+(((A175)+1)/2)*(Inputs!$J$6-Inputs!$I$6)))^2+Inputs!$C$6^2)/Inputs!$C$52)))-((Inputs!$H$6+Inputs!$L$6*(((Inputs!$I$6+(((A175)+1)/2)*(Inputs!$J$6-Inputs!$I$6)))/Inputs!$K$6)^2)))*1000/Inputs!$C$12)</f>
        <v/>
      </c>
      <c r="AG175" s="9">
        <f>(((SQRT((Inputs!$C$52+((Inputs!$H$7+Inputs!$L$7*(((Inputs!$I$7+(((A175)+1)/2)*(Inputs!$J$7-Inputs!$I$7)))/Inputs!$K$7)^2)))^2+Inputs!$C$52^2-2*(Inputs!$C$52+((Inputs!$H$7+Inputs!$L$7*(((Inputs!$I$7+(((A175)+1)/2)*(Inputs!$J$7-Inputs!$I$7)))/Inputs!$K$7)^2)))*Inputs!$C$52*COS(SQRT(((Inputs!$I$7+(((A175)+1)/2)*(Inputs!$J$7-Inputs!$I$7)))^2+Inputs!$C$6^2)/Inputs!$C$52)))-((Inputs!$H$7+Inputs!$L$7*(((Inputs!$I$7+(((A175)+1)/2)*(Inputs!$J$7-Inputs!$I$7)))/Inputs!$K$7)^2)))*1000/Inputs!$C$12)</f>
        <v/>
      </c>
      <c r="AH175" s="9">
        <f>(((SQRT((Inputs!$C$52+((Inputs!$H$8+Inputs!$L$8*(((Inputs!$I$8+(((A175)+1)/2)*(Inputs!$J$8-Inputs!$I$8)))/Inputs!$K$8)^2)))^2+Inputs!$C$52^2-2*(Inputs!$C$52+((Inputs!$H$8+Inputs!$L$8*(((Inputs!$I$8+(((A175)+1)/2)*(Inputs!$J$8-Inputs!$I$8)))/Inputs!$K$8)^2)))*Inputs!$C$52*COS(SQRT(((Inputs!$I$8+(((A175)+1)/2)*(Inputs!$J$8-Inputs!$I$8)))^2+Inputs!$C$6^2)/Inputs!$C$52)))-((Inputs!$H$8+Inputs!$L$8*(((Inputs!$I$8+(((A175)+1)/2)*(Inputs!$J$8-Inputs!$I$8)))/Inputs!$K$8)^2)))*1000/Inputs!$C$12)</f>
        <v/>
      </c>
      <c r="AI175" s="9">
        <f>(((SQRT((Inputs!$C$52+((Inputs!$H$9+Inputs!$L$9*(((Inputs!$I$9+(((A175)+1)/2)*(Inputs!$J$9-Inputs!$I$9)))/Inputs!$K$9)^2)))^2+Inputs!$C$52^2-2*(Inputs!$C$52+((Inputs!$H$9+Inputs!$L$9*(((Inputs!$I$9+(((A175)+1)/2)*(Inputs!$J$9-Inputs!$I$9)))/Inputs!$K$9)^2)))*Inputs!$C$52*COS(SQRT(((Inputs!$I$9+(((A175)+1)/2)*(Inputs!$J$9-Inputs!$I$9)))^2+Inputs!$C$6^2)/Inputs!$C$52)))-((Inputs!$H$9+Inputs!$L$9*(((Inputs!$I$9+(((A175)+1)/2)*(Inputs!$J$9-Inputs!$I$9)))/Inputs!$K$9)^2)))*1000/Inputs!$C$12)</f>
        <v/>
      </c>
      <c r="AJ175" s="10" t="n"/>
      <c r="AK175" s="9">
        <f>A175</f>
        <v/>
      </c>
      <c r="AL175" s="9">
        <f>(-2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f>
        <v/>
      </c>
      <c r="AM175" s="9">
        <f>(-2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f>
        <v/>
      </c>
      <c r="AN175" s="9">
        <f>(-2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f>
        <v/>
      </c>
      <c r="AO175" s="9">
        <f>(-2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f>
        <v/>
      </c>
      <c r="AP175" s="10" t="n"/>
      <c r="AQ175" s="9">
        <f>A175</f>
        <v/>
      </c>
      <c r="AR175" s="9">
        <f>0</f>
        <v/>
      </c>
      <c r="AS175" s="9">
        <f>IF(OR(Inputs!$F$6=TRUE,Inputs!$F$6="TRUE",Inputs!$F$6=1),IF(OR(Inputs!$C$27=TRUE,Inputs!$C$27="TRUE",Inputs!$C$27=1),1,0)*(Inputs!$C$51*(115*EXP(-(((Inputs!$C$6)-25)^2)/(4.5^2))+70*EXP(-(((Inputs!$C$6)+38)^2)/(7^2))*(0.55+0.45*SIN(2*PI()*((Inputs!$I$6+(((A175)+1)/2)*(Inputs!$J$6-Inputs!$I$6)))/45))+24*SIN(2*PI()*(Inputs!$C$6)/9+((Inputs!$I$6+(((A175)+1)/2)*(Inputs!$J$6-Inputs!$I$6)))/18)*EXP(-(((Inputs!$C$6)+5)^2)/(22^2))+18*SIN(2*PI()*((Inputs!$I$6+(((A175)+1)/2)*(Inputs!$J$6-Inputs!$I$6)))/70))+Inputs!$C$28*EXP(-((((Inputs!$I$6+(((A175)+1)/2)*(Inputs!$J$6-Inputs!$I$6)))-Inputs!$C$29)^2)/(2*Inputs!$C$31^2))*EXP(-(((Inputs!$C$6)-Inputs!$C$30)^2)/(2*Inputs!$C$32^2))+-Inputs!$C$33*EXP(-((((((Inputs!$I$6+(((A175)+1)/2)*(Inputs!$J$6-Inputs!$I$6)))-Inputs!$C$34)^2)+(((Inputs!$C$6)-Inputs!$C$35)^2))/(2*Inputs!$C$36^2)))+Inputs!$C$37*(0.55*SIN(2*PI()*((Inputs!$I$6+(((A175)+1)/2)*(Inputs!$J$6-Inputs!$I$6)))/Inputs!$C$39)+0.35*COS(2*PI()*(Inputs!$C$6)/Inputs!$C$40)+0.2*SIN(2*PI()*(((Inputs!$I$6+(((A175)+1)/2)*(Inputs!$J$6-Inputs!$I$6)))+(Inputs!$C$6))/(0.5*(Inputs!$C$39+Inputs!$C$40))))+Inputs!$C$38*SIN(2*PI()*((Inputs!$I$6+(((A175)+1)/2)*(Inputs!$J$6-Inputs!$I$6)))/Inputs!$C$39)*SIN(2*PI()*(Inputs!$C$6)/Inputs!$C$40)+-Inputs!$C$41*EXP(-(((Inputs!$C$6)-Inputs!$C$43)^2)/(2*Inputs!$C$44^2))*EXP(-((((Inputs!$I$6+(((A175)+1)/2)*(Inputs!$J$6-Inputs!$I$6)))-Inputs!$C$42)^2)/(2*Inputs!$C$45^2))+Inputs!$C$48*(0.7*(0.45*SIN(2*PI()*((((Inputs!$I$6+(((A175)+1)/2)*(Inputs!$J$6-Inputs!$I$6)))/Inputs!$C$49)+Inputs!$C$47*0.137))+0.35*COS(2*PI()*(((Inputs!$C$6)/Inputs!$C$50)+Inputs!$C$47*0.173))+0.2*SIN(2*PI()*((((Inputs!$I$6+(((A175)+1)/2)*(Inputs!$J$6-Inputs!$I$6)))+(Inputs!$C$6))/(0.5*(Inputs!$C$49+Inputs!$C$50))+Inputs!$C$47*0.097)))+0.3*(2*((SIN((((Inputs!$I$6+(((A175)+1)/2)*(Inputs!$J$6-Inputs!$I$6)))*12.9898+(Inputs!$C$6)*78.233+Inputs!$C$47*37.719))*43758.5453)-INT((SIN((((Inputs!$I$6+(((A175)+1)/2)*(Inputs!$J$6-Inputs!$I$6)))*12.9898+(Inputs!$C$6)*78.233+Inputs!$C$47*37.719))*43758.5453)))-1))),NA())</f>
        <v/>
      </c>
      <c r="AT175" s="9">
        <f>IF(OR(Inputs!$F$7=TRUE,Inputs!$F$7="TRUE",Inputs!$F$7=1),IF(OR(Inputs!$C$27=TRUE,Inputs!$C$27="TRUE",Inputs!$C$27=1),1,0)*(Inputs!$C$51*(115*EXP(-(((Inputs!$C$6)-25)^2)/(4.5^2))+70*EXP(-(((Inputs!$C$6)+38)^2)/(7^2))*(0.55+0.45*SIN(2*PI()*((Inputs!$I$7+(((A175)+1)/2)*(Inputs!$J$7-Inputs!$I$7)))/45))+24*SIN(2*PI()*(Inputs!$C$6)/9+((Inputs!$I$7+(((A175)+1)/2)*(Inputs!$J$7-Inputs!$I$7)))/18)*EXP(-(((Inputs!$C$6)+5)^2)/(22^2))+18*SIN(2*PI()*((Inputs!$I$7+(((A175)+1)/2)*(Inputs!$J$7-Inputs!$I$7)))/70))+Inputs!$C$28*EXP(-((((Inputs!$I$7+(((A175)+1)/2)*(Inputs!$J$7-Inputs!$I$7)))-Inputs!$C$29)^2)/(2*Inputs!$C$31^2))*EXP(-(((Inputs!$C$6)-Inputs!$C$30)^2)/(2*Inputs!$C$32^2))+-Inputs!$C$33*EXP(-((((((Inputs!$I$7+(((A175)+1)/2)*(Inputs!$J$7-Inputs!$I$7)))-Inputs!$C$34)^2)+(((Inputs!$C$6)-Inputs!$C$35)^2))/(2*Inputs!$C$36^2)))+Inputs!$C$37*(0.55*SIN(2*PI()*((Inputs!$I$7+(((A175)+1)/2)*(Inputs!$J$7-Inputs!$I$7)))/Inputs!$C$39)+0.35*COS(2*PI()*(Inputs!$C$6)/Inputs!$C$40)+0.2*SIN(2*PI()*(((Inputs!$I$7+(((A175)+1)/2)*(Inputs!$J$7-Inputs!$I$7)))+(Inputs!$C$6))/(0.5*(Inputs!$C$39+Inputs!$C$40))))+Inputs!$C$38*SIN(2*PI()*((Inputs!$I$7+(((A175)+1)/2)*(Inputs!$J$7-Inputs!$I$7)))/Inputs!$C$39)*SIN(2*PI()*(Inputs!$C$6)/Inputs!$C$40)+-Inputs!$C$41*EXP(-(((Inputs!$C$6)-Inputs!$C$43)^2)/(2*Inputs!$C$44^2))*EXP(-((((Inputs!$I$7+(((A175)+1)/2)*(Inputs!$J$7-Inputs!$I$7)))-Inputs!$C$42)^2)/(2*Inputs!$C$45^2))+Inputs!$C$48*(0.7*(0.45*SIN(2*PI()*((((Inputs!$I$7+(((A175)+1)/2)*(Inputs!$J$7-Inputs!$I$7)))/Inputs!$C$49)+Inputs!$C$47*0.137))+0.35*COS(2*PI()*(((Inputs!$C$6)/Inputs!$C$50)+Inputs!$C$47*0.173))+0.2*SIN(2*PI()*((((Inputs!$I$7+(((A175)+1)/2)*(Inputs!$J$7-Inputs!$I$7)))+(Inputs!$C$6))/(0.5*(Inputs!$C$49+Inputs!$C$50))+Inputs!$C$47*0.097)))+0.3*(2*((SIN((((Inputs!$I$7+(((A175)+1)/2)*(Inputs!$J$7-Inputs!$I$7)))*12.9898+(Inputs!$C$6)*78.233+Inputs!$C$47*37.719))*43758.5453)-INT((SIN((((Inputs!$I$7+(((A175)+1)/2)*(Inputs!$J$7-Inputs!$I$7)))*12.9898+(Inputs!$C$6)*78.233+Inputs!$C$47*37.719))*43758.5453)))-1))),NA())</f>
        <v/>
      </c>
      <c r="AU175" s="9">
        <f>IF(OR(Inputs!$F$8=TRUE,Inputs!$F$8="TRUE",Inputs!$F$8=1),IF(OR(Inputs!$C$27=TRUE,Inputs!$C$27="TRUE",Inputs!$C$27=1),1,0)*(Inputs!$C$51*(115*EXP(-(((Inputs!$C$6)-25)^2)/(4.5^2))+70*EXP(-(((Inputs!$C$6)+38)^2)/(7^2))*(0.55+0.45*SIN(2*PI()*((Inputs!$I$8+(((A175)+1)/2)*(Inputs!$J$8-Inputs!$I$8)))/45))+24*SIN(2*PI()*(Inputs!$C$6)/9+((Inputs!$I$8+(((A175)+1)/2)*(Inputs!$J$8-Inputs!$I$8)))/18)*EXP(-(((Inputs!$C$6)+5)^2)/(22^2))+18*SIN(2*PI()*((Inputs!$I$8+(((A175)+1)/2)*(Inputs!$J$8-Inputs!$I$8)))/70))+Inputs!$C$28*EXP(-((((Inputs!$I$8+(((A175)+1)/2)*(Inputs!$J$8-Inputs!$I$8)))-Inputs!$C$29)^2)/(2*Inputs!$C$31^2))*EXP(-(((Inputs!$C$6)-Inputs!$C$30)^2)/(2*Inputs!$C$32^2))+-Inputs!$C$33*EXP(-((((((Inputs!$I$8+(((A175)+1)/2)*(Inputs!$J$8-Inputs!$I$8)))-Inputs!$C$34)^2)+(((Inputs!$C$6)-Inputs!$C$35)^2))/(2*Inputs!$C$36^2)))+Inputs!$C$37*(0.55*SIN(2*PI()*((Inputs!$I$8+(((A175)+1)/2)*(Inputs!$J$8-Inputs!$I$8)))/Inputs!$C$39)+0.35*COS(2*PI()*(Inputs!$C$6)/Inputs!$C$40)+0.2*SIN(2*PI()*(((Inputs!$I$8+(((A175)+1)/2)*(Inputs!$J$8-Inputs!$I$8)))+(Inputs!$C$6))/(0.5*(Inputs!$C$39+Inputs!$C$40))))+Inputs!$C$38*SIN(2*PI()*((Inputs!$I$8+(((A175)+1)/2)*(Inputs!$J$8-Inputs!$I$8)))/Inputs!$C$39)*SIN(2*PI()*(Inputs!$C$6)/Inputs!$C$40)+-Inputs!$C$41*EXP(-(((Inputs!$C$6)-Inputs!$C$43)^2)/(2*Inputs!$C$44^2))*EXP(-((((Inputs!$I$8+(((A175)+1)/2)*(Inputs!$J$8-Inputs!$I$8)))-Inputs!$C$42)^2)/(2*Inputs!$C$45^2))+Inputs!$C$48*(0.7*(0.45*SIN(2*PI()*((((Inputs!$I$8+(((A175)+1)/2)*(Inputs!$J$8-Inputs!$I$8)))/Inputs!$C$49)+Inputs!$C$47*0.137))+0.35*COS(2*PI()*(((Inputs!$C$6)/Inputs!$C$50)+Inputs!$C$47*0.173))+0.2*SIN(2*PI()*((((Inputs!$I$8+(((A175)+1)/2)*(Inputs!$J$8-Inputs!$I$8)))+(Inputs!$C$6))/(0.5*(Inputs!$C$49+Inputs!$C$50))+Inputs!$C$47*0.097)))+0.3*(2*((SIN((((Inputs!$I$8+(((A175)+1)/2)*(Inputs!$J$8-Inputs!$I$8)))*12.9898+(Inputs!$C$6)*78.233+Inputs!$C$47*37.719))*43758.5453)-INT((SIN((((Inputs!$I$8+(((A175)+1)/2)*(Inputs!$J$8-Inputs!$I$8)))*12.9898+(Inputs!$C$6)*78.233+Inputs!$C$47*37.719))*43758.5453)))-1))),NA())</f>
        <v/>
      </c>
      <c r="AV175" s="9">
        <f>IF(OR(Inputs!$F$9=TRUE,Inputs!$F$9="TRUE",Inputs!$F$9=1),IF(OR(Inputs!$C$27=TRUE,Inputs!$C$27="TRUE",Inputs!$C$27=1),1,0)*(Inputs!$C$51*(115*EXP(-(((Inputs!$C$6)-25)^2)/(4.5^2))+70*EXP(-(((Inputs!$C$6)+38)^2)/(7^2))*(0.55+0.45*SIN(2*PI()*((Inputs!$I$9+(((A175)+1)/2)*(Inputs!$J$9-Inputs!$I$9)))/45))+24*SIN(2*PI()*(Inputs!$C$6)/9+((Inputs!$I$9+(((A175)+1)/2)*(Inputs!$J$9-Inputs!$I$9)))/18)*EXP(-(((Inputs!$C$6)+5)^2)/(22^2))+18*SIN(2*PI()*((Inputs!$I$9+(((A175)+1)/2)*(Inputs!$J$9-Inputs!$I$9)))/70))+Inputs!$C$28*EXP(-((((Inputs!$I$9+(((A175)+1)/2)*(Inputs!$J$9-Inputs!$I$9)))-Inputs!$C$29)^2)/(2*Inputs!$C$31^2))*EXP(-(((Inputs!$C$6)-Inputs!$C$30)^2)/(2*Inputs!$C$32^2))+-Inputs!$C$33*EXP(-((((((Inputs!$I$9+(((A175)+1)/2)*(Inputs!$J$9-Inputs!$I$9)))-Inputs!$C$34)^2)+(((Inputs!$C$6)-Inputs!$C$35)^2))/(2*Inputs!$C$36^2)))+Inputs!$C$37*(0.55*SIN(2*PI()*((Inputs!$I$9+(((A175)+1)/2)*(Inputs!$J$9-Inputs!$I$9)))/Inputs!$C$39)+0.35*COS(2*PI()*(Inputs!$C$6)/Inputs!$C$40)+0.2*SIN(2*PI()*(((Inputs!$I$9+(((A175)+1)/2)*(Inputs!$J$9-Inputs!$I$9)))+(Inputs!$C$6))/(0.5*(Inputs!$C$39+Inputs!$C$40))))+Inputs!$C$38*SIN(2*PI()*((Inputs!$I$9+(((A175)+1)/2)*(Inputs!$J$9-Inputs!$I$9)))/Inputs!$C$39)*SIN(2*PI()*(Inputs!$C$6)/Inputs!$C$40)+-Inputs!$C$41*EXP(-(((Inputs!$C$6)-Inputs!$C$43)^2)/(2*Inputs!$C$44^2))*EXP(-((((Inputs!$I$9+(((A175)+1)/2)*(Inputs!$J$9-Inputs!$I$9)))-Inputs!$C$42)^2)/(2*Inputs!$C$45^2))+Inputs!$C$48*(0.7*(0.45*SIN(2*PI()*((((Inputs!$I$9+(((A175)+1)/2)*(Inputs!$J$9-Inputs!$I$9)))/Inputs!$C$49)+Inputs!$C$47*0.137))+0.35*COS(2*PI()*(((Inputs!$C$6)/Inputs!$C$50)+Inputs!$C$47*0.173))+0.2*SIN(2*PI()*((((Inputs!$I$9+(((A175)+1)/2)*(Inputs!$J$9-Inputs!$I$9)))+(Inputs!$C$6))/(0.5*(Inputs!$C$49+Inputs!$C$50))+Inputs!$C$47*0.097)))+0.3*(2*((SIN((((Inputs!$I$9+(((A175)+1)/2)*(Inputs!$J$9-Inputs!$I$9)))*12.9898+(Inputs!$C$6)*78.233+Inputs!$C$47*37.719))*43758.5453)-INT((SIN((((Inputs!$I$9+(((A175)+1)/2)*(Inputs!$J$9-Inputs!$I$9)))*12.9898+(Inputs!$C$6)*78.233+Inputs!$C$47*37.719))*43758.5453)))-1))),NA())</f>
        <v/>
      </c>
      <c r="AW175" s="10" t="n"/>
      <c r="AX175" s="9">
        <f>A175</f>
        <v/>
      </c>
      <c r="AY175" s="9">
        <f>0</f>
        <v/>
      </c>
      <c r="AZ175" s="9">
        <f>IF(OR(Inputs!$F$6=TRUE,Inputs!$F$6="TRUE",Inputs!$F$6=1),(Inputs!$H$6+Inputs!$L$6*(((Inputs!$I$6+(((A175)+1)/2)*(Inputs!$J$6-Inputs!$I$6)))/Inputs!$K$6)^2),NA())</f>
        <v/>
      </c>
      <c r="BA175" s="9">
        <f>IF(OR(Inputs!$F$7=TRUE,Inputs!$F$7="TRUE",Inputs!$F$7=1),(Inputs!$H$7+Inputs!$L$7*(((Inputs!$I$7+(((A175)+1)/2)*(Inputs!$J$7-Inputs!$I$7)))/Inputs!$K$7)^2),NA())</f>
        <v/>
      </c>
      <c r="BB175" s="9">
        <f>IF(OR(Inputs!$F$8=TRUE,Inputs!$F$8="TRUE",Inputs!$F$8=1),(Inputs!$H$8+Inputs!$L$8*(((Inputs!$I$8+(((A175)+1)/2)*(Inputs!$J$8-Inputs!$I$8)))/Inputs!$K$8)^2),NA())</f>
        <v/>
      </c>
      <c r="BC175" s="9">
        <f>IF(OR(Inputs!$F$9=TRUE,Inputs!$F$9="TRUE",Inputs!$F$9=1),(Inputs!$H$9+Inputs!$L$9*(((Inputs!$I$9+(((A175)+1)/2)*(Inputs!$J$9-Inputs!$I$9)))/Inputs!$K$9)^2),NA())</f>
        <v/>
      </c>
      <c r="BD175" s="10" t="n"/>
      <c r="BE175" s="9">
        <f>A175</f>
        <v/>
      </c>
      <c r="BF175" s="9">
        <f>0</f>
        <v/>
      </c>
      <c r="BG175" s="9">
        <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f>
        <v/>
      </c>
      <c r="BH175" s="9">
        <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f>
        <v/>
      </c>
      <c r="BI175" s="9">
        <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f>
        <v/>
      </c>
      <c r="BJ175" s="9">
        <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f>
        <v/>
      </c>
    </row>
    <row r="176">
      <c r="A176" s="9">
        <f>ROUND(-1+174*2/240,3)</f>
        <v/>
      </c>
      <c r="B176" s="9">
        <f>IF(OR(Inputs!$F$6=TRUE,Inputs!$F$6="TRUE",Inputs!$F$6=1),(Inputs!$H$6+Inputs!$L$6*(((Inputs!$I$6+(((A176)+1)/2)*(Inputs!$J$6-Inputs!$I$6)))/Inputs!$K$6)^2),NA())</f>
        <v/>
      </c>
      <c r="C176" s="9">
        <f>IF(OR(Inputs!$F$7=TRUE,Inputs!$F$7="TRUE",Inputs!$F$7=1),(Inputs!$H$7+Inputs!$L$7*(((Inputs!$I$7+(((A176)+1)/2)*(Inputs!$J$7-Inputs!$I$7)))/Inputs!$K$7)^2),NA())</f>
        <v/>
      </c>
      <c r="D176" s="9">
        <f>IF(OR(Inputs!$F$8=TRUE,Inputs!$F$8="TRUE",Inputs!$F$8=1),(Inputs!$H$8+Inputs!$L$8*(((Inputs!$I$8+(((A176)+1)/2)*(Inputs!$J$8-Inputs!$I$8)))/Inputs!$K$8)^2),NA())</f>
        <v/>
      </c>
      <c r="E176" s="9">
        <f>IF(OR(Inputs!$F$9=TRUE,Inputs!$F$9="TRUE",Inputs!$F$9=1),(Inputs!$H$9+Inputs!$L$9*(((Inputs!$I$9+(((A176)+1)/2)*(Inputs!$J$9-Inputs!$I$9)))/Inputs!$K$9)^2),NA())</f>
        <v/>
      </c>
      <c r="F176" s="10" t="n"/>
      <c r="G176" s="9">
        <f>A176</f>
        <v/>
      </c>
      <c r="H176" s="9">
        <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f>
        <v/>
      </c>
      <c r="I176" s="9">
        <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f>
        <v/>
      </c>
      <c r="J176" s="9">
        <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f>
        <v/>
      </c>
      <c r="K176" s="9">
        <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f>
        <v/>
      </c>
      <c r="L176" s="10" t="n"/>
      <c r="M176" s="9">
        <f>A176</f>
        <v/>
      </c>
      <c r="N176" s="9">
        <f>IF(OR(Inputs!$F$6=TRUE,Inputs!$F$6="TRUE",Inputs!$F$6=1),(-2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NA())</f>
        <v/>
      </c>
      <c r="O176" s="9">
        <f>IF(OR(Inputs!$F$7=TRUE,Inputs!$F$7="TRUE",Inputs!$F$7=1),(-2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NA())</f>
        <v/>
      </c>
      <c r="P176" s="9">
        <f>IF(OR(Inputs!$F$8=TRUE,Inputs!$F$8="TRUE",Inputs!$F$8=1),(-2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NA())</f>
        <v/>
      </c>
      <c r="Q176" s="9">
        <f>IF(OR(Inputs!$F$9=TRUE,Inputs!$F$9="TRUE",Inputs!$F$9=1),(-2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NA())</f>
        <v/>
      </c>
      <c r="R176" s="10" t="n"/>
      <c r="S176" s="9">
        <f>A176</f>
        <v/>
      </c>
      <c r="T176" s="9">
        <f>(Inputs!$I$6+(((A176)+1)/2)*(Inputs!$J$6-Inputs!$I$6))</f>
        <v/>
      </c>
      <c r="U176" s="9">
        <f>(Inputs!$I$7+(((A176)+1)/2)*(Inputs!$J$7-Inputs!$I$7))</f>
        <v/>
      </c>
      <c r="V176" s="9">
        <f>(Inputs!$I$8+(((A176)+1)/2)*(Inputs!$J$8-Inputs!$I$8))</f>
        <v/>
      </c>
      <c r="W176" s="9">
        <f>(Inputs!$I$9+(((A176)+1)/2)*(Inputs!$J$9-Inputs!$I$9))</f>
        <v/>
      </c>
      <c r="X176" s="10" t="n"/>
      <c r="Y176" s="9">
        <f>A176</f>
        <v/>
      </c>
      <c r="Z176" s="9">
        <f>(Inputs!$H$6+Inputs!$L$6*(((Inputs!$I$6+(((A176)+1)/2)*(Inputs!$J$6-Inputs!$I$6)))/Inputs!$K$6)^2)</f>
        <v/>
      </c>
      <c r="AA176" s="9">
        <f>(Inputs!$H$7+Inputs!$L$7*(((Inputs!$I$7+(((A176)+1)/2)*(Inputs!$J$7-Inputs!$I$7)))/Inputs!$K$7)^2)</f>
        <v/>
      </c>
      <c r="AB176" s="9">
        <f>(Inputs!$H$8+Inputs!$L$8*(((Inputs!$I$8+(((A176)+1)/2)*(Inputs!$J$8-Inputs!$I$8)))/Inputs!$K$8)^2)</f>
        <v/>
      </c>
      <c r="AC176" s="9">
        <f>(Inputs!$H$9+Inputs!$L$9*(((Inputs!$I$9+(((A176)+1)/2)*(Inputs!$J$9-Inputs!$I$9)))/Inputs!$K$9)^2)</f>
        <v/>
      </c>
      <c r="AD176" s="10" t="n"/>
      <c r="AE176" s="9">
        <f>A176</f>
        <v/>
      </c>
      <c r="AF176" s="9">
        <f>(((SQRT((Inputs!$C$52+((Inputs!$H$6+Inputs!$L$6*(((Inputs!$I$6+(((A176)+1)/2)*(Inputs!$J$6-Inputs!$I$6)))/Inputs!$K$6)^2)))^2+Inputs!$C$52^2-2*(Inputs!$C$52+((Inputs!$H$6+Inputs!$L$6*(((Inputs!$I$6+(((A176)+1)/2)*(Inputs!$J$6-Inputs!$I$6)))/Inputs!$K$6)^2)))*Inputs!$C$52*COS(SQRT(((Inputs!$I$6+(((A176)+1)/2)*(Inputs!$J$6-Inputs!$I$6)))^2+Inputs!$C$6^2)/Inputs!$C$52)))-((Inputs!$H$6+Inputs!$L$6*(((Inputs!$I$6+(((A176)+1)/2)*(Inputs!$J$6-Inputs!$I$6)))/Inputs!$K$6)^2)))*1000/Inputs!$C$12)</f>
        <v/>
      </c>
      <c r="AG176" s="9">
        <f>(((SQRT((Inputs!$C$52+((Inputs!$H$7+Inputs!$L$7*(((Inputs!$I$7+(((A176)+1)/2)*(Inputs!$J$7-Inputs!$I$7)))/Inputs!$K$7)^2)))^2+Inputs!$C$52^2-2*(Inputs!$C$52+((Inputs!$H$7+Inputs!$L$7*(((Inputs!$I$7+(((A176)+1)/2)*(Inputs!$J$7-Inputs!$I$7)))/Inputs!$K$7)^2)))*Inputs!$C$52*COS(SQRT(((Inputs!$I$7+(((A176)+1)/2)*(Inputs!$J$7-Inputs!$I$7)))^2+Inputs!$C$6^2)/Inputs!$C$52)))-((Inputs!$H$7+Inputs!$L$7*(((Inputs!$I$7+(((A176)+1)/2)*(Inputs!$J$7-Inputs!$I$7)))/Inputs!$K$7)^2)))*1000/Inputs!$C$12)</f>
        <v/>
      </c>
      <c r="AH176" s="9">
        <f>(((SQRT((Inputs!$C$52+((Inputs!$H$8+Inputs!$L$8*(((Inputs!$I$8+(((A176)+1)/2)*(Inputs!$J$8-Inputs!$I$8)))/Inputs!$K$8)^2)))^2+Inputs!$C$52^2-2*(Inputs!$C$52+((Inputs!$H$8+Inputs!$L$8*(((Inputs!$I$8+(((A176)+1)/2)*(Inputs!$J$8-Inputs!$I$8)))/Inputs!$K$8)^2)))*Inputs!$C$52*COS(SQRT(((Inputs!$I$8+(((A176)+1)/2)*(Inputs!$J$8-Inputs!$I$8)))^2+Inputs!$C$6^2)/Inputs!$C$52)))-((Inputs!$H$8+Inputs!$L$8*(((Inputs!$I$8+(((A176)+1)/2)*(Inputs!$J$8-Inputs!$I$8)))/Inputs!$K$8)^2)))*1000/Inputs!$C$12)</f>
        <v/>
      </c>
      <c r="AI176" s="9">
        <f>(((SQRT((Inputs!$C$52+((Inputs!$H$9+Inputs!$L$9*(((Inputs!$I$9+(((A176)+1)/2)*(Inputs!$J$9-Inputs!$I$9)))/Inputs!$K$9)^2)))^2+Inputs!$C$52^2-2*(Inputs!$C$52+((Inputs!$H$9+Inputs!$L$9*(((Inputs!$I$9+(((A176)+1)/2)*(Inputs!$J$9-Inputs!$I$9)))/Inputs!$K$9)^2)))*Inputs!$C$52*COS(SQRT(((Inputs!$I$9+(((A176)+1)/2)*(Inputs!$J$9-Inputs!$I$9)))^2+Inputs!$C$6^2)/Inputs!$C$52)))-((Inputs!$H$9+Inputs!$L$9*(((Inputs!$I$9+(((A176)+1)/2)*(Inputs!$J$9-Inputs!$I$9)))/Inputs!$K$9)^2)))*1000/Inputs!$C$12)</f>
        <v/>
      </c>
      <c r="AJ176" s="10" t="n"/>
      <c r="AK176" s="9">
        <f>A176</f>
        <v/>
      </c>
      <c r="AL176" s="9">
        <f>(-2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f>
        <v/>
      </c>
      <c r="AM176" s="9">
        <f>(-2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f>
        <v/>
      </c>
      <c r="AN176" s="9">
        <f>(-2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f>
        <v/>
      </c>
      <c r="AO176" s="9">
        <f>(-2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f>
        <v/>
      </c>
      <c r="AP176" s="10" t="n"/>
      <c r="AQ176" s="9">
        <f>A176</f>
        <v/>
      </c>
      <c r="AR176" s="9">
        <f>0</f>
        <v/>
      </c>
      <c r="AS176" s="9">
        <f>IF(OR(Inputs!$F$6=TRUE,Inputs!$F$6="TRUE",Inputs!$F$6=1),IF(OR(Inputs!$C$27=TRUE,Inputs!$C$27="TRUE",Inputs!$C$27=1),1,0)*(Inputs!$C$51*(115*EXP(-(((Inputs!$C$6)-25)^2)/(4.5^2))+70*EXP(-(((Inputs!$C$6)+38)^2)/(7^2))*(0.55+0.45*SIN(2*PI()*((Inputs!$I$6+(((A176)+1)/2)*(Inputs!$J$6-Inputs!$I$6)))/45))+24*SIN(2*PI()*(Inputs!$C$6)/9+((Inputs!$I$6+(((A176)+1)/2)*(Inputs!$J$6-Inputs!$I$6)))/18)*EXP(-(((Inputs!$C$6)+5)^2)/(22^2))+18*SIN(2*PI()*((Inputs!$I$6+(((A176)+1)/2)*(Inputs!$J$6-Inputs!$I$6)))/70))+Inputs!$C$28*EXP(-((((Inputs!$I$6+(((A176)+1)/2)*(Inputs!$J$6-Inputs!$I$6)))-Inputs!$C$29)^2)/(2*Inputs!$C$31^2))*EXP(-(((Inputs!$C$6)-Inputs!$C$30)^2)/(2*Inputs!$C$32^2))+-Inputs!$C$33*EXP(-((((((Inputs!$I$6+(((A176)+1)/2)*(Inputs!$J$6-Inputs!$I$6)))-Inputs!$C$34)^2)+(((Inputs!$C$6)-Inputs!$C$35)^2))/(2*Inputs!$C$36^2)))+Inputs!$C$37*(0.55*SIN(2*PI()*((Inputs!$I$6+(((A176)+1)/2)*(Inputs!$J$6-Inputs!$I$6)))/Inputs!$C$39)+0.35*COS(2*PI()*(Inputs!$C$6)/Inputs!$C$40)+0.2*SIN(2*PI()*(((Inputs!$I$6+(((A176)+1)/2)*(Inputs!$J$6-Inputs!$I$6)))+(Inputs!$C$6))/(0.5*(Inputs!$C$39+Inputs!$C$40))))+Inputs!$C$38*SIN(2*PI()*((Inputs!$I$6+(((A176)+1)/2)*(Inputs!$J$6-Inputs!$I$6)))/Inputs!$C$39)*SIN(2*PI()*(Inputs!$C$6)/Inputs!$C$40)+-Inputs!$C$41*EXP(-(((Inputs!$C$6)-Inputs!$C$43)^2)/(2*Inputs!$C$44^2))*EXP(-((((Inputs!$I$6+(((A176)+1)/2)*(Inputs!$J$6-Inputs!$I$6)))-Inputs!$C$42)^2)/(2*Inputs!$C$45^2))+Inputs!$C$48*(0.7*(0.45*SIN(2*PI()*((((Inputs!$I$6+(((A176)+1)/2)*(Inputs!$J$6-Inputs!$I$6)))/Inputs!$C$49)+Inputs!$C$47*0.137))+0.35*COS(2*PI()*(((Inputs!$C$6)/Inputs!$C$50)+Inputs!$C$47*0.173))+0.2*SIN(2*PI()*((((Inputs!$I$6+(((A176)+1)/2)*(Inputs!$J$6-Inputs!$I$6)))+(Inputs!$C$6))/(0.5*(Inputs!$C$49+Inputs!$C$50))+Inputs!$C$47*0.097)))+0.3*(2*((SIN((((Inputs!$I$6+(((A176)+1)/2)*(Inputs!$J$6-Inputs!$I$6)))*12.9898+(Inputs!$C$6)*78.233+Inputs!$C$47*37.719))*43758.5453)-INT((SIN((((Inputs!$I$6+(((A176)+1)/2)*(Inputs!$J$6-Inputs!$I$6)))*12.9898+(Inputs!$C$6)*78.233+Inputs!$C$47*37.719))*43758.5453)))-1))),NA())</f>
        <v/>
      </c>
      <c r="AT176" s="9">
        <f>IF(OR(Inputs!$F$7=TRUE,Inputs!$F$7="TRUE",Inputs!$F$7=1),IF(OR(Inputs!$C$27=TRUE,Inputs!$C$27="TRUE",Inputs!$C$27=1),1,0)*(Inputs!$C$51*(115*EXP(-(((Inputs!$C$6)-25)^2)/(4.5^2))+70*EXP(-(((Inputs!$C$6)+38)^2)/(7^2))*(0.55+0.45*SIN(2*PI()*((Inputs!$I$7+(((A176)+1)/2)*(Inputs!$J$7-Inputs!$I$7)))/45))+24*SIN(2*PI()*(Inputs!$C$6)/9+((Inputs!$I$7+(((A176)+1)/2)*(Inputs!$J$7-Inputs!$I$7)))/18)*EXP(-(((Inputs!$C$6)+5)^2)/(22^2))+18*SIN(2*PI()*((Inputs!$I$7+(((A176)+1)/2)*(Inputs!$J$7-Inputs!$I$7)))/70))+Inputs!$C$28*EXP(-((((Inputs!$I$7+(((A176)+1)/2)*(Inputs!$J$7-Inputs!$I$7)))-Inputs!$C$29)^2)/(2*Inputs!$C$31^2))*EXP(-(((Inputs!$C$6)-Inputs!$C$30)^2)/(2*Inputs!$C$32^2))+-Inputs!$C$33*EXP(-((((((Inputs!$I$7+(((A176)+1)/2)*(Inputs!$J$7-Inputs!$I$7)))-Inputs!$C$34)^2)+(((Inputs!$C$6)-Inputs!$C$35)^2))/(2*Inputs!$C$36^2)))+Inputs!$C$37*(0.55*SIN(2*PI()*((Inputs!$I$7+(((A176)+1)/2)*(Inputs!$J$7-Inputs!$I$7)))/Inputs!$C$39)+0.35*COS(2*PI()*(Inputs!$C$6)/Inputs!$C$40)+0.2*SIN(2*PI()*(((Inputs!$I$7+(((A176)+1)/2)*(Inputs!$J$7-Inputs!$I$7)))+(Inputs!$C$6))/(0.5*(Inputs!$C$39+Inputs!$C$40))))+Inputs!$C$38*SIN(2*PI()*((Inputs!$I$7+(((A176)+1)/2)*(Inputs!$J$7-Inputs!$I$7)))/Inputs!$C$39)*SIN(2*PI()*(Inputs!$C$6)/Inputs!$C$40)+-Inputs!$C$41*EXP(-(((Inputs!$C$6)-Inputs!$C$43)^2)/(2*Inputs!$C$44^2))*EXP(-((((Inputs!$I$7+(((A176)+1)/2)*(Inputs!$J$7-Inputs!$I$7)))-Inputs!$C$42)^2)/(2*Inputs!$C$45^2))+Inputs!$C$48*(0.7*(0.45*SIN(2*PI()*((((Inputs!$I$7+(((A176)+1)/2)*(Inputs!$J$7-Inputs!$I$7)))/Inputs!$C$49)+Inputs!$C$47*0.137))+0.35*COS(2*PI()*(((Inputs!$C$6)/Inputs!$C$50)+Inputs!$C$47*0.173))+0.2*SIN(2*PI()*((((Inputs!$I$7+(((A176)+1)/2)*(Inputs!$J$7-Inputs!$I$7)))+(Inputs!$C$6))/(0.5*(Inputs!$C$49+Inputs!$C$50))+Inputs!$C$47*0.097)))+0.3*(2*((SIN((((Inputs!$I$7+(((A176)+1)/2)*(Inputs!$J$7-Inputs!$I$7)))*12.9898+(Inputs!$C$6)*78.233+Inputs!$C$47*37.719))*43758.5453)-INT((SIN((((Inputs!$I$7+(((A176)+1)/2)*(Inputs!$J$7-Inputs!$I$7)))*12.9898+(Inputs!$C$6)*78.233+Inputs!$C$47*37.719))*43758.5453)))-1))),NA())</f>
        <v/>
      </c>
      <c r="AU176" s="9">
        <f>IF(OR(Inputs!$F$8=TRUE,Inputs!$F$8="TRUE",Inputs!$F$8=1),IF(OR(Inputs!$C$27=TRUE,Inputs!$C$27="TRUE",Inputs!$C$27=1),1,0)*(Inputs!$C$51*(115*EXP(-(((Inputs!$C$6)-25)^2)/(4.5^2))+70*EXP(-(((Inputs!$C$6)+38)^2)/(7^2))*(0.55+0.45*SIN(2*PI()*((Inputs!$I$8+(((A176)+1)/2)*(Inputs!$J$8-Inputs!$I$8)))/45))+24*SIN(2*PI()*(Inputs!$C$6)/9+((Inputs!$I$8+(((A176)+1)/2)*(Inputs!$J$8-Inputs!$I$8)))/18)*EXP(-(((Inputs!$C$6)+5)^2)/(22^2))+18*SIN(2*PI()*((Inputs!$I$8+(((A176)+1)/2)*(Inputs!$J$8-Inputs!$I$8)))/70))+Inputs!$C$28*EXP(-((((Inputs!$I$8+(((A176)+1)/2)*(Inputs!$J$8-Inputs!$I$8)))-Inputs!$C$29)^2)/(2*Inputs!$C$31^2))*EXP(-(((Inputs!$C$6)-Inputs!$C$30)^2)/(2*Inputs!$C$32^2))+-Inputs!$C$33*EXP(-((((((Inputs!$I$8+(((A176)+1)/2)*(Inputs!$J$8-Inputs!$I$8)))-Inputs!$C$34)^2)+(((Inputs!$C$6)-Inputs!$C$35)^2))/(2*Inputs!$C$36^2)))+Inputs!$C$37*(0.55*SIN(2*PI()*((Inputs!$I$8+(((A176)+1)/2)*(Inputs!$J$8-Inputs!$I$8)))/Inputs!$C$39)+0.35*COS(2*PI()*(Inputs!$C$6)/Inputs!$C$40)+0.2*SIN(2*PI()*(((Inputs!$I$8+(((A176)+1)/2)*(Inputs!$J$8-Inputs!$I$8)))+(Inputs!$C$6))/(0.5*(Inputs!$C$39+Inputs!$C$40))))+Inputs!$C$38*SIN(2*PI()*((Inputs!$I$8+(((A176)+1)/2)*(Inputs!$J$8-Inputs!$I$8)))/Inputs!$C$39)*SIN(2*PI()*(Inputs!$C$6)/Inputs!$C$40)+-Inputs!$C$41*EXP(-(((Inputs!$C$6)-Inputs!$C$43)^2)/(2*Inputs!$C$44^2))*EXP(-((((Inputs!$I$8+(((A176)+1)/2)*(Inputs!$J$8-Inputs!$I$8)))-Inputs!$C$42)^2)/(2*Inputs!$C$45^2))+Inputs!$C$48*(0.7*(0.45*SIN(2*PI()*((((Inputs!$I$8+(((A176)+1)/2)*(Inputs!$J$8-Inputs!$I$8)))/Inputs!$C$49)+Inputs!$C$47*0.137))+0.35*COS(2*PI()*(((Inputs!$C$6)/Inputs!$C$50)+Inputs!$C$47*0.173))+0.2*SIN(2*PI()*((((Inputs!$I$8+(((A176)+1)/2)*(Inputs!$J$8-Inputs!$I$8)))+(Inputs!$C$6))/(0.5*(Inputs!$C$49+Inputs!$C$50))+Inputs!$C$47*0.097)))+0.3*(2*((SIN((((Inputs!$I$8+(((A176)+1)/2)*(Inputs!$J$8-Inputs!$I$8)))*12.9898+(Inputs!$C$6)*78.233+Inputs!$C$47*37.719))*43758.5453)-INT((SIN((((Inputs!$I$8+(((A176)+1)/2)*(Inputs!$J$8-Inputs!$I$8)))*12.9898+(Inputs!$C$6)*78.233+Inputs!$C$47*37.719))*43758.5453)))-1))),NA())</f>
        <v/>
      </c>
      <c r="AV176" s="9">
        <f>IF(OR(Inputs!$F$9=TRUE,Inputs!$F$9="TRUE",Inputs!$F$9=1),IF(OR(Inputs!$C$27=TRUE,Inputs!$C$27="TRUE",Inputs!$C$27=1),1,0)*(Inputs!$C$51*(115*EXP(-(((Inputs!$C$6)-25)^2)/(4.5^2))+70*EXP(-(((Inputs!$C$6)+38)^2)/(7^2))*(0.55+0.45*SIN(2*PI()*((Inputs!$I$9+(((A176)+1)/2)*(Inputs!$J$9-Inputs!$I$9)))/45))+24*SIN(2*PI()*(Inputs!$C$6)/9+((Inputs!$I$9+(((A176)+1)/2)*(Inputs!$J$9-Inputs!$I$9)))/18)*EXP(-(((Inputs!$C$6)+5)^2)/(22^2))+18*SIN(2*PI()*((Inputs!$I$9+(((A176)+1)/2)*(Inputs!$J$9-Inputs!$I$9)))/70))+Inputs!$C$28*EXP(-((((Inputs!$I$9+(((A176)+1)/2)*(Inputs!$J$9-Inputs!$I$9)))-Inputs!$C$29)^2)/(2*Inputs!$C$31^2))*EXP(-(((Inputs!$C$6)-Inputs!$C$30)^2)/(2*Inputs!$C$32^2))+-Inputs!$C$33*EXP(-((((((Inputs!$I$9+(((A176)+1)/2)*(Inputs!$J$9-Inputs!$I$9)))-Inputs!$C$34)^2)+(((Inputs!$C$6)-Inputs!$C$35)^2))/(2*Inputs!$C$36^2)))+Inputs!$C$37*(0.55*SIN(2*PI()*((Inputs!$I$9+(((A176)+1)/2)*(Inputs!$J$9-Inputs!$I$9)))/Inputs!$C$39)+0.35*COS(2*PI()*(Inputs!$C$6)/Inputs!$C$40)+0.2*SIN(2*PI()*(((Inputs!$I$9+(((A176)+1)/2)*(Inputs!$J$9-Inputs!$I$9)))+(Inputs!$C$6))/(0.5*(Inputs!$C$39+Inputs!$C$40))))+Inputs!$C$38*SIN(2*PI()*((Inputs!$I$9+(((A176)+1)/2)*(Inputs!$J$9-Inputs!$I$9)))/Inputs!$C$39)*SIN(2*PI()*(Inputs!$C$6)/Inputs!$C$40)+-Inputs!$C$41*EXP(-(((Inputs!$C$6)-Inputs!$C$43)^2)/(2*Inputs!$C$44^2))*EXP(-((((Inputs!$I$9+(((A176)+1)/2)*(Inputs!$J$9-Inputs!$I$9)))-Inputs!$C$42)^2)/(2*Inputs!$C$45^2))+Inputs!$C$48*(0.7*(0.45*SIN(2*PI()*((((Inputs!$I$9+(((A176)+1)/2)*(Inputs!$J$9-Inputs!$I$9)))/Inputs!$C$49)+Inputs!$C$47*0.137))+0.35*COS(2*PI()*(((Inputs!$C$6)/Inputs!$C$50)+Inputs!$C$47*0.173))+0.2*SIN(2*PI()*((((Inputs!$I$9+(((A176)+1)/2)*(Inputs!$J$9-Inputs!$I$9)))+(Inputs!$C$6))/(0.5*(Inputs!$C$49+Inputs!$C$50))+Inputs!$C$47*0.097)))+0.3*(2*((SIN((((Inputs!$I$9+(((A176)+1)/2)*(Inputs!$J$9-Inputs!$I$9)))*12.9898+(Inputs!$C$6)*78.233+Inputs!$C$47*37.719))*43758.5453)-INT((SIN((((Inputs!$I$9+(((A176)+1)/2)*(Inputs!$J$9-Inputs!$I$9)))*12.9898+(Inputs!$C$6)*78.233+Inputs!$C$47*37.719))*43758.5453)))-1))),NA())</f>
        <v/>
      </c>
      <c r="AW176" s="10" t="n"/>
      <c r="AX176" s="9">
        <f>A176</f>
        <v/>
      </c>
      <c r="AY176" s="9">
        <f>0</f>
        <v/>
      </c>
      <c r="AZ176" s="9">
        <f>IF(OR(Inputs!$F$6=TRUE,Inputs!$F$6="TRUE",Inputs!$F$6=1),(Inputs!$H$6+Inputs!$L$6*(((Inputs!$I$6+(((A176)+1)/2)*(Inputs!$J$6-Inputs!$I$6)))/Inputs!$K$6)^2),NA())</f>
        <v/>
      </c>
      <c r="BA176" s="9">
        <f>IF(OR(Inputs!$F$7=TRUE,Inputs!$F$7="TRUE",Inputs!$F$7=1),(Inputs!$H$7+Inputs!$L$7*(((Inputs!$I$7+(((A176)+1)/2)*(Inputs!$J$7-Inputs!$I$7)))/Inputs!$K$7)^2),NA())</f>
        <v/>
      </c>
      <c r="BB176" s="9">
        <f>IF(OR(Inputs!$F$8=TRUE,Inputs!$F$8="TRUE",Inputs!$F$8=1),(Inputs!$H$8+Inputs!$L$8*(((Inputs!$I$8+(((A176)+1)/2)*(Inputs!$J$8-Inputs!$I$8)))/Inputs!$K$8)^2),NA())</f>
        <v/>
      </c>
      <c r="BC176" s="9">
        <f>IF(OR(Inputs!$F$9=TRUE,Inputs!$F$9="TRUE",Inputs!$F$9=1),(Inputs!$H$9+Inputs!$L$9*(((Inputs!$I$9+(((A176)+1)/2)*(Inputs!$J$9-Inputs!$I$9)))/Inputs!$K$9)^2),NA())</f>
        <v/>
      </c>
      <c r="BD176" s="10" t="n"/>
      <c r="BE176" s="9">
        <f>A176</f>
        <v/>
      </c>
      <c r="BF176" s="9">
        <f>0</f>
        <v/>
      </c>
      <c r="BG176" s="9">
        <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f>
        <v/>
      </c>
      <c r="BH176" s="9">
        <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f>
        <v/>
      </c>
      <c r="BI176" s="9">
        <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f>
        <v/>
      </c>
      <c r="BJ176" s="9">
        <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f>
        <v/>
      </c>
    </row>
    <row r="177">
      <c r="A177" s="9">
        <f>ROUND(-1+175*2/240,3)</f>
        <v/>
      </c>
      <c r="B177" s="9">
        <f>IF(OR(Inputs!$F$6=TRUE,Inputs!$F$6="TRUE",Inputs!$F$6=1),(Inputs!$H$6+Inputs!$L$6*(((Inputs!$I$6+(((A177)+1)/2)*(Inputs!$J$6-Inputs!$I$6)))/Inputs!$K$6)^2),NA())</f>
        <v/>
      </c>
      <c r="C177" s="9">
        <f>IF(OR(Inputs!$F$7=TRUE,Inputs!$F$7="TRUE",Inputs!$F$7=1),(Inputs!$H$7+Inputs!$L$7*(((Inputs!$I$7+(((A177)+1)/2)*(Inputs!$J$7-Inputs!$I$7)))/Inputs!$K$7)^2),NA())</f>
        <v/>
      </c>
      <c r="D177" s="9">
        <f>IF(OR(Inputs!$F$8=TRUE,Inputs!$F$8="TRUE",Inputs!$F$8=1),(Inputs!$H$8+Inputs!$L$8*(((Inputs!$I$8+(((A177)+1)/2)*(Inputs!$J$8-Inputs!$I$8)))/Inputs!$K$8)^2),NA())</f>
        <v/>
      </c>
      <c r="E177" s="9">
        <f>IF(OR(Inputs!$F$9=TRUE,Inputs!$F$9="TRUE",Inputs!$F$9=1),(Inputs!$H$9+Inputs!$L$9*(((Inputs!$I$9+(((A177)+1)/2)*(Inputs!$J$9-Inputs!$I$9)))/Inputs!$K$9)^2),NA())</f>
        <v/>
      </c>
      <c r="F177" s="10" t="n"/>
      <c r="G177" s="9">
        <f>A177</f>
        <v/>
      </c>
      <c r="H177" s="9">
        <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f>
        <v/>
      </c>
      <c r="I177" s="9">
        <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f>
        <v/>
      </c>
      <c r="J177" s="9">
        <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f>
        <v/>
      </c>
      <c r="K177" s="9">
        <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f>
        <v/>
      </c>
      <c r="L177" s="10" t="n"/>
      <c r="M177" s="9">
        <f>A177</f>
        <v/>
      </c>
      <c r="N177" s="9">
        <f>IF(OR(Inputs!$F$6=TRUE,Inputs!$F$6="TRUE",Inputs!$F$6=1),(-2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NA())</f>
        <v/>
      </c>
      <c r="O177" s="9">
        <f>IF(OR(Inputs!$F$7=TRUE,Inputs!$F$7="TRUE",Inputs!$F$7=1),(-2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NA())</f>
        <v/>
      </c>
      <c r="P177" s="9">
        <f>IF(OR(Inputs!$F$8=TRUE,Inputs!$F$8="TRUE",Inputs!$F$8=1),(-2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NA())</f>
        <v/>
      </c>
      <c r="Q177" s="9">
        <f>IF(OR(Inputs!$F$9=TRUE,Inputs!$F$9="TRUE",Inputs!$F$9=1),(-2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NA())</f>
        <v/>
      </c>
      <c r="R177" s="10" t="n"/>
      <c r="S177" s="9">
        <f>A177</f>
        <v/>
      </c>
      <c r="T177" s="9">
        <f>(Inputs!$I$6+(((A177)+1)/2)*(Inputs!$J$6-Inputs!$I$6))</f>
        <v/>
      </c>
      <c r="U177" s="9">
        <f>(Inputs!$I$7+(((A177)+1)/2)*(Inputs!$J$7-Inputs!$I$7))</f>
        <v/>
      </c>
      <c r="V177" s="9">
        <f>(Inputs!$I$8+(((A177)+1)/2)*(Inputs!$J$8-Inputs!$I$8))</f>
        <v/>
      </c>
      <c r="W177" s="9">
        <f>(Inputs!$I$9+(((A177)+1)/2)*(Inputs!$J$9-Inputs!$I$9))</f>
        <v/>
      </c>
      <c r="X177" s="10" t="n"/>
      <c r="Y177" s="9">
        <f>A177</f>
        <v/>
      </c>
      <c r="Z177" s="9">
        <f>(Inputs!$H$6+Inputs!$L$6*(((Inputs!$I$6+(((A177)+1)/2)*(Inputs!$J$6-Inputs!$I$6)))/Inputs!$K$6)^2)</f>
        <v/>
      </c>
      <c r="AA177" s="9">
        <f>(Inputs!$H$7+Inputs!$L$7*(((Inputs!$I$7+(((A177)+1)/2)*(Inputs!$J$7-Inputs!$I$7)))/Inputs!$K$7)^2)</f>
        <v/>
      </c>
      <c r="AB177" s="9">
        <f>(Inputs!$H$8+Inputs!$L$8*(((Inputs!$I$8+(((A177)+1)/2)*(Inputs!$J$8-Inputs!$I$8)))/Inputs!$K$8)^2)</f>
        <v/>
      </c>
      <c r="AC177" s="9">
        <f>(Inputs!$H$9+Inputs!$L$9*(((Inputs!$I$9+(((A177)+1)/2)*(Inputs!$J$9-Inputs!$I$9)))/Inputs!$K$9)^2)</f>
        <v/>
      </c>
      <c r="AD177" s="10" t="n"/>
      <c r="AE177" s="9">
        <f>A177</f>
        <v/>
      </c>
      <c r="AF177" s="9">
        <f>(((SQRT((Inputs!$C$52+((Inputs!$H$6+Inputs!$L$6*(((Inputs!$I$6+(((A177)+1)/2)*(Inputs!$J$6-Inputs!$I$6)))/Inputs!$K$6)^2)))^2+Inputs!$C$52^2-2*(Inputs!$C$52+((Inputs!$H$6+Inputs!$L$6*(((Inputs!$I$6+(((A177)+1)/2)*(Inputs!$J$6-Inputs!$I$6)))/Inputs!$K$6)^2)))*Inputs!$C$52*COS(SQRT(((Inputs!$I$6+(((A177)+1)/2)*(Inputs!$J$6-Inputs!$I$6)))^2+Inputs!$C$6^2)/Inputs!$C$52)))-((Inputs!$H$6+Inputs!$L$6*(((Inputs!$I$6+(((A177)+1)/2)*(Inputs!$J$6-Inputs!$I$6)))/Inputs!$K$6)^2)))*1000/Inputs!$C$12)</f>
        <v/>
      </c>
      <c r="AG177" s="9">
        <f>(((SQRT((Inputs!$C$52+((Inputs!$H$7+Inputs!$L$7*(((Inputs!$I$7+(((A177)+1)/2)*(Inputs!$J$7-Inputs!$I$7)))/Inputs!$K$7)^2)))^2+Inputs!$C$52^2-2*(Inputs!$C$52+((Inputs!$H$7+Inputs!$L$7*(((Inputs!$I$7+(((A177)+1)/2)*(Inputs!$J$7-Inputs!$I$7)))/Inputs!$K$7)^2)))*Inputs!$C$52*COS(SQRT(((Inputs!$I$7+(((A177)+1)/2)*(Inputs!$J$7-Inputs!$I$7)))^2+Inputs!$C$6^2)/Inputs!$C$52)))-((Inputs!$H$7+Inputs!$L$7*(((Inputs!$I$7+(((A177)+1)/2)*(Inputs!$J$7-Inputs!$I$7)))/Inputs!$K$7)^2)))*1000/Inputs!$C$12)</f>
        <v/>
      </c>
      <c r="AH177" s="9">
        <f>(((SQRT((Inputs!$C$52+((Inputs!$H$8+Inputs!$L$8*(((Inputs!$I$8+(((A177)+1)/2)*(Inputs!$J$8-Inputs!$I$8)))/Inputs!$K$8)^2)))^2+Inputs!$C$52^2-2*(Inputs!$C$52+((Inputs!$H$8+Inputs!$L$8*(((Inputs!$I$8+(((A177)+1)/2)*(Inputs!$J$8-Inputs!$I$8)))/Inputs!$K$8)^2)))*Inputs!$C$52*COS(SQRT(((Inputs!$I$8+(((A177)+1)/2)*(Inputs!$J$8-Inputs!$I$8)))^2+Inputs!$C$6^2)/Inputs!$C$52)))-((Inputs!$H$8+Inputs!$L$8*(((Inputs!$I$8+(((A177)+1)/2)*(Inputs!$J$8-Inputs!$I$8)))/Inputs!$K$8)^2)))*1000/Inputs!$C$12)</f>
        <v/>
      </c>
      <c r="AI177" s="9">
        <f>(((SQRT((Inputs!$C$52+((Inputs!$H$9+Inputs!$L$9*(((Inputs!$I$9+(((A177)+1)/2)*(Inputs!$J$9-Inputs!$I$9)))/Inputs!$K$9)^2)))^2+Inputs!$C$52^2-2*(Inputs!$C$52+((Inputs!$H$9+Inputs!$L$9*(((Inputs!$I$9+(((A177)+1)/2)*(Inputs!$J$9-Inputs!$I$9)))/Inputs!$K$9)^2)))*Inputs!$C$52*COS(SQRT(((Inputs!$I$9+(((A177)+1)/2)*(Inputs!$J$9-Inputs!$I$9)))^2+Inputs!$C$6^2)/Inputs!$C$52)))-((Inputs!$H$9+Inputs!$L$9*(((Inputs!$I$9+(((A177)+1)/2)*(Inputs!$J$9-Inputs!$I$9)))/Inputs!$K$9)^2)))*1000/Inputs!$C$12)</f>
        <v/>
      </c>
      <c r="AJ177" s="10" t="n"/>
      <c r="AK177" s="9">
        <f>A177</f>
        <v/>
      </c>
      <c r="AL177" s="9">
        <f>(-2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f>
        <v/>
      </c>
      <c r="AM177" s="9">
        <f>(-2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f>
        <v/>
      </c>
      <c r="AN177" s="9">
        <f>(-2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f>
        <v/>
      </c>
      <c r="AO177" s="9">
        <f>(-2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f>
        <v/>
      </c>
      <c r="AP177" s="10" t="n"/>
      <c r="AQ177" s="9">
        <f>A177</f>
        <v/>
      </c>
      <c r="AR177" s="9">
        <f>0</f>
        <v/>
      </c>
      <c r="AS177" s="9">
        <f>IF(OR(Inputs!$F$6=TRUE,Inputs!$F$6="TRUE",Inputs!$F$6=1),IF(OR(Inputs!$C$27=TRUE,Inputs!$C$27="TRUE",Inputs!$C$27=1),1,0)*(Inputs!$C$51*(115*EXP(-(((Inputs!$C$6)-25)^2)/(4.5^2))+70*EXP(-(((Inputs!$C$6)+38)^2)/(7^2))*(0.55+0.45*SIN(2*PI()*((Inputs!$I$6+(((A177)+1)/2)*(Inputs!$J$6-Inputs!$I$6)))/45))+24*SIN(2*PI()*(Inputs!$C$6)/9+((Inputs!$I$6+(((A177)+1)/2)*(Inputs!$J$6-Inputs!$I$6)))/18)*EXP(-(((Inputs!$C$6)+5)^2)/(22^2))+18*SIN(2*PI()*((Inputs!$I$6+(((A177)+1)/2)*(Inputs!$J$6-Inputs!$I$6)))/70))+Inputs!$C$28*EXP(-((((Inputs!$I$6+(((A177)+1)/2)*(Inputs!$J$6-Inputs!$I$6)))-Inputs!$C$29)^2)/(2*Inputs!$C$31^2))*EXP(-(((Inputs!$C$6)-Inputs!$C$30)^2)/(2*Inputs!$C$32^2))+-Inputs!$C$33*EXP(-((((((Inputs!$I$6+(((A177)+1)/2)*(Inputs!$J$6-Inputs!$I$6)))-Inputs!$C$34)^2)+(((Inputs!$C$6)-Inputs!$C$35)^2))/(2*Inputs!$C$36^2)))+Inputs!$C$37*(0.55*SIN(2*PI()*((Inputs!$I$6+(((A177)+1)/2)*(Inputs!$J$6-Inputs!$I$6)))/Inputs!$C$39)+0.35*COS(2*PI()*(Inputs!$C$6)/Inputs!$C$40)+0.2*SIN(2*PI()*(((Inputs!$I$6+(((A177)+1)/2)*(Inputs!$J$6-Inputs!$I$6)))+(Inputs!$C$6))/(0.5*(Inputs!$C$39+Inputs!$C$40))))+Inputs!$C$38*SIN(2*PI()*((Inputs!$I$6+(((A177)+1)/2)*(Inputs!$J$6-Inputs!$I$6)))/Inputs!$C$39)*SIN(2*PI()*(Inputs!$C$6)/Inputs!$C$40)+-Inputs!$C$41*EXP(-(((Inputs!$C$6)-Inputs!$C$43)^2)/(2*Inputs!$C$44^2))*EXP(-((((Inputs!$I$6+(((A177)+1)/2)*(Inputs!$J$6-Inputs!$I$6)))-Inputs!$C$42)^2)/(2*Inputs!$C$45^2))+Inputs!$C$48*(0.7*(0.45*SIN(2*PI()*((((Inputs!$I$6+(((A177)+1)/2)*(Inputs!$J$6-Inputs!$I$6)))/Inputs!$C$49)+Inputs!$C$47*0.137))+0.35*COS(2*PI()*(((Inputs!$C$6)/Inputs!$C$50)+Inputs!$C$47*0.173))+0.2*SIN(2*PI()*((((Inputs!$I$6+(((A177)+1)/2)*(Inputs!$J$6-Inputs!$I$6)))+(Inputs!$C$6))/(0.5*(Inputs!$C$49+Inputs!$C$50))+Inputs!$C$47*0.097)))+0.3*(2*((SIN((((Inputs!$I$6+(((A177)+1)/2)*(Inputs!$J$6-Inputs!$I$6)))*12.9898+(Inputs!$C$6)*78.233+Inputs!$C$47*37.719))*43758.5453)-INT((SIN((((Inputs!$I$6+(((A177)+1)/2)*(Inputs!$J$6-Inputs!$I$6)))*12.9898+(Inputs!$C$6)*78.233+Inputs!$C$47*37.719))*43758.5453)))-1))),NA())</f>
        <v/>
      </c>
      <c r="AT177" s="9">
        <f>IF(OR(Inputs!$F$7=TRUE,Inputs!$F$7="TRUE",Inputs!$F$7=1),IF(OR(Inputs!$C$27=TRUE,Inputs!$C$27="TRUE",Inputs!$C$27=1),1,0)*(Inputs!$C$51*(115*EXP(-(((Inputs!$C$6)-25)^2)/(4.5^2))+70*EXP(-(((Inputs!$C$6)+38)^2)/(7^2))*(0.55+0.45*SIN(2*PI()*((Inputs!$I$7+(((A177)+1)/2)*(Inputs!$J$7-Inputs!$I$7)))/45))+24*SIN(2*PI()*(Inputs!$C$6)/9+((Inputs!$I$7+(((A177)+1)/2)*(Inputs!$J$7-Inputs!$I$7)))/18)*EXP(-(((Inputs!$C$6)+5)^2)/(22^2))+18*SIN(2*PI()*((Inputs!$I$7+(((A177)+1)/2)*(Inputs!$J$7-Inputs!$I$7)))/70))+Inputs!$C$28*EXP(-((((Inputs!$I$7+(((A177)+1)/2)*(Inputs!$J$7-Inputs!$I$7)))-Inputs!$C$29)^2)/(2*Inputs!$C$31^2))*EXP(-(((Inputs!$C$6)-Inputs!$C$30)^2)/(2*Inputs!$C$32^2))+-Inputs!$C$33*EXP(-((((((Inputs!$I$7+(((A177)+1)/2)*(Inputs!$J$7-Inputs!$I$7)))-Inputs!$C$34)^2)+(((Inputs!$C$6)-Inputs!$C$35)^2))/(2*Inputs!$C$36^2)))+Inputs!$C$37*(0.55*SIN(2*PI()*((Inputs!$I$7+(((A177)+1)/2)*(Inputs!$J$7-Inputs!$I$7)))/Inputs!$C$39)+0.35*COS(2*PI()*(Inputs!$C$6)/Inputs!$C$40)+0.2*SIN(2*PI()*(((Inputs!$I$7+(((A177)+1)/2)*(Inputs!$J$7-Inputs!$I$7)))+(Inputs!$C$6))/(0.5*(Inputs!$C$39+Inputs!$C$40))))+Inputs!$C$38*SIN(2*PI()*((Inputs!$I$7+(((A177)+1)/2)*(Inputs!$J$7-Inputs!$I$7)))/Inputs!$C$39)*SIN(2*PI()*(Inputs!$C$6)/Inputs!$C$40)+-Inputs!$C$41*EXP(-(((Inputs!$C$6)-Inputs!$C$43)^2)/(2*Inputs!$C$44^2))*EXP(-((((Inputs!$I$7+(((A177)+1)/2)*(Inputs!$J$7-Inputs!$I$7)))-Inputs!$C$42)^2)/(2*Inputs!$C$45^2))+Inputs!$C$48*(0.7*(0.45*SIN(2*PI()*((((Inputs!$I$7+(((A177)+1)/2)*(Inputs!$J$7-Inputs!$I$7)))/Inputs!$C$49)+Inputs!$C$47*0.137))+0.35*COS(2*PI()*(((Inputs!$C$6)/Inputs!$C$50)+Inputs!$C$47*0.173))+0.2*SIN(2*PI()*((((Inputs!$I$7+(((A177)+1)/2)*(Inputs!$J$7-Inputs!$I$7)))+(Inputs!$C$6))/(0.5*(Inputs!$C$49+Inputs!$C$50))+Inputs!$C$47*0.097)))+0.3*(2*((SIN((((Inputs!$I$7+(((A177)+1)/2)*(Inputs!$J$7-Inputs!$I$7)))*12.9898+(Inputs!$C$6)*78.233+Inputs!$C$47*37.719))*43758.5453)-INT((SIN((((Inputs!$I$7+(((A177)+1)/2)*(Inputs!$J$7-Inputs!$I$7)))*12.9898+(Inputs!$C$6)*78.233+Inputs!$C$47*37.719))*43758.5453)))-1))),NA())</f>
        <v/>
      </c>
      <c r="AU177" s="9">
        <f>IF(OR(Inputs!$F$8=TRUE,Inputs!$F$8="TRUE",Inputs!$F$8=1),IF(OR(Inputs!$C$27=TRUE,Inputs!$C$27="TRUE",Inputs!$C$27=1),1,0)*(Inputs!$C$51*(115*EXP(-(((Inputs!$C$6)-25)^2)/(4.5^2))+70*EXP(-(((Inputs!$C$6)+38)^2)/(7^2))*(0.55+0.45*SIN(2*PI()*((Inputs!$I$8+(((A177)+1)/2)*(Inputs!$J$8-Inputs!$I$8)))/45))+24*SIN(2*PI()*(Inputs!$C$6)/9+((Inputs!$I$8+(((A177)+1)/2)*(Inputs!$J$8-Inputs!$I$8)))/18)*EXP(-(((Inputs!$C$6)+5)^2)/(22^2))+18*SIN(2*PI()*((Inputs!$I$8+(((A177)+1)/2)*(Inputs!$J$8-Inputs!$I$8)))/70))+Inputs!$C$28*EXP(-((((Inputs!$I$8+(((A177)+1)/2)*(Inputs!$J$8-Inputs!$I$8)))-Inputs!$C$29)^2)/(2*Inputs!$C$31^2))*EXP(-(((Inputs!$C$6)-Inputs!$C$30)^2)/(2*Inputs!$C$32^2))+-Inputs!$C$33*EXP(-((((((Inputs!$I$8+(((A177)+1)/2)*(Inputs!$J$8-Inputs!$I$8)))-Inputs!$C$34)^2)+(((Inputs!$C$6)-Inputs!$C$35)^2))/(2*Inputs!$C$36^2)))+Inputs!$C$37*(0.55*SIN(2*PI()*((Inputs!$I$8+(((A177)+1)/2)*(Inputs!$J$8-Inputs!$I$8)))/Inputs!$C$39)+0.35*COS(2*PI()*(Inputs!$C$6)/Inputs!$C$40)+0.2*SIN(2*PI()*(((Inputs!$I$8+(((A177)+1)/2)*(Inputs!$J$8-Inputs!$I$8)))+(Inputs!$C$6))/(0.5*(Inputs!$C$39+Inputs!$C$40))))+Inputs!$C$38*SIN(2*PI()*((Inputs!$I$8+(((A177)+1)/2)*(Inputs!$J$8-Inputs!$I$8)))/Inputs!$C$39)*SIN(2*PI()*(Inputs!$C$6)/Inputs!$C$40)+-Inputs!$C$41*EXP(-(((Inputs!$C$6)-Inputs!$C$43)^2)/(2*Inputs!$C$44^2))*EXP(-((((Inputs!$I$8+(((A177)+1)/2)*(Inputs!$J$8-Inputs!$I$8)))-Inputs!$C$42)^2)/(2*Inputs!$C$45^2))+Inputs!$C$48*(0.7*(0.45*SIN(2*PI()*((((Inputs!$I$8+(((A177)+1)/2)*(Inputs!$J$8-Inputs!$I$8)))/Inputs!$C$49)+Inputs!$C$47*0.137))+0.35*COS(2*PI()*(((Inputs!$C$6)/Inputs!$C$50)+Inputs!$C$47*0.173))+0.2*SIN(2*PI()*((((Inputs!$I$8+(((A177)+1)/2)*(Inputs!$J$8-Inputs!$I$8)))+(Inputs!$C$6))/(0.5*(Inputs!$C$49+Inputs!$C$50))+Inputs!$C$47*0.097)))+0.3*(2*((SIN((((Inputs!$I$8+(((A177)+1)/2)*(Inputs!$J$8-Inputs!$I$8)))*12.9898+(Inputs!$C$6)*78.233+Inputs!$C$47*37.719))*43758.5453)-INT((SIN((((Inputs!$I$8+(((A177)+1)/2)*(Inputs!$J$8-Inputs!$I$8)))*12.9898+(Inputs!$C$6)*78.233+Inputs!$C$47*37.719))*43758.5453)))-1))),NA())</f>
        <v/>
      </c>
      <c r="AV177" s="9">
        <f>IF(OR(Inputs!$F$9=TRUE,Inputs!$F$9="TRUE",Inputs!$F$9=1),IF(OR(Inputs!$C$27=TRUE,Inputs!$C$27="TRUE",Inputs!$C$27=1),1,0)*(Inputs!$C$51*(115*EXP(-(((Inputs!$C$6)-25)^2)/(4.5^2))+70*EXP(-(((Inputs!$C$6)+38)^2)/(7^2))*(0.55+0.45*SIN(2*PI()*((Inputs!$I$9+(((A177)+1)/2)*(Inputs!$J$9-Inputs!$I$9)))/45))+24*SIN(2*PI()*(Inputs!$C$6)/9+((Inputs!$I$9+(((A177)+1)/2)*(Inputs!$J$9-Inputs!$I$9)))/18)*EXP(-(((Inputs!$C$6)+5)^2)/(22^2))+18*SIN(2*PI()*((Inputs!$I$9+(((A177)+1)/2)*(Inputs!$J$9-Inputs!$I$9)))/70))+Inputs!$C$28*EXP(-((((Inputs!$I$9+(((A177)+1)/2)*(Inputs!$J$9-Inputs!$I$9)))-Inputs!$C$29)^2)/(2*Inputs!$C$31^2))*EXP(-(((Inputs!$C$6)-Inputs!$C$30)^2)/(2*Inputs!$C$32^2))+-Inputs!$C$33*EXP(-((((((Inputs!$I$9+(((A177)+1)/2)*(Inputs!$J$9-Inputs!$I$9)))-Inputs!$C$34)^2)+(((Inputs!$C$6)-Inputs!$C$35)^2))/(2*Inputs!$C$36^2)))+Inputs!$C$37*(0.55*SIN(2*PI()*((Inputs!$I$9+(((A177)+1)/2)*(Inputs!$J$9-Inputs!$I$9)))/Inputs!$C$39)+0.35*COS(2*PI()*(Inputs!$C$6)/Inputs!$C$40)+0.2*SIN(2*PI()*(((Inputs!$I$9+(((A177)+1)/2)*(Inputs!$J$9-Inputs!$I$9)))+(Inputs!$C$6))/(0.5*(Inputs!$C$39+Inputs!$C$40))))+Inputs!$C$38*SIN(2*PI()*((Inputs!$I$9+(((A177)+1)/2)*(Inputs!$J$9-Inputs!$I$9)))/Inputs!$C$39)*SIN(2*PI()*(Inputs!$C$6)/Inputs!$C$40)+-Inputs!$C$41*EXP(-(((Inputs!$C$6)-Inputs!$C$43)^2)/(2*Inputs!$C$44^2))*EXP(-((((Inputs!$I$9+(((A177)+1)/2)*(Inputs!$J$9-Inputs!$I$9)))-Inputs!$C$42)^2)/(2*Inputs!$C$45^2))+Inputs!$C$48*(0.7*(0.45*SIN(2*PI()*((((Inputs!$I$9+(((A177)+1)/2)*(Inputs!$J$9-Inputs!$I$9)))/Inputs!$C$49)+Inputs!$C$47*0.137))+0.35*COS(2*PI()*(((Inputs!$C$6)/Inputs!$C$50)+Inputs!$C$47*0.173))+0.2*SIN(2*PI()*((((Inputs!$I$9+(((A177)+1)/2)*(Inputs!$J$9-Inputs!$I$9)))+(Inputs!$C$6))/(0.5*(Inputs!$C$49+Inputs!$C$50))+Inputs!$C$47*0.097)))+0.3*(2*((SIN((((Inputs!$I$9+(((A177)+1)/2)*(Inputs!$J$9-Inputs!$I$9)))*12.9898+(Inputs!$C$6)*78.233+Inputs!$C$47*37.719))*43758.5453)-INT((SIN((((Inputs!$I$9+(((A177)+1)/2)*(Inputs!$J$9-Inputs!$I$9)))*12.9898+(Inputs!$C$6)*78.233+Inputs!$C$47*37.719))*43758.5453)))-1))),NA())</f>
        <v/>
      </c>
      <c r="AW177" s="10" t="n"/>
      <c r="AX177" s="9">
        <f>A177</f>
        <v/>
      </c>
      <c r="AY177" s="9">
        <f>0</f>
        <v/>
      </c>
      <c r="AZ177" s="9">
        <f>IF(OR(Inputs!$F$6=TRUE,Inputs!$F$6="TRUE",Inputs!$F$6=1),(Inputs!$H$6+Inputs!$L$6*(((Inputs!$I$6+(((A177)+1)/2)*(Inputs!$J$6-Inputs!$I$6)))/Inputs!$K$6)^2),NA())</f>
        <v/>
      </c>
      <c r="BA177" s="9">
        <f>IF(OR(Inputs!$F$7=TRUE,Inputs!$F$7="TRUE",Inputs!$F$7=1),(Inputs!$H$7+Inputs!$L$7*(((Inputs!$I$7+(((A177)+1)/2)*(Inputs!$J$7-Inputs!$I$7)))/Inputs!$K$7)^2),NA())</f>
        <v/>
      </c>
      <c r="BB177" s="9">
        <f>IF(OR(Inputs!$F$8=TRUE,Inputs!$F$8="TRUE",Inputs!$F$8=1),(Inputs!$H$8+Inputs!$L$8*(((Inputs!$I$8+(((A177)+1)/2)*(Inputs!$J$8-Inputs!$I$8)))/Inputs!$K$8)^2),NA())</f>
        <v/>
      </c>
      <c r="BC177" s="9">
        <f>IF(OR(Inputs!$F$9=TRUE,Inputs!$F$9="TRUE",Inputs!$F$9=1),(Inputs!$H$9+Inputs!$L$9*(((Inputs!$I$9+(((A177)+1)/2)*(Inputs!$J$9-Inputs!$I$9)))/Inputs!$K$9)^2),NA())</f>
        <v/>
      </c>
      <c r="BD177" s="10" t="n"/>
      <c r="BE177" s="9">
        <f>A177</f>
        <v/>
      </c>
      <c r="BF177" s="9">
        <f>0</f>
        <v/>
      </c>
      <c r="BG177" s="9">
        <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f>
        <v/>
      </c>
      <c r="BH177" s="9">
        <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f>
        <v/>
      </c>
      <c r="BI177" s="9">
        <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f>
        <v/>
      </c>
      <c r="BJ177" s="9">
        <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f>
        <v/>
      </c>
    </row>
    <row r="178">
      <c r="A178" s="9">
        <f>ROUND(-1+176*2/240,3)</f>
        <v/>
      </c>
      <c r="B178" s="9">
        <f>IF(OR(Inputs!$F$6=TRUE,Inputs!$F$6="TRUE",Inputs!$F$6=1),(Inputs!$H$6+Inputs!$L$6*(((Inputs!$I$6+(((A178)+1)/2)*(Inputs!$J$6-Inputs!$I$6)))/Inputs!$K$6)^2),NA())</f>
        <v/>
      </c>
      <c r="C178" s="9">
        <f>IF(OR(Inputs!$F$7=TRUE,Inputs!$F$7="TRUE",Inputs!$F$7=1),(Inputs!$H$7+Inputs!$L$7*(((Inputs!$I$7+(((A178)+1)/2)*(Inputs!$J$7-Inputs!$I$7)))/Inputs!$K$7)^2),NA())</f>
        <v/>
      </c>
      <c r="D178" s="9">
        <f>IF(OR(Inputs!$F$8=TRUE,Inputs!$F$8="TRUE",Inputs!$F$8=1),(Inputs!$H$8+Inputs!$L$8*(((Inputs!$I$8+(((A178)+1)/2)*(Inputs!$J$8-Inputs!$I$8)))/Inputs!$K$8)^2),NA())</f>
        <v/>
      </c>
      <c r="E178" s="9">
        <f>IF(OR(Inputs!$F$9=TRUE,Inputs!$F$9="TRUE",Inputs!$F$9=1),(Inputs!$H$9+Inputs!$L$9*(((Inputs!$I$9+(((A178)+1)/2)*(Inputs!$J$9-Inputs!$I$9)))/Inputs!$K$9)^2),NA())</f>
        <v/>
      </c>
      <c r="F178" s="10" t="n"/>
      <c r="G178" s="9">
        <f>A178</f>
        <v/>
      </c>
      <c r="H178" s="9">
        <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f>
        <v/>
      </c>
      <c r="I178" s="9">
        <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f>
        <v/>
      </c>
      <c r="J178" s="9">
        <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f>
        <v/>
      </c>
      <c r="K178" s="9">
        <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f>
        <v/>
      </c>
      <c r="L178" s="10" t="n"/>
      <c r="M178" s="9">
        <f>A178</f>
        <v/>
      </c>
      <c r="N178" s="9">
        <f>IF(OR(Inputs!$F$6=TRUE,Inputs!$F$6="TRUE",Inputs!$F$6=1),(-2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NA())</f>
        <v/>
      </c>
      <c r="O178" s="9">
        <f>IF(OR(Inputs!$F$7=TRUE,Inputs!$F$7="TRUE",Inputs!$F$7=1),(-2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NA())</f>
        <v/>
      </c>
      <c r="P178" s="9">
        <f>IF(OR(Inputs!$F$8=TRUE,Inputs!$F$8="TRUE",Inputs!$F$8=1),(-2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NA())</f>
        <v/>
      </c>
      <c r="Q178" s="9">
        <f>IF(OR(Inputs!$F$9=TRUE,Inputs!$F$9="TRUE",Inputs!$F$9=1),(-2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NA())</f>
        <v/>
      </c>
      <c r="R178" s="10" t="n"/>
      <c r="S178" s="9">
        <f>A178</f>
        <v/>
      </c>
      <c r="T178" s="9">
        <f>(Inputs!$I$6+(((A178)+1)/2)*(Inputs!$J$6-Inputs!$I$6))</f>
        <v/>
      </c>
      <c r="U178" s="9">
        <f>(Inputs!$I$7+(((A178)+1)/2)*(Inputs!$J$7-Inputs!$I$7))</f>
        <v/>
      </c>
      <c r="V178" s="9">
        <f>(Inputs!$I$8+(((A178)+1)/2)*(Inputs!$J$8-Inputs!$I$8))</f>
        <v/>
      </c>
      <c r="W178" s="9">
        <f>(Inputs!$I$9+(((A178)+1)/2)*(Inputs!$J$9-Inputs!$I$9))</f>
        <v/>
      </c>
      <c r="X178" s="10" t="n"/>
      <c r="Y178" s="9">
        <f>A178</f>
        <v/>
      </c>
      <c r="Z178" s="9">
        <f>(Inputs!$H$6+Inputs!$L$6*(((Inputs!$I$6+(((A178)+1)/2)*(Inputs!$J$6-Inputs!$I$6)))/Inputs!$K$6)^2)</f>
        <v/>
      </c>
      <c r="AA178" s="9">
        <f>(Inputs!$H$7+Inputs!$L$7*(((Inputs!$I$7+(((A178)+1)/2)*(Inputs!$J$7-Inputs!$I$7)))/Inputs!$K$7)^2)</f>
        <v/>
      </c>
      <c r="AB178" s="9">
        <f>(Inputs!$H$8+Inputs!$L$8*(((Inputs!$I$8+(((A178)+1)/2)*(Inputs!$J$8-Inputs!$I$8)))/Inputs!$K$8)^2)</f>
        <v/>
      </c>
      <c r="AC178" s="9">
        <f>(Inputs!$H$9+Inputs!$L$9*(((Inputs!$I$9+(((A178)+1)/2)*(Inputs!$J$9-Inputs!$I$9)))/Inputs!$K$9)^2)</f>
        <v/>
      </c>
      <c r="AD178" s="10" t="n"/>
      <c r="AE178" s="9">
        <f>A178</f>
        <v/>
      </c>
      <c r="AF178" s="9">
        <f>(((SQRT((Inputs!$C$52+((Inputs!$H$6+Inputs!$L$6*(((Inputs!$I$6+(((A178)+1)/2)*(Inputs!$J$6-Inputs!$I$6)))/Inputs!$K$6)^2)))^2+Inputs!$C$52^2-2*(Inputs!$C$52+((Inputs!$H$6+Inputs!$L$6*(((Inputs!$I$6+(((A178)+1)/2)*(Inputs!$J$6-Inputs!$I$6)))/Inputs!$K$6)^2)))*Inputs!$C$52*COS(SQRT(((Inputs!$I$6+(((A178)+1)/2)*(Inputs!$J$6-Inputs!$I$6)))^2+Inputs!$C$6^2)/Inputs!$C$52)))-((Inputs!$H$6+Inputs!$L$6*(((Inputs!$I$6+(((A178)+1)/2)*(Inputs!$J$6-Inputs!$I$6)))/Inputs!$K$6)^2)))*1000/Inputs!$C$12)</f>
        <v/>
      </c>
      <c r="AG178" s="9">
        <f>(((SQRT((Inputs!$C$52+((Inputs!$H$7+Inputs!$L$7*(((Inputs!$I$7+(((A178)+1)/2)*(Inputs!$J$7-Inputs!$I$7)))/Inputs!$K$7)^2)))^2+Inputs!$C$52^2-2*(Inputs!$C$52+((Inputs!$H$7+Inputs!$L$7*(((Inputs!$I$7+(((A178)+1)/2)*(Inputs!$J$7-Inputs!$I$7)))/Inputs!$K$7)^2)))*Inputs!$C$52*COS(SQRT(((Inputs!$I$7+(((A178)+1)/2)*(Inputs!$J$7-Inputs!$I$7)))^2+Inputs!$C$6^2)/Inputs!$C$52)))-((Inputs!$H$7+Inputs!$L$7*(((Inputs!$I$7+(((A178)+1)/2)*(Inputs!$J$7-Inputs!$I$7)))/Inputs!$K$7)^2)))*1000/Inputs!$C$12)</f>
        <v/>
      </c>
      <c r="AH178" s="9">
        <f>(((SQRT((Inputs!$C$52+((Inputs!$H$8+Inputs!$L$8*(((Inputs!$I$8+(((A178)+1)/2)*(Inputs!$J$8-Inputs!$I$8)))/Inputs!$K$8)^2)))^2+Inputs!$C$52^2-2*(Inputs!$C$52+((Inputs!$H$8+Inputs!$L$8*(((Inputs!$I$8+(((A178)+1)/2)*(Inputs!$J$8-Inputs!$I$8)))/Inputs!$K$8)^2)))*Inputs!$C$52*COS(SQRT(((Inputs!$I$8+(((A178)+1)/2)*(Inputs!$J$8-Inputs!$I$8)))^2+Inputs!$C$6^2)/Inputs!$C$52)))-((Inputs!$H$8+Inputs!$L$8*(((Inputs!$I$8+(((A178)+1)/2)*(Inputs!$J$8-Inputs!$I$8)))/Inputs!$K$8)^2)))*1000/Inputs!$C$12)</f>
        <v/>
      </c>
      <c r="AI178" s="9">
        <f>(((SQRT((Inputs!$C$52+((Inputs!$H$9+Inputs!$L$9*(((Inputs!$I$9+(((A178)+1)/2)*(Inputs!$J$9-Inputs!$I$9)))/Inputs!$K$9)^2)))^2+Inputs!$C$52^2-2*(Inputs!$C$52+((Inputs!$H$9+Inputs!$L$9*(((Inputs!$I$9+(((A178)+1)/2)*(Inputs!$J$9-Inputs!$I$9)))/Inputs!$K$9)^2)))*Inputs!$C$52*COS(SQRT(((Inputs!$I$9+(((A178)+1)/2)*(Inputs!$J$9-Inputs!$I$9)))^2+Inputs!$C$6^2)/Inputs!$C$52)))-((Inputs!$H$9+Inputs!$L$9*(((Inputs!$I$9+(((A178)+1)/2)*(Inputs!$J$9-Inputs!$I$9)))/Inputs!$K$9)^2)))*1000/Inputs!$C$12)</f>
        <v/>
      </c>
      <c r="AJ178" s="10" t="n"/>
      <c r="AK178" s="9">
        <f>A178</f>
        <v/>
      </c>
      <c r="AL178" s="9">
        <f>(-2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f>
        <v/>
      </c>
      <c r="AM178" s="9">
        <f>(-2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f>
        <v/>
      </c>
      <c r="AN178" s="9">
        <f>(-2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f>
        <v/>
      </c>
      <c r="AO178" s="9">
        <f>(-2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f>
        <v/>
      </c>
      <c r="AP178" s="10" t="n"/>
      <c r="AQ178" s="9">
        <f>A178</f>
        <v/>
      </c>
      <c r="AR178" s="9">
        <f>0</f>
        <v/>
      </c>
      <c r="AS178" s="9">
        <f>IF(OR(Inputs!$F$6=TRUE,Inputs!$F$6="TRUE",Inputs!$F$6=1),IF(OR(Inputs!$C$27=TRUE,Inputs!$C$27="TRUE",Inputs!$C$27=1),1,0)*(Inputs!$C$51*(115*EXP(-(((Inputs!$C$6)-25)^2)/(4.5^2))+70*EXP(-(((Inputs!$C$6)+38)^2)/(7^2))*(0.55+0.45*SIN(2*PI()*((Inputs!$I$6+(((A178)+1)/2)*(Inputs!$J$6-Inputs!$I$6)))/45))+24*SIN(2*PI()*(Inputs!$C$6)/9+((Inputs!$I$6+(((A178)+1)/2)*(Inputs!$J$6-Inputs!$I$6)))/18)*EXP(-(((Inputs!$C$6)+5)^2)/(22^2))+18*SIN(2*PI()*((Inputs!$I$6+(((A178)+1)/2)*(Inputs!$J$6-Inputs!$I$6)))/70))+Inputs!$C$28*EXP(-((((Inputs!$I$6+(((A178)+1)/2)*(Inputs!$J$6-Inputs!$I$6)))-Inputs!$C$29)^2)/(2*Inputs!$C$31^2))*EXP(-(((Inputs!$C$6)-Inputs!$C$30)^2)/(2*Inputs!$C$32^2))+-Inputs!$C$33*EXP(-((((((Inputs!$I$6+(((A178)+1)/2)*(Inputs!$J$6-Inputs!$I$6)))-Inputs!$C$34)^2)+(((Inputs!$C$6)-Inputs!$C$35)^2))/(2*Inputs!$C$36^2)))+Inputs!$C$37*(0.55*SIN(2*PI()*((Inputs!$I$6+(((A178)+1)/2)*(Inputs!$J$6-Inputs!$I$6)))/Inputs!$C$39)+0.35*COS(2*PI()*(Inputs!$C$6)/Inputs!$C$40)+0.2*SIN(2*PI()*(((Inputs!$I$6+(((A178)+1)/2)*(Inputs!$J$6-Inputs!$I$6)))+(Inputs!$C$6))/(0.5*(Inputs!$C$39+Inputs!$C$40))))+Inputs!$C$38*SIN(2*PI()*((Inputs!$I$6+(((A178)+1)/2)*(Inputs!$J$6-Inputs!$I$6)))/Inputs!$C$39)*SIN(2*PI()*(Inputs!$C$6)/Inputs!$C$40)+-Inputs!$C$41*EXP(-(((Inputs!$C$6)-Inputs!$C$43)^2)/(2*Inputs!$C$44^2))*EXP(-((((Inputs!$I$6+(((A178)+1)/2)*(Inputs!$J$6-Inputs!$I$6)))-Inputs!$C$42)^2)/(2*Inputs!$C$45^2))+Inputs!$C$48*(0.7*(0.45*SIN(2*PI()*((((Inputs!$I$6+(((A178)+1)/2)*(Inputs!$J$6-Inputs!$I$6)))/Inputs!$C$49)+Inputs!$C$47*0.137))+0.35*COS(2*PI()*(((Inputs!$C$6)/Inputs!$C$50)+Inputs!$C$47*0.173))+0.2*SIN(2*PI()*((((Inputs!$I$6+(((A178)+1)/2)*(Inputs!$J$6-Inputs!$I$6)))+(Inputs!$C$6))/(0.5*(Inputs!$C$49+Inputs!$C$50))+Inputs!$C$47*0.097)))+0.3*(2*((SIN((((Inputs!$I$6+(((A178)+1)/2)*(Inputs!$J$6-Inputs!$I$6)))*12.9898+(Inputs!$C$6)*78.233+Inputs!$C$47*37.719))*43758.5453)-INT((SIN((((Inputs!$I$6+(((A178)+1)/2)*(Inputs!$J$6-Inputs!$I$6)))*12.9898+(Inputs!$C$6)*78.233+Inputs!$C$47*37.719))*43758.5453)))-1))),NA())</f>
        <v/>
      </c>
      <c r="AT178" s="9">
        <f>IF(OR(Inputs!$F$7=TRUE,Inputs!$F$7="TRUE",Inputs!$F$7=1),IF(OR(Inputs!$C$27=TRUE,Inputs!$C$27="TRUE",Inputs!$C$27=1),1,0)*(Inputs!$C$51*(115*EXP(-(((Inputs!$C$6)-25)^2)/(4.5^2))+70*EXP(-(((Inputs!$C$6)+38)^2)/(7^2))*(0.55+0.45*SIN(2*PI()*((Inputs!$I$7+(((A178)+1)/2)*(Inputs!$J$7-Inputs!$I$7)))/45))+24*SIN(2*PI()*(Inputs!$C$6)/9+((Inputs!$I$7+(((A178)+1)/2)*(Inputs!$J$7-Inputs!$I$7)))/18)*EXP(-(((Inputs!$C$6)+5)^2)/(22^2))+18*SIN(2*PI()*((Inputs!$I$7+(((A178)+1)/2)*(Inputs!$J$7-Inputs!$I$7)))/70))+Inputs!$C$28*EXP(-((((Inputs!$I$7+(((A178)+1)/2)*(Inputs!$J$7-Inputs!$I$7)))-Inputs!$C$29)^2)/(2*Inputs!$C$31^2))*EXP(-(((Inputs!$C$6)-Inputs!$C$30)^2)/(2*Inputs!$C$32^2))+-Inputs!$C$33*EXP(-((((((Inputs!$I$7+(((A178)+1)/2)*(Inputs!$J$7-Inputs!$I$7)))-Inputs!$C$34)^2)+(((Inputs!$C$6)-Inputs!$C$35)^2))/(2*Inputs!$C$36^2)))+Inputs!$C$37*(0.55*SIN(2*PI()*((Inputs!$I$7+(((A178)+1)/2)*(Inputs!$J$7-Inputs!$I$7)))/Inputs!$C$39)+0.35*COS(2*PI()*(Inputs!$C$6)/Inputs!$C$40)+0.2*SIN(2*PI()*(((Inputs!$I$7+(((A178)+1)/2)*(Inputs!$J$7-Inputs!$I$7)))+(Inputs!$C$6))/(0.5*(Inputs!$C$39+Inputs!$C$40))))+Inputs!$C$38*SIN(2*PI()*((Inputs!$I$7+(((A178)+1)/2)*(Inputs!$J$7-Inputs!$I$7)))/Inputs!$C$39)*SIN(2*PI()*(Inputs!$C$6)/Inputs!$C$40)+-Inputs!$C$41*EXP(-(((Inputs!$C$6)-Inputs!$C$43)^2)/(2*Inputs!$C$44^2))*EXP(-((((Inputs!$I$7+(((A178)+1)/2)*(Inputs!$J$7-Inputs!$I$7)))-Inputs!$C$42)^2)/(2*Inputs!$C$45^2))+Inputs!$C$48*(0.7*(0.45*SIN(2*PI()*((((Inputs!$I$7+(((A178)+1)/2)*(Inputs!$J$7-Inputs!$I$7)))/Inputs!$C$49)+Inputs!$C$47*0.137))+0.35*COS(2*PI()*(((Inputs!$C$6)/Inputs!$C$50)+Inputs!$C$47*0.173))+0.2*SIN(2*PI()*((((Inputs!$I$7+(((A178)+1)/2)*(Inputs!$J$7-Inputs!$I$7)))+(Inputs!$C$6))/(0.5*(Inputs!$C$49+Inputs!$C$50))+Inputs!$C$47*0.097)))+0.3*(2*((SIN((((Inputs!$I$7+(((A178)+1)/2)*(Inputs!$J$7-Inputs!$I$7)))*12.9898+(Inputs!$C$6)*78.233+Inputs!$C$47*37.719))*43758.5453)-INT((SIN((((Inputs!$I$7+(((A178)+1)/2)*(Inputs!$J$7-Inputs!$I$7)))*12.9898+(Inputs!$C$6)*78.233+Inputs!$C$47*37.719))*43758.5453)))-1))),NA())</f>
        <v/>
      </c>
      <c r="AU178" s="9">
        <f>IF(OR(Inputs!$F$8=TRUE,Inputs!$F$8="TRUE",Inputs!$F$8=1),IF(OR(Inputs!$C$27=TRUE,Inputs!$C$27="TRUE",Inputs!$C$27=1),1,0)*(Inputs!$C$51*(115*EXP(-(((Inputs!$C$6)-25)^2)/(4.5^2))+70*EXP(-(((Inputs!$C$6)+38)^2)/(7^2))*(0.55+0.45*SIN(2*PI()*((Inputs!$I$8+(((A178)+1)/2)*(Inputs!$J$8-Inputs!$I$8)))/45))+24*SIN(2*PI()*(Inputs!$C$6)/9+((Inputs!$I$8+(((A178)+1)/2)*(Inputs!$J$8-Inputs!$I$8)))/18)*EXP(-(((Inputs!$C$6)+5)^2)/(22^2))+18*SIN(2*PI()*((Inputs!$I$8+(((A178)+1)/2)*(Inputs!$J$8-Inputs!$I$8)))/70))+Inputs!$C$28*EXP(-((((Inputs!$I$8+(((A178)+1)/2)*(Inputs!$J$8-Inputs!$I$8)))-Inputs!$C$29)^2)/(2*Inputs!$C$31^2))*EXP(-(((Inputs!$C$6)-Inputs!$C$30)^2)/(2*Inputs!$C$32^2))+-Inputs!$C$33*EXP(-((((((Inputs!$I$8+(((A178)+1)/2)*(Inputs!$J$8-Inputs!$I$8)))-Inputs!$C$34)^2)+(((Inputs!$C$6)-Inputs!$C$35)^2))/(2*Inputs!$C$36^2)))+Inputs!$C$37*(0.55*SIN(2*PI()*((Inputs!$I$8+(((A178)+1)/2)*(Inputs!$J$8-Inputs!$I$8)))/Inputs!$C$39)+0.35*COS(2*PI()*(Inputs!$C$6)/Inputs!$C$40)+0.2*SIN(2*PI()*(((Inputs!$I$8+(((A178)+1)/2)*(Inputs!$J$8-Inputs!$I$8)))+(Inputs!$C$6))/(0.5*(Inputs!$C$39+Inputs!$C$40))))+Inputs!$C$38*SIN(2*PI()*((Inputs!$I$8+(((A178)+1)/2)*(Inputs!$J$8-Inputs!$I$8)))/Inputs!$C$39)*SIN(2*PI()*(Inputs!$C$6)/Inputs!$C$40)+-Inputs!$C$41*EXP(-(((Inputs!$C$6)-Inputs!$C$43)^2)/(2*Inputs!$C$44^2))*EXP(-((((Inputs!$I$8+(((A178)+1)/2)*(Inputs!$J$8-Inputs!$I$8)))-Inputs!$C$42)^2)/(2*Inputs!$C$45^2))+Inputs!$C$48*(0.7*(0.45*SIN(2*PI()*((((Inputs!$I$8+(((A178)+1)/2)*(Inputs!$J$8-Inputs!$I$8)))/Inputs!$C$49)+Inputs!$C$47*0.137))+0.35*COS(2*PI()*(((Inputs!$C$6)/Inputs!$C$50)+Inputs!$C$47*0.173))+0.2*SIN(2*PI()*((((Inputs!$I$8+(((A178)+1)/2)*(Inputs!$J$8-Inputs!$I$8)))+(Inputs!$C$6))/(0.5*(Inputs!$C$49+Inputs!$C$50))+Inputs!$C$47*0.097)))+0.3*(2*((SIN((((Inputs!$I$8+(((A178)+1)/2)*(Inputs!$J$8-Inputs!$I$8)))*12.9898+(Inputs!$C$6)*78.233+Inputs!$C$47*37.719))*43758.5453)-INT((SIN((((Inputs!$I$8+(((A178)+1)/2)*(Inputs!$J$8-Inputs!$I$8)))*12.9898+(Inputs!$C$6)*78.233+Inputs!$C$47*37.719))*43758.5453)))-1))),NA())</f>
        <v/>
      </c>
      <c r="AV178" s="9">
        <f>IF(OR(Inputs!$F$9=TRUE,Inputs!$F$9="TRUE",Inputs!$F$9=1),IF(OR(Inputs!$C$27=TRUE,Inputs!$C$27="TRUE",Inputs!$C$27=1),1,0)*(Inputs!$C$51*(115*EXP(-(((Inputs!$C$6)-25)^2)/(4.5^2))+70*EXP(-(((Inputs!$C$6)+38)^2)/(7^2))*(0.55+0.45*SIN(2*PI()*((Inputs!$I$9+(((A178)+1)/2)*(Inputs!$J$9-Inputs!$I$9)))/45))+24*SIN(2*PI()*(Inputs!$C$6)/9+((Inputs!$I$9+(((A178)+1)/2)*(Inputs!$J$9-Inputs!$I$9)))/18)*EXP(-(((Inputs!$C$6)+5)^2)/(22^2))+18*SIN(2*PI()*((Inputs!$I$9+(((A178)+1)/2)*(Inputs!$J$9-Inputs!$I$9)))/70))+Inputs!$C$28*EXP(-((((Inputs!$I$9+(((A178)+1)/2)*(Inputs!$J$9-Inputs!$I$9)))-Inputs!$C$29)^2)/(2*Inputs!$C$31^2))*EXP(-(((Inputs!$C$6)-Inputs!$C$30)^2)/(2*Inputs!$C$32^2))+-Inputs!$C$33*EXP(-((((((Inputs!$I$9+(((A178)+1)/2)*(Inputs!$J$9-Inputs!$I$9)))-Inputs!$C$34)^2)+(((Inputs!$C$6)-Inputs!$C$35)^2))/(2*Inputs!$C$36^2)))+Inputs!$C$37*(0.55*SIN(2*PI()*((Inputs!$I$9+(((A178)+1)/2)*(Inputs!$J$9-Inputs!$I$9)))/Inputs!$C$39)+0.35*COS(2*PI()*(Inputs!$C$6)/Inputs!$C$40)+0.2*SIN(2*PI()*(((Inputs!$I$9+(((A178)+1)/2)*(Inputs!$J$9-Inputs!$I$9)))+(Inputs!$C$6))/(0.5*(Inputs!$C$39+Inputs!$C$40))))+Inputs!$C$38*SIN(2*PI()*((Inputs!$I$9+(((A178)+1)/2)*(Inputs!$J$9-Inputs!$I$9)))/Inputs!$C$39)*SIN(2*PI()*(Inputs!$C$6)/Inputs!$C$40)+-Inputs!$C$41*EXP(-(((Inputs!$C$6)-Inputs!$C$43)^2)/(2*Inputs!$C$44^2))*EXP(-((((Inputs!$I$9+(((A178)+1)/2)*(Inputs!$J$9-Inputs!$I$9)))-Inputs!$C$42)^2)/(2*Inputs!$C$45^2))+Inputs!$C$48*(0.7*(0.45*SIN(2*PI()*((((Inputs!$I$9+(((A178)+1)/2)*(Inputs!$J$9-Inputs!$I$9)))/Inputs!$C$49)+Inputs!$C$47*0.137))+0.35*COS(2*PI()*(((Inputs!$C$6)/Inputs!$C$50)+Inputs!$C$47*0.173))+0.2*SIN(2*PI()*((((Inputs!$I$9+(((A178)+1)/2)*(Inputs!$J$9-Inputs!$I$9)))+(Inputs!$C$6))/(0.5*(Inputs!$C$49+Inputs!$C$50))+Inputs!$C$47*0.097)))+0.3*(2*((SIN((((Inputs!$I$9+(((A178)+1)/2)*(Inputs!$J$9-Inputs!$I$9)))*12.9898+(Inputs!$C$6)*78.233+Inputs!$C$47*37.719))*43758.5453)-INT((SIN((((Inputs!$I$9+(((A178)+1)/2)*(Inputs!$J$9-Inputs!$I$9)))*12.9898+(Inputs!$C$6)*78.233+Inputs!$C$47*37.719))*43758.5453)))-1))),NA())</f>
        <v/>
      </c>
      <c r="AW178" s="10" t="n"/>
      <c r="AX178" s="9">
        <f>A178</f>
        <v/>
      </c>
      <c r="AY178" s="9">
        <f>0</f>
        <v/>
      </c>
      <c r="AZ178" s="9">
        <f>IF(OR(Inputs!$F$6=TRUE,Inputs!$F$6="TRUE",Inputs!$F$6=1),(Inputs!$H$6+Inputs!$L$6*(((Inputs!$I$6+(((A178)+1)/2)*(Inputs!$J$6-Inputs!$I$6)))/Inputs!$K$6)^2),NA())</f>
        <v/>
      </c>
      <c r="BA178" s="9">
        <f>IF(OR(Inputs!$F$7=TRUE,Inputs!$F$7="TRUE",Inputs!$F$7=1),(Inputs!$H$7+Inputs!$L$7*(((Inputs!$I$7+(((A178)+1)/2)*(Inputs!$J$7-Inputs!$I$7)))/Inputs!$K$7)^2),NA())</f>
        <v/>
      </c>
      <c r="BB178" s="9">
        <f>IF(OR(Inputs!$F$8=TRUE,Inputs!$F$8="TRUE",Inputs!$F$8=1),(Inputs!$H$8+Inputs!$L$8*(((Inputs!$I$8+(((A178)+1)/2)*(Inputs!$J$8-Inputs!$I$8)))/Inputs!$K$8)^2),NA())</f>
        <v/>
      </c>
      <c r="BC178" s="9">
        <f>IF(OR(Inputs!$F$9=TRUE,Inputs!$F$9="TRUE",Inputs!$F$9=1),(Inputs!$H$9+Inputs!$L$9*(((Inputs!$I$9+(((A178)+1)/2)*(Inputs!$J$9-Inputs!$I$9)))/Inputs!$K$9)^2),NA())</f>
        <v/>
      </c>
      <c r="BD178" s="10" t="n"/>
      <c r="BE178" s="9">
        <f>A178</f>
        <v/>
      </c>
      <c r="BF178" s="9">
        <f>0</f>
        <v/>
      </c>
      <c r="BG178" s="9">
        <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f>
        <v/>
      </c>
      <c r="BH178" s="9">
        <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f>
        <v/>
      </c>
      <c r="BI178" s="9">
        <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f>
        <v/>
      </c>
      <c r="BJ178" s="9">
        <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f>
        <v/>
      </c>
    </row>
    <row r="179">
      <c r="A179" s="9">
        <f>ROUND(-1+177*2/240,3)</f>
        <v/>
      </c>
      <c r="B179" s="9">
        <f>IF(OR(Inputs!$F$6=TRUE,Inputs!$F$6="TRUE",Inputs!$F$6=1),(Inputs!$H$6+Inputs!$L$6*(((Inputs!$I$6+(((A179)+1)/2)*(Inputs!$J$6-Inputs!$I$6)))/Inputs!$K$6)^2),NA())</f>
        <v/>
      </c>
      <c r="C179" s="9">
        <f>IF(OR(Inputs!$F$7=TRUE,Inputs!$F$7="TRUE",Inputs!$F$7=1),(Inputs!$H$7+Inputs!$L$7*(((Inputs!$I$7+(((A179)+1)/2)*(Inputs!$J$7-Inputs!$I$7)))/Inputs!$K$7)^2),NA())</f>
        <v/>
      </c>
      <c r="D179" s="9">
        <f>IF(OR(Inputs!$F$8=TRUE,Inputs!$F$8="TRUE",Inputs!$F$8=1),(Inputs!$H$8+Inputs!$L$8*(((Inputs!$I$8+(((A179)+1)/2)*(Inputs!$J$8-Inputs!$I$8)))/Inputs!$K$8)^2),NA())</f>
        <v/>
      </c>
      <c r="E179" s="9">
        <f>IF(OR(Inputs!$F$9=TRUE,Inputs!$F$9="TRUE",Inputs!$F$9=1),(Inputs!$H$9+Inputs!$L$9*(((Inputs!$I$9+(((A179)+1)/2)*(Inputs!$J$9-Inputs!$I$9)))/Inputs!$K$9)^2),NA())</f>
        <v/>
      </c>
      <c r="F179" s="10" t="n"/>
      <c r="G179" s="9">
        <f>A179</f>
        <v/>
      </c>
      <c r="H179" s="9">
        <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f>
        <v/>
      </c>
      <c r="I179" s="9">
        <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f>
        <v/>
      </c>
      <c r="J179" s="9">
        <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f>
        <v/>
      </c>
      <c r="K179" s="9">
        <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f>
        <v/>
      </c>
      <c r="L179" s="10" t="n"/>
      <c r="M179" s="9">
        <f>A179</f>
        <v/>
      </c>
      <c r="N179" s="9">
        <f>IF(OR(Inputs!$F$6=TRUE,Inputs!$F$6="TRUE",Inputs!$F$6=1),(-2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NA())</f>
        <v/>
      </c>
      <c r="O179" s="9">
        <f>IF(OR(Inputs!$F$7=TRUE,Inputs!$F$7="TRUE",Inputs!$F$7=1),(-2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NA())</f>
        <v/>
      </c>
      <c r="P179" s="9">
        <f>IF(OR(Inputs!$F$8=TRUE,Inputs!$F$8="TRUE",Inputs!$F$8=1),(-2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NA())</f>
        <v/>
      </c>
      <c r="Q179" s="9">
        <f>IF(OR(Inputs!$F$9=TRUE,Inputs!$F$9="TRUE",Inputs!$F$9=1),(-2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NA())</f>
        <v/>
      </c>
      <c r="R179" s="10" t="n"/>
      <c r="S179" s="9">
        <f>A179</f>
        <v/>
      </c>
      <c r="T179" s="9">
        <f>(Inputs!$I$6+(((A179)+1)/2)*(Inputs!$J$6-Inputs!$I$6))</f>
        <v/>
      </c>
      <c r="U179" s="9">
        <f>(Inputs!$I$7+(((A179)+1)/2)*(Inputs!$J$7-Inputs!$I$7))</f>
        <v/>
      </c>
      <c r="V179" s="9">
        <f>(Inputs!$I$8+(((A179)+1)/2)*(Inputs!$J$8-Inputs!$I$8))</f>
        <v/>
      </c>
      <c r="W179" s="9">
        <f>(Inputs!$I$9+(((A179)+1)/2)*(Inputs!$J$9-Inputs!$I$9))</f>
        <v/>
      </c>
      <c r="X179" s="10" t="n"/>
      <c r="Y179" s="9">
        <f>A179</f>
        <v/>
      </c>
      <c r="Z179" s="9">
        <f>(Inputs!$H$6+Inputs!$L$6*(((Inputs!$I$6+(((A179)+1)/2)*(Inputs!$J$6-Inputs!$I$6)))/Inputs!$K$6)^2)</f>
        <v/>
      </c>
      <c r="AA179" s="9">
        <f>(Inputs!$H$7+Inputs!$L$7*(((Inputs!$I$7+(((A179)+1)/2)*(Inputs!$J$7-Inputs!$I$7)))/Inputs!$K$7)^2)</f>
        <v/>
      </c>
      <c r="AB179" s="9">
        <f>(Inputs!$H$8+Inputs!$L$8*(((Inputs!$I$8+(((A179)+1)/2)*(Inputs!$J$8-Inputs!$I$8)))/Inputs!$K$8)^2)</f>
        <v/>
      </c>
      <c r="AC179" s="9">
        <f>(Inputs!$H$9+Inputs!$L$9*(((Inputs!$I$9+(((A179)+1)/2)*(Inputs!$J$9-Inputs!$I$9)))/Inputs!$K$9)^2)</f>
        <v/>
      </c>
      <c r="AD179" s="10" t="n"/>
      <c r="AE179" s="9">
        <f>A179</f>
        <v/>
      </c>
      <c r="AF179" s="9">
        <f>(((SQRT((Inputs!$C$52+((Inputs!$H$6+Inputs!$L$6*(((Inputs!$I$6+(((A179)+1)/2)*(Inputs!$J$6-Inputs!$I$6)))/Inputs!$K$6)^2)))^2+Inputs!$C$52^2-2*(Inputs!$C$52+((Inputs!$H$6+Inputs!$L$6*(((Inputs!$I$6+(((A179)+1)/2)*(Inputs!$J$6-Inputs!$I$6)))/Inputs!$K$6)^2)))*Inputs!$C$52*COS(SQRT(((Inputs!$I$6+(((A179)+1)/2)*(Inputs!$J$6-Inputs!$I$6)))^2+Inputs!$C$6^2)/Inputs!$C$52)))-((Inputs!$H$6+Inputs!$L$6*(((Inputs!$I$6+(((A179)+1)/2)*(Inputs!$J$6-Inputs!$I$6)))/Inputs!$K$6)^2)))*1000/Inputs!$C$12)</f>
        <v/>
      </c>
      <c r="AG179" s="9">
        <f>(((SQRT((Inputs!$C$52+((Inputs!$H$7+Inputs!$L$7*(((Inputs!$I$7+(((A179)+1)/2)*(Inputs!$J$7-Inputs!$I$7)))/Inputs!$K$7)^2)))^2+Inputs!$C$52^2-2*(Inputs!$C$52+((Inputs!$H$7+Inputs!$L$7*(((Inputs!$I$7+(((A179)+1)/2)*(Inputs!$J$7-Inputs!$I$7)))/Inputs!$K$7)^2)))*Inputs!$C$52*COS(SQRT(((Inputs!$I$7+(((A179)+1)/2)*(Inputs!$J$7-Inputs!$I$7)))^2+Inputs!$C$6^2)/Inputs!$C$52)))-((Inputs!$H$7+Inputs!$L$7*(((Inputs!$I$7+(((A179)+1)/2)*(Inputs!$J$7-Inputs!$I$7)))/Inputs!$K$7)^2)))*1000/Inputs!$C$12)</f>
        <v/>
      </c>
      <c r="AH179" s="9">
        <f>(((SQRT((Inputs!$C$52+((Inputs!$H$8+Inputs!$L$8*(((Inputs!$I$8+(((A179)+1)/2)*(Inputs!$J$8-Inputs!$I$8)))/Inputs!$K$8)^2)))^2+Inputs!$C$52^2-2*(Inputs!$C$52+((Inputs!$H$8+Inputs!$L$8*(((Inputs!$I$8+(((A179)+1)/2)*(Inputs!$J$8-Inputs!$I$8)))/Inputs!$K$8)^2)))*Inputs!$C$52*COS(SQRT(((Inputs!$I$8+(((A179)+1)/2)*(Inputs!$J$8-Inputs!$I$8)))^2+Inputs!$C$6^2)/Inputs!$C$52)))-((Inputs!$H$8+Inputs!$L$8*(((Inputs!$I$8+(((A179)+1)/2)*(Inputs!$J$8-Inputs!$I$8)))/Inputs!$K$8)^2)))*1000/Inputs!$C$12)</f>
        <v/>
      </c>
      <c r="AI179" s="9">
        <f>(((SQRT((Inputs!$C$52+((Inputs!$H$9+Inputs!$L$9*(((Inputs!$I$9+(((A179)+1)/2)*(Inputs!$J$9-Inputs!$I$9)))/Inputs!$K$9)^2)))^2+Inputs!$C$52^2-2*(Inputs!$C$52+((Inputs!$H$9+Inputs!$L$9*(((Inputs!$I$9+(((A179)+1)/2)*(Inputs!$J$9-Inputs!$I$9)))/Inputs!$K$9)^2)))*Inputs!$C$52*COS(SQRT(((Inputs!$I$9+(((A179)+1)/2)*(Inputs!$J$9-Inputs!$I$9)))^2+Inputs!$C$6^2)/Inputs!$C$52)))-((Inputs!$H$9+Inputs!$L$9*(((Inputs!$I$9+(((A179)+1)/2)*(Inputs!$J$9-Inputs!$I$9)))/Inputs!$K$9)^2)))*1000/Inputs!$C$12)</f>
        <v/>
      </c>
      <c r="AJ179" s="10" t="n"/>
      <c r="AK179" s="9">
        <f>A179</f>
        <v/>
      </c>
      <c r="AL179" s="9">
        <f>(-2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f>
        <v/>
      </c>
      <c r="AM179" s="9">
        <f>(-2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f>
        <v/>
      </c>
      <c r="AN179" s="9">
        <f>(-2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f>
        <v/>
      </c>
      <c r="AO179" s="9">
        <f>(-2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f>
        <v/>
      </c>
      <c r="AP179" s="10" t="n"/>
      <c r="AQ179" s="9">
        <f>A179</f>
        <v/>
      </c>
      <c r="AR179" s="9">
        <f>0</f>
        <v/>
      </c>
      <c r="AS179" s="9">
        <f>IF(OR(Inputs!$F$6=TRUE,Inputs!$F$6="TRUE",Inputs!$F$6=1),IF(OR(Inputs!$C$27=TRUE,Inputs!$C$27="TRUE",Inputs!$C$27=1),1,0)*(Inputs!$C$51*(115*EXP(-(((Inputs!$C$6)-25)^2)/(4.5^2))+70*EXP(-(((Inputs!$C$6)+38)^2)/(7^2))*(0.55+0.45*SIN(2*PI()*((Inputs!$I$6+(((A179)+1)/2)*(Inputs!$J$6-Inputs!$I$6)))/45))+24*SIN(2*PI()*(Inputs!$C$6)/9+((Inputs!$I$6+(((A179)+1)/2)*(Inputs!$J$6-Inputs!$I$6)))/18)*EXP(-(((Inputs!$C$6)+5)^2)/(22^2))+18*SIN(2*PI()*((Inputs!$I$6+(((A179)+1)/2)*(Inputs!$J$6-Inputs!$I$6)))/70))+Inputs!$C$28*EXP(-((((Inputs!$I$6+(((A179)+1)/2)*(Inputs!$J$6-Inputs!$I$6)))-Inputs!$C$29)^2)/(2*Inputs!$C$31^2))*EXP(-(((Inputs!$C$6)-Inputs!$C$30)^2)/(2*Inputs!$C$32^2))+-Inputs!$C$33*EXP(-((((((Inputs!$I$6+(((A179)+1)/2)*(Inputs!$J$6-Inputs!$I$6)))-Inputs!$C$34)^2)+(((Inputs!$C$6)-Inputs!$C$35)^2))/(2*Inputs!$C$36^2)))+Inputs!$C$37*(0.55*SIN(2*PI()*((Inputs!$I$6+(((A179)+1)/2)*(Inputs!$J$6-Inputs!$I$6)))/Inputs!$C$39)+0.35*COS(2*PI()*(Inputs!$C$6)/Inputs!$C$40)+0.2*SIN(2*PI()*(((Inputs!$I$6+(((A179)+1)/2)*(Inputs!$J$6-Inputs!$I$6)))+(Inputs!$C$6))/(0.5*(Inputs!$C$39+Inputs!$C$40))))+Inputs!$C$38*SIN(2*PI()*((Inputs!$I$6+(((A179)+1)/2)*(Inputs!$J$6-Inputs!$I$6)))/Inputs!$C$39)*SIN(2*PI()*(Inputs!$C$6)/Inputs!$C$40)+-Inputs!$C$41*EXP(-(((Inputs!$C$6)-Inputs!$C$43)^2)/(2*Inputs!$C$44^2))*EXP(-((((Inputs!$I$6+(((A179)+1)/2)*(Inputs!$J$6-Inputs!$I$6)))-Inputs!$C$42)^2)/(2*Inputs!$C$45^2))+Inputs!$C$48*(0.7*(0.45*SIN(2*PI()*((((Inputs!$I$6+(((A179)+1)/2)*(Inputs!$J$6-Inputs!$I$6)))/Inputs!$C$49)+Inputs!$C$47*0.137))+0.35*COS(2*PI()*(((Inputs!$C$6)/Inputs!$C$50)+Inputs!$C$47*0.173))+0.2*SIN(2*PI()*((((Inputs!$I$6+(((A179)+1)/2)*(Inputs!$J$6-Inputs!$I$6)))+(Inputs!$C$6))/(0.5*(Inputs!$C$49+Inputs!$C$50))+Inputs!$C$47*0.097)))+0.3*(2*((SIN((((Inputs!$I$6+(((A179)+1)/2)*(Inputs!$J$6-Inputs!$I$6)))*12.9898+(Inputs!$C$6)*78.233+Inputs!$C$47*37.719))*43758.5453)-INT((SIN((((Inputs!$I$6+(((A179)+1)/2)*(Inputs!$J$6-Inputs!$I$6)))*12.9898+(Inputs!$C$6)*78.233+Inputs!$C$47*37.719))*43758.5453)))-1))),NA())</f>
        <v/>
      </c>
      <c r="AT179" s="9">
        <f>IF(OR(Inputs!$F$7=TRUE,Inputs!$F$7="TRUE",Inputs!$F$7=1),IF(OR(Inputs!$C$27=TRUE,Inputs!$C$27="TRUE",Inputs!$C$27=1),1,0)*(Inputs!$C$51*(115*EXP(-(((Inputs!$C$6)-25)^2)/(4.5^2))+70*EXP(-(((Inputs!$C$6)+38)^2)/(7^2))*(0.55+0.45*SIN(2*PI()*((Inputs!$I$7+(((A179)+1)/2)*(Inputs!$J$7-Inputs!$I$7)))/45))+24*SIN(2*PI()*(Inputs!$C$6)/9+((Inputs!$I$7+(((A179)+1)/2)*(Inputs!$J$7-Inputs!$I$7)))/18)*EXP(-(((Inputs!$C$6)+5)^2)/(22^2))+18*SIN(2*PI()*((Inputs!$I$7+(((A179)+1)/2)*(Inputs!$J$7-Inputs!$I$7)))/70))+Inputs!$C$28*EXP(-((((Inputs!$I$7+(((A179)+1)/2)*(Inputs!$J$7-Inputs!$I$7)))-Inputs!$C$29)^2)/(2*Inputs!$C$31^2))*EXP(-(((Inputs!$C$6)-Inputs!$C$30)^2)/(2*Inputs!$C$32^2))+-Inputs!$C$33*EXP(-((((((Inputs!$I$7+(((A179)+1)/2)*(Inputs!$J$7-Inputs!$I$7)))-Inputs!$C$34)^2)+(((Inputs!$C$6)-Inputs!$C$35)^2))/(2*Inputs!$C$36^2)))+Inputs!$C$37*(0.55*SIN(2*PI()*((Inputs!$I$7+(((A179)+1)/2)*(Inputs!$J$7-Inputs!$I$7)))/Inputs!$C$39)+0.35*COS(2*PI()*(Inputs!$C$6)/Inputs!$C$40)+0.2*SIN(2*PI()*(((Inputs!$I$7+(((A179)+1)/2)*(Inputs!$J$7-Inputs!$I$7)))+(Inputs!$C$6))/(0.5*(Inputs!$C$39+Inputs!$C$40))))+Inputs!$C$38*SIN(2*PI()*((Inputs!$I$7+(((A179)+1)/2)*(Inputs!$J$7-Inputs!$I$7)))/Inputs!$C$39)*SIN(2*PI()*(Inputs!$C$6)/Inputs!$C$40)+-Inputs!$C$41*EXP(-(((Inputs!$C$6)-Inputs!$C$43)^2)/(2*Inputs!$C$44^2))*EXP(-((((Inputs!$I$7+(((A179)+1)/2)*(Inputs!$J$7-Inputs!$I$7)))-Inputs!$C$42)^2)/(2*Inputs!$C$45^2))+Inputs!$C$48*(0.7*(0.45*SIN(2*PI()*((((Inputs!$I$7+(((A179)+1)/2)*(Inputs!$J$7-Inputs!$I$7)))/Inputs!$C$49)+Inputs!$C$47*0.137))+0.35*COS(2*PI()*(((Inputs!$C$6)/Inputs!$C$50)+Inputs!$C$47*0.173))+0.2*SIN(2*PI()*((((Inputs!$I$7+(((A179)+1)/2)*(Inputs!$J$7-Inputs!$I$7)))+(Inputs!$C$6))/(0.5*(Inputs!$C$49+Inputs!$C$50))+Inputs!$C$47*0.097)))+0.3*(2*((SIN((((Inputs!$I$7+(((A179)+1)/2)*(Inputs!$J$7-Inputs!$I$7)))*12.9898+(Inputs!$C$6)*78.233+Inputs!$C$47*37.719))*43758.5453)-INT((SIN((((Inputs!$I$7+(((A179)+1)/2)*(Inputs!$J$7-Inputs!$I$7)))*12.9898+(Inputs!$C$6)*78.233+Inputs!$C$47*37.719))*43758.5453)))-1))),NA())</f>
        <v/>
      </c>
      <c r="AU179" s="9">
        <f>IF(OR(Inputs!$F$8=TRUE,Inputs!$F$8="TRUE",Inputs!$F$8=1),IF(OR(Inputs!$C$27=TRUE,Inputs!$C$27="TRUE",Inputs!$C$27=1),1,0)*(Inputs!$C$51*(115*EXP(-(((Inputs!$C$6)-25)^2)/(4.5^2))+70*EXP(-(((Inputs!$C$6)+38)^2)/(7^2))*(0.55+0.45*SIN(2*PI()*((Inputs!$I$8+(((A179)+1)/2)*(Inputs!$J$8-Inputs!$I$8)))/45))+24*SIN(2*PI()*(Inputs!$C$6)/9+((Inputs!$I$8+(((A179)+1)/2)*(Inputs!$J$8-Inputs!$I$8)))/18)*EXP(-(((Inputs!$C$6)+5)^2)/(22^2))+18*SIN(2*PI()*((Inputs!$I$8+(((A179)+1)/2)*(Inputs!$J$8-Inputs!$I$8)))/70))+Inputs!$C$28*EXP(-((((Inputs!$I$8+(((A179)+1)/2)*(Inputs!$J$8-Inputs!$I$8)))-Inputs!$C$29)^2)/(2*Inputs!$C$31^2))*EXP(-(((Inputs!$C$6)-Inputs!$C$30)^2)/(2*Inputs!$C$32^2))+-Inputs!$C$33*EXP(-((((((Inputs!$I$8+(((A179)+1)/2)*(Inputs!$J$8-Inputs!$I$8)))-Inputs!$C$34)^2)+(((Inputs!$C$6)-Inputs!$C$35)^2))/(2*Inputs!$C$36^2)))+Inputs!$C$37*(0.55*SIN(2*PI()*((Inputs!$I$8+(((A179)+1)/2)*(Inputs!$J$8-Inputs!$I$8)))/Inputs!$C$39)+0.35*COS(2*PI()*(Inputs!$C$6)/Inputs!$C$40)+0.2*SIN(2*PI()*(((Inputs!$I$8+(((A179)+1)/2)*(Inputs!$J$8-Inputs!$I$8)))+(Inputs!$C$6))/(0.5*(Inputs!$C$39+Inputs!$C$40))))+Inputs!$C$38*SIN(2*PI()*((Inputs!$I$8+(((A179)+1)/2)*(Inputs!$J$8-Inputs!$I$8)))/Inputs!$C$39)*SIN(2*PI()*(Inputs!$C$6)/Inputs!$C$40)+-Inputs!$C$41*EXP(-(((Inputs!$C$6)-Inputs!$C$43)^2)/(2*Inputs!$C$44^2))*EXP(-((((Inputs!$I$8+(((A179)+1)/2)*(Inputs!$J$8-Inputs!$I$8)))-Inputs!$C$42)^2)/(2*Inputs!$C$45^2))+Inputs!$C$48*(0.7*(0.45*SIN(2*PI()*((((Inputs!$I$8+(((A179)+1)/2)*(Inputs!$J$8-Inputs!$I$8)))/Inputs!$C$49)+Inputs!$C$47*0.137))+0.35*COS(2*PI()*(((Inputs!$C$6)/Inputs!$C$50)+Inputs!$C$47*0.173))+0.2*SIN(2*PI()*((((Inputs!$I$8+(((A179)+1)/2)*(Inputs!$J$8-Inputs!$I$8)))+(Inputs!$C$6))/(0.5*(Inputs!$C$49+Inputs!$C$50))+Inputs!$C$47*0.097)))+0.3*(2*((SIN((((Inputs!$I$8+(((A179)+1)/2)*(Inputs!$J$8-Inputs!$I$8)))*12.9898+(Inputs!$C$6)*78.233+Inputs!$C$47*37.719))*43758.5453)-INT((SIN((((Inputs!$I$8+(((A179)+1)/2)*(Inputs!$J$8-Inputs!$I$8)))*12.9898+(Inputs!$C$6)*78.233+Inputs!$C$47*37.719))*43758.5453)))-1))),NA())</f>
        <v/>
      </c>
      <c r="AV179" s="9">
        <f>IF(OR(Inputs!$F$9=TRUE,Inputs!$F$9="TRUE",Inputs!$F$9=1),IF(OR(Inputs!$C$27=TRUE,Inputs!$C$27="TRUE",Inputs!$C$27=1),1,0)*(Inputs!$C$51*(115*EXP(-(((Inputs!$C$6)-25)^2)/(4.5^2))+70*EXP(-(((Inputs!$C$6)+38)^2)/(7^2))*(0.55+0.45*SIN(2*PI()*((Inputs!$I$9+(((A179)+1)/2)*(Inputs!$J$9-Inputs!$I$9)))/45))+24*SIN(2*PI()*(Inputs!$C$6)/9+((Inputs!$I$9+(((A179)+1)/2)*(Inputs!$J$9-Inputs!$I$9)))/18)*EXP(-(((Inputs!$C$6)+5)^2)/(22^2))+18*SIN(2*PI()*((Inputs!$I$9+(((A179)+1)/2)*(Inputs!$J$9-Inputs!$I$9)))/70))+Inputs!$C$28*EXP(-((((Inputs!$I$9+(((A179)+1)/2)*(Inputs!$J$9-Inputs!$I$9)))-Inputs!$C$29)^2)/(2*Inputs!$C$31^2))*EXP(-(((Inputs!$C$6)-Inputs!$C$30)^2)/(2*Inputs!$C$32^2))+-Inputs!$C$33*EXP(-((((((Inputs!$I$9+(((A179)+1)/2)*(Inputs!$J$9-Inputs!$I$9)))-Inputs!$C$34)^2)+(((Inputs!$C$6)-Inputs!$C$35)^2))/(2*Inputs!$C$36^2)))+Inputs!$C$37*(0.55*SIN(2*PI()*((Inputs!$I$9+(((A179)+1)/2)*(Inputs!$J$9-Inputs!$I$9)))/Inputs!$C$39)+0.35*COS(2*PI()*(Inputs!$C$6)/Inputs!$C$40)+0.2*SIN(2*PI()*(((Inputs!$I$9+(((A179)+1)/2)*(Inputs!$J$9-Inputs!$I$9)))+(Inputs!$C$6))/(0.5*(Inputs!$C$39+Inputs!$C$40))))+Inputs!$C$38*SIN(2*PI()*((Inputs!$I$9+(((A179)+1)/2)*(Inputs!$J$9-Inputs!$I$9)))/Inputs!$C$39)*SIN(2*PI()*(Inputs!$C$6)/Inputs!$C$40)+-Inputs!$C$41*EXP(-(((Inputs!$C$6)-Inputs!$C$43)^2)/(2*Inputs!$C$44^2))*EXP(-((((Inputs!$I$9+(((A179)+1)/2)*(Inputs!$J$9-Inputs!$I$9)))-Inputs!$C$42)^2)/(2*Inputs!$C$45^2))+Inputs!$C$48*(0.7*(0.45*SIN(2*PI()*((((Inputs!$I$9+(((A179)+1)/2)*(Inputs!$J$9-Inputs!$I$9)))/Inputs!$C$49)+Inputs!$C$47*0.137))+0.35*COS(2*PI()*(((Inputs!$C$6)/Inputs!$C$50)+Inputs!$C$47*0.173))+0.2*SIN(2*PI()*((((Inputs!$I$9+(((A179)+1)/2)*(Inputs!$J$9-Inputs!$I$9)))+(Inputs!$C$6))/(0.5*(Inputs!$C$49+Inputs!$C$50))+Inputs!$C$47*0.097)))+0.3*(2*((SIN((((Inputs!$I$9+(((A179)+1)/2)*(Inputs!$J$9-Inputs!$I$9)))*12.9898+(Inputs!$C$6)*78.233+Inputs!$C$47*37.719))*43758.5453)-INT((SIN((((Inputs!$I$9+(((A179)+1)/2)*(Inputs!$J$9-Inputs!$I$9)))*12.9898+(Inputs!$C$6)*78.233+Inputs!$C$47*37.719))*43758.5453)))-1))),NA())</f>
        <v/>
      </c>
      <c r="AW179" s="10" t="n"/>
      <c r="AX179" s="9">
        <f>A179</f>
        <v/>
      </c>
      <c r="AY179" s="9">
        <f>0</f>
        <v/>
      </c>
      <c r="AZ179" s="9">
        <f>IF(OR(Inputs!$F$6=TRUE,Inputs!$F$6="TRUE",Inputs!$F$6=1),(Inputs!$H$6+Inputs!$L$6*(((Inputs!$I$6+(((A179)+1)/2)*(Inputs!$J$6-Inputs!$I$6)))/Inputs!$K$6)^2),NA())</f>
        <v/>
      </c>
      <c r="BA179" s="9">
        <f>IF(OR(Inputs!$F$7=TRUE,Inputs!$F$7="TRUE",Inputs!$F$7=1),(Inputs!$H$7+Inputs!$L$7*(((Inputs!$I$7+(((A179)+1)/2)*(Inputs!$J$7-Inputs!$I$7)))/Inputs!$K$7)^2),NA())</f>
        <v/>
      </c>
      <c r="BB179" s="9">
        <f>IF(OR(Inputs!$F$8=TRUE,Inputs!$F$8="TRUE",Inputs!$F$8=1),(Inputs!$H$8+Inputs!$L$8*(((Inputs!$I$8+(((A179)+1)/2)*(Inputs!$J$8-Inputs!$I$8)))/Inputs!$K$8)^2),NA())</f>
        <v/>
      </c>
      <c r="BC179" s="9">
        <f>IF(OR(Inputs!$F$9=TRUE,Inputs!$F$9="TRUE",Inputs!$F$9=1),(Inputs!$H$9+Inputs!$L$9*(((Inputs!$I$9+(((A179)+1)/2)*(Inputs!$J$9-Inputs!$I$9)))/Inputs!$K$9)^2),NA())</f>
        <v/>
      </c>
      <c r="BD179" s="10" t="n"/>
      <c r="BE179" s="9">
        <f>A179</f>
        <v/>
      </c>
      <c r="BF179" s="9">
        <f>0</f>
        <v/>
      </c>
      <c r="BG179" s="9">
        <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f>
        <v/>
      </c>
      <c r="BH179" s="9">
        <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f>
        <v/>
      </c>
      <c r="BI179" s="9">
        <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f>
        <v/>
      </c>
      <c r="BJ179" s="9">
        <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f>
        <v/>
      </c>
    </row>
    <row r="180">
      <c r="A180" s="9">
        <f>ROUND(-1+178*2/240,3)</f>
        <v/>
      </c>
      <c r="B180" s="9">
        <f>IF(OR(Inputs!$F$6=TRUE,Inputs!$F$6="TRUE",Inputs!$F$6=1),(Inputs!$H$6+Inputs!$L$6*(((Inputs!$I$6+(((A180)+1)/2)*(Inputs!$J$6-Inputs!$I$6)))/Inputs!$K$6)^2),NA())</f>
        <v/>
      </c>
      <c r="C180" s="9">
        <f>IF(OR(Inputs!$F$7=TRUE,Inputs!$F$7="TRUE",Inputs!$F$7=1),(Inputs!$H$7+Inputs!$L$7*(((Inputs!$I$7+(((A180)+1)/2)*(Inputs!$J$7-Inputs!$I$7)))/Inputs!$K$7)^2),NA())</f>
        <v/>
      </c>
      <c r="D180" s="9">
        <f>IF(OR(Inputs!$F$8=TRUE,Inputs!$F$8="TRUE",Inputs!$F$8=1),(Inputs!$H$8+Inputs!$L$8*(((Inputs!$I$8+(((A180)+1)/2)*(Inputs!$J$8-Inputs!$I$8)))/Inputs!$K$8)^2),NA())</f>
        <v/>
      </c>
      <c r="E180" s="9">
        <f>IF(OR(Inputs!$F$9=TRUE,Inputs!$F$9="TRUE",Inputs!$F$9=1),(Inputs!$H$9+Inputs!$L$9*(((Inputs!$I$9+(((A180)+1)/2)*(Inputs!$J$9-Inputs!$I$9)))/Inputs!$K$9)^2),NA())</f>
        <v/>
      </c>
      <c r="F180" s="10" t="n"/>
      <c r="G180" s="9">
        <f>A180</f>
        <v/>
      </c>
      <c r="H180" s="9">
        <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f>
        <v/>
      </c>
      <c r="I180" s="9">
        <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f>
        <v/>
      </c>
      <c r="J180" s="9">
        <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f>
        <v/>
      </c>
      <c r="K180" s="9">
        <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f>
        <v/>
      </c>
      <c r="L180" s="10" t="n"/>
      <c r="M180" s="9">
        <f>A180</f>
        <v/>
      </c>
      <c r="N180" s="9">
        <f>IF(OR(Inputs!$F$6=TRUE,Inputs!$F$6="TRUE",Inputs!$F$6=1),(-2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NA())</f>
        <v/>
      </c>
      <c r="O180" s="9">
        <f>IF(OR(Inputs!$F$7=TRUE,Inputs!$F$7="TRUE",Inputs!$F$7=1),(-2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NA())</f>
        <v/>
      </c>
      <c r="P180" s="9">
        <f>IF(OR(Inputs!$F$8=TRUE,Inputs!$F$8="TRUE",Inputs!$F$8=1),(-2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NA())</f>
        <v/>
      </c>
      <c r="Q180" s="9">
        <f>IF(OR(Inputs!$F$9=TRUE,Inputs!$F$9="TRUE",Inputs!$F$9=1),(-2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NA())</f>
        <v/>
      </c>
      <c r="R180" s="10" t="n"/>
      <c r="S180" s="9">
        <f>A180</f>
        <v/>
      </c>
      <c r="T180" s="9">
        <f>(Inputs!$I$6+(((A180)+1)/2)*(Inputs!$J$6-Inputs!$I$6))</f>
        <v/>
      </c>
      <c r="U180" s="9">
        <f>(Inputs!$I$7+(((A180)+1)/2)*(Inputs!$J$7-Inputs!$I$7))</f>
        <v/>
      </c>
      <c r="V180" s="9">
        <f>(Inputs!$I$8+(((A180)+1)/2)*(Inputs!$J$8-Inputs!$I$8))</f>
        <v/>
      </c>
      <c r="W180" s="9">
        <f>(Inputs!$I$9+(((A180)+1)/2)*(Inputs!$J$9-Inputs!$I$9))</f>
        <v/>
      </c>
      <c r="X180" s="10" t="n"/>
      <c r="Y180" s="9">
        <f>A180</f>
        <v/>
      </c>
      <c r="Z180" s="9">
        <f>(Inputs!$H$6+Inputs!$L$6*(((Inputs!$I$6+(((A180)+1)/2)*(Inputs!$J$6-Inputs!$I$6)))/Inputs!$K$6)^2)</f>
        <v/>
      </c>
      <c r="AA180" s="9">
        <f>(Inputs!$H$7+Inputs!$L$7*(((Inputs!$I$7+(((A180)+1)/2)*(Inputs!$J$7-Inputs!$I$7)))/Inputs!$K$7)^2)</f>
        <v/>
      </c>
      <c r="AB180" s="9">
        <f>(Inputs!$H$8+Inputs!$L$8*(((Inputs!$I$8+(((A180)+1)/2)*(Inputs!$J$8-Inputs!$I$8)))/Inputs!$K$8)^2)</f>
        <v/>
      </c>
      <c r="AC180" s="9">
        <f>(Inputs!$H$9+Inputs!$L$9*(((Inputs!$I$9+(((A180)+1)/2)*(Inputs!$J$9-Inputs!$I$9)))/Inputs!$K$9)^2)</f>
        <v/>
      </c>
      <c r="AD180" s="10" t="n"/>
      <c r="AE180" s="9">
        <f>A180</f>
        <v/>
      </c>
      <c r="AF180" s="9">
        <f>(((SQRT((Inputs!$C$52+((Inputs!$H$6+Inputs!$L$6*(((Inputs!$I$6+(((A180)+1)/2)*(Inputs!$J$6-Inputs!$I$6)))/Inputs!$K$6)^2)))^2+Inputs!$C$52^2-2*(Inputs!$C$52+((Inputs!$H$6+Inputs!$L$6*(((Inputs!$I$6+(((A180)+1)/2)*(Inputs!$J$6-Inputs!$I$6)))/Inputs!$K$6)^2)))*Inputs!$C$52*COS(SQRT(((Inputs!$I$6+(((A180)+1)/2)*(Inputs!$J$6-Inputs!$I$6)))^2+Inputs!$C$6^2)/Inputs!$C$52)))-((Inputs!$H$6+Inputs!$L$6*(((Inputs!$I$6+(((A180)+1)/2)*(Inputs!$J$6-Inputs!$I$6)))/Inputs!$K$6)^2)))*1000/Inputs!$C$12)</f>
        <v/>
      </c>
      <c r="AG180" s="9">
        <f>(((SQRT((Inputs!$C$52+((Inputs!$H$7+Inputs!$L$7*(((Inputs!$I$7+(((A180)+1)/2)*(Inputs!$J$7-Inputs!$I$7)))/Inputs!$K$7)^2)))^2+Inputs!$C$52^2-2*(Inputs!$C$52+((Inputs!$H$7+Inputs!$L$7*(((Inputs!$I$7+(((A180)+1)/2)*(Inputs!$J$7-Inputs!$I$7)))/Inputs!$K$7)^2)))*Inputs!$C$52*COS(SQRT(((Inputs!$I$7+(((A180)+1)/2)*(Inputs!$J$7-Inputs!$I$7)))^2+Inputs!$C$6^2)/Inputs!$C$52)))-((Inputs!$H$7+Inputs!$L$7*(((Inputs!$I$7+(((A180)+1)/2)*(Inputs!$J$7-Inputs!$I$7)))/Inputs!$K$7)^2)))*1000/Inputs!$C$12)</f>
        <v/>
      </c>
      <c r="AH180" s="9">
        <f>(((SQRT((Inputs!$C$52+((Inputs!$H$8+Inputs!$L$8*(((Inputs!$I$8+(((A180)+1)/2)*(Inputs!$J$8-Inputs!$I$8)))/Inputs!$K$8)^2)))^2+Inputs!$C$52^2-2*(Inputs!$C$52+((Inputs!$H$8+Inputs!$L$8*(((Inputs!$I$8+(((A180)+1)/2)*(Inputs!$J$8-Inputs!$I$8)))/Inputs!$K$8)^2)))*Inputs!$C$52*COS(SQRT(((Inputs!$I$8+(((A180)+1)/2)*(Inputs!$J$8-Inputs!$I$8)))^2+Inputs!$C$6^2)/Inputs!$C$52)))-((Inputs!$H$8+Inputs!$L$8*(((Inputs!$I$8+(((A180)+1)/2)*(Inputs!$J$8-Inputs!$I$8)))/Inputs!$K$8)^2)))*1000/Inputs!$C$12)</f>
        <v/>
      </c>
      <c r="AI180" s="9">
        <f>(((SQRT((Inputs!$C$52+((Inputs!$H$9+Inputs!$L$9*(((Inputs!$I$9+(((A180)+1)/2)*(Inputs!$J$9-Inputs!$I$9)))/Inputs!$K$9)^2)))^2+Inputs!$C$52^2-2*(Inputs!$C$52+((Inputs!$H$9+Inputs!$L$9*(((Inputs!$I$9+(((A180)+1)/2)*(Inputs!$J$9-Inputs!$I$9)))/Inputs!$K$9)^2)))*Inputs!$C$52*COS(SQRT(((Inputs!$I$9+(((A180)+1)/2)*(Inputs!$J$9-Inputs!$I$9)))^2+Inputs!$C$6^2)/Inputs!$C$52)))-((Inputs!$H$9+Inputs!$L$9*(((Inputs!$I$9+(((A180)+1)/2)*(Inputs!$J$9-Inputs!$I$9)))/Inputs!$K$9)^2)))*1000/Inputs!$C$12)</f>
        <v/>
      </c>
      <c r="AJ180" s="10" t="n"/>
      <c r="AK180" s="9">
        <f>A180</f>
        <v/>
      </c>
      <c r="AL180" s="9">
        <f>(-2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f>
        <v/>
      </c>
      <c r="AM180" s="9">
        <f>(-2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f>
        <v/>
      </c>
      <c r="AN180" s="9">
        <f>(-2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f>
        <v/>
      </c>
      <c r="AO180" s="9">
        <f>(-2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f>
        <v/>
      </c>
      <c r="AP180" s="10" t="n"/>
      <c r="AQ180" s="9">
        <f>A180</f>
        <v/>
      </c>
      <c r="AR180" s="9">
        <f>0</f>
        <v/>
      </c>
      <c r="AS180" s="9">
        <f>IF(OR(Inputs!$F$6=TRUE,Inputs!$F$6="TRUE",Inputs!$F$6=1),IF(OR(Inputs!$C$27=TRUE,Inputs!$C$27="TRUE",Inputs!$C$27=1),1,0)*(Inputs!$C$51*(115*EXP(-(((Inputs!$C$6)-25)^2)/(4.5^2))+70*EXP(-(((Inputs!$C$6)+38)^2)/(7^2))*(0.55+0.45*SIN(2*PI()*((Inputs!$I$6+(((A180)+1)/2)*(Inputs!$J$6-Inputs!$I$6)))/45))+24*SIN(2*PI()*(Inputs!$C$6)/9+((Inputs!$I$6+(((A180)+1)/2)*(Inputs!$J$6-Inputs!$I$6)))/18)*EXP(-(((Inputs!$C$6)+5)^2)/(22^2))+18*SIN(2*PI()*((Inputs!$I$6+(((A180)+1)/2)*(Inputs!$J$6-Inputs!$I$6)))/70))+Inputs!$C$28*EXP(-((((Inputs!$I$6+(((A180)+1)/2)*(Inputs!$J$6-Inputs!$I$6)))-Inputs!$C$29)^2)/(2*Inputs!$C$31^2))*EXP(-(((Inputs!$C$6)-Inputs!$C$30)^2)/(2*Inputs!$C$32^2))+-Inputs!$C$33*EXP(-((((((Inputs!$I$6+(((A180)+1)/2)*(Inputs!$J$6-Inputs!$I$6)))-Inputs!$C$34)^2)+(((Inputs!$C$6)-Inputs!$C$35)^2))/(2*Inputs!$C$36^2)))+Inputs!$C$37*(0.55*SIN(2*PI()*((Inputs!$I$6+(((A180)+1)/2)*(Inputs!$J$6-Inputs!$I$6)))/Inputs!$C$39)+0.35*COS(2*PI()*(Inputs!$C$6)/Inputs!$C$40)+0.2*SIN(2*PI()*(((Inputs!$I$6+(((A180)+1)/2)*(Inputs!$J$6-Inputs!$I$6)))+(Inputs!$C$6))/(0.5*(Inputs!$C$39+Inputs!$C$40))))+Inputs!$C$38*SIN(2*PI()*((Inputs!$I$6+(((A180)+1)/2)*(Inputs!$J$6-Inputs!$I$6)))/Inputs!$C$39)*SIN(2*PI()*(Inputs!$C$6)/Inputs!$C$40)+-Inputs!$C$41*EXP(-(((Inputs!$C$6)-Inputs!$C$43)^2)/(2*Inputs!$C$44^2))*EXP(-((((Inputs!$I$6+(((A180)+1)/2)*(Inputs!$J$6-Inputs!$I$6)))-Inputs!$C$42)^2)/(2*Inputs!$C$45^2))+Inputs!$C$48*(0.7*(0.45*SIN(2*PI()*((((Inputs!$I$6+(((A180)+1)/2)*(Inputs!$J$6-Inputs!$I$6)))/Inputs!$C$49)+Inputs!$C$47*0.137))+0.35*COS(2*PI()*(((Inputs!$C$6)/Inputs!$C$50)+Inputs!$C$47*0.173))+0.2*SIN(2*PI()*((((Inputs!$I$6+(((A180)+1)/2)*(Inputs!$J$6-Inputs!$I$6)))+(Inputs!$C$6))/(0.5*(Inputs!$C$49+Inputs!$C$50))+Inputs!$C$47*0.097)))+0.3*(2*((SIN((((Inputs!$I$6+(((A180)+1)/2)*(Inputs!$J$6-Inputs!$I$6)))*12.9898+(Inputs!$C$6)*78.233+Inputs!$C$47*37.719))*43758.5453)-INT((SIN((((Inputs!$I$6+(((A180)+1)/2)*(Inputs!$J$6-Inputs!$I$6)))*12.9898+(Inputs!$C$6)*78.233+Inputs!$C$47*37.719))*43758.5453)))-1))),NA())</f>
        <v/>
      </c>
      <c r="AT180" s="9">
        <f>IF(OR(Inputs!$F$7=TRUE,Inputs!$F$7="TRUE",Inputs!$F$7=1),IF(OR(Inputs!$C$27=TRUE,Inputs!$C$27="TRUE",Inputs!$C$27=1),1,0)*(Inputs!$C$51*(115*EXP(-(((Inputs!$C$6)-25)^2)/(4.5^2))+70*EXP(-(((Inputs!$C$6)+38)^2)/(7^2))*(0.55+0.45*SIN(2*PI()*((Inputs!$I$7+(((A180)+1)/2)*(Inputs!$J$7-Inputs!$I$7)))/45))+24*SIN(2*PI()*(Inputs!$C$6)/9+((Inputs!$I$7+(((A180)+1)/2)*(Inputs!$J$7-Inputs!$I$7)))/18)*EXP(-(((Inputs!$C$6)+5)^2)/(22^2))+18*SIN(2*PI()*((Inputs!$I$7+(((A180)+1)/2)*(Inputs!$J$7-Inputs!$I$7)))/70))+Inputs!$C$28*EXP(-((((Inputs!$I$7+(((A180)+1)/2)*(Inputs!$J$7-Inputs!$I$7)))-Inputs!$C$29)^2)/(2*Inputs!$C$31^2))*EXP(-(((Inputs!$C$6)-Inputs!$C$30)^2)/(2*Inputs!$C$32^2))+-Inputs!$C$33*EXP(-((((((Inputs!$I$7+(((A180)+1)/2)*(Inputs!$J$7-Inputs!$I$7)))-Inputs!$C$34)^2)+(((Inputs!$C$6)-Inputs!$C$35)^2))/(2*Inputs!$C$36^2)))+Inputs!$C$37*(0.55*SIN(2*PI()*((Inputs!$I$7+(((A180)+1)/2)*(Inputs!$J$7-Inputs!$I$7)))/Inputs!$C$39)+0.35*COS(2*PI()*(Inputs!$C$6)/Inputs!$C$40)+0.2*SIN(2*PI()*(((Inputs!$I$7+(((A180)+1)/2)*(Inputs!$J$7-Inputs!$I$7)))+(Inputs!$C$6))/(0.5*(Inputs!$C$39+Inputs!$C$40))))+Inputs!$C$38*SIN(2*PI()*((Inputs!$I$7+(((A180)+1)/2)*(Inputs!$J$7-Inputs!$I$7)))/Inputs!$C$39)*SIN(2*PI()*(Inputs!$C$6)/Inputs!$C$40)+-Inputs!$C$41*EXP(-(((Inputs!$C$6)-Inputs!$C$43)^2)/(2*Inputs!$C$44^2))*EXP(-((((Inputs!$I$7+(((A180)+1)/2)*(Inputs!$J$7-Inputs!$I$7)))-Inputs!$C$42)^2)/(2*Inputs!$C$45^2))+Inputs!$C$48*(0.7*(0.45*SIN(2*PI()*((((Inputs!$I$7+(((A180)+1)/2)*(Inputs!$J$7-Inputs!$I$7)))/Inputs!$C$49)+Inputs!$C$47*0.137))+0.35*COS(2*PI()*(((Inputs!$C$6)/Inputs!$C$50)+Inputs!$C$47*0.173))+0.2*SIN(2*PI()*((((Inputs!$I$7+(((A180)+1)/2)*(Inputs!$J$7-Inputs!$I$7)))+(Inputs!$C$6))/(0.5*(Inputs!$C$49+Inputs!$C$50))+Inputs!$C$47*0.097)))+0.3*(2*((SIN((((Inputs!$I$7+(((A180)+1)/2)*(Inputs!$J$7-Inputs!$I$7)))*12.9898+(Inputs!$C$6)*78.233+Inputs!$C$47*37.719))*43758.5453)-INT((SIN((((Inputs!$I$7+(((A180)+1)/2)*(Inputs!$J$7-Inputs!$I$7)))*12.9898+(Inputs!$C$6)*78.233+Inputs!$C$47*37.719))*43758.5453)))-1))),NA())</f>
        <v/>
      </c>
      <c r="AU180" s="9">
        <f>IF(OR(Inputs!$F$8=TRUE,Inputs!$F$8="TRUE",Inputs!$F$8=1),IF(OR(Inputs!$C$27=TRUE,Inputs!$C$27="TRUE",Inputs!$C$27=1),1,0)*(Inputs!$C$51*(115*EXP(-(((Inputs!$C$6)-25)^2)/(4.5^2))+70*EXP(-(((Inputs!$C$6)+38)^2)/(7^2))*(0.55+0.45*SIN(2*PI()*((Inputs!$I$8+(((A180)+1)/2)*(Inputs!$J$8-Inputs!$I$8)))/45))+24*SIN(2*PI()*(Inputs!$C$6)/9+((Inputs!$I$8+(((A180)+1)/2)*(Inputs!$J$8-Inputs!$I$8)))/18)*EXP(-(((Inputs!$C$6)+5)^2)/(22^2))+18*SIN(2*PI()*((Inputs!$I$8+(((A180)+1)/2)*(Inputs!$J$8-Inputs!$I$8)))/70))+Inputs!$C$28*EXP(-((((Inputs!$I$8+(((A180)+1)/2)*(Inputs!$J$8-Inputs!$I$8)))-Inputs!$C$29)^2)/(2*Inputs!$C$31^2))*EXP(-(((Inputs!$C$6)-Inputs!$C$30)^2)/(2*Inputs!$C$32^2))+-Inputs!$C$33*EXP(-((((((Inputs!$I$8+(((A180)+1)/2)*(Inputs!$J$8-Inputs!$I$8)))-Inputs!$C$34)^2)+(((Inputs!$C$6)-Inputs!$C$35)^2))/(2*Inputs!$C$36^2)))+Inputs!$C$37*(0.55*SIN(2*PI()*((Inputs!$I$8+(((A180)+1)/2)*(Inputs!$J$8-Inputs!$I$8)))/Inputs!$C$39)+0.35*COS(2*PI()*(Inputs!$C$6)/Inputs!$C$40)+0.2*SIN(2*PI()*(((Inputs!$I$8+(((A180)+1)/2)*(Inputs!$J$8-Inputs!$I$8)))+(Inputs!$C$6))/(0.5*(Inputs!$C$39+Inputs!$C$40))))+Inputs!$C$38*SIN(2*PI()*((Inputs!$I$8+(((A180)+1)/2)*(Inputs!$J$8-Inputs!$I$8)))/Inputs!$C$39)*SIN(2*PI()*(Inputs!$C$6)/Inputs!$C$40)+-Inputs!$C$41*EXP(-(((Inputs!$C$6)-Inputs!$C$43)^2)/(2*Inputs!$C$44^2))*EXP(-((((Inputs!$I$8+(((A180)+1)/2)*(Inputs!$J$8-Inputs!$I$8)))-Inputs!$C$42)^2)/(2*Inputs!$C$45^2))+Inputs!$C$48*(0.7*(0.45*SIN(2*PI()*((((Inputs!$I$8+(((A180)+1)/2)*(Inputs!$J$8-Inputs!$I$8)))/Inputs!$C$49)+Inputs!$C$47*0.137))+0.35*COS(2*PI()*(((Inputs!$C$6)/Inputs!$C$50)+Inputs!$C$47*0.173))+0.2*SIN(2*PI()*((((Inputs!$I$8+(((A180)+1)/2)*(Inputs!$J$8-Inputs!$I$8)))+(Inputs!$C$6))/(0.5*(Inputs!$C$49+Inputs!$C$50))+Inputs!$C$47*0.097)))+0.3*(2*((SIN((((Inputs!$I$8+(((A180)+1)/2)*(Inputs!$J$8-Inputs!$I$8)))*12.9898+(Inputs!$C$6)*78.233+Inputs!$C$47*37.719))*43758.5453)-INT((SIN((((Inputs!$I$8+(((A180)+1)/2)*(Inputs!$J$8-Inputs!$I$8)))*12.9898+(Inputs!$C$6)*78.233+Inputs!$C$47*37.719))*43758.5453)))-1))),NA())</f>
        <v/>
      </c>
      <c r="AV180" s="9">
        <f>IF(OR(Inputs!$F$9=TRUE,Inputs!$F$9="TRUE",Inputs!$F$9=1),IF(OR(Inputs!$C$27=TRUE,Inputs!$C$27="TRUE",Inputs!$C$27=1),1,0)*(Inputs!$C$51*(115*EXP(-(((Inputs!$C$6)-25)^2)/(4.5^2))+70*EXP(-(((Inputs!$C$6)+38)^2)/(7^2))*(0.55+0.45*SIN(2*PI()*((Inputs!$I$9+(((A180)+1)/2)*(Inputs!$J$9-Inputs!$I$9)))/45))+24*SIN(2*PI()*(Inputs!$C$6)/9+((Inputs!$I$9+(((A180)+1)/2)*(Inputs!$J$9-Inputs!$I$9)))/18)*EXP(-(((Inputs!$C$6)+5)^2)/(22^2))+18*SIN(2*PI()*((Inputs!$I$9+(((A180)+1)/2)*(Inputs!$J$9-Inputs!$I$9)))/70))+Inputs!$C$28*EXP(-((((Inputs!$I$9+(((A180)+1)/2)*(Inputs!$J$9-Inputs!$I$9)))-Inputs!$C$29)^2)/(2*Inputs!$C$31^2))*EXP(-(((Inputs!$C$6)-Inputs!$C$30)^2)/(2*Inputs!$C$32^2))+-Inputs!$C$33*EXP(-((((((Inputs!$I$9+(((A180)+1)/2)*(Inputs!$J$9-Inputs!$I$9)))-Inputs!$C$34)^2)+(((Inputs!$C$6)-Inputs!$C$35)^2))/(2*Inputs!$C$36^2)))+Inputs!$C$37*(0.55*SIN(2*PI()*((Inputs!$I$9+(((A180)+1)/2)*(Inputs!$J$9-Inputs!$I$9)))/Inputs!$C$39)+0.35*COS(2*PI()*(Inputs!$C$6)/Inputs!$C$40)+0.2*SIN(2*PI()*(((Inputs!$I$9+(((A180)+1)/2)*(Inputs!$J$9-Inputs!$I$9)))+(Inputs!$C$6))/(0.5*(Inputs!$C$39+Inputs!$C$40))))+Inputs!$C$38*SIN(2*PI()*((Inputs!$I$9+(((A180)+1)/2)*(Inputs!$J$9-Inputs!$I$9)))/Inputs!$C$39)*SIN(2*PI()*(Inputs!$C$6)/Inputs!$C$40)+-Inputs!$C$41*EXP(-(((Inputs!$C$6)-Inputs!$C$43)^2)/(2*Inputs!$C$44^2))*EXP(-((((Inputs!$I$9+(((A180)+1)/2)*(Inputs!$J$9-Inputs!$I$9)))-Inputs!$C$42)^2)/(2*Inputs!$C$45^2))+Inputs!$C$48*(0.7*(0.45*SIN(2*PI()*((((Inputs!$I$9+(((A180)+1)/2)*(Inputs!$J$9-Inputs!$I$9)))/Inputs!$C$49)+Inputs!$C$47*0.137))+0.35*COS(2*PI()*(((Inputs!$C$6)/Inputs!$C$50)+Inputs!$C$47*0.173))+0.2*SIN(2*PI()*((((Inputs!$I$9+(((A180)+1)/2)*(Inputs!$J$9-Inputs!$I$9)))+(Inputs!$C$6))/(0.5*(Inputs!$C$49+Inputs!$C$50))+Inputs!$C$47*0.097)))+0.3*(2*((SIN((((Inputs!$I$9+(((A180)+1)/2)*(Inputs!$J$9-Inputs!$I$9)))*12.9898+(Inputs!$C$6)*78.233+Inputs!$C$47*37.719))*43758.5453)-INT((SIN((((Inputs!$I$9+(((A180)+1)/2)*(Inputs!$J$9-Inputs!$I$9)))*12.9898+(Inputs!$C$6)*78.233+Inputs!$C$47*37.719))*43758.5453)))-1))),NA())</f>
        <v/>
      </c>
      <c r="AW180" s="10" t="n"/>
      <c r="AX180" s="9">
        <f>A180</f>
        <v/>
      </c>
      <c r="AY180" s="9">
        <f>0</f>
        <v/>
      </c>
      <c r="AZ180" s="9">
        <f>IF(OR(Inputs!$F$6=TRUE,Inputs!$F$6="TRUE",Inputs!$F$6=1),(Inputs!$H$6+Inputs!$L$6*(((Inputs!$I$6+(((A180)+1)/2)*(Inputs!$J$6-Inputs!$I$6)))/Inputs!$K$6)^2),NA())</f>
        <v/>
      </c>
      <c r="BA180" s="9">
        <f>IF(OR(Inputs!$F$7=TRUE,Inputs!$F$7="TRUE",Inputs!$F$7=1),(Inputs!$H$7+Inputs!$L$7*(((Inputs!$I$7+(((A180)+1)/2)*(Inputs!$J$7-Inputs!$I$7)))/Inputs!$K$7)^2),NA())</f>
        <v/>
      </c>
      <c r="BB180" s="9">
        <f>IF(OR(Inputs!$F$8=TRUE,Inputs!$F$8="TRUE",Inputs!$F$8=1),(Inputs!$H$8+Inputs!$L$8*(((Inputs!$I$8+(((A180)+1)/2)*(Inputs!$J$8-Inputs!$I$8)))/Inputs!$K$8)^2),NA())</f>
        <v/>
      </c>
      <c r="BC180" s="9">
        <f>IF(OR(Inputs!$F$9=TRUE,Inputs!$F$9="TRUE",Inputs!$F$9=1),(Inputs!$H$9+Inputs!$L$9*(((Inputs!$I$9+(((A180)+1)/2)*(Inputs!$J$9-Inputs!$I$9)))/Inputs!$K$9)^2),NA())</f>
        <v/>
      </c>
      <c r="BD180" s="10" t="n"/>
      <c r="BE180" s="9">
        <f>A180</f>
        <v/>
      </c>
      <c r="BF180" s="9">
        <f>0</f>
        <v/>
      </c>
      <c r="BG180" s="9">
        <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f>
        <v/>
      </c>
      <c r="BH180" s="9">
        <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f>
        <v/>
      </c>
      <c r="BI180" s="9">
        <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f>
        <v/>
      </c>
      <c r="BJ180" s="9">
        <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f>
        <v/>
      </c>
    </row>
    <row r="181">
      <c r="A181" s="9">
        <f>ROUND(-1+179*2/240,3)</f>
        <v/>
      </c>
      <c r="B181" s="9">
        <f>IF(OR(Inputs!$F$6=TRUE,Inputs!$F$6="TRUE",Inputs!$F$6=1),(Inputs!$H$6+Inputs!$L$6*(((Inputs!$I$6+(((A181)+1)/2)*(Inputs!$J$6-Inputs!$I$6)))/Inputs!$K$6)^2),NA())</f>
        <v/>
      </c>
      <c r="C181" s="9">
        <f>IF(OR(Inputs!$F$7=TRUE,Inputs!$F$7="TRUE",Inputs!$F$7=1),(Inputs!$H$7+Inputs!$L$7*(((Inputs!$I$7+(((A181)+1)/2)*(Inputs!$J$7-Inputs!$I$7)))/Inputs!$K$7)^2),NA())</f>
        <v/>
      </c>
      <c r="D181" s="9">
        <f>IF(OR(Inputs!$F$8=TRUE,Inputs!$F$8="TRUE",Inputs!$F$8=1),(Inputs!$H$8+Inputs!$L$8*(((Inputs!$I$8+(((A181)+1)/2)*(Inputs!$J$8-Inputs!$I$8)))/Inputs!$K$8)^2),NA())</f>
        <v/>
      </c>
      <c r="E181" s="9">
        <f>IF(OR(Inputs!$F$9=TRUE,Inputs!$F$9="TRUE",Inputs!$F$9=1),(Inputs!$H$9+Inputs!$L$9*(((Inputs!$I$9+(((A181)+1)/2)*(Inputs!$J$9-Inputs!$I$9)))/Inputs!$K$9)^2),NA())</f>
        <v/>
      </c>
      <c r="F181" s="10" t="n"/>
      <c r="G181" s="9">
        <f>A181</f>
        <v/>
      </c>
      <c r="H181" s="9">
        <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f>
        <v/>
      </c>
      <c r="I181" s="9">
        <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f>
        <v/>
      </c>
      <c r="J181" s="9">
        <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f>
        <v/>
      </c>
      <c r="K181" s="9">
        <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f>
        <v/>
      </c>
      <c r="L181" s="10" t="n"/>
      <c r="M181" s="9">
        <f>A181</f>
        <v/>
      </c>
      <c r="N181" s="9">
        <f>IF(OR(Inputs!$F$6=TRUE,Inputs!$F$6="TRUE",Inputs!$F$6=1),(-2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NA())</f>
        <v/>
      </c>
      <c r="O181" s="9">
        <f>IF(OR(Inputs!$F$7=TRUE,Inputs!$F$7="TRUE",Inputs!$F$7=1),(-2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NA())</f>
        <v/>
      </c>
      <c r="P181" s="9">
        <f>IF(OR(Inputs!$F$8=TRUE,Inputs!$F$8="TRUE",Inputs!$F$8=1),(-2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NA())</f>
        <v/>
      </c>
      <c r="Q181" s="9">
        <f>IF(OR(Inputs!$F$9=TRUE,Inputs!$F$9="TRUE",Inputs!$F$9=1),(-2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NA())</f>
        <v/>
      </c>
      <c r="R181" s="10" t="n"/>
      <c r="S181" s="9">
        <f>A181</f>
        <v/>
      </c>
      <c r="T181" s="9">
        <f>(Inputs!$I$6+(((A181)+1)/2)*(Inputs!$J$6-Inputs!$I$6))</f>
        <v/>
      </c>
      <c r="U181" s="9">
        <f>(Inputs!$I$7+(((A181)+1)/2)*(Inputs!$J$7-Inputs!$I$7))</f>
        <v/>
      </c>
      <c r="V181" s="9">
        <f>(Inputs!$I$8+(((A181)+1)/2)*(Inputs!$J$8-Inputs!$I$8))</f>
        <v/>
      </c>
      <c r="W181" s="9">
        <f>(Inputs!$I$9+(((A181)+1)/2)*(Inputs!$J$9-Inputs!$I$9))</f>
        <v/>
      </c>
      <c r="X181" s="10" t="n"/>
      <c r="Y181" s="9">
        <f>A181</f>
        <v/>
      </c>
      <c r="Z181" s="9">
        <f>(Inputs!$H$6+Inputs!$L$6*(((Inputs!$I$6+(((A181)+1)/2)*(Inputs!$J$6-Inputs!$I$6)))/Inputs!$K$6)^2)</f>
        <v/>
      </c>
      <c r="AA181" s="9">
        <f>(Inputs!$H$7+Inputs!$L$7*(((Inputs!$I$7+(((A181)+1)/2)*(Inputs!$J$7-Inputs!$I$7)))/Inputs!$K$7)^2)</f>
        <v/>
      </c>
      <c r="AB181" s="9">
        <f>(Inputs!$H$8+Inputs!$L$8*(((Inputs!$I$8+(((A181)+1)/2)*(Inputs!$J$8-Inputs!$I$8)))/Inputs!$K$8)^2)</f>
        <v/>
      </c>
      <c r="AC181" s="9">
        <f>(Inputs!$H$9+Inputs!$L$9*(((Inputs!$I$9+(((A181)+1)/2)*(Inputs!$J$9-Inputs!$I$9)))/Inputs!$K$9)^2)</f>
        <v/>
      </c>
      <c r="AD181" s="10" t="n"/>
      <c r="AE181" s="9">
        <f>A181</f>
        <v/>
      </c>
      <c r="AF181" s="9">
        <f>(((SQRT((Inputs!$C$52+((Inputs!$H$6+Inputs!$L$6*(((Inputs!$I$6+(((A181)+1)/2)*(Inputs!$J$6-Inputs!$I$6)))/Inputs!$K$6)^2)))^2+Inputs!$C$52^2-2*(Inputs!$C$52+((Inputs!$H$6+Inputs!$L$6*(((Inputs!$I$6+(((A181)+1)/2)*(Inputs!$J$6-Inputs!$I$6)))/Inputs!$K$6)^2)))*Inputs!$C$52*COS(SQRT(((Inputs!$I$6+(((A181)+1)/2)*(Inputs!$J$6-Inputs!$I$6)))^2+Inputs!$C$6^2)/Inputs!$C$52)))-((Inputs!$H$6+Inputs!$L$6*(((Inputs!$I$6+(((A181)+1)/2)*(Inputs!$J$6-Inputs!$I$6)))/Inputs!$K$6)^2)))*1000/Inputs!$C$12)</f>
        <v/>
      </c>
      <c r="AG181" s="9">
        <f>(((SQRT((Inputs!$C$52+((Inputs!$H$7+Inputs!$L$7*(((Inputs!$I$7+(((A181)+1)/2)*(Inputs!$J$7-Inputs!$I$7)))/Inputs!$K$7)^2)))^2+Inputs!$C$52^2-2*(Inputs!$C$52+((Inputs!$H$7+Inputs!$L$7*(((Inputs!$I$7+(((A181)+1)/2)*(Inputs!$J$7-Inputs!$I$7)))/Inputs!$K$7)^2)))*Inputs!$C$52*COS(SQRT(((Inputs!$I$7+(((A181)+1)/2)*(Inputs!$J$7-Inputs!$I$7)))^2+Inputs!$C$6^2)/Inputs!$C$52)))-((Inputs!$H$7+Inputs!$L$7*(((Inputs!$I$7+(((A181)+1)/2)*(Inputs!$J$7-Inputs!$I$7)))/Inputs!$K$7)^2)))*1000/Inputs!$C$12)</f>
        <v/>
      </c>
      <c r="AH181" s="9">
        <f>(((SQRT((Inputs!$C$52+((Inputs!$H$8+Inputs!$L$8*(((Inputs!$I$8+(((A181)+1)/2)*(Inputs!$J$8-Inputs!$I$8)))/Inputs!$K$8)^2)))^2+Inputs!$C$52^2-2*(Inputs!$C$52+((Inputs!$H$8+Inputs!$L$8*(((Inputs!$I$8+(((A181)+1)/2)*(Inputs!$J$8-Inputs!$I$8)))/Inputs!$K$8)^2)))*Inputs!$C$52*COS(SQRT(((Inputs!$I$8+(((A181)+1)/2)*(Inputs!$J$8-Inputs!$I$8)))^2+Inputs!$C$6^2)/Inputs!$C$52)))-((Inputs!$H$8+Inputs!$L$8*(((Inputs!$I$8+(((A181)+1)/2)*(Inputs!$J$8-Inputs!$I$8)))/Inputs!$K$8)^2)))*1000/Inputs!$C$12)</f>
        <v/>
      </c>
      <c r="AI181" s="9">
        <f>(((SQRT((Inputs!$C$52+((Inputs!$H$9+Inputs!$L$9*(((Inputs!$I$9+(((A181)+1)/2)*(Inputs!$J$9-Inputs!$I$9)))/Inputs!$K$9)^2)))^2+Inputs!$C$52^2-2*(Inputs!$C$52+((Inputs!$H$9+Inputs!$L$9*(((Inputs!$I$9+(((A181)+1)/2)*(Inputs!$J$9-Inputs!$I$9)))/Inputs!$K$9)^2)))*Inputs!$C$52*COS(SQRT(((Inputs!$I$9+(((A181)+1)/2)*(Inputs!$J$9-Inputs!$I$9)))^2+Inputs!$C$6^2)/Inputs!$C$52)))-((Inputs!$H$9+Inputs!$L$9*(((Inputs!$I$9+(((A181)+1)/2)*(Inputs!$J$9-Inputs!$I$9)))/Inputs!$K$9)^2)))*1000/Inputs!$C$12)</f>
        <v/>
      </c>
      <c r="AJ181" s="10" t="n"/>
      <c r="AK181" s="9">
        <f>A181</f>
        <v/>
      </c>
      <c r="AL181" s="9">
        <f>(-2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f>
        <v/>
      </c>
      <c r="AM181" s="9">
        <f>(-2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f>
        <v/>
      </c>
      <c r="AN181" s="9">
        <f>(-2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f>
        <v/>
      </c>
      <c r="AO181" s="9">
        <f>(-2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f>
        <v/>
      </c>
      <c r="AP181" s="10" t="n"/>
      <c r="AQ181" s="9">
        <f>A181</f>
        <v/>
      </c>
      <c r="AR181" s="9">
        <f>0</f>
        <v/>
      </c>
      <c r="AS181" s="9">
        <f>IF(OR(Inputs!$F$6=TRUE,Inputs!$F$6="TRUE",Inputs!$F$6=1),IF(OR(Inputs!$C$27=TRUE,Inputs!$C$27="TRUE",Inputs!$C$27=1),1,0)*(Inputs!$C$51*(115*EXP(-(((Inputs!$C$6)-25)^2)/(4.5^2))+70*EXP(-(((Inputs!$C$6)+38)^2)/(7^2))*(0.55+0.45*SIN(2*PI()*((Inputs!$I$6+(((A181)+1)/2)*(Inputs!$J$6-Inputs!$I$6)))/45))+24*SIN(2*PI()*(Inputs!$C$6)/9+((Inputs!$I$6+(((A181)+1)/2)*(Inputs!$J$6-Inputs!$I$6)))/18)*EXP(-(((Inputs!$C$6)+5)^2)/(22^2))+18*SIN(2*PI()*((Inputs!$I$6+(((A181)+1)/2)*(Inputs!$J$6-Inputs!$I$6)))/70))+Inputs!$C$28*EXP(-((((Inputs!$I$6+(((A181)+1)/2)*(Inputs!$J$6-Inputs!$I$6)))-Inputs!$C$29)^2)/(2*Inputs!$C$31^2))*EXP(-(((Inputs!$C$6)-Inputs!$C$30)^2)/(2*Inputs!$C$32^2))+-Inputs!$C$33*EXP(-((((((Inputs!$I$6+(((A181)+1)/2)*(Inputs!$J$6-Inputs!$I$6)))-Inputs!$C$34)^2)+(((Inputs!$C$6)-Inputs!$C$35)^2))/(2*Inputs!$C$36^2)))+Inputs!$C$37*(0.55*SIN(2*PI()*((Inputs!$I$6+(((A181)+1)/2)*(Inputs!$J$6-Inputs!$I$6)))/Inputs!$C$39)+0.35*COS(2*PI()*(Inputs!$C$6)/Inputs!$C$40)+0.2*SIN(2*PI()*(((Inputs!$I$6+(((A181)+1)/2)*(Inputs!$J$6-Inputs!$I$6)))+(Inputs!$C$6))/(0.5*(Inputs!$C$39+Inputs!$C$40))))+Inputs!$C$38*SIN(2*PI()*((Inputs!$I$6+(((A181)+1)/2)*(Inputs!$J$6-Inputs!$I$6)))/Inputs!$C$39)*SIN(2*PI()*(Inputs!$C$6)/Inputs!$C$40)+-Inputs!$C$41*EXP(-(((Inputs!$C$6)-Inputs!$C$43)^2)/(2*Inputs!$C$44^2))*EXP(-((((Inputs!$I$6+(((A181)+1)/2)*(Inputs!$J$6-Inputs!$I$6)))-Inputs!$C$42)^2)/(2*Inputs!$C$45^2))+Inputs!$C$48*(0.7*(0.45*SIN(2*PI()*((((Inputs!$I$6+(((A181)+1)/2)*(Inputs!$J$6-Inputs!$I$6)))/Inputs!$C$49)+Inputs!$C$47*0.137))+0.35*COS(2*PI()*(((Inputs!$C$6)/Inputs!$C$50)+Inputs!$C$47*0.173))+0.2*SIN(2*PI()*((((Inputs!$I$6+(((A181)+1)/2)*(Inputs!$J$6-Inputs!$I$6)))+(Inputs!$C$6))/(0.5*(Inputs!$C$49+Inputs!$C$50))+Inputs!$C$47*0.097)))+0.3*(2*((SIN((((Inputs!$I$6+(((A181)+1)/2)*(Inputs!$J$6-Inputs!$I$6)))*12.9898+(Inputs!$C$6)*78.233+Inputs!$C$47*37.719))*43758.5453)-INT((SIN((((Inputs!$I$6+(((A181)+1)/2)*(Inputs!$J$6-Inputs!$I$6)))*12.9898+(Inputs!$C$6)*78.233+Inputs!$C$47*37.719))*43758.5453)))-1))),NA())</f>
        <v/>
      </c>
      <c r="AT181" s="9">
        <f>IF(OR(Inputs!$F$7=TRUE,Inputs!$F$7="TRUE",Inputs!$F$7=1),IF(OR(Inputs!$C$27=TRUE,Inputs!$C$27="TRUE",Inputs!$C$27=1),1,0)*(Inputs!$C$51*(115*EXP(-(((Inputs!$C$6)-25)^2)/(4.5^2))+70*EXP(-(((Inputs!$C$6)+38)^2)/(7^2))*(0.55+0.45*SIN(2*PI()*((Inputs!$I$7+(((A181)+1)/2)*(Inputs!$J$7-Inputs!$I$7)))/45))+24*SIN(2*PI()*(Inputs!$C$6)/9+((Inputs!$I$7+(((A181)+1)/2)*(Inputs!$J$7-Inputs!$I$7)))/18)*EXP(-(((Inputs!$C$6)+5)^2)/(22^2))+18*SIN(2*PI()*((Inputs!$I$7+(((A181)+1)/2)*(Inputs!$J$7-Inputs!$I$7)))/70))+Inputs!$C$28*EXP(-((((Inputs!$I$7+(((A181)+1)/2)*(Inputs!$J$7-Inputs!$I$7)))-Inputs!$C$29)^2)/(2*Inputs!$C$31^2))*EXP(-(((Inputs!$C$6)-Inputs!$C$30)^2)/(2*Inputs!$C$32^2))+-Inputs!$C$33*EXP(-((((((Inputs!$I$7+(((A181)+1)/2)*(Inputs!$J$7-Inputs!$I$7)))-Inputs!$C$34)^2)+(((Inputs!$C$6)-Inputs!$C$35)^2))/(2*Inputs!$C$36^2)))+Inputs!$C$37*(0.55*SIN(2*PI()*((Inputs!$I$7+(((A181)+1)/2)*(Inputs!$J$7-Inputs!$I$7)))/Inputs!$C$39)+0.35*COS(2*PI()*(Inputs!$C$6)/Inputs!$C$40)+0.2*SIN(2*PI()*(((Inputs!$I$7+(((A181)+1)/2)*(Inputs!$J$7-Inputs!$I$7)))+(Inputs!$C$6))/(0.5*(Inputs!$C$39+Inputs!$C$40))))+Inputs!$C$38*SIN(2*PI()*((Inputs!$I$7+(((A181)+1)/2)*(Inputs!$J$7-Inputs!$I$7)))/Inputs!$C$39)*SIN(2*PI()*(Inputs!$C$6)/Inputs!$C$40)+-Inputs!$C$41*EXP(-(((Inputs!$C$6)-Inputs!$C$43)^2)/(2*Inputs!$C$44^2))*EXP(-((((Inputs!$I$7+(((A181)+1)/2)*(Inputs!$J$7-Inputs!$I$7)))-Inputs!$C$42)^2)/(2*Inputs!$C$45^2))+Inputs!$C$48*(0.7*(0.45*SIN(2*PI()*((((Inputs!$I$7+(((A181)+1)/2)*(Inputs!$J$7-Inputs!$I$7)))/Inputs!$C$49)+Inputs!$C$47*0.137))+0.35*COS(2*PI()*(((Inputs!$C$6)/Inputs!$C$50)+Inputs!$C$47*0.173))+0.2*SIN(2*PI()*((((Inputs!$I$7+(((A181)+1)/2)*(Inputs!$J$7-Inputs!$I$7)))+(Inputs!$C$6))/(0.5*(Inputs!$C$49+Inputs!$C$50))+Inputs!$C$47*0.097)))+0.3*(2*((SIN((((Inputs!$I$7+(((A181)+1)/2)*(Inputs!$J$7-Inputs!$I$7)))*12.9898+(Inputs!$C$6)*78.233+Inputs!$C$47*37.719))*43758.5453)-INT((SIN((((Inputs!$I$7+(((A181)+1)/2)*(Inputs!$J$7-Inputs!$I$7)))*12.9898+(Inputs!$C$6)*78.233+Inputs!$C$47*37.719))*43758.5453)))-1))),NA())</f>
        <v/>
      </c>
      <c r="AU181" s="9">
        <f>IF(OR(Inputs!$F$8=TRUE,Inputs!$F$8="TRUE",Inputs!$F$8=1),IF(OR(Inputs!$C$27=TRUE,Inputs!$C$27="TRUE",Inputs!$C$27=1),1,0)*(Inputs!$C$51*(115*EXP(-(((Inputs!$C$6)-25)^2)/(4.5^2))+70*EXP(-(((Inputs!$C$6)+38)^2)/(7^2))*(0.55+0.45*SIN(2*PI()*((Inputs!$I$8+(((A181)+1)/2)*(Inputs!$J$8-Inputs!$I$8)))/45))+24*SIN(2*PI()*(Inputs!$C$6)/9+((Inputs!$I$8+(((A181)+1)/2)*(Inputs!$J$8-Inputs!$I$8)))/18)*EXP(-(((Inputs!$C$6)+5)^2)/(22^2))+18*SIN(2*PI()*((Inputs!$I$8+(((A181)+1)/2)*(Inputs!$J$8-Inputs!$I$8)))/70))+Inputs!$C$28*EXP(-((((Inputs!$I$8+(((A181)+1)/2)*(Inputs!$J$8-Inputs!$I$8)))-Inputs!$C$29)^2)/(2*Inputs!$C$31^2))*EXP(-(((Inputs!$C$6)-Inputs!$C$30)^2)/(2*Inputs!$C$32^2))+-Inputs!$C$33*EXP(-((((((Inputs!$I$8+(((A181)+1)/2)*(Inputs!$J$8-Inputs!$I$8)))-Inputs!$C$34)^2)+(((Inputs!$C$6)-Inputs!$C$35)^2))/(2*Inputs!$C$36^2)))+Inputs!$C$37*(0.55*SIN(2*PI()*((Inputs!$I$8+(((A181)+1)/2)*(Inputs!$J$8-Inputs!$I$8)))/Inputs!$C$39)+0.35*COS(2*PI()*(Inputs!$C$6)/Inputs!$C$40)+0.2*SIN(2*PI()*(((Inputs!$I$8+(((A181)+1)/2)*(Inputs!$J$8-Inputs!$I$8)))+(Inputs!$C$6))/(0.5*(Inputs!$C$39+Inputs!$C$40))))+Inputs!$C$38*SIN(2*PI()*((Inputs!$I$8+(((A181)+1)/2)*(Inputs!$J$8-Inputs!$I$8)))/Inputs!$C$39)*SIN(2*PI()*(Inputs!$C$6)/Inputs!$C$40)+-Inputs!$C$41*EXP(-(((Inputs!$C$6)-Inputs!$C$43)^2)/(2*Inputs!$C$44^2))*EXP(-((((Inputs!$I$8+(((A181)+1)/2)*(Inputs!$J$8-Inputs!$I$8)))-Inputs!$C$42)^2)/(2*Inputs!$C$45^2))+Inputs!$C$48*(0.7*(0.45*SIN(2*PI()*((((Inputs!$I$8+(((A181)+1)/2)*(Inputs!$J$8-Inputs!$I$8)))/Inputs!$C$49)+Inputs!$C$47*0.137))+0.35*COS(2*PI()*(((Inputs!$C$6)/Inputs!$C$50)+Inputs!$C$47*0.173))+0.2*SIN(2*PI()*((((Inputs!$I$8+(((A181)+1)/2)*(Inputs!$J$8-Inputs!$I$8)))+(Inputs!$C$6))/(0.5*(Inputs!$C$49+Inputs!$C$50))+Inputs!$C$47*0.097)))+0.3*(2*((SIN((((Inputs!$I$8+(((A181)+1)/2)*(Inputs!$J$8-Inputs!$I$8)))*12.9898+(Inputs!$C$6)*78.233+Inputs!$C$47*37.719))*43758.5453)-INT((SIN((((Inputs!$I$8+(((A181)+1)/2)*(Inputs!$J$8-Inputs!$I$8)))*12.9898+(Inputs!$C$6)*78.233+Inputs!$C$47*37.719))*43758.5453)))-1))),NA())</f>
        <v/>
      </c>
      <c r="AV181" s="9">
        <f>IF(OR(Inputs!$F$9=TRUE,Inputs!$F$9="TRUE",Inputs!$F$9=1),IF(OR(Inputs!$C$27=TRUE,Inputs!$C$27="TRUE",Inputs!$C$27=1),1,0)*(Inputs!$C$51*(115*EXP(-(((Inputs!$C$6)-25)^2)/(4.5^2))+70*EXP(-(((Inputs!$C$6)+38)^2)/(7^2))*(0.55+0.45*SIN(2*PI()*((Inputs!$I$9+(((A181)+1)/2)*(Inputs!$J$9-Inputs!$I$9)))/45))+24*SIN(2*PI()*(Inputs!$C$6)/9+((Inputs!$I$9+(((A181)+1)/2)*(Inputs!$J$9-Inputs!$I$9)))/18)*EXP(-(((Inputs!$C$6)+5)^2)/(22^2))+18*SIN(2*PI()*((Inputs!$I$9+(((A181)+1)/2)*(Inputs!$J$9-Inputs!$I$9)))/70))+Inputs!$C$28*EXP(-((((Inputs!$I$9+(((A181)+1)/2)*(Inputs!$J$9-Inputs!$I$9)))-Inputs!$C$29)^2)/(2*Inputs!$C$31^2))*EXP(-(((Inputs!$C$6)-Inputs!$C$30)^2)/(2*Inputs!$C$32^2))+-Inputs!$C$33*EXP(-((((((Inputs!$I$9+(((A181)+1)/2)*(Inputs!$J$9-Inputs!$I$9)))-Inputs!$C$34)^2)+(((Inputs!$C$6)-Inputs!$C$35)^2))/(2*Inputs!$C$36^2)))+Inputs!$C$37*(0.55*SIN(2*PI()*((Inputs!$I$9+(((A181)+1)/2)*(Inputs!$J$9-Inputs!$I$9)))/Inputs!$C$39)+0.35*COS(2*PI()*(Inputs!$C$6)/Inputs!$C$40)+0.2*SIN(2*PI()*(((Inputs!$I$9+(((A181)+1)/2)*(Inputs!$J$9-Inputs!$I$9)))+(Inputs!$C$6))/(0.5*(Inputs!$C$39+Inputs!$C$40))))+Inputs!$C$38*SIN(2*PI()*((Inputs!$I$9+(((A181)+1)/2)*(Inputs!$J$9-Inputs!$I$9)))/Inputs!$C$39)*SIN(2*PI()*(Inputs!$C$6)/Inputs!$C$40)+-Inputs!$C$41*EXP(-(((Inputs!$C$6)-Inputs!$C$43)^2)/(2*Inputs!$C$44^2))*EXP(-((((Inputs!$I$9+(((A181)+1)/2)*(Inputs!$J$9-Inputs!$I$9)))-Inputs!$C$42)^2)/(2*Inputs!$C$45^2))+Inputs!$C$48*(0.7*(0.45*SIN(2*PI()*((((Inputs!$I$9+(((A181)+1)/2)*(Inputs!$J$9-Inputs!$I$9)))/Inputs!$C$49)+Inputs!$C$47*0.137))+0.35*COS(2*PI()*(((Inputs!$C$6)/Inputs!$C$50)+Inputs!$C$47*0.173))+0.2*SIN(2*PI()*((((Inputs!$I$9+(((A181)+1)/2)*(Inputs!$J$9-Inputs!$I$9)))+(Inputs!$C$6))/(0.5*(Inputs!$C$49+Inputs!$C$50))+Inputs!$C$47*0.097)))+0.3*(2*((SIN((((Inputs!$I$9+(((A181)+1)/2)*(Inputs!$J$9-Inputs!$I$9)))*12.9898+(Inputs!$C$6)*78.233+Inputs!$C$47*37.719))*43758.5453)-INT((SIN((((Inputs!$I$9+(((A181)+1)/2)*(Inputs!$J$9-Inputs!$I$9)))*12.9898+(Inputs!$C$6)*78.233+Inputs!$C$47*37.719))*43758.5453)))-1))),NA())</f>
        <v/>
      </c>
      <c r="AW181" s="10" t="n"/>
      <c r="AX181" s="9">
        <f>A181</f>
        <v/>
      </c>
      <c r="AY181" s="9">
        <f>0</f>
        <v/>
      </c>
      <c r="AZ181" s="9">
        <f>IF(OR(Inputs!$F$6=TRUE,Inputs!$F$6="TRUE",Inputs!$F$6=1),(Inputs!$H$6+Inputs!$L$6*(((Inputs!$I$6+(((A181)+1)/2)*(Inputs!$J$6-Inputs!$I$6)))/Inputs!$K$6)^2),NA())</f>
        <v/>
      </c>
      <c r="BA181" s="9">
        <f>IF(OR(Inputs!$F$7=TRUE,Inputs!$F$7="TRUE",Inputs!$F$7=1),(Inputs!$H$7+Inputs!$L$7*(((Inputs!$I$7+(((A181)+1)/2)*(Inputs!$J$7-Inputs!$I$7)))/Inputs!$K$7)^2),NA())</f>
        <v/>
      </c>
      <c r="BB181" s="9">
        <f>IF(OR(Inputs!$F$8=TRUE,Inputs!$F$8="TRUE",Inputs!$F$8=1),(Inputs!$H$8+Inputs!$L$8*(((Inputs!$I$8+(((A181)+1)/2)*(Inputs!$J$8-Inputs!$I$8)))/Inputs!$K$8)^2),NA())</f>
        <v/>
      </c>
      <c r="BC181" s="9">
        <f>IF(OR(Inputs!$F$9=TRUE,Inputs!$F$9="TRUE",Inputs!$F$9=1),(Inputs!$H$9+Inputs!$L$9*(((Inputs!$I$9+(((A181)+1)/2)*(Inputs!$J$9-Inputs!$I$9)))/Inputs!$K$9)^2),NA())</f>
        <v/>
      </c>
      <c r="BD181" s="10" t="n"/>
      <c r="BE181" s="9">
        <f>A181</f>
        <v/>
      </c>
      <c r="BF181" s="9">
        <f>0</f>
        <v/>
      </c>
      <c r="BG181" s="9">
        <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f>
        <v/>
      </c>
      <c r="BH181" s="9">
        <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f>
        <v/>
      </c>
      <c r="BI181" s="9">
        <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f>
        <v/>
      </c>
      <c r="BJ181" s="9">
        <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f>
        <v/>
      </c>
    </row>
    <row r="182">
      <c r="A182" s="9">
        <f>ROUND(-1+180*2/240,3)</f>
        <v/>
      </c>
      <c r="B182" s="9">
        <f>IF(OR(Inputs!$F$6=TRUE,Inputs!$F$6="TRUE",Inputs!$F$6=1),(Inputs!$H$6+Inputs!$L$6*(((Inputs!$I$6+(((A182)+1)/2)*(Inputs!$J$6-Inputs!$I$6)))/Inputs!$K$6)^2),NA())</f>
        <v/>
      </c>
      <c r="C182" s="9">
        <f>IF(OR(Inputs!$F$7=TRUE,Inputs!$F$7="TRUE",Inputs!$F$7=1),(Inputs!$H$7+Inputs!$L$7*(((Inputs!$I$7+(((A182)+1)/2)*(Inputs!$J$7-Inputs!$I$7)))/Inputs!$K$7)^2),NA())</f>
        <v/>
      </c>
      <c r="D182" s="9">
        <f>IF(OR(Inputs!$F$8=TRUE,Inputs!$F$8="TRUE",Inputs!$F$8=1),(Inputs!$H$8+Inputs!$L$8*(((Inputs!$I$8+(((A182)+1)/2)*(Inputs!$J$8-Inputs!$I$8)))/Inputs!$K$8)^2),NA())</f>
        <v/>
      </c>
      <c r="E182" s="9">
        <f>IF(OR(Inputs!$F$9=TRUE,Inputs!$F$9="TRUE",Inputs!$F$9=1),(Inputs!$H$9+Inputs!$L$9*(((Inputs!$I$9+(((A182)+1)/2)*(Inputs!$J$9-Inputs!$I$9)))/Inputs!$K$9)^2),NA())</f>
        <v/>
      </c>
      <c r="F182" s="10" t="n"/>
      <c r="G182" s="9">
        <f>A182</f>
        <v/>
      </c>
      <c r="H182" s="9">
        <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f>
        <v/>
      </c>
      <c r="I182" s="9">
        <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f>
        <v/>
      </c>
      <c r="J182" s="9">
        <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f>
        <v/>
      </c>
      <c r="K182" s="9">
        <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f>
        <v/>
      </c>
      <c r="L182" s="10" t="n"/>
      <c r="M182" s="9">
        <f>A182</f>
        <v/>
      </c>
      <c r="N182" s="9">
        <f>IF(OR(Inputs!$F$6=TRUE,Inputs!$F$6="TRUE",Inputs!$F$6=1),(-2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NA())</f>
        <v/>
      </c>
      <c r="O182" s="9">
        <f>IF(OR(Inputs!$F$7=TRUE,Inputs!$F$7="TRUE",Inputs!$F$7=1),(-2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NA())</f>
        <v/>
      </c>
      <c r="P182" s="9">
        <f>IF(OR(Inputs!$F$8=TRUE,Inputs!$F$8="TRUE",Inputs!$F$8=1),(-2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NA())</f>
        <v/>
      </c>
      <c r="Q182" s="9">
        <f>IF(OR(Inputs!$F$9=TRUE,Inputs!$F$9="TRUE",Inputs!$F$9=1),(-2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NA())</f>
        <v/>
      </c>
      <c r="R182" s="10" t="n"/>
      <c r="S182" s="9">
        <f>A182</f>
        <v/>
      </c>
      <c r="T182" s="9">
        <f>(Inputs!$I$6+(((A182)+1)/2)*(Inputs!$J$6-Inputs!$I$6))</f>
        <v/>
      </c>
      <c r="U182" s="9">
        <f>(Inputs!$I$7+(((A182)+1)/2)*(Inputs!$J$7-Inputs!$I$7))</f>
        <v/>
      </c>
      <c r="V182" s="9">
        <f>(Inputs!$I$8+(((A182)+1)/2)*(Inputs!$J$8-Inputs!$I$8))</f>
        <v/>
      </c>
      <c r="W182" s="9">
        <f>(Inputs!$I$9+(((A182)+1)/2)*(Inputs!$J$9-Inputs!$I$9))</f>
        <v/>
      </c>
      <c r="X182" s="10" t="n"/>
      <c r="Y182" s="9">
        <f>A182</f>
        <v/>
      </c>
      <c r="Z182" s="9">
        <f>(Inputs!$H$6+Inputs!$L$6*(((Inputs!$I$6+(((A182)+1)/2)*(Inputs!$J$6-Inputs!$I$6)))/Inputs!$K$6)^2)</f>
        <v/>
      </c>
      <c r="AA182" s="9">
        <f>(Inputs!$H$7+Inputs!$L$7*(((Inputs!$I$7+(((A182)+1)/2)*(Inputs!$J$7-Inputs!$I$7)))/Inputs!$K$7)^2)</f>
        <v/>
      </c>
      <c r="AB182" s="9">
        <f>(Inputs!$H$8+Inputs!$L$8*(((Inputs!$I$8+(((A182)+1)/2)*(Inputs!$J$8-Inputs!$I$8)))/Inputs!$K$8)^2)</f>
        <v/>
      </c>
      <c r="AC182" s="9">
        <f>(Inputs!$H$9+Inputs!$L$9*(((Inputs!$I$9+(((A182)+1)/2)*(Inputs!$J$9-Inputs!$I$9)))/Inputs!$K$9)^2)</f>
        <v/>
      </c>
      <c r="AD182" s="10" t="n"/>
      <c r="AE182" s="9">
        <f>A182</f>
        <v/>
      </c>
      <c r="AF182" s="9">
        <f>(((SQRT((Inputs!$C$52+((Inputs!$H$6+Inputs!$L$6*(((Inputs!$I$6+(((A182)+1)/2)*(Inputs!$J$6-Inputs!$I$6)))/Inputs!$K$6)^2)))^2+Inputs!$C$52^2-2*(Inputs!$C$52+((Inputs!$H$6+Inputs!$L$6*(((Inputs!$I$6+(((A182)+1)/2)*(Inputs!$J$6-Inputs!$I$6)))/Inputs!$K$6)^2)))*Inputs!$C$52*COS(SQRT(((Inputs!$I$6+(((A182)+1)/2)*(Inputs!$J$6-Inputs!$I$6)))^2+Inputs!$C$6^2)/Inputs!$C$52)))-((Inputs!$H$6+Inputs!$L$6*(((Inputs!$I$6+(((A182)+1)/2)*(Inputs!$J$6-Inputs!$I$6)))/Inputs!$K$6)^2)))*1000/Inputs!$C$12)</f>
        <v/>
      </c>
      <c r="AG182" s="9">
        <f>(((SQRT((Inputs!$C$52+((Inputs!$H$7+Inputs!$L$7*(((Inputs!$I$7+(((A182)+1)/2)*(Inputs!$J$7-Inputs!$I$7)))/Inputs!$K$7)^2)))^2+Inputs!$C$52^2-2*(Inputs!$C$52+((Inputs!$H$7+Inputs!$L$7*(((Inputs!$I$7+(((A182)+1)/2)*(Inputs!$J$7-Inputs!$I$7)))/Inputs!$K$7)^2)))*Inputs!$C$52*COS(SQRT(((Inputs!$I$7+(((A182)+1)/2)*(Inputs!$J$7-Inputs!$I$7)))^2+Inputs!$C$6^2)/Inputs!$C$52)))-((Inputs!$H$7+Inputs!$L$7*(((Inputs!$I$7+(((A182)+1)/2)*(Inputs!$J$7-Inputs!$I$7)))/Inputs!$K$7)^2)))*1000/Inputs!$C$12)</f>
        <v/>
      </c>
      <c r="AH182" s="9">
        <f>(((SQRT((Inputs!$C$52+((Inputs!$H$8+Inputs!$L$8*(((Inputs!$I$8+(((A182)+1)/2)*(Inputs!$J$8-Inputs!$I$8)))/Inputs!$K$8)^2)))^2+Inputs!$C$52^2-2*(Inputs!$C$52+((Inputs!$H$8+Inputs!$L$8*(((Inputs!$I$8+(((A182)+1)/2)*(Inputs!$J$8-Inputs!$I$8)))/Inputs!$K$8)^2)))*Inputs!$C$52*COS(SQRT(((Inputs!$I$8+(((A182)+1)/2)*(Inputs!$J$8-Inputs!$I$8)))^2+Inputs!$C$6^2)/Inputs!$C$52)))-((Inputs!$H$8+Inputs!$L$8*(((Inputs!$I$8+(((A182)+1)/2)*(Inputs!$J$8-Inputs!$I$8)))/Inputs!$K$8)^2)))*1000/Inputs!$C$12)</f>
        <v/>
      </c>
      <c r="AI182" s="9">
        <f>(((SQRT((Inputs!$C$52+((Inputs!$H$9+Inputs!$L$9*(((Inputs!$I$9+(((A182)+1)/2)*(Inputs!$J$9-Inputs!$I$9)))/Inputs!$K$9)^2)))^2+Inputs!$C$52^2-2*(Inputs!$C$52+((Inputs!$H$9+Inputs!$L$9*(((Inputs!$I$9+(((A182)+1)/2)*(Inputs!$J$9-Inputs!$I$9)))/Inputs!$K$9)^2)))*Inputs!$C$52*COS(SQRT(((Inputs!$I$9+(((A182)+1)/2)*(Inputs!$J$9-Inputs!$I$9)))^2+Inputs!$C$6^2)/Inputs!$C$52)))-((Inputs!$H$9+Inputs!$L$9*(((Inputs!$I$9+(((A182)+1)/2)*(Inputs!$J$9-Inputs!$I$9)))/Inputs!$K$9)^2)))*1000/Inputs!$C$12)</f>
        <v/>
      </c>
      <c r="AJ182" s="10" t="n"/>
      <c r="AK182" s="9">
        <f>A182</f>
        <v/>
      </c>
      <c r="AL182" s="9">
        <f>(-2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f>
        <v/>
      </c>
      <c r="AM182" s="9">
        <f>(-2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f>
        <v/>
      </c>
      <c r="AN182" s="9">
        <f>(-2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f>
        <v/>
      </c>
      <c r="AO182" s="9">
        <f>(-2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f>
        <v/>
      </c>
      <c r="AP182" s="10" t="n"/>
      <c r="AQ182" s="9">
        <f>A182</f>
        <v/>
      </c>
      <c r="AR182" s="9">
        <f>0</f>
        <v/>
      </c>
      <c r="AS182" s="9">
        <f>IF(OR(Inputs!$F$6=TRUE,Inputs!$F$6="TRUE",Inputs!$F$6=1),IF(OR(Inputs!$C$27=TRUE,Inputs!$C$27="TRUE",Inputs!$C$27=1),1,0)*(Inputs!$C$51*(115*EXP(-(((Inputs!$C$6)-25)^2)/(4.5^2))+70*EXP(-(((Inputs!$C$6)+38)^2)/(7^2))*(0.55+0.45*SIN(2*PI()*((Inputs!$I$6+(((A182)+1)/2)*(Inputs!$J$6-Inputs!$I$6)))/45))+24*SIN(2*PI()*(Inputs!$C$6)/9+((Inputs!$I$6+(((A182)+1)/2)*(Inputs!$J$6-Inputs!$I$6)))/18)*EXP(-(((Inputs!$C$6)+5)^2)/(22^2))+18*SIN(2*PI()*((Inputs!$I$6+(((A182)+1)/2)*(Inputs!$J$6-Inputs!$I$6)))/70))+Inputs!$C$28*EXP(-((((Inputs!$I$6+(((A182)+1)/2)*(Inputs!$J$6-Inputs!$I$6)))-Inputs!$C$29)^2)/(2*Inputs!$C$31^2))*EXP(-(((Inputs!$C$6)-Inputs!$C$30)^2)/(2*Inputs!$C$32^2))+-Inputs!$C$33*EXP(-((((((Inputs!$I$6+(((A182)+1)/2)*(Inputs!$J$6-Inputs!$I$6)))-Inputs!$C$34)^2)+(((Inputs!$C$6)-Inputs!$C$35)^2))/(2*Inputs!$C$36^2)))+Inputs!$C$37*(0.55*SIN(2*PI()*((Inputs!$I$6+(((A182)+1)/2)*(Inputs!$J$6-Inputs!$I$6)))/Inputs!$C$39)+0.35*COS(2*PI()*(Inputs!$C$6)/Inputs!$C$40)+0.2*SIN(2*PI()*(((Inputs!$I$6+(((A182)+1)/2)*(Inputs!$J$6-Inputs!$I$6)))+(Inputs!$C$6))/(0.5*(Inputs!$C$39+Inputs!$C$40))))+Inputs!$C$38*SIN(2*PI()*((Inputs!$I$6+(((A182)+1)/2)*(Inputs!$J$6-Inputs!$I$6)))/Inputs!$C$39)*SIN(2*PI()*(Inputs!$C$6)/Inputs!$C$40)+-Inputs!$C$41*EXP(-(((Inputs!$C$6)-Inputs!$C$43)^2)/(2*Inputs!$C$44^2))*EXP(-((((Inputs!$I$6+(((A182)+1)/2)*(Inputs!$J$6-Inputs!$I$6)))-Inputs!$C$42)^2)/(2*Inputs!$C$45^2))+Inputs!$C$48*(0.7*(0.45*SIN(2*PI()*((((Inputs!$I$6+(((A182)+1)/2)*(Inputs!$J$6-Inputs!$I$6)))/Inputs!$C$49)+Inputs!$C$47*0.137))+0.35*COS(2*PI()*(((Inputs!$C$6)/Inputs!$C$50)+Inputs!$C$47*0.173))+0.2*SIN(2*PI()*((((Inputs!$I$6+(((A182)+1)/2)*(Inputs!$J$6-Inputs!$I$6)))+(Inputs!$C$6))/(0.5*(Inputs!$C$49+Inputs!$C$50))+Inputs!$C$47*0.097)))+0.3*(2*((SIN((((Inputs!$I$6+(((A182)+1)/2)*(Inputs!$J$6-Inputs!$I$6)))*12.9898+(Inputs!$C$6)*78.233+Inputs!$C$47*37.719))*43758.5453)-INT((SIN((((Inputs!$I$6+(((A182)+1)/2)*(Inputs!$J$6-Inputs!$I$6)))*12.9898+(Inputs!$C$6)*78.233+Inputs!$C$47*37.719))*43758.5453)))-1))),NA())</f>
        <v/>
      </c>
      <c r="AT182" s="9">
        <f>IF(OR(Inputs!$F$7=TRUE,Inputs!$F$7="TRUE",Inputs!$F$7=1),IF(OR(Inputs!$C$27=TRUE,Inputs!$C$27="TRUE",Inputs!$C$27=1),1,0)*(Inputs!$C$51*(115*EXP(-(((Inputs!$C$6)-25)^2)/(4.5^2))+70*EXP(-(((Inputs!$C$6)+38)^2)/(7^2))*(0.55+0.45*SIN(2*PI()*((Inputs!$I$7+(((A182)+1)/2)*(Inputs!$J$7-Inputs!$I$7)))/45))+24*SIN(2*PI()*(Inputs!$C$6)/9+((Inputs!$I$7+(((A182)+1)/2)*(Inputs!$J$7-Inputs!$I$7)))/18)*EXP(-(((Inputs!$C$6)+5)^2)/(22^2))+18*SIN(2*PI()*((Inputs!$I$7+(((A182)+1)/2)*(Inputs!$J$7-Inputs!$I$7)))/70))+Inputs!$C$28*EXP(-((((Inputs!$I$7+(((A182)+1)/2)*(Inputs!$J$7-Inputs!$I$7)))-Inputs!$C$29)^2)/(2*Inputs!$C$31^2))*EXP(-(((Inputs!$C$6)-Inputs!$C$30)^2)/(2*Inputs!$C$32^2))+-Inputs!$C$33*EXP(-((((((Inputs!$I$7+(((A182)+1)/2)*(Inputs!$J$7-Inputs!$I$7)))-Inputs!$C$34)^2)+(((Inputs!$C$6)-Inputs!$C$35)^2))/(2*Inputs!$C$36^2)))+Inputs!$C$37*(0.55*SIN(2*PI()*((Inputs!$I$7+(((A182)+1)/2)*(Inputs!$J$7-Inputs!$I$7)))/Inputs!$C$39)+0.35*COS(2*PI()*(Inputs!$C$6)/Inputs!$C$40)+0.2*SIN(2*PI()*(((Inputs!$I$7+(((A182)+1)/2)*(Inputs!$J$7-Inputs!$I$7)))+(Inputs!$C$6))/(0.5*(Inputs!$C$39+Inputs!$C$40))))+Inputs!$C$38*SIN(2*PI()*((Inputs!$I$7+(((A182)+1)/2)*(Inputs!$J$7-Inputs!$I$7)))/Inputs!$C$39)*SIN(2*PI()*(Inputs!$C$6)/Inputs!$C$40)+-Inputs!$C$41*EXP(-(((Inputs!$C$6)-Inputs!$C$43)^2)/(2*Inputs!$C$44^2))*EXP(-((((Inputs!$I$7+(((A182)+1)/2)*(Inputs!$J$7-Inputs!$I$7)))-Inputs!$C$42)^2)/(2*Inputs!$C$45^2))+Inputs!$C$48*(0.7*(0.45*SIN(2*PI()*((((Inputs!$I$7+(((A182)+1)/2)*(Inputs!$J$7-Inputs!$I$7)))/Inputs!$C$49)+Inputs!$C$47*0.137))+0.35*COS(2*PI()*(((Inputs!$C$6)/Inputs!$C$50)+Inputs!$C$47*0.173))+0.2*SIN(2*PI()*((((Inputs!$I$7+(((A182)+1)/2)*(Inputs!$J$7-Inputs!$I$7)))+(Inputs!$C$6))/(0.5*(Inputs!$C$49+Inputs!$C$50))+Inputs!$C$47*0.097)))+0.3*(2*((SIN((((Inputs!$I$7+(((A182)+1)/2)*(Inputs!$J$7-Inputs!$I$7)))*12.9898+(Inputs!$C$6)*78.233+Inputs!$C$47*37.719))*43758.5453)-INT((SIN((((Inputs!$I$7+(((A182)+1)/2)*(Inputs!$J$7-Inputs!$I$7)))*12.9898+(Inputs!$C$6)*78.233+Inputs!$C$47*37.719))*43758.5453)))-1))),NA())</f>
        <v/>
      </c>
      <c r="AU182" s="9">
        <f>IF(OR(Inputs!$F$8=TRUE,Inputs!$F$8="TRUE",Inputs!$F$8=1),IF(OR(Inputs!$C$27=TRUE,Inputs!$C$27="TRUE",Inputs!$C$27=1),1,0)*(Inputs!$C$51*(115*EXP(-(((Inputs!$C$6)-25)^2)/(4.5^2))+70*EXP(-(((Inputs!$C$6)+38)^2)/(7^2))*(0.55+0.45*SIN(2*PI()*((Inputs!$I$8+(((A182)+1)/2)*(Inputs!$J$8-Inputs!$I$8)))/45))+24*SIN(2*PI()*(Inputs!$C$6)/9+((Inputs!$I$8+(((A182)+1)/2)*(Inputs!$J$8-Inputs!$I$8)))/18)*EXP(-(((Inputs!$C$6)+5)^2)/(22^2))+18*SIN(2*PI()*((Inputs!$I$8+(((A182)+1)/2)*(Inputs!$J$8-Inputs!$I$8)))/70))+Inputs!$C$28*EXP(-((((Inputs!$I$8+(((A182)+1)/2)*(Inputs!$J$8-Inputs!$I$8)))-Inputs!$C$29)^2)/(2*Inputs!$C$31^2))*EXP(-(((Inputs!$C$6)-Inputs!$C$30)^2)/(2*Inputs!$C$32^2))+-Inputs!$C$33*EXP(-((((((Inputs!$I$8+(((A182)+1)/2)*(Inputs!$J$8-Inputs!$I$8)))-Inputs!$C$34)^2)+(((Inputs!$C$6)-Inputs!$C$35)^2))/(2*Inputs!$C$36^2)))+Inputs!$C$37*(0.55*SIN(2*PI()*((Inputs!$I$8+(((A182)+1)/2)*(Inputs!$J$8-Inputs!$I$8)))/Inputs!$C$39)+0.35*COS(2*PI()*(Inputs!$C$6)/Inputs!$C$40)+0.2*SIN(2*PI()*(((Inputs!$I$8+(((A182)+1)/2)*(Inputs!$J$8-Inputs!$I$8)))+(Inputs!$C$6))/(0.5*(Inputs!$C$39+Inputs!$C$40))))+Inputs!$C$38*SIN(2*PI()*((Inputs!$I$8+(((A182)+1)/2)*(Inputs!$J$8-Inputs!$I$8)))/Inputs!$C$39)*SIN(2*PI()*(Inputs!$C$6)/Inputs!$C$40)+-Inputs!$C$41*EXP(-(((Inputs!$C$6)-Inputs!$C$43)^2)/(2*Inputs!$C$44^2))*EXP(-((((Inputs!$I$8+(((A182)+1)/2)*(Inputs!$J$8-Inputs!$I$8)))-Inputs!$C$42)^2)/(2*Inputs!$C$45^2))+Inputs!$C$48*(0.7*(0.45*SIN(2*PI()*((((Inputs!$I$8+(((A182)+1)/2)*(Inputs!$J$8-Inputs!$I$8)))/Inputs!$C$49)+Inputs!$C$47*0.137))+0.35*COS(2*PI()*(((Inputs!$C$6)/Inputs!$C$50)+Inputs!$C$47*0.173))+0.2*SIN(2*PI()*((((Inputs!$I$8+(((A182)+1)/2)*(Inputs!$J$8-Inputs!$I$8)))+(Inputs!$C$6))/(0.5*(Inputs!$C$49+Inputs!$C$50))+Inputs!$C$47*0.097)))+0.3*(2*((SIN((((Inputs!$I$8+(((A182)+1)/2)*(Inputs!$J$8-Inputs!$I$8)))*12.9898+(Inputs!$C$6)*78.233+Inputs!$C$47*37.719))*43758.5453)-INT((SIN((((Inputs!$I$8+(((A182)+1)/2)*(Inputs!$J$8-Inputs!$I$8)))*12.9898+(Inputs!$C$6)*78.233+Inputs!$C$47*37.719))*43758.5453)))-1))),NA())</f>
        <v/>
      </c>
      <c r="AV182" s="9">
        <f>IF(OR(Inputs!$F$9=TRUE,Inputs!$F$9="TRUE",Inputs!$F$9=1),IF(OR(Inputs!$C$27=TRUE,Inputs!$C$27="TRUE",Inputs!$C$27=1),1,0)*(Inputs!$C$51*(115*EXP(-(((Inputs!$C$6)-25)^2)/(4.5^2))+70*EXP(-(((Inputs!$C$6)+38)^2)/(7^2))*(0.55+0.45*SIN(2*PI()*((Inputs!$I$9+(((A182)+1)/2)*(Inputs!$J$9-Inputs!$I$9)))/45))+24*SIN(2*PI()*(Inputs!$C$6)/9+((Inputs!$I$9+(((A182)+1)/2)*(Inputs!$J$9-Inputs!$I$9)))/18)*EXP(-(((Inputs!$C$6)+5)^2)/(22^2))+18*SIN(2*PI()*((Inputs!$I$9+(((A182)+1)/2)*(Inputs!$J$9-Inputs!$I$9)))/70))+Inputs!$C$28*EXP(-((((Inputs!$I$9+(((A182)+1)/2)*(Inputs!$J$9-Inputs!$I$9)))-Inputs!$C$29)^2)/(2*Inputs!$C$31^2))*EXP(-(((Inputs!$C$6)-Inputs!$C$30)^2)/(2*Inputs!$C$32^2))+-Inputs!$C$33*EXP(-((((((Inputs!$I$9+(((A182)+1)/2)*(Inputs!$J$9-Inputs!$I$9)))-Inputs!$C$34)^2)+(((Inputs!$C$6)-Inputs!$C$35)^2))/(2*Inputs!$C$36^2)))+Inputs!$C$37*(0.55*SIN(2*PI()*((Inputs!$I$9+(((A182)+1)/2)*(Inputs!$J$9-Inputs!$I$9)))/Inputs!$C$39)+0.35*COS(2*PI()*(Inputs!$C$6)/Inputs!$C$40)+0.2*SIN(2*PI()*(((Inputs!$I$9+(((A182)+1)/2)*(Inputs!$J$9-Inputs!$I$9)))+(Inputs!$C$6))/(0.5*(Inputs!$C$39+Inputs!$C$40))))+Inputs!$C$38*SIN(2*PI()*((Inputs!$I$9+(((A182)+1)/2)*(Inputs!$J$9-Inputs!$I$9)))/Inputs!$C$39)*SIN(2*PI()*(Inputs!$C$6)/Inputs!$C$40)+-Inputs!$C$41*EXP(-(((Inputs!$C$6)-Inputs!$C$43)^2)/(2*Inputs!$C$44^2))*EXP(-((((Inputs!$I$9+(((A182)+1)/2)*(Inputs!$J$9-Inputs!$I$9)))-Inputs!$C$42)^2)/(2*Inputs!$C$45^2))+Inputs!$C$48*(0.7*(0.45*SIN(2*PI()*((((Inputs!$I$9+(((A182)+1)/2)*(Inputs!$J$9-Inputs!$I$9)))/Inputs!$C$49)+Inputs!$C$47*0.137))+0.35*COS(2*PI()*(((Inputs!$C$6)/Inputs!$C$50)+Inputs!$C$47*0.173))+0.2*SIN(2*PI()*((((Inputs!$I$9+(((A182)+1)/2)*(Inputs!$J$9-Inputs!$I$9)))+(Inputs!$C$6))/(0.5*(Inputs!$C$49+Inputs!$C$50))+Inputs!$C$47*0.097)))+0.3*(2*((SIN((((Inputs!$I$9+(((A182)+1)/2)*(Inputs!$J$9-Inputs!$I$9)))*12.9898+(Inputs!$C$6)*78.233+Inputs!$C$47*37.719))*43758.5453)-INT((SIN((((Inputs!$I$9+(((A182)+1)/2)*(Inputs!$J$9-Inputs!$I$9)))*12.9898+(Inputs!$C$6)*78.233+Inputs!$C$47*37.719))*43758.5453)))-1))),NA())</f>
        <v/>
      </c>
      <c r="AW182" s="10" t="n"/>
      <c r="AX182" s="9">
        <f>A182</f>
        <v/>
      </c>
      <c r="AY182" s="9">
        <f>0</f>
        <v/>
      </c>
      <c r="AZ182" s="9">
        <f>IF(OR(Inputs!$F$6=TRUE,Inputs!$F$6="TRUE",Inputs!$F$6=1),(Inputs!$H$6+Inputs!$L$6*(((Inputs!$I$6+(((A182)+1)/2)*(Inputs!$J$6-Inputs!$I$6)))/Inputs!$K$6)^2),NA())</f>
        <v/>
      </c>
      <c r="BA182" s="9">
        <f>IF(OR(Inputs!$F$7=TRUE,Inputs!$F$7="TRUE",Inputs!$F$7=1),(Inputs!$H$7+Inputs!$L$7*(((Inputs!$I$7+(((A182)+1)/2)*(Inputs!$J$7-Inputs!$I$7)))/Inputs!$K$7)^2),NA())</f>
        <v/>
      </c>
      <c r="BB182" s="9">
        <f>IF(OR(Inputs!$F$8=TRUE,Inputs!$F$8="TRUE",Inputs!$F$8=1),(Inputs!$H$8+Inputs!$L$8*(((Inputs!$I$8+(((A182)+1)/2)*(Inputs!$J$8-Inputs!$I$8)))/Inputs!$K$8)^2),NA())</f>
        <v/>
      </c>
      <c r="BC182" s="9">
        <f>IF(OR(Inputs!$F$9=TRUE,Inputs!$F$9="TRUE",Inputs!$F$9=1),(Inputs!$H$9+Inputs!$L$9*(((Inputs!$I$9+(((A182)+1)/2)*(Inputs!$J$9-Inputs!$I$9)))/Inputs!$K$9)^2),NA())</f>
        <v/>
      </c>
      <c r="BD182" s="10" t="n"/>
      <c r="BE182" s="9">
        <f>A182</f>
        <v/>
      </c>
      <c r="BF182" s="9">
        <f>0</f>
        <v/>
      </c>
      <c r="BG182" s="9">
        <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f>
        <v/>
      </c>
      <c r="BH182" s="9">
        <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f>
        <v/>
      </c>
      <c r="BI182" s="9">
        <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f>
        <v/>
      </c>
      <c r="BJ182" s="9">
        <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f>
        <v/>
      </c>
    </row>
    <row r="183">
      <c r="A183" s="9">
        <f>ROUND(-1+181*2/240,3)</f>
        <v/>
      </c>
      <c r="B183" s="9">
        <f>IF(OR(Inputs!$F$6=TRUE,Inputs!$F$6="TRUE",Inputs!$F$6=1),(Inputs!$H$6+Inputs!$L$6*(((Inputs!$I$6+(((A183)+1)/2)*(Inputs!$J$6-Inputs!$I$6)))/Inputs!$K$6)^2),NA())</f>
        <v/>
      </c>
      <c r="C183" s="9">
        <f>IF(OR(Inputs!$F$7=TRUE,Inputs!$F$7="TRUE",Inputs!$F$7=1),(Inputs!$H$7+Inputs!$L$7*(((Inputs!$I$7+(((A183)+1)/2)*(Inputs!$J$7-Inputs!$I$7)))/Inputs!$K$7)^2),NA())</f>
        <v/>
      </c>
      <c r="D183" s="9">
        <f>IF(OR(Inputs!$F$8=TRUE,Inputs!$F$8="TRUE",Inputs!$F$8=1),(Inputs!$H$8+Inputs!$L$8*(((Inputs!$I$8+(((A183)+1)/2)*(Inputs!$J$8-Inputs!$I$8)))/Inputs!$K$8)^2),NA())</f>
        <v/>
      </c>
      <c r="E183" s="9">
        <f>IF(OR(Inputs!$F$9=TRUE,Inputs!$F$9="TRUE",Inputs!$F$9=1),(Inputs!$H$9+Inputs!$L$9*(((Inputs!$I$9+(((A183)+1)/2)*(Inputs!$J$9-Inputs!$I$9)))/Inputs!$K$9)^2),NA())</f>
        <v/>
      </c>
      <c r="F183" s="10" t="n"/>
      <c r="G183" s="9">
        <f>A183</f>
        <v/>
      </c>
      <c r="H183" s="9">
        <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f>
        <v/>
      </c>
      <c r="I183" s="9">
        <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f>
        <v/>
      </c>
      <c r="J183" s="9">
        <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f>
        <v/>
      </c>
      <c r="K183" s="9">
        <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f>
        <v/>
      </c>
      <c r="L183" s="10" t="n"/>
      <c r="M183" s="9">
        <f>A183</f>
        <v/>
      </c>
      <c r="N183" s="9">
        <f>IF(OR(Inputs!$F$6=TRUE,Inputs!$F$6="TRUE",Inputs!$F$6=1),(-2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NA())</f>
        <v/>
      </c>
      <c r="O183" s="9">
        <f>IF(OR(Inputs!$F$7=TRUE,Inputs!$F$7="TRUE",Inputs!$F$7=1),(-2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NA())</f>
        <v/>
      </c>
      <c r="P183" s="9">
        <f>IF(OR(Inputs!$F$8=TRUE,Inputs!$F$8="TRUE",Inputs!$F$8=1),(-2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NA())</f>
        <v/>
      </c>
      <c r="Q183" s="9">
        <f>IF(OR(Inputs!$F$9=TRUE,Inputs!$F$9="TRUE",Inputs!$F$9=1),(-2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NA())</f>
        <v/>
      </c>
      <c r="R183" s="10" t="n"/>
      <c r="S183" s="9">
        <f>A183</f>
        <v/>
      </c>
      <c r="T183" s="9">
        <f>(Inputs!$I$6+(((A183)+1)/2)*(Inputs!$J$6-Inputs!$I$6))</f>
        <v/>
      </c>
      <c r="U183" s="9">
        <f>(Inputs!$I$7+(((A183)+1)/2)*(Inputs!$J$7-Inputs!$I$7))</f>
        <v/>
      </c>
      <c r="V183" s="9">
        <f>(Inputs!$I$8+(((A183)+1)/2)*(Inputs!$J$8-Inputs!$I$8))</f>
        <v/>
      </c>
      <c r="W183" s="9">
        <f>(Inputs!$I$9+(((A183)+1)/2)*(Inputs!$J$9-Inputs!$I$9))</f>
        <v/>
      </c>
      <c r="X183" s="10" t="n"/>
      <c r="Y183" s="9">
        <f>A183</f>
        <v/>
      </c>
      <c r="Z183" s="9">
        <f>(Inputs!$H$6+Inputs!$L$6*(((Inputs!$I$6+(((A183)+1)/2)*(Inputs!$J$6-Inputs!$I$6)))/Inputs!$K$6)^2)</f>
        <v/>
      </c>
      <c r="AA183" s="9">
        <f>(Inputs!$H$7+Inputs!$L$7*(((Inputs!$I$7+(((A183)+1)/2)*(Inputs!$J$7-Inputs!$I$7)))/Inputs!$K$7)^2)</f>
        <v/>
      </c>
      <c r="AB183" s="9">
        <f>(Inputs!$H$8+Inputs!$L$8*(((Inputs!$I$8+(((A183)+1)/2)*(Inputs!$J$8-Inputs!$I$8)))/Inputs!$K$8)^2)</f>
        <v/>
      </c>
      <c r="AC183" s="9">
        <f>(Inputs!$H$9+Inputs!$L$9*(((Inputs!$I$9+(((A183)+1)/2)*(Inputs!$J$9-Inputs!$I$9)))/Inputs!$K$9)^2)</f>
        <v/>
      </c>
      <c r="AD183" s="10" t="n"/>
      <c r="AE183" s="9">
        <f>A183</f>
        <v/>
      </c>
      <c r="AF183" s="9">
        <f>(((SQRT((Inputs!$C$52+((Inputs!$H$6+Inputs!$L$6*(((Inputs!$I$6+(((A183)+1)/2)*(Inputs!$J$6-Inputs!$I$6)))/Inputs!$K$6)^2)))^2+Inputs!$C$52^2-2*(Inputs!$C$52+((Inputs!$H$6+Inputs!$L$6*(((Inputs!$I$6+(((A183)+1)/2)*(Inputs!$J$6-Inputs!$I$6)))/Inputs!$K$6)^2)))*Inputs!$C$52*COS(SQRT(((Inputs!$I$6+(((A183)+1)/2)*(Inputs!$J$6-Inputs!$I$6)))^2+Inputs!$C$6^2)/Inputs!$C$52)))-((Inputs!$H$6+Inputs!$L$6*(((Inputs!$I$6+(((A183)+1)/2)*(Inputs!$J$6-Inputs!$I$6)))/Inputs!$K$6)^2)))*1000/Inputs!$C$12)</f>
        <v/>
      </c>
      <c r="AG183" s="9">
        <f>(((SQRT((Inputs!$C$52+((Inputs!$H$7+Inputs!$L$7*(((Inputs!$I$7+(((A183)+1)/2)*(Inputs!$J$7-Inputs!$I$7)))/Inputs!$K$7)^2)))^2+Inputs!$C$52^2-2*(Inputs!$C$52+((Inputs!$H$7+Inputs!$L$7*(((Inputs!$I$7+(((A183)+1)/2)*(Inputs!$J$7-Inputs!$I$7)))/Inputs!$K$7)^2)))*Inputs!$C$52*COS(SQRT(((Inputs!$I$7+(((A183)+1)/2)*(Inputs!$J$7-Inputs!$I$7)))^2+Inputs!$C$6^2)/Inputs!$C$52)))-((Inputs!$H$7+Inputs!$L$7*(((Inputs!$I$7+(((A183)+1)/2)*(Inputs!$J$7-Inputs!$I$7)))/Inputs!$K$7)^2)))*1000/Inputs!$C$12)</f>
        <v/>
      </c>
      <c r="AH183" s="9">
        <f>(((SQRT((Inputs!$C$52+((Inputs!$H$8+Inputs!$L$8*(((Inputs!$I$8+(((A183)+1)/2)*(Inputs!$J$8-Inputs!$I$8)))/Inputs!$K$8)^2)))^2+Inputs!$C$52^2-2*(Inputs!$C$52+((Inputs!$H$8+Inputs!$L$8*(((Inputs!$I$8+(((A183)+1)/2)*(Inputs!$J$8-Inputs!$I$8)))/Inputs!$K$8)^2)))*Inputs!$C$52*COS(SQRT(((Inputs!$I$8+(((A183)+1)/2)*(Inputs!$J$8-Inputs!$I$8)))^2+Inputs!$C$6^2)/Inputs!$C$52)))-((Inputs!$H$8+Inputs!$L$8*(((Inputs!$I$8+(((A183)+1)/2)*(Inputs!$J$8-Inputs!$I$8)))/Inputs!$K$8)^2)))*1000/Inputs!$C$12)</f>
        <v/>
      </c>
      <c r="AI183" s="9">
        <f>(((SQRT((Inputs!$C$52+((Inputs!$H$9+Inputs!$L$9*(((Inputs!$I$9+(((A183)+1)/2)*(Inputs!$J$9-Inputs!$I$9)))/Inputs!$K$9)^2)))^2+Inputs!$C$52^2-2*(Inputs!$C$52+((Inputs!$H$9+Inputs!$L$9*(((Inputs!$I$9+(((A183)+1)/2)*(Inputs!$J$9-Inputs!$I$9)))/Inputs!$K$9)^2)))*Inputs!$C$52*COS(SQRT(((Inputs!$I$9+(((A183)+1)/2)*(Inputs!$J$9-Inputs!$I$9)))^2+Inputs!$C$6^2)/Inputs!$C$52)))-((Inputs!$H$9+Inputs!$L$9*(((Inputs!$I$9+(((A183)+1)/2)*(Inputs!$J$9-Inputs!$I$9)))/Inputs!$K$9)^2)))*1000/Inputs!$C$12)</f>
        <v/>
      </c>
      <c r="AJ183" s="10" t="n"/>
      <c r="AK183" s="9">
        <f>A183</f>
        <v/>
      </c>
      <c r="AL183" s="9">
        <f>(-2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f>
        <v/>
      </c>
      <c r="AM183" s="9">
        <f>(-2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f>
        <v/>
      </c>
      <c r="AN183" s="9">
        <f>(-2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f>
        <v/>
      </c>
      <c r="AO183" s="9">
        <f>(-2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f>
        <v/>
      </c>
      <c r="AP183" s="10" t="n"/>
      <c r="AQ183" s="9">
        <f>A183</f>
        <v/>
      </c>
      <c r="AR183" s="9">
        <f>0</f>
        <v/>
      </c>
      <c r="AS183" s="9">
        <f>IF(OR(Inputs!$F$6=TRUE,Inputs!$F$6="TRUE",Inputs!$F$6=1),IF(OR(Inputs!$C$27=TRUE,Inputs!$C$27="TRUE",Inputs!$C$27=1),1,0)*(Inputs!$C$51*(115*EXP(-(((Inputs!$C$6)-25)^2)/(4.5^2))+70*EXP(-(((Inputs!$C$6)+38)^2)/(7^2))*(0.55+0.45*SIN(2*PI()*((Inputs!$I$6+(((A183)+1)/2)*(Inputs!$J$6-Inputs!$I$6)))/45))+24*SIN(2*PI()*(Inputs!$C$6)/9+((Inputs!$I$6+(((A183)+1)/2)*(Inputs!$J$6-Inputs!$I$6)))/18)*EXP(-(((Inputs!$C$6)+5)^2)/(22^2))+18*SIN(2*PI()*((Inputs!$I$6+(((A183)+1)/2)*(Inputs!$J$6-Inputs!$I$6)))/70))+Inputs!$C$28*EXP(-((((Inputs!$I$6+(((A183)+1)/2)*(Inputs!$J$6-Inputs!$I$6)))-Inputs!$C$29)^2)/(2*Inputs!$C$31^2))*EXP(-(((Inputs!$C$6)-Inputs!$C$30)^2)/(2*Inputs!$C$32^2))+-Inputs!$C$33*EXP(-((((((Inputs!$I$6+(((A183)+1)/2)*(Inputs!$J$6-Inputs!$I$6)))-Inputs!$C$34)^2)+(((Inputs!$C$6)-Inputs!$C$35)^2))/(2*Inputs!$C$36^2)))+Inputs!$C$37*(0.55*SIN(2*PI()*((Inputs!$I$6+(((A183)+1)/2)*(Inputs!$J$6-Inputs!$I$6)))/Inputs!$C$39)+0.35*COS(2*PI()*(Inputs!$C$6)/Inputs!$C$40)+0.2*SIN(2*PI()*(((Inputs!$I$6+(((A183)+1)/2)*(Inputs!$J$6-Inputs!$I$6)))+(Inputs!$C$6))/(0.5*(Inputs!$C$39+Inputs!$C$40))))+Inputs!$C$38*SIN(2*PI()*((Inputs!$I$6+(((A183)+1)/2)*(Inputs!$J$6-Inputs!$I$6)))/Inputs!$C$39)*SIN(2*PI()*(Inputs!$C$6)/Inputs!$C$40)+-Inputs!$C$41*EXP(-(((Inputs!$C$6)-Inputs!$C$43)^2)/(2*Inputs!$C$44^2))*EXP(-((((Inputs!$I$6+(((A183)+1)/2)*(Inputs!$J$6-Inputs!$I$6)))-Inputs!$C$42)^2)/(2*Inputs!$C$45^2))+Inputs!$C$48*(0.7*(0.45*SIN(2*PI()*((((Inputs!$I$6+(((A183)+1)/2)*(Inputs!$J$6-Inputs!$I$6)))/Inputs!$C$49)+Inputs!$C$47*0.137))+0.35*COS(2*PI()*(((Inputs!$C$6)/Inputs!$C$50)+Inputs!$C$47*0.173))+0.2*SIN(2*PI()*((((Inputs!$I$6+(((A183)+1)/2)*(Inputs!$J$6-Inputs!$I$6)))+(Inputs!$C$6))/(0.5*(Inputs!$C$49+Inputs!$C$50))+Inputs!$C$47*0.097)))+0.3*(2*((SIN((((Inputs!$I$6+(((A183)+1)/2)*(Inputs!$J$6-Inputs!$I$6)))*12.9898+(Inputs!$C$6)*78.233+Inputs!$C$47*37.719))*43758.5453)-INT((SIN((((Inputs!$I$6+(((A183)+1)/2)*(Inputs!$J$6-Inputs!$I$6)))*12.9898+(Inputs!$C$6)*78.233+Inputs!$C$47*37.719))*43758.5453)))-1))),NA())</f>
        <v/>
      </c>
      <c r="AT183" s="9">
        <f>IF(OR(Inputs!$F$7=TRUE,Inputs!$F$7="TRUE",Inputs!$F$7=1),IF(OR(Inputs!$C$27=TRUE,Inputs!$C$27="TRUE",Inputs!$C$27=1),1,0)*(Inputs!$C$51*(115*EXP(-(((Inputs!$C$6)-25)^2)/(4.5^2))+70*EXP(-(((Inputs!$C$6)+38)^2)/(7^2))*(0.55+0.45*SIN(2*PI()*((Inputs!$I$7+(((A183)+1)/2)*(Inputs!$J$7-Inputs!$I$7)))/45))+24*SIN(2*PI()*(Inputs!$C$6)/9+((Inputs!$I$7+(((A183)+1)/2)*(Inputs!$J$7-Inputs!$I$7)))/18)*EXP(-(((Inputs!$C$6)+5)^2)/(22^2))+18*SIN(2*PI()*((Inputs!$I$7+(((A183)+1)/2)*(Inputs!$J$7-Inputs!$I$7)))/70))+Inputs!$C$28*EXP(-((((Inputs!$I$7+(((A183)+1)/2)*(Inputs!$J$7-Inputs!$I$7)))-Inputs!$C$29)^2)/(2*Inputs!$C$31^2))*EXP(-(((Inputs!$C$6)-Inputs!$C$30)^2)/(2*Inputs!$C$32^2))+-Inputs!$C$33*EXP(-((((((Inputs!$I$7+(((A183)+1)/2)*(Inputs!$J$7-Inputs!$I$7)))-Inputs!$C$34)^2)+(((Inputs!$C$6)-Inputs!$C$35)^2))/(2*Inputs!$C$36^2)))+Inputs!$C$37*(0.55*SIN(2*PI()*((Inputs!$I$7+(((A183)+1)/2)*(Inputs!$J$7-Inputs!$I$7)))/Inputs!$C$39)+0.35*COS(2*PI()*(Inputs!$C$6)/Inputs!$C$40)+0.2*SIN(2*PI()*(((Inputs!$I$7+(((A183)+1)/2)*(Inputs!$J$7-Inputs!$I$7)))+(Inputs!$C$6))/(0.5*(Inputs!$C$39+Inputs!$C$40))))+Inputs!$C$38*SIN(2*PI()*((Inputs!$I$7+(((A183)+1)/2)*(Inputs!$J$7-Inputs!$I$7)))/Inputs!$C$39)*SIN(2*PI()*(Inputs!$C$6)/Inputs!$C$40)+-Inputs!$C$41*EXP(-(((Inputs!$C$6)-Inputs!$C$43)^2)/(2*Inputs!$C$44^2))*EXP(-((((Inputs!$I$7+(((A183)+1)/2)*(Inputs!$J$7-Inputs!$I$7)))-Inputs!$C$42)^2)/(2*Inputs!$C$45^2))+Inputs!$C$48*(0.7*(0.45*SIN(2*PI()*((((Inputs!$I$7+(((A183)+1)/2)*(Inputs!$J$7-Inputs!$I$7)))/Inputs!$C$49)+Inputs!$C$47*0.137))+0.35*COS(2*PI()*(((Inputs!$C$6)/Inputs!$C$50)+Inputs!$C$47*0.173))+0.2*SIN(2*PI()*((((Inputs!$I$7+(((A183)+1)/2)*(Inputs!$J$7-Inputs!$I$7)))+(Inputs!$C$6))/(0.5*(Inputs!$C$49+Inputs!$C$50))+Inputs!$C$47*0.097)))+0.3*(2*((SIN((((Inputs!$I$7+(((A183)+1)/2)*(Inputs!$J$7-Inputs!$I$7)))*12.9898+(Inputs!$C$6)*78.233+Inputs!$C$47*37.719))*43758.5453)-INT((SIN((((Inputs!$I$7+(((A183)+1)/2)*(Inputs!$J$7-Inputs!$I$7)))*12.9898+(Inputs!$C$6)*78.233+Inputs!$C$47*37.719))*43758.5453)))-1))),NA())</f>
        <v/>
      </c>
      <c r="AU183" s="9">
        <f>IF(OR(Inputs!$F$8=TRUE,Inputs!$F$8="TRUE",Inputs!$F$8=1),IF(OR(Inputs!$C$27=TRUE,Inputs!$C$27="TRUE",Inputs!$C$27=1),1,0)*(Inputs!$C$51*(115*EXP(-(((Inputs!$C$6)-25)^2)/(4.5^2))+70*EXP(-(((Inputs!$C$6)+38)^2)/(7^2))*(0.55+0.45*SIN(2*PI()*((Inputs!$I$8+(((A183)+1)/2)*(Inputs!$J$8-Inputs!$I$8)))/45))+24*SIN(2*PI()*(Inputs!$C$6)/9+((Inputs!$I$8+(((A183)+1)/2)*(Inputs!$J$8-Inputs!$I$8)))/18)*EXP(-(((Inputs!$C$6)+5)^2)/(22^2))+18*SIN(2*PI()*((Inputs!$I$8+(((A183)+1)/2)*(Inputs!$J$8-Inputs!$I$8)))/70))+Inputs!$C$28*EXP(-((((Inputs!$I$8+(((A183)+1)/2)*(Inputs!$J$8-Inputs!$I$8)))-Inputs!$C$29)^2)/(2*Inputs!$C$31^2))*EXP(-(((Inputs!$C$6)-Inputs!$C$30)^2)/(2*Inputs!$C$32^2))+-Inputs!$C$33*EXP(-((((((Inputs!$I$8+(((A183)+1)/2)*(Inputs!$J$8-Inputs!$I$8)))-Inputs!$C$34)^2)+(((Inputs!$C$6)-Inputs!$C$35)^2))/(2*Inputs!$C$36^2)))+Inputs!$C$37*(0.55*SIN(2*PI()*((Inputs!$I$8+(((A183)+1)/2)*(Inputs!$J$8-Inputs!$I$8)))/Inputs!$C$39)+0.35*COS(2*PI()*(Inputs!$C$6)/Inputs!$C$40)+0.2*SIN(2*PI()*(((Inputs!$I$8+(((A183)+1)/2)*(Inputs!$J$8-Inputs!$I$8)))+(Inputs!$C$6))/(0.5*(Inputs!$C$39+Inputs!$C$40))))+Inputs!$C$38*SIN(2*PI()*((Inputs!$I$8+(((A183)+1)/2)*(Inputs!$J$8-Inputs!$I$8)))/Inputs!$C$39)*SIN(2*PI()*(Inputs!$C$6)/Inputs!$C$40)+-Inputs!$C$41*EXP(-(((Inputs!$C$6)-Inputs!$C$43)^2)/(2*Inputs!$C$44^2))*EXP(-((((Inputs!$I$8+(((A183)+1)/2)*(Inputs!$J$8-Inputs!$I$8)))-Inputs!$C$42)^2)/(2*Inputs!$C$45^2))+Inputs!$C$48*(0.7*(0.45*SIN(2*PI()*((((Inputs!$I$8+(((A183)+1)/2)*(Inputs!$J$8-Inputs!$I$8)))/Inputs!$C$49)+Inputs!$C$47*0.137))+0.35*COS(2*PI()*(((Inputs!$C$6)/Inputs!$C$50)+Inputs!$C$47*0.173))+0.2*SIN(2*PI()*((((Inputs!$I$8+(((A183)+1)/2)*(Inputs!$J$8-Inputs!$I$8)))+(Inputs!$C$6))/(0.5*(Inputs!$C$49+Inputs!$C$50))+Inputs!$C$47*0.097)))+0.3*(2*((SIN((((Inputs!$I$8+(((A183)+1)/2)*(Inputs!$J$8-Inputs!$I$8)))*12.9898+(Inputs!$C$6)*78.233+Inputs!$C$47*37.719))*43758.5453)-INT((SIN((((Inputs!$I$8+(((A183)+1)/2)*(Inputs!$J$8-Inputs!$I$8)))*12.9898+(Inputs!$C$6)*78.233+Inputs!$C$47*37.719))*43758.5453)))-1))),NA())</f>
        <v/>
      </c>
      <c r="AV183" s="9">
        <f>IF(OR(Inputs!$F$9=TRUE,Inputs!$F$9="TRUE",Inputs!$F$9=1),IF(OR(Inputs!$C$27=TRUE,Inputs!$C$27="TRUE",Inputs!$C$27=1),1,0)*(Inputs!$C$51*(115*EXP(-(((Inputs!$C$6)-25)^2)/(4.5^2))+70*EXP(-(((Inputs!$C$6)+38)^2)/(7^2))*(0.55+0.45*SIN(2*PI()*((Inputs!$I$9+(((A183)+1)/2)*(Inputs!$J$9-Inputs!$I$9)))/45))+24*SIN(2*PI()*(Inputs!$C$6)/9+((Inputs!$I$9+(((A183)+1)/2)*(Inputs!$J$9-Inputs!$I$9)))/18)*EXP(-(((Inputs!$C$6)+5)^2)/(22^2))+18*SIN(2*PI()*((Inputs!$I$9+(((A183)+1)/2)*(Inputs!$J$9-Inputs!$I$9)))/70))+Inputs!$C$28*EXP(-((((Inputs!$I$9+(((A183)+1)/2)*(Inputs!$J$9-Inputs!$I$9)))-Inputs!$C$29)^2)/(2*Inputs!$C$31^2))*EXP(-(((Inputs!$C$6)-Inputs!$C$30)^2)/(2*Inputs!$C$32^2))+-Inputs!$C$33*EXP(-((((((Inputs!$I$9+(((A183)+1)/2)*(Inputs!$J$9-Inputs!$I$9)))-Inputs!$C$34)^2)+(((Inputs!$C$6)-Inputs!$C$35)^2))/(2*Inputs!$C$36^2)))+Inputs!$C$37*(0.55*SIN(2*PI()*((Inputs!$I$9+(((A183)+1)/2)*(Inputs!$J$9-Inputs!$I$9)))/Inputs!$C$39)+0.35*COS(2*PI()*(Inputs!$C$6)/Inputs!$C$40)+0.2*SIN(2*PI()*(((Inputs!$I$9+(((A183)+1)/2)*(Inputs!$J$9-Inputs!$I$9)))+(Inputs!$C$6))/(0.5*(Inputs!$C$39+Inputs!$C$40))))+Inputs!$C$38*SIN(2*PI()*((Inputs!$I$9+(((A183)+1)/2)*(Inputs!$J$9-Inputs!$I$9)))/Inputs!$C$39)*SIN(2*PI()*(Inputs!$C$6)/Inputs!$C$40)+-Inputs!$C$41*EXP(-(((Inputs!$C$6)-Inputs!$C$43)^2)/(2*Inputs!$C$44^2))*EXP(-((((Inputs!$I$9+(((A183)+1)/2)*(Inputs!$J$9-Inputs!$I$9)))-Inputs!$C$42)^2)/(2*Inputs!$C$45^2))+Inputs!$C$48*(0.7*(0.45*SIN(2*PI()*((((Inputs!$I$9+(((A183)+1)/2)*(Inputs!$J$9-Inputs!$I$9)))/Inputs!$C$49)+Inputs!$C$47*0.137))+0.35*COS(2*PI()*(((Inputs!$C$6)/Inputs!$C$50)+Inputs!$C$47*0.173))+0.2*SIN(2*PI()*((((Inputs!$I$9+(((A183)+1)/2)*(Inputs!$J$9-Inputs!$I$9)))+(Inputs!$C$6))/(0.5*(Inputs!$C$49+Inputs!$C$50))+Inputs!$C$47*0.097)))+0.3*(2*((SIN((((Inputs!$I$9+(((A183)+1)/2)*(Inputs!$J$9-Inputs!$I$9)))*12.9898+(Inputs!$C$6)*78.233+Inputs!$C$47*37.719))*43758.5453)-INT((SIN((((Inputs!$I$9+(((A183)+1)/2)*(Inputs!$J$9-Inputs!$I$9)))*12.9898+(Inputs!$C$6)*78.233+Inputs!$C$47*37.719))*43758.5453)))-1))),NA())</f>
        <v/>
      </c>
      <c r="AW183" s="10" t="n"/>
      <c r="AX183" s="9">
        <f>A183</f>
        <v/>
      </c>
      <c r="AY183" s="9">
        <f>0</f>
        <v/>
      </c>
      <c r="AZ183" s="9">
        <f>IF(OR(Inputs!$F$6=TRUE,Inputs!$F$6="TRUE",Inputs!$F$6=1),(Inputs!$H$6+Inputs!$L$6*(((Inputs!$I$6+(((A183)+1)/2)*(Inputs!$J$6-Inputs!$I$6)))/Inputs!$K$6)^2),NA())</f>
        <v/>
      </c>
      <c r="BA183" s="9">
        <f>IF(OR(Inputs!$F$7=TRUE,Inputs!$F$7="TRUE",Inputs!$F$7=1),(Inputs!$H$7+Inputs!$L$7*(((Inputs!$I$7+(((A183)+1)/2)*(Inputs!$J$7-Inputs!$I$7)))/Inputs!$K$7)^2),NA())</f>
        <v/>
      </c>
      <c r="BB183" s="9">
        <f>IF(OR(Inputs!$F$8=TRUE,Inputs!$F$8="TRUE",Inputs!$F$8=1),(Inputs!$H$8+Inputs!$L$8*(((Inputs!$I$8+(((A183)+1)/2)*(Inputs!$J$8-Inputs!$I$8)))/Inputs!$K$8)^2),NA())</f>
        <v/>
      </c>
      <c r="BC183" s="9">
        <f>IF(OR(Inputs!$F$9=TRUE,Inputs!$F$9="TRUE",Inputs!$F$9=1),(Inputs!$H$9+Inputs!$L$9*(((Inputs!$I$9+(((A183)+1)/2)*(Inputs!$J$9-Inputs!$I$9)))/Inputs!$K$9)^2),NA())</f>
        <v/>
      </c>
      <c r="BD183" s="10" t="n"/>
      <c r="BE183" s="9">
        <f>A183</f>
        <v/>
      </c>
      <c r="BF183" s="9">
        <f>0</f>
        <v/>
      </c>
      <c r="BG183" s="9">
        <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f>
        <v/>
      </c>
      <c r="BH183" s="9">
        <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f>
        <v/>
      </c>
      <c r="BI183" s="9">
        <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f>
        <v/>
      </c>
      <c r="BJ183" s="9">
        <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f>
        <v/>
      </c>
    </row>
    <row r="184">
      <c r="A184" s="9">
        <f>ROUND(-1+182*2/240,3)</f>
        <v/>
      </c>
      <c r="B184" s="9">
        <f>IF(OR(Inputs!$F$6=TRUE,Inputs!$F$6="TRUE",Inputs!$F$6=1),(Inputs!$H$6+Inputs!$L$6*(((Inputs!$I$6+(((A184)+1)/2)*(Inputs!$J$6-Inputs!$I$6)))/Inputs!$K$6)^2),NA())</f>
        <v/>
      </c>
      <c r="C184" s="9">
        <f>IF(OR(Inputs!$F$7=TRUE,Inputs!$F$7="TRUE",Inputs!$F$7=1),(Inputs!$H$7+Inputs!$L$7*(((Inputs!$I$7+(((A184)+1)/2)*(Inputs!$J$7-Inputs!$I$7)))/Inputs!$K$7)^2),NA())</f>
        <v/>
      </c>
      <c r="D184" s="9">
        <f>IF(OR(Inputs!$F$8=TRUE,Inputs!$F$8="TRUE",Inputs!$F$8=1),(Inputs!$H$8+Inputs!$L$8*(((Inputs!$I$8+(((A184)+1)/2)*(Inputs!$J$8-Inputs!$I$8)))/Inputs!$K$8)^2),NA())</f>
        <v/>
      </c>
      <c r="E184" s="9">
        <f>IF(OR(Inputs!$F$9=TRUE,Inputs!$F$9="TRUE",Inputs!$F$9=1),(Inputs!$H$9+Inputs!$L$9*(((Inputs!$I$9+(((A184)+1)/2)*(Inputs!$J$9-Inputs!$I$9)))/Inputs!$K$9)^2),NA())</f>
        <v/>
      </c>
      <c r="F184" s="10" t="n"/>
      <c r="G184" s="9">
        <f>A184</f>
        <v/>
      </c>
      <c r="H184" s="9">
        <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f>
        <v/>
      </c>
      <c r="I184" s="9">
        <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f>
        <v/>
      </c>
      <c r="J184" s="9">
        <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f>
        <v/>
      </c>
      <c r="K184" s="9">
        <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f>
        <v/>
      </c>
      <c r="L184" s="10" t="n"/>
      <c r="M184" s="9">
        <f>A184</f>
        <v/>
      </c>
      <c r="N184" s="9">
        <f>IF(OR(Inputs!$F$6=TRUE,Inputs!$F$6="TRUE",Inputs!$F$6=1),(-2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NA())</f>
        <v/>
      </c>
      <c r="O184" s="9">
        <f>IF(OR(Inputs!$F$7=TRUE,Inputs!$F$7="TRUE",Inputs!$F$7=1),(-2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NA())</f>
        <v/>
      </c>
      <c r="P184" s="9">
        <f>IF(OR(Inputs!$F$8=TRUE,Inputs!$F$8="TRUE",Inputs!$F$8=1),(-2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NA())</f>
        <v/>
      </c>
      <c r="Q184" s="9">
        <f>IF(OR(Inputs!$F$9=TRUE,Inputs!$F$9="TRUE",Inputs!$F$9=1),(-2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NA())</f>
        <v/>
      </c>
      <c r="R184" s="10" t="n"/>
      <c r="S184" s="9">
        <f>A184</f>
        <v/>
      </c>
      <c r="T184" s="9">
        <f>(Inputs!$I$6+(((A184)+1)/2)*(Inputs!$J$6-Inputs!$I$6))</f>
        <v/>
      </c>
      <c r="U184" s="9">
        <f>(Inputs!$I$7+(((A184)+1)/2)*(Inputs!$J$7-Inputs!$I$7))</f>
        <v/>
      </c>
      <c r="V184" s="9">
        <f>(Inputs!$I$8+(((A184)+1)/2)*(Inputs!$J$8-Inputs!$I$8))</f>
        <v/>
      </c>
      <c r="W184" s="9">
        <f>(Inputs!$I$9+(((A184)+1)/2)*(Inputs!$J$9-Inputs!$I$9))</f>
        <v/>
      </c>
      <c r="X184" s="10" t="n"/>
      <c r="Y184" s="9">
        <f>A184</f>
        <v/>
      </c>
      <c r="Z184" s="9">
        <f>(Inputs!$H$6+Inputs!$L$6*(((Inputs!$I$6+(((A184)+1)/2)*(Inputs!$J$6-Inputs!$I$6)))/Inputs!$K$6)^2)</f>
        <v/>
      </c>
      <c r="AA184" s="9">
        <f>(Inputs!$H$7+Inputs!$L$7*(((Inputs!$I$7+(((A184)+1)/2)*(Inputs!$J$7-Inputs!$I$7)))/Inputs!$K$7)^2)</f>
        <v/>
      </c>
      <c r="AB184" s="9">
        <f>(Inputs!$H$8+Inputs!$L$8*(((Inputs!$I$8+(((A184)+1)/2)*(Inputs!$J$8-Inputs!$I$8)))/Inputs!$K$8)^2)</f>
        <v/>
      </c>
      <c r="AC184" s="9">
        <f>(Inputs!$H$9+Inputs!$L$9*(((Inputs!$I$9+(((A184)+1)/2)*(Inputs!$J$9-Inputs!$I$9)))/Inputs!$K$9)^2)</f>
        <v/>
      </c>
      <c r="AD184" s="10" t="n"/>
      <c r="AE184" s="9">
        <f>A184</f>
        <v/>
      </c>
      <c r="AF184" s="9">
        <f>(((SQRT((Inputs!$C$52+((Inputs!$H$6+Inputs!$L$6*(((Inputs!$I$6+(((A184)+1)/2)*(Inputs!$J$6-Inputs!$I$6)))/Inputs!$K$6)^2)))^2+Inputs!$C$52^2-2*(Inputs!$C$52+((Inputs!$H$6+Inputs!$L$6*(((Inputs!$I$6+(((A184)+1)/2)*(Inputs!$J$6-Inputs!$I$6)))/Inputs!$K$6)^2)))*Inputs!$C$52*COS(SQRT(((Inputs!$I$6+(((A184)+1)/2)*(Inputs!$J$6-Inputs!$I$6)))^2+Inputs!$C$6^2)/Inputs!$C$52)))-((Inputs!$H$6+Inputs!$L$6*(((Inputs!$I$6+(((A184)+1)/2)*(Inputs!$J$6-Inputs!$I$6)))/Inputs!$K$6)^2)))*1000/Inputs!$C$12)</f>
        <v/>
      </c>
      <c r="AG184" s="9">
        <f>(((SQRT((Inputs!$C$52+((Inputs!$H$7+Inputs!$L$7*(((Inputs!$I$7+(((A184)+1)/2)*(Inputs!$J$7-Inputs!$I$7)))/Inputs!$K$7)^2)))^2+Inputs!$C$52^2-2*(Inputs!$C$52+((Inputs!$H$7+Inputs!$L$7*(((Inputs!$I$7+(((A184)+1)/2)*(Inputs!$J$7-Inputs!$I$7)))/Inputs!$K$7)^2)))*Inputs!$C$52*COS(SQRT(((Inputs!$I$7+(((A184)+1)/2)*(Inputs!$J$7-Inputs!$I$7)))^2+Inputs!$C$6^2)/Inputs!$C$52)))-((Inputs!$H$7+Inputs!$L$7*(((Inputs!$I$7+(((A184)+1)/2)*(Inputs!$J$7-Inputs!$I$7)))/Inputs!$K$7)^2)))*1000/Inputs!$C$12)</f>
        <v/>
      </c>
      <c r="AH184" s="9">
        <f>(((SQRT((Inputs!$C$52+((Inputs!$H$8+Inputs!$L$8*(((Inputs!$I$8+(((A184)+1)/2)*(Inputs!$J$8-Inputs!$I$8)))/Inputs!$K$8)^2)))^2+Inputs!$C$52^2-2*(Inputs!$C$52+((Inputs!$H$8+Inputs!$L$8*(((Inputs!$I$8+(((A184)+1)/2)*(Inputs!$J$8-Inputs!$I$8)))/Inputs!$K$8)^2)))*Inputs!$C$52*COS(SQRT(((Inputs!$I$8+(((A184)+1)/2)*(Inputs!$J$8-Inputs!$I$8)))^2+Inputs!$C$6^2)/Inputs!$C$52)))-((Inputs!$H$8+Inputs!$L$8*(((Inputs!$I$8+(((A184)+1)/2)*(Inputs!$J$8-Inputs!$I$8)))/Inputs!$K$8)^2)))*1000/Inputs!$C$12)</f>
        <v/>
      </c>
      <c r="AI184" s="9">
        <f>(((SQRT((Inputs!$C$52+((Inputs!$H$9+Inputs!$L$9*(((Inputs!$I$9+(((A184)+1)/2)*(Inputs!$J$9-Inputs!$I$9)))/Inputs!$K$9)^2)))^2+Inputs!$C$52^2-2*(Inputs!$C$52+((Inputs!$H$9+Inputs!$L$9*(((Inputs!$I$9+(((A184)+1)/2)*(Inputs!$J$9-Inputs!$I$9)))/Inputs!$K$9)^2)))*Inputs!$C$52*COS(SQRT(((Inputs!$I$9+(((A184)+1)/2)*(Inputs!$J$9-Inputs!$I$9)))^2+Inputs!$C$6^2)/Inputs!$C$52)))-((Inputs!$H$9+Inputs!$L$9*(((Inputs!$I$9+(((A184)+1)/2)*(Inputs!$J$9-Inputs!$I$9)))/Inputs!$K$9)^2)))*1000/Inputs!$C$12)</f>
        <v/>
      </c>
      <c r="AJ184" s="10" t="n"/>
      <c r="AK184" s="9">
        <f>A184</f>
        <v/>
      </c>
      <c r="AL184" s="9">
        <f>(-2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f>
        <v/>
      </c>
      <c r="AM184" s="9">
        <f>(-2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f>
        <v/>
      </c>
      <c r="AN184" s="9">
        <f>(-2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f>
        <v/>
      </c>
      <c r="AO184" s="9">
        <f>(-2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f>
        <v/>
      </c>
      <c r="AP184" s="10" t="n"/>
      <c r="AQ184" s="9">
        <f>A184</f>
        <v/>
      </c>
      <c r="AR184" s="9">
        <f>0</f>
        <v/>
      </c>
      <c r="AS184" s="9">
        <f>IF(OR(Inputs!$F$6=TRUE,Inputs!$F$6="TRUE",Inputs!$F$6=1),IF(OR(Inputs!$C$27=TRUE,Inputs!$C$27="TRUE",Inputs!$C$27=1),1,0)*(Inputs!$C$51*(115*EXP(-(((Inputs!$C$6)-25)^2)/(4.5^2))+70*EXP(-(((Inputs!$C$6)+38)^2)/(7^2))*(0.55+0.45*SIN(2*PI()*((Inputs!$I$6+(((A184)+1)/2)*(Inputs!$J$6-Inputs!$I$6)))/45))+24*SIN(2*PI()*(Inputs!$C$6)/9+((Inputs!$I$6+(((A184)+1)/2)*(Inputs!$J$6-Inputs!$I$6)))/18)*EXP(-(((Inputs!$C$6)+5)^2)/(22^2))+18*SIN(2*PI()*((Inputs!$I$6+(((A184)+1)/2)*(Inputs!$J$6-Inputs!$I$6)))/70))+Inputs!$C$28*EXP(-((((Inputs!$I$6+(((A184)+1)/2)*(Inputs!$J$6-Inputs!$I$6)))-Inputs!$C$29)^2)/(2*Inputs!$C$31^2))*EXP(-(((Inputs!$C$6)-Inputs!$C$30)^2)/(2*Inputs!$C$32^2))+-Inputs!$C$33*EXP(-((((((Inputs!$I$6+(((A184)+1)/2)*(Inputs!$J$6-Inputs!$I$6)))-Inputs!$C$34)^2)+(((Inputs!$C$6)-Inputs!$C$35)^2))/(2*Inputs!$C$36^2)))+Inputs!$C$37*(0.55*SIN(2*PI()*((Inputs!$I$6+(((A184)+1)/2)*(Inputs!$J$6-Inputs!$I$6)))/Inputs!$C$39)+0.35*COS(2*PI()*(Inputs!$C$6)/Inputs!$C$40)+0.2*SIN(2*PI()*(((Inputs!$I$6+(((A184)+1)/2)*(Inputs!$J$6-Inputs!$I$6)))+(Inputs!$C$6))/(0.5*(Inputs!$C$39+Inputs!$C$40))))+Inputs!$C$38*SIN(2*PI()*((Inputs!$I$6+(((A184)+1)/2)*(Inputs!$J$6-Inputs!$I$6)))/Inputs!$C$39)*SIN(2*PI()*(Inputs!$C$6)/Inputs!$C$40)+-Inputs!$C$41*EXP(-(((Inputs!$C$6)-Inputs!$C$43)^2)/(2*Inputs!$C$44^2))*EXP(-((((Inputs!$I$6+(((A184)+1)/2)*(Inputs!$J$6-Inputs!$I$6)))-Inputs!$C$42)^2)/(2*Inputs!$C$45^2))+Inputs!$C$48*(0.7*(0.45*SIN(2*PI()*((((Inputs!$I$6+(((A184)+1)/2)*(Inputs!$J$6-Inputs!$I$6)))/Inputs!$C$49)+Inputs!$C$47*0.137))+0.35*COS(2*PI()*(((Inputs!$C$6)/Inputs!$C$50)+Inputs!$C$47*0.173))+0.2*SIN(2*PI()*((((Inputs!$I$6+(((A184)+1)/2)*(Inputs!$J$6-Inputs!$I$6)))+(Inputs!$C$6))/(0.5*(Inputs!$C$49+Inputs!$C$50))+Inputs!$C$47*0.097)))+0.3*(2*((SIN((((Inputs!$I$6+(((A184)+1)/2)*(Inputs!$J$6-Inputs!$I$6)))*12.9898+(Inputs!$C$6)*78.233+Inputs!$C$47*37.719))*43758.5453)-INT((SIN((((Inputs!$I$6+(((A184)+1)/2)*(Inputs!$J$6-Inputs!$I$6)))*12.9898+(Inputs!$C$6)*78.233+Inputs!$C$47*37.719))*43758.5453)))-1))),NA())</f>
        <v/>
      </c>
      <c r="AT184" s="9">
        <f>IF(OR(Inputs!$F$7=TRUE,Inputs!$F$7="TRUE",Inputs!$F$7=1),IF(OR(Inputs!$C$27=TRUE,Inputs!$C$27="TRUE",Inputs!$C$27=1),1,0)*(Inputs!$C$51*(115*EXP(-(((Inputs!$C$6)-25)^2)/(4.5^2))+70*EXP(-(((Inputs!$C$6)+38)^2)/(7^2))*(0.55+0.45*SIN(2*PI()*((Inputs!$I$7+(((A184)+1)/2)*(Inputs!$J$7-Inputs!$I$7)))/45))+24*SIN(2*PI()*(Inputs!$C$6)/9+((Inputs!$I$7+(((A184)+1)/2)*(Inputs!$J$7-Inputs!$I$7)))/18)*EXP(-(((Inputs!$C$6)+5)^2)/(22^2))+18*SIN(2*PI()*((Inputs!$I$7+(((A184)+1)/2)*(Inputs!$J$7-Inputs!$I$7)))/70))+Inputs!$C$28*EXP(-((((Inputs!$I$7+(((A184)+1)/2)*(Inputs!$J$7-Inputs!$I$7)))-Inputs!$C$29)^2)/(2*Inputs!$C$31^2))*EXP(-(((Inputs!$C$6)-Inputs!$C$30)^2)/(2*Inputs!$C$32^2))+-Inputs!$C$33*EXP(-((((((Inputs!$I$7+(((A184)+1)/2)*(Inputs!$J$7-Inputs!$I$7)))-Inputs!$C$34)^2)+(((Inputs!$C$6)-Inputs!$C$35)^2))/(2*Inputs!$C$36^2)))+Inputs!$C$37*(0.55*SIN(2*PI()*((Inputs!$I$7+(((A184)+1)/2)*(Inputs!$J$7-Inputs!$I$7)))/Inputs!$C$39)+0.35*COS(2*PI()*(Inputs!$C$6)/Inputs!$C$40)+0.2*SIN(2*PI()*(((Inputs!$I$7+(((A184)+1)/2)*(Inputs!$J$7-Inputs!$I$7)))+(Inputs!$C$6))/(0.5*(Inputs!$C$39+Inputs!$C$40))))+Inputs!$C$38*SIN(2*PI()*((Inputs!$I$7+(((A184)+1)/2)*(Inputs!$J$7-Inputs!$I$7)))/Inputs!$C$39)*SIN(2*PI()*(Inputs!$C$6)/Inputs!$C$40)+-Inputs!$C$41*EXP(-(((Inputs!$C$6)-Inputs!$C$43)^2)/(2*Inputs!$C$44^2))*EXP(-((((Inputs!$I$7+(((A184)+1)/2)*(Inputs!$J$7-Inputs!$I$7)))-Inputs!$C$42)^2)/(2*Inputs!$C$45^2))+Inputs!$C$48*(0.7*(0.45*SIN(2*PI()*((((Inputs!$I$7+(((A184)+1)/2)*(Inputs!$J$7-Inputs!$I$7)))/Inputs!$C$49)+Inputs!$C$47*0.137))+0.35*COS(2*PI()*(((Inputs!$C$6)/Inputs!$C$50)+Inputs!$C$47*0.173))+0.2*SIN(2*PI()*((((Inputs!$I$7+(((A184)+1)/2)*(Inputs!$J$7-Inputs!$I$7)))+(Inputs!$C$6))/(0.5*(Inputs!$C$49+Inputs!$C$50))+Inputs!$C$47*0.097)))+0.3*(2*((SIN((((Inputs!$I$7+(((A184)+1)/2)*(Inputs!$J$7-Inputs!$I$7)))*12.9898+(Inputs!$C$6)*78.233+Inputs!$C$47*37.719))*43758.5453)-INT((SIN((((Inputs!$I$7+(((A184)+1)/2)*(Inputs!$J$7-Inputs!$I$7)))*12.9898+(Inputs!$C$6)*78.233+Inputs!$C$47*37.719))*43758.5453)))-1))),NA())</f>
        <v/>
      </c>
      <c r="AU184" s="9">
        <f>IF(OR(Inputs!$F$8=TRUE,Inputs!$F$8="TRUE",Inputs!$F$8=1),IF(OR(Inputs!$C$27=TRUE,Inputs!$C$27="TRUE",Inputs!$C$27=1),1,0)*(Inputs!$C$51*(115*EXP(-(((Inputs!$C$6)-25)^2)/(4.5^2))+70*EXP(-(((Inputs!$C$6)+38)^2)/(7^2))*(0.55+0.45*SIN(2*PI()*((Inputs!$I$8+(((A184)+1)/2)*(Inputs!$J$8-Inputs!$I$8)))/45))+24*SIN(2*PI()*(Inputs!$C$6)/9+((Inputs!$I$8+(((A184)+1)/2)*(Inputs!$J$8-Inputs!$I$8)))/18)*EXP(-(((Inputs!$C$6)+5)^2)/(22^2))+18*SIN(2*PI()*((Inputs!$I$8+(((A184)+1)/2)*(Inputs!$J$8-Inputs!$I$8)))/70))+Inputs!$C$28*EXP(-((((Inputs!$I$8+(((A184)+1)/2)*(Inputs!$J$8-Inputs!$I$8)))-Inputs!$C$29)^2)/(2*Inputs!$C$31^2))*EXP(-(((Inputs!$C$6)-Inputs!$C$30)^2)/(2*Inputs!$C$32^2))+-Inputs!$C$33*EXP(-((((((Inputs!$I$8+(((A184)+1)/2)*(Inputs!$J$8-Inputs!$I$8)))-Inputs!$C$34)^2)+(((Inputs!$C$6)-Inputs!$C$35)^2))/(2*Inputs!$C$36^2)))+Inputs!$C$37*(0.55*SIN(2*PI()*((Inputs!$I$8+(((A184)+1)/2)*(Inputs!$J$8-Inputs!$I$8)))/Inputs!$C$39)+0.35*COS(2*PI()*(Inputs!$C$6)/Inputs!$C$40)+0.2*SIN(2*PI()*(((Inputs!$I$8+(((A184)+1)/2)*(Inputs!$J$8-Inputs!$I$8)))+(Inputs!$C$6))/(0.5*(Inputs!$C$39+Inputs!$C$40))))+Inputs!$C$38*SIN(2*PI()*((Inputs!$I$8+(((A184)+1)/2)*(Inputs!$J$8-Inputs!$I$8)))/Inputs!$C$39)*SIN(2*PI()*(Inputs!$C$6)/Inputs!$C$40)+-Inputs!$C$41*EXP(-(((Inputs!$C$6)-Inputs!$C$43)^2)/(2*Inputs!$C$44^2))*EXP(-((((Inputs!$I$8+(((A184)+1)/2)*(Inputs!$J$8-Inputs!$I$8)))-Inputs!$C$42)^2)/(2*Inputs!$C$45^2))+Inputs!$C$48*(0.7*(0.45*SIN(2*PI()*((((Inputs!$I$8+(((A184)+1)/2)*(Inputs!$J$8-Inputs!$I$8)))/Inputs!$C$49)+Inputs!$C$47*0.137))+0.35*COS(2*PI()*(((Inputs!$C$6)/Inputs!$C$50)+Inputs!$C$47*0.173))+0.2*SIN(2*PI()*((((Inputs!$I$8+(((A184)+1)/2)*(Inputs!$J$8-Inputs!$I$8)))+(Inputs!$C$6))/(0.5*(Inputs!$C$49+Inputs!$C$50))+Inputs!$C$47*0.097)))+0.3*(2*((SIN((((Inputs!$I$8+(((A184)+1)/2)*(Inputs!$J$8-Inputs!$I$8)))*12.9898+(Inputs!$C$6)*78.233+Inputs!$C$47*37.719))*43758.5453)-INT((SIN((((Inputs!$I$8+(((A184)+1)/2)*(Inputs!$J$8-Inputs!$I$8)))*12.9898+(Inputs!$C$6)*78.233+Inputs!$C$47*37.719))*43758.5453)))-1))),NA())</f>
        <v/>
      </c>
      <c r="AV184" s="9">
        <f>IF(OR(Inputs!$F$9=TRUE,Inputs!$F$9="TRUE",Inputs!$F$9=1),IF(OR(Inputs!$C$27=TRUE,Inputs!$C$27="TRUE",Inputs!$C$27=1),1,0)*(Inputs!$C$51*(115*EXP(-(((Inputs!$C$6)-25)^2)/(4.5^2))+70*EXP(-(((Inputs!$C$6)+38)^2)/(7^2))*(0.55+0.45*SIN(2*PI()*((Inputs!$I$9+(((A184)+1)/2)*(Inputs!$J$9-Inputs!$I$9)))/45))+24*SIN(2*PI()*(Inputs!$C$6)/9+((Inputs!$I$9+(((A184)+1)/2)*(Inputs!$J$9-Inputs!$I$9)))/18)*EXP(-(((Inputs!$C$6)+5)^2)/(22^2))+18*SIN(2*PI()*((Inputs!$I$9+(((A184)+1)/2)*(Inputs!$J$9-Inputs!$I$9)))/70))+Inputs!$C$28*EXP(-((((Inputs!$I$9+(((A184)+1)/2)*(Inputs!$J$9-Inputs!$I$9)))-Inputs!$C$29)^2)/(2*Inputs!$C$31^2))*EXP(-(((Inputs!$C$6)-Inputs!$C$30)^2)/(2*Inputs!$C$32^2))+-Inputs!$C$33*EXP(-((((((Inputs!$I$9+(((A184)+1)/2)*(Inputs!$J$9-Inputs!$I$9)))-Inputs!$C$34)^2)+(((Inputs!$C$6)-Inputs!$C$35)^2))/(2*Inputs!$C$36^2)))+Inputs!$C$37*(0.55*SIN(2*PI()*((Inputs!$I$9+(((A184)+1)/2)*(Inputs!$J$9-Inputs!$I$9)))/Inputs!$C$39)+0.35*COS(2*PI()*(Inputs!$C$6)/Inputs!$C$40)+0.2*SIN(2*PI()*(((Inputs!$I$9+(((A184)+1)/2)*(Inputs!$J$9-Inputs!$I$9)))+(Inputs!$C$6))/(0.5*(Inputs!$C$39+Inputs!$C$40))))+Inputs!$C$38*SIN(2*PI()*((Inputs!$I$9+(((A184)+1)/2)*(Inputs!$J$9-Inputs!$I$9)))/Inputs!$C$39)*SIN(2*PI()*(Inputs!$C$6)/Inputs!$C$40)+-Inputs!$C$41*EXP(-(((Inputs!$C$6)-Inputs!$C$43)^2)/(2*Inputs!$C$44^2))*EXP(-((((Inputs!$I$9+(((A184)+1)/2)*(Inputs!$J$9-Inputs!$I$9)))-Inputs!$C$42)^2)/(2*Inputs!$C$45^2))+Inputs!$C$48*(0.7*(0.45*SIN(2*PI()*((((Inputs!$I$9+(((A184)+1)/2)*(Inputs!$J$9-Inputs!$I$9)))/Inputs!$C$49)+Inputs!$C$47*0.137))+0.35*COS(2*PI()*(((Inputs!$C$6)/Inputs!$C$50)+Inputs!$C$47*0.173))+0.2*SIN(2*PI()*((((Inputs!$I$9+(((A184)+1)/2)*(Inputs!$J$9-Inputs!$I$9)))+(Inputs!$C$6))/(0.5*(Inputs!$C$49+Inputs!$C$50))+Inputs!$C$47*0.097)))+0.3*(2*((SIN((((Inputs!$I$9+(((A184)+1)/2)*(Inputs!$J$9-Inputs!$I$9)))*12.9898+(Inputs!$C$6)*78.233+Inputs!$C$47*37.719))*43758.5453)-INT((SIN((((Inputs!$I$9+(((A184)+1)/2)*(Inputs!$J$9-Inputs!$I$9)))*12.9898+(Inputs!$C$6)*78.233+Inputs!$C$47*37.719))*43758.5453)))-1))),NA())</f>
        <v/>
      </c>
      <c r="AW184" s="10" t="n"/>
      <c r="AX184" s="9">
        <f>A184</f>
        <v/>
      </c>
      <c r="AY184" s="9">
        <f>0</f>
        <v/>
      </c>
      <c r="AZ184" s="9">
        <f>IF(OR(Inputs!$F$6=TRUE,Inputs!$F$6="TRUE",Inputs!$F$6=1),(Inputs!$H$6+Inputs!$L$6*(((Inputs!$I$6+(((A184)+1)/2)*(Inputs!$J$6-Inputs!$I$6)))/Inputs!$K$6)^2),NA())</f>
        <v/>
      </c>
      <c r="BA184" s="9">
        <f>IF(OR(Inputs!$F$7=TRUE,Inputs!$F$7="TRUE",Inputs!$F$7=1),(Inputs!$H$7+Inputs!$L$7*(((Inputs!$I$7+(((A184)+1)/2)*(Inputs!$J$7-Inputs!$I$7)))/Inputs!$K$7)^2),NA())</f>
        <v/>
      </c>
      <c r="BB184" s="9">
        <f>IF(OR(Inputs!$F$8=TRUE,Inputs!$F$8="TRUE",Inputs!$F$8=1),(Inputs!$H$8+Inputs!$L$8*(((Inputs!$I$8+(((A184)+1)/2)*(Inputs!$J$8-Inputs!$I$8)))/Inputs!$K$8)^2),NA())</f>
        <v/>
      </c>
      <c r="BC184" s="9">
        <f>IF(OR(Inputs!$F$9=TRUE,Inputs!$F$9="TRUE",Inputs!$F$9=1),(Inputs!$H$9+Inputs!$L$9*(((Inputs!$I$9+(((A184)+1)/2)*(Inputs!$J$9-Inputs!$I$9)))/Inputs!$K$9)^2),NA())</f>
        <v/>
      </c>
      <c r="BD184" s="10" t="n"/>
      <c r="BE184" s="9">
        <f>A184</f>
        <v/>
      </c>
      <c r="BF184" s="9">
        <f>0</f>
        <v/>
      </c>
      <c r="BG184" s="9">
        <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f>
        <v/>
      </c>
      <c r="BH184" s="9">
        <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f>
        <v/>
      </c>
      <c r="BI184" s="9">
        <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f>
        <v/>
      </c>
      <c r="BJ184" s="9">
        <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f>
        <v/>
      </c>
    </row>
    <row r="185">
      <c r="A185" s="9">
        <f>ROUND(-1+183*2/240,3)</f>
        <v/>
      </c>
      <c r="B185" s="9">
        <f>IF(OR(Inputs!$F$6=TRUE,Inputs!$F$6="TRUE",Inputs!$F$6=1),(Inputs!$H$6+Inputs!$L$6*(((Inputs!$I$6+(((A185)+1)/2)*(Inputs!$J$6-Inputs!$I$6)))/Inputs!$K$6)^2),NA())</f>
        <v/>
      </c>
      <c r="C185" s="9">
        <f>IF(OR(Inputs!$F$7=TRUE,Inputs!$F$7="TRUE",Inputs!$F$7=1),(Inputs!$H$7+Inputs!$L$7*(((Inputs!$I$7+(((A185)+1)/2)*(Inputs!$J$7-Inputs!$I$7)))/Inputs!$K$7)^2),NA())</f>
        <v/>
      </c>
      <c r="D185" s="9">
        <f>IF(OR(Inputs!$F$8=TRUE,Inputs!$F$8="TRUE",Inputs!$F$8=1),(Inputs!$H$8+Inputs!$L$8*(((Inputs!$I$8+(((A185)+1)/2)*(Inputs!$J$8-Inputs!$I$8)))/Inputs!$K$8)^2),NA())</f>
        <v/>
      </c>
      <c r="E185" s="9">
        <f>IF(OR(Inputs!$F$9=TRUE,Inputs!$F$9="TRUE",Inputs!$F$9=1),(Inputs!$H$9+Inputs!$L$9*(((Inputs!$I$9+(((A185)+1)/2)*(Inputs!$J$9-Inputs!$I$9)))/Inputs!$K$9)^2),NA())</f>
        <v/>
      </c>
      <c r="F185" s="10" t="n"/>
      <c r="G185" s="9">
        <f>A185</f>
        <v/>
      </c>
      <c r="H185" s="9">
        <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f>
        <v/>
      </c>
      <c r="I185" s="9">
        <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f>
        <v/>
      </c>
      <c r="J185" s="9">
        <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f>
        <v/>
      </c>
      <c r="K185" s="9">
        <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f>
        <v/>
      </c>
      <c r="L185" s="10" t="n"/>
      <c r="M185" s="9">
        <f>A185</f>
        <v/>
      </c>
      <c r="N185" s="9">
        <f>IF(OR(Inputs!$F$6=TRUE,Inputs!$F$6="TRUE",Inputs!$F$6=1),(-2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NA())</f>
        <v/>
      </c>
      <c r="O185" s="9">
        <f>IF(OR(Inputs!$F$7=TRUE,Inputs!$F$7="TRUE",Inputs!$F$7=1),(-2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NA())</f>
        <v/>
      </c>
      <c r="P185" s="9">
        <f>IF(OR(Inputs!$F$8=TRUE,Inputs!$F$8="TRUE",Inputs!$F$8=1),(-2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NA())</f>
        <v/>
      </c>
      <c r="Q185" s="9">
        <f>IF(OR(Inputs!$F$9=TRUE,Inputs!$F$9="TRUE",Inputs!$F$9=1),(-2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NA())</f>
        <v/>
      </c>
      <c r="R185" s="10" t="n"/>
      <c r="S185" s="9">
        <f>A185</f>
        <v/>
      </c>
      <c r="T185" s="9">
        <f>(Inputs!$I$6+(((A185)+1)/2)*(Inputs!$J$6-Inputs!$I$6))</f>
        <v/>
      </c>
      <c r="U185" s="9">
        <f>(Inputs!$I$7+(((A185)+1)/2)*(Inputs!$J$7-Inputs!$I$7))</f>
        <v/>
      </c>
      <c r="V185" s="9">
        <f>(Inputs!$I$8+(((A185)+1)/2)*(Inputs!$J$8-Inputs!$I$8))</f>
        <v/>
      </c>
      <c r="W185" s="9">
        <f>(Inputs!$I$9+(((A185)+1)/2)*(Inputs!$J$9-Inputs!$I$9))</f>
        <v/>
      </c>
      <c r="X185" s="10" t="n"/>
      <c r="Y185" s="9">
        <f>A185</f>
        <v/>
      </c>
      <c r="Z185" s="9">
        <f>(Inputs!$H$6+Inputs!$L$6*(((Inputs!$I$6+(((A185)+1)/2)*(Inputs!$J$6-Inputs!$I$6)))/Inputs!$K$6)^2)</f>
        <v/>
      </c>
      <c r="AA185" s="9">
        <f>(Inputs!$H$7+Inputs!$L$7*(((Inputs!$I$7+(((A185)+1)/2)*(Inputs!$J$7-Inputs!$I$7)))/Inputs!$K$7)^2)</f>
        <v/>
      </c>
      <c r="AB185" s="9">
        <f>(Inputs!$H$8+Inputs!$L$8*(((Inputs!$I$8+(((A185)+1)/2)*(Inputs!$J$8-Inputs!$I$8)))/Inputs!$K$8)^2)</f>
        <v/>
      </c>
      <c r="AC185" s="9">
        <f>(Inputs!$H$9+Inputs!$L$9*(((Inputs!$I$9+(((A185)+1)/2)*(Inputs!$J$9-Inputs!$I$9)))/Inputs!$K$9)^2)</f>
        <v/>
      </c>
      <c r="AD185" s="10" t="n"/>
      <c r="AE185" s="9">
        <f>A185</f>
        <v/>
      </c>
      <c r="AF185" s="9">
        <f>(((SQRT((Inputs!$C$52+((Inputs!$H$6+Inputs!$L$6*(((Inputs!$I$6+(((A185)+1)/2)*(Inputs!$J$6-Inputs!$I$6)))/Inputs!$K$6)^2)))^2+Inputs!$C$52^2-2*(Inputs!$C$52+((Inputs!$H$6+Inputs!$L$6*(((Inputs!$I$6+(((A185)+1)/2)*(Inputs!$J$6-Inputs!$I$6)))/Inputs!$K$6)^2)))*Inputs!$C$52*COS(SQRT(((Inputs!$I$6+(((A185)+1)/2)*(Inputs!$J$6-Inputs!$I$6)))^2+Inputs!$C$6^2)/Inputs!$C$52)))-((Inputs!$H$6+Inputs!$L$6*(((Inputs!$I$6+(((A185)+1)/2)*(Inputs!$J$6-Inputs!$I$6)))/Inputs!$K$6)^2)))*1000/Inputs!$C$12)</f>
        <v/>
      </c>
      <c r="AG185" s="9">
        <f>(((SQRT((Inputs!$C$52+((Inputs!$H$7+Inputs!$L$7*(((Inputs!$I$7+(((A185)+1)/2)*(Inputs!$J$7-Inputs!$I$7)))/Inputs!$K$7)^2)))^2+Inputs!$C$52^2-2*(Inputs!$C$52+((Inputs!$H$7+Inputs!$L$7*(((Inputs!$I$7+(((A185)+1)/2)*(Inputs!$J$7-Inputs!$I$7)))/Inputs!$K$7)^2)))*Inputs!$C$52*COS(SQRT(((Inputs!$I$7+(((A185)+1)/2)*(Inputs!$J$7-Inputs!$I$7)))^2+Inputs!$C$6^2)/Inputs!$C$52)))-((Inputs!$H$7+Inputs!$L$7*(((Inputs!$I$7+(((A185)+1)/2)*(Inputs!$J$7-Inputs!$I$7)))/Inputs!$K$7)^2)))*1000/Inputs!$C$12)</f>
        <v/>
      </c>
      <c r="AH185" s="9">
        <f>(((SQRT((Inputs!$C$52+((Inputs!$H$8+Inputs!$L$8*(((Inputs!$I$8+(((A185)+1)/2)*(Inputs!$J$8-Inputs!$I$8)))/Inputs!$K$8)^2)))^2+Inputs!$C$52^2-2*(Inputs!$C$52+((Inputs!$H$8+Inputs!$L$8*(((Inputs!$I$8+(((A185)+1)/2)*(Inputs!$J$8-Inputs!$I$8)))/Inputs!$K$8)^2)))*Inputs!$C$52*COS(SQRT(((Inputs!$I$8+(((A185)+1)/2)*(Inputs!$J$8-Inputs!$I$8)))^2+Inputs!$C$6^2)/Inputs!$C$52)))-((Inputs!$H$8+Inputs!$L$8*(((Inputs!$I$8+(((A185)+1)/2)*(Inputs!$J$8-Inputs!$I$8)))/Inputs!$K$8)^2)))*1000/Inputs!$C$12)</f>
        <v/>
      </c>
      <c r="AI185" s="9">
        <f>(((SQRT((Inputs!$C$52+((Inputs!$H$9+Inputs!$L$9*(((Inputs!$I$9+(((A185)+1)/2)*(Inputs!$J$9-Inputs!$I$9)))/Inputs!$K$9)^2)))^2+Inputs!$C$52^2-2*(Inputs!$C$52+((Inputs!$H$9+Inputs!$L$9*(((Inputs!$I$9+(((A185)+1)/2)*(Inputs!$J$9-Inputs!$I$9)))/Inputs!$K$9)^2)))*Inputs!$C$52*COS(SQRT(((Inputs!$I$9+(((A185)+1)/2)*(Inputs!$J$9-Inputs!$I$9)))^2+Inputs!$C$6^2)/Inputs!$C$52)))-((Inputs!$H$9+Inputs!$L$9*(((Inputs!$I$9+(((A185)+1)/2)*(Inputs!$J$9-Inputs!$I$9)))/Inputs!$K$9)^2)))*1000/Inputs!$C$12)</f>
        <v/>
      </c>
      <c r="AJ185" s="10" t="n"/>
      <c r="AK185" s="9">
        <f>A185</f>
        <v/>
      </c>
      <c r="AL185" s="9">
        <f>(-2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f>
        <v/>
      </c>
      <c r="AM185" s="9">
        <f>(-2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f>
        <v/>
      </c>
      <c r="AN185" s="9">
        <f>(-2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f>
        <v/>
      </c>
      <c r="AO185" s="9">
        <f>(-2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f>
        <v/>
      </c>
      <c r="AP185" s="10" t="n"/>
      <c r="AQ185" s="9">
        <f>A185</f>
        <v/>
      </c>
      <c r="AR185" s="9">
        <f>0</f>
        <v/>
      </c>
      <c r="AS185" s="9">
        <f>IF(OR(Inputs!$F$6=TRUE,Inputs!$F$6="TRUE",Inputs!$F$6=1),IF(OR(Inputs!$C$27=TRUE,Inputs!$C$27="TRUE",Inputs!$C$27=1),1,0)*(Inputs!$C$51*(115*EXP(-(((Inputs!$C$6)-25)^2)/(4.5^2))+70*EXP(-(((Inputs!$C$6)+38)^2)/(7^2))*(0.55+0.45*SIN(2*PI()*((Inputs!$I$6+(((A185)+1)/2)*(Inputs!$J$6-Inputs!$I$6)))/45))+24*SIN(2*PI()*(Inputs!$C$6)/9+((Inputs!$I$6+(((A185)+1)/2)*(Inputs!$J$6-Inputs!$I$6)))/18)*EXP(-(((Inputs!$C$6)+5)^2)/(22^2))+18*SIN(2*PI()*((Inputs!$I$6+(((A185)+1)/2)*(Inputs!$J$6-Inputs!$I$6)))/70))+Inputs!$C$28*EXP(-((((Inputs!$I$6+(((A185)+1)/2)*(Inputs!$J$6-Inputs!$I$6)))-Inputs!$C$29)^2)/(2*Inputs!$C$31^2))*EXP(-(((Inputs!$C$6)-Inputs!$C$30)^2)/(2*Inputs!$C$32^2))+-Inputs!$C$33*EXP(-((((((Inputs!$I$6+(((A185)+1)/2)*(Inputs!$J$6-Inputs!$I$6)))-Inputs!$C$34)^2)+(((Inputs!$C$6)-Inputs!$C$35)^2))/(2*Inputs!$C$36^2)))+Inputs!$C$37*(0.55*SIN(2*PI()*((Inputs!$I$6+(((A185)+1)/2)*(Inputs!$J$6-Inputs!$I$6)))/Inputs!$C$39)+0.35*COS(2*PI()*(Inputs!$C$6)/Inputs!$C$40)+0.2*SIN(2*PI()*(((Inputs!$I$6+(((A185)+1)/2)*(Inputs!$J$6-Inputs!$I$6)))+(Inputs!$C$6))/(0.5*(Inputs!$C$39+Inputs!$C$40))))+Inputs!$C$38*SIN(2*PI()*((Inputs!$I$6+(((A185)+1)/2)*(Inputs!$J$6-Inputs!$I$6)))/Inputs!$C$39)*SIN(2*PI()*(Inputs!$C$6)/Inputs!$C$40)+-Inputs!$C$41*EXP(-(((Inputs!$C$6)-Inputs!$C$43)^2)/(2*Inputs!$C$44^2))*EXP(-((((Inputs!$I$6+(((A185)+1)/2)*(Inputs!$J$6-Inputs!$I$6)))-Inputs!$C$42)^2)/(2*Inputs!$C$45^2))+Inputs!$C$48*(0.7*(0.45*SIN(2*PI()*((((Inputs!$I$6+(((A185)+1)/2)*(Inputs!$J$6-Inputs!$I$6)))/Inputs!$C$49)+Inputs!$C$47*0.137))+0.35*COS(2*PI()*(((Inputs!$C$6)/Inputs!$C$50)+Inputs!$C$47*0.173))+0.2*SIN(2*PI()*((((Inputs!$I$6+(((A185)+1)/2)*(Inputs!$J$6-Inputs!$I$6)))+(Inputs!$C$6))/(0.5*(Inputs!$C$49+Inputs!$C$50))+Inputs!$C$47*0.097)))+0.3*(2*((SIN((((Inputs!$I$6+(((A185)+1)/2)*(Inputs!$J$6-Inputs!$I$6)))*12.9898+(Inputs!$C$6)*78.233+Inputs!$C$47*37.719))*43758.5453)-INT((SIN((((Inputs!$I$6+(((A185)+1)/2)*(Inputs!$J$6-Inputs!$I$6)))*12.9898+(Inputs!$C$6)*78.233+Inputs!$C$47*37.719))*43758.5453)))-1))),NA())</f>
        <v/>
      </c>
      <c r="AT185" s="9">
        <f>IF(OR(Inputs!$F$7=TRUE,Inputs!$F$7="TRUE",Inputs!$F$7=1),IF(OR(Inputs!$C$27=TRUE,Inputs!$C$27="TRUE",Inputs!$C$27=1),1,0)*(Inputs!$C$51*(115*EXP(-(((Inputs!$C$6)-25)^2)/(4.5^2))+70*EXP(-(((Inputs!$C$6)+38)^2)/(7^2))*(0.55+0.45*SIN(2*PI()*((Inputs!$I$7+(((A185)+1)/2)*(Inputs!$J$7-Inputs!$I$7)))/45))+24*SIN(2*PI()*(Inputs!$C$6)/9+((Inputs!$I$7+(((A185)+1)/2)*(Inputs!$J$7-Inputs!$I$7)))/18)*EXP(-(((Inputs!$C$6)+5)^2)/(22^2))+18*SIN(2*PI()*((Inputs!$I$7+(((A185)+1)/2)*(Inputs!$J$7-Inputs!$I$7)))/70))+Inputs!$C$28*EXP(-((((Inputs!$I$7+(((A185)+1)/2)*(Inputs!$J$7-Inputs!$I$7)))-Inputs!$C$29)^2)/(2*Inputs!$C$31^2))*EXP(-(((Inputs!$C$6)-Inputs!$C$30)^2)/(2*Inputs!$C$32^2))+-Inputs!$C$33*EXP(-((((((Inputs!$I$7+(((A185)+1)/2)*(Inputs!$J$7-Inputs!$I$7)))-Inputs!$C$34)^2)+(((Inputs!$C$6)-Inputs!$C$35)^2))/(2*Inputs!$C$36^2)))+Inputs!$C$37*(0.55*SIN(2*PI()*((Inputs!$I$7+(((A185)+1)/2)*(Inputs!$J$7-Inputs!$I$7)))/Inputs!$C$39)+0.35*COS(2*PI()*(Inputs!$C$6)/Inputs!$C$40)+0.2*SIN(2*PI()*(((Inputs!$I$7+(((A185)+1)/2)*(Inputs!$J$7-Inputs!$I$7)))+(Inputs!$C$6))/(0.5*(Inputs!$C$39+Inputs!$C$40))))+Inputs!$C$38*SIN(2*PI()*((Inputs!$I$7+(((A185)+1)/2)*(Inputs!$J$7-Inputs!$I$7)))/Inputs!$C$39)*SIN(2*PI()*(Inputs!$C$6)/Inputs!$C$40)+-Inputs!$C$41*EXP(-(((Inputs!$C$6)-Inputs!$C$43)^2)/(2*Inputs!$C$44^2))*EXP(-((((Inputs!$I$7+(((A185)+1)/2)*(Inputs!$J$7-Inputs!$I$7)))-Inputs!$C$42)^2)/(2*Inputs!$C$45^2))+Inputs!$C$48*(0.7*(0.45*SIN(2*PI()*((((Inputs!$I$7+(((A185)+1)/2)*(Inputs!$J$7-Inputs!$I$7)))/Inputs!$C$49)+Inputs!$C$47*0.137))+0.35*COS(2*PI()*(((Inputs!$C$6)/Inputs!$C$50)+Inputs!$C$47*0.173))+0.2*SIN(2*PI()*((((Inputs!$I$7+(((A185)+1)/2)*(Inputs!$J$7-Inputs!$I$7)))+(Inputs!$C$6))/(0.5*(Inputs!$C$49+Inputs!$C$50))+Inputs!$C$47*0.097)))+0.3*(2*((SIN((((Inputs!$I$7+(((A185)+1)/2)*(Inputs!$J$7-Inputs!$I$7)))*12.9898+(Inputs!$C$6)*78.233+Inputs!$C$47*37.719))*43758.5453)-INT((SIN((((Inputs!$I$7+(((A185)+1)/2)*(Inputs!$J$7-Inputs!$I$7)))*12.9898+(Inputs!$C$6)*78.233+Inputs!$C$47*37.719))*43758.5453)))-1))),NA())</f>
        <v/>
      </c>
      <c r="AU185" s="9">
        <f>IF(OR(Inputs!$F$8=TRUE,Inputs!$F$8="TRUE",Inputs!$F$8=1),IF(OR(Inputs!$C$27=TRUE,Inputs!$C$27="TRUE",Inputs!$C$27=1),1,0)*(Inputs!$C$51*(115*EXP(-(((Inputs!$C$6)-25)^2)/(4.5^2))+70*EXP(-(((Inputs!$C$6)+38)^2)/(7^2))*(0.55+0.45*SIN(2*PI()*((Inputs!$I$8+(((A185)+1)/2)*(Inputs!$J$8-Inputs!$I$8)))/45))+24*SIN(2*PI()*(Inputs!$C$6)/9+((Inputs!$I$8+(((A185)+1)/2)*(Inputs!$J$8-Inputs!$I$8)))/18)*EXP(-(((Inputs!$C$6)+5)^2)/(22^2))+18*SIN(2*PI()*((Inputs!$I$8+(((A185)+1)/2)*(Inputs!$J$8-Inputs!$I$8)))/70))+Inputs!$C$28*EXP(-((((Inputs!$I$8+(((A185)+1)/2)*(Inputs!$J$8-Inputs!$I$8)))-Inputs!$C$29)^2)/(2*Inputs!$C$31^2))*EXP(-(((Inputs!$C$6)-Inputs!$C$30)^2)/(2*Inputs!$C$32^2))+-Inputs!$C$33*EXP(-((((((Inputs!$I$8+(((A185)+1)/2)*(Inputs!$J$8-Inputs!$I$8)))-Inputs!$C$34)^2)+(((Inputs!$C$6)-Inputs!$C$35)^2))/(2*Inputs!$C$36^2)))+Inputs!$C$37*(0.55*SIN(2*PI()*((Inputs!$I$8+(((A185)+1)/2)*(Inputs!$J$8-Inputs!$I$8)))/Inputs!$C$39)+0.35*COS(2*PI()*(Inputs!$C$6)/Inputs!$C$40)+0.2*SIN(2*PI()*(((Inputs!$I$8+(((A185)+1)/2)*(Inputs!$J$8-Inputs!$I$8)))+(Inputs!$C$6))/(0.5*(Inputs!$C$39+Inputs!$C$40))))+Inputs!$C$38*SIN(2*PI()*((Inputs!$I$8+(((A185)+1)/2)*(Inputs!$J$8-Inputs!$I$8)))/Inputs!$C$39)*SIN(2*PI()*(Inputs!$C$6)/Inputs!$C$40)+-Inputs!$C$41*EXP(-(((Inputs!$C$6)-Inputs!$C$43)^2)/(2*Inputs!$C$44^2))*EXP(-((((Inputs!$I$8+(((A185)+1)/2)*(Inputs!$J$8-Inputs!$I$8)))-Inputs!$C$42)^2)/(2*Inputs!$C$45^2))+Inputs!$C$48*(0.7*(0.45*SIN(2*PI()*((((Inputs!$I$8+(((A185)+1)/2)*(Inputs!$J$8-Inputs!$I$8)))/Inputs!$C$49)+Inputs!$C$47*0.137))+0.35*COS(2*PI()*(((Inputs!$C$6)/Inputs!$C$50)+Inputs!$C$47*0.173))+0.2*SIN(2*PI()*((((Inputs!$I$8+(((A185)+1)/2)*(Inputs!$J$8-Inputs!$I$8)))+(Inputs!$C$6))/(0.5*(Inputs!$C$49+Inputs!$C$50))+Inputs!$C$47*0.097)))+0.3*(2*((SIN((((Inputs!$I$8+(((A185)+1)/2)*(Inputs!$J$8-Inputs!$I$8)))*12.9898+(Inputs!$C$6)*78.233+Inputs!$C$47*37.719))*43758.5453)-INT((SIN((((Inputs!$I$8+(((A185)+1)/2)*(Inputs!$J$8-Inputs!$I$8)))*12.9898+(Inputs!$C$6)*78.233+Inputs!$C$47*37.719))*43758.5453)))-1))),NA())</f>
        <v/>
      </c>
      <c r="AV185" s="9">
        <f>IF(OR(Inputs!$F$9=TRUE,Inputs!$F$9="TRUE",Inputs!$F$9=1),IF(OR(Inputs!$C$27=TRUE,Inputs!$C$27="TRUE",Inputs!$C$27=1),1,0)*(Inputs!$C$51*(115*EXP(-(((Inputs!$C$6)-25)^2)/(4.5^2))+70*EXP(-(((Inputs!$C$6)+38)^2)/(7^2))*(0.55+0.45*SIN(2*PI()*((Inputs!$I$9+(((A185)+1)/2)*(Inputs!$J$9-Inputs!$I$9)))/45))+24*SIN(2*PI()*(Inputs!$C$6)/9+((Inputs!$I$9+(((A185)+1)/2)*(Inputs!$J$9-Inputs!$I$9)))/18)*EXP(-(((Inputs!$C$6)+5)^2)/(22^2))+18*SIN(2*PI()*((Inputs!$I$9+(((A185)+1)/2)*(Inputs!$J$9-Inputs!$I$9)))/70))+Inputs!$C$28*EXP(-((((Inputs!$I$9+(((A185)+1)/2)*(Inputs!$J$9-Inputs!$I$9)))-Inputs!$C$29)^2)/(2*Inputs!$C$31^2))*EXP(-(((Inputs!$C$6)-Inputs!$C$30)^2)/(2*Inputs!$C$32^2))+-Inputs!$C$33*EXP(-((((((Inputs!$I$9+(((A185)+1)/2)*(Inputs!$J$9-Inputs!$I$9)))-Inputs!$C$34)^2)+(((Inputs!$C$6)-Inputs!$C$35)^2))/(2*Inputs!$C$36^2)))+Inputs!$C$37*(0.55*SIN(2*PI()*((Inputs!$I$9+(((A185)+1)/2)*(Inputs!$J$9-Inputs!$I$9)))/Inputs!$C$39)+0.35*COS(2*PI()*(Inputs!$C$6)/Inputs!$C$40)+0.2*SIN(2*PI()*(((Inputs!$I$9+(((A185)+1)/2)*(Inputs!$J$9-Inputs!$I$9)))+(Inputs!$C$6))/(0.5*(Inputs!$C$39+Inputs!$C$40))))+Inputs!$C$38*SIN(2*PI()*((Inputs!$I$9+(((A185)+1)/2)*(Inputs!$J$9-Inputs!$I$9)))/Inputs!$C$39)*SIN(2*PI()*(Inputs!$C$6)/Inputs!$C$40)+-Inputs!$C$41*EXP(-(((Inputs!$C$6)-Inputs!$C$43)^2)/(2*Inputs!$C$44^2))*EXP(-((((Inputs!$I$9+(((A185)+1)/2)*(Inputs!$J$9-Inputs!$I$9)))-Inputs!$C$42)^2)/(2*Inputs!$C$45^2))+Inputs!$C$48*(0.7*(0.45*SIN(2*PI()*((((Inputs!$I$9+(((A185)+1)/2)*(Inputs!$J$9-Inputs!$I$9)))/Inputs!$C$49)+Inputs!$C$47*0.137))+0.35*COS(2*PI()*(((Inputs!$C$6)/Inputs!$C$50)+Inputs!$C$47*0.173))+0.2*SIN(2*PI()*((((Inputs!$I$9+(((A185)+1)/2)*(Inputs!$J$9-Inputs!$I$9)))+(Inputs!$C$6))/(0.5*(Inputs!$C$49+Inputs!$C$50))+Inputs!$C$47*0.097)))+0.3*(2*((SIN((((Inputs!$I$9+(((A185)+1)/2)*(Inputs!$J$9-Inputs!$I$9)))*12.9898+(Inputs!$C$6)*78.233+Inputs!$C$47*37.719))*43758.5453)-INT((SIN((((Inputs!$I$9+(((A185)+1)/2)*(Inputs!$J$9-Inputs!$I$9)))*12.9898+(Inputs!$C$6)*78.233+Inputs!$C$47*37.719))*43758.5453)))-1))),NA())</f>
        <v/>
      </c>
      <c r="AW185" s="10" t="n"/>
      <c r="AX185" s="9">
        <f>A185</f>
        <v/>
      </c>
      <c r="AY185" s="9">
        <f>0</f>
        <v/>
      </c>
      <c r="AZ185" s="9">
        <f>IF(OR(Inputs!$F$6=TRUE,Inputs!$F$6="TRUE",Inputs!$F$6=1),(Inputs!$H$6+Inputs!$L$6*(((Inputs!$I$6+(((A185)+1)/2)*(Inputs!$J$6-Inputs!$I$6)))/Inputs!$K$6)^2),NA())</f>
        <v/>
      </c>
      <c r="BA185" s="9">
        <f>IF(OR(Inputs!$F$7=TRUE,Inputs!$F$7="TRUE",Inputs!$F$7=1),(Inputs!$H$7+Inputs!$L$7*(((Inputs!$I$7+(((A185)+1)/2)*(Inputs!$J$7-Inputs!$I$7)))/Inputs!$K$7)^2),NA())</f>
        <v/>
      </c>
      <c r="BB185" s="9">
        <f>IF(OR(Inputs!$F$8=TRUE,Inputs!$F$8="TRUE",Inputs!$F$8=1),(Inputs!$H$8+Inputs!$L$8*(((Inputs!$I$8+(((A185)+1)/2)*(Inputs!$J$8-Inputs!$I$8)))/Inputs!$K$8)^2),NA())</f>
        <v/>
      </c>
      <c r="BC185" s="9">
        <f>IF(OR(Inputs!$F$9=TRUE,Inputs!$F$9="TRUE",Inputs!$F$9=1),(Inputs!$H$9+Inputs!$L$9*(((Inputs!$I$9+(((A185)+1)/2)*(Inputs!$J$9-Inputs!$I$9)))/Inputs!$K$9)^2),NA())</f>
        <v/>
      </c>
      <c r="BD185" s="10" t="n"/>
      <c r="BE185" s="9">
        <f>A185</f>
        <v/>
      </c>
      <c r="BF185" s="9">
        <f>0</f>
        <v/>
      </c>
      <c r="BG185" s="9">
        <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f>
        <v/>
      </c>
      <c r="BH185" s="9">
        <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f>
        <v/>
      </c>
      <c r="BI185" s="9">
        <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f>
        <v/>
      </c>
      <c r="BJ185" s="9">
        <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f>
        <v/>
      </c>
    </row>
    <row r="186">
      <c r="A186" s="9">
        <f>ROUND(-1+184*2/240,3)</f>
        <v/>
      </c>
      <c r="B186" s="9">
        <f>IF(OR(Inputs!$F$6=TRUE,Inputs!$F$6="TRUE",Inputs!$F$6=1),(Inputs!$H$6+Inputs!$L$6*(((Inputs!$I$6+(((A186)+1)/2)*(Inputs!$J$6-Inputs!$I$6)))/Inputs!$K$6)^2),NA())</f>
        <v/>
      </c>
      <c r="C186" s="9">
        <f>IF(OR(Inputs!$F$7=TRUE,Inputs!$F$7="TRUE",Inputs!$F$7=1),(Inputs!$H$7+Inputs!$L$7*(((Inputs!$I$7+(((A186)+1)/2)*(Inputs!$J$7-Inputs!$I$7)))/Inputs!$K$7)^2),NA())</f>
        <v/>
      </c>
      <c r="D186" s="9">
        <f>IF(OR(Inputs!$F$8=TRUE,Inputs!$F$8="TRUE",Inputs!$F$8=1),(Inputs!$H$8+Inputs!$L$8*(((Inputs!$I$8+(((A186)+1)/2)*(Inputs!$J$8-Inputs!$I$8)))/Inputs!$K$8)^2),NA())</f>
        <v/>
      </c>
      <c r="E186" s="9">
        <f>IF(OR(Inputs!$F$9=TRUE,Inputs!$F$9="TRUE",Inputs!$F$9=1),(Inputs!$H$9+Inputs!$L$9*(((Inputs!$I$9+(((A186)+1)/2)*(Inputs!$J$9-Inputs!$I$9)))/Inputs!$K$9)^2),NA())</f>
        <v/>
      </c>
      <c r="F186" s="10" t="n"/>
      <c r="G186" s="9">
        <f>A186</f>
        <v/>
      </c>
      <c r="H186" s="9">
        <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f>
        <v/>
      </c>
      <c r="I186" s="9">
        <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f>
        <v/>
      </c>
      <c r="J186" s="9">
        <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f>
        <v/>
      </c>
      <c r="K186" s="9">
        <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f>
        <v/>
      </c>
      <c r="L186" s="10" t="n"/>
      <c r="M186" s="9">
        <f>A186</f>
        <v/>
      </c>
      <c r="N186" s="9">
        <f>IF(OR(Inputs!$F$6=TRUE,Inputs!$F$6="TRUE",Inputs!$F$6=1),(-2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NA())</f>
        <v/>
      </c>
      <c r="O186" s="9">
        <f>IF(OR(Inputs!$F$7=TRUE,Inputs!$F$7="TRUE",Inputs!$F$7=1),(-2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NA())</f>
        <v/>
      </c>
      <c r="P186" s="9">
        <f>IF(OR(Inputs!$F$8=TRUE,Inputs!$F$8="TRUE",Inputs!$F$8=1),(-2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NA())</f>
        <v/>
      </c>
      <c r="Q186" s="9">
        <f>IF(OR(Inputs!$F$9=TRUE,Inputs!$F$9="TRUE",Inputs!$F$9=1),(-2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NA())</f>
        <v/>
      </c>
      <c r="R186" s="10" t="n"/>
      <c r="S186" s="9">
        <f>A186</f>
        <v/>
      </c>
      <c r="T186" s="9">
        <f>(Inputs!$I$6+(((A186)+1)/2)*(Inputs!$J$6-Inputs!$I$6))</f>
        <v/>
      </c>
      <c r="U186" s="9">
        <f>(Inputs!$I$7+(((A186)+1)/2)*(Inputs!$J$7-Inputs!$I$7))</f>
        <v/>
      </c>
      <c r="V186" s="9">
        <f>(Inputs!$I$8+(((A186)+1)/2)*(Inputs!$J$8-Inputs!$I$8))</f>
        <v/>
      </c>
      <c r="W186" s="9">
        <f>(Inputs!$I$9+(((A186)+1)/2)*(Inputs!$J$9-Inputs!$I$9))</f>
        <v/>
      </c>
      <c r="X186" s="10" t="n"/>
      <c r="Y186" s="9">
        <f>A186</f>
        <v/>
      </c>
      <c r="Z186" s="9">
        <f>(Inputs!$H$6+Inputs!$L$6*(((Inputs!$I$6+(((A186)+1)/2)*(Inputs!$J$6-Inputs!$I$6)))/Inputs!$K$6)^2)</f>
        <v/>
      </c>
      <c r="AA186" s="9">
        <f>(Inputs!$H$7+Inputs!$L$7*(((Inputs!$I$7+(((A186)+1)/2)*(Inputs!$J$7-Inputs!$I$7)))/Inputs!$K$7)^2)</f>
        <v/>
      </c>
      <c r="AB186" s="9">
        <f>(Inputs!$H$8+Inputs!$L$8*(((Inputs!$I$8+(((A186)+1)/2)*(Inputs!$J$8-Inputs!$I$8)))/Inputs!$K$8)^2)</f>
        <v/>
      </c>
      <c r="AC186" s="9">
        <f>(Inputs!$H$9+Inputs!$L$9*(((Inputs!$I$9+(((A186)+1)/2)*(Inputs!$J$9-Inputs!$I$9)))/Inputs!$K$9)^2)</f>
        <v/>
      </c>
      <c r="AD186" s="10" t="n"/>
      <c r="AE186" s="9">
        <f>A186</f>
        <v/>
      </c>
      <c r="AF186" s="9">
        <f>(((SQRT((Inputs!$C$52+((Inputs!$H$6+Inputs!$L$6*(((Inputs!$I$6+(((A186)+1)/2)*(Inputs!$J$6-Inputs!$I$6)))/Inputs!$K$6)^2)))^2+Inputs!$C$52^2-2*(Inputs!$C$52+((Inputs!$H$6+Inputs!$L$6*(((Inputs!$I$6+(((A186)+1)/2)*(Inputs!$J$6-Inputs!$I$6)))/Inputs!$K$6)^2)))*Inputs!$C$52*COS(SQRT(((Inputs!$I$6+(((A186)+1)/2)*(Inputs!$J$6-Inputs!$I$6)))^2+Inputs!$C$6^2)/Inputs!$C$52)))-((Inputs!$H$6+Inputs!$L$6*(((Inputs!$I$6+(((A186)+1)/2)*(Inputs!$J$6-Inputs!$I$6)))/Inputs!$K$6)^2)))*1000/Inputs!$C$12)</f>
        <v/>
      </c>
      <c r="AG186" s="9">
        <f>(((SQRT((Inputs!$C$52+((Inputs!$H$7+Inputs!$L$7*(((Inputs!$I$7+(((A186)+1)/2)*(Inputs!$J$7-Inputs!$I$7)))/Inputs!$K$7)^2)))^2+Inputs!$C$52^2-2*(Inputs!$C$52+((Inputs!$H$7+Inputs!$L$7*(((Inputs!$I$7+(((A186)+1)/2)*(Inputs!$J$7-Inputs!$I$7)))/Inputs!$K$7)^2)))*Inputs!$C$52*COS(SQRT(((Inputs!$I$7+(((A186)+1)/2)*(Inputs!$J$7-Inputs!$I$7)))^2+Inputs!$C$6^2)/Inputs!$C$52)))-((Inputs!$H$7+Inputs!$L$7*(((Inputs!$I$7+(((A186)+1)/2)*(Inputs!$J$7-Inputs!$I$7)))/Inputs!$K$7)^2)))*1000/Inputs!$C$12)</f>
        <v/>
      </c>
      <c r="AH186" s="9">
        <f>(((SQRT((Inputs!$C$52+((Inputs!$H$8+Inputs!$L$8*(((Inputs!$I$8+(((A186)+1)/2)*(Inputs!$J$8-Inputs!$I$8)))/Inputs!$K$8)^2)))^2+Inputs!$C$52^2-2*(Inputs!$C$52+((Inputs!$H$8+Inputs!$L$8*(((Inputs!$I$8+(((A186)+1)/2)*(Inputs!$J$8-Inputs!$I$8)))/Inputs!$K$8)^2)))*Inputs!$C$52*COS(SQRT(((Inputs!$I$8+(((A186)+1)/2)*(Inputs!$J$8-Inputs!$I$8)))^2+Inputs!$C$6^2)/Inputs!$C$52)))-((Inputs!$H$8+Inputs!$L$8*(((Inputs!$I$8+(((A186)+1)/2)*(Inputs!$J$8-Inputs!$I$8)))/Inputs!$K$8)^2)))*1000/Inputs!$C$12)</f>
        <v/>
      </c>
      <c r="AI186" s="9">
        <f>(((SQRT((Inputs!$C$52+((Inputs!$H$9+Inputs!$L$9*(((Inputs!$I$9+(((A186)+1)/2)*(Inputs!$J$9-Inputs!$I$9)))/Inputs!$K$9)^2)))^2+Inputs!$C$52^2-2*(Inputs!$C$52+((Inputs!$H$9+Inputs!$L$9*(((Inputs!$I$9+(((A186)+1)/2)*(Inputs!$J$9-Inputs!$I$9)))/Inputs!$K$9)^2)))*Inputs!$C$52*COS(SQRT(((Inputs!$I$9+(((A186)+1)/2)*(Inputs!$J$9-Inputs!$I$9)))^2+Inputs!$C$6^2)/Inputs!$C$52)))-((Inputs!$H$9+Inputs!$L$9*(((Inputs!$I$9+(((A186)+1)/2)*(Inputs!$J$9-Inputs!$I$9)))/Inputs!$K$9)^2)))*1000/Inputs!$C$12)</f>
        <v/>
      </c>
      <c r="AJ186" s="10" t="n"/>
      <c r="AK186" s="9">
        <f>A186</f>
        <v/>
      </c>
      <c r="AL186" s="9">
        <f>(-2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f>
        <v/>
      </c>
      <c r="AM186" s="9">
        <f>(-2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f>
        <v/>
      </c>
      <c r="AN186" s="9">
        <f>(-2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f>
        <v/>
      </c>
      <c r="AO186" s="9">
        <f>(-2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f>
        <v/>
      </c>
      <c r="AP186" s="10" t="n"/>
      <c r="AQ186" s="9">
        <f>A186</f>
        <v/>
      </c>
      <c r="AR186" s="9">
        <f>0</f>
        <v/>
      </c>
      <c r="AS186" s="9">
        <f>IF(OR(Inputs!$F$6=TRUE,Inputs!$F$6="TRUE",Inputs!$F$6=1),IF(OR(Inputs!$C$27=TRUE,Inputs!$C$27="TRUE",Inputs!$C$27=1),1,0)*(Inputs!$C$51*(115*EXP(-(((Inputs!$C$6)-25)^2)/(4.5^2))+70*EXP(-(((Inputs!$C$6)+38)^2)/(7^2))*(0.55+0.45*SIN(2*PI()*((Inputs!$I$6+(((A186)+1)/2)*(Inputs!$J$6-Inputs!$I$6)))/45))+24*SIN(2*PI()*(Inputs!$C$6)/9+((Inputs!$I$6+(((A186)+1)/2)*(Inputs!$J$6-Inputs!$I$6)))/18)*EXP(-(((Inputs!$C$6)+5)^2)/(22^2))+18*SIN(2*PI()*((Inputs!$I$6+(((A186)+1)/2)*(Inputs!$J$6-Inputs!$I$6)))/70))+Inputs!$C$28*EXP(-((((Inputs!$I$6+(((A186)+1)/2)*(Inputs!$J$6-Inputs!$I$6)))-Inputs!$C$29)^2)/(2*Inputs!$C$31^2))*EXP(-(((Inputs!$C$6)-Inputs!$C$30)^2)/(2*Inputs!$C$32^2))+-Inputs!$C$33*EXP(-((((((Inputs!$I$6+(((A186)+1)/2)*(Inputs!$J$6-Inputs!$I$6)))-Inputs!$C$34)^2)+(((Inputs!$C$6)-Inputs!$C$35)^2))/(2*Inputs!$C$36^2)))+Inputs!$C$37*(0.55*SIN(2*PI()*((Inputs!$I$6+(((A186)+1)/2)*(Inputs!$J$6-Inputs!$I$6)))/Inputs!$C$39)+0.35*COS(2*PI()*(Inputs!$C$6)/Inputs!$C$40)+0.2*SIN(2*PI()*(((Inputs!$I$6+(((A186)+1)/2)*(Inputs!$J$6-Inputs!$I$6)))+(Inputs!$C$6))/(0.5*(Inputs!$C$39+Inputs!$C$40))))+Inputs!$C$38*SIN(2*PI()*((Inputs!$I$6+(((A186)+1)/2)*(Inputs!$J$6-Inputs!$I$6)))/Inputs!$C$39)*SIN(2*PI()*(Inputs!$C$6)/Inputs!$C$40)+-Inputs!$C$41*EXP(-(((Inputs!$C$6)-Inputs!$C$43)^2)/(2*Inputs!$C$44^2))*EXP(-((((Inputs!$I$6+(((A186)+1)/2)*(Inputs!$J$6-Inputs!$I$6)))-Inputs!$C$42)^2)/(2*Inputs!$C$45^2))+Inputs!$C$48*(0.7*(0.45*SIN(2*PI()*((((Inputs!$I$6+(((A186)+1)/2)*(Inputs!$J$6-Inputs!$I$6)))/Inputs!$C$49)+Inputs!$C$47*0.137))+0.35*COS(2*PI()*(((Inputs!$C$6)/Inputs!$C$50)+Inputs!$C$47*0.173))+0.2*SIN(2*PI()*((((Inputs!$I$6+(((A186)+1)/2)*(Inputs!$J$6-Inputs!$I$6)))+(Inputs!$C$6))/(0.5*(Inputs!$C$49+Inputs!$C$50))+Inputs!$C$47*0.097)))+0.3*(2*((SIN((((Inputs!$I$6+(((A186)+1)/2)*(Inputs!$J$6-Inputs!$I$6)))*12.9898+(Inputs!$C$6)*78.233+Inputs!$C$47*37.719))*43758.5453)-INT((SIN((((Inputs!$I$6+(((A186)+1)/2)*(Inputs!$J$6-Inputs!$I$6)))*12.9898+(Inputs!$C$6)*78.233+Inputs!$C$47*37.719))*43758.5453)))-1))),NA())</f>
        <v/>
      </c>
      <c r="AT186" s="9">
        <f>IF(OR(Inputs!$F$7=TRUE,Inputs!$F$7="TRUE",Inputs!$F$7=1),IF(OR(Inputs!$C$27=TRUE,Inputs!$C$27="TRUE",Inputs!$C$27=1),1,0)*(Inputs!$C$51*(115*EXP(-(((Inputs!$C$6)-25)^2)/(4.5^2))+70*EXP(-(((Inputs!$C$6)+38)^2)/(7^2))*(0.55+0.45*SIN(2*PI()*((Inputs!$I$7+(((A186)+1)/2)*(Inputs!$J$7-Inputs!$I$7)))/45))+24*SIN(2*PI()*(Inputs!$C$6)/9+((Inputs!$I$7+(((A186)+1)/2)*(Inputs!$J$7-Inputs!$I$7)))/18)*EXP(-(((Inputs!$C$6)+5)^2)/(22^2))+18*SIN(2*PI()*((Inputs!$I$7+(((A186)+1)/2)*(Inputs!$J$7-Inputs!$I$7)))/70))+Inputs!$C$28*EXP(-((((Inputs!$I$7+(((A186)+1)/2)*(Inputs!$J$7-Inputs!$I$7)))-Inputs!$C$29)^2)/(2*Inputs!$C$31^2))*EXP(-(((Inputs!$C$6)-Inputs!$C$30)^2)/(2*Inputs!$C$32^2))+-Inputs!$C$33*EXP(-((((((Inputs!$I$7+(((A186)+1)/2)*(Inputs!$J$7-Inputs!$I$7)))-Inputs!$C$34)^2)+(((Inputs!$C$6)-Inputs!$C$35)^2))/(2*Inputs!$C$36^2)))+Inputs!$C$37*(0.55*SIN(2*PI()*((Inputs!$I$7+(((A186)+1)/2)*(Inputs!$J$7-Inputs!$I$7)))/Inputs!$C$39)+0.35*COS(2*PI()*(Inputs!$C$6)/Inputs!$C$40)+0.2*SIN(2*PI()*(((Inputs!$I$7+(((A186)+1)/2)*(Inputs!$J$7-Inputs!$I$7)))+(Inputs!$C$6))/(0.5*(Inputs!$C$39+Inputs!$C$40))))+Inputs!$C$38*SIN(2*PI()*((Inputs!$I$7+(((A186)+1)/2)*(Inputs!$J$7-Inputs!$I$7)))/Inputs!$C$39)*SIN(2*PI()*(Inputs!$C$6)/Inputs!$C$40)+-Inputs!$C$41*EXP(-(((Inputs!$C$6)-Inputs!$C$43)^2)/(2*Inputs!$C$44^2))*EXP(-((((Inputs!$I$7+(((A186)+1)/2)*(Inputs!$J$7-Inputs!$I$7)))-Inputs!$C$42)^2)/(2*Inputs!$C$45^2))+Inputs!$C$48*(0.7*(0.45*SIN(2*PI()*((((Inputs!$I$7+(((A186)+1)/2)*(Inputs!$J$7-Inputs!$I$7)))/Inputs!$C$49)+Inputs!$C$47*0.137))+0.35*COS(2*PI()*(((Inputs!$C$6)/Inputs!$C$50)+Inputs!$C$47*0.173))+0.2*SIN(2*PI()*((((Inputs!$I$7+(((A186)+1)/2)*(Inputs!$J$7-Inputs!$I$7)))+(Inputs!$C$6))/(0.5*(Inputs!$C$49+Inputs!$C$50))+Inputs!$C$47*0.097)))+0.3*(2*((SIN((((Inputs!$I$7+(((A186)+1)/2)*(Inputs!$J$7-Inputs!$I$7)))*12.9898+(Inputs!$C$6)*78.233+Inputs!$C$47*37.719))*43758.5453)-INT((SIN((((Inputs!$I$7+(((A186)+1)/2)*(Inputs!$J$7-Inputs!$I$7)))*12.9898+(Inputs!$C$6)*78.233+Inputs!$C$47*37.719))*43758.5453)))-1))),NA())</f>
        <v/>
      </c>
      <c r="AU186" s="9">
        <f>IF(OR(Inputs!$F$8=TRUE,Inputs!$F$8="TRUE",Inputs!$F$8=1),IF(OR(Inputs!$C$27=TRUE,Inputs!$C$27="TRUE",Inputs!$C$27=1),1,0)*(Inputs!$C$51*(115*EXP(-(((Inputs!$C$6)-25)^2)/(4.5^2))+70*EXP(-(((Inputs!$C$6)+38)^2)/(7^2))*(0.55+0.45*SIN(2*PI()*((Inputs!$I$8+(((A186)+1)/2)*(Inputs!$J$8-Inputs!$I$8)))/45))+24*SIN(2*PI()*(Inputs!$C$6)/9+((Inputs!$I$8+(((A186)+1)/2)*(Inputs!$J$8-Inputs!$I$8)))/18)*EXP(-(((Inputs!$C$6)+5)^2)/(22^2))+18*SIN(2*PI()*((Inputs!$I$8+(((A186)+1)/2)*(Inputs!$J$8-Inputs!$I$8)))/70))+Inputs!$C$28*EXP(-((((Inputs!$I$8+(((A186)+1)/2)*(Inputs!$J$8-Inputs!$I$8)))-Inputs!$C$29)^2)/(2*Inputs!$C$31^2))*EXP(-(((Inputs!$C$6)-Inputs!$C$30)^2)/(2*Inputs!$C$32^2))+-Inputs!$C$33*EXP(-((((((Inputs!$I$8+(((A186)+1)/2)*(Inputs!$J$8-Inputs!$I$8)))-Inputs!$C$34)^2)+(((Inputs!$C$6)-Inputs!$C$35)^2))/(2*Inputs!$C$36^2)))+Inputs!$C$37*(0.55*SIN(2*PI()*((Inputs!$I$8+(((A186)+1)/2)*(Inputs!$J$8-Inputs!$I$8)))/Inputs!$C$39)+0.35*COS(2*PI()*(Inputs!$C$6)/Inputs!$C$40)+0.2*SIN(2*PI()*(((Inputs!$I$8+(((A186)+1)/2)*(Inputs!$J$8-Inputs!$I$8)))+(Inputs!$C$6))/(0.5*(Inputs!$C$39+Inputs!$C$40))))+Inputs!$C$38*SIN(2*PI()*((Inputs!$I$8+(((A186)+1)/2)*(Inputs!$J$8-Inputs!$I$8)))/Inputs!$C$39)*SIN(2*PI()*(Inputs!$C$6)/Inputs!$C$40)+-Inputs!$C$41*EXP(-(((Inputs!$C$6)-Inputs!$C$43)^2)/(2*Inputs!$C$44^2))*EXP(-((((Inputs!$I$8+(((A186)+1)/2)*(Inputs!$J$8-Inputs!$I$8)))-Inputs!$C$42)^2)/(2*Inputs!$C$45^2))+Inputs!$C$48*(0.7*(0.45*SIN(2*PI()*((((Inputs!$I$8+(((A186)+1)/2)*(Inputs!$J$8-Inputs!$I$8)))/Inputs!$C$49)+Inputs!$C$47*0.137))+0.35*COS(2*PI()*(((Inputs!$C$6)/Inputs!$C$50)+Inputs!$C$47*0.173))+0.2*SIN(2*PI()*((((Inputs!$I$8+(((A186)+1)/2)*(Inputs!$J$8-Inputs!$I$8)))+(Inputs!$C$6))/(0.5*(Inputs!$C$49+Inputs!$C$50))+Inputs!$C$47*0.097)))+0.3*(2*((SIN((((Inputs!$I$8+(((A186)+1)/2)*(Inputs!$J$8-Inputs!$I$8)))*12.9898+(Inputs!$C$6)*78.233+Inputs!$C$47*37.719))*43758.5453)-INT((SIN((((Inputs!$I$8+(((A186)+1)/2)*(Inputs!$J$8-Inputs!$I$8)))*12.9898+(Inputs!$C$6)*78.233+Inputs!$C$47*37.719))*43758.5453)))-1))),NA())</f>
        <v/>
      </c>
      <c r="AV186" s="9">
        <f>IF(OR(Inputs!$F$9=TRUE,Inputs!$F$9="TRUE",Inputs!$F$9=1),IF(OR(Inputs!$C$27=TRUE,Inputs!$C$27="TRUE",Inputs!$C$27=1),1,0)*(Inputs!$C$51*(115*EXP(-(((Inputs!$C$6)-25)^2)/(4.5^2))+70*EXP(-(((Inputs!$C$6)+38)^2)/(7^2))*(0.55+0.45*SIN(2*PI()*((Inputs!$I$9+(((A186)+1)/2)*(Inputs!$J$9-Inputs!$I$9)))/45))+24*SIN(2*PI()*(Inputs!$C$6)/9+((Inputs!$I$9+(((A186)+1)/2)*(Inputs!$J$9-Inputs!$I$9)))/18)*EXP(-(((Inputs!$C$6)+5)^2)/(22^2))+18*SIN(2*PI()*((Inputs!$I$9+(((A186)+1)/2)*(Inputs!$J$9-Inputs!$I$9)))/70))+Inputs!$C$28*EXP(-((((Inputs!$I$9+(((A186)+1)/2)*(Inputs!$J$9-Inputs!$I$9)))-Inputs!$C$29)^2)/(2*Inputs!$C$31^2))*EXP(-(((Inputs!$C$6)-Inputs!$C$30)^2)/(2*Inputs!$C$32^2))+-Inputs!$C$33*EXP(-((((((Inputs!$I$9+(((A186)+1)/2)*(Inputs!$J$9-Inputs!$I$9)))-Inputs!$C$34)^2)+(((Inputs!$C$6)-Inputs!$C$35)^2))/(2*Inputs!$C$36^2)))+Inputs!$C$37*(0.55*SIN(2*PI()*((Inputs!$I$9+(((A186)+1)/2)*(Inputs!$J$9-Inputs!$I$9)))/Inputs!$C$39)+0.35*COS(2*PI()*(Inputs!$C$6)/Inputs!$C$40)+0.2*SIN(2*PI()*(((Inputs!$I$9+(((A186)+1)/2)*(Inputs!$J$9-Inputs!$I$9)))+(Inputs!$C$6))/(0.5*(Inputs!$C$39+Inputs!$C$40))))+Inputs!$C$38*SIN(2*PI()*((Inputs!$I$9+(((A186)+1)/2)*(Inputs!$J$9-Inputs!$I$9)))/Inputs!$C$39)*SIN(2*PI()*(Inputs!$C$6)/Inputs!$C$40)+-Inputs!$C$41*EXP(-(((Inputs!$C$6)-Inputs!$C$43)^2)/(2*Inputs!$C$44^2))*EXP(-((((Inputs!$I$9+(((A186)+1)/2)*(Inputs!$J$9-Inputs!$I$9)))-Inputs!$C$42)^2)/(2*Inputs!$C$45^2))+Inputs!$C$48*(0.7*(0.45*SIN(2*PI()*((((Inputs!$I$9+(((A186)+1)/2)*(Inputs!$J$9-Inputs!$I$9)))/Inputs!$C$49)+Inputs!$C$47*0.137))+0.35*COS(2*PI()*(((Inputs!$C$6)/Inputs!$C$50)+Inputs!$C$47*0.173))+0.2*SIN(2*PI()*((((Inputs!$I$9+(((A186)+1)/2)*(Inputs!$J$9-Inputs!$I$9)))+(Inputs!$C$6))/(0.5*(Inputs!$C$49+Inputs!$C$50))+Inputs!$C$47*0.097)))+0.3*(2*((SIN((((Inputs!$I$9+(((A186)+1)/2)*(Inputs!$J$9-Inputs!$I$9)))*12.9898+(Inputs!$C$6)*78.233+Inputs!$C$47*37.719))*43758.5453)-INT((SIN((((Inputs!$I$9+(((A186)+1)/2)*(Inputs!$J$9-Inputs!$I$9)))*12.9898+(Inputs!$C$6)*78.233+Inputs!$C$47*37.719))*43758.5453)))-1))),NA())</f>
        <v/>
      </c>
      <c r="AW186" s="10" t="n"/>
      <c r="AX186" s="9">
        <f>A186</f>
        <v/>
      </c>
      <c r="AY186" s="9">
        <f>0</f>
        <v/>
      </c>
      <c r="AZ186" s="9">
        <f>IF(OR(Inputs!$F$6=TRUE,Inputs!$F$6="TRUE",Inputs!$F$6=1),(Inputs!$H$6+Inputs!$L$6*(((Inputs!$I$6+(((A186)+1)/2)*(Inputs!$J$6-Inputs!$I$6)))/Inputs!$K$6)^2),NA())</f>
        <v/>
      </c>
      <c r="BA186" s="9">
        <f>IF(OR(Inputs!$F$7=TRUE,Inputs!$F$7="TRUE",Inputs!$F$7=1),(Inputs!$H$7+Inputs!$L$7*(((Inputs!$I$7+(((A186)+1)/2)*(Inputs!$J$7-Inputs!$I$7)))/Inputs!$K$7)^2),NA())</f>
        <v/>
      </c>
      <c r="BB186" s="9">
        <f>IF(OR(Inputs!$F$8=TRUE,Inputs!$F$8="TRUE",Inputs!$F$8=1),(Inputs!$H$8+Inputs!$L$8*(((Inputs!$I$8+(((A186)+1)/2)*(Inputs!$J$8-Inputs!$I$8)))/Inputs!$K$8)^2),NA())</f>
        <v/>
      </c>
      <c r="BC186" s="9">
        <f>IF(OR(Inputs!$F$9=TRUE,Inputs!$F$9="TRUE",Inputs!$F$9=1),(Inputs!$H$9+Inputs!$L$9*(((Inputs!$I$9+(((A186)+1)/2)*(Inputs!$J$9-Inputs!$I$9)))/Inputs!$K$9)^2),NA())</f>
        <v/>
      </c>
      <c r="BD186" s="10" t="n"/>
      <c r="BE186" s="9">
        <f>A186</f>
        <v/>
      </c>
      <c r="BF186" s="9">
        <f>0</f>
        <v/>
      </c>
      <c r="BG186" s="9">
        <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f>
        <v/>
      </c>
      <c r="BH186" s="9">
        <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f>
        <v/>
      </c>
      <c r="BI186" s="9">
        <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f>
        <v/>
      </c>
      <c r="BJ186" s="9">
        <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f>
        <v/>
      </c>
    </row>
    <row r="187">
      <c r="A187" s="9">
        <f>ROUND(-1+185*2/240,3)</f>
        <v/>
      </c>
      <c r="B187" s="9">
        <f>IF(OR(Inputs!$F$6=TRUE,Inputs!$F$6="TRUE",Inputs!$F$6=1),(Inputs!$H$6+Inputs!$L$6*(((Inputs!$I$6+(((A187)+1)/2)*(Inputs!$J$6-Inputs!$I$6)))/Inputs!$K$6)^2),NA())</f>
        <v/>
      </c>
      <c r="C187" s="9">
        <f>IF(OR(Inputs!$F$7=TRUE,Inputs!$F$7="TRUE",Inputs!$F$7=1),(Inputs!$H$7+Inputs!$L$7*(((Inputs!$I$7+(((A187)+1)/2)*(Inputs!$J$7-Inputs!$I$7)))/Inputs!$K$7)^2),NA())</f>
        <v/>
      </c>
      <c r="D187" s="9">
        <f>IF(OR(Inputs!$F$8=TRUE,Inputs!$F$8="TRUE",Inputs!$F$8=1),(Inputs!$H$8+Inputs!$L$8*(((Inputs!$I$8+(((A187)+1)/2)*(Inputs!$J$8-Inputs!$I$8)))/Inputs!$K$8)^2),NA())</f>
        <v/>
      </c>
      <c r="E187" s="9">
        <f>IF(OR(Inputs!$F$9=TRUE,Inputs!$F$9="TRUE",Inputs!$F$9=1),(Inputs!$H$9+Inputs!$L$9*(((Inputs!$I$9+(((A187)+1)/2)*(Inputs!$J$9-Inputs!$I$9)))/Inputs!$K$9)^2),NA())</f>
        <v/>
      </c>
      <c r="F187" s="10" t="n"/>
      <c r="G187" s="9">
        <f>A187</f>
        <v/>
      </c>
      <c r="H187" s="9">
        <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f>
        <v/>
      </c>
      <c r="I187" s="9">
        <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f>
        <v/>
      </c>
      <c r="J187" s="9">
        <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f>
        <v/>
      </c>
      <c r="K187" s="9">
        <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f>
        <v/>
      </c>
      <c r="L187" s="10" t="n"/>
      <c r="M187" s="9">
        <f>A187</f>
        <v/>
      </c>
      <c r="N187" s="9">
        <f>IF(OR(Inputs!$F$6=TRUE,Inputs!$F$6="TRUE",Inputs!$F$6=1),(-2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NA())</f>
        <v/>
      </c>
      <c r="O187" s="9">
        <f>IF(OR(Inputs!$F$7=TRUE,Inputs!$F$7="TRUE",Inputs!$F$7=1),(-2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NA())</f>
        <v/>
      </c>
      <c r="P187" s="9">
        <f>IF(OR(Inputs!$F$8=TRUE,Inputs!$F$8="TRUE",Inputs!$F$8=1),(-2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NA())</f>
        <v/>
      </c>
      <c r="Q187" s="9">
        <f>IF(OR(Inputs!$F$9=TRUE,Inputs!$F$9="TRUE",Inputs!$F$9=1),(-2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NA())</f>
        <v/>
      </c>
      <c r="R187" s="10" t="n"/>
      <c r="S187" s="9">
        <f>A187</f>
        <v/>
      </c>
      <c r="T187" s="9">
        <f>(Inputs!$I$6+(((A187)+1)/2)*(Inputs!$J$6-Inputs!$I$6))</f>
        <v/>
      </c>
      <c r="U187" s="9">
        <f>(Inputs!$I$7+(((A187)+1)/2)*(Inputs!$J$7-Inputs!$I$7))</f>
        <v/>
      </c>
      <c r="V187" s="9">
        <f>(Inputs!$I$8+(((A187)+1)/2)*(Inputs!$J$8-Inputs!$I$8))</f>
        <v/>
      </c>
      <c r="W187" s="9">
        <f>(Inputs!$I$9+(((A187)+1)/2)*(Inputs!$J$9-Inputs!$I$9))</f>
        <v/>
      </c>
      <c r="X187" s="10" t="n"/>
      <c r="Y187" s="9">
        <f>A187</f>
        <v/>
      </c>
      <c r="Z187" s="9">
        <f>(Inputs!$H$6+Inputs!$L$6*(((Inputs!$I$6+(((A187)+1)/2)*(Inputs!$J$6-Inputs!$I$6)))/Inputs!$K$6)^2)</f>
        <v/>
      </c>
      <c r="AA187" s="9">
        <f>(Inputs!$H$7+Inputs!$L$7*(((Inputs!$I$7+(((A187)+1)/2)*(Inputs!$J$7-Inputs!$I$7)))/Inputs!$K$7)^2)</f>
        <v/>
      </c>
      <c r="AB187" s="9">
        <f>(Inputs!$H$8+Inputs!$L$8*(((Inputs!$I$8+(((A187)+1)/2)*(Inputs!$J$8-Inputs!$I$8)))/Inputs!$K$8)^2)</f>
        <v/>
      </c>
      <c r="AC187" s="9">
        <f>(Inputs!$H$9+Inputs!$L$9*(((Inputs!$I$9+(((A187)+1)/2)*(Inputs!$J$9-Inputs!$I$9)))/Inputs!$K$9)^2)</f>
        <v/>
      </c>
      <c r="AD187" s="10" t="n"/>
      <c r="AE187" s="9">
        <f>A187</f>
        <v/>
      </c>
      <c r="AF187" s="9">
        <f>(((SQRT((Inputs!$C$52+((Inputs!$H$6+Inputs!$L$6*(((Inputs!$I$6+(((A187)+1)/2)*(Inputs!$J$6-Inputs!$I$6)))/Inputs!$K$6)^2)))^2+Inputs!$C$52^2-2*(Inputs!$C$52+((Inputs!$H$6+Inputs!$L$6*(((Inputs!$I$6+(((A187)+1)/2)*(Inputs!$J$6-Inputs!$I$6)))/Inputs!$K$6)^2)))*Inputs!$C$52*COS(SQRT(((Inputs!$I$6+(((A187)+1)/2)*(Inputs!$J$6-Inputs!$I$6)))^2+Inputs!$C$6^2)/Inputs!$C$52)))-((Inputs!$H$6+Inputs!$L$6*(((Inputs!$I$6+(((A187)+1)/2)*(Inputs!$J$6-Inputs!$I$6)))/Inputs!$K$6)^2)))*1000/Inputs!$C$12)</f>
        <v/>
      </c>
      <c r="AG187" s="9">
        <f>(((SQRT((Inputs!$C$52+((Inputs!$H$7+Inputs!$L$7*(((Inputs!$I$7+(((A187)+1)/2)*(Inputs!$J$7-Inputs!$I$7)))/Inputs!$K$7)^2)))^2+Inputs!$C$52^2-2*(Inputs!$C$52+((Inputs!$H$7+Inputs!$L$7*(((Inputs!$I$7+(((A187)+1)/2)*(Inputs!$J$7-Inputs!$I$7)))/Inputs!$K$7)^2)))*Inputs!$C$52*COS(SQRT(((Inputs!$I$7+(((A187)+1)/2)*(Inputs!$J$7-Inputs!$I$7)))^2+Inputs!$C$6^2)/Inputs!$C$52)))-((Inputs!$H$7+Inputs!$L$7*(((Inputs!$I$7+(((A187)+1)/2)*(Inputs!$J$7-Inputs!$I$7)))/Inputs!$K$7)^2)))*1000/Inputs!$C$12)</f>
        <v/>
      </c>
      <c r="AH187" s="9">
        <f>(((SQRT((Inputs!$C$52+((Inputs!$H$8+Inputs!$L$8*(((Inputs!$I$8+(((A187)+1)/2)*(Inputs!$J$8-Inputs!$I$8)))/Inputs!$K$8)^2)))^2+Inputs!$C$52^2-2*(Inputs!$C$52+((Inputs!$H$8+Inputs!$L$8*(((Inputs!$I$8+(((A187)+1)/2)*(Inputs!$J$8-Inputs!$I$8)))/Inputs!$K$8)^2)))*Inputs!$C$52*COS(SQRT(((Inputs!$I$8+(((A187)+1)/2)*(Inputs!$J$8-Inputs!$I$8)))^2+Inputs!$C$6^2)/Inputs!$C$52)))-((Inputs!$H$8+Inputs!$L$8*(((Inputs!$I$8+(((A187)+1)/2)*(Inputs!$J$8-Inputs!$I$8)))/Inputs!$K$8)^2)))*1000/Inputs!$C$12)</f>
        <v/>
      </c>
      <c r="AI187" s="9">
        <f>(((SQRT((Inputs!$C$52+((Inputs!$H$9+Inputs!$L$9*(((Inputs!$I$9+(((A187)+1)/2)*(Inputs!$J$9-Inputs!$I$9)))/Inputs!$K$9)^2)))^2+Inputs!$C$52^2-2*(Inputs!$C$52+((Inputs!$H$9+Inputs!$L$9*(((Inputs!$I$9+(((A187)+1)/2)*(Inputs!$J$9-Inputs!$I$9)))/Inputs!$K$9)^2)))*Inputs!$C$52*COS(SQRT(((Inputs!$I$9+(((A187)+1)/2)*(Inputs!$J$9-Inputs!$I$9)))^2+Inputs!$C$6^2)/Inputs!$C$52)))-((Inputs!$H$9+Inputs!$L$9*(((Inputs!$I$9+(((A187)+1)/2)*(Inputs!$J$9-Inputs!$I$9)))/Inputs!$K$9)^2)))*1000/Inputs!$C$12)</f>
        <v/>
      </c>
      <c r="AJ187" s="10" t="n"/>
      <c r="AK187" s="9">
        <f>A187</f>
        <v/>
      </c>
      <c r="AL187" s="9">
        <f>(-2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f>
        <v/>
      </c>
      <c r="AM187" s="9">
        <f>(-2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f>
        <v/>
      </c>
      <c r="AN187" s="9">
        <f>(-2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f>
        <v/>
      </c>
      <c r="AO187" s="9">
        <f>(-2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f>
        <v/>
      </c>
      <c r="AP187" s="10" t="n"/>
      <c r="AQ187" s="9">
        <f>A187</f>
        <v/>
      </c>
      <c r="AR187" s="9">
        <f>0</f>
        <v/>
      </c>
      <c r="AS187" s="9">
        <f>IF(OR(Inputs!$F$6=TRUE,Inputs!$F$6="TRUE",Inputs!$F$6=1),IF(OR(Inputs!$C$27=TRUE,Inputs!$C$27="TRUE",Inputs!$C$27=1),1,0)*(Inputs!$C$51*(115*EXP(-(((Inputs!$C$6)-25)^2)/(4.5^2))+70*EXP(-(((Inputs!$C$6)+38)^2)/(7^2))*(0.55+0.45*SIN(2*PI()*((Inputs!$I$6+(((A187)+1)/2)*(Inputs!$J$6-Inputs!$I$6)))/45))+24*SIN(2*PI()*(Inputs!$C$6)/9+((Inputs!$I$6+(((A187)+1)/2)*(Inputs!$J$6-Inputs!$I$6)))/18)*EXP(-(((Inputs!$C$6)+5)^2)/(22^2))+18*SIN(2*PI()*((Inputs!$I$6+(((A187)+1)/2)*(Inputs!$J$6-Inputs!$I$6)))/70))+Inputs!$C$28*EXP(-((((Inputs!$I$6+(((A187)+1)/2)*(Inputs!$J$6-Inputs!$I$6)))-Inputs!$C$29)^2)/(2*Inputs!$C$31^2))*EXP(-(((Inputs!$C$6)-Inputs!$C$30)^2)/(2*Inputs!$C$32^2))+-Inputs!$C$33*EXP(-((((((Inputs!$I$6+(((A187)+1)/2)*(Inputs!$J$6-Inputs!$I$6)))-Inputs!$C$34)^2)+(((Inputs!$C$6)-Inputs!$C$35)^2))/(2*Inputs!$C$36^2)))+Inputs!$C$37*(0.55*SIN(2*PI()*((Inputs!$I$6+(((A187)+1)/2)*(Inputs!$J$6-Inputs!$I$6)))/Inputs!$C$39)+0.35*COS(2*PI()*(Inputs!$C$6)/Inputs!$C$40)+0.2*SIN(2*PI()*(((Inputs!$I$6+(((A187)+1)/2)*(Inputs!$J$6-Inputs!$I$6)))+(Inputs!$C$6))/(0.5*(Inputs!$C$39+Inputs!$C$40))))+Inputs!$C$38*SIN(2*PI()*((Inputs!$I$6+(((A187)+1)/2)*(Inputs!$J$6-Inputs!$I$6)))/Inputs!$C$39)*SIN(2*PI()*(Inputs!$C$6)/Inputs!$C$40)+-Inputs!$C$41*EXP(-(((Inputs!$C$6)-Inputs!$C$43)^2)/(2*Inputs!$C$44^2))*EXP(-((((Inputs!$I$6+(((A187)+1)/2)*(Inputs!$J$6-Inputs!$I$6)))-Inputs!$C$42)^2)/(2*Inputs!$C$45^2))+Inputs!$C$48*(0.7*(0.45*SIN(2*PI()*((((Inputs!$I$6+(((A187)+1)/2)*(Inputs!$J$6-Inputs!$I$6)))/Inputs!$C$49)+Inputs!$C$47*0.137))+0.35*COS(2*PI()*(((Inputs!$C$6)/Inputs!$C$50)+Inputs!$C$47*0.173))+0.2*SIN(2*PI()*((((Inputs!$I$6+(((A187)+1)/2)*(Inputs!$J$6-Inputs!$I$6)))+(Inputs!$C$6))/(0.5*(Inputs!$C$49+Inputs!$C$50))+Inputs!$C$47*0.097)))+0.3*(2*((SIN((((Inputs!$I$6+(((A187)+1)/2)*(Inputs!$J$6-Inputs!$I$6)))*12.9898+(Inputs!$C$6)*78.233+Inputs!$C$47*37.719))*43758.5453)-INT((SIN((((Inputs!$I$6+(((A187)+1)/2)*(Inputs!$J$6-Inputs!$I$6)))*12.9898+(Inputs!$C$6)*78.233+Inputs!$C$47*37.719))*43758.5453)))-1))),NA())</f>
        <v/>
      </c>
      <c r="AT187" s="9">
        <f>IF(OR(Inputs!$F$7=TRUE,Inputs!$F$7="TRUE",Inputs!$F$7=1),IF(OR(Inputs!$C$27=TRUE,Inputs!$C$27="TRUE",Inputs!$C$27=1),1,0)*(Inputs!$C$51*(115*EXP(-(((Inputs!$C$6)-25)^2)/(4.5^2))+70*EXP(-(((Inputs!$C$6)+38)^2)/(7^2))*(0.55+0.45*SIN(2*PI()*((Inputs!$I$7+(((A187)+1)/2)*(Inputs!$J$7-Inputs!$I$7)))/45))+24*SIN(2*PI()*(Inputs!$C$6)/9+((Inputs!$I$7+(((A187)+1)/2)*(Inputs!$J$7-Inputs!$I$7)))/18)*EXP(-(((Inputs!$C$6)+5)^2)/(22^2))+18*SIN(2*PI()*((Inputs!$I$7+(((A187)+1)/2)*(Inputs!$J$7-Inputs!$I$7)))/70))+Inputs!$C$28*EXP(-((((Inputs!$I$7+(((A187)+1)/2)*(Inputs!$J$7-Inputs!$I$7)))-Inputs!$C$29)^2)/(2*Inputs!$C$31^2))*EXP(-(((Inputs!$C$6)-Inputs!$C$30)^2)/(2*Inputs!$C$32^2))+-Inputs!$C$33*EXP(-((((((Inputs!$I$7+(((A187)+1)/2)*(Inputs!$J$7-Inputs!$I$7)))-Inputs!$C$34)^2)+(((Inputs!$C$6)-Inputs!$C$35)^2))/(2*Inputs!$C$36^2)))+Inputs!$C$37*(0.55*SIN(2*PI()*((Inputs!$I$7+(((A187)+1)/2)*(Inputs!$J$7-Inputs!$I$7)))/Inputs!$C$39)+0.35*COS(2*PI()*(Inputs!$C$6)/Inputs!$C$40)+0.2*SIN(2*PI()*(((Inputs!$I$7+(((A187)+1)/2)*(Inputs!$J$7-Inputs!$I$7)))+(Inputs!$C$6))/(0.5*(Inputs!$C$39+Inputs!$C$40))))+Inputs!$C$38*SIN(2*PI()*((Inputs!$I$7+(((A187)+1)/2)*(Inputs!$J$7-Inputs!$I$7)))/Inputs!$C$39)*SIN(2*PI()*(Inputs!$C$6)/Inputs!$C$40)+-Inputs!$C$41*EXP(-(((Inputs!$C$6)-Inputs!$C$43)^2)/(2*Inputs!$C$44^2))*EXP(-((((Inputs!$I$7+(((A187)+1)/2)*(Inputs!$J$7-Inputs!$I$7)))-Inputs!$C$42)^2)/(2*Inputs!$C$45^2))+Inputs!$C$48*(0.7*(0.45*SIN(2*PI()*((((Inputs!$I$7+(((A187)+1)/2)*(Inputs!$J$7-Inputs!$I$7)))/Inputs!$C$49)+Inputs!$C$47*0.137))+0.35*COS(2*PI()*(((Inputs!$C$6)/Inputs!$C$50)+Inputs!$C$47*0.173))+0.2*SIN(2*PI()*((((Inputs!$I$7+(((A187)+1)/2)*(Inputs!$J$7-Inputs!$I$7)))+(Inputs!$C$6))/(0.5*(Inputs!$C$49+Inputs!$C$50))+Inputs!$C$47*0.097)))+0.3*(2*((SIN((((Inputs!$I$7+(((A187)+1)/2)*(Inputs!$J$7-Inputs!$I$7)))*12.9898+(Inputs!$C$6)*78.233+Inputs!$C$47*37.719))*43758.5453)-INT((SIN((((Inputs!$I$7+(((A187)+1)/2)*(Inputs!$J$7-Inputs!$I$7)))*12.9898+(Inputs!$C$6)*78.233+Inputs!$C$47*37.719))*43758.5453)))-1))),NA())</f>
        <v/>
      </c>
      <c r="AU187" s="9">
        <f>IF(OR(Inputs!$F$8=TRUE,Inputs!$F$8="TRUE",Inputs!$F$8=1),IF(OR(Inputs!$C$27=TRUE,Inputs!$C$27="TRUE",Inputs!$C$27=1),1,0)*(Inputs!$C$51*(115*EXP(-(((Inputs!$C$6)-25)^2)/(4.5^2))+70*EXP(-(((Inputs!$C$6)+38)^2)/(7^2))*(0.55+0.45*SIN(2*PI()*((Inputs!$I$8+(((A187)+1)/2)*(Inputs!$J$8-Inputs!$I$8)))/45))+24*SIN(2*PI()*(Inputs!$C$6)/9+((Inputs!$I$8+(((A187)+1)/2)*(Inputs!$J$8-Inputs!$I$8)))/18)*EXP(-(((Inputs!$C$6)+5)^2)/(22^2))+18*SIN(2*PI()*((Inputs!$I$8+(((A187)+1)/2)*(Inputs!$J$8-Inputs!$I$8)))/70))+Inputs!$C$28*EXP(-((((Inputs!$I$8+(((A187)+1)/2)*(Inputs!$J$8-Inputs!$I$8)))-Inputs!$C$29)^2)/(2*Inputs!$C$31^2))*EXP(-(((Inputs!$C$6)-Inputs!$C$30)^2)/(2*Inputs!$C$32^2))+-Inputs!$C$33*EXP(-((((((Inputs!$I$8+(((A187)+1)/2)*(Inputs!$J$8-Inputs!$I$8)))-Inputs!$C$34)^2)+(((Inputs!$C$6)-Inputs!$C$35)^2))/(2*Inputs!$C$36^2)))+Inputs!$C$37*(0.55*SIN(2*PI()*((Inputs!$I$8+(((A187)+1)/2)*(Inputs!$J$8-Inputs!$I$8)))/Inputs!$C$39)+0.35*COS(2*PI()*(Inputs!$C$6)/Inputs!$C$40)+0.2*SIN(2*PI()*(((Inputs!$I$8+(((A187)+1)/2)*(Inputs!$J$8-Inputs!$I$8)))+(Inputs!$C$6))/(0.5*(Inputs!$C$39+Inputs!$C$40))))+Inputs!$C$38*SIN(2*PI()*((Inputs!$I$8+(((A187)+1)/2)*(Inputs!$J$8-Inputs!$I$8)))/Inputs!$C$39)*SIN(2*PI()*(Inputs!$C$6)/Inputs!$C$40)+-Inputs!$C$41*EXP(-(((Inputs!$C$6)-Inputs!$C$43)^2)/(2*Inputs!$C$44^2))*EXP(-((((Inputs!$I$8+(((A187)+1)/2)*(Inputs!$J$8-Inputs!$I$8)))-Inputs!$C$42)^2)/(2*Inputs!$C$45^2))+Inputs!$C$48*(0.7*(0.45*SIN(2*PI()*((((Inputs!$I$8+(((A187)+1)/2)*(Inputs!$J$8-Inputs!$I$8)))/Inputs!$C$49)+Inputs!$C$47*0.137))+0.35*COS(2*PI()*(((Inputs!$C$6)/Inputs!$C$50)+Inputs!$C$47*0.173))+0.2*SIN(2*PI()*((((Inputs!$I$8+(((A187)+1)/2)*(Inputs!$J$8-Inputs!$I$8)))+(Inputs!$C$6))/(0.5*(Inputs!$C$49+Inputs!$C$50))+Inputs!$C$47*0.097)))+0.3*(2*((SIN((((Inputs!$I$8+(((A187)+1)/2)*(Inputs!$J$8-Inputs!$I$8)))*12.9898+(Inputs!$C$6)*78.233+Inputs!$C$47*37.719))*43758.5453)-INT((SIN((((Inputs!$I$8+(((A187)+1)/2)*(Inputs!$J$8-Inputs!$I$8)))*12.9898+(Inputs!$C$6)*78.233+Inputs!$C$47*37.719))*43758.5453)))-1))),NA())</f>
        <v/>
      </c>
      <c r="AV187" s="9">
        <f>IF(OR(Inputs!$F$9=TRUE,Inputs!$F$9="TRUE",Inputs!$F$9=1),IF(OR(Inputs!$C$27=TRUE,Inputs!$C$27="TRUE",Inputs!$C$27=1),1,0)*(Inputs!$C$51*(115*EXP(-(((Inputs!$C$6)-25)^2)/(4.5^2))+70*EXP(-(((Inputs!$C$6)+38)^2)/(7^2))*(0.55+0.45*SIN(2*PI()*((Inputs!$I$9+(((A187)+1)/2)*(Inputs!$J$9-Inputs!$I$9)))/45))+24*SIN(2*PI()*(Inputs!$C$6)/9+((Inputs!$I$9+(((A187)+1)/2)*(Inputs!$J$9-Inputs!$I$9)))/18)*EXP(-(((Inputs!$C$6)+5)^2)/(22^2))+18*SIN(2*PI()*((Inputs!$I$9+(((A187)+1)/2)*(Inputs!$J$9-Inputs!$I$9)))/70))+Inputs!$C$28*EXP(-((((Inputs!$I$9+(((A187)+1)/2)*(Inputs!$J$9-Inputs!$I$9)))-Inputs!$C$29)^2)/(2*Inputs!$C$31^2))*EXP(-(((Inputs!$C$6)-Inputs!$C$30)^2)/(2*Inputs!$C$32^2))+-Inputs!$C$33*EXP(-((((((Inputs!$I$9+(((A187)+1)/2)*(Inputs!$J$9-Inputs!$I$9)))-Inputs!$C$34)^2)+(((Inputs!$C$6)-Inputs!$C$35)^2))/(2*Inputs!$C$36^2)))+Inputs!$C$37*(0.55*SIN(2*PI()*((Inputs!$I$9+(((A187)+1)/2)*(Inputs!$J$9-Inputs!$I$9)))/Inputs!$C$39)+0.35*COS(2*PI()*(Inputs!$C$6)/Inputs!$C$40)+0.2*SIN(2*PI()*(((Inputs!$I$9+(((A187)+1)/2)*(Inputs!$J$9-Inputs!$I$9)))+(Inputs!$C$6))/(0.5*(Inputs!$C$39+Inputs!$C$40))))+Inputs!$C$38*SIN(2*PI()*((Inputs!$I$9+(((A187)+1)/2)*(Inputs!$J$9-Inputs!$I$9)))/Inputs!$C$39)*SIN(2*PI()*(Inputs!$C$6)/Inputs!$C$40)+-Inputs!$C$41*EXP(-(((Inputs!$C$6)-Inputs!$C$43)^2)/(2*Inputs!$C$44^2))*EXP(-((((Inputs!$I$9+(((A187)+1)/2)*(Inputs!$J$9-Inputs!$I$9)))-Inputs!$C$42)^2)/(2*Inputs!$C$45^2))+Inputs!$C$48*(0.7*(0.45*SIN(2*PI()*((((Inputs!$I$9+(((A187)+1)/2)*(Inputs!$J$9-Inputs!$I$9)))/Inputs!$C$49)+Inputs!$C$47*0.137))+0.35*COS(2*PI()*(((Inputs!$C$6)/Inputs!$C$50)+Inputs!$C$47*0.173))+0.2*SIN(2*PI()*((((Inputs!$I$9+(((A187)+1)/2)*(Inputs!$J$9-Inputs!$I$9)))+(Inputs!$C$6))/(0.5*(Inputs!$C$49+Inputs!$C$50))+Inputs!$C$47*0.097)))+0.3*(2*((SIN((((Inputs!$I$9+(((A187)+1)/2)*(Inputs!$J$9-Inputs!$I$9)))*12.9898+(Inputs!$C$6)*78.233+Inputs!$C$47*37.719))*43758.5453)-INT((SIN((((Inputs!$I$9+(((A187)+1)/2)*(Inputs!$J$9-Inputs!$I$9)))*12.9898+(Inputs!$C$6)*78.233+Inputs!$C$47*37.719))*43758.5453)))-1))),NA())</f>
        <v/>
      </c>
      <c r="AW187" s="10" t="n"/>
      <c r="AX187" s="9">
        <f>A187</f>
        <v/>
      </c>
      <c r="AY187" s="9">
        <f>0</f>
        <v/>
      </c>
      <c r="AZ187" s="9">
        <f>IF(OR(Inputs!$F$6=TRUE,Inputs!$F$6="TRUE",Inputs!$F$6=1),(Inputs!$H$6+Inputs!$L$6*(((Inputs!$I$6+(((A187)+1)/2)*(Inputs!$J$6-Inputs!$I$6)))/Inputs!$K$6)^2),NA())</f>
        <v/>
      </c>
      <c r="BA187" s="9">
        <f>IF(OR(Inputs!$F$7=TRUE,Inputs!$F$7="TRUE",Inputs!$F$7=1),(Inputs!$H$7+Inputs!$L$7*(((Inputs!$I$7+(((A187)+1)/2)*(Inputs!$J$7-Inputs!$I$7)))/Inputs!$K$7)^2),NA())</f>
        <v/>
      </c>
      <c r="BB187" s="9">
        <f>IF(OR(Inputs!$F$8=TRUE,Inputs!$F$8="TRUE",Inputs!$F$8=1),(Inputs!$H$8+Inputs!$L$8*(((Inputs!$I$8+(((A187)+1)/2)*(Inputs!$J$8-Inputs!$I$8)))/Inputs!$K$8)^2),NA())</f>
        <v/>
      </c>
      <c r="BC187" s="9">
        <f>IF(OR(Inputs!$F$9=TRUE,Inputs!$F$9="TRUE",Inputs!$F$9=1),(Inputs!$H$9+Inputs!$L$9*(((Inputs!$I$9+(((A187)+1)/2)*(Inputs!$J$9-Inputs!$I$9)))/Inputs!$K$9)^2),NA())</f>
        <v/>
      </c>
      <c r="BD187" s="10" t="n"/>
      <c r="BE187" s="9">
        <f>A187</f>
        <v/>
      </c>
      <c r="BF187" s="9">
        <f>0</f>
        <v/>
      </c>
      <c r="BG187" s="9">
        <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f>
        <v/>
      </c>
      <c r="BH187" s="9">
        <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f>
        <v/>
      </c>
      <c r="BI187" s="9">
        <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f>
        <v/>
      </c>
      <c r="BJ187" s="9">
        <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f>
        <v/>
      </c>
    </row>
    <row r="188">
      <c r="A188" s="9">
        <f>ROUND(-1+186*2/240,3)</f>
        <v/>
      </c>
      <c r="B188" s="9">
        <f>IF(OR(Inputs!$F$6=TRUE,Inputs!$F$6="TRUE",Inputs!$F$6=1),(Inputs!$H$6+Inputs!$L$6*(((Inputs!$I$6+(((A188)+1)/2)*(Inputs!$J$6-Inputs!$I$6)))/Inputs!$K$6)^2),NA())</f>
        <v/>
      </c>
      <c r="C188" s="9">
        <f>IF(OR(Inputs!$F$7=TRUE,Inputs!$F$7="TRUE",Inputs!$F$7=1),(Inputs!$H$7+Inputs!$L$7*(((Inputs!$I$7+(((A188)+1)/2)*(Inputs!$J$7-Inputs!$I$7)))/Inputs!$K$7)^2),NA())</f>
        <v/>
      </c>
      <c r="D188" s="9">
        <f>IF(OR(Inputs!$F$8=TRUE,Inputs!$F$8="TRUE",Inputs!$F$8=1),(Inputs!$H$8+Inputs!$L$8*(((Inputs!$I$8+(((A188)+1)/2)*(Inputs!$J$8-Inputs!$I$8)))/Inputs!$K$8)^2),NA())</f>
        <v/>
      </c>
      <c r="E188" s="9">
        <f>IF(OR(Inputs!$F$9=TRUE,Inputs!$F$9="TRUE",Inputs!$F$9=1),(Inputs!$H$9+Inputs!$L$9*(((Inputs!$I$9+(((A188)+1)/2)*(Inputs!$J$9-Inputs!$I$9)))/Inputs!$K$9)^2),NA())</f>
        <v/>
      </c>
      <c r="F188" s="10" t="n"/>
      <c r="G188" s="9">
        <f>A188</f>
        <v/>
      </c>
      <c r="H188" s="9">
        <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f>
        <v/>
      </c>
      <c r="I188" s="9">
        <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f>
        <v/>
      </c>
      <c r="J188" s="9">
        <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f>
        <v/>
      </c>
      <c r="K188" s="9">
        <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f>
        <v/>
      </c>
      <c r="L188" s="10" t="n"/>
      <c r="M188" s="9">
        <f>A188</f>
        <v/>
      </c>
      <c r="N188" s="9">
        <f>IF(OR(Inputs!$F$6=TRUE,Inputs!$F$6="TRUE",Inputs!$F$6=1),(-2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NA())</f>
        <v/>
      </c>
      <c r="O188" s="9">
        <f>IF(OR(Inputs!$F$7=TRUE,Inputs!$F$7="TRUE",Inputs!$F$7=1),(-2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NA())</f>
        <v/>
      </c>
      <c r="P188" s="9">
        <f>IF(OR(Inputs!$F$8=TRUE,Inputs!$F$8="TRUE",Inputs!$F$8=1),(-2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NA())</f>
        <v/>
      </c>
      <c r="Q188" s="9">
        <f>IF(OR(Inputs!$F$9=TRUE,Inputs!$F$9="TRUE",Inputs!$F$9=1),(-2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NA())</f>
        <v/>
      </c>
      <c r="R188" s="10" t="n"/>
      <c r="S188" s="9">
        <f>A188</f>
        <v/>
      </c>
      <c r="T188" s="9">
        <f>(Inputs!$I$6+(((A188)+1)/2)*(Inputs!$J$6-Inputs!$I$6))</f>
        <v/>
      </c>
      <c r="U188" s="9">
        <f>(Inputs!$I$7+(((A188)+1)/2)*(Inputs!$J$7-Inputs!$I$7))</f>
        <v/>
      </c>
      <c r="V188" s="9">
        <f>(Inputs!$I$8+(((A188)+1)/2)*(Inputs!$J$8-Inputs!$I$8))</f>
        <v/>
      </c>
      <c r="W188" s="9">
        <f>(Inputs!$I$9+(((A188)+1)/2)*(Inputs!$J$9-Inputs!$I$9))</f>
        <v/>
      </c>
      <c r="X188" s="10" t="n"/>
      <c r="Y188" s="9">
        <f>A188</f>
        <v/>
      </c>
      <c r="Z188" s="9">
        <f>(Inputs!$H$6+Inputs!$L$6*(((Inputs!$I$6+(((A188)+1)/2)*(Inputs!$J$6-Inputs!$I$6)))/Inputs!$K$6)^2)</f>
        <v/>
      </c>
      <c r="AA188" s="9">
        <f>(Inputs!$H$7+Inputs!$L$7*(((Inputs!$I$7+(((A188)+1)/2)*(Inputs!$J$7-Inputs!$I$7)))/Inputs!$K$7)^2)</f>
        <v/>
      </c>
      <c r="AB188" s="9">
        <f>(Inputs!$H$8+Inputs!$L$8*(((Inputs!$I$8+(((A188)+1)/2)*(Inputs!$J$8-Inputs!$I$8)))/Inputs!$K$8)^2)</f>
        <v/>
      </c>
      <c r="AC188" s="9">
        <f>(Inputs!$H$9+Inputs!$L$9*(((Inputs!$I$9+(((A188)+1)/2)*(Inputs!$J$9-Inputs!$I$9)))/Inputs!$K$9)^2)</f>
        <v/>
      </c>
      <c r="AD188" s="10" t="n"/>
      <c r="AE188" s="9">
        <f>A188</f>
        <v/>
      </c>
      <c r="AF188" s="9">
        <f>(((SQRT((Inputs!$C$52+((Inputs!$H$6+Inputs!$L$6*(((Inputs!$I$6+(((A188)+1)/2)*(Inputs!$J$6-Inputs!$I$6)))/Inputs!$K$6)^2)))^2+Inputs!$C$52^2-2*(Inputs!$C$52+((Inputs!$H$6+Inputs!$L$6*(((Inputs!$I$6+(((A188)+1)/2)*(Inputs!$J$6-Inputs!$I$6)))/Inputs!$K$6)^2)))*Inputs!$C$52*COS(SQRT(((Inputs!$I$6+(((A188)+1)/2)*(Inputs!$J$6-Inputs!$I$6)))^2+Inputs!$C$6^2)/Inputs!$C$52)))-((Inputs!$H$6+Inputs!$L$6*(((Inputs!$I$6+(((A188)+1)/2)*(Inputs!$J$6-Inputs!$I$6)))/Inputs!$K$6)^2)))*1000/Inputs!$C$12)</f>
        <v/>
      </c>
      <c r="AG188" s="9">
        <f>(((SQRT((Inputs!$C$52+((Inputs!$H$7+Inputs!$L$7*(((Inputs!$I$7+(((A188)+1)/2)*(Inputs!$J$7-Inputs!$I$7)))/Inputs!$K$7)^2)))^2+Inputs!$C$52^2-2*(Inputs!$C$52+((Inputs!$H$7+Inputs!$L$7*(((Inputs!$I$7+(((A188)+1)/2)*(Inputs!$J$7-Inputs!$I$7)))/Inputs!$K$7)^2)))*Inputs!$C$52*COS(SQRT(((Inputs!$I$7+(((A188)+1)/2)*(Inputs!$J$7-Inputs!$I$7)))^2+Inputs!$C$6^2)/Inputs!$C$52)))-((Inputs!$H$7+Inputs!$L$7*(((Inputs!$I$7+(((A188)+1)/2)*(Inputs!$J$7-Inputs!$I$7)))/Inputs!$K$7)^2)))*1000/Inputs!$C$12)</f>
        <v/>
      </c>
      <c r="AH188" s="9">
        <f>(((SQRT((Inputs!$C$52+((Inputs!$H$8+Inputs!$L$8*(((Inputs!$I$8+(((A188)+1)/2)*(Inputs!$J$8-Inputs!$I$8)))/Inputs!$K$8)^2)))^2+Inputs!$C$52^2-2*(Inputs!$C$52+((Inputs!$H$8+Inputs!$L$8*(((Inputs!$I$8+(((A188)+1)/2)*(Inputs!$J$8-Inputs!$I$8)))/Inputs!$K$8)^2)))*Inputs!$C$52*COS(SQRT(((Inputs!$I$8+(((A188)+1)/2)*(Inputs!$J$8-Inputs!$I$8)))^2+Inputs!$C$6^2)/Inputs!$C$52)))-((Inputs!$H$8+Inputs!$L$8*(((Inputs!$I$8+(((A188)+1)/2)*(Inputs!$J$8-Inputs!$I$8)))/Inputs!$K$8)^2)))*1000/Inputs!$C$12)</f>
        <v/>
      </c>
      <c r="AI188" s="9">
        <f>(((SQRT((Inputs!$C$52+((Inputs!$H$9+Inputs!$L$9*(((Inputs!$I$9+(((A188)+1)/2)*(Inputs!$J$9-Inputs!$I$9)))/Inputs!$K$9)^2)))^2+Inputs!$C$52^2-2*(Inputs!$C$52+((Inputs!$H$9+Inputs!$L$9*(((Inputs!$I$9+(((A188)+1)/2)*(Inputs!$J$9-Inputs!$I$9)))/Inputs!$K$9)^2)))*Inputs!$C$52*COS(SQRT(((Inputs!$I$9+(((A188)+1)/2)*(Inputs!$J$9-Inputs!$I$9)))^2+Inputs!$C$6^2)/Inputs!$C$52)))-((Inputs!$H$9+Inputs!$L$9*(((Inputs!$I$9+(((A188)+1)/2)*(Inputs!$J$9-Inputs!$I$9)))/Inputs!$K$9)^2)))*1000/Inputs!$C$12)</f>
        <v/>
      </c>
      <c r="AJ188" s="10" t="n"/>
      <c r="AK188" s="9">
        <f>A188</f>
        <v/>
      </c>
      <c r="AL188" s="9">
        <f>(-2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f>
        <v/>
      </c>
      <c r="AM188" s="9">
        <f>(-2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f>
        <v/>
      </c>
      <c r="AN188" s="9">
        <f>(-2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f>
        <v/>
      </c>
      <c r="AO188" s="9">
        <f>(-2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f>
        <v/>
      </c>
      <c r="AP188" s="10" t="n"/>
      <c r="AQ188" s="9">
        <f>A188</f>
        <v/>
      </c>
      <c r="AR188" s="9">
        <f>0</f>
        <v/>
      </c>
      <c r="AS188" s="9">
        <f>IF(OR(Inputs!$F$6=TRUE,Inputs!$F$6="TRUE",Inputs!$F$6=1),IF(OR(Inputs!$C$27=TRUE,Inputs!$C$27="TRUE",Inputs!$C$27=1),1,0)*(Inputs!$C$51*(115*EXP(-(((Inputs!$C$6)-25)^2)/(4.5^2))+70*EXP(-(((Inputs!$C$6)+38)^2)/(7^2))*(0.55+0.45*SIN(2*PI()*((Inputs!$I$6+(((A188)+1)/2)*(Inputs!$J$6-Inputs!$I$6)))/45))+24*SIN(2*PI()*(Inputs!$C$6)/9+((Inputs!$I$6+(((A188)+1)/2)*(Inputs!$J$6-Inputs!$I$6)))/18)*EXP(-(((Inputs!$C$6)+5)^2)/(22^2))+18*SIN(2*PI()*((Inputs!$I$6+(((A188)+1)/2)*(Inputs!$J$6-Inputs!$I$6)))/70))+Inputs!$C$28*EXP(-((((Inputs!$I$6+(((A188)+1)/2)*(Inputs!$J$6-Inputs!$I$6)))-Inputs!$C$29)^2)/(2*Inputs!$C$31^2))*EXP(-(((Inputs!$C$6)-Inputs!$C$30)^2)/(2*Inputs!$C$32^2))+-Inputs!$C$33*EXP(-((((((Inputs!$I$6+(((A188)+1)/2)*(Inputs!$J$6-Inputs!$I$6)))-Inputs!$C$34)^2)+(((Inputs!$C$6)-Inputs!$C$35)^2))/(2*Inputs!$C$36^2)))+Inputs!$C$37*(0.55*SIN(2*PI()*((Inputs!$I$6+(((A188)+1)/2)*(Inputs!$J$6-Inputs!$I$6)))/Inputs!$C$39)+0.35*COS(2*PI()*(Inputs!$C$6)/Inputs!$C$40)+0.2*SIN(2*PI()*(((Inputs!$I$6+(((A188)+1)/2)*(Inputs!$J$6-Inputs!$I$6)))+(Inputs!$C$6))/(0.5*(Inputs!$C$39+Inputs!$C$40))))+Inputs!$C$38*SIN(2*PI()*((Inputs!$I$6+(((A188)+1)/2)*(Inputs!$J$6-Inputs!$I$6)))/Inputs!$C$39)*SIN(2*PI()*(Inputs!$C$6)/Inputs!$C$40)+-Inputs!$C$41*EXP(-(((Inputs!$C$6)-Inputs!$C$43)^2)/(2*Inputs!$C$44^2))*EXP(-((((Inputs!$I$6+(((A188)+1)/2)*(Inputs!$J$6-Inputs!$I$6)))-Inputs!$C$42)^2)/(2*Inputs!$C$45^2))+Inputs!$C$48*(0.7*(0.45*SIN(2*PI()*((((Inputs!$I$6+(((A188)+1)/2)*(Inputs!$J$6-Inputs!$I$6)))/Inputs!$C$49)+Inputs!$C$47*0.137))+0.35*COS(2*PI()*(((Inputs!$C$6)/Inputs!$C$50)+Inputs!$C$47*0.173))+0.2*SIN(2*PI()*((((Inputs!$I$6+(((A188)+1)/2)*(Inputs!$J$6-Inputs!$I$6)))+(Inputs!$C$6))/(0.5*(Inputs!$C$49+Inputs!$C$50))+Inputs!$C$47*0.097)))+0.3*(2*((SIN((((Inputs!$I$6+(((A188)+1)/2)*(Inputs!$J$6-Inputs!$I$6)))*12.9898+(Inputs!$C$6)*78.233+Inputs!$C$47*37.719))*43758.5453)-INT((SIN((((Inputs!$I$6+(((A188)+1)/2)*(Inputs!$J$6-Inputs!$I$6)))*12.9898+(Inputs!$C$6)*78.233+Inputs!$C$47*37.719))*43758.5453)))-1))),NA())</f>
        <v/>
      </c>
      <c r="AT188" s="9">
        <f>IF(OR(Inputs!$F$7=TRUE,Inputs!$F$7="TRUE",Inputs!$F$7=1),IF(OR(Inputs!$C$27=TRUE,Inputs!$C$27="TRUE",Inputs!$C$27=1),1,0)*(Inputs!$C$51*(115*EXP(-(((Inputs!$C$6)-25)^2)/(4.5^2))+70*EXP(-(((Inputs!$C$6)+38)^2)/(7^2))*(0.55+0.45*SIN(2*PI()*((Inputs!$I$7+(((A188)+1)/2)*(Inputs!$J$7-Inputs!$I$7)))/45))+24*SIN(2*PI()*(Inputs!$C$6)/9+((Inputs!$I$7+(((A188)+1)/2)*(Inputs!$J$7-Inputs!$I$7)))/18)*EXP(-(((Inputs!$C$6)+5)^2)/(22^2))+18*SIN(2*PI()*((Inputs!$I$7+(((A188)+1)/2)*(Inputs!$J$7-Inputs!$I$7)))/70))+Inputs!$C$28*EXP(-((((Inputs!$I$7+(((A188)+1)/2)*(Inputs!$J$7-Inputs!$I$7)))-Inputs!$C$29)^2)/(2*Inputs!$C$31^2))*EXP(-(((Inputs!$C$6)-Inputs!$C$30)^2)/(2*Inputs!$C$32^2))+-Inputs!$C$33*EXP(-((((((Inputs!$I$7+(((A188)+1)/2)*(Inputs!$J$7-Inputs!$I$7)))-Inputs!$C$34)^2)+(((Inputs!$C$6)-Inputs!$C$35)^2))/(2*Inputs!$C$36^2)))+Inputs!$C$37*(0.55*SIN(2*PI()*((Inputs!$I$7+(((A188)+1)/2)*(Inputs!$J$7-Inputs!$I$7)))/Inputs!$C$39)+0.35*COS(2*PI()*(Inputs!$C$6)/Inputs!$C$40)+0.2*SIN(2*PI()*(((Inputs!$I$7+(((A188)+1)/2)*(Inputs!$J$7-Inputs!$I$7)))+(Inputs!$C$6))/(0.5*(Inputs!$C$39+Inputs!$C$40))))+Inputs!$C$38*SIN(2*PI()*((Inputs!$I$7+(((A188)+1)/2)*(Inputs!$J$7-Inputs!$I$7)))/Inputs!$C$39)*SIN(2*PI()*(Inputs!$C$6)/Inputs!$C$40)+-Inputs!$C$41*EXP(-(((Inputs!$C$6)-Inputs!$C$43)^2)/(2*Inputs!$C$44^2))*EXP(-((((Inputs!$I$7+(((A188)+1)/2)*(Inputs!$J$7-Inputs!$I$7)))-Inputs!$C$42)^2)/(2*Inputs!$C$45^2))+Inputs!$C$48*(0.7*(0.45*SIN(2*PI()*((((Inputs!$I$7+(((A188)+1)/2)*(Inputs!$J$7-Inputs!$I$7)))/Inputs!$C$49)+Inputs!$C$47*0.137))+0.35*COS(2*PI()*(((Inputs!$C$6)/Inputs!$C$50)+Inputs!$C$47*0.173))+0.2*SIN(2*PI()*((((Inputs!$I$7+(((A188)+1)/2)*(Inputs!$J$7-Inputs!$I$7)))+(Inputs!$C$6))/(0.5*(Inputs!$C$49+Inputs!$C$50))+Inputs!$C$47*0.097)))+0.3*(2*((SIN((((Inputs!$I$7+(((A188)+1)/2)*(Inputs!$J$7-Inputs!$I$7)))*12.9898+(Inputs!$C$6)*78.233+Inputs!$C$47*37.719))*43758.5453)-INT((SIN((((Inputs!$I$7+(((A188)+1)/2)*(Inputs!$J$7-Inputs!$I$7)))*12.9898+(Inputs!$C$6)*78.233+Inputs!$C$47*37.719))*43758.5453)))-1))),NA())</f>
        <v/>
      </c>
      <c r="AU188" s="9">
        <f>IF(OR(Inputs!$F$8=TRUE,Inputs!$F$8="TRUE",Inputs!$F$8=1),IF(OR(Inputs!$C$27=TRUE,Inputs!$C$27="TRUE",Inputs!$C$27=1),1,0)*(Inputs!$C$51*(115*EXP(-(((Inputs!$C$6)-25)^2)/(4.5^2))+70*EXP(-(((Inputs!$C$6)+38)^2)/(7^2))*(0.55+0.45*SIN(2*PI()*((Inputs!$I$8+(((A188)+1)/2)*(Inputs!$J$8-Inputs!$I$8)))/45))+24*SIN(2*PI()*(Inputs!$C$6)/9+((Inputs!$I$8+(((A188)+1)/2)*(Inputs!$J$8-Inputs!$I$8)))/18)*EXP(-(((Inputs!$C$6)+5)^2)/(22^2))+18*SIN(2*PI()*((Inputs!$I$8+(((A188)+1)/2)*(Inputs!$J$8-Inputs!$I$8)))/70))+Inputs!$C$28*EXP(-((((Inputs!$I$8+(((A188)+1)/2)*(Inputs!$J$8-Inputs!$I$8)))-Inputs!$C$29)^2)/(2*Inputs!$C$31^2))*EXP(-(((Inputs!$C$6)-Inputs!$C$30)^2)/(2*Inputs!$C$32^2))+-Inputs!$C$33*EXP(-((((((Inputs!$I$8+(((A188)+1)/2)*(Inputs!$J$8-Inputs!$I$8)))-Inputs!$C$34)^2)+(((Inputs!$C$6)-Inputs!$C$35)^2))/(2*Inputs!$C$36^2)))+Inputs!$C$37*(0.55*SIN(2*PI()*((Inputs!$I$8+(((A188)+1)/2)*(Inputs!$J$8-Inputs!$I$8)))/Inputs!$C$39)+0.35*COS(2*PI()*(Inputs!$C$6)/Inputs!$C$40)+0.2*SIN(2*PI()*(((Inputs!$I$8+(((A188)+1)/2)*(Inputs!$J$8-Inputs!$I$8)))+(Inputs!$C$6))/(0.5*(Inputs!$C$39+Inputs!$C$40))))+Inputs!$C$38*SIN(2*PI()*((Inputs!$I$8+(((A188)+1)/2)*(Inputs!$J$8-Inputs!$I$8)))/Inputs!$C$39)*SIN(2*PI()*(Inputs!$C$6)/Inputs!$C$40)+-Inputs!$C$41*EXP(-(((Inputs!$C$6)-Inputs!$C$43)^2)/(2*Inputs!$C$44^2))*EXP(-((((Inputs!$I$8+(((A188)+1)/2)*(Inputs!$J$8-Inputs!$I$8)))-Inputs!$C$42)^2)/(2*Inputs!$C$45^2))+Inputs!$C$48*(0.7*(0.45*SIN(2*PI()*((((Inputs!$I$8+(((A188)+1)/2)*(Inputs!$J$8-Inputs!$I$8)))/Inputs!$C$49)+Inputs!$C$47*0.137))+0.35*COS(2*PI()*(((Inputs!$C$6)/Inputs!$C$50)+Inputs!$C$47*0.173))+0.2*SIN(2*PI()*((((Inputs!$I$8+(((A188)+1)/2)*(Inputs!$J$8-Inputs!$I$8)))+(Inputs!$C$6))/(0.5*(Inputs!$C$49+Inputs!$C$50))+Inputs!$C$47*0.097)))+0.3*(2*((SIN((((Inputs!$I$8+(((A188)+1)/2)*(Inputs!$J$8-Inputs!$I$8)))*12.9898+(Inputs!$C$6)*78.233+Inputs!$C$47*37.719))*43758.5453)-INT((SIN((((Inputs!$I$8+(((A188)+1)/2)*(Inputs!$J$8-Inputs!$I$8)))*12.9898+(Inputs!$C$6)*78.233+Inputs!$C$47*37.719))*43758.5453)))-1))),NA())</f>
        <v/>
      </c>
      <c r="AV188" s="9">
        <f>IF(OR(Inputs!$F$9=TRUE,Inputs!$F$9="TRUE",Inputs!$F$9=1),IF(OR(Inputs!$C$27=TRUE,Inputs!$C$27="TRUE",Inputs!$C$27=1),1,0)*(Inputs!$C$51*(115*EXP(-(((Inputs!$C$6)-25)^2)/(4.5^2))+70*EXP(-(((Inputs!$C$6)+38)^2)/(7^2))*(0.55+0.45*SIN(2*PI()*((Inputs!$I$9+(((A188)+1)/2)*(Inputs!$J$9-Inputs!$I$9)))/45))+24*SIN(2*PI()*(Inputs!$C$6)/9+((Inputs!$I$9+(((A188)+1)/2)*(Inputs!$J$9-Inputs!$I$9)))/18)*EXP(-(((Inputs!$C$6)+5)^2)/(22^2))+18*SIN(2*PI()*((Inputs!$I$9+(((A188)+1)/2)*(Inputs!$J$9-Inputs!$I$9)))/70))+Inputs!$C$28*EXP(-((((Inputs!$I$9+(((A188)+1)/2)*(Inputs!$J$9-Inputs!$I$9)))-Inputs!$C$29)^2)/(2*Inputs!$C$31^2))*EXP(-(((Inputs!$C$6)-Inputs!$C$30)^2)/(2*Inputs!$C$32^2))+-Inputs!$C$33*EXP(-((((((Inputs!$I$9+(((A188)+1)/2)*(Inputs!$J$9-Inputs!$I$9)))-Inputs!$C$34)^2)+(((Inputs!$C$6)-Inputs!$C$35)^2))/(2*Inputs!$C$36^2)))+Inputs!$C$37*(0.55*SIN(2*PI()*((Inputs!$I$9+(((A188)+1)/2)*(Inputs!$J$9-Inputs!$I$9)))/Inputs!$C$39)+0.35*COS(2*PI()*(Inputs!$C$6)/Inputs!$C$40)+0.2*SIN(2*PI()*(((Inputs!$I$9+(((A188)+1)/2)*(Inputs!$J$9-Inputs!$I$9)))+(Inputs!$C$6))/(0.5*(Inputs!$C$39+Inputs!$C$40))))+Inputs!$C$38*SIN(2*PI()*((Inputs!$I$9+(((A188)+1)/2)*(Inputs!$J$9-Inputs!$I$9)))/Inputs!$C$39)*SIN(2*PI()*(Inputs!$C$6)/Inputs!$C$40)+-Inputs!$C$41*EXP(-(((Inputs!$C$6)-Inputs!$C$43)^2)/(2*Inputs!$C$44^2))*EXP(-((((Inputs!$I$9+(((A188)+1)/2)*(Inputs!$J$9-Inputs!$I$9)))-Inputs!$C$42)^2)/(2*Inputs!$C$45^2))+Inputs!$C$48*(0.7*(0.45*SIN(2*PI()*((((Inputs!$I$9+(((A188)+1)/2)*(Inputs!$J$9-Inputs!$I$9)))/Inputs!$C$49)+Inputs!$C$47*0.137))+0.35*COS(2*PI()*(((Inputs!$C$6)/Inputs!$C$50)+Inputs!$C$47*0.173))+0.2*SIN(2*PI()*((((Inputs!$I$9+(((A188)+1)/2)*(Inputs!$J$9-Inputs!$I$9)))+(Inputs!$C$6))/(0.5*(Inputs!$C$49+Inputs!$C$50))+Inputs!$C$47*0.097)))+0.3*(2*((SIN((((Inputs!$I$9+(((A188)+1)/2)*(Inputs!$J$9-Inputs!$I$9)))*12.9898+(Inputs!$C$6)*78.233+Inputs!$C$47*37.719))*43758.5453)-INT((SIN((((Inputs!$I$9+(((A188)+1)/2)*(Inputs!$J$9-Inputs!$I$9)))*12.9898+(Inputs!$C$6)*78.233+Inputs!$C$47*37.719))*43758.5453)))-1))),NA())</f>
        <v/>
      </c>
      <c r="AW188" s="10" t="n"/>
      <c r="AX188" s="9">
        <f>A188</f>
        <v/>
      </c>
      <c r="AY188" s="9">
        <f>0</f>
        <v/>
      </c>
      <c r="AZ188" s="9">
        <f>IF(OR(Inputs!$F$6=TRUE,Inputs!$F$6="TRUE",Inputs!$F$6=1),(Inputs!$H$6+Inputs!$L$6*(((Inputs!$I$6+(((A188)+1)/2)*(Inputs!$J$6-Inputs!$I$6)))/Inputs!$K$6)^2),NA())</f>
        <v/>
      </c>
      <c r="BA188" s="9">
        <f>IF(OR(Inputs!$F$7=TRUE,Inputs!$F$7="TRUE",Inputs!$F$7=1),(Inputs!$H$7+Inputs!$L$7*(((Inputs!$I$7+(((A188)+1)/2)*(Inputs!$J$7-Inputs!$I$7)))/Inputs!$K$7)^2),NA())</f>
        <v/>
      </c>
      <c r="BB188" s="9">
        <f>IF(OR(Inputs!$F$8=TRUE,Inputs!$F$8="TRUE",Inputs!$F$8=1),(Inputs!$H$8+Inputs!$L$8*(((Inputs!$I$8+(((A188)+1)/2)*(Inputs!$J$8-Inputs!$I$8)))/Inputs!$K$8)^2),NA())</f>
        <v/>
      </c>
      <c r="BC188" s="9">
        <f>IF(OR(Inputs!$F$9=TRUE,Inputs!$F$9="TRUE",Inputs!$F$9=1),(Inputs!$H$9+Inputs!$L$9*(((Inputs!$I$9+(((A188)+1)/2)*(Inputs!$J$9-Inputs!$I$9)))/Inputs!$K$9)^2),NA())</f>
        <v/>
      </c>
      <c r="BD188" s="10" t="n"/>
      <c r="BE188" s="9">
        <f>A188</f>
        <v/>
      </c>
      <c r="BF188" s="9">
        <f>0</f>
        <v/>
      </c>
      <c r="BG188" s="9">
        <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f>
        <v/>
      </c>
      <c r="BH188" s="9">
        <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f>
        <v/>
      </c>
      <c r="BI188" s="9">
        <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f>
        <v/>
      </c>
      <c r="BJ188" s="9">
        <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f>
        <v/>
      </c>
    </row>
    <row r="189">
      <c r="A189" s="9">
        <f>ROUND(-1+187*2/240,3)</f>
        <v/>
      </c>
      <c r="B189" s="9">
        <f>IF(OR(Inputs!$F$6=TRUE,Inputs!$F$6="TRUE",Inputs!$F$6=1),(Inputs!$H$6+Inputs!$L$6*(((Inputs!$I$6+(((A189)+1)/2)*(Inputs!$J$6-Inputs!$I$6)))/Inputs!$K$6)^2),NA())</f>
        <v/>
      </c>
      <c r="C189" s="9">
        <f>IF(OR(Inputs!$F$7=TRUE,Inputs!$F$7="TRUE",Inputs!$F$7=1),(Inputs!$H$7+Inputs!$L$7*(((Inputs!$I$7+(((A189)+1)/2)*(Inputs!$J$7-Inputs!$I$7)))/Inputs!$K$7)^2),NA())</f>
        <v/>
      </c>
      <c r="D189" s="9">
        <f>IF(OR(Inputs!$F$8=TRUE,Inputs!$F$8="TRUE",Inputs!$F$8=1),(Inputs!$H$8+Inputs!$L$8*(((Inputs!$I$8+(((A189)+1)/2)*(Inputs!$J$8-Inputs!$I$8)))/Inputs!$K$8)^2),NA())</f>
        <v/>
      </c>
      <c r="E189" s="9">
        <f>IF(OR(Inputs!$F$9=TRUE,Inputs!$F$9="TRUE",Inputs!$F$9=1),(Inputs!$H$9+Inputs!$L$9*(((Inputs!$I$9+(((A189)+1)/2)*(Inputs!$J$9-Inputs!$I$9)))/Inputs!$K$9)^2),NA())</f>
        <v/>
      </c>
      <c r="F189" s="10" t="n"/>
      <c r="G189" s="9">
        <f>A189</f>
        <v/>
      </c>
      <c r="H189" s="9">
        <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f>
        <v/>
      </c>
      <c r="I189" s="9">
        <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f>
        <v/>
      </c>
      <c r="J189" s="9">
        <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f>
        <v/>
      </c>
      <c r="K189" s="9">
        <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f>
        <v/>
      </c>
      <c r="L189" s="10" t="n"/>
      <c r="M189" s="9">
        <f>A189</f>
        <v/>
      </c>
      <c r="N189" s="9">
        <f>IF(OR(Inputs!$F$6=TRUE,Inputs!$F$6="TRUE",Inputs!$F$6=1),(-2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NA())</f>
        <v/>
      </c>
      <c r="O189" s="9">
        <f>IF(OR(Inputs!$F$7=TRUE,Inputs!$F$7="TRUE",Inputs!$F$7=1),(-2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NA())</f>
        <v/>
      </c>
      <c r="P189" s="9">
        <f>IF(OR(Inputs!$F$8=TRUE,Inputs!$F$8="TRUE",Inputs!$F$8=1),(-2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NA())</f>
        <v/>
      </c>
      <c r="Q189" s="9">
        <f>IF(OR(Inputs!$F$9=TRUE,Inputs!$F$9="TRUE",Inputs!$F$9=1),(-2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NA())</f>
        <v/>
      </c>
      <c r="R189" s="10" t="n"/>
      <c r="S189" s="9">
        <f>A189</f>
        <v/>
      </c>
      <c r="T189" s="9">
        <f>(Inputs!$I$6+(((A189)+1)/2)*(Inputs!$J$6-Inputs!$I$6))</f>
        <v/>
      </c>
      <c r="U189" s="9">
        <f>(Inputs!$I$7+(((A189)+1)/2)*(Inputs!$J$7-Inputs!$I$7))</f>
        <v/>
      </c>
      <c r="V189" s="9">
        <f>(Inputs!$I$8+(((A189)+1)/2)*(Inputs!$J$8-Inputs!$I$8))</f>
        <v/>
      </c>
      <c r="W189" s="9">
        <f>(Inputs!$I$9+(((A189)+1)/2)*(Inputs!$J$9-Inputs!$I$9))</f>
        <v/>
      </c>
      <c r="X189" s="10" t="n"/>
      <c r="Y189" s="9">
        <f>A189</f>
        <v/>
      </c>
      <c r="Z189" s="9">
        <f>(Inputs!$H$6+Inputs!$L$6*(((Inputs!$I$6+(((A189)+1)/2)*(Inputs!$J$6-Inputs!$I$6)))/Inputs!$K$6)^2)</f>
        <v/>
      </c>
      <c r="AA189" s="9">
        <f>(Inputs!$H$7+Inputs!$L$7*(((Inputs!$I$7+(((A189)+1)/2)*(Inputs!$J$7-Inputs!$I$7)))/Inputs!$K$7)^2)</f>
        <v/>
      </c>
      <c r="AB189" s="9">
        <f>(Inputs!$H$8+Inputs!$L$8*(((Inputs!$I$8+(((A189)+1)/2)*(Inputs!$J$8-Inputs!$I$8)))/Inputs!$K$8)^2)</f>
        <v/>
      </c>
      <c r="AC189" s="9">
        <f>(Inputs!$H$9+Inputs!$L$9*(((Inputs!$I$9+(((A189)+1)/2)*(Inputs!$J$9-Inputs!$I$9)))/Inputs!$K$9)^2)</f>
        <v/>
      </c>
      <c r="AD189" s="10" t="n"/>
      <c r="AE189" s="9">
        <f>A189</f>
        <v/>
      </c>
      <c r="AF189" s="9">
        <f>(((SQRT((Inputs!$C$52+((Inputs!$H$6+Inputs!$L$6*(((Inputs!$I$6+(((A189)+1)/2)*(Inputs!$J$6-Inputs!$I$6)))/Inputs!$K$6)^2)))^2+Inputs!$C$52^2-2*(Inputs!$C$52+((Inputs!$H$6+Inputs!$L$6*(((Inputs!$I$6+(((A189)+1)/2)*(Inputs!$J$6-Inputs!$I$6)))/Inputs!$K$6)^2)))*Inputs!$C$52*COS(SQRT(((Inputs!$I$6+(((A189)+1)/2)*(Inputs!$J$6-Inputs!$I$6)))^2+Inputs!$C$6^2)/Inputs!$C$52)))-((Inputs!$H$6+Inputs!$L$6*(((Inputs!$I$6+(((A189)+1)/2)*(Inputs!$J$6-Inputs!$I$6)))/Inputs!$K$6)^2)))*1000/Inputs!$C$12)</f>
        <v/>
      </c>
      <c r="AG189" s="9">
        <f>(((SQRT((Inputs!$C$52+((Inputs!$H$7+Inputs!$L$7*(((Inputs!$I$7+(((A189)+1)/2)*(Inputs!$J$7-Inputs!$I$7)))/Inputs!$K$7)^2)))^2+Inputs!$C$52^2-2*(Inputs!$C$52+((Inputs!$H$7+Inputs!$L$7*(((Inputs!$I$7+(((A189)+1)/2)*(Inputs!$J$7-Inputs!$I$7)))/Inputs!$K$7)^2)))*Inputs!$C$52*COS(SQRT(((Inputs!$I$7+(((A189)+1)/2)*(Inputs!$J$7-Inputs!$I$7)))^2+Inputs!$C$6^2)/Inputs!$C$52)))-((Inputs!$H$7+Inputs!$L$7*(((Inputs!$I$7+(((A189)+1)/2)*(Inputs!$J$7-Inputs!$I$7)))/Inputs!$K$7)^2)))*1000/Inputs!$C$12)</f>
        <v/>
      </c>
      <c r="AH189" s="9">
        <f>(((SQRT((Inputs!$C$52+((Inputs!$H$8+Inputs!$L$8*(((Inputs!$I$8+(((A189)+1)/2)*(Inputs!$J$8-Inputs!$I$8)))/Inputs!$K$8)^2)))^2+Inputs!$C$52^2-2*(Inputs!$C$52+((Inputs!$H$8+Inputs!$L$8*(((Inputs!$I$8+(((A189)+1)/2)*(Inputs!$J$8-Inputs!$I$8)))/Inputs!$K$8)^2)))*Inputs!$C$52*COS(SQRT(((Inputs!$I$8+(((A189)+1)/2)*(Inputs!$J$8-Inputs!$I$8)))^2+Inputs!$C$6^2)/Inputs!$C$52)))-((Inputs!$H$8+Inputs!$L$8*(((Inputs!$I$8+(((A189)+1)/2)*(Inputs!$J$8-Inputs!$I$8)))/Inputs!$K$8)^2)))*1000/Inputs!$C$12)</f>
        <v/>
      </c>
      <c r="AI189" s="9">
        <f>(((SQRT((Inputs!$C$52+((Inputs!$H$9+Inputs!$L$9*(((Inputs!$I$9+(((A189)+1)/2)*(Inputs!$J$9-Inputs!$I$9)))/Inputs!$K$9)^2)))^2+Inputs!$C$52^2-2*(Inputs!$C$52+((Inputs!$H$9+Inputs!$L$9*(((Inputs!$I$9+(((A189)+1)/2)*(Inputs!$J$9-Inputs!$I$9)))/Inputs!$K$9)^2)))*Inputs!$C$52*COS(SQRT(((Inputs!$I$9+(((A189)+1)/2)*(Inputs!$J$9-Inputs!$I$9)))^2+Inputs!$C$6^2)/Inputs!$C$52)))-((Inputs!$H$9+Inputs!$L$9*(((Inputs!$I$9+(((A189)+1)/2)*(Inputs!$J$9-Inputs!$I$9)))/Inputs!$K$9)^2)))*1000/Inputs!$C$12)</f>
        <v/>
      </c>
      <c r="AJ189" s="10" t="n"/>
      <c r="AK189" s="9">
        <f>A189</f>
        <v/>
      </c>
      <c r="AL189" s="9">
        <f>(-2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f>
        <v/>
      </c>
      <c r="AM189" s="9">
        <f>(-2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f>
        <v/>
      </c>
      <c r="AN189" s="9">
        <f>(-2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f>
        <v/>
      </c>
      <c r="AO189" s="9">
        <f>(-2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f>
        <v/>
      </c>
      <c r="AP189" s="10" t="n"/>
      <c r="AQ189" s="9">
        <f>A189</f>
        <v/>
      </c>
      <c r="AR189" s="9">
        <f>0</f>
        <v/>
      </c>
      <c r="AS189" s="9">
        <f>IF(OR(Inputs!$F$6=TRUE,Inputs!$F$6="TRUE",Inputs!$F$6=1),IF(OR(Inputs!$C$27=TRUE,Inputs!$C$27="TRUE",Inputs!$C$27=1),1,0)*(Inputs!$C$51*(115*EXP(-(((Inputs!$C$6)-25)^2)/(4.5^2))+70*EXP(-(((Inputs!$C$6)+38)^2)/(7^2))*(0.55+0.45*SIN(2*PI()*((Inputs!$I$6+(((A189)+1)/2)*(Inputs!$J$6-Inputs!$I$6)))/45))+24*SIN(2*PI()*(Inputs!$C$6)/9+((Inputs!$I$6+(((A189)+1)/2)*(Inputs!$J$6-Inputs!$I$6)))/18)*EXP(-(((Inputs!$C$6)+5)^2)/(22^2))+18*SIN(2*PI()*((Inputs!$I$6+(((A189)+1)/2)*(Inputs!$J$6-Inputs!$I$6)))/70))+Inputs!$C$28*EXP(-((((Inputs!$I$6+(((A189)+1)/2)*(Inputs!$J$6-Inputs!$I$6)))-Inputs!$C$29)^2)/(2*Inputs!$C$31^2))*EXP(-(((Inputs!$C$6)-Inputs!$C$30)^2)/(2*Inputs!$C$32^2))+-Inputs!$C$33*EXP(-((((((Inputs!$I$6+(((A189)+1)/2)*(Inputs!$J$6-Inputs!$I$6)))-Inputs!$C$34)^2)+(((Inputs!$C$6)-Inputs!$C$35)^2))/(2*Inputs!$C$36^2)))+Inputs!$C$37*(0.55*SIN(2*PI()*((Inputs!$I$6+(((A189)+1)/2)*(Inputs!$J$6-Inputs!$I$6)))/Inputs!$C$39)+0.35*COS(2*PI()*(Inputs!$C$6)/Inputs!$C$40)+0.2*SIN(2*PI()*(((Inputs!$I$6+(((A189)+1)/2)*(Inputs!$J$6-Inputs!$I$6)))+(Inputs!$C$6))/(0.5*(Inputs!$C$39+Inputs!$C$40))))+Inputs!$C$38*SIN(2*PI()*((Inputs!$I$6+(((A189)+1)/2)*(Inputs!$J$6-Inputs!$I$6)))/Inputs!$C$39)*SIN(2*PI()*(Inputs!$C$6)/Inputs!$C$40)+-Inputs!$C$41*EXP(-(((Inputs!$C$6)-Inputs!$C$43)^2)/(2*Inputs!$C$44^2))*EXP(-((((Inputs!$I$6+(((A189)+1)/2)*(Inputs!$J$6-Inputs!$I$6)))-Inputs!$C$42)^2)/(2*Inputs!$C$45^2))+Inputs!$C$48*(0.7*(0.45*SIN(2*PI()*((((Inputs!$I$6+(((A189)+1)/2)*(Inputs!$J$6-Inputs!$I$6)))/Inputs!$C$49)+Inputs!$C$47*0.137))+0.35*COS(2*PI()*(((Inputs!$C$6)/Inputs!$C$50)+Inputs!$C$47*0.173))+0.2*SIN(2*PI()*((((Inputs!$I$6+(((A189)+1)/2)*(Inputs!$J$6-Inputs!$I$6)))+(Inputs!$C$6))/(0.5*(Inputs!$C$49+Inputs!$C$50))+Inputs!$C$47*0.097)))+0.3*(2*((SIN((((Inputs!$I$6+(((A189)+1)/2)*(Inputs!$J$6-Inputs!$I$6)))*12.9898+(Inputs!$C$6)*78.233+Inputs!$C$47*37.719))*43758.5453)-INT((SIN((((Inputs!$I$6+(((A189)+1)/2)*(Inputs!$J$6-Inputs!$I$6)))*12.9898+(Inputs!$C$6)*78.233+Inputs!$C$47*37.719))*43758.5453)))-1))),NA())</f>
        <v/>
      </c>
      <c r="AT189" s="9">
        <f>IF(OR(Inputs!$F$7=TRUE,Inputs!$F$7="TRUE",Inputs!$F$7=1),IF(OR(Inputs!$C$27=TRUE,Inputs!$C$27="TRUE",Inputs!$C$27=1),1,0)*(Inputs!$C$51*(115*EXP(-(((Inputs!$C$6)-25)^2)/(4.5^2))+70*EXP(-(((Inputs!$C$6)+38)^2)/(7^2))*(0.55+0.45*SIN(2*PI()*((Inputs!$I$7+(((A189)+1)/2)*(Inputs!$J$7-Inputs!$I$7)))/45))+24*SIN(2*PI()*(Inputs!$C$6)/9+((Inputs!$I$7+(((A189)+1)/2)*(Inputs!$J$7-Inputs!$I$7)))/18)*EXP(-(((Inputs!$C$6)+5)^2)/(22^2))+18*SIN(2*PI()*((Inputs!$I$7+(((A189)+1)/2)*(Inputs!$J$7-Inputs!$I$7)))/70))+Inputs!$C$28*EXP(-((((Inputs!$I$7+(((A189)+1)/2)*(Inputs!$J$7-Inputs!$I$7)))-Inputs!$C$29)^2)/(2*Inputs!$C$31^2))*EXP(-(((Inputs!$C$6)-Inputs!$C$30)^2)/(2*Inputs!$C$32^2))+-Inputs!$C$33*EXP(-((((((Inputs!$I$7+(((A189)+1)/2)*(Inputs!$J$7-Inputs!$I$7)))-Inputs!$C$34)^2)+(((Inputs!$C$6)-Inputs!$C$35)^2))/(2*Inputs!$C$36^2)))+Inputs!$C$37*(0.55*SIN(2*PI()*((Inputs!$I$7+(((A189)+1)/2)*(Inputs!$J$7-Inputs!$I$7)))/Inputs!$C$39)+0.35*COS(2*PI()*(Inputs!$C$6)/Inputs!$C$40)+0.2*SIN(2*PI()*(((Inputs!$I$7+(((A189)+1)/2)*(Inputs!$J$7-Inputs!$I$7)))+(Inputs!$C$6))/(0.5*(Inputs!$C$39+Inputs!$C$40))))+Inputs!$C$38*SIN(2*PI()*((Inputs!$I$7+(((A189)+1)/2)*(Inputs!$J$7-Inputs!$I$7)))/Inputs!$C$39)*SIN(2*PI()*(Inputs!$C$6)/Inputs!$C$40)+-Inputs!$C$41*EXP(-(((Inputs!$C$6)-Inputs!$C$43)^2)/(2*Inputs!$C$44^2))*EXP(-((((Inputs!$I$7+(((A189)+1)/2)*(Inputs!$J$7-Inputs!$I$7)))-Inputs!$C$42)^2)/(2*Inputs!$C$45^2))+Inputs!$C$48*(0.7*(0.45*SIN(2*PI()*((((Inputs!$I$7+(((A189)+1)/2)*(Inputs!$J$7-Inputs!$I$7)))/Inputs!$C$49)+Inputs!$C$47*0.137))+0.35*COS(2*PI()*(((Inputs!$C$6)/Inputs!$C$50)+Inputs!$C$47*0.173))+0.2*SIN(2*PI()*((((Inputs!$I$7+(((A189)+1)/2)*(Inputs!$J$7-Inputs!$I$7)))+(Inputs!$C$6))/(0.5*(Inputs!$C$49+Inputs!$C$50))+Inputs!$C$47*0.097)))+0.3*(2*((SIN((((Inputs!$I$7+(((A189)+1)/2)*(Inputs!$J$7-Inputs!$I$7)))*12.9898+(Inputs!$C$6)*78.233+Inputs!$C$47*37.719))*43758.5453)-INT((SIN((((Inputs!$I$7+(((A189)+1)/2)*(Inputs!$J$7-Inputs!$I$7)))*12.9898+(Inputs!$C$6)*78.233+Inputs!$C$47*37.719))*43758.5453)))-1))),NA())</f>
        <v/>
      </c>
      <c r="AU189" s="9">
        <f>IF(OR(Inputs!$F$8=TRUE,Inputs!$F$8="TRUE",Inputs!$F$8=1),IF(OR(Inputs!$C$27=TRUE,Inputs!$C$27="TRUE",Inputs!$C$27=1),1,0)*(Inputs!$C$51*(115*EXP(-(((Inputs!$C$6)-25)^2)/(4.5^2))+70*EXP(-(((Inputs!$C$6)+38)^2)/(7^2))*(0.55+0.45*SIN(2*PI()*((Inputs!$I$8+(((A189)+1)/2)*(Inputs!$J$8-Inputs!$I$8)))/45))+24*SIN(2*PI()*(Inputs!$C$6)/9+((Inputs!$I$8+(((A189)+1)/2)*(Inputs!$J$8-Inputs!$I$8)))/18)*EXP(-(((Inputs!$C$6)+5)^2)/(22^2))+18*SIN(2*PI()*((Inputs!$I$8+(((A189)+1)/2)*(Inputs!$J$8-Inputs!$I$8)))/70))+Inputs!$C$28*EXP(-((((Inputs!$I$8+(((A189)+1)/2)*(Inputs!$J$8-Inputs!$I$8)))-Inputs!$C$29)^2)/(2*Inputs!$C$31^2))*EXP(-(((Inputs!$C$6)-Inputs!$C$30)^2)/(2*Inputs!$C$32^2))+-Inputs!$C$33*EXP(-((((((Inputs!$I$8+(((A189)+1)/2)*(Inputs!$J$8-Inputs!$I$8)))-Inputs!$C$34)^2)+(((Inputs!$C$6)-Inputs!$C$35)^2))/(2*Inputs!$C$36^2)))+Inputs!$C$37*(0.55*SIN(2*PI()*((Inputs!$I$8+(((A189)+1)/2)*(Inputs!$J$8-Inputs!$I$8)))/Inputs!$C$39)+0.35*COS(2*PI()*(Inputs!$C$6)/Inputs!$C$40)+0.2*SIN(2*PI()*(((Inputs!$I$8+(((A189)+1)/2)*(Inputs!$J$8-Inputs!$I$8)))+(Inputs!$C$6))/(0.5*(Inputs!$C$39+Inputs!$C$40))))+Inputs!$C$38*SIN(2*PI()*((Inputs!$I$8+(((A189)+1)/2)*(Inputs!$J$8-Inputs!$I$8)))/Inputs!$C$39)*SIN(2*PI()*(Inputs!$C$6)/Inputs!$C$40)+-Inputs!$C$41*EXP(-(((Inputs!$C$6)-Inputs!$C$43)^2)/(2*Inputs!$C$44^2))*EXP(-((((Inputs!$I$8+(((A189)+1)/2)*(Inputs!$J$8-Inputs!$I$8)))-Inputs!$C$42)^2)/(2*Inputs!$C$45^2))+Inputs!$C$48*(0.7*(0.45*SIN(2*PI()*((((Inputs!$I$8+(((A189)+1)/2)*(Inputs!$J$8-Inputs!$I$8)))/Inputs!$C$49)+Inputs!$C$47*0.137))+0.35*COS(2*PI()*(((Inputs!$C$6)/Inputs!$C$50)+Inputs!$C$47*0.173))+0.2*SIN(2*PI()*((((Inputs!$I$8+(((A189)+1)/2)*(Inputs!$J$8-Inputs!$I$8)))+(Inputs!$C$6))/(0.5*(Inputs!$C$49+Inputs!$C$50))+Inputs!$C$47*0.097)))+0.3*(2*((SIN((((Inputs!$I$8+(((A189)+1)/2)*(Inputs!$J$8-Inputs!$I$8)))*12.9898+(Inputs!$C$6)*78.233+Inputs!$C$47*37.719))*43758.5453)-INT((SIN((((Inputs!$I$8+(((A189)+1)/2)*(Inputs!$J$8-Inputs!$I$8)))*12.9898+(Inputs!$C$6)*78.233+Inputs!$C$47*37.719))*43758.5453)))-1))),NA())</f>
        <v/>
      </c>
      <c r="AV189" s="9">
        <f>IF(OR(Inputs!$F$9=TRUE,Inputs!$F$9="TRUE",Inputs!$F$9=1),IF(OR(Inputs!$C$27=TRUE,Inputs!$C$27="TRUE",Inputs!$C$27=1),1,0)*(Inputs!$C$51*(115*EXP(-(((Inputs!$C$6)-25)^2)/(4.5^2))+70*EXP(-(((Inputs!$C$6)+38)^2)/(7^2))*(0.55+0.45*SIN(2*PI()*((Inputs!$I$9+(((A189)+1)/2)*(Inputs!$J$9-Inputs!$I$9)))/45))+24*SIN(2*PI()*(Inputs!$C$6)/9+((Inputs!$I$9+(((A189)+1)/2)*(Inputs!$J$9-Inputs!$I$9)))/18)*EXP(-(((Inputs!$C$6)+5)^2)/(22^2))+18*SIN(2*PI()*((Inputs!$I$9+(((A189)+1)/2)*(Inputs!$J$9-Inputs!$I$9)))/70))+Inputs!$C$28*EXP(-((((Inputs!$I$9+(((A189)+1)/2)*(Inputs!$J$9-Inputs!$I$9)))-Inputs!$C$29)^2)/(2*Inputs!$C$31^2))*EXP(-(((Inputs!$C$6)-Inputs!$C$30)^2)/(2*Inputs!$C$32^2))+-Inputs!$C$33*EXP(-((((((Inputs!$I$9+(((A189)+1)/2)*(Inputs!$J$9-Inputs!$I$9)))-Inputs!$C$34)^2)+(((Inputs!$C$6)-Inputs!$C$35)^2))/(2*Inputs!$C$36^2)))+Inputs!$C$37*(0.55*SIN(2*PI()*((Inputs!$I$9+(((A189)+1)/2)*(Inputs!$J$9-Inputs!$I$9)))/Inputs!$C$39)+0.35*COS(2*PI()*(Inputs!$C$6)/Inputs!$C$40)+0.2*SIN(2*PI()*(((Inputs!$I$9+(((A189)+1)/2)*(Inputs!$J$9-Inputs!$I$9)))+(Inputs!$C$6))/(0.5*(Inputs!$C$39+Inputs!$C$40))))+Inputs!$C$38*SIN(2*PI()*((Inputs!$I$9+(((A189)+1)/2)*(Inputs!$J$9-Inputs!$I$9)))/Inputs!$C$39)*SIN(2*PI()*(Inputs!$C$6)/Inputs!$C$40)+-Inputs!$C$41*EXP(-(((Inputs!$C$6)-Inputs!$C$43)^2)/(2*Inputs!$C$44^2))*EXP(-((((Inputs!$I$9+(((A189)+1)/2)*(Inputs!$J$9-Inputs!$I$9)))-Inputs!$C$42)^2)/(2*Inputs!$C$45^2))+Inputs!$C$48*(0.7*(0.45*SIN(2*PI()*((((Inputs!$I$9+(((A189)+1)/2)*(Inputs!$J$9-Inputs!$I$9)))/Inputs!$C$49)+Inputs!$C$47*0.137))+0.35*COS(2*PI()*(((Inputs!$C$6)/Inputs!$C$50)+Inputs!$C$47*0.173))+0.2*SIN(2*PI()*((((Inputs!$I$9+(((A189)+1)/2)*(Inputs!$J$9-Inputs!$I$9)))+(Inputs!$C$6))/(0.5*(Inputs!$C$49+Inputs!$C$50))+Inputs!$C$47*0.097)))+0.3*(2*((SIN((((Inputs!$I$9+(((A189)+1)/2)*(Inputs!$J$9-Inputs!$I$9)))*12.9898+(Inputs!$C$6)*78.233+Inputs!$C$47*37.719))*43758.5453)-INT((SIN((((Inputs!$I$9+(((A189)+1)/2)*(Inputs!$J$9-Inputs!$I$9)))*12.9898+(Inputs!$C$6)*78.233+Inputs!$C$47*37.719))*43758.5453)))-1))),NA())</f>
        <v/>
      </c>
      <c r="AW189" s="10" t="n"/>
      <c r="AX189" s="9">
        <f>A189</f>
        <v/>
      </c>
      <c r="AY189" s="9">
        <f>0</f>
        <v/>
      </c>
      <c r="AZ189" s="9">
        <f>IF(OR(Inputs!$F$6=TRUE,Inputs!$F$6="TRUE",Inputs!$F$6=1),(Inputs!$H$6+Inputs!$L$6*(((Inputs!$I$6+(((A189)+1)/2)*(Inputs!$J$6-Inputs!$I$6)))/Inputs!$K$6)^2),NA())</f>
        <v/>
      </c>
      <c r="BA189" s="9">
        <f>IF(OR(Inputs!$F$7=TRUE,Inputs!$F$7="TRUE",Inputs!$F$7=1),(Inputs!$H$7+Inputs!$L$7*(((Inputs!$I$7+(((A189)+1)/2)*(Inputs!$J$7-Inputs!$I$7)))/Inputs!$K$7)^2),NA())</f>
        <v/>
      </c>
      <c r="BB189" s="9">
        <f>IF(OR(Inputs!$F$8=TRUE,Inputs!$F$8="TRUE",Inputs!$F$8=1),(Inputs!$H$8+Inputs!$L$8*(((Inputs!$I$8+(((A189)+1)/2)*(Inputs!$J$8-Inputs!$I$8)))/Inputs!$K$8)^2),NA())</f>
        <v/>
      </c>
      <c r="BC189" s="9">
        <f>IF(OR(Inputs!$F$9=TRUE,Inputs!$F$9="TRUE",Inputs!$F$9=1),(Inputs!$H$9+Inputs!$L$9*(((Inputs!$I$9+(((A189)+1)/2)*(Inputs!$J$9-Inputs!$I$9)))/Inputs!$K$9)^2),NA())</f>
        <v/>
      </c>
      <c r="BD189" s="10" t="n"/>
      <c r="BE189" s="9">
        <f>A189</f>
        <v/>
      </c>
      <c r="BF189" s="9">
        <f>0</f>
        <v/>
      </c>
      <c r="BG189" s="9">
        <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f>
        <v/>
      </c>
      <c r="BH189" s="9">
        <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f>
        <v/>
      </c>
      <c r="BI189" s="9">
        <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f>
        <v/>
      </c>
      <c r="BJ189" s="9">
        <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f>
        <v/>
      </c>
    </row>
    <row r="190">
      <c r="A190" s="9">
        <f>ROUND(-1+188*2/240,3)</f>
        <v/>
      </c>
      <c r="B190" s="9">
        <f>IF(OR(Inputs!$F$6=TRUE,Inputs!$F$6="TRUE",Inputs!$F$6=1),(Inputs!$H$6+Inputs!$L$6*(((Inputs!$I$6+(((A190)+1)/2)*(Inputs!$J$6-Inputs!$I$6)))/Inputs!$K$6)^2),NA())</f>
        <v/>
      </c>
      <c r="C190" s="9">
        <f>IF(OR(Inputs!$F$7=TRUE,Inputs!$F$7="TRUE",Inputs!$F$7=1),(Inputs!$H$7+Inputs!$L$7*(((Inputs!$I$7+(((A190)+1)/2)*(Inputs!$J$7-Inputs!$I$7)))/Inputs!$K$7)^2),NA())</f>
        <v/>
      </c>
      <c r="D190" s="9">
        <f>IF(OR(Inputs!$F$8=TRUE,Inputs!$F$8="TRUE",Inputs!$F$8=1),(Inputs!$H$8+Inputs!$L$8*(((Inputs!$I$8+(((A190)+1)/2)*(Inputs!$J$8-Inputs!$I$8)))/Inputs!$K$8)^2),NA())</f>
        <v/>
      </c>
      <c r="E190" s="9">
        <f>IF(OR(Inputs!$F$9=TRUE,Inputs!$F$9="TRUE",Inputs!$F$9=1),(Inputs!$H$9+Inputs!$L$9*(((Inputs!$I$9+(((A190)+1)/2)*(Inputs!$J$9-Inputs!$I$9)))/Inputs!$K$9)^2),NA())</f>
        <v/>
      </c>
      <c r="F190" s="10" t="n"/>
      <c r="G190" s="9">
        <f>A190</f>
        <v/>
      </c>
      <c r="H190" s="9">
        <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f>
        <v/>
      </c>
      <c r="I190" s="9">
        <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f>
        <v/>
      </c>
      <c r="J190" s="9">
        <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f>
        <v/>
      </c>
      <c r="K190" s="9">
        <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f>
        <v/>
      </c>
      <c r="L190" s="10" t="n"/>
      <c r="M190" s="9">
        <f>A190</f>
        <v/>
      </c>
      <c r="N190" s="9">
        <f>IF(OR(Inputs!$F$6=TRUE,Inputs!$F$6="TRUE",Inputs!$F$6=1),(-2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NA())</f>
        <v/>
      </c>
      <c r="O190" s="9">
        <f>IF(OR(Inputs!$F$7=TRUE,Inputs!$F$7="TRUE",Inputs!$F$7=1),(-2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NA())</f>
        <v/>
      </c>
      <c r="P190" s="9">
        <f>IF(OR(Inputs!$F$8=TRUE,Inputs!$F$8="TRUE",Inputs!$F$8=1),(-2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NA())</f>
        <v/>
      </c>
      <c r="Q190" s="9">
        <f>IF(OR(Inputs!$F$9=TRUE,Inputs!$F$9="TRUE",Inputs!$F$9=1),(-2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NA())</f>
        <v/>
      </c>
      <c r="R190" s="10" t="n"/>
      <c r="S190" s="9">
        <f>A190</f>
        <v/>
      </c>
      <c r="T190" s="9">
        <f>(Inputs!$I$6+(((A190)+1)/2)*(Inputs!$J$6-Inputs!$I$6))</f>
        <v/>
      </c>
      <c r="U190" s="9">
        <f>(Inputs!$I$7+(((A190)+1)/2)*(Inputs!$J$7-Inputs!$I$7))</f>
        <v/>
      </c>
      <c r="V190" s="9">
        <f>(Inputs!$I$8+(((A190)+1)/2)*(Inputs!$J$8-Inputs!$I$8))</f>
        <v/>
      </c>
      <c r="W190" s="9">
        <f>(Inputs!$I$9+(((A190)+1)/2)*(Inputs!$J$9-Inputs!$I$9))</f>
        <v/>
      </c>
      <c r="X190" s="10" t="n"/>
      <c r="Y190" s="9">
        <f>A190</f>
        <v/>
      </c>
      <c r="Z190" s="9">
        <f>(Inputs!$H$6+Inputs!$L$6*(((Inputs!$I$6+(((A190)+1)/2)*(Inputs!$J$6-Inputs!$I$6)))/Inputs!$K$6)^2)</f>
        <v/>
      </c>
      <c r="AA190" s="9">
        <f>(Inputs!$H$7+Inputs!$L$7*(((Inputs!$I$7+(((A190)+1)/2)*(Inputs!$J$7-Inputs!$I$7)))/Inputs!$K$7)^2)</f>
        <v/>
      </c>
      <c r="AB190" s="9">
        <f>(Inputs!$H$8+Inputs!$L$8*(((Inputs!$I$8+(((A190)+1)/2)*(Inputs!$J$8-Inputs!$I$8)))/Inputs!$K$8)^2)</f>
        <v/>
      </c>
      <c r="AC190" s="9">
        <f>(Inputs!$H$9+Inputs!$L$9*(((Inputs!$I$9+(((A190)+1)/2)*(Inputs!$J$9-Inputs!$I$9)))/Inputs!$K$9)^2)</f>
        <v/>
      </c>
      <c r="AD190" s="10" t="n"/>
      <c r="AE190" s="9">
        <f>A190</f>
        <v/>
      </c>
      <c r="AF190" s="9">
        <f>(((SQRT((Inputs!$C$52+((Inputs!$H$6+Inputs!$L$6*(((Inputs!$I$6+(((A190)+1)/2)*(Inputs!$J$6-Inputs!$I$6)))/Inputs!$K$6)^2)))^2+Inputs!$C$52^2-2*(Inputs!$C$52+((Inputs!$H$6+Inputs!$L$6*(((Inputs!$I$6+(((A190)+1)/2)*(Inputs!$J$6-Inputs!$I$6)))/Inputs!$K$6)^2)))*Inputs!$C$52*COS(SQRT(((Inputs!$I$6+(((A190)+1)/2)*(Inputs!$J$6-Inputs!$I$6)))^2+Inputs!$C$6^2)/Inputs!$C$52)))-((Inputs!$H$6+Inputs!$L$6*(((Inputs!$I$6+(((A190)+1)/2)*(Inputs!$J$6-Inputs!$I$6)))/Inputs!$K$6)^2)))*1000/Inputs!$C$12)</f>
        <v/>
      </c>
      <c r="AG190" s="9">
        <f>(((SQRT((Inputs!$C$52+((Inputs!$H$7+Inputs!$L$7*(((Inputs!$I$7+(((A190)+1)/2)*(Inputs!$J$7-Inputs!$I$7)))/Inputs!$K$7)^2)))^2+Inputs!$C$52^2-2*(Inputs!$C$52+((Inputs!$H$7+Inputs!$L$7*(((Inputs!$I$7+(((A190)+1)/2)*(Inputs!$J$7-Inputs!$I$7)))/Inputs!$K$7)^2)))*Inputs!$C$52*COS(SQRT(((Inputs!$I$7+(((A190)+1)/2)*(Inputs!$J$7-Inputs!$I$7)))^2+Inputs!$C$6^2)/Inputs!$C$52)))-((Inputs!$H$7+Inputs!$L$7*(((Inputs!$I$7+(((A190)+1)/2)*(Inputs!$J$7-Inputs!$I$7)))/Inputs!$K$7)^2)))*1000/Inputs!$C$12)</f>
        <v/>
      </c>
      <c r="AH190" s="9">
        <f>(((SQRT((Inputs!$C$52+((Inputs!$H$8+Inputs!$L$8*(((Inputs!$I$8+(((A190)+1)/2)*(Inputs!$J$8-Inputs!$I$8)))/Inputs!$K$8)^2)))^2+Inputs!$C$52^2-2*(Inputs!$C$52+((Inputs!$H$8+Inputs!$L$8*(((Inputs!$I$8+(((A190)+1)/2)*(Inputs!$J$8-Inputs!$I$8)))/Inputs!$K$8)^2)))*Inputs!$C$52*COS(SQRT(((Inputs!$I$8+(((A190)+1)/2)*(Inputs!$J$8-Inputs!$I$8)))^2+Inputs!$C$6^2)/Inputs!$C$52)))-((Inputs!$H$8+Inputs!$L$8*(((Inputs!$I$8+(((A190)+1)/2)*(Inputs!$J$8-Inputs!$I$8)))/Inputs!$K$8)^2)))*1000/Inputs!$C$12)</f>
        <v/>
      </c>
      <c r="AI190" s="9">
        <f>(((SQRT((Inputs!$C$52+((Inputs!$H$9+Inputs!$L$9*(((Inputs!$I$9+(((A190)+1)/2)*(Inputs!$J$9-Inputs!$I$9)))/Inputs!$K$9)^2)))^2+Inputs!$C$52^2-2*(Inputs!$C$52+((Inputs!$H$9+Inputs!$L$9*(((Inputs!$I$9+(((A190)+1)/2)*(Inputs!$J$9-Inputs!$I$9)))/Inputs!$K$9)^2)))*Inputs!$C$52*COS(SQRT(((Inputs!$I$9+(((A190)+1)/2)*(Inputs!$J$9-Inputs!$I$9)))^2+Inputs!$C$6^2)/Inputs!$C$52)))-((Inputs!$H$9+Inputs!$L$9*(((Inputs!$I$9+(((A190)+1)/2)*(Inputs!$J$9-Inputs!$I$9)))/Inputs!$K$9)^2)))*1000/Inputs!$C$12)</f>
        <v/>
      </c>
      <c r="AJ190" s="10" t="n"/>
      <c r="AK190" s="9">
        <f>A190</f>
        <v/>
      </c>
      <c r="AL190" s="9">
        <f>(-2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f>
        <v/>
      </c>
      <c r="AM190" s="9">
        <f>(-2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f>
        <v/>
      </c>
      <c r="AN190" s="9">
        <f>(-2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f>
        <v/>
      </c>
      <c r="AO190" s="9">
        <f>(-2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f>
        <v/>
      </c>
      <c r="AP190" s="10" t="n"/>
      <c r="AQ190" s="9">
        <f>A190</f>
        <v/>
      </c>
      <c r="AR190" s="9">
        <f>0</f>
        <v/>
      </c>
      <c r="AS190" s="9">
        <f>IF(OR(Inputs!$F$6=TRUE,Inputs!$F$6="TRUE",Inputs!$F$6=1),IF(OR(Inputs!$C$27=TRUE,Inputs!$C$27="TRUE",Inputs!$C$27=1),1,0)*(Inputs!$C$51*(115*EXP(-(((Inputs!$C$6)-25)^2)/(4.5^2))+70*EXP(-(((Inputs!$C$6)+38)^2)/(7^2))*(0.55+0.45*SIN(2*PI()*((Inputs!$I$6+(((A190)+1)/2)*(Inputs!$J$6-Inputs!$I$6)))/45))+24*SIN(2*PI()*(Inputs!$C$6)/9+((Inputs!$I$6+(((A190)+1)/2)*(Inputs!$J$6-Inputs!$I$6)))/18)*EXP(-(((Inputs!$C$6)+5)^2)/(22^2))+18*SIN(2*PI()*((Inputs!$I$6+(((A190)+1)/2)*(Inputs!$J$6-Inputs!$I$6)))/70))+Inputs!$C$28*EXP(-((((Inputs!$I$6+(((A190)+1)/2)*(Inputs!$J$6-Inputs!$I$6)))-Inputs!$C$29)^2)/(2*Inputs!$C$31^2))*EXP(-(((Inputs!$C$6)-Inputs!$C$30)^2)/(2*Inputs!$C$32^2))+-Inputs!$C$33*EXP(-((((((Inputs!$I$6+(((A190)+1)/2)*(Inputs!$J$6-Inputs!$I$6)))-Inputs!$C$34)^2)+(((Inputs!$C$6)-Inputs!$C$35)^2))/(2*Inputs!$C$36^2)))+Inputs!$C$37*(0.55*SIN(2*PI()*((Inputs!$I$6+(((A190)+1)/2)*(Inputs!$J$6-Inputs!$I$6)))/Inputs!$C$39)+0.35*COS(2*PI()*(Inputs!$C$6)/Inputs!$C$40)+0.2*SIN(2*PI()*(((Inputs!$I$6+(((A190)+1)/2)*(Inputs!$J$6-Inputs!$I$6)))+(Inputs!$C$6))/(0.5*(Inputs!$C$39+Inputs!$C$40))))+Inputs!$C$38*SIN(2*PI()*((Inputs!$I$6+(((A190)+1)/2)*(Inputs!$J$6-Inputs!$I$6)))/Inputs!$C$39)*SIN(2*PI()*(Inputs!$C$6)/Inputs!$C$40)+-Inputs!$C$41*EXP(-(((Inputs!$C$6)-Inputs!$C$43)^2)/(2*Inputs!$C$44^2))*EXP(-((((Inputs!$I$6+(((A190)+1)/2)*(Inputs!$J$6-Inputs!$I$6)))-Inputs!$C$42)^2)/(2*Inputs!$C$45^2))+Inputs!$C$48*(0.7*(0.45*SIN(2*PI()*((((Inputs!$I$6+(((A190)+1)/2)*(Inputs!$J$6-Inputs!$I$6)))/Inputs!$C$49)+Inputs!$C$47*0.137))+0.35*COS(2*PI()*(((Inputs!$C$6)/Inputs!$C$50)+Inputs!$C$47*0.173))+0.2*SIN(2*PI()*((((Inputs!$I$6+(((A190)+1)/2)*(Inputs!$J$6-Inputs!$I$6)))+(Inputs!$C$6))/(0.5*(Inputs!$C$49+Inputs!$C$50))+Inputs!$C$47*0.097)))+0.3*(2*((SIN((((Inputs!$I$6+(((A190)+1)/2)*(Inputs!$J$6-Inputs!$I$6)))*12.9898+(Inputs!$C$6)*78.233+Inputs!$C$47*37.719))*43758.5453)-INT((SIN((((Inputs!$I$6+(((A190)+1)/2)*(Inputs!$J$6-Inputs!$I$6)))*12.9898+(Inputs!$C$6)*78.233+Inputs!$C$47*37.719))*43758.5453)))-1))),NA())</f>
        <v/>
      </c>
      <c r="AT190" s="9">
        <f>IF(OR(Inputs!$F$7=TRUE,Inputs!$F$7="TRUE",Inputs!$F$7=1),IF(OR(Inputs!$C$27=TRUE,Inputs!$C$27="TRUE",Inputs!$C$27=1),1,0)*(Inputs!$C$51*(115*EXP(-(((Inputs!$C$6)-25)^2)/(4.5^2))+70*EXP(-(((Inputs!$C$6)+38)^2)/(7^2))*(0.55+0.45*SIN(2*PI()*((Inputs!$I$7+(((A190)+1)/2)*(Inputs!$J$7-Inputs!$I$7)))/45))+24*SIN(2*PI()*(Inputs!$C$6)/9+((Inputs!$I$7+(((A190)+1)/2)*(Inputs!$J$7-Inputs!$I$7)))/18)*EXP(-(((Inputs!$C$6)+5)^2)/(22^2))+18*SIN(2*PI()*((Inputs!$I$7+(((A190)+1)/2)*(Inputs!$J$7-Inputs!$I$7)))/70))+Inputs!$C$28*EXP(-((((Inputs!$I$7+(((A190)+1)/2)*(Inputs!$J$7-Inputs!$I$7)))-Inputs!$C$29)^2)/(2*Inputs!$C$31^2))*EXP(-(((Inputs!$C$6)-Inputs!$C$30)^2)/(2*Inputs!$C$32^2))+-Inputs!$C$33*EXP(-((((((Inputs!$I$7+(((A190)+1)/2)*(Inputs!$J$7-Inputs!$I$7)))-Inputs!$C$34)^2)+(((Inputs!$C$6)-Inputs!$C$35)^2))/(2*Inputs!$C$36^2)))+Inputs!$C$37*(0.55*SIN(2*PI()*((Inputs!$I$7+(((A190)+1)/2)*(Inputs!$J$7-Inputs!$I$7)))/Inputs!$C$39)+0.35*COS(2*PI()*(Inputs!$C$6)/Inputs!$C$40)+0.2*SIN(2*PI()*(((Inputs!$I$7+(((A190)+1)/2)*(Inputs!$J$7-Inputs!$I$7)))+(Inputs!$C$6))/(0.5*(Inputs!$C$39+Inputs!$C$40))))+Inputs!$C$38*SIN(2*PI()*((Inputs!$I$7+(((A190)+1)/2)*(Inputs!$J$7-Inputs!$I$7)))/Inputs!$C$39)*SIN(2*PI()*(Inputs!$C$6)/Inputs!$C$40)+-Inputs!$C$41*EXP(-(((Inputs!$C$6)-Inputs!$C$43)^2)/(2*Inputs!$C$44^2))*EXP(-((((Inputs!$I$7+(((A190)+1)/2)*(Inputs!$J$7-Inputs!$I$7)))-Inputs!$C$42)^2)/(2*Inputs!$C$45^2))+Inputs!$C$48*(0.7*(0.45*SIN(2*PI()*((((Inputs!$I$7+(((A190)+1)/2)*(Inputs!$J$7-Inputs!$I$7)))/Inputs!$C$49)+Inputs!$C$47*0.137))+0.35*COS(2*PI()*(((Inputs!$C$6)/Inputs!$C$50)+Inputs!$C$47*0.173))+0.2*SIN(2*PI()*((((Inputs!$I$7+(((A190)+1)/2)*(Inputs!$J$7-Inputs!$I$7)))+(Inputs!$C$6))/(0.5*(Inputs!$C$49+Inputs!$C$50))+Inputs!$C$47*0.097)))+0.3*(2*((SIN((((Inputs!$I$7+(((A190)+1)/2)*(Inputs!$J$7-Inputs!$I$7)))*12.9898+(Inputs!$C$6)*78.233+Inputs!$C$47*37.719))*43758.5453)-INT((SIN((((Inputs!$I$7+(((A190)+1)/2)*(Inputs!$J$7-Inputs!$I$7)))*12.9898+(Inputs!$C$6)*78.233+Inputs!$C$47*37.719))*43758.5453)))-1))),NA())</f>
        <v/>
      </c>
      <c r="AU190" s="9">
        <f>IF(OR(Inputs!$F$8=TRUE,Inputs!$F$8="TRUE",Inputs!$F$8=1),IF(OR(Inputs!$C$27=TRUE,Inputs!$C$27="TRUE",Inputs!$C$27=1),1,0)*(Inputs!$C$51*(115*EXP(-(((Inputs!$C$6)-25)^2)/(4.5^2))+70*EXP(-(((Inputs!$C$6)+38)^2)/(7^2))*(0.55+0.45*SIN(2*PI()*((Inputs!$I$8+(((A190)+1)/2)*(Inputs!$J$8-Inputs!$I$8)))/45))+24*SIN(2*PI()*(Inputs!$C$6)/9+((Inputs!$I$8+(((A190)+1)/2)*(Inputs!$J$8-Inputs!$I$8)))/18)*EXP(-(((Inputs!$C$6)+5)^2)/(22^2))+18*SIN(2*PI()*((Inputs!$I$8+(((A190)+1)/2)*(Inputs!$J$8-Inputs!$I$8)))/70))+Inputs!$C$28*EXP(-((((Inputs!$I$8+(((A190)+1)/2)*(Inputs!$J$8-Inputs!$I$8)))-Inputs!$C$29)^2)/(2*Inputs!$C$31^2))*EXP(-(((Inputs!$C$6)-Inputs!$C$30)^2)/(2*Inputs!$C$32^2))+-Inputs!$C$33*EXP(-((((((Inputs!$I$8+(((A190)+1)/2)*(Inputs!$J$8-Inputs!$I$8)))-Inputs!$C$34)^2)+(((Inputs!$C$6)-Inputs!$C$35)^2))/(2*Inputs!$C$36^2)))+Inputs!$C$37*(0.55*SIN(2*PI()*((Inputs!$I$8+(((A190)+1)/2)*(Inputs!$J$8-Inputs!$I$8)))/Inputs!$C$39)+0.35*COS(2*PI()*(Inputs!$C$6)/Inputs!$C$40)+0.2*SIN(2*PI()*(((Inputs!$I$8+(((A190)+1)/2)*(Inputs!$J$8-Inputs!$I$8)))+(Inputs!$C$6))/(0.5*(Inputs!$C$39+Inputs!$C$40))))+Inputs!$C$38*SIN(2*PI()*((Inputs!$I$8+(((A190)+1)/2)*(Inputs!$J$8-Inputs!$I$8)))/Inputs!$C$39)*SIN(2*PI()*(Inputs!$C$6)/Inputs!$C$40)+-Inputs!$C$41*EXP(-(((Inputs!$C$6)-Inputs!$C$43)^2)/(2*Inputs!$C$44^2))*EXP(-((((Inputs!$I$8+(((A190)+1)/2)*(Inputs!$J$8-Inputs!$I$8)))-Inputs!$C$42)^2)/(2*Inputs!$C$45^2))+Inputs!$C$48*(0.7*(0.45*SIN(2*PI()*((((Inputs!$I$8+(((A190)+1)/2)*(Inputs!$J$8-Inputs!$I$8)))/Inputs!$C$49)+Inputs!$C$47*0.137))+0.35*COS(2*PI()*(((Inputs!$C$6)/Inputs!$C$50)+Inputs!$C$47*0.173))+0.2*SIN(2*PI()*((((Inputs!$I$8+(((A190)+1)/2)*(Inputs!$J$8-Inputs!$I$8)))+(Inputs!$C$6))/(0.5*(Inputs!$C$49+Inputs!$C$50))+Inputs!$C$47*0.097)))+0.3*(2*((SIN((((Inputs!$I$8+(((A190)+1)/2)*(Inputs!$J$8-Inputs!$I$8)))*12.9898+(Inputs!$C$6)*78.233+Inputs!$C$47*37.719))*43758.5453)-INT((SIN((((Inputs!$I$8+(((A190)+1)/2)*(Inputs!$J$8-Inputs!$I$8)))*12.9898+(Inputs!$C$6)*78.233+Inputs!$C$47*37.719))*43758.5453)))-1))),NA())</f>
        <v/>
      </c>
      <c r="AV190" s="9">
        <f>IF(OR(Inputs!$F$9=TRUE,Inputs!$F$9="TRUE",Inputs!$F$9=1),IF(OR(Inputs!$C$27=TRUE,Inputs!$C$27="TRUE",Inputs!$C$27=1),1,0)*(Inputs!$C$51*(115*EXP(-(((Inputs!$C$6)-25)^2)/(4.5^2))+70*EXP(-(((Inputs!$C$6)+38)^2)/(7^2))*(0.55+0.45*SIN(2*PI()*((Inputs!$I$9+(((A190)+1)/2)*(Inputs!$J$9-Inputs!$I$9)))/45))+24*SIN(2*PI()*(Inputs!$C$6)/9+((Inputs!$I$9+(((A190)+1)/2)*(Inputs!$J$9-Inputs!$I$9)))/18)*EXP(-(((Inputs!$C$6)+5)^2)/(22^2))+18*SIN(2*PI()*((Inputs!$I$9+(((A190)+1)/2)*(Inputs!$J$9-Inputs!$I$9)))/70))+Inputs!$C$28*EXP(-((((Inputs!$I$9+(((A190)+1)/2)*(Inputs!$J$9-Inputs!$I$9)))-Inputs!$C$29)^2)/(2*Inputs!$C$31^2))*EXP(-(((Inputs!$C$6)-Inputs!$C$30)^2)/(2*Inputs!$C$32^2))+-Inputs!$C$33*EXP(-((((((Inputs!$I$9+(((A190)+1)/2)*(Inputs!$J$9-Inputs!$I$9)))-Inputs!$C$34)^2)+(((Inputs!$C$6)-Inputs!$C$35)^2))/(2*Inputs!$C$36^2)))+Inputs!$C$37*(0.55*SIN(2*PI()*((Inputs!$I$9+(((A190)+1)/2)*(Inputs!$J$9-Inputs!$I$9)))/Inputs!$C$39)+0.35*COS(2*PI()*(Inputs!$C$6)/Inputs!$C$40)+0.2*SIN(2*PI()*(((Inputs!$I$9+(((A190)+1)/2)*(Inputs!$J$9-Inputs!$I$9)))+(Inputs!$C$6))/(0.5*(Inputs!$C$39+Inputs!$C$40))))+Inputs!$C$38*SIN(2*PI()*((Inputs!$I$9+(((A190)+1)/2)*(Inputs!$J$9-Inputs!$I$9)))/Inputs!$C$39)*SIN(2*PI()*(Inputs!$C$6)/Inputs!$C$40)+-Inputs!$C$41*EXP(-(((Inputs!$C$6)-Inputs!$C$43)^2)/(2*Inputs!$C$44^2))*EXP(-((((Inputs!$I$9+(((A190)+1)/2)*(Inputs!$J$9-Inputs!$I$9)))-Inputs!$C$42)^2)/(2*Inputs!$C$45^2))+Inputs!$C$48*(0.7*(0.45*SIN(2*PI()*((((Inputs!$I$9+(((A190)+1)/2)*(Inputs!$J$9-Inputs!$I$9)))/Inputs!$C$49)+Inputs!$C$47*0.137))+0.35*COS(2*PI()*(((Inputs!$C$6)/Inputs!$C$50)+Inputs!$C$47*0.173))+0.2*SIN(2*PI()*((((Inputs!$I$9+(((A190)+1)/2)*(Inputs!$J$9-Inputs!$I$9)))+(Inputs!$C$6))/(0.5*(Inputs!$C$49+Inputs!$C$50))+Inputs!$C$47*0.097)))+0.3*(2*((SIN((((Inputs!$I$9+(((A190)+1)/2)*(Inputs!$J$9-Inputs!$I$9)))*12.9898+(Inputs!$C$6)*78.233+Inputs!$C$47*37.719))*43758.5453)-INT((SIN((((Inputs!$I$9+(((A190)+1)/2)*(Inputs!$J$9-Inputs!$I$9)))*12.9898+(Inputs!$C$6)*78.233+Inputs!$C$47*37.719))*43758.5453)))-1))),NA())</f>
        <v/>
      </c>
      <c r="AW190" s="10" t="n"/>
      <c r="AX190" s="9">
        <f>A190</f>
        <v/>
      </c>
      <c r="AY190" s="9">
        <f>0</f>
        <v/>
      </c>
      <c r="AZ190" s="9">
        <f>IF(OR(Inputs!$F$6=TRUE,Inputs!$F$6="TRUE",Inputs!$F$6=1),(Inputs!$H$6+Inputs!$L$6*(((Inputs!$I$6+(((A190)+1)/2)*(Inputs!$J$6-Inputs!$I$6)))/Inputs!$K$6)^2),NA())</f>
        <v/>
      </c>
      <c r="BA190" s="9">
        <f>IF(OR(Inputs!$F$7=TRUE,Inputs!$F$7="TRUE",Inputs!$F$7=1),(Inputs!$H$7+Inputs!$L$7*(((Inputs!$I$7+(((A190)+1)/2)*(Inputs!$J$7-Inputs!$I$7)))/Inputs!$K$7)^2),NA())</f>
        <v/>
      </c>
      <c r="BB190" s="9">
        <f>IF(OR(Inputs!$F$8=TRUE,Inputs!$F$8="TRUE",Inputs!$F$8=1),(Inputs!$H$8+Inputs!$L$8*(((Inputs!$I$8+(((A190)+1)/2)*(Inputs!$J$8-Inputs!$I$8)))/Inputs!$K$8)^2),NA())</f>
        <v/>
      </c>
      <c r="BC190" s="9">
        <f>IF(OR(Inputs!$F$9=TRUE,Inputs!$F$9="TRUE",Inputs!$F$9=1),(Inputs!$H$9+Inputs!$L$9*(((Inputs!$I$9+(((A190)+1)/2)*(Inputs!$J$9-Inputs!$I$9)))/Inputs!$K$9)^2),NA())</f>
        <v/>
      </c>
      <c r="BD190" s="10" t="n"/>
      <c r="BE190" s="9">
        <f>A190</f>
        <v/>
      </c>
      <c r="BF190" s="9">
        <f>0</f>
        <v/>
      </c>
      <c r="BG190" s="9">
        <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f>
        <v/>
      </c>
      <c r="BH190" s="9">
        <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f>
        <v/>
      </c>
      <c r="BI190" s="9">
        <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f>
        <v/>
      </c>
      <c r="BJ190" s="9">
        <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f>
        <v/>
      </c>
    </row>
    <row r="191">
      <c r="A191" s="9">
        <f>ROUND(-1+189*2/240,3)</f>
        <v/>
      </c>
      <c r="B191" s="9">
        <f>IF(OR(Inputs!$F$6=TRUE,Inputs!$F$6="TRUE",Inputs!$F$6=1),(Inputs!$H$6+Inputs!$L$6*(((Inputs!$I$6+(((A191)+1)/2)*(Inputs!$J$6-Inputs!$I$6)))/Inputs!$K$6)^2),NA())</f>
        <v/>
      </c>
      <c r="C191" s="9">
        <f>IF(OR(Inputs!$F$7=TRUE,Inputs!$F$7="TRUE",Inputs!$F$7=1),(Inputs!$H$7+Inputs!$L$7*(((Inputs!$I$7+(((A191)+1)/2)*(Inputs!$J$7-Inputs!$I$7)))/Inputs!$K$7)^2),NA())</f>
        <v/>
      </c>
      <c r="D191" s="9">
        <f>IF(OR(Inputs!$F$8=TRUE,Inputs!$F$8="TRUE",Inputs!$F$8=1),(Inputs!$H$8+Inputs!$L$8*(((Inputs!$I$8+(((A191)+1)/2)*(Inputs!$J$8-Inputs!$I$8)))/Inputs!$K$8)^2),NA())</f>
        <v/>
      </c>
      <c r="E191" s="9">
        <f>IF(OR(Inputs!$F$9=TRUE,Inputs!$F$9="TRUE",Inputs!$F$9=1),(Inputs!$H$9+Inputs!$L$9*(((Inputs!$I$9+(((A191)+1)/2)*(Inputs!$J$9-Inputs!$I$9)))/Inputs!$K$9)^2),NA())</f>
        <v/>
      </c>
      <c r="F191" s="10" t="n"/>
      <c r="G191" s="9">
        <f>A191</f>
        <v/>
      </c>
      <c r="H191" s="9">
        <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f>
        <v/>
      </c>
      <c r="I191" s="9">
        <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f>
        <v/>
      </c>
      <c r="J191" s="9">
        <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f>
        <v/>
      </c>
      <c r="K191" s="9">
        <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f>
        <v/>
      </c>
      <c r="L191" s="10" t="n"/>
      <c r="M191" s="9">
        <f>A191</f>
        <v/>
      </c>
      <c r="N191" s="9">
        <f>IF(OR(Inputs!$F$6=TRUE,Inputs!$F$6="TRUE",Inputs!$F$6=1),(-2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NA())</f>
        <v/>
      </c>
      <c r="O191" s="9">
        <f>IF(OR(Inputs!$F$7=TRUE,Inputs!$F$7="TRUE",Inputs!$F$7=1),(-2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NA())</f>
        <v/>
      </c>
      <c r="P191" s="9">
        <f>IF(OR(Inputs!$F$8=TRUE,Inputs!$F$8="TRUE",Inputs!$F$8=1),(-2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NA())</f>
        <v/>
      </c>
      <c r="Q191" s="9">
        <f>IF(OR(Inputs!$F$9=TRUE,Inputs!$F$9="TRUE",Inputs!$F$9=1),(-2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NA())</f>
        <v/>
      </c>
      <c r="R191" s="10" t="n"/>
      <c r="S191" s="9">
        <f>A191</f>
        <v/>
      </c>
      <c r="T191" s="9">
        <f>(Inputs!$I$6+(((A191)+1)/2)*(Inputs!$J$6-Inputs!$I$6))</f>
        <v/>
      </c>
      <c r="U191" s="9">
        <f>(Inputs!$I$7+(((A191)+1)/2)*(Inputs!$J$7-Inputs!$I$7))</f>
        <v/>
      </c>
      <c r="V191" s="9">
        <f>(Inputs!$I$8+(((A191)+1)/2)*(Inputs!$J$8-Inputs!$I$8))</f>
        <v/>
      </c>
      <c r="W191" s="9">
        <f>(Inputs!$I$9+(((A191)+1)/2)*(Inputs!$J$9-Inputs!$I$9))</f>
        <v/>
      </c>
      <c r="X191" s="10" t="n"/>
      <c r="Y191" s="9">
        <f>A191</f>
        <v/>
      </c>
      <c r="Z191" s="9">
        <f>(Inputs!$H$6+Inputs!$L$6*(((Inputs!$I$6+(((A191)+1)/2)*(Inputs!$J$6-Inputs!$I$6)))/Inputs!$K$6)^2)</f>
        <v/>
      </c>
      <c r="AA191" s="9">
        <f>(Inputs!$H$7+Inputs!$L$7*(((Inputs!$I$7+(((A191)+1)/2)*(Inputs!$J$7-Inputs!$I$7)))/Inputs!$K$7)^2)</f>
        <v/>
      </c>
      <c r="AB191" s="9">
        <f>(Inputs!$H$8+Inputs!$L$8*(((Inputs!$I$8+(((A191)+1)/2)*(Inputs!$J$8-Inputs!$I$8)))/Inputs!$K$8)^2)</f>
        <v/>
      </c>
      <c r="AC191" s="9">
        <f>(Inputs!$H$9+Inputs!$L$9*(((Inputs!$I$9+(((A191)+1)/2)*(Inputs!$J$9-Inputs!$I$9)))/Inputs!$K$9)^2)</f>
        <v/>
      </c>
      <c r="AD191" s="10" t="n"/>
      <c r="AE191" s="9">
        <f>A191</f>
        <v/>
      </c>
      <c r="AF191" s="9">
        <f>(((SQRT((Inputs!$C$52+((Inputs!$H$6+Inputs!$L$6*(((Inputs!$I$6+(((A191)+1)/2)*(Inputs!$J$6-Inputs!$I$6)))/Inputs!$K$6)^2)))^2+Inputs!$C$52^2-2*(Inputs!$C$52+((Inputs!$H$6+Inputs!$L$6*(((Inputs!$I$6+(((A191)+1)/2)*(Inputs!$J$6-Inputs!$I$6)))/Inputs!$K$6)^2)))*Inputs!$C$52*COS(SQRT(((Inputs!$I$6+(((A191)+1)/2)*(Inputs!$J$6-Inputs!$I$6)))^2+Inputs!$C$6^2)/Inputs!$C$52)))-((Inputs!$H$6+Inputs!$L$6*(((Inputs!$I$6+(((A191)+1)/2)*(Inputs!$J$6-Inputs!$I$6)))/Inputs!$K$6)^2)))*1000/Inputs!$C$12)</f>
        <v/>
      </c>
      <c r="AG191" s="9">
        <f>(((SQRT((Inputs!$C$52+((Inputs!$H$7+Inputs!$L$7*(((Inputs!$I$7+(((A191)+1)/2)*(Inputs!$J$7-Inputs!$I$7)))/Inputs!$K$7)^2)))^2+Inputs!$C$52^2-2*(Inputs!$C$52+((Inputs!$H$7+Inputs!$L$7*(((Inputs!$I$7+(((A191)+1)/2)*(Inputs!$J$7-Inputs!$I$7)))/Inputs!$K$7)^2)))*Inputs!$C$52*COS(SQRT(((Inputs!$I$7+(((A191)+1)/2)*(Inputs!$J$7-Inputs!$I$7)))^2+Inputs!$C$6^2)/Inputs!$C$52)))-((Inputs!$H$7+Inputs!$L$7*(((Inputs!$I$7+(((A191)+1)/2)*(Inputs!$J$7-Inputs!$I$7)))/Inputs!$K$7)^2)))*1000/Inputs!$C$12)</f>
        <v/>
      </c>
      <c r="AH191" s="9">
        <f>(((SQRT((Inputs!$C$52+((Inputs!$H$8+Inputs!$L$8*(((Inputs!$I$8+(((A191)+1)/2)*(Inputs!$J$8-Inputs!$I$8)))/Inputs!$K$8)^2)))^2+Inputs!$C$52^2-2*(Inputs!$C$52+((Inputs!$H$8+Inputs!$L$8*(((Inputs!$I$8+(((A191)+1)/2)*(Inputs!$J$8-Inputs!$I$8)))/Inputs!$K$8)^2)))*Inputs!$C$52*COS(SQRT(((Inputs!$I$8+(((A191)+1)/2)*(Inputs!$J$8-Inputs!$I$8)))^2+Inputs!$C$6^2)/Inputs!$C$52)))-((Inputs!$H$8+Inputs!$L$8*(((Inputs!$I$8+(((A191)+1)/2)*(Inputs!$J$8-Inputs!$I$8)))/Inputs!$K$8)^2)))*1000/Inputs!$C$12)</f>
        <v/>
      </c>
      <c r="AI191" s="9">
        <f>(((SQRT((Inputs!$C$52+((Inputs!$H$9+Inputs!$L$9*(((Inputs!$I$9+(((A191)+1)/2)*(Inputs!$J$9-Inputs!$I$9)))/Inputs!$K$9)^2)))^2+Inputs!$C$52^2-2*(Inputs!$C$52+((Inputs!$H$9+Inputs!$L$9*(((Inputs!$I$9+(((A191)+1)/2)*(Inputs!$J$9-Inputs!$I$9)))/Inputs!$K$9)^2)))*Inputs!$C$52*COS(SQRT(((Inputs!$I$9+(((A191)+1)/2)*(Inputs!$J$9-Inputs!$I$9)))^2+Inputs!$C$6^2)/Inputs!$C$52)))-((Inputs!$H$9+Inputs!$L$9*(((Inputs!$I$9+(((A191)+1)/2)*(Inputs!$J$9-Inputs!$I$9)))/Inputs!$K$9)^2)))*1000/Inputs!$C$12)</f>
        <v/>
      </c>
      <c r="AJ191" s="10" t="n"/>
      <c r="AK191" s="9">
        <f>A191</f>
        <v/>
      </c>
      <c r="AL191" s="9">
        <f>(-2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f>
        <v/>
      </c>
      <c r="AM191" s="9">
        <f>(-2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f>
        <v/>
      </c>
      <c r="AN191" s="9">
        <f>(-2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f>
        <v/>
      </c>
      <c r="AO191" s="9">
        <f>(-2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f>
        <v/>
      </c>
      <c r="AP191" s="10" t="n"/>
      <c r="AQ191" s="9">
        <f>A191</f>
        <v/>
      </c>
      <c r="AR191" s="9">
        <f>0</f>
        <v/>
      </c>
      <c r="AS191" s="9">
        <f>IF(OR(Inputs!$F$6=TRUE,Inputs!$F$6="TRUE",Inputs!$F$6=1),IF(OR(Inputs!$C$27=TRUE,Inputs!$C$27="TRUE",Inputs!$C$27=1),1,0)*(Inputs!$C$51*(115*EXP(-(((Inputs!$C$6)-25)^2)/(4.5^2))+70*EXP(-(((Inputs!$C$6)+38)^2)/(7^2))*(0.55+0.45*SIN(2*PI()*((Inputs!$I$6+(((A191)+1)/2)*(Inputs!$J$6-Inputs!$I$6)))/45))+24*SIN(2*PI()*(Inputs!$C$6)/9+((Inputs!$I$6+(((A191)+1)/2)*(Inputs!$J$6-Inputs!$I$6)))/18)*EXP(-(((Inputs!$C$6)+5)^2)/(22^2))+18*SIN(2*PI()*((Inputs!$I$6+(((A191)+1)/2)*(Inputs!$J$6-Inputs!$I$6)))/70))+Inputs!$C$28*EXP(-((((Inputs!$I$6+(((A191)+1)/2)*(Inputs!$J$6-Inputs!$I$6)))-Inputs!$C$29)^2)/(2*Inputs!$C$31^2))*EXP(-(((Inputs!$C$6)-Inputs!$C$30)^2)/(2*Inputs!$C$32^2))+-Inputs!$C$33*EXP(-((((((Inputs!$I$6+(((A191)+1)/2)*(Inputs!$J$6-Inputs!$I$6)))-Inputs!$C$34)^2)+(((Inputs!$C$6)-Inputs!$C$35)^2))/(2*Inputs!$C$36^2)))+Inputs!$C$37*(0.55*SIN(2*PI()*((Inputs!$I$6+(((A191)+1)/2)*(Inputs!$J$6-Inputs!$I$6)))/Inputs!$C$39)+0.35*COS(2*PI()*(Inputs!$C$6)/Inputs!$C$40)+0.2*SIN(2*PI()*(((Inputs!$I$6+(((A191)+1)/2)*(Inputs!$J$6-Inputs!$I$6)))+(Inputs!$C$6))/(0.5*(Inputs!$C$39+Inputs!$C$40))))+Inputs!$C$38*SIN(2*PI()*((Inputs!$I$6+(((A191)+1)/2)*(Inputs!$J$6-Inputs!$I$6)))/Inputs!$C$39)*SIN(2*PI()*(Inputs!$C$6)/Inputs!$C$40)+-Inputs!$C$41*EXP(-(((Inputs!$C$6)-Inputs!$C$43)^2)/(2*Inputs!$C$44^2))*EXP(-((((Inputs!$I$6+(((A191)+1)/2)*(Inputs!$J$6-Inputs!$I$6)))-Inputs!$C$42)^2)/(2*Inputs!$C$45^2))+Inputs!$C$48*(0.7*(0.45*SIN(2*PI()*((((Inputs!$I$6+(((A191)+1)/2)*(Inputs!$J$6-Inputs!$I$6)))/Inputs!$C$49)+Inputs!$C$47*0.137))+0.35*COS(2*PI()*(((Inputs!$C$6)/Inputs!$C$50)+Inputs!$C$47*0.173))+0.2*SIN(2*PI()*((((Inputs!$I$6+(((A191)+1)/2)*(Inputs!$J$6-Inputs!$I$6)))+(Inputs!$C$6))/(0.5*(Inputs!$C$49+Inputs!$C$50))+Inputs!$C$47*0.097)))+0.3*(2*((SIN((((Inputs!$I$6+(((A191)+1)/2)*(Inputs!$J$6-Inputs!$I$6)))*12.9898+(Inputs!$C$6)*78.233+Inputs!$C$47*37.719))*43758.5453)-INT((SIN((((Inputs!$I$6+(((A191)+1)/2)*(Inputs!$J$6-Inputs!$I$6)))*12.9898+(Inputs!$C$6)*78.233+Inputs!$C$47*37.719))*43758.5453)))-1))),NA())</f>
        <v/>
      </c>
      <c r="AT191" s="9">
        <f>IF(OR(Inputs!$F$7=TRUE,Inputs!$F$7="TRUE",Inputs!$F$7=1),IF(OR(Inputs!$C$27=TRUE,Inputs!$C$27="TRUE",Inputs!$C$27=1),1,0)*(Inputs!$C$51*(115*EXP(-(((Inputs!$C$6)-25)^2)/(4.5^2))+70*EXP(-(((Inputs!$C$6)+38)^2)/(7^2))*(0.55+0.45*SIN(2*PI()*((Inputs!$I$7+(((A191)+1)/2)*(Inputs!$J$7-Inputs!$I$7)))/45))+24*SIN(2*PI()*(Inputs!$C$6)/9+((Inputs!$I$7+(((A191)+1)/2)*(Inputs!$J$7-Inputs!$I$7)))/18)*EXP(-(((Inputs!$C$6)+5)^2)/(22^2))+18*SIN(2*PI()*((Inputs!$I$7+(((A191)+1)/2)*(Inputs!$J$7-Inputs!$I$7)))/70))+Inputs!$C$28*EXP(-((((Inputs!$I$7+(((A191)+1)/2)*(Inputs!$J$7-Inputs!$I$7)))-Inputs!$C$29)^2)/(2*Inputs!$C$31^2))*EXP(-(((Inputs!$C$6)-Inputs!$C$30)^2)/(2*Inputs!$C$32^2))+-Inputs!$C$33*EXP(-((((((Inputs!$I$7+(((A191)+1)/2)*(Inputs!$J$7-Inputs!$I$7)))-Inputs!$C$34)^2)+(((Inputs!$C$6)-Inputs!$C$35)^2))/(2*Inputs!$C$36^2)))+Inputs!$C$37*(0.55*SIN(2*PI()*((Inputs!$I$7+(((A191)+1)/2)*(Inputs!$J$7-Inputs!$I$7)))/Inputs!$C$39)+0.35*COS(2*PI()*(Inputs!$C$6)/Inputs!$C$40)+0.2*SIN(2*PI()*(((Inputs!$I$7+(((A191)+1)/2)*(Inputs!$J$7-Inputs!$I$7)))+(Inputs!$C$6))/(0.5*(Inputs!$C$39+Inputs!$C$40))))+Inputs!$C$38*SIN(2*PI()*((Inputs!$I$7+(((A191)+1)/2)*(Inputs!$J$7-Inputs!$I$7)))/Inputs!$C$39)*SIN(2*PI()*(Inputs!$C$6)/Inputs!$C$40)+-Inputs!$C$41*EXP(-(((Inputs!$C$6)-Inputs!$C$43)^2)/(2*Inputs!$C$44^2))*EXP(-((((Inputs!$I$7+(((A191)+1)/2)*(Inputs!$J$7-Inputs!$I$7)))-Inputs!$C$42)^2)/(2*Inputs!$C$45^2))+Inputs!$C$48*(0.7*(0.45*SIN(2*PI()*((((Inputs!$I$7+(((A191)+1)/2)*(Inputs!$J$7-Inputs!$I$7)))/Inputs!$C$49)+Inputs!$C$47*0.137))+0.35*COS(2*PI()*(((Inputs!$C$6)/Inputs!$C$50)+Inputs!$C$47*0.173))+0.2*SIN(2*PI()*((((Inputs!$I$7+(((A191)+1)/2)*(Inputs!$J$7-Inputs!$I$7)))+(Inputs!$C$6))/(0.5*(Inputs!$C$49+Inputs!$C$50))+Inputs!$C$47*0.097)))+0.3*(2*((SIN((((Inputs!$I$7+(((A191)+1)/2)*(Inputs!$J$7-Inputs!$I$7)))*12.9898+(Inputs!$C$6)*78.233+Inputs!$C$47*37.719))*43758.5453)-INT((SIN((((Inputs!$I$7+(((A191)+1)/2)*(Inputs!$J$7-Inputs!$I$7)))*12.9898+(Inputs!$C$6)*78.233+Inputs!$C$47*37.719))*43758.5453)))-1))),NA())</f>
        <v/>
      </c>
      <c r="AU191" s="9">
        <f>IF(OR(Inputs!$F$8=TRUE,Inputs!$F$8="TRUE",Inputs!$F$8=1),IF(OR(Inputs!$C$27=TRUE,Inputs!$C$27="TRUE",Inputs!$C$27=1),1,0)*(Inputs!$C$51*(115*EXP(-(((Inputs!$C$6)-25)^2)/(4.5^2))+70*EXP(-(((Inputs!$C$6)+38)^2)/(7^2))*(0.55+0.45*SIN(2*PI()*((Inputs!$I$8+(((A191)+1)/2)*(Inputs!$J$8-Inputs!$I$8)))/45))+24*SIN(2*PI()*(Inputs!$C$6)/9+((Inputs!$I$8+(((A191)+1)/2)*(Inputs!$J$8-Inputs!$I$8)))/18)*EXP(-(((Inputs!$C$6)+5)^2)/(22^2))+18*SIN(2*PI()*((Inputs!$I$8+(((A191)+1)/2)*(Inputs!$J$8-Inputs!$I$8)))/70))+Inputs!$C$28*EXP(-((((Inputs!$I$8+(((A191)+1)/2)*(Inputs!$J$8-Inputs!$I$8)))-Inputs!$C$29)^2)/(2*Inputs!$C$31^2))*EXP(-(((Inputs!$C$6)-Inputs!$C$30)^2)/(2*Inputs!$C$32^2))+-Inputs!$C$33*EXP(-((((((Inputs!$I$8+(((A191)+1)/2)*(Inputs!$J$8-Inputs!$I$8)))-Inputs!$C$34)^2)+(((Inputs!$C$6)-Inputs!$C$35)^2))/(2*Inputs!$C$36^2)))+Inputs!$C$37*(0.55*SIN(2*PI()*((Inputs!$I$8+(((A191)+1)/2)*(Inputs!$J$8-Inputs!$I$8)))/Inputs!$C$39)+0.35*COS(2*PI()*(Inputs!$C$6)/Inputs!$C$40)+0.2*SIN(2*PI()*(((Inputs!$I$8+(((A191)+1)/2)*(Inputs!$J$8-Inputs!$I$8)))+(Inputs!$C$6))/(0.5*(Inputs!$C$39+Inputs!$C$40))))+Inputs!$C$38*SIN(2*PI()*((Inputs!$I$8+(((A191)+1)/2)*(Inputs!$J$8-Inputs!$I$8)))/Inputs!$C$39)*SIN(2*PI()*(Inputs!$C$6)/Inputs!$C$40)+-Inputs!$C$41*EXP(-(((Inputs!$C$6)-Inputs!$C$43)^2)/(2*Inputs!$C$44^2))*EXP(-((((Inputs!$I$8+(((A191)+1)/2)*(Inputs!$J$8-Inputs!$I$8)))-Inputs!$C$42)^2)/(2*Inputs!$C$45^2))+Inputs!$C$48*(0.7*(0.45*SIN(2*PI()*((((Inputs!$I$8+(((A191)+1)/2)*(Inputs!$J$8-Inputs!$I$8)))/Inputs!$C$49)+Inputs!$C$47*0.137))+0.35*COS(2*PI()*(((Inputs!$C$6)/Inputs!$C$50)+Inputs!$C$47*0.173))+0.2*SIN(2*PI()*((((Inputs!$I$8+(((A191)+1)/2)*(Inputs!$J$8-Inputs!$I$8)))+(Inputs!$C$6))/(0.5*(Inputs!$C$49+Inputs!$C$50))+Inputs!$C$47*0.097)))+0.3*(2*((SIN((((Inputs!$I$8+(((A191)+1)/2)*(Inputs!$J$8-Inputs!$I$8)))*12.9898+(Inputs!$C$6)*78.233+Inputs!$C$47*37.719))*43758.5453)-INT((SIN((((Inputs!$I$8+(((A191)+1)/2)*(Inputs!$J$8-Inputs!$I$8)))*12.9898+(Inputs!$C$6)*78.233+Inputs!$C$47*37.719))*43758.5453)))-1))),NA())</f>
        <v/>
      </c>
      <c r="AV191" s="9">
        <f>IF(OR(Inputs!$F$9=TRUE,Inputs!$F$9="TRUE",Inputs!$F$9=1),IF(OR(Inputs!$C$27=TRUE,Inputs!$C$27="TRUE",Inputs!$C$27=1),1,0)*(Inputs!$C$51*(115*EXP(-(((Inputs!$C$6)-25)^2)/(4.5^2))+70*EXP(-(((Inputs!$C$6)+38)^2)/(7^2))*(0.55+0.45*SIN(2*PI()*((Inputs!$I$9+(((A191)+1)/2)*(Inputs!$J$9-Inputs!$I$9)))/45))+24*SIN(2*PI()*(Inputs!$C$6)/9+((Inputs!$I$9+(((A191)+1)/2)*(Inputs!$J$9-Inputs!$I$9)))/18)*EXP(-(((Inputs!$C$6)+5)^2)/(22^2))+18*SIN(2*PI()*((Inputs!$I$9+(((A191)+1)/2)*(Inputs!$J$9-Inputs!$I$9)))/70))+Inputs!$C$28*EXP(-((((Inputs!$I$9+(((A191)+1)/2)*(Inputs!$J$9-Inputs!$I$9)))-Inputs!$C$29)^2)/(2*Inputs!$C$31^2))*EXP(-(((Inputs!$C$6)-Inputs!$C$30)^2)/(2*Inputs!$C$32^2))+-Inputs!$C$33*EXP(-((((((Inputs!$I$9+(((A191)+1)/2)*(Inputs!$J$9-Inputs!$I$9)))-Inputs!$C$34)^2)+(((Inputs!$C$6)-Inputs!$C$35)^2))/(2*Inputs!$C$36^2)))+Inputs!$C$37*(0.55*SIN(2*PI()*((Inputs!$I$9+(((A191)+1)/2)*(Inputs!$J$9-Inputs!$I$9)))/Inputs!$C$39)+0.35*COS(2*PI()*(Inputs!$C$6)/Inputs!$C$40)+0.2*SIN(2*PI()*(((Inputs!$I$9+(((A191)+1)/2)*(Inputs!$J$9-Inputs!$I$9)))+(Inputs!$C$6))/(0.5*(Inputs!$C$39+Inputs!$C$40))))+Inputs!$C$38*SIN(2*PI()*((Inputs!$I$9+(((A191)+1)/2)*(Inputs!$J$9-Inputs!$I$9)))/Inputs!$C$39)*SIN(2*PI()*(Inputs!$C$6)/Inputs!$C$40)+-Inputs!$C$41*EXP(-(((Inputs!$C$6)-Inputs!$C$43)^2)/(2*Inputs!$C$44^2))*EXP(-((((Inputs!$I$9+(((A191)+1)/2)*(Inputs!$J$9-Inputs!$I$9)))-Inputs!$C$42)^2)/(2*Inputs!$C$45^2))+Inputs!$C$48*(0.7*(0.45*SIN(2*PI()*((((Inputs!$I$9+(((A191)+1)/2)*(Inputs!$J$9-Inputs!$I$9)))/Inputs!$C$49)+Inputs!$C$47*0.137))+0.35*COS(2*PI()*(((Inputs!$C$6)/Inputs!$C$50)+Inputs!$C$47*0.173))+0.2*SIN(2*PI()*((((Inputs!$I$9+(((A191)+1)/2)*(Inputs!$J$9-Inputs!$I$9)))+(Inputs!$C$6))/(0.5*(Inputs!$C$49+Inputs!$C$50))+Inputs!$C$47*0.097)))+0.3*(2*((SIN((((Inputs!$I$9+(((A191)+1)/2)*(Inputs!$J$9-Inputs!$I$9)))*12.9898+(Inputs!$C$6)*78.233+Inputs!$C$47*37.719))*43758.5453)-INT((SIN((((Inputs!$I$9+(((A191)+1)/2)*(Inputs!$J$9-Inputs!$I$9)))*12.9898+(Inputs!$C$6)*78.233+Inputs!$C$47*37.719))*43758.5453)))-1))),NA())</f>
        <v/>
      </c>
      <c r="AW191" s="10" t="n"/>
      <c r="AX191" s="9">
        <f>A191</f>
        <v/>
      </c>
      <c r="AY191" s="9">
        <f>0</f>
        <v/>
      </c>
      <c r="AZ191" s="9">
        <f>IF(OR(Inputs!$F$6=TRUE,Inputs!$F$6="TRUE",Inputs!$F$6=1),(Inputs!$H$6+Inputs!$L$6*(((Inputs!$I$6+(((A191)+1)/2)*(Inputs!$J$6-Inputs!$I$6)))/Inputs!$K$6)^2),NA())</f>
        <v/>
      </c>
      <c r="BA191" s="9">
        <f>IF(OR(Inputs!$F$7=TRUE,Inputs!$F$7="TRUE",Inputs!$F$7=1),(Inputs!$H$7+Inputs!$L$7*(((Inputs!$I$7+(((A191)+1)/2)*(Inputs!$J$7-Inputs!$I$7)))/Inputs!$K$7)^2),NA())</f>
        <v/>
      </c>
      <c r="BB191" s="9">
        <f>IF(OR(Inputs!$F$8=TRUE,Inputs!$F$8="TRUE",Inputs!$F$8=1),(Inputs!$H$8+Inputs!$L$8*(((Inputs!$I$8+(((A191)+1)/2)*(Inputs!$J$8-Inputs!$I$8)))/Inputs!$K$8)^2),NA())</f>
        <v/>
      </c>
      <c r="BC191" s="9">
        <f>IF(OR(Inputs!$F$9=TRUE,Inputs!$F$9="TRUE",Inputs!$F$9=1),(Inputs!$H$9+Inputs!$L$9*(((Inputs!$I$9+(((A191)+1)/2)*(Inputs!$J$9-Inputs!$I$9)))/Inputs!$K$9)^2),NA())</f>
        <v/>
      </c>
      <c r="BD191" s="10" t="n"/>
      <c r="BE191" s="9">
        <f>A191</f>
        <v/>
      </c>
      <c r="BF191" s="9">
        <f>0</f>
        <v/>
      </c>
      <c r="BG191" s="9">
        <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f>
        <v/>
      </c>
      <c r="BH191" s="9">
        <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f>
        <v/>
      </c>
      <c r="BI191" s="9">
        <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f>
        <v/>
      </c>
      <c r="BJ191" s="9">
        <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f>
        <v/>
      </c>
    </row>
    <row r="192">
      <c r="A192" s="9">
        <f>ROUND(-1+190*2/240,3)</f>
        <v/>
      </c>
      <c r="B192" s="9">
        <f>IF(OR(Inputs!$F$6=TRUE,Inputs!$F$6="TRUE",Inputs!$F$6=1),(Inputs!$H$6+Inputs!$L$6*(((Inputs!$I$6+(((A192)+1)/2)*(Inputs!$J$6-Inputs!$I$6)))/Inputs!$K$6)^2),NA())</f>
        <v/>
      </c>
      <c r="C192" s="9">
        <f>IF(OR(Inputs!$F$7=TRUE,Inputs!$F$7="TRUE",Inputs!$F$7=1),(Inputs!$H$7+Inputs!$L$7*(((Inputs!$I$7+(((A192)+1)/2)*(Inputs!$J$7-Inputs!$I$7)))/Inputs!$K$7)^2),NA())</f>
        <v/>
      </c>
      <c r="D192" s="9">
        <f>IF(OR(Inputs!$F$8=TRUE,Inputs!$F$8="TRUE",Inputs!$F$8=1),(Inputs!$H$8+Inputs!$L$8*(((Inputs!$I$8+(((A192)+1)/2)*(Inputs!$J$8-Inputs!$I$8)))/Inputs!$K$8)^2),NA())</f>
        <v/>
      </c>
      <c r="E192" s="9">
        <f>IF(OR(Inputs!$F$9=TRUE,Inputs!$F$9="TRUE",Inputs!$F$9=1),(Inputs!$H$9+Inputs!$L$9*(((Inputs!$I$9+(((A192)+1)/2)*(Inputs!$J$9-Inputs!$I$9)))/Inputs!$K$9)^2),NA())</f>
        <v/>
      </c>
      <c r="F192" s="10" t="n"/>
      <c r="G192" s="9">
        <f>A192</f>
        <v/>
      </c>
      <c r="H192" s="9">
        <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f>
        <v/>
      </c>
      <c r="I192" s="9">
        <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f>
        <v/>
      </c>
      <c r="J192" s="9">
        <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f>
        <v/>
      </c>
      <c r="K192" s="9">
        <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f>
        <v/>
      </c>
      <c r="L192" s="10" t="n"/>
      <c r="M192" s="9">
        <f>A192</f>
        <v/>
      </c>
      <c r="N192" s="9">
        <f>IF(OR(Inputs!$F$6=TRUE,Inputs!$F$6="TRUE",Inputs!$F$6=1),(-2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NA())</f>
        <v/>
      </c>
      <c r="O192" s="9">
        <f>IF(OR(Inputs!$F$7=TRUE,Inputs!$F$7="TRUE",Inputs!$F$7=1),(-2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NA())</f>
        <v/>
      </c>
      <c r="P192" s="9">
        <f>IF(OR(Inputs!$F$8=TRUE,Inputs!$F$8="TRUE",Inputs!$F$8=1),(-2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NA())</f>
        <v/>
      </c>
      <c r="Q192" s="9">
        <f>IF(OR(Inputs!$F$9=TRUE,Inputs!$F$9="TRUE",Inputs!$F$9=1),(-2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NA())</f>
        <v/>
      </c>
      <c r="R192" s="10" t="n"/>
      <c r="S192" s="9">
        <f>A192</f>
        <v/>
      </c>
      <c r="T192" s="9">
        <f>(Inputs!$I$6+(((A192)+1)/2)*(Inputs!$J$6-Inputs!$I$6))</f>
        <v/>
      </c>
      <c r="U192" s="9">
        <f>(Inputs!$I$7+(((A192)+1)/2)*(Inputs!$J$7-Inputs!$I$7))</f>
        <v/>
      </c>
      <c r="V192" s="9">
        <f>(Inputs!$I$8+(((A192)+1)/2)*(Inputs!$J$8-Inputs!$I$8))</f>
        <v/>
      </c>
      <c r="W192" s="9">
        <f>(Inputs!$I$9+(((A192)+1)/2)*(Inputs!$J$9-Inputs!$I$9))</f>
        <v/>
      </c>
      <c r="X192" s="10" t="n"/>
      <c r="Y192" s="9">
        <f>A192</f>
        <v/>
      </c>
      <c r="Z192" s="9">
        <f>(Inputs!$H$6+Inputs!$L$6*(((Inputs!$I$6+(((A192)+1)/2)*(Inputs!$J$6-Inputs!$I$6)))/Inputs!$K$6)^2)</f>
        <v/>
      </c>
      <c r="AA192" s="9">
        <f>(Inputs!$H$7+Inputs!$L$7*(((Inputs!$I$7+(((A192)+1)/2)*(Inputs!$J$7-Inputs!$I$7)))/Inputs!$K$7)^2)</f>
        <v/>
      </c>
      <c r="AB192" s="9">
        <f>(Inputs!$H$8+Inputs!$L$8*(((Inputs!$I$8+(((A192)+1)/2)*(Inputs!$J$8-Inputs!$I$8)))/Inputs!$K$8)^2)</f>
        <v/>
      </c>
      <c r="AC192" s="9">
        <f>(Inputs!$H$9+Inputs!$L$9*(((Inputs!$I$9+(((A192)+1)/2)*(Inputs!$J$9-Inputs!$I$9)))/Inputs!$K$9)^2)</f>
        <v/>
      </c>
      <c r="AD192" s="10" t="n"/>
      <c r="AE192" s="9">
        <f>A192</f>
        <v/>
      </c>
      <c r="AF192" s="9">
        <f>(((SQRT((Inputs!$C$52+((Inputs!$H$6+Inputs!$L$6*(((Inputs!$I$6+(((A192)+1)/2)*(Inputs!$J$6-Inputs!$I$6)))/Inputs!$K$6)^2)))^2+Inputs!$C$52^2-2*(Inputs!$C$52+((Inputs!$H$6+Inputs!$L$6*(((Inputs!$I$6+(((A192)+1)/2)*(Inputs!$J$6-Inputs!$I$6)))/Inputs!$K$6)^2)))*Inputs!$C$52*COS(SQRT(((Inputs!$I$6+(((A192)+1)/2)*(Inputs!$J$6-Inputs!$I$6)))^2+Inputs!$C$6^2)/Inputs!$C$52)))-((Inputs!$H$6+Inputs!$L$6*(((Inputs!$I$6+(((A192)+1)/2)*(Inputs!$J$6-Inputs!$I$6)))/Inputs!$K$6)^2)))*1000/Inputs!$C$12)</f>
        <v/>
      </c>
      <c r="AG192" s="9">
        <f>(((SQRT((Inputs!$C$52+((Inputs!$H$7+Inputs!$L$7*(((Inputs!$I$7+(((A192)+1)/2)*(Inputs!$J$7-Inputs!$I$7)))/Inputs!$K$7)^2)))^2+Inputs!$C$52^2-2*(Inputs!$C$52+((Inputs!$H$7+Inputs!$L$7*(((Inputs!$I$7+(((A192)+1)/2)*(Inputs!$J$7-Inputs!$I$7)))/Inputs!$K$7)^2)))*Inputs!$C$52*COS(SQRT(((Inputs!$I$7+(((A192)+1)/2)*(Inputs!$J$7-Inputs!$I$7)))^2+Inputs!$C$6^2)/Inputs!$C$52)))-((Inputs!$H$7+Inputs!$L$7*(((Inputs!$I$7+(((A192)+1)/2)*(Inputs!$J$7-Inputs!$I$7)))/Inputs!$K$7)^2)))*1000/Inputs!$C$12)</f>
        <v/>
      </c>
      <c r="AH192" s="9">
        <f>(((SQRT((Inputs!$C$52+((Inputs!$H$8+Inputs!$L$8*(((Inputs!$I$8+(((A192)+1)/2)*(Inputs!$J$8-Inputs!$I$8)))/Inputs!$K$8)^2)))^2+Inputs!$C$52^2-2*(Inputs!$C$52+((Inputs!$H$8+Inputs!$L$8*(((Inputs!$I$8+(((A192)+1)/2)*(Inputs!$J$8-Inputs!$I$8)))/Inputs!$K$8)^2)))*Inputs!$C$52*COS(SQRT(((Inputs!$I$8+(((A192)+1)/2)*(Inputs!$J$8-Inputs!$I$8)))^2+Inputs!$C$6^2)/Inputs!$C$52)))-((Inputs!$H$8+Inputs!$L$8*(((Inputs!$I$8+(((A192)+1)/2)*(Inputs!$J$8-Inputs!$I$8)))/Inputs!$K$8)^2)))*1000/Inputs!$C$12)</f>
        <v/>
      </c>
      <c r="AI192" s="9">
        <f>(((SQRT((Inputs!$C$52+((Inputs!$H$9+Inputs!$L$9*(((Inputs!$I$9+(((A192)+1)/2)*(Inputs!$J$9-Inputs!$I$9)))/Inputs!$K$9)^2)))^2+Inputs!$C$52^2-2*(Inputs!$C$52+((Inputs!$H$9+Inputs!$L$9*(((Inputs!$I$9+(((A192)+1)/2)*(Inputs!$J$9-Inputs!$I$9)))/Inputs!$K$9)^2)))*Inputs!$C$52*COS(SQRT(((Inputs!$I$9+(((A192)+1)/2)*(Inputs!$J$9-Inputs!$I$9)))^2+Inputs!$C$6^2)/Inputs!$C$52)))-((Inputs!$H$9+Inputs!$L$9*(((Inputs!$I$9+(((A192)+1)/2)*(Inputs!$J$9-Inputs!$I$9)))/Inputs!$K$9)^2)))*1000/Inputs!$C$12)</f>
        <v/>
      </c>
      <c r="AJ192" s="10" t="n"/>
      <c r="AK192" s="9">
        <f>A192</f>
        <v/>
      </c>
      <c r="AL192" s="9">
        <f>(-2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f>
        <v/>
      </c>
      <c r="AM192" s="9">
        <f>(-2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f>
        <v/>
      </c>
      <c r="AN192" s="9">
        <f>(-2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f>
        <v/>
      </c>
      <c r="AO192" s="9">
        <f>(-2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f>
        <v/>
      </c>
      <c r="AP192" s="10" t="n"/>
      <c r="AQ192" s="9">
        <f>A192</f>
        <v/>
      </c>
      <c r="AR192" s="9">
        <f>0</f>
        <v/>
      </c>
      <c r="AS192" s="9">
        <f>IF(OR(Inputs!$F$6=TRUE,Inputs!$F$6="TRUE",Inputs!$F$6=1),IF(OR(Inputs!$C$27=TRUE,Inputs!$C$27="TRUE",Inputs!$C$27=1),1,0)*(Inputs!$C$51*(115*EXP(-(((Inputs!$C$6)-25)^2)/(4.5^2))+70*EXP(-(((Inputs!$C$6)+38)^2)/(7^2))*(0.55+0.45*SIN(2*PI()*((Inputs!$I$6+(((A192)+1)/2)*(Inputs!$J$6-Inputs!$I$6)))/45))+24*SIN(2*PI()*(Inputs!$C$6)/9+((Inputs!$I$6+(((A192)+1)/2)*(Inputs!$J$6-Inputs!$I$6)))/18)*EXP(-(((Inputs!$C$6)+5)^2)/(22^2))+18*SIN(2*PI()*((Inputs!$I$6+(((A192)+1)/2)*(Inputs!$J$6-Inputs!$I$6)))/70))+Inputs!$C$28*EXP(-((((Inputs!$I$6+(((A192)+1)/2)*(Inputs!$J$6-Inputs!$I$6)))-Inputs!$C$29)^2)/(2*Inputs!$C$31^2))*EXP(-(((Inputs!$C$6)-Inputs!$C$30)^2)/(2*Inputs!$C$32^2))+-Inputs!$C$33*EXP(-((((((Inputs!$I$6+(((A192)+1)/2)*(Inputs!$J$6-Inputs!$I$6)))-Inputs!$C$34)^2)+(((Inputs!$C$6)-Inputs!$C$35)^2))/(2*Inputs!$C$36^2)))+Inputs!$C$37*(0.55*SIN(2*PI()*((Inputs!$I$6+(((A192)+1)/2)*(Inputs!$J$6-Inputs!$I$6)))/Inputs!$C$39)+0.35*COS(2*PI()*(Inputs!$C$6)/Inputs!$C$40)+0.2*SIN(2*PI()*(((Inputs!$I$6+(((A192)+1)/2)*(Inputs!$J$6-Inputs!$I$6)))+(Inputs!$C$6))/(0.5*(Inputs!$C$39+Inputs!$C$40))))+Inputs!$C$38*SIN(2*PI()*((Inputs!$I$6+(((A192)+1)/2)*(Inputs!$J$6-Inputs!$I$6)))/Inputs!$C$39)*SIN(2*PI()*(Inputs!$C$6)/Inputs!$C$40)+-Inputs!$C$41*EXP(-(((Inputs!$C$6)-Inputs!$C$43)^2)/(2*Inputs!$C$44^2))*EXP(-((((Inputs!$I$6+(((A192)+1)/2)*(Inputs!$J$6-Inputs!$I$6)))-Inputs!$C$42)^2)/(2*Inputs!$C$45^2))+Inputs!$C$48*(0.7*(0.45*SIN(2*PI()*((((Inputs!$I$6+(((A192)+1)/2)*(Inputs!$J$6-Inputs!$I$6)))/Inputs!$C$49)+Inputs!$C$47*0.137))+0.35*COS(2*PI()*(((Inputs!$C$6)/Inputs!$C$50)+Inputs!$C$47*0.173))+0.2*SIN(2*PI()*((((Inputs!$I$6+(((A192)+1)/2)*(Inputs!$J$6-Inputs!$I$6)))+(Inputs!$C$6))/(0.5*(Inputs!$C$49+Inputs!$C$50))+Inputs!$C$47*0.097)))+0.3*(2*((SIN((((Inputs!$I$6+(((A192)+1)/2)*(Inputs!$J$6-Inputs!$I$6)))*12.9898+(Inputs!$C$6)*78.233+Inputs!$C$47*37.719))*43758.5453)-INT((SIN((((Inputs!$I$6+(((A192)+1)/2)*(Inputs!$J$6-Inputs!$I$6)))*12.9898+(Inputs!$C$6)*78.233+Inputs!$C$47*37.719))*43758.5453)))-1))),NA())</f>
        <v/>
      </c>
      <c r="AT192" s="9">
        <f>IF(OR(Inputs!$F$7=TRUE,Inputs!$F$7="TRUE",Inputs!$F$7=1),IF(OR(Inputs!$C$27=TRUE,Inputs!$C$27="TRUE",Inputs!$C$27=1),1,0)*(Inputs!$C$51*(115*EXP(-(((Inputs!$C$6)-25)^2)/(4.5^2))+70*EXP(-(((Inputs!$C$6)+38)^2)/(7^2))*(0.55+0.45*SIN(2*PI()*((Inputs!$I$7+(((A192)+1)/2)*(Inputs!$J$7-Inputs!$I$7)))/45))+24*SIN(2*PI()*(Inputs!$C$6)/9+((Inputs!$I$7+(((A192)+1)/2)*(Inputs!$J$7-Inputs!$I$7)))/18)*EXP(-(((Inputs!$C$6)+5)^2)/(22^2))+18*SIN(2*PI()*((Inputs!$I$7+(((A192)+1)/2)*(Inputs!$J$7-Inputs!$I$7)))/70))+Inputs!$C$28*EXP(-((((Inputs!$I$7+(((A192)+1)/2)*(Inputs!$J$7-Inputs!$I$7)))-Inputs!$C$29)^2)/(2*Inputs!$C$31^2))*EXP(-(((Inputs!$C$6)-Inputs!$C$30)^2)/(2*Inputs!$C$32^2))+-Inputs!$C$33*EXP(-((((((Inputs!$I$7+(((A192)+1)/2)*(Inputs!$J$7-Inputs!$I$7)))-Inputs!$C$34)^2)+(((Inputs!$C$6)-Inputs!$C$35)^2))/(2*Inputs!$C$36^2)))+Inputs!$C$37*(0.55*SIN(2*PI()*((Inputs!$I$7+(((A192)+1)/2)*(Inputs!$J$7-Inputs!$I$7)))/Inputs!$C$39)+0.35*COS(2*PI()*(Inputs!$C$6)/Inputs!$C$40)+0.2*SIN(2*PI()*(((Inputs!$I$7+(((A192)+1)/2)*(Inputs!$J$7-Inputs!$I$7)))+(Inputs!$C$6))/(0.5*(Inputs!$C$39+Inputs!$C$40))))+Inputs!$C$38*SIN(2*PI()*((Inputs!$I$7+(((A192)+1)/2)*(Inputs!$J$7-Inputs!$I$7)))/Inputs!$C$39)*SIN(2*PI()*(Inputs!$C$6)/Inputs!$C$40)+-Inputs!$C$41*EXP(-(((Inputs!$C$6)-Inputs!$C$43)^2)/(2*Inputs!$C$44^2))*EXP(-((((Inputs!$I$7+(((A192)+1)/2)*(Inputs!$J$7-Inputs!$I$7)))-Inputs!$C$42)^2)/(2*Inputs!$C$45^2))+Inputs!$C$48*(0.7*(0.45*SIN(2*PI()*((((Inputs!$I$7+(((A192)+1)/2)*(Inputs!$J$7-Inputs!$I$7)))/Inputs!$C$49)+Inputs!$C$47*0.137))+0.35*COS(2*PI()*(((Inputs!$C$6)/Inputs!$C$50)+Inputs!$C$47*0.173))+0.2*SIN(2*PI()*((((Inputs!$I$7+(((A192)+1)/2)*(Inputs!$J$7-Inputs!$I$7)))+(Inputs!$C$6))/(0.5*(Inputs!$C$49+Inputs!$C$50))+Inputs!$C$47*0.097)))+0.3*(2*((SIN((((Inputs!$I$7+(((A192)+1)/2)*(Inputs!$J$7-Inputs!$I$7)))*12.9898+(Inputs!$C$6)*78.233+Inputs!$C$47*37.719))*43758.5453)-INT((SIN((((Inputs!$I$7+(((A192)+1)/2)*(Inputs!$J$7-Inputs!$I$7)))*12.9898+(Inputs!$C$6)*78.233+Inputs!$C$47*37.719))*43758.5453)))-1))),NA())</f>
        <v/>
      </c>
      <c r="AU192" s="9">
        <f>IF(OR(Inputs!$F$8=TRUE,Inputs!$F$8="TRUE",Inputs!$F$8=1),IF(OR(Inputs!$C$27=TRUE,Inputs!$C$27="TRUE",Inputs!$C$27=1),1,0)*(Inputs!$C$51*(115*EXP(-(((Inputs!$C$6)-25)^2)/(4.5^2))+70*EXP(-(((Inputs!$C$6)+38)^2)/(7^2))*(0.55+0.45*SIN(2*PI()*((Inputs!$I$8+(((A192)+1)/2)*(Inputs!$J$8-Inputs!$I$8)))/45))+24*SIN(2*PI()*(Inputs!$C$6)/9+((Inputs!$I$8+(((A192)+1)/2)*(Inputs!$J$8-Inputs!$I$8)))/18)*EXP(-(((Inputs!$C$6)+5)^2)/(22^2))+18*SIN(2*PI()*((Inputs!$I$8+(((A192)+1)/2)*(Inputs!$J$8-Inputs!$I$8)))/70))+Inputs!$C$28*EXP(-((((Inputs!$I$8+(((A192)+1)/2)*(Inputs!$J$8-Inputs!$I$8)))-Inputs!$C$29)^2)/(2*Inputs!$C$31^2))*EXP(-(((Inputs!$C$6)-Inputs!$C$30)^2)/(2*Inputs!$C$32^2))+-Inputs!$C$33*EXP(-((((((Inputs!$I$8+(((A192)+1)/2)*(Inputs!$J$8-Inputs!$I$8)))-Inputs!$C$34)^2)+(((Inputs!$C$6)-Inputs!$C$35)^2))/(2*Inputs!$C$36^2)))+Inputs!$C$37*(0.55*SIN(2*PI()*((Inputs!$I$8+(((A192)+1)/2)*(Inputs!$J$8-Inputs!$I$8)))/Inputs!$C$39)+0.35*COS(2*PI()*(Inputs!$C$6)/Inputs!$C$40)+0.2*SIN(2*PI()*(((Inputs!$I$8+(((A192)+1)/2)*(Inputs!$J$8-Inputs!$I$8)))+(Inputs!$C$6))/(0.5*(Inputs!$C$39+Inputs!$C$40))))+Inputs!$C$38*SIN(2*PI()*((Inputs!$I$8+(((A192)+1)/2)*(Inputs!$J$8-Inputs!$I$8)))/Inputs!$C$39)*SIN(2*PI()*(Inputs!$C$6)/Inputs!$C$40)+-Inputs!$C$41*EXP(-(((Inputs!$C$6)-Inputs!$C$43)^2)/(2*Inputs!$C$44^2))*EXP(-((((Inputs!$I$8+(((A192)+1)/2)*(Inputs!$J$8-Inputs!$I$8)))-Inputs!$C$42)^2)/(2*Inputs!$C$45^2))+Inputs!$C$48*(0.7*(0.45*SIN(2*PI()*((((Inputs!$I$8+(((A192)+1)/2)*(Inputs!$J$8-Inputs!$I$8)))/Inputs!$C$49)+Inputs!$C$47*0.137))+0.35*COS(2*PI()*(((Inputs!$C$6)/Inputs!$C$50)+Inputs!$C$47*0.173))+0.2*SIN(2*PI()*((((Inputs!$I$8+(((A192)+1)/2)*(Inputs!$J$8-Inputs!$I$8)))+(Inputs!$C$6))/(0.5*(Inputs!$C$49+Inputs!$C$50))+Inputs!$C$47*0.097)))+0.3*(2*((SIN((((Inputs!$I$8+(((A192)+1)/2)*(Inputs!$J$8-Inputs!$I$8)))*12.9898+(Inputs!$C$6)*78.233+Inputs!$C$47*37.719))*43758.5453)-INT((SIN((((Inputs!$I$8+(((A192)+1)/2)*(Inputs!$J$8-Inputs!$I$8)))*12.9898+(Inputs!$C$6)*78.233+Inputs!$C$47*37.719))*43758.5453)))-1))),NA())</f>
        <v/>
      </c>
      <c r="AV192" s="9">
        <f>IF(OR(Inputs!$F$9=TRUE,Inputs!$F$9="TRUE",Inputs!$F$9=1),IF(OR(Inputs!$C$27=TRUE,Inputs!$C$27="TRUE",Inputs!$C$27=1),1,0)*(Inputs!$C$51*(115*EXP(-(((Inputs!$C$6)-25)^2)/(4.5^2))+70*EXP(-(((Inputs!$C$6)+38)^2)/(7^2))*(0.55+0.45*SIN(2*PI()*((Inputs!$I$9+(((A192)+1)/2)*(Inputs!$J$9-Inputs!$I$9)))/45))+24*SIN(2*PI()*(Inputs!$C$6)/9+((Inputs!$I$9+(((A192)+1)/2)*(Inputs!$J$9-Inputs!$I$9)))/18)*EXP(-(((Inputs!$C$6)+5)^2)/(22^2))+18*SIN(2*PI()*((Inputs!$I$9+(((A192)+1)/2)*(Inputs!$J$9-Inputs!$I$9)))/70))+Inputs!$C$28*EXP(-((((Inputs!$I$9+(((A192)+1)/2)*(Inputs!$J$9-Inputs!$I$9)))-Inputs!$C$29)^2)/(2*Inputs!$C$31^2))*EXP(-(((Inputs!$C$6)-Inputs!$C$30)^2)/(2*Inputs!$C$32^2))+-Inputs!$C$33*EXP(-((((((Inputs!$I$9+(((A192)+1)/2)*(Inputs!$J$9-Inputs!$I$9)))-Inputs!$C$34)^2)+(((Inputs!$C$6)-Inputs!$C$35)^2))/(2*Inputs!$C$36^2)))+Inputs!$C$37*(0.55*SIN(2*PI()*((Inputs!$I$9+(((A192)+1)/2)*(Inputs!$J$9-Inputs!$I$9)))/Inputs!$C$39)+0.35*COS(2*PI()*(Inputs!$C$6)/Inputs!$C$40)+0.2*SIN(2*PI()*(((Inputs!$I$9+(((A192)+1)/2)*(Inputs!$J$9-Inputs!$I$9)))+(Inputs!$C$6))/(0.5*(Inputs!$C$39+Inputs!$C$40))))+Inputs!$C$38*SIN(2*PI()*((Inputs!$I$9+(((A192)+1)/2)*(Inputs!$J$9-Inputs!$I$9)))/Inputs!$C$39)*SIN(2*PI()*(Inputs!$C$6)/Inputs!$C$40)+-Inputs!$C$41*EXP(-(((Inputs!$C$6)-Inputs!$C$43)^2)/(2*Inputs!$C$44^2))*EXP(-((((Inputs!$I$9+(((A192)+1)/2)*(Inputs!$J$9-Inputs!$I$9)))-Inputs!$C$42)^2)/(2*Inputs!$C$45^2))+Inputs!$C$48*(0.7*(0.45*SIN(2*PI()*((((Inputs!$I$9+(((A192)+1)/2)*(Inputs!$J$9-Inputs!$I$9)))/Inputs!$C$49)+Inputs!$C$47*0.137))+0.35*COS(2*PI()*(((Inputs!$C$6)/Inputs!$C$50)+Inputs!$C$47*0.173))+0.2*SIN(2*PI()*((((Inputs!$I$9+(((A192)+1)/2)*(Inputs!$J$9-Inputs!$I$9)))+(Inputs!$C$6))/(0.5*(Inputs!$C$49+Inputs!$C$50))+Inputs!$C$47*0.097)))+0.3*(2*((SIN((((Inputs!$I$9+(((A192)+1)/2)*(Inputs!$J$9-Inputs!$I$9)))*12.9898+(Inputs!$C$6)*78.233+Inputs!$C$47*37.719))*43758.5453)-INT((SIN((((Inputs!$I$9+(((A192)+1)/2)*(Inputs!$J$9-Inputs!$I$9)))*12.9898+(Inputs!$C$6)*78.233+Inputs!$C$47*37.719))*43758.5453)))-1))),NA())</f>
        <v/>
      </c>
      <c r="AW192" s="10" t="n"/>
      <c r="AX192" s="9">
        <f>A192</f>
        <v/>
      </c>
      <c r="AY192" s="9">
        <f>0</f>
        <v/>
      </c>
      <c r="AZ192" s="9">
        <f>IF(OR(Inputs!$F$6=TRUE,Inputs!$F$6="TRUE",Inputs!$F$6=1),(Inputs!$H$6+Inputs!$L$6*(((Inputs!$I$6+(((A192)+1)/2)*(Inputs!$J$6-Inputs!$I$6)))/Inputs!$K$6)^2),NA())</f>
        <v/>
      </c>
      <c r="BA192" s="9">
        <f>IF(OR(Inputs!$F$7=TRUE,Inputs!$F$7="TRUE",Inputs!$F$7=1),(Inputs!$H$7+Inputs!$L$7*(((Inputs!$I$7+(((A192)+1)/2)*(Inputs!$J$7-Inputs!$I$7)))/Inputs!$K$7)^2),NA())</f>
        <v/>
      </c>
      <c r="BB192" s="9">
        <f>IF(OR(Inputs!$F$8=TRUE,Inputs!$F$8="TRUE",Inputs!$F$8=1),(Inputs!$H$8+Inputs!$L$8*(((Inputs!$I$8+(((A192)+1)/2)*(Inputs!$J$8-Inputs!$I$8)))/Inputs!$K$8)^2),NA())</f>
        <v/>
      </c>
      <c r="BC192" s="9">
        <f>IF(OR(Inputs!$F$9=TRUE,Inputs!$F$9="TRUE",Inputs!$F$9=1),(Inputs!$H$9+Inputs!$L$9*(((Inputs!$I$9+(((A192)+1)/2)*(Inputs!$J$9-Inputs!$I$9)))/Inputs!$K$9)^2),NA())</f>
        <v/>
      </c>
      <c r="BD192" s="10" t="n"/>
      <c r="BE192" s="9">
        <f>A192</f>
        <v/>
      </c>
      <c r="BF192" s="9">
        <f>0</f>
        <v/>
      </c>
      <c r="BG192" s="9">
        <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f>
        <v/>
      </c>
      <c r="BH192" s="9">
        <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f>
        <v/>
      </c>
      <c r="BI192" s="9">
        <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f>
        <v/>
      </c>
      <c r="BJ192" s="9">
        <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f>
        <v/>
      </c>
    </row>
    <row r="193">
      <c r="A193" s="9">
        <f>ROUND(-1+191*2/240,3)</f>
        <v/>
      </c>
      <c r="B193" s="9">
        <f>IF(OR(Inputs!$F$6=TRUE,Inputs!$F$6="TRUE",Inputs!$F$6=1),(Inputs!$H$6+Inputs!$L$6*(((Inputs!$I$6+(((A193)+1)/2)*(Inputs!$J$6-Inputs!$I$6)))/Inputs!$K$6)^2),NA())</f>
        <v/>
      </c>
      <c r="C193" s="9">
        <f>IF(OR(Inputs!$F$7=TRUE,Inputs!$F$7="TRUE",Inputs!$F$7=1),(Inputs!$H$7+Inputs!$L$7*(((Inputs!$I$7+(((A193)+1)/2)*(Inputs!$J$7-Inputs!$I$7)))/Inputs!$K$7)^2),NA())</f>
        <v/>
      </c>
      <c r="D193" s="9">
        <f>IF(OR(Inputs!$F$8=TRUE,Inputs!$F$8="TRUE",Inputs!$F$8=1),(Inputs!$H$8+Inputs!$L$8*(((Inputs!$I$8+(((A193)+1)/2)*(Inputs!$J$8-Inputs!$I$8)))/Inputs!$K$8)^2),NA())</f>
        <v/>
      </c>
      <c r="E193" s="9">
        <f>IF(OR(Inputs!$F$9=TRUE,Inputs!$F$9="TRUE",Inputs!$F$9=1),(Inputs!$H$9+Inputs!$L$9*(((Inputs!$I$9+(((A193)+1)/2)*(Inputs!$J$9-Inputs!$I$9)))/Inputs!$K$9)^2),NA())</f>
        <v/>
      </c>
      <c r="F193" s="10" t="n"/>
      <c r="G193" s="9">
        <f>A193</f>
        <v/>
      </c>
      <c r="H193" s="9">
        <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f>
        <v/>
      </c>
      <c r="I193" s="9">
        <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f>
        <v/>
      </c>
      <c r="J193" s="9">
        <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f>
        <v/>
      </c>
      <c r="K193" s="9">
        <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f>
        <v/>
      </c>
      <c r="L193" s="10" t="n"/>
      <c r="M193" s="9">
        <f>A193</f>
        <v/>
      </c>
      <c r="N193" s="9">
        <f>IF(OR(Inputs!$F$6=TRUE,Inputs!$F$6="TRUE",Inputs!$F$6=1),(-2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NA())</f>
        <v/>
      </c>
      <c r="O193" s="9">
        <f>IF(OR(Inputs!$F$7=TRUE,Inputs!$F$7="TRUE",Inputs!$F$7=1),(-2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NA())</f>
        <v/>
      </c>
      <c r="P193" s="9">
        <f>IF(OR(Inputs!$F$8=TRUE,Inputs!$F$8="TRUE",Inputs!$F$8=1),(-2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NA())</f>
        <v/>
      </c>
      <c r="Q193" s="9">
        <f>IF(OR(Inputs!$F$9=TRUE,Inputs!$F$9="TRUE",Inputs!$F$9=1),(-2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NA())</f>
        <v/>
      </c>
      <c r="R193" s="10" t="n"/>
      <c r="S193" s="9">
        <f>A193</f>
        <v/>
      </c>
      <c r="T193" s="9">
        <f>(Inputs!$I$6+(((A193)+1)/2)*(Inputs!$J$6-Inputs!$I$6))</f>
        <v/>
      </c>
      <c r="U193" s="9">
        <f>(Inputs!$I$7+(((A193)+1)/2)*(Inputs!$J$7-Inputs!$I$7))</f>
        <v/>
      </c>
      <c r="V193" s="9">
        <f>(Inputs!$I$8+(((A193)+1)/2)*(Inputs!$J$8-Inputs!$I$8))</f>
        <v/>
      </c>
      <c r="W193" s="9">
        <f>(Inputs!$I$9+(((A193)+1)/2)*(Inputs!$J$9-Inputs!$I$9))</f>
        <v/>
      </c>
      <c r="X193" s="10" t="n"/>
      <c r="Y193" s="9">
        <f>A193</f>
        <v/>
      </c>
      <c r="Z193" s="9">
        <f>(Inputs!$H$6+Inputs!$L$6*(((Inputs!$I$6+(((A193)+1)/2)*(Inputs!$J$6-Inputs!$I$6)))/Inputs!$K$6)^2)</f>
        <v/>
      </c>
      <c r="AA193" s="9">
        <f>(Inputs!$H$7+Inputs!$L$7*(((Inputs!$I$7+(((A193)+1)/2)*(Inputs!$J$7-Inputs!$I$7)))/Inputs!$K$7)^2)</f>
        <v/>
      </c>
      <c r="AB193" s="9">
        <f>(Inputs!$H$8+Inputs!$L$8*(((Inputs!$I$8+(((A193)+1)/2)*(Inputs!$J$8-Inputs!$I$8)))/Inputs!$K$8)^2)</f>
        <v/>
      </c>
      <c r="AC193" s="9">
        <f>(Inputs!$H$9+Inputs!$L$9*(((Inputs!$I$9+(((A193)+1)/2)*(Inputs!$J$9-Inputs!$I$9)))/Inputs!$K$9)^2)</f>
        <v/>
      </c>
      <c r="AD193" s="10" t="n"/>
      <c r="AE193" s="9">
        <f>A193</f>
        <v/>
      </c>
      <c r="AF193" s="9">
        <f>(((SQRT((Inputs!$C$52+((Inputs!$H$6+Inputs!$L$6*(((Inputs!$I$6+(((A193)+1)/2)*(Inputs!$J$6-Inputs!$I$6)))/Inputs!$K$6)^2)))^2+Inputs!$C$52^2-2*(Inputs!$C$52+((Inputs!$H$6+Inputs!$L$6*(((Inputs!$I$6+(((A193)+1)/2)*(Inputs!$J$6-Inputs!$I$6)))/Inputs!$K$6)^2)))*Inputs!$C$52*COS(SQRT(((Inputs!$I$6+(((A193)+1)/2)*(Inputs!$J$6-Inputs!$I$6)))^2+Inputs!$C$6^2)/Inputs!$C$52)))-((Inputs!$H$6+Inputs!$L$6*(((Inputs!$I$6+(((A193)+1)/2)*(Inputs!$J$6-Inputs!$I$6)))/Inputs!$K$6)^2)))*1000/Inputs!$C$12)</f>
        <v/>
      </c>
      <c r="AG193" s="9">
        <f>(((SQRT((Inputs!$C$52+((Inputs!$H$7+Inputs!$L$7*(((Inputs!$I$7+(((A193)+1)/2)*(Inputs!$J$7-Inputs!$I$7)))/Inputs!$K$7)^2)))^2+Inputs!$C$52^2-2*(Inputs!$C$52+((Inputs!$H$7+Inputs!$L$7*(((Inputs!$I$7+(((A193)+1)/2)*(Inputs!$J$7-Inputs!$I$7)))/Inputs!$K$7)^2)))*Inputs!$C$52*COS(SQRT(((Inputs!$I$7+(((A193)+1)/2)*(Inputs!$J$7-Inputs!$I$7)))^2+Inputs!$C$6^2)/Inputs!$C$52)))-((Inputs!$H$7+Inputs!$L$7*(((Inputs!$I$7+(((A193)+1)/2)*(Inputs!$J$7-Inputs!$I$7)))/Inputs!$K$7)^2)))*1000/Inputs!$C$12)</f>
        <v/>
      </c>
      <c r="AH193" s="9">
        <f>(((SQRT((Inputs!$C$52+((Inputs!$H$8+Inputs!$L$8*(((Inputs!$I$8+(((A193)+1)/2)*(Inputs!$J$8-Inputs!$I$8)))/Inputs!$K$8)^2)))^2+Inputs!$C$52^2-2*(Inputs!$C$52+((Inputs!$H$8+Inputs!$L$8*(((Inputs!$I$8+(((A193)+1)/2)*(Inputs!$J$8-Inputs!$I$8)))/Inputs!$K$8)^2)))*Inputs!$C$52*COS(SQRT(((Inputs!$I$8+(((A193)+1)/2)*(Inputs!$J$8-Inputs!$I$8)))^2+Inputs!$C$6^2)/Inputs!$C$52)))-((Inputs!$H$8+Inputs!$L$8*(((Inputs!$I$8+(((A193)+1)/2)*(Inputs!$J$8-Inputs!$I$8)))/Inputs!$K$8)^2)))*1000/Inputs!$C$12)</f>
        <v/>
      </c>
      <c r="AI193" s="9">
        <f>(((SQRT((Inputs!$C$52+((Inputs!$H$9+Inputs!$L$9*(((Inputs!$I$9+(((A193)+1)/2)*(Inputs!$J$9-Inputs!$I$9)))/Inputs!$K$9)^2)))^2+Inputs!$C$52^2-2*(Inputs!$C$52+((Inputs!$H$9+Inputs!$L$9*(((Inputs!$I$9+(((A193)+1)/2)*(Inputs!$J$9-Inputs!$I$9)))/Inputs!$K$9)^2)))*Inputs!$C$52*COS(SQRT(((Inputs!$I$9+(((A193)+1)/2)*(Inputs!$J$9-Inputs!$I$9)))^2+Inputs!$C$6^2)/Inputs!$C$52)))-((Inputs!$H$9+Inputs!$L$9*(((Inputs!$I$9+(((A193)+1)/2)*(Inputs!$J$9-Inputs!$I$9)))/Inputs!$K$9)^2)))*1000/Inputs!$C$12)</f>
        <v/>
      </c>
      <c r="AJ193" s="10" t="n"/>
      <c r="AK193" s="9">
        <f>A193</f>
        <v/>
      </c>
      <c r="AL193" s="9">
        <f>(-2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f>
        <v/>
      </c>
      <c r="AM193" s="9">
        <f>(-2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f>
        <v/>
      </c>
      <c r="AN193" s="9">
        <f>(-2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f>
        <v/>
      </c>
      <c r="AO193" s="9">
        <f>(-2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f>
        <v/>
      </c>
      <c r="AP193" s="10" t="n"/>
      <c r="AQ193" s="9">
        <f>A193</f>
        <v/>
      </c>
      <c r="AR193" s="9">
        <f>0</f>
        <v/>
      </c>
      <c r="AS193" s="9">
        <f>IF(OR(Inputs!$F$6=TRUE,Inputs!$F$6="TRUE",Inputs!$F$6=1),IF(OR(Inputs!$C$27=TRUE,Inputs!$C$27="TRUE",Inputs!$C$27=1),1,0)*(Inputs!$C$51*(115*EXP(-(((Inputs!$C$6)-25)^2)/(4.5^2))+70*EXP(-(((Inputs!$C$6)+38)^2)/(7^2))*(0.55+0.45*SIN(2*PI()*((Inputs!$I$6+(((A193)+1)/2)*(Inputs!$J$6-Inputs!$I$6)))/45))+24*SIN(2*PI()*(Inputs!$C$6)/9+((Inputs!$I$6+(((A193)+1)/2)*(Inputs!$J$6-Inputs!$I$6)))/18)*EXP(-(((Inputs!$C$6)+5)^2)/(22^2))+18*SIN(2*PI()*((Inputs!$I$6+(((A193)+1)/2)*(Inputs!$J$6-Inputs!$I$6)))/70))+Inputs!$C$28*EXP(-((((Inputs!$I$6+(((A193)+1)/2)*(Inputs!$J$6-Inputs!$I$6)))-Inputs!$C$29)^2)/(2*Inputs!$C$31^2))*EXP(-(((Inputs!$C$6)-Inputs!$C$30)^2)/(2*Inputs!$C$32^2))+-Inputs!$C$33*EXP(-((((((Inputs!$I$6+(((A193)+1)/2)*(Inputs!$J$6-Inputs!$I$6)))-Inputs!$C$34)^2)+(((Inputs!$C$6)-Inputs!$C$35)^2))/(2*Inputs!$C$36^2)))+Inputs!$C$37*(0.55*SIN(2*PI()*((Inputs!$I$6+(((A193)+1)/2)*(Inputs!$J$6-Inputs!$I$6)))/Inputs!$C$39)+0.35*COS(2*PI()*(Inputs!$C$6)/Inputs!$C$40)+0.2*SIN(2*PI()*(((Inputs!$I$6+(((A193)+1)/2)*(Inputs!$J$6-Inputs!$I$6)))+(Inputs!$C$6))/(0.5*(Inputs!$C$39+Inputs!$C$40))))+Inputs!$C$38*SIN(2*PI()*((Inputs!$I$6+(((A193)+1)/2)*(Inputs!$J$6-Inputs!$I$6)))/Inputs!$C$39)*SIN(2*PI()*(Inputs!$C$6)/Inputs!$C$40)+-Inputs!$C$41*EXP(-(((Inputs!$C$6)-Inputs!$C$43)^2)/(2*Inputs!$C$44^2))*EXP(-((((Inputs!$I$6+(((A193)+1)/2)*(Inputs!$J$6-Inputs!$I$6)))-Inputs!$C$42)^2)/(2*Inputs!$C$45^2))+Inputs!$C$48*(0.7*(0.45*SIN(2*PI()*((((Inputs!$I$6+(((A193)+1)/2)*(Inputs!$J$6-Inputs!$I$6)))/Inputs!$C$49)+Inputs!$C$47*0.137))+0.35*COS(2*PI()*(((Inputs!$C$6)/Inputs!$C$50)+Inputs!$C$47*0.173))+0.2*SIN(2*PI()*((((Inputs!$I$6+(((A193)+1)/2)*(Inputs!$J$6-Inputs!$I$6)))+(Inputs!$C$6))/(0.5*(Inputs!$C$49+Inputs!$C$50))+Inputs!$C$47*0.097)))+0.3*(2*((SIN((((Inputs!$I$6+(((A193)+1)/2)*(Inputs!$J$6-Inputs!$I$6)))*12.9898+(Inputs!$C$6)*78.233+Inputs!$C$47*37.719))*43758.5453)-INT((SIN((((Inputs!$I$6+(((A193)+1)/2)*(Inputs!$J$6-Inputs!$I$6)))*12.9898+(Inputs!$C$6)*78.233+Inputs!$C$47*37.719))*43758.5453)))-1))),NA())</f>
        <v/>
      </c>
      <c r="AT193" s="9">
        <f>IF(OR(Inputs!$F$7=TRUE,Inputs!$F$7="TRUE",Inputs!$F$7=1),IF(OR(Inputs!$C$27=TRUE,Inputs!$C$27="TRUE",Inputs!$C$27=1),1,0)*(Inputs!$C$51*(115*EXP(-(((Inputs!$C$6)-25)^2)/(4.5^2))+70*EXP(-(((Inputs!$C$6)+38)^2)/(7^2))*(0.55+0.45*SIN(2*PI()*((Inputs!$I$7+(((A193)+1)/2)*(Inputs!$J$7-Inputs!$I$7)))/45))+24*SIN(2*PI()*(Inputs!$C$6)/9+((Inputs!$I$7+(((A193)+1)/2)*(Inputs!$J$7-Inputs!$I$7)))/18)*EXP(-(((Inputs!$C$6)+5)^2)/(22^2))+18*SIN(2*PI()*((Inputs!$I$7+(((A193)+1)/2)*(Inputs!$J$7-Inputs!$I$7)))/70))+Inputs!$C$28*EXP(-((((Inputs!$I$7+(((A193)+1)/2)*(Inputs!$J$7-Inputs!$I$7)))-Inputs!$C$29)^2)/(2*Inputs!$C$31^2))*EXP(-(((Inputs!$C$6)-Inputs!$C$30)^2)/(2*Inputs!$C$32^2))+-Inputs!$C$33*EXP(-((((((Inputs!$I$7+(((A193)+1)/2)*(Inputs!$J$7-Inputs!$I$7)))-Inputs!$C$34)^2)+(((Inputs!$C$6)-Inputs!$C$35)^2))/(2*Inputs!$C$36^2)))+Inputs!$C$37*(0.55*SIN(2*PI()*((Inputs!$I$7+(((A193)+1)/2)*(Inputs!$J$7-Inputs!$I$7)))/Inputs!$C$39)+0.35*COS(2*PI()*(Inputs!$C$6)/Inputs!$C$40)+0.2*SIN(2*PI()*(((Inputs!$I$7+(((A193)+1)/2)*(Inputs!$J$7-Inputs!$I$7)))+(Inputs!$C$6))/(0.5*(Inputs!$C$39+Inputs!$C$40))))+Inputs!$C$38*SIN(2*PI()*((Inputs!$I$7+(((A193)+1)/2)*(Inputs!$J$7-Inputs!$I$7)))/Inputs!$C$39)*SIN(2*PI()*(Inputs!$C$6)/Inputs!$C$40)+-Inputs!$C$41*EXP(-(((Inputs!$C$6)-Inputs!$C$43)^2)/(2*Inputs!$C$44^2))*EXP(-((((Inputs!$I$7+(((A193)+1)/2)*(Inputs!$J$7-Inputs!$I$7)))-Inputs!$C$42)^2)/(2*Inputs!$C$45^2))+Inputs!$C$48*(0.7*(0.45*SIN(2*PI()*((((Inputs!$I$7+(((A193)+1)/2)*(Inputs!$J$7-Inputs!$I$7)))/Inputs!$C$49)+Inputs!$C$47*0.137))+0.35*COS(2*PI()*(((Inputs!$C$6)/Inputs!$C$50)+Inputs!$C$47*0.173))+0.2*SIN(2*PI()*((((Inputs!$I$7+(((A193)+1)/2)*(Inputs!$J$7-Inputs!$I$7)))+(Inputs!$C$6))/(0.5*(Inputs!$C$49+Inputs!$C$50))+Inputs!$C$47*0.097)))+0.3*(2*((SIN((((Inputs!$I$7+(((A193)+1)/2)*(Inputs!$J$7-Inputs!$I$7)))*12.9898+(Inputs!$C$6)*78.233+Inputs!$C$47*37.719))*43758.5453)-INT((SIN((((Inputs!$I$7+(((A193)+1)/2)*(Inputs!$J$7-Inputs!$I$7)))*12.9898+(Inputs!$C$6)*78.233+Inputs!$C$47*37.719))*43758.5453)))-1))),NA())</f>
        <v/>
      </c>
      <c r="AU193" s="9">
        <f>IF(OR(Inputs!$F$8=TRUE,Inputs!$F$8="TRUE",Inputs!$F$8=1),IF(OR(Inputs!$C$27=TRUE,Inputs!$C$27="TRUE",Inputs!$C$27=1),1,0)*(Inputs!$C$51*(115*EXP(-(((Inputs!$C$6)-25)^2)/(4.5^2))+70*EXP(-(((Inputs!$C$6)+38)^2)/(7^2))*(0.55+0.45*SIN(2*PI()*((Inputs!$I$8+(((A193)+1)/2)*(Inputs!$J$8-Inputs!$I$8)))/45))+24*SIN(2*PI()*(Inputs!$C$6)/9+((Inputs!$I$8+(((A193)+1)/2)*(Inputs!$J$8-Inputs!$I$8)))/18)*EXP(-(((Inputs!$C$6)+5)^2)/(22^2))+18*SIN(2*PI()*((Inputs!$I$8+(((A193)+1)/2)*(Inputs!$J$8-Inputs!$I$8)))/70))+Inputs!$C$28*EXP(-((((Inputs!$I$8+(((A193)+1)/2)*(Inputs!$J$8-Inputs!$I$8)))-Inputs!$C$29)^2)/(2*Inputs!$C$31^2))*EXP(-(((Inputs!$C$6)-Inputs!$C$30)^2)/(2*Inputs!$C$32^2))+-Inputs!$C$33*EXP(-((((((Inputs!$I$8+(((A193)+1)/2)*(Inputs!$J$8-Inputs!$I$8)))-Inputs!$C$34)^2)+(((Inputs!$C$6)-Inputs!$C$35)^2))/(2*Inputs!$C$36^2)))+Inputs!$C$37*(0.55*SIN(2*PI()*((Inputs!$I$8+(((A193)+1)/2)*(Inputs!$J$8-Inputs!$I$8)))/Inputs!$C$39)+0.35*COS(2*PI()*(Inputs!$C$6)/Inputs!$C$40)+0.2*SIN(2*PI()*(((Inputs!$I$8+(((A193)+1)/2)*(Inputs!$J$8-Inputs!$I$8)))+(Inputs!$C$6))/(0.5*(Inputs!$C$39+Inputs!$C$40))))+Inputs!$C$38*SIN(2*PI()*((Inputs!$I$8+(((A193)+1)/2)*(Inputs!$J$8-Inputs!$I$8)))/Inputs!$C$39)*SIN(2*PI()*(Inputs!$C$6)/Inputs!$C$40)+-Inputs!$C$41*EXP(-(((Inputs!$C$6)-Inputs!$C$43)^2)/(2*Inputs!$C$44^2))*EXP(-((((Inputs!$I$8+(((A193)+1)/2)*(Inputs!$J$8-Inputs!$I$8)))-Inputs!$C$42)^2)/(2*Inputs!$C$45^2))+Inputs!$C$48*(0.7*(0.45*SIN(2*PI()*((((Inputs!$I$8+(((A193)+1)/2)*(Inputs!$J$8-Inputs!$I$8)))/Inputs!$C$49)+Inputs!$C$47*0.137))+0.35*COS(2*PI()*(((Inputs!$C$6)/Inputs!$C$50)+Inputs!$C$47*0.173))+0.2*SIN(2*PI()*((((Inputs!$I$8+(((A193)+1)/2)*(Inputs!$J$8-Inputs!$I$8)))+(Inputs!$C$6))/(0.5*(Inputs!$C$49+Inputs!$C$50))+Inputs!$C$47*0.097)))+0.3*(2*((SIN((((Inputs!$I$8+(((A193)+1)/2)*(Inputs!$J$8-Inputs!$I$8)))*12.9898+(Inputs!$C$6)*78.233+Inputs!$C$47*37.719))*43758.5453)-INT((SIN((((Inputs!$I$8+(((A193)+1)/2)*(Inputs!$J$8-Inputs!$I$8)))*12.9898+(Inputs!$C$6)*78.233+Inputs!$C$47*37.719))*43758.5453)))-1))),NA())</f>
        <v/>
      </c>
      <c r="AV193" s="9">
        <f>IF(OR(Inputs!$F$9=TRUE,Inputs!$F$9="TRUE",Inputs!$F$9=1),IF(OR(Inputs!$C$27=TRUE,Inputs!$C$27="TRUE",Inputs!$C$27=1),1,0)*(Inputs!$C$51*(115*EXP(-(((Inputs!$C$6)-25)^2)/(4.5^2))+70*EXP(-(((Inputs!$C$6)+38)^2)/(7^2))*(0.55+0.45*SIN(2*PI()*((Inputs!$I$9+(((A193)+1)/2)*(Inputs!$J$9-Inputs!$I$9)))/45))+24*SIN(2*PI()*(Inputs!$C$6)/9+((Inputs!$I$9+(((A193)+1)/2)*(Inputs!$J$9-Inputs!$I$9)))/18)*EXP(-(((Inputs!$C$6)+5)^2)/(22^2))+18*SIN(2*PI()*((Inputs!$I$9+(((A193)+1)/2)*(Inputs!$J$9-Inputs!$I$9)))/70))+Inputs!$C$28*EXP(-((((Inputs!$I$9+(((A193)+1)/2)*(Inputs!$J$9-Inputs!$I$9)))-Inputs!$C$29)^2)/(2*Inputs!$C$31^2))*EXP(-(((Inputs!$C$6)-Inputs!$C$30)^2)/(2*Inputs!$C$32^2))+-Inputs!$C$33*EXP(-((((((Inputs!$I$9+(((A193)+1)/2)*(Inputs!$J$9-Inputs!$I$9)))-Inputs!$C$34)^2)+(((Inputs!$C$6)-Inputs!$C$35)^2))/(2*Inputs!$C$36^2)))+Inputs!$C$37*(0.55*SIN(2*PI()*((Inputs!$I$9+(((A193)+1)/2)*(Inputs!$J$9-Inputs!$I$9)))/Inputs!$C$39)+0.35*COS(2*PI()*(Inputs!$C$6)/Inputs!$C$40)+0.2*SIN(2*PI()*(((Inputs!$I$9+(((A193)+1)/2)*(Inputs!$J$9-Inputs!$I$9)))+(Inputs!$C$6))/(0.5*(Inputs!$C$39+Inputs!$C$40))))+Inputs!$C$38*SIN(2*PI()*((Inputs!$I$9+(((A193)+1)/2)*(Inputs!$J$9-Inputs!$I$9)))/Inputs!$C$39)*SIN(2*PI()*(Inputs!$C$6)/Inputs!$C$40)+-Inputs!$C$41*EXP(-(((Inputs!$C$6)-Inputs!$C$43)^2)/(2*Inputs!$C$44^2))*EXP(-((((Inputs!$I$9+(((A193)+1)/2)*(Inputs!$J$9-Inputs!$I$9)))-Inputs!$C$42)^2)/(2*Inputs!$C$45^2))+Inputs!$C$48*(0.7*(0.45*SIN(2*PI()*((((Inputs!$I$9+(((A193)+1)/2)*(Inputs!$J$9-Inputs!$I$9)))/Inputs!$C$49)+Inputs!$C$47*0.137))+0.35*COS(2*PI()*(((Inputs!$C$6)/Inputs!$C$50)+Inputs!$C$47*0.173))+0.2*SIN(2*PI()*((((Inputs!$I$9+(((A193)+1)/2)*(Inputs!$J$9-Inputs!$I$9)))+(Inputs!$C$6))/(0.5*(Inputs!$C$49+Inputs!$C$50))+Inputs!$C$47*0.097)))+0.3*(2*((SIN((((Inputs!$I$9+(((A193)+1)/2)*(Inputs!$J$9-Inputs!$I$9)))*12.9898+(Inputs!$C$6)*78.233+Inputs!$C$47*37.719))*43758.5453)-INT((SIN((((Inputs!$I$9+(((A193)+1)/2)*(Inputs!$J$9-Inputs!$I$9)))*12.9898+(Inputs!$C$6)*78.233+Inputs!$C$47*37.719))*43758.5453)))-1))),NA())</f>
        <v/>
      </c>
      <c r="AW193" s="10" t="n"/>
      <c r="AX193" s="9">
        <f>A193</f>
        <v/>
      </c>
      <c r="AY193" s="9">
        <f>0</f>
        <v/>
      </c>
      <c r="AZ193" s="9">
        <f>IF(OR(Inputs!$F$6=TRUE,Inputs!$F$6="TRUE",Inputs!$F$6=1),(Inputs!$H$6+Inputs!$L$6*(((Inputs!$I$6+(((A193)+1)/2)*(Inputs!$J$6-Inputs!$I$6)))/Inputs!$K$6)^2),NA())</f>
        <v/>
      </c>
      <c r="BA193" s="9">
        <f>IF(OR(Inputs!$F$7=TRUE,Inputs!$F$7="TRUE",Inputs!$F$7=1),(Inputs!$H$7+Inputs!$L$7*(((Inputs!$I$7+(((A193)+1)/2)*(Inputs!$J$7-Inputs!$I$7)))/Inputs!$K$7)^2),NA())</f>
        <v/>
      </c>
      <c r="BB193" s="9">
        <f>IF(OR(Inputs!$F$8=TRUE,Inputs!$F$8="TRUE",Inputs!$F$8=1),(Inputs!$H$8+Inputs!$L$8*(((Inputs!$I$8+(((A193)+1)/2)*(Inputs!$J$8-Inputs!$I$8)))/Inputs!$K$8)^2),NA())</f>
        <v/>
      </c>
      <c r="BC193" s="9">
        <f>IF(OR(Inputs!$F$9=TRUE,Inputs!$F$9="TRUE",Inputs!$F$9=1),(Inputs!$H$9+Inputs!$L$9*(((Inputs!$I$9+(((A193)+1)/2)*(Inputs!$J$9-Inputs!$I$9)))/Inputs!$K$9)^2),NA())</f>
        <v/>
      </c>
      <c r="BD193" s="10" t="n"/>
      <c r="BE193" s="9">
        <f>A193</f>
        <v/>
      </c>
      <c r="BF193" s="9">
        <f>0</f>
        <v/>
      </c>
      <c r="BG193" s="9">
        <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f>
        <v/>
      </c>
      <c r="BH193" s="9">
        <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f>
        <v/>
      </c>
      <c r="BI193" s="9">
        <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f>
        <v/>
      </c>
      <c r="BJ193" s="9">
        <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f>
        <v/>
      </c>
    </row>
    <row r="194">
      <c r="A194" s="9">
        <f>ROUND(-1+192*2/240,3)</f>
        <v/>
      </c>
      <c r="B194" s="9">
        <f>IF(OR(Inputs!$F$6=TRUE,Inputs!$F$6="TRUE",Inputs!$F$6=1),(Inputs!$H$6+Inputs!$L$6*(((Inputs!$I$6+(((A194)+1)/2)*(Inputs!$J$6-Inputs!$I$6)))/Inputs!$K$6)^2),NA())</f>
        <v/>
      </c>
      <c r="C194" s="9">
        <f>IF(OR(Inputs!$F$7=TRUE,Inputs!$F$7="TRUE",Inputs!$F$7=1),(Inputs!$H$7+Inputs!$L$7*(((Inputs!$I$7+(((A194)+1)/2)*(Inputs!$J$7-Inputs!$I$7)))/Inputs!$K$7)^2),NA())</f>
        <v/>
      </c>
      <c r="D194" s="9">
        <f>IF(OR(Inputs!$F$8=TRUE,Inputs!$F$8="TRUE",Inputs!$F$8=1),(Inputs!$H$8+Inputs!$L$8*(((Inputs!$I$8+(((A194)+1)/2)*(Inputs!$J$8-Inputs!$I$8)))/Inputs!$K$8)^2),NA())</f>
        <v/>
      </c>
      <c r="E194" s="9">
        <f>IF(OR(Inputs!$F$9=TRUE,Inputs!$F$9="TRUE",Inputs!$F$9=1),(Inputs!$H$9+Inputs!$L$9*(((Inputs!$I$9+(((A194)+1)/2)*(Inputs!$J$9-Inputs!$I$9)))/Inputs!$K$9)^2),NA())</f>
        <v/>
      </c>
      <c r="F194" s="10" t="n"/>
      <c r="G194" s="9">
        <f>A194</f>
        <v/>
      </c>
      <c r="H194" s="9">
        <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f>
        <v/>
      </c>
      <c r="I194" s="9">
        <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f>
        <v/>
      </c>
      <c r="J194" s="9">
        <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f>
        <v/>
      </c>
      <c r="K194" s="9">
        <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f>
        <v/>
      </c>
      <c r="L194" s="10" t="n"/>
      <c r="M194" s="9">
        <f>A194</f>
        <v/>
      </c>
      <c r="N194" s="9">
        <f>IF(OR(Inputs!$F$6=TRUE,Inputs!$F$6="TRUE",Inputs!$F$6=1),(-2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NA())</f>
        <v/>
      </c>
      <c r="O194" s="9">
        <f>IF(OR(Inputs!$F$7=TRUE,Inputs!$F$7="TRUE",Inputs!$F$7=1),(-2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NA())</f>
        <v/>
      </c>
      <c r="P194" s="9">
        <f>IF(OR(Inputs!$F$8=TRUE,Inputs!$F$8="TRUE",Inputs!$F$8=1),(-2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NA())</f>
        <v/>
      </c>
      <c r="Q194" s="9">
        <f>IF(OR(Inputs!$F$9=TRUE,Inputs!$F$9="TRUE",Inputs!$F$9=1),(-2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NA())</f>
        <v/>
      </c>
      <c r="R194" s="10" t="n"/>
      <c r="S194" s="9">
        <f>A194</f>
        <v/>
      </c>
      <c r="T194" s="9">
        <f>(Inputs!$I$6+(((A194)+1)/2)*(Inputs!$J$6-Inputs!$I$6))</f>
        <v/>
      </c>
      <c r="U194" s="9">
        <f>(Inputs!$I$7+(((A194)+1)/2)*(Inputs!$J$7-Inputs!$I$7))</f>
        <v/>
      </c>
      <c r="V194" s="9">
        <f>(Inputs!$I$8+(((A194)+1)/2)*(Inputs!$J$8-Inputs!$I$8))</f>
        <v/>
      </c>
      <c r="W194" s="9">
        <f>(Inputs!$I$9+(((A194)+1)/2)*(Inputs!$J$9-Inputs!$I$9))</f>
        <v/>
      </c>
      <c r="X194" s="10" t="n"/>
      <c r="Y194" s="9">
        <f>A194</f>
        <v/>
      </c>
      <c r="Z194" s="9">
        <f>(Inputs!$H$6+Inputs!$L$6*(((Inputs!$I$6+(((A194)+1)/2)*(Inputs!$J$6-Inputs!$I$6)))/Inputs!$K$6)^2)</f>
        <v/>
      </c>
      <c r="AA194" s="9">
        <f>(Inputs!$H$7+Inputs!$L$7*(((Inputs!$I$7+(((A194)+1)/2)*(Inputs!$J$7-Inputs!$I$7)))/Inputs!$K$7)^2)</f>
        <v/>
      </c>
      <c r="AB194" s="9">
        <f>(Inputs!$H$8+Inputs!$L$8*(((Inputs!$I$8+(((A194)+1)/2)*(Inputs!$J$8-Inputs!$I$8)))/Inputs!$K$8)^2)</f>
        <v/>
      </c>
      <c r="AC194" s="9">
        <f>(Inputs!$H$9+Inputs!$L$9*(((Inputs!$I$9+(((A194)+1)/2)*(Inputs!$J$9-Inputs!$I$9)))/Inputs!$K$9)^2)</f>
        <v/>
      </c>
      <c r="AD194" s="10" t="n"/>
      <c r="AE194" s="9">
        <f>A194</f>
        <v/>
      </c>
      <c r="AF194" s="9">
        <f>(((SQRT((Inputs!$C$52+((Inputs!$H$6+Inputs!$L$6*(((Inputs!$I$6+(((A194)+1)/2)*(Inputs!$J$6-Inputs!$I$6)))/Inputs!$K$6)^2)))^2+Inputs!$C$52^2-2*(Inputs!$C$52+((Inputs!$H$6+Inputs!$L$6*(((Inputs!$I$6+(((A194)+1)/2)*(Inputs!$J$6-Inputs!$I$6)))/Inputs!$K$6)^2)))*Inputs!$C$52*COS(SQRT(((Inputs!$I$6+(((A194)+1)/2)*(Inputs!$J$6-Inputs!$I$6)))^2+Inputs!$C$6^2)/Inputs!$C$52)))-((Inputs!$H$6+Inputs!$L$6*(((Inputs!$I$6+(((A194)+1)/2)*(Inputs!$J$6-Inputs!$I$6)))/Inputs!$K$6)^2)))*1000/Inputs!$C$12)</f>
        <v/>
      </c>
      <c r="AG194" s="9">
        <f>(((SQRT((Inputs!$C$52+((Inputs!$H$7+Inputs!$L$7*(((Inputs!$I$7+(((A194)+1)/2)*(Inputs!$J$7-Inputs!$I$7)))/Inputs!$K$7)^2)))^2+Inputs!$C$52^2-2*(Inputs!$C$52+((Inputs!$H$7+Inputs!$L$7*(((Inputs!$I$7+(((A194)+1)/2)*(Inputs!$J$7-Inputs!$I$7)))/Inputs!$K$7)^2)))*Inputs!$C$52*COS(SQRT(((Inputs!$I$7+(((A194)+1)/2)*(Inputs!$J$7-Inputs!$I$7)))^2+Inputs!$C$6^2)/Inputs!$C$52)))-((Inputs!$H$7+Inputs!$L$7*(((Inputs!$I$7+(((A194)+1)/2)*(Inputs!$J$7-Inputs!$I$7)))/Inputs!$K$7)^2)))*1000/Inputs!$C$12)</f>
        <v/>
      </c>
      <c r="AH194" s="9">
        <f>(((SQRT((Inputs!$C$52+((Inputs!$H$8+Inputs!$L$8*(((Inputs!$I$8+(((A194)+1)/2)*(Inputs!$J$8-Inputs!$I$8)))/Inputs!$K$8)^2)))^2+Inputs!$C$52^2-2*(Inputs!$C$52+((Inputs!$H$8+Inputs!$L$8*(((Inputs!$I$8+(((A194)+1)/2)*(Inputs!$J$8-Inputs!$I$8)))/Inputs!$K$8)^2)))*Inputs!$C$52*COS(SQRT(((Inputs!$I$8+(((A194)+1)/2)*(Inputs!$J$8-Inputs!$I$8)))^2+Inputs!$C$6^2)/Inputs!$C$52)))-((Inputs!$H$8+Inputs!$L$8*(((Inputs!$I$8+(((A194)+1)/2)*(Inputs!$J$8-Inputs!$I$8)))/Inputs!$K$8)^2)))*1000/Inputs!$C$12)</f>
        <v/>
      </c>
      <c r="AI194" s="9">
        <f>(((SQRT((Inputs!$C$52+((Inputs!$H$9+Inputs!$L$9*(((Inputs!$I$9+(((A194)+1)/2)*(Inputs!$J$9-Inputs!$I$9)))/Inputs!$K$9)^2)))^2+Inputs!$C$52^2-2*(Inputs!$C$52+((Inputs!$H$9+Inputs!$L$9*(((Inputs!$I$9+(((A194)+1)/2)*(Inputs!$J$9-Inputs!$I$9)))/Inputs!$K$9)^2)))*Inputs!$C$52*COS(SQRT(((Inputs!$I$9+(((A194)+1)/2)*(Inputs!$J$9-Inputs!$I$9)))^2+Inputs!$C$6^2)/Inputs!$C$52)))-((Inputs!$H$9+Inputs!$L$9*(((Inputs!$I$9+(((A194)+1)/2)*(Inputs!$J$9-Inputs!$I$9)))/Inputs!$K$9)^2)))*1000/Inputs!$C$12)</f>
        <v/>
      </c>
      <c r="AJ194" s="10" t="n"/>
      <c r="AK194" s="9">
        <f>A194</f>
        <v/>
      </c>
      <c r="AL194" s="9">
        <f>(-2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f>
        <v/>
      </c>
      <c r="AM194" s="9">
        <f>(-2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f>
        <v/>
      </c>
      <c r="AN194" s="9">
        <f>(-2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f>
        <v/>
      </c>
      <c r="AO194" s="9">
        <f>(-2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f>
        <v/>
      </c>
      <c r="AP194" s="10" t="n"/>
      <c r="AQ194" s="9">
        <f>A194</f>
        <v/>
      </c>
      <c r="AR194" s="9">
        <f>0</f>
        <v/>
      </c>
      <c r="AS194" s="9">
        <f>IF(OR(Inputs!$F$6=TRUE,Inputs!$F$6="TRUE",Inputs!$F$6=1),IF(OR(Inputs!$C$27=TRUE,Inputs!$C$27="TRUE",Inputs!$C$27=1),1,0)*(Inputs!$C$51*(115*EXP(-(((Inputs!$C$6)-25)^2)/(4.5^2))+70*EXP(-(((Inputs!$C$6)+38)^2)/(7^2))*(0.55+0.45*SIN(2*PI()*((Inputs!$I$6+(((A194)+1)/2)*(Inputs!$J$6-Inputs!$I$6)))/45))+24*SIN(2*PI()*(Inputs!$C$6)/9+((Inputs!$I$6+(((A194)+1)/2)*(Inputs!$J$6-Inputs!$I$6)))/18)*EXP(-(((Inputs!$C$6)+5)^2)/(22^2))+18*SIN(2*PI()*((Inputs!$I$6+(((A194)+1)/2)*(Inputs!$J$6-Inputs!$I$6)))/70))+Inputs!$C$28*EXP(-((((Inputs!$I$6+(((A194)+1)/2)*(Inputs!$J$6-Inputs!$I$6)))-Inputs!$C$29)^2)/(2*Inputs!$C$31^2))*EXP(-(((Inputs!$C$6)-Inputs!$C$30)^2)/(2*Inputs!$C$32^2))+-Inputs!$C$33*EXP(-((((((Inputs!$I$6+(((A194)+1)/2)*(Inputs!$J$6-Inputs!$I$6)))-Inputs!$C$34)^2)+(((Inputs!$C$6)-Inputs!$C$35)^2))/(2*Inputs!$C$36^2)))+Inputs!$C$37*(0.55*SIN(2*PI()*((Inputs!$I$6+(((A194)+1)/2)*(Inputs!$J$6-Inputs!$I$6)))/Inputs!$C$39)+0.35*COS(2*PI()*(Inputs!$C$6)/Inputs!$C$40)+0.2*SIN(2*PI()*(((Inputs!$I$6+(((A194)+1)/2)*(Inputs!$J$6-Inputs!$I$6)))+(Inputs!$C$6))/(0.5*(Inputs!$C$39+Inputs!$C$40))))+Inputs!$C$38*SIN(2*PI()*((Inputs!$I$6+(((A194)+1)/2)*(Inputs!$J$6-Inputs!$I$6)))/Inputs!$C$39)*SIN(2*PI()*(Inputs!$C$6)/Inputs!$C$40)+-Inputs!$C$41*EXP(-(((Inputs!$C$6)-Inputs!$C$43)^2)/(2*Inputs!$C$44^2))*EXP(-((((Inputs!$I$6+(((A194)+1)/2)*(Inputs!$J$6-Inputs!$I$6)))-Inputs!$C$42)^2)/(2*Inputs!$C$45^2))+Inputs!$C$48*(0.7*(0.45*SIN(2*PI()*((((Inputs!$I$6+(((A194)+1)/2)*(Inputs!$J$6-Inputs!$I$6)))/Inputs!$C$49)+Inputs!$C$47*0.137))+0.35*COS(2*PI()*(((Inputs!$C$6)/Inputs!$C$50)+Inputs!$C$47*0.173))+0.2*SIN(2*PI()*((((Inputs!$I$6+(((A194)+1)/2)*(Inputs!$J$6-Inputs!$I$6)))+(Inputs!$C$6))/(0.5*(Inputs!$C$49+Inputs!$C$50))+Inputs!$C$47*0.097)))+0.3*(2*((SIN((((Inputs!$I$6+(((A194)+1)/2)*(Inputs!$J$6-Inputs!$I$6)))*12.9898+(Inputs!$C$6)*78.233+Inputs!$C$47*37.719))*43758.5453)-INT((SIN((((Inputs!$I$6+(((A194)+1)/2)*(Inputs!$J$6-Inputs!$I$6)))*12.9898+(Inputs!$C$6)*78.233+Inputs!$C$47*37.719))*43758.5453)))-1))),NA())</f>
        <v/>
      </c>
      <c r="AT194" s="9">
        <f>IF(OR(Inputs!$F$7=TRUE,Inputs!$F$7="TRUE",Inputs!$F$7=1),IF(OR(Inputs!$C$27=TRUE,Inputs!$C$27="TRUE",Inputs!$C$27=1),1,0)*(Inputs!$C$51*(115*EXP(-(((Inputs!$C$6)-25)^2)/(4.5^2))+70*EXP(-(((Inputs!$C$6)+38)^2)/(7^2))*(0.55+0.45*SIN(2*PI()*((Inputs!$I$7+(((A194)+1)/2)*(Inputs!$J$7-Inputs!$I$7)))/45))+24*SIN(2*PI()*(Inputs!$C$6)/9+((Inputs!$I$7+(((A194)+1)/2)*(Inputs!$J$7-Inputs!$I$7)))/18)*EXP(-(((Inputs!$C$6)+5)^2)/(22^2))+18*SIN(2*PI()*((Inputs!$I$7+(((A194)+1)/2)*(Inputs!$J$7-Inputs!$I$7)))/70))+Inputs!$C$28*EXP(-((((Inputs!$I$7+(((A194)+1)/2)*(Inputs!$J$7-Inputs!$I$7)))-Inputs!$C$29)^2)/(2*Inputs!$C$31^2))*EXP(-(((Inputs!$C$6)-Inputs!$C$30)^2)/(2*Inputs!$C$32^2))+-Inputs!$C$33*EXP(-((((((Inputs!$I$7+(((A194)+1)/2)*(Inputs!$J$7-Inputs!$I$7)))-Inputs!$C$34)^2)+(((Inputs!$C$6)-Inputs!$C$35)^2))/(2*Inputs!$C$36^2)))+Inputs!$C$37*(0.55*SIN(2*PI()*((Inputs!$I$7+(((A194)+1)/2)*(Inputs!$J$7-Inputs!$I$7)))/Inputs!$C$39)+0.35*COS(2*PI()*(Inputs!$C$6)/Inputs!$C$40)+0.2*SIN(2*PI()*(((Inputs!$I$7+(((A194)+1)/2)*(Inputs!$J$7-Inputs!$I$7)))+(Inputs!$C$6))/(0.5*(Inputs!$C$39+Inputs!$C$40))))+Inputs!$C$38*SIN(2*PI()*((Inputs!$I$7+(((A194)+1)/2)*(Inputs!$J$7-Inputs!$I$7)))/Inputs!$C$39)*SIN(2*PI()*(Inputs!$C$6)/Inputs!$C$40)+-Inputs!$C$41*EXP(-(((Inputs!$C$6)-Inputs!$C$43)^2)/(2*Inputs!$C$44^2))*EXP(-((((Inputs!$I$7+(((A194)+1)/2)*(Inputs!$J$7-Inputs!$I$7)))-Inputs!$C$42)^2)/(2*Inputs!$C$45^2))+Inputs!$C$48*(0.7*(0.45*SIN(2*PI()*((((Inputs!$I$7+(((A194)+1)/2)*(Inputs!$J$7-Inputs!$I$7)))/Inputs!$C$49)+Inputs!$C$47*0.137))+0.35*COS(2*PI()*(((Inputs!$C$6)/Inputs!$C$50)+Inputs!$C$47*0.173))+0.2*SIN(2*PI()*((((Inputs!$I$7+(((A194)+1)/2)*(Inputs!$J$7-Inputs!$I$7)))+(Inputs!$C$6))/(0.5*(Inputs!$C$49+Inputs!$C$50))+Inputs!$C$47*0.097)))+0.3*(2*((SIN((((Inputs!$I$7+(((A194)+1)/2)*(Inputs!$J$7-Inputs!$I$7)))*12.9898+(Inputs!$C$6)*78.233+Inputs!$C$47*37.719))*43758.5453)-INT((SIN((((Inputs!$I$7+(((A194)+1)/2)*(Inputs!$J$7-Inputs!$I$7)))*12.9898+(Inputs!$C$6)*78.233+Inputs!$C$47*37.719))*43758.5453)))-1))),NA())</f>
        <v/>
      </c>
      <c r="AU194" s="9">
        <f>IF(OR(Inputs!$F$8=TRUE,Inputs!$F$8="TRUE",Inputs!$F$8=1),IF(OR(Inputs!$C$27=TRUE,Inputs!$C$27="TRUE",Inputs!$C$27=1),1,0)*(Inputs!$C$51*(115*EXP(-(((Inputs!$C$6)-25)^2)/(4.5^2))+70*EXP(-(((Inputs!$C$6)+38)^2)/(7^2))*(0.55+0.45*SIN(2*PI()*((Inputs!$I$8+(((A194)+1)/2)*(Inputs!$J$8-Inputs!$I$8)))/45))+24*SIN(2*PI()*(Inputs!$C$6)/9+((Inputs!$I$8+(((A194)+1)/2)*(Inputs!$J$8-Inputs!$I$8)))/18)*EXP(-(((Inputs!$C$6)+5)^2)/(22^2))+18*SIN(2*PI()*((Inputs!$I$8+(((A194)+1)/2)*(Inputs!$J$8-Inputs!$I$8)))/70))+Inputs!$C$28*EXP(-((((Inputs!$I$8+(((A194)+1)/2)*(Inputs!$J$8-Inputs!$I$8)))-Inputs!$C$29)^2)/(2*Inputs!$C$31^2))*EXP(-(((Inputs!$C$6)-Inputs!$C$30)^2)/(2*Inputs!$C$32^2))+-Inputs!$C$33*EXP(-((((((Inputs!$I$8+(((A194)+1)/2)*(Inputs!$J$8-Inputs!$I$8)))-Inputs!$C$34)^2)+(((Inputs!$C$6)-Inputs!$C$35)^2))/(2*Inputs!$C$36^2)))+Inputs!$C$37*(0.55*SIN(2*PI()*((Inputs!$I$8+(((A194)+1)/2)*(Inputs!$J$8-Inputs!$I$8)))/Inputs!$C$39)+0.35*COS(2*PI()*(Inputs!$C$6)/Inputs!$C$40)+0.2*SIN(2*PI()*(((Inputs!$I$8+(((A194)+1)/2)*(Inputs!$J$8-Inputs!$I$8)))+(Inputs!$C$6))/(0.5*(Inputs!$C$39+Inputs!$C$40))))+Inputs!$C$38*SIN(2*PI()*((Inputs!$I$8+(((A194)+1)/2)*(Inputs!$J$8-Inputs!$I$8)))/Inputs!$C$39)*SIN(2*PI()*(Inputs!$C$6)/Inputs!$C$40)+-Inputs!$C$41*EXP(-(((Inputs!$C$6)-Inputs!$C$43)^2)/(2*Inputs!$C$44^2))*EXP(-((((Inputs!$I$8+(((A194)+1)/2)*(Inputs!$J$8-Inputs!$I$8)))-Inputs!$C$42)^2)/(2*Inputs!$C$45^2))+Inputs!$C$48*(0.7*(0.45*SIN(2*PI()*((((Inputs!$I$8+(((A194)+1)/2)*(Inputs!$J$8-Inputs!$I$8)))/Inputs!$C$49)+Inputs!$C$47*0.137))+0.35*COS(2*PI()*(((Inputs!$C$6)/Inputs!$C$50)+Inputs!$C$47*0.173))+0.2*SIN(2*PI()*((((Inputs!$I$8+(((A194)+1)/2)*(Inputs!$J$8-Inputs!$I$8)))+(Inputs!$C$6))/(0.5*(Inputs!$C$49+Inputs!$C$50))+Inputs!$C$47*0.097)))+0.3*(2*((SIN((((Inputs!$I$8+(((A194)+1)/2)*(Inputs!$J$8-Inputs!$I$8)))*12.9898+(Inputs!$C$6)*78.233+Inputs!$C$47*37.719))*43758.5453)-INT((SIN((((Inputs!$I$8+(((A194)+1)/2)*(Inputs!$J$8-Inputs!$I$8)))*12.9898+(Inputs!$C$6)*78.233+Inputs!$C$47*37.719))*43758.5453)))-1))),NA())</f>
        <v/>
      </c>
      <c r="AV194" s="9">
        <f>IF(OR(Inputs!$F$9=TRUE,Inputs!$F$9="TRUE",Inputs!$F$9=1),IF(OR(Inputs!$C$27=TRUE,Inputs!$C$27="TRUE",Inputs!$C$27=1),1,0)*(Inputs!$C$51*(115*EXP(-(((Inputs!$C$6)-25)^2)/(4.5^2))+70*EXP(-(((Inputs!$C$6)+38)^2)/(7^2))*(0.55+0.45*SIN(2*PI()*((Inputs!$I$9+(((A194)+1)/2)*(Inputs!$J$9-Inputs!$I$9)))/45))+24*SIN(2*PI()*(Inputs!$C$6)/9+((Inputs!$I$9+(((A194)+1)/2)*(Inputs!$J$9-Inputs!$I$9)))/18)*EXP(-(((Inputs!$C$6)+5)^2)/(22^2))+18*SIN(2*PI()*((Inputs!$I$9+(((A194)+1)/2)*(Inputs!$J$9-Inputs!$I$9)))/70))+Inputs!$C$28*EXP(-((((Inputs!$I$9+(((A194)+1)/2)*(Inputs!$J$9-Inputs!$I$9)))-Inputs!$C$29)^2)/(2*Inputs!$C$31^2))*EXP(-(((Inputs!$C$6)-Inputs!$C$30)^2)/(2*Inputs!$C$32^2))+-Inputs!$C$33*EXP(-((((((Inputs!$I$9+(((A194)+1)/2)*(Inputs!$J$9-Inputs!$I$9)))-Inputs!$C$34)^2)+(((Inputs!$C$6)-Inputs!$C$35)^2))/(2*Inputs!$C$36^2)))+Inputs!$C$37*(0.55*SIN(2*PI()*((Inputs!$I$9+(((A194)+1)/2)*(Inputs!$J$9-Inputs!$I$9)))/Inputs!$C$39)+0.35*COS(2*PI()*(Inputs!$C$6)/Inputs!$C$40)+0.2*SIN(2*PI()*(((Inputs!$I$9+(((A194)+1)/2)*(Inputs!$J$9-Inputs!$I$9)))+(Inputs!$C$6))/(0.5*(Inputs!$C$39+Inputs!$C$40))))+Inputs!$C$38*SIN(2*PI()*((Inputs!$I$9+(((A194)+1)/2)*(Inputs!$J$9-Inputs!$I$9)))/Inputs!$C$39)*SIN(2*PI()*(Inputs!$C$6)/Inputs!$C$40)+-Inputs!$C$41*EXP(-(((Inputs!$C$6)-Inputs!$C$43)^2)/(2*Inputs!$C$44^2))*EXP(-((((Inputs!$I$9+(((A194)+1)/2)*(Inputs!$J$9-Inputs!$I$9)))-Inputs!$C$42)^2)/(2*Inputs!$C$45^2))+Inputs!$C$48*(0.7*(0.45*SIN(2*PI()*((((Inputs!$I$9+(((A194)+1)/2)*(Inputs!$J$9-Inputs!$I$9)))/Inputs!$C$49)+Inputs!$C$47*0.137))+0.35*COS(2*PI()*(((Inputs!$C$6)/Inputs!$C$50)+Inputs!$C$47*0.173))+0.2*SIN(2*PI()*((((Inputs!$I$9+(((A194)+1)/2)*(Inputs!$J$9-Inputs!$I$9)))+(Inputs!$C$6))/(0.5*(Inputs!$C$49+Inputs!$C$50))+Inputs!$C$47*0.097)))+0.3*(2*((SIN((((Inputs!$I$9+(((A194)+1)/2)*(Inputs!$J$9-Inputs!$I$9)))*12.9898+(Inputs!$C$6)*78.233+Inputs!$C$47*37.719))*43758.5453)-INT((SIN((((Inputs!$I$9+(((A194)+1)/2)*(Inputs!$J$9-Inputs!$I$9)))*12.9898+(Inputs!$C$6)*78.233+Inputs!$C$47*37.719))*43758.5453)))-1))),NA())</f>
        <v/>
      </c>
      <c r="AW194" s="10" t="n"/>
      <c r="AX194" s="9">
        <f>A194</f>
        <v/>
      </c>
      <c r="AY194" s="9">
        <f>0</f>
        <v/>
      </c>
      <c r="AZ194" s="9">
        <f>IF(OR(Inputs!$F$6=TRUE,Inputs!$F$6="TRUE",Inputs!$F$6=1),(Inputs!$H$6+Inputs!$L$6*(((Inputs!$I$6+(((A194)+1)/2)*(Inputs!$J$6-Inputs!$I$6)))/Inputs!$K$6)^2),NA())</f>
        <v/>
      </c>
      <c r="BA194" s="9">
        <f>IF(OR(Inputs!$F$7=TRUE,Inputs!$F$7="TRUE",Inputs!$F$7=1),(Inputs!$H$7+Inputs!$L$7*(((Inputs!$I$7+(((A194)+1)/2)*(Inputs!$J$7-Inputs!$I$7)))/Inputs!$K$7)^2),NA())</f>
        <v/>
      </c>
      <c r="BB194" s="9">
        <f>IF(OR(Inputs!$F$8=TRUE,Inputs!$F$8="TRUE",Inputs!$F$8=1),(Inputs!$H$8+Inputs!$L$8*(((Inputs!$I$8+(((A194)+1)/2)*(Inputs!$J$8-Inputs!$I$8)))/Inputs!$K$8)^2),NA())</f>
        <v/>
      </c>
      <c r="BC194" s="9">
        <f>IF(OR(Inputs!$F$9=TRUE,Inputs!$F$9="TRUE",Inputs!$F$9=1),(Inputs!$H$9+Inputs!$L$9*(((Inputs!$I$9+(((A194)+1)/2)*(Inputs!$J$9-Inputs!$I$9)))/Inputs!$K$9)^2),NA())</f>
        <v/>
      </c>
      <c r="BD194" s="10" t="n"/>
      <c r="BE194" s="9">
        <f>A194</f>
        <v/>
      </c>
      <c r="BF194" s="9">
        <f>0</f>
        <v/>
      </c>
      <c r="BG194" s="9">
        <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f>
        <v/>
      </c>
      <c r="BH194" s="9">
        <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f>
        <v/>
      </c>
      <c r="BI194" s="9">
        <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f>
        <v/>
      </c>
      <c r="BJ194" s="9">
        <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f>
        <v/>
      </c>
    </row>
    <row r="195">
      <c r="A195" s="9">
        <f>ROUND(-1+193*2/240,3)</f>
        <v/>
      </c>
      <c r="B195" s="9">
        <f>IF(OR(Inputs!$F$6=TRUE,Inputs!$F$6="TRUE",Inputs!$F$6=1),(Inputs!$H$6+Inputs!$L$6*(((Inputs!$I$6+(((A195)+1)/2)*(Inputs!$J$6-Inputs!$I$6)))/Inputs!$K$6)^2),NA())</f>
        <v/>
      </c>
      <c r="C195" s="9">
        <f>IF(OR(Inputs!$F$7=TRUE,Inputs!$F$7="TRUE",Inputs!$F$7=1),(Inputs!$H$7+Inputs!$L$7*(((Inputs!$I$7+(((A195)+1)/2)*(Inputs!$J$7-Inputs!$I$7)))/Inputs!$K$7)^2),NA())</f>
        <v/>
      </c>
      <c r="D195" s="9">
        <f>IF(OR(Inputs!$F$8=TRUE,Inputs!$F$8="TRUE",Inputs!$F$8=1),(Inputs!$H$8+Inputs!$L$8*(((Inputs!$I$8+(((A195)+1)/2)*(Inputs!$J$8-Inputs!$I$8)))/Inputs!$K$8)^2),NA())</f>
        <v/>
      </c>
      <c r="E195" s="9">
        <f>IF(OR(Inputs!$F$9=TRUE,Inputs!$F$9="TRUE",Inputs!$F$9=1),(Inputs!$H$9+Inputs!$L$9*(((Inputs!$I$9+(((A195)+1)/2)*(Inputs!$J$9-Inputs!$I$9)))/Inputs!$K$9)^2),NA())</f>
        <v/>
      </c>
      <c r="F195" s="10" t="n"/>
      <c r="G195" s="9">
        <f>A195</f>
        <v/>
      </c>
      <c r="H195" s="9">
        <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f>
        <v/>
      </c>
      <c r="I195" s="9">
        <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f>
        <v/>
      </c>
      <c r="J195" s="9">
        <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f>
        <v/>
      </c>
      <c r="K195" s="9">
        <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f>
        <v/>
      </c>
      <c r="L195" s="10" t="n"/>
      <c r="M195" s="9">
        <f>A195</f>
        <v/>
      </c>
      <c r="N195" s="9">
        <f>IF(OR(Inputs!$F$6=TRUE,Inputs!$F$6="TRUE",Inputs!$F$6=1),(-2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NA())</f>
        <v/>
      </c>
      <c r="O195" s="9">
        <f>IF(OR(Inputs!$F$7=TRUE,Inputs!$F$7="TRUE",Inputs!$F$7=1),(-2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NA())</f>
        <v/>
      </c>
      <c r="P195" s="9">
        <f>IF(OR(Inputs!$F$8=TRUE,Inputs!$F$8="TRUE",Inputs!$F$8=1),(-2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NA())</f>
        <v/>
      </c>
      <c r="Q195" s="9">
        <f>IF(OR(Inputs!$F$9=TRUE,Inputs!$F$9="TRUE",Inputs!$F$9=1),(-2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NA())</f>
        <v/>
      </c>
      <c r="R195" s="10" t="n"/>
      <c r="S195" s="9">
        <f>A195</f>
        <v/>
      </c>
      <c r="T195" s="9">
        <f>(Inputs!$I$6+(((A195)+1)/2)*(Inputs!$J$6-Inputs!$I$6))</f>
        <v/>
      </c>
      <c r="U195" s="9">
        <f>(Inputs!$I$7+(((A195)+1)/2)*(Inputs!$J$7-Inputs!$I$7))</f>
        <v/>
      </c>
      <c r="V195" s="9">
        <f>(Inputs!$I$8+(((A195)+1)/2)*(Inputs!$J$8-Inputs!$I$8))</f>
        <v/>
      </c>
      <c r="W195" s="9">
        <f>(Inputs!$I$9+(((A195)+1)/2)*(Inputs!$J$9-Inputs!$I$9))</f>
        <v/>
      </c>
      <c r="X195" s="10" t="n"/>
      <c r="Y195" s="9">
        <f>A195</f>
        <v/>
      </c>
      <c r="Z195" s="9">
        <f>(Inputs!$H$6+Inputs!$L$6*(((Inputs!$I$6+(((A195)+1)/2)*(Inputs!$J$6-Inputs!$I$6)))/Inputs!$K$6)^2)</f>
        <v/>
      </c>
      <c r="AA195" s="9">
        <f>(Inputs!$H$7+Inputs!$L$7*(((Inputs!$I$7+(((A195)+1)/2)*(Inputs!$J$7-Inputs!$I$7)))/Inputs!$K$7)^2)</f>
        <v/>
      </c>
      <c r="AB195" s="9">
        <f>(Inputs!$H$8+Inputs!$L$8*(((Inputs!$I$8+(((A195)+1)/2)*(Inputs!$J$8-Inputs!$I$8)))/Inputs!$K$8)^2)</f>
        <v/>
      </c>
      <c r="AC195" s="9">
        <f>(Inputs!$H$9+Inputs!$L$9*(((Inputs!$I$9+(((A195)+1)/2)*(Inputs!$J$9-Inputs!$I$9)))/Inputs!$K$9)^2)</f>
        <v/>
      </c>
      <c r="AD195" s="10" t="n"/>
      <c r="AE195" s="9">
        <f>A195</f>
        <v/>
      </c>
      <c r="AF195" s="9">
        <f>(((SQRT((Inputs!$C$52+((Inputs!$H$6+Inputs!$L$6*(((Inputs!$I$6+(((A195)+1)/2)*(Inputs!$J$6-Inputs!$I$6)))/Inputs!$K$6)^2)))^2+Inputs!$C$52^2-2*(Inputs!$C$52+((Inputs!$H$6+Inputs!$L$6*(((Inputs!$I$6+(((A195)+1)/2)*(Inputs!$J$6-Inputs!$I$6)))/Inputs!$K$6)^2)))*Inputs!$C$52*COS(SQRT(((Inputs!$I$6+(((A195)+1)/2)*(Inputs!$J$6-Inputs!$I$6)))^2+Inputs!$C$6^2)/Inputs!$C$52)))-((Inputs!$H$6+Inputs!$L$6*(((Inputs!$I$6+(((A195)+1)/2)*(Inputs!$J$6-Inputs!$I$6)))/Inputs!$K$6)^2)))*1000/Inputs!$C$12)</f>
        <v/>
      </c>
      <c r="AG195" s="9">
        <f>(((SQRT((Inputs!$C$52+((Inputs!$H$7+Inputs!$L$7*(((Inputs!$I$7+(((A195)+1)/2)*(Inputs!$J$7-Inputs!$I$7)))/Inputs!$K$7)^2)))^2+Inputs!$C$52^2-2*(Inputs!$C$52+((Inputs!$H$7+Inputs!$L$7*(((Inputs!$I$7+(((A195)+1)/2)*(Inputs!$J$7-Inputs!$I$7)))/Inputs!$K$7)^2)))*Inputs!$C$52*COS(SQRT(((Inputs!$I$7+(((A195)+1)/2)*(Inputs!$J$7-Inputs!$I$7)))^2+Inputs!$C$6^2)/Inputs!$C$52)))-((Inputs!$H$7+Inputs!$L$7*(((Inputs!$I$7+(((A195)+1)/2)*(Inputs!$J$7-Inputs!$I$7)))/Inputs!$K$7)^2)))*1000/Inputs!$C$12)</f>
        <v/>
      </c>
      <c r="AH195" s="9">
        <f>(((SQRT((Inputs!$C$52+((Inputs!$H$8+Inputs!$L$8*(((Inputs!$I$8+(((A195)+1)/2)*(Inputs!$J$8-Inputs!$I$8)))/Inputs!$K$8)^2)))^2+Inputs!$C$52^2-2*(Inputs!$C$52+((Inputs!$H$8+Inputs!$L$8*(((Inputs!$I$8+(((A195)+1)/2)*(Inputs!$J$8-Inputs!$I$8)))/Inputs!$K$8)^2)))*Inputs!$C$52*COS(SQRT(((Inputs!$I$8+(((A195)+1)/2)*(Inputs!$J$8-Inputs!$I$8)))^2+Inputs!$C$6^2)/Inputs!$C$52)))-((Inputs!$H$8+Inputs!$L$8*(((Inputs!$I$8+(((A195)+1)/2)*(Inputs!$J$8-Inputs!$I$8)))/Inputs!$K$8)^2)))*1000/Inputs!$C$12)</f>
        <v/>
      </c>
      <c r="AI195" s="9">
        <f>(((SQRT((Inputs!$C$52+((Inputs!$H$9+Inputs!$L$9*(((Inputs!$I$9+(((A195)+1)/2)*(Inputs!$J$9-Inputs!$I$9)))/Inputs!$K$9)^2)))^2+Inputs!$C$52^2-2*(Inputs!$C$52+((Inputs!$H$9+Inputs!$L$9*(((Inputs!$I$9+(((A195)+1)/2)*(Inputs!$J$9-Inputs!$I$9)))/Inputs!$K$9)^2)))*Inputs!$C$52*COS(SQRT(((Inputs!$I$9+(((A195)+1)/2)*(Inputs!$J$9-Inputs!$I$9)))^2+Inputs!$C$6^2)/Inputs!$C$52)))-((Inputs!$H$9+Inputs!$L$9*(((Inputs!$I$9+(((A195)+1)/2)*(Inputs!$J$9-Inputs!$I$9)))/Inputs!$K$9)^2)))*1000/Inputs!$C$12)</f>
        <v/>
      </c>
      <c r="AJ195" s="10" t="n"/>
      <c r="AK195" s="9">
        <f>A195</f>
        <v/>
      </c>
      <c r="AL195" s="9">
        <f>(-2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f>
        <v/>
      </c>
      <c r="AM195" s="9">
        <f>(-2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f>
        <v/>
      </c>
      <c r="AN195" s="9">
        <f>(-2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f>
        <v/>
      </c>
      <c r="AO195" s="9">
        <f>(-2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f>
        <v/>
      </c>
      <c r="AP195" s="10" t="n"/>
      <c r="AQ195" s="9">
        <f>A195</f>
        <v/>
      </c>
      <c r="AR195" s="9">
        <f>0</f>
        <v/>
      </c>
      <c r="AS195" s="9">
        <f>IF(OR(Inputs!$F$6=TRUE,Inputs!$F$6="TRUE",Inputs!$F$6=1),IF(OR(Inputs!$C$27=TRUE,Inputs!$C$27="TRUE",Inputs!$C$27=1),1,0)*(Inputs!$C$51*(115*EXP(-(((Inputs!$C$6)-25)^2)/(4.5^2))+70*EXP(-(((Inputs!$C$6)+38)^2)/(7^2))*(0.55+0.45*SIN(2*PI()*((Inputs!$I$6+(((A195)+1)/2)*(Inputs!$J$6-Inputs!$I$6)))/45))+24*SIN(2*PI()*(Inputs!$C$6)/9+((Inputs!$I$6+(((A195)+1)/2)*(Inputs!$J$6-Inputs!$I$6)))/18)*EXP(-(((Inputs!$C$6)+5)^2)/(22^2))+18*SIN(2*PI()*((Inputs!$I$6+(((A195)+1)/2)*(Inputs!$J$6-Inputs!$I$6)))/70))+Inputs!$C$28*EXP(-((((Inputs!$I$6+(((A195)+1)/2)*(Inputs!$J$6-Inputs!$I$6)))-Inputs!$C$29)^2)/(2*Inputs!$C$31^2))*EXP(-(((Inputs!$C$6)-Inputs!$C$30)^2)/(2*Inputs!$C$32^2))+-Inputs!$C$33*EXP(-((((((Inputs!$I$6+(((A195)+1)/2)*(Inputs!$J$6-Inputs!$I$6)))-Inputs!$C$34)^2)+(((Inputs!$C$6)-Inputs!$C$35)^2))/(2*Inputs!$C$36^2)))+Inputs!$C$37*(0.55*SIN(2*PI()*((Inputs!$I$6+(((A195)+1)/2)*(Inputs!$J$6-Inputs!$I$6)))/Inputs!$C$39)+0.35*COS(2*PI()*(Inputs!$C$6)/Inputs!$C$40)+0.2*SIN(2*PI()*(((Inputs!$I$6+(((A195)+1)/2)*(Inputs!$J$6-Inputs!$I$6)))+(Inputs!$C$6))/(0.5*(Inputs!$C$39+Inputs!$C$40))))+Inputs!$C$38*SIN(2*PI()*((Inputs!$I$6+(((A195)+1)/2)*(Inputs!$J$6-Inputs!$I$6)))/Inputs!$C$39)*SIN(2*PI()*(Inputs!$C$6)/Inputs!$C$40)+-Inputs!$C$41*EXP(-(((Inputs!$C$6)-Inputs!$C$43)^2)/(2*Inputs!$C$44^2))*EXP(-((((Inputs!$I$6+(((A195)+1)/2)*(Inputs!$J$6-Inputs!$I$6)))-Inputs!$C$42)^2)/(2*Inputs!$C$45^2))+Inputs!$C$48*(0.7*(0.45*SIN(2*PI()*((((Inputs!$I$6+(((A195)+1)/2)*(Inputs!$J$6-Inputs!$I$6)))/Inputs!$C$49)+Inputs!$C$47*0.137))+0.35*COS(2*PI()*(((Inputs!$C$6)/Inputs!$C$50)+Inputs!$C$47*0.173))+0.2*SIN(2*PI()*((((Inputs!$I$6+(((A195)+1)/2)*(Inputs!$J$6-Inputs!$I$6)))+(Inputs!$C$6))/(0.5*(Inputs!$C$49+Inputs!$C$50))+Inputs!$C$47*0.097)))+0.3*(2*((SIN((((Inputs!$I$6+(((A195)+1)/2)*(Inputs!$J$6-Inputs!$I$6)))*12.9898+(Inputs!$C$6)*78.233+Inputs!$C$47*37.719))*43758.5453)-INT((SIN((((Inputs!$I$6+(((A195)+1)/2)*(Inputs!$J$6-Inputs!$I$6)))*12.9898+(Inputs!$C$6)*78.233+Inputs!$C$47*37.719))*43758.5453)))-1))),NA())</f>
        <v/>
      </c>
      <c r="AT195" s="9">
        <f>IF(OR(Inputs!$F$7=TRUE,Inputs!$F$7="TRUE",Inputs!$F$7=1),IF(OR(Inputs!$C$27=TRUE,Inputs!$C$27="TRUE",Inputs!$C$27=1),1,0)*(Inputs!$C$51*(115*EXP(-(((Inputs!$C$6)-25)^2)/(4.5^2))+70*EXP(-(((Inputs!$C$6)+38)^2)/(7^2))*(0.55+0.45*SIN(2*PI()*((Inputs!$I$7+(((A195)+1)/2)*(Inputs!$J$7-Inputs!$I$7)))/45))+24*SIN(2*PI()*(Inputs!$C$6)/9+((Inputs!$I$7+(((A195)+1)/2)*(Inputs!$J$7-Inputs!$I$7)))/18)*EXP(-(((Inputs!$C$6)+5)^2)/(22^2))+18*SIN(2*PI()*((Inputs!$I$7+(((A195)+1)/2)*(Inputs!$J$7-Inputs!$I$7)))/70))+Inputs!$C$28*EXP(-((((Inputs!$I$7+(((A195)+1)/2)*(Inputs!$J$7-Inputs!$I$7)))-Inputs!$C$29)^2)/(2*Inputs!$C$31^2))*EXP(-(((Inputs!$C$6)-Inputs!$C$30)^2)/(2*Inputs!$C$32^2))+-Inputs!$C$33*EXP(-((((((Inputs!$I$7+(((A195)+1)/2)*(Inputs!$J$7-Inputs!$I$7)))-Inputs!$C$34)^2)+(((Inputs!$C$6)-Inputs!$C$35)^2))/(2*Inputs!$C$36^2)))+Inputs!$C$37*(0.55*SIN(2*PI()*((Inputs!$I$7+(((A195)+1)/2)*(Inputs!$J$7-Inputs!$I$7)))/Inputs!$C$39)+0.35*COS(2*PI()*(Inputs!$C$6)/Inputs!$C$40)+0.2*SIN(2*PI()*(((Inputs!$I$7+(((A195)+1)/2)*(Inputs!$J$7-Inputs!$I$7)))+(Inputs!$C$6))/(0.5*(Inputs!$C$39+Inputs!$C$40))))+Inputs!$C$38*SIN(2*PI()*((Inputs!$I$7+(((A195)+1)/2)*(Inputs!$J$7-Inputs!$I$7)))/Inputs!$C$39)*SIN(2*PI()*(Inputs!$C$6)/Inputs!$C$40)+-Inputs!$C$41*EXP(-(((Inputs!$C$6)-Inputs!$C$43)^2)/(2*Inputs!$C$44^2))*EXP(-((((Inputs!$I$7+(((A195)+1)/2)*(Inputs!$J$7-Inputs!$I$7)))-Inputs!$C$42)^2)/(2*Inputs!$C$45^2))+Inputs!$C$48*(0.7*(0.45*SIN(2*PI()*((((Inputs!$I$7+(((A195)+1)/2)*(Inputs!$J$7-Inputs!$I$7)))/Inputs!$C$49)+Inputs!$C$47*0.137))+0.35*COS(2*PI()*(((Inputs!$C$6)/Inputs!$C$50)+Inputs!$C$47*0.173))+0.2*SIN(2*PI()*((((Inputs!$I$7+(((A195)+1)/2)*(Inputs!$J$7-Inputs!$I$7)))+(Inputs!$C$6))/(0.5*(Inputs!$C$49+Inputs!$C$50))+Inputs!$C$47*0.097)))+0.3*(2*((SIN((((Inputs!$I$7+(((A195)+1)/2)*(Inputs!$J$7-Inputs!$I$7)))*12.9898+(Inputs!$C$6)*78.233+Inputs!$C$47*37.719))*43758.5453)-INT((SIN((((Inputs!$I$7+(((A195)+1)/2)*(Inputs!$J$7-Inputs!$I$7)))*12.9898+(Inputs!$C$6)*78.233+Inputs!$C$47*37.719))*43758.5453)))-1))),NA())</f>
        <v/>
      </c>
      <c r="AU195" s="9">
        <f>IF(OR(Inputs!$F$8=TRUE,Inputs!$F$8="TRUE",Inputs!$F$8=1),IF(OR(Inputs!$C$27=TRUE,Inputs!$C$27="TRUE",Inputs!$C$27=1),1,0)*(Inputs!$C$51*(115*EXP(-(((Inputs!$C$6)-25)^2)/(4.5^2))+70*EXP(-(((Inputs!$C$6)+38)^2)/(7^2))*(0.55+0.45*SIN(2*PI()*((Inputs!$I$8+(((A195)+1)/2)*(Inputs!$J$8-Inputs!$I$8)))/45))+24*SIN(2*PI()*(Inputs!$C$6)/9+((Inputs!$I$8+(((A195)+1)/2)*(Inputs!$J$8-Inputs!$I$8)))/18)*EXP(-(((Inputs!$C$6)+5)^2)/(22^2))+18*SIN(2*PI()*((Inputs!$I$8+(((A195)+1)/2)*(Inputs!$J$8-Inputs!$I$8)))/70))+Inputs!$C$28*EXP(-((((Inputs!$I$8+(((A195)+1)/2)*(Inputs!$J$8-Inputs!$I$8)))-Inputs!$C$29)^2)/(2*Inputs!$C$31^2))*EXP(-(((Inputs!$C$6)-Inputs!$C$30)^2)/(2*Inputs!$C$32^2))+-Inputs!$C$33*EXP(-((((((Inputs!$I$8+(((A195)+1)/2)*(Inputs!$J$8-Inputs!$I$8)))-Inputs!$C$34)^2)+(((Inputs!$C$6)-Inputs!$C$35)^2))/(2*Inputs!$C$36^2)))+Inputs!$C$37*(0.55*SIN(2*PI()*((Inputs!$I$8+(((A195)+1)/2)*(Inputs!$J$8-Inputs!$I$8)))/Inputs!$C$39)+0.35*COS(2*PI()*(Inputs!$C$6)/Inputs!$C$40)+0.2*SIN(2*PI()*(((Inputs!$I$8+(((A195)+1)/2)*(Inputs!$J$8-Inputs!$I$8)))+(Inputs!$C$6))/(0.5*(Inputs!$C$39+Inputs!$C$40))))+Inputs!$C$38*SIN(2*PI()*((Inputs!$I$8+(((A195)+1)/2)*(Inputs!$J$8-Inputs!$I$8)))/Inputs!$C$39)*SIN(2*PI()*(Inputs!$C$6)/Inputs!$C$40)+-Inputs!$C$41*EXP(-(((Inputs!$C$6)-Inputs!$C$43)^2)/(2*Inputs!$C$44^2))*EXP(-((((Inputs!$I$8+(((A195)+1)/2)*(Inputs!$J$8-Inputs!$I$8)))-Inputs!$C$42)^2)/(2*Inputs!$C$45^2))+Inputs!$C$48*(0.7*(0.45*SIN(2*PI()*((((Inputs!$I$8+(((A195)+1)/2)*(Inputs!$J$8-Inputs!$I$8)))/Inputs!$C$49)+Inputs!$C$47*0.137))+0.35*COS(2*PI()*(((Inputs!$C$6)/Inputs!$C$50)+Inputs!$C$47*0.173))+0.2*SIN(2*PI()*((((Inputs!$I$8+(((A195)+1)/2)*(Inputs!$J$8-Inputs!$I$8)))+(Inputs!$C$6))/(0.5*(Inputs!$C$49+Inputs!$C$50))+Inputs!$C$47*0.097)))+0.3*(2*((SIN((((Inputs!$I$8+(((A195)+1)/2)*(Inputs!$J$8-Inputs!$I$8)))*12.9898+(Inputs!$C$6)*78.233+Inputs!$C$47*37.719))*43758.5453)-INT((SIN((((Inputs!$I$8+(((A195)+1)/2)*(Inputs!$J$8-Inputs!$I$8)))*12.9898+(Inputs!$C$6)*78.233+Inputs!$C$47*37.719))*43758.5453)))-1))),NA())</f>
        <v/>
      </c>
      <c r="AV195" s="9">
        <f>IF(OR(Inputs!$F$9=TRUE,Inputs!$F$9="TRUE",Inputs!$F$9=1),IF(OR(Inputs!$C$27=TRUE,Inputs!$C$27="TRUE",Inputs!$C$27=1),1,0)*(Inputs!$C$51*(115*EXP(-(((Inputs!$C$6)-25)^2)/(4.5^2))+70*EXP(-(((Inputs!$C$6)+38)^2)/(7^2))*(0.55+0.45*SIN(2*PI()*((Inputs!$I$9+(((A195)+1)/2)*(Inputs!$J$9-Inputs!$I$9)))/45))+24*SIN(2*PI()*(Inputs!$C$6)/9+((Inputs!$I$9+(((A195)+1)/2)*(Inputs!$J$9-Inputs!$I$9)))/18)*EXP(-(((Inputs!$C$6)+5)^2)/(22^2))+18*SIN(2*PI()*((Inputs!$I$9+(((A195)+1)/2)*(Inputs!$J$9-Inputs!$I$9)))/70))+Inputs!$C$28*EXP(-((((Inputs!$I$9+(((A195)+1)/2)*(Inputs!$J$9-Inputs!$I$9)))-Inputs!$C$29)^2)/(2*Inputs!$C$31^2))*EXP(-(((Inputs!$C$6)-Inputs!$C$30)^2)/(2*Inputs!$C$32^2))+-Inputs!$C$33*EXP(-((((((Inputs!$I$9+(((A195)+1)/2)*(Inputs!$J$9-Inputs!$I$9)))-Inputs!$C$34)^2)+(((Inputs!$C$6)-Inputs!$C$35)^2))/(2*Inputs!$C$36^2)))+Inputs!$C$37*(0.55*SIN(2*PI()*((Inputs!$I$9+(((A195)+1)/2)*(Inputs!$J$9-Inputs!$I$9)))/Inputs!$C$39)+0.35*COS(2*PI()*(Inputs!$C$6)/Inputs!$C$40)+0.2*SIN(2*PI()*(((Inputs!$I$9+(((A195)+1)/2)*(Inputs!$J$9-Inputs!$I$9)))+(Inputs!$C$6))/(0.5*(Inputs!$C$39+Inputs!$C$40))))+Inputs!$C$38*SIN(2*PI()*((Inputs!$I$9+(((A195)+1)/2)*(Inputs!$J$9-Inputs!$I$9)))/Inputs!$C$39)*SIN(2*PI()*(Inputs!$C$6)/Inputs!$C$40)+-Inputs!$C$41*EXP(-(((Inputs!$C$6)-Inputs!$C$43)^2)/(2*Inputs!$C$44^2))*EXP(-((((Inputs!$I$9+(((A195)+1)/2)*(Inputs!$J$9-Inputs!$I$9)))-Inputs!$C$42)^2)/(2*Inputs!$C$45^2))+Inputs!$C$48*(0.7*(0.45*SIN(2*PI()*((((Inputs!$I$9+(((A195)+1)/2)*(Inputs!$J$9-Inputs!$I$9)))/Inputs!$C$49)+Inputs!$C$47*0.137))+0.35*COS(2*PI()*(((Inputs!$C$6)/Inputs!$C$50)+Inputs!$C$47*0.173))+0.2*SIN(2*PI()*((((Inputs!$I$9+(((A195)+1)/2)*(Inputs!$J$9-Inputs!$I$9)))+(Inputs!$C$6))/(0.5*(Inputs!$C$49+Inputs!$C$50))+Inputs!$C$47*0.097)))+0.3*(2*((SIN((((Inputs!$I$9+(((A195)+1)/2)*(Inputs!$J$9-Inputs!$I$9)))*12.9898+(Inputs!$C$6)*78.233+Inputs!$C$47*37.719))*43758.5453)-INT((SIN((((Inputs!$I$9+(((A195)+1)/2)*(Inputs!$J$9-Inputs!$I$9)))*12.9898+(Inputs!$C$6)*78.233+Inputs!$C$47*37.719))*43758.5453)))-1))),NA())</f>
        <v/>
      </c>
      <c r="AW195" s="10" t="n"/>
      <c r="AX195" s="9">
        <f>A195</f>
        <v/>
      </c>
      <c r="AY195" s="9">
        <f>0</f>
        <v/>
      </c>
      <c r="AZ195" s="9">
        <f>IF(OR(Inputs!$F$6=TRUE,Inputs!$F$6="TRUE",Inputs!$F$6=1),(Inputs!$H$6+Inputs!$L$6*(((Inputs!$I$6+(((A195)+1)/2)*(Inputs!$J$6-Inputs!$I$6)))/Inputs!$K$6)^2),NA())</f>
        <v/>
      </c>
      <c r="BA195" s="9">
        <f>IF(OR(Inputs!$F$7=TRUE,Inputs!$F$7="TRUE",Inputs!$F$7=1),(Inputs!$H$7+Inputs!$L$7*(((Inputs!$I$7+(((A195)+1)/2)*(Inputs!$J$7-Inputs!$I$7)))/Inputs!$K$7)^2),NA())</f>
        <v/>
      </c>
      <c r="BB195" s="9">
        <f>IF(OR(Inputs!$F$8=TRUE,Inputs!$F$8="TRUE",Inputs!$F$8=1),(Inputs!$H$8+Inputs!$L$8*(((Inputs!$I$8+(((A195)+1)/2)*(Inputs!$J$8-Inputs!$I$8)))/Inputs!$K$8)^2),NA())</f>
        <v/>
      </c>
      <c r="BC195" s="9">
        <f>IF(OR(Inputs!$F$9=TRUE,Inputs!$F$9="TRUE",Inputs!$F$9=1),(Inputs!$H$9+Inputs!$L$9*(((Inputs!$I$9+(((A195)+1)/2)*(Inputs!$J$9-Inputs!$I$9)))/Inputs!$K$9)^2),NA())</f>
        <v/>
      </c>
      <c r="BD195" s="10" t="n"/>
      <c r="BE195" s="9">
        <f>A195</f>
        <v/>
      </c>
      <c r="BF195" s="9">
        <f>0</f>
        <v/>
      </c>
      <c r="BG195" s="9">
        <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f>
        <v/>
      </c>
      <c r="BH195" s="9">
        <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f>
        <v/>
      </c>
      <c r="BI195" s="9">
        <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f>
        <v/>
      </c>
      <c r="BJ195" s="9">
        <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f>
        <v/>
      </c>
    </row>
    <row r="196">
      <c r="A196" s="9">
        <f>ROUND(-1+194*2/240,3)</f>
        <v/>
      </c>
      <c r="B196" s="9">
        <f>IF(OR(Inputs!$F$6=TRUE,Inputs!$F$6="TRUE",Inputs!$F$6=1),(Inputs!$H$6+Inputs!$L$6*(((Inputs!$I$6+(((A196)+1)/2)*(Inputs!$J$6-Inputs!$I$6)))/Inputs!$K$6)^2),NA())</f>
        <v/>
      </c>
      <c r="C196" s="9">
        <f>IF(OR(Inputs!$F$7=TRUE,Inputs!$F$7="TRUE",Inputs!$F$7=1),(Inputs!$H$7+Inputs!$L$7*(((Inputs!$I$7+(((A196)+1)/2)*(Inputs!$J$7-Inputs!$I$7)))/Inputs!$K$7)^2),NA())</f>
        <v/>
      </c>
      <c r="D196" s="9">
        <f>IF(OR(Inputs!$F$8=TRUE,Inputs!$F$8="TRUE",Inputs!$F$8=1),(Inputs!$H$8+Inputs!$L$8*(((Inputs!$I$8+(((A196)+1)/2)*(Inputs!$J$8-Inputs!$I$8)))/Inputs!$K$8)^2),NA())</f>
        <v/>
      </c>
      <c r="E196" s="9">
        <f>IF(OR(Inputs!$F$9=TRUE,Inputs!$F$9="TRUE",Inputs!$F$9=1),(Inputs!$H$9+Inputs!$L$9*(((Inputs!$I$9+(((A196)+1)/2)*(Inputs!$J$9-Inputs!$I$9)))/Inputs!$K$9)^2),NA())</f>
        <v/>
      </c>
      <c r="F196" s="10" t="n"/>
      <c r="G196" s="9">
        <f>A196</f>
        <v/>
      </c>
      <c r="H196" s="9">
        <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f>
        <v/>
      </c>
      <c r="I196" s="9">
        <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f>
        <v/>
      </c>
      <c r="J196" s="9">
        <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f>
        <v/>
      </c>
      <c r="K196" s="9">
        <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f>
        <v/>
      </c>
      <c r="L196" s="10" t="n"/>
      <c r="M196" s="9">
        <f>A196</f>
        <v/>
      </c>
      <c r="N196" s="9">
        <f>IF(OR(Inputs!$F$6=TRUE,Inputs!$F$6="TRUE",Inputs!$F$6=1),(-2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NA())</f>
        <v/>
      </c>
      <c r="O196" s="9">
        <f>IF(OR(Inputs!$F$7=TRUE,Inputs!$F$7="TRUE",Inputs!$F$7=1),(-2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NA())</f>
        <v/>
      </c>
      <c r="P196" s="9">
        <f>IF(OR(Inputs!$F$8=TRUE,Inputs!$F$8="TRUE",Inputs!$F$8=1),(-2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NA())</f>
        <v/>
      </c>
      <c r="Q196" s="9">
        <f>IF(OR(Inputs!$F$9=TRUE,Inputs!$F$9="TRUE",Inputs!$F$9=1),(-2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NA())</f>
        <v/>
      </c>
      <c r="R196" s="10" t="n"/>
      <c r="S196" s="9">
        <f>A196</f>
        <v/>
      </c>
      <c r="T196" s="9">
        <f>(Inputs!$I$6+(((A196)+1)/2)*(Inputs!$J$6-Inputs!$I$6))</f>
        <v/>
      </c>
      <c r="U196" s="9">
        <f>(Inputs!$I$7+(((A196)+1)/2)*(Inputs!$J$7-Inputs!$I$7))</f>
        <v/>
      </c>
      <c r="V196" s="9">
        <f>(Inputs!$I$8+(((A196)+1)/2)*(Inputs!$J$8-Inputs!$I$8))</f>
        <v/>
      </c>
      <c r="W196" s="9">
        <f>(Inputs!$I$9+(((A196)+1)/2)*(Inputs!$J$9-Inputs!$I$9))</f>
        <v/>
      </c>
      <c r="X196" s="10" t="n"/>
      <c r="Y196" s="9">
        <f>A196</f>
        <v/>
      </c>
      <c r="Z196" s="9">
        <f>(Inputs!$H$6+Inputs!$L$6*(((Inputs!$I$6+(((A196)+1)/2)*(Inputs!$J$6-Inputs!$I$6)))/Inputs!$K$6)^2)</f>
        <v/>
      </c>
      <c r="AA196" s="9">
        <f>(Inputs!$H$7+Inputs!$L$7*(((Inputs!$I$7+(((A196)+1)/2)*(Inputs!$J$7-Inputs!$I$7)))/Inputs!$K$7)^2)</f>
        <v/>
      </c>
      <c r="AB196" s="9">
        <f>(Inputs!$H$8+Inputs!$L$8*(((Inputs!$I$8+(((A196)+1)/2)*(Inputs!$J$8-Inputs!$I$8)))/Inputs!$K$8)^2)</f>
        <v/>
      </c>
      <c r="AC196" s="9">
        <f>(Inputs!$H$9+Inputs!$L$9*(((Inputs!$I$9+(((A196)+1)/2)*(Inputs!$J$9-Inputs!$I$9)))/Inputs!$K$9)^2)</f>
        <v/>
      </c>
      <c r="AD196" s="10" t="n"/>
      <c r="AE196" s="9">
        <f>A196</f>
        <v/>
      </c>
      <c r="AF196" s="9">
        <f>(((SQRT((Inputs!$C$52+((Inputs!$H$6+Inputs!$L$6*(((Inputs!$I$6+(((A196)+1)/2)*(Inputs!$J$6-Inputs!$I$6)))/Inputs!$K$6)^2)))^2+Inputs!$C$52^2-2*(Inputs!$C$52+((Inputs!$H$6+Inputs!$L$6*(((Inputs!$I$6+(((A196)+1)/2)*(Inputs!$J$6-Inputs!$I$6)))/Inputs!$K$6)^2)))*Inputs!$C$52*COS(SQRT(((Inputs!$I$6+(((A196)+1)/2)*(Inputs!$J$6-Inputs!$I$6)))^2+Inputs!$C$6^2)/Inputs!$C$52)))-((Inputs!$H$6+Inputs!$L$6*(((Inputs!$I$6+(((A196)+1)/2)*(Inputs!$J$6-Inputs!$I$6)))/Inputs!$K$6)^2)))*1000/Inputs!$C$12)</f>
        <v/>
      </c>
      <c r="AG196" s="9">
        <f>(((SQRT((Inputs!$C$52+((Inputs!$H$7+Inputs!$L$7*(((Inputs!$I$7+(((A196)+1)/2)*(Inputs!$J$7-Inputs!$I$7)))/Inputs!$K$7)^2)))^2+Inputs!$C$52^2-2*(Inputs!$C$52+((Inputs!$H$7+Inputs!$L$7*(((Inputs!$I$7+(((A196)+1)/2)*(Inputs!$J$7-Inputs!$I$7)))/Inputs!$K$7)^2)))*Inputs!$C$52*COS(SQRT(((Inputs!$I$7+(((A196)+1)/2)*(Inputs!$J$7-Inputs!$I$7)))^2+Inputs!$C$6^2)/Inputs!$C$52)))-((Inputs!$H$7+Inputs!$L$7*(((Inputs!$I$7+(((A196)+1)/2)*(Inputs!$J$7-Inputs!$I$7)))/Inputs!$K$7)^2)))*1000/Inputs!$C$12)</f>
        <v/>
      </c>
      <c r="AH196" s="9">
        <f>(((SQRT((Inputs!$C$52+((Inputs!$H$8+Inputs!$L$8*(((Inputs!$I$8+(((A196)+1)/2)*(Inputs!$J$8-Inputs!$I$8)))/Inputs!$K$8)^2)))^2+Inputs!$C$52^2-2*(Inputs!$C$52+((Inputs!$H$8+Inputs!$L$8*(((Inputs!$I$8+(((A196)+1)/2)*(Inputs!$J$8-Inputs!$I$8)))/Inputs!$K$8)^2)))*Inputs!$C$52*COS(SQRT(((Inputs!$I$8+(((A196)+1)/2)*(Inputs!$J$8-Inputs!$I$8)))^2+Inputs!$C$6^2)/Inputs!$C$52)))-((Inputs!$H$8+Inputs!$L$8*(((Inputs!$I$8+(((A196)+1)/2)*(Inputs!$J$8-Inputs!$I$8)))/Inputs!$K$8)^2)))*1000/Inputs!$C$12)</f>
        <v/>
      </c>
      <c r="AI196" s="9">
        <f>(((SQRT((Inputs!$C$52+((Inputs!$H$9+Inputs!$L$9*(((Inputs!$I$9+(((A196)+1)/2)*(Inputs!$J$9-Inputs!$I$9)))/Inputs!$K$9)^2)))^2+Inputs!$C$52^2-2*(Inputs!$C$52+((Inputs!$H$9+Inputs!$L$9*(((Inputs!$I$9+(((A196)+1)/2)*(Inputs!$J$9-Inputs!$I$9)))/Inputs!$K$9)^2)))*Inputs!$C$52*COS(SQRT(((Inputs!$I$9+(((A196)+1)/2)*(Inputs!$J$9-Inputs!$I$9)))^2+Inputs!$C$6^2)/Inputs!$C$52)))-((Inputs!$H$9+Inputs!$L$9*(((Inputs!$I$9+(((A196)+1)/2)*(Inputs!$J$9-Inputs!$I$9)))/Inputs!$K$9)^2)))*1000/Inputs!$C$12)</f>
        <v/>
      </c>
      <c r="AJ196" s="10" t="n"/>
      <c r="AK196" s="9">
        <f>A196</f>
        <v/>
      </c>
      <c r="AL196" s="9">
        <f>(-2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f>
        <v/>
      </c>
      <c r="AM196" s="9">
        <f>(-2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f>
        <v/>
      </c>
      <c r="AN196" s="9">
        <f>(-2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f>
        <v/>
      </c>
      <c r="AO196" s="9">
        <f>(-2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f>
        <v/>
      </c>
      <c r="AP196" s="10" t="n"/>
      <c r="AQ196" s="9">
        <f>A196</f>
        <v/>
      </c>
      <c r="AR196" s="9">
        <f>0</f>
        <v/>
      </c>
      <c r="AS196" s="9">
        <f>IF(OR(Inputs!$F$6=TRUE,Inputs!$F$6="TRUE",Inputs!$F$6=1),IF(OR(Inputs!$C$27=TRUE,Inputs!$C$27="TRUE",Inputs!$C$27=1),1,0)*(Inputs!$C$51*(115*EXP(-(((Inputs!$C$6)-25)^2)/(4.5^2))+70*EXP(-(((Inputs!$C$6)+38)^2)/(7^2))*(0.55+0.45*SIN(2*PI()*((Inputs!$I$6+(((A196)+1)/2)*(Inputs!$J$6-Inputs!$I$6)))/45))+24*SIN(2*PI()*(Inputs!$C$6)/9+((Inputs!$I$6+(((A196)+1)/2)*(Inputs!$J$6-Inputs!$I$6)))/18)*EXP(-(((Inputs!$C$6)+5)^2)/(22^2))+18*SIN(2*PI()*((Inputs!$I$6+(((A196)+1)/2)*(Inputs!$J$6-Inputs!$I$6)))/70))+Inputs!$C$28*EXP(-((((Inputs!$I$6+(((A196)+1)/2)*(Inputs!$J$6-Inputs!$I$6)))-Inputs!$C$29)^2)/(2*Inputs!$C$31^2))*EXP(-(((Inputs!$C$6)-Inputs!$C$30)^2)/(2*Inputs!$C$32^2))+-Inputs!$C$33*EXP(-((((((Inputs!$I$6+(((A196)+1)/2)*(Inputs!$J$6-Inputs!$I$6)))-Inputs!$C$34)^2)+(((Inputs!$C$6)-Inputs!$C$35)^2))/(2*Inputs!$C$36^2)))+Inputs!$C$37*(0.55*SIN(2*PI()*((Inputs!$I$6+(((A196)+1)/2)*(Inputs!$J$6-Inputs!$I$6)))/Inputs!$C$39)+0.35*COS(2*PI()*(Inputs!$C$6)/Inputs!$C$40)+0.2*SIN(2*PI()*(((Inputs!$I$6+(((A196)+1)/2)*(Inputs!$J$6-Inputs!$I$6)))+(Inputs!$C$6))/(0.5*(Inputs!$C$39+Inputs!$C$40))))+Inputs!$C$38*SIN(2*PI()*((Inputs!$I$6+(((A196)+1)/2)*(Inputs!$J$6-Inputs!$I$6)))/Inputs!$C$39)*SIN(2*PI()*(Inputs!$C$6)/Inputs!$C$40)+-Inputs!$C$41*EXP(-(((Inputs!$C$6)-Inputs!$C$43)^2)/(2*Inputs!$C$44^2))*EXP(-((((Inputs!$I$6+(((A196)+1)/2)*(Inputs!$J$6-Inputs!$I$6)))-Inputs!$C$42)^2)/(2*Inputs!$C$45^2))+Inputs!$C$48*(0.7*(0.45*SIN(2*PI()*((((Inputs!$I$6+(((A196)+1)/2)*(Inputs!$J$6-Inputs!$I$6)))/Inputs!$C$49)+Inputs!$C$47*0.137))+0.35*COS(2*PI()*(((Inputs!$C$6)/Inputs!$C$50)+Inputs!$C$47*0.173))+0.2*SIN(2*PI()*((((Inputs!$I$6+(((A196)+1)/2)*(Inputs!$J$6-Inputs!$I$6)))+(Inputs!$C$6))/(0.5*(Inputs!$C$49+Inputs!$C$50))+Inputs!$C$47*0.097)))+0.3*(2*((SIN((((Inputs!$I$6+(((A196)+1)/2)*(Inputs!$J$6-Inputs!$I$6)))*12.9898+(Inputs!$C$6)*78.233+Inputs!$C$47*37.719))*43758.5453)-INT((SIN((((Inputs!$I$6+(((A196)+1)/2)*(Inputs!$J$6-Inputs!$I$6)))*12.9898+(Inputs!$C$6)*78.233+Inputs!$C$47*37.719))*43758.5453)))-1))),NA())</f>
        <v/>
      </c>
      <c r="AT196" s="9">
        <f>IF(OR(Inputs!$F$7=TRUE,Inputs!$F$7="TRUE",Inputs!$F$7=1),IF(OR(Inputs!$C$27=TRUE,Inputs!$C$27="TRUE",Inputs!$C$27=1),1,0)*(Inputs!$C$51*(115*EXP(-(((Inputs!$C$6)-25)^2)/(4.5^2))+70*EXP(-(((Inputs!$C$6)+38)^2)/(7^2))*(0.55+0.45*SIN(2*PI()*((Inputs!$I$7+(((A196)+1)/2)*(Inputs!$J$7-Inputs!$I$7)))/45))+24*SIN(2*PI()*(Inputs!$C$6)/9+((Inputs!$I$7+(((A196)+1)/2)*(Inputs!$J$7-Inputs!$I$7)))/18)*EXP(-(((Inputs!$C$6)+5)^2)/(22^2))+18*SIN(2*PI()*((Inputs!$I$7+(((A196)+1)/2)*(Inputs!$J$7-Inputs!$I$7)))/70))+Inputs!$C$28*EXP(-((((Inputs!$I$7+(((A196)+1)/2)*(Inputs!$J$7-Inputs!$I$7)))-Inputs!$C$29)^2)/(2*Inputs!$C$31^2))*EXP(-(((Inputs!$C$6)-Inputs!$C$30)^2)/(2*Inputs!$C$32^2))+-Inputs!$C$33*EXP(-((((((Inputs!$I$7+(((A196)+1)/2)*(Inputs!$J$7-Inputs!$I$7)))-Inputs!$C$34)^2)+(((Inputs!$C$6)-Inputs!$C$35)^2))/(2*Inputs!$C$36^2)))+Inputs!$C$37*(0.55*SIN(2*PI()*((Inputs!$I$7+(((A196)+1)/2)*(Inputs!$J$7-Inputs!$I$7)))/Inputs!$C$39)+0.35*COS(2*PI()*(Inputs!$C$6)/Inputs!$C$40)+0.2*SIN(2*PI()*(((Inputs!$I$7+(((A196)+1)/2)*(Inputs!$J$7-Inputs!$I$7)))+(Inputs!$C$6))/(0.5*(Inputs!$C$39+Inputs!$C$40))))+Inputs!$C$38*SIN(2*PI()*((Inputs!$I$7+(((A196)+1)/2)*(Inputs!$J$7-Inputs!$I$7)))/Inputs!$C$39)*SIN(2*PI()*(Inputs!$C$6)/Inputs!$C$40)+-Inputs!$C$41*EXP(-(((Inputs!$C$6)-Inputs!$C$43)^2)/(2*Inputs!$C$44^2))*EXP(-((((Inputs!$I$7+(((A196)+1)/2)*(Inputs!$J$7-Inputs!$I$7)))-Inputs!$C$42)^2)/(2*Inputs!$C$45^2))+Inputs!$C$48*(0.7*(0.45*SIN(2*PI()*((((Inputs!$I$7+(((A196)+1)/2)*(Inputs!$J$7-Inputs!$I$7)))/Inputs!$C$49)+Inputs!$C$47*0.137))+0.35*COS(2*PI()*(((Inputs!$C$6)/Inputs!$C$50)+Inputs!$C$47*0.173))+0.2*SIN(2*PI()*((((Inputs!$I$7+(((A196)+1)/2)*(Inputs!$J$7-Inputs!$I$7)))+(Inputs!$C$6))/(0.5*(Inputs!$C$49+Inputs!$C$50))+Inputs!$C$47*0.097)))+0.3*(2*((SIN((((Inputs!$I$7+(((A196)+1)/2)*(Inputs!$J$7-Inputs!$I$7)))*12.9898+(Inputs!$C$6)*78.233+Inputs!$C$47*37.719))*43758.5453)-INT((SIN((((Inputs!$I$7+(((A196)+1)/2)*(Inputs!$J$7-Inputs!$I$7)))*12.9898+(Inputs!$C$6)*78.233+Inputs!$C$47*37.719))*43758.5453)))-1))),NA())</f>
        <v/>
      </c>
      <c r="AU196" s="9">
        <f>IF(OR(Inputs!$F$8=TRUE,Inputs!$F$8="TRUE",Inputs!$F$8=1),IF(OR(Inputs!$C$27=TRUE,Inputs!$C$27="TRUE",Inputs!$C$27=1),1,0)*(Inputs!$C$51*(115*EXP(-(((Inputs!$C$6)-25)^2)/(4.5^2))+70*EXP(-(((Inputs!$C$6)+38)^2)/(7^2))*(0.55+0.45*SIN(2*PI()*((Inputs!$I$8+(((A196)+1)/2)*(Inputs!$J$8-Inputs!$I$8)))/45))+24*SIN(2*PI()*(Inputs!$C$6)/9+((Inputs!$I$8+(((A196)+1)/2)*(Inputs!$J$8-Inputs!$I$8)))/18)*EXP(-(((Inputs!$C$6)+5)^2)/(22^2))+18*SIN(2*PI()*((Inputs!$I$8+(((A196)+1)/2)*(Inputs!$J$8-Inputs!$I$8)))/70))+Inputs!$C$28*EXP(-((((Inputs!$I$8+(((A196)+1)/2)*(Inputs!$J$8-Inputs!$I$8)))-Inputs!$C$29)^2)/(2*Inputs!$C$31^2))*EXP(-(((Inputs!$C$6)-Inputs!$C$30)^2)/(2*Inputs!$C$32^2))+-Inputs!$C$33*EXP(-((((((Inputs!$I$8+(((A196)+1)/2)*(Inputs!$J$8-Inputs!$I$8)))-Inputs!$C$34)^2)+(((Inputs!$C$6)-Inputs!$C$35)^2))/(2*Inputs!$C$36^2)))+Inputs!$C$37*(0.55*SIN(2*PI()*((Inputs!$I$8+(((A196)+1)/2)*(Inputs!$J$8-Inputs!$I$8)))/Inputs!$C$39)+0.35*COS(2*PI()*(Inputs!$C$6)/Inputs!$C$40)+0.2*SIN(2*PI()*(((Inputs!$I$8+(((A196)+1)/2)*(Inputs!$J$8-Inputs!$I$8)))+(Inputs!$C$6))/(0.5*(Inputs!$C$39+Inputs!$C$40))))+Inputs!$C$38*SIN(2*PI()*((Inputs!$I$8+(((A196)+1)/2)*(Inputs!$J$8-Inputs!$I$8)))/Inputs!$C$39)*SIN(2*PI()*(Inputs!$C$6)/Inputs!$C$40)+-Inputs!$C$41*EXP(-(((Inputs!$C$6)-Inputs!$C$43)^2)/(2*Inputs!$C$44^2))*EXP(-((((Inputs!$I$8+(((A196)+1)/2)*(Inputs!$J$8-Inputs!$I$8)))-Inputs!$C$42)^2)/(2*Inputs!$C$45^2))+Inputs!$C$48*(0.7*(0.45*SIN(2*PI()*((((Inputs!$I$8+(((A196)+1)/2)*(Inputs!$J$8-Inputs!$I$8)))/Inputs!$C$49)+Inputs!$C$47*0.137))+0.35*COS(2*PI()*(((Inputs!$C$6)/Inputs!$C$50)+Inputs!$C$47*0.173))+0.2*SIN(2*PI()*((((Inputs!$I$8+(((A196)+1)/2)*(Inputs!$J$8-Inputs!$I$8)))+(Inputs!$C$6))/(0.5*(Inputs!$C$49+Inputs!$C$50))+Inputs!$C$47*0.097)))+0.3*(2*((SIN((((Inputs!$I$8+(((A196)+1)/2)*(Inputs!$J$8-Inputs!$I$8)))*12.9898+(Inputs!$C$6)*78.233+Inputs!$C$47*37.719))*43758.5453)-INT((SIN((((Inputs!$I$8+(((A196)+1)/2)*(Inputs!$J$8-Inputs!$I$8)))*12.9898+(Inputs!$C$6)*78.233+Inputs!$C$47*37.719))*43758.5453)))-1))),NA())</f>
        <v/>
      </c>
      <c r="AV196" s="9">
        <f>IF(OR(Inputs!$F$9=TRUE,Inputs!$F$9="TRUE",Inputs!$F$9=1),IF(OR(Inputs!$C$27=TRUE,Inputs!$C$27="TRUE",Inputs!$C$27=1),1,0)*(Inputs!$C$51*(115*EXP(-(((Inputs!$C$6)-25)^2)/(4.5^2))+70*EXP(-(((Inputs!$C$6)+38)^2)/(7^2))*(0.55+0.45*SIN(2*PI()*((Inputs!$I$9+(((A196)+1)/2)*(Inputs!$J$9-Inputs!$I$9)))/45))+24*SIN(2*PI()*(Inputs!$C$6)/9+((Inputs!$I$9+(((A196)+1)/2)*(Inputs!$J$9-Inputs!$I$9)))/18)*EXP(-(((Inputs!$C$6)+5)^2)/(22^2))+18*SIN(2*PI()*((Inputs!$I$9+(((A196)+1)/2)*(Inputs!$J$9-Inputs!$I$9)))/70))+Inputs!$C$28*EXP(-((((Inputs!$I$9+(((A196)+1)/2)*(Inputs!$J$9-Inputs!$I$9)))-Inputs!$C$29)^2)/(2*Inputs!$C$31^2))*EXP(-(((Inputs!$C$6)-Inputs!$C$30)^2)/(2*Inputs!$C$32^2))+-Inputs!$C$33*EXP(-((((((Inputs!$I$9+(((A196)+1)/2)*(Inputs!$J$9-Inputs!$I$9)))-Inputs!$C$34)^2)+(((Inputs!$C$6)-Inputs!$C$35)^2))/(2*Inputs!$C$36^2)))+Inputs!$C$37*(0.55*SIN(2*PI()*((Inputs!$I$9+(((A196)+1)/2)*(Inputs!$J$9-Inputs!$I$9)))/Inputs!$C$39)+0.35*COS(2*PI()*(Inputs!$C$6)/Inputs!$C$40)+0.2*SIN(2*PI()*(((Inputs!$I$9+(((A196)+1)/2)*(Inputs!$J$9-Inputs!$I$9)))+(Inputs!$C$6))/(0.5*(Inputs!$C$39+Inputs!$C$40))))+Inputs!$C$38*SIN(2*PI()*((Inputs!$I$9+(((A196)+1)/2)*(Inputs!$J$9-Inputs!$I$9)))/Inputs!$C$39)*SIN(2*PI()*(Inputs!$C$6)/Inputs!$C$40)+-Inputs!$C$41*EXP(-(((Inputs!$C$6)-Inputs!$C$43)^2)/(2*Inputs!$C$44^2))*EXP(-((((Inputs!$I$9+(((A196)+1)/2)*(Inputs!$J$9-Inputs!$I$9)))-Inputs!$C$42)^2)/(2*Inputs!$C$45^2))+Inputs!$C$48*(0.7*(0.45*SIN(2*PI()*((((Inputs!$I$9+(((A196)+1)/2)*(Inputs!$J$9-Inputs!$I$9)))/Inputs!$C$49)+Inputs!$C$47*0.137))+0.35*COS(2*PI()*(((Inputs!$C$6)/Inputs!$C$50)+Inputs!$C$47*0.173))+0.2*SIN(2*PI()*((((Inputs!$I$9+(((A196)+1)/2)*(Inputs!$J$9-Inputs!$I$9)))+(Inputs!$C$6))/(0.5*(Inputs!$C$49+Inputs!$C$50))+Inputs!$C$47*0.097)))+0.3*(2*((SIN((((Inputs!$I$9+(((A196)+1)/2)*(Inputs!$J$9-Inputs!$I$9)))*12.9898+(Inputs!$C$6)*78.233+Inputs!$C$47*37.719))*43758.5453)-INT((SIN((((Inputs!$I$9+(((A196)+1)/2)*(Inputs!$J$9-Inputs!$I$9)))*12.9898+(Inputs!$C$6)*78.233+Inputs!$C$47*37.719))*43758.5453)))-1))),NA())</f>
        <v/>
      </c>
      <c r="AW196" s="10" t="n"/>
      <c r="AX196" s="9">
        <f>A196</f>
        <v/>
      </c>
      <c r="AY196" s="9">
        <f>0</f>
        <v/>
      </c>
      <c r="AZ196" s="9">
        <f>IF(OR(Inputs!$F$6=TRUE,Inputs!$F$6="TRUE",Inputs!$F$6=1),(Inputs!$H$6+Inputs!$L$6*(((Inputs!$I$6+(((A196)+1)/2)*(Inputs!$J$6-Inputs!$I$6)))/Inputs!$K$6)^2),NA())</f>
        <v/>
      </c>
      <c r="BA196" s="9">
        <f>IF(OR(Inputs!$F$7=TRUE,Inputs!$F$7="TRUE",Inputs!$F$7=1),(Inputs!$H$7+Inputs!$L$7*(((Inputs!$I$7+(((A196)+1)/2)*(Inputs!$J$7-Inputs!$I$7)))/Inputs!$K$7)^2),NA())</f>
        <v/>
      </c>
      <c r="BB196" s="9">
        <f>IF(OR(Inputs!$F$8=TRUE,Inputs!$F$8="TRUE",Inputs!$F$8=1),(Inputs!$H$8+Inputs!$L$8*(((Inputs!$I$8+(((A196)+1)/2)*(Inputs!$J$8-Inputs!$I$8)))/Inputs!$K$8)^2),NA())</f>
        <v/>
      </c>
      <c r="BC196" s="9">
        <f>IF(OR(Inputs!$F$9=TRUE,Inputs!$F$9="TRUE",Inputs!$F$9=1),(Inputs!$H$9+Inputs!$L$9*(((Inputs!$I$9+(((A196)+1)/2)*(Inputs!$J$9-Inputs!$I$9)))/Inputs!$K$9)^2),NA())</f>
        <v/>
      </c>
      <c r="BD196" s="10" t="n"/>
      <c r="BE196" s="9">
        <f>A196</f>
        <v/>
      </c>
      <c r="BF196" s="9">
        <f>0</f>
        <v/>
      </c>
      <c r="BG196" s="9">
        <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f>
        <v/>
      </c>
      <c r="BH196" s="9">
        <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f>
        <v/>
      </c>
      <c r="BI196" s="9">
        <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f>
        <v/>
      </c>
      <c r="BJ196" s="9">
        <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f>
        <v/>
      </c>
    </row>
    <row r="197">
      <c r="A197" s="9">
        <f>ROUND(-1+195*2/240,3)</f>
        <v/>
      </c>
      <c r="B197" s="9">
        <f>IF(OR(Inputs!$F$6=TRUE,Inputs!$F$6="TRUE",Inputs!$F$6=1),(Inputs!$H$6+Inputs!$L$6*(((Inputs!$I$6+(((A197)+1)/2)*(Inputs!$J$6-Inputs!$I$6)))/Inputs!$K$6)^2),NA())</f>
        <v/>
      </c>
      <c r="C197" s="9">
        <f>IF(OR(Inputs!$F$7=TRUE,Inputs!$F$7="TRUE",Inputs!$F$7=1),(Inputs!$H$7+Inputs!$L$7*(((Inputs!$I$7+(((A197)+1)/2)*(Inputs!$J$7-Inputs!$I$7)))/Inputs!$K$7)^2),NA())</f>
        <v/>
      </c>
      <c r="D197" s="9">
        <f>IF(OR(Inputs!$F$8=TRUE,Inputs!$F$8="TRUE",Inputs!$F$8=1),(Inputs!$H$8+Inputs!$L$8*(((Inputs!$I$8+(((A197)+1)/2)*(Inputs!$J$8-Inputs!$I$8)))/Inputs!$K$8)^2),NA())</f>
        <v/>
      </c>
      <c r="E197" s="9">
        <f>IF(OR(Inputs!$F$9=TRUE,Inputs!$F$9="TRUE",Inputs!$F$9=1),(Inputs!$H$9+Inputs!$L$9*(((Inputs!$I$9+(((A197)+1)/2)*(Inputs!$J$9-Inputs!$I$9)))/Inputs!$K$9)^2),NA())</f>
        <v/>
      </c>
      <c r="F197" s="10" t="n"/>
      <c r="G197" s="9">
        <f>A197</f>
        <v/>
      </c>
      <c r="H197" s="9">
        <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f>
        <v/>
      </c>
      <c r="I197" s="9">
        <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f>
        <v/>
      </c>
      <c r="J197" s="9">
        <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f>
        <v/>
      </c>
      <c r="K197" s="9">
        <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f>
        <v/>
      </c>
      <c r="L197" s="10" t="n"/>
      <c r="M197" s="9">
        <f>A197</f>
        <v/>
      </c>
      <c r="N197" s="9">
        <f>IF(OR(Inputs!$F$6=TRUE,Inputs!$F$6="TRUE",Inputs!$F$6=1),(-2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NA())</f>
        <v/>
      </c>
      <c r="O197" s="9">
        <f>IF(OR(Inputs!$F$7=TRUE,Inputs!$F$7="TRUE",Inputs!$F$7=1),(-2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NA())</f>
        <v/>
      </c>
      <c r="P197" s="9">
        <f>IF(OR(Inputs!$F$8=TRUE,Inputs!$F$8="TRUE",Inputs!$F$8=1),(-2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NA())</f>
        <v/>
      </c>
      <c r="Q197" s="9">
        <f>IF(OR(Inputs!$F$9=TRUE,Inputs!$F$9="TRUE",Inputs!$F$9=1),(-2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NA())</f>
        <v/>
      </c>
      <c r="R197" s="10" t="n"/>
      <c r="S197" s="9">
        <f>A197</f>
        <v/>
      </c>
      <c r="T197" s="9">
        <f>(Inputs!$I$6+(((A197)+1)/2)*(Inputs!$J$6-Inputs!$I$6))</f>
        <v/>
      </c>
      <c r="U197" s="9">
        <f>(Inputs!$I$7+(((A197)+1)/2)*(Inputs!$J$7-Inputs!$I$7))</f>
        <v/>
      </c>
      <c r="V197" s="9">
        <f>(Inputs!$I$8+(((A197)+1)/2)*(Inputs!$J$8-Inputs!$I$8))</f>
        <v/>
      </c>
      <c r="W197" s="9">
        <f>(Inputs!$I$9+(((A197)+1)/2)*(Inputs!$J$9-Inputs!$I$9))</f>
        <v/>
      </c>
      <c r="X197" s="10" t="n"/>
      <c r="Y197" s="9">
        <f>A197</f>
        <v/>
      </c>
      <c r="Z197" s="9">
        <f>(Inputs!$H$6+Inputs!$L$6*(((Inputs!$I$6+(((A197)+1)/2)*(Inputs!$J$6-Inputs!$I$6)))/Inputs!$K$6)^2)</f>
        <v/>
      </c>
      <c r="AA197" s="9">
        <f>(Inputs!$H$7+Inputs!$L$7*(((Inputs!$I$7+(((A197)+1)/2)*(Inputs!$J$7-Inputs!$I$7)))/Inputs!$K$7)^2)</f>
        <v/>
      </c>
      <c r="AB197" s="9">
        <f>(Inputs!$H$8+Inputs!$L$8*(((Inputs!$I$8+(((A197)+1)/2)*(Inputs!$J$8-Inputs!$I$8)))/Inputs!$K$8)^2)</f>
        <v/>
      </c>
      <c r="AC197" s="9">
        <f>(Inputs!$H$9+Inputs!$L$9*(((Inputs!$I$9+(((A197)+1)/2)*(Inputs!$J$9-Inputs!$I$9)))/Inputs!$K$9)^2)</f>
        <v/>
      </c>
      <c r="AD197" s="10" t="n"/>
      <c r="AE197" s="9">
        <f>A197</f>
        <v/>
      </c>
      <c r="AF197" s="9">
        <f>(((SQRT((Inputs!$C$52+((Inputs!$H$6+Inputs!$L$6*(((Inputs!$I$6+(((A197)+1)/2)*(Inputs!$J$6-Inputs!$I$6)))/Inputs!$K$6)^2)))^2+Inputs!$C$52^2-2*(Inputs!$C$52+((Inputs!$H$6+Inputs!$L$6*(((Inputs!$I$6+(((A197)+1)/2)*(Inputs!$J$6-Inputs!$I$6)))/Inputs!$K$6)^2)))*Inputs!$C$52*COS(SQRT(((Inputs!$I$6+(((A197)+1)/2)*(Inputs!$J$6-Inputs!$I$6)))^2+Inputs!$C$6^2)/Inputs!$C$52)))-((Inputs!$H$6+Inputs!$L$6*(((Inputs!$I$6+(((A197)+1)/2)*(Inputs!$J$6-Inputs!$I$6)))/Inputs!$K$6)^2)))*1000/Inputs!$C$12)</f>
        <v/>
      </c>
      <c r="AG197" s="9">
        <f>(((SQRT((Inputs!$C$52+((Inputs!$H$7+Inputs!$L$7*(((Inputs!$I$7+(((A197)+1)/2)*(Inputs!$J$7-Inputs!$I$7)))/Inputs!$K$7)^2)))^2+Inputs!$C$52^2-2*(Inputs!$C$52+((Inputs!$H$7+Inputs!$L$7*(((Inputs!$I$7+(((A197)+1)/2)*(Inputs!$J$7-Inputs!$I$7)))/Inputs!$K$7)^2)))*Inputs!$C$52*COS(SQRT(((Inputs!$I$7+(((A197)+1)/2)*(Inputs!$J$7-Inputs!$I$7)))^2+Inputs!$C$6^2)/Inputs!$C$52)))-((Inputs!$H$7+Inputs!$L$7*(((Inputs!$I$7+(((A197)+1)/2)*(Inputs!$J$7-Inputs!$I$7)))/Inputs!$K$7)^2)))*1000/Inputs!$C$12)</f>
        <v/>
      </c>
      <c r="AH197" s="9">
        <f>(((SQRT((Inputs!$C$52+((Inputs!$H$8+Inputs!$L$8*(((Inputs!$I$8+(((A197)+1)/2)*(Inputs!$J$8-Inputs!$I$8)))/Inputs!$K$8)^2)))^2+Inputs!$C$52^2-2*(Inputs!$C$52+((Inputs!$H$8+Inputs!$L$8*(((Inputs!$I$8+(((A197)+1)/2)*(Inputs!$J$8-Inputs!$I$8)))/Inputs!$K$8)^2)))*Inputs!$C$52*COS(SQRT(((Inputs!$I$8+(((A197)+1)/2)*(Inputs!$J$8-Inputs!$I$8)))^2+Inputs!$C$6^2)/Inputs!$C$52)))-((Inputs!$H$8+Inputs!$L$8*(((Inputs!$I$8+(((A197)+1)/2)*(Inputs!$J$8-Inputs!$I$8)))/Inputs!$K$8)^2)))*1000/Inputs!$C$12)</f>
        <v/>
      </c>
      <c r="AI197" s="9">
        <f>(((SQRT((Inputs!$C$52+((Inputs!$H$9+Inputs!$L$9*(((Inputs!$I$9+(((A197)+1)/2)*(Inputs!$J$9-Inputs!$I$9)))/Inputs!$K$9)^2)))^2+Inputs!$C$52^2-2*(Inputs!$C$52+((Inputs!$H$9+Inputs!$L$9*(((Inputs!$I$9+(((A197)+1)/2)*(Inputs!$J$9-Inputs!$I$9)))/Inputs!$K$9)^2)))*Inputs!$C$52*COS(SQRT(((Inputs!$I$9+(((A197)+1)/2)*(Inputs!$J$9-Inputs!$I$9)))^2+Inputs!$C$6^2)/Inputs!$C$52)))-((Inputs!$H$9+Inputs!$L$9*(((Inputs!$I$9+(((A197)+1)/2)*(Inputs!$J$9-Inputs!$I$9)))/Inputs!$K$9)^2)))*1000/Inputs!$C$12)</f>
        <v/>
      </c>
      <c r="AJ197" s="10" t="n"/>
      <c r="AK197" s="9">
        <f>A197</f>
        <v/>
      </c>
      <c r="AL197" s="9">
        <f>(-2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f>
        <v/>
      </c>
      <c r="AM197" s="9">
        <f>(-2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f>
        <v/>
      </c>
      <c r="AN197" s="9">
        <f>(-2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f>
        <v/>
      </c>
      <c r="AO197" s="9">
        <f>(-2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f>
        <v/>
      </c>
      <c r="AP197" s="10" t="n"/>
      <c r="AQ197" s="9">
        <f>A197</f>
        <v/>
      </c>
      <c r="AR197" s="9">
        <f>0</f>
        <v/>
      </c>
      <c r="AS197" s="9">
        <f>IF(OR(Inputs!$F$6=TRUE,Inputs!$F$6="TRUE",Inputs!$F$6=1),IF(OR(Inputs!$C$27=TRUE,Inputs!$C$27="TRUE",Inputs!$C$27=1),1,0)*(Inputs!$C$51*(115*EXP(-(((Inputs!$C$6)-25)^2)/(4.5^2))+70*EXP(-(((Inputs!$C$6)+38)^2)/(7^2))*(0.55+0.45*SIN(2*PI()*((Inputs!$I$6+(((A197)+1)/2)*(Inputs!$J$6-Inputs!$I$6)))/45))+24*SIN(2*PI()*(Inputs!$C$6)/9+((Inputs!$I$6+(((A197)+1)/2)*(Inputs!$J$6-Inputs!$I$6)))/18)*EXP(-(((Inputs!$C$6)+5)^2)/(22^2))+18*SIN(2*PI()*((Inputs!$I$6+(((A197)+1)/2)*(Inputs!$J$6-Inputs!$I$6)))/70))+Inputs!$C$28*EXP(-((((Inputs!$I$6+(((A197)+1)/2)*(Inputs!$J$6-Inputs!$I$6)))-Inputs!$C$29)^2)/(2*Inputs!$C$31^2))*EXP(-(((Inputs!$C$6)-Inputs!$C$30)^2)/(2*Inputs!$C$32^2))+-Inputs!$C$33*EXP(-((((((Inputs!$I$6+(((A197)+1)/2)*(Inputs!$J$6-Inputs!$I$6)))-Inputs!$C$34)^2)+(((Inputs!$C$6)-Inputs!$C$35)^2))/(2*Inputs!$C$36^2)))+Inputs!$C$37*(0.55*SIN(2*PI()*((Inputs!$I$6+(((A197)+1)/2)*(Inputs!$J$6-Inputs!$I$6)))/Inputs!$C$39)+0.35*COS(2*PI()*(Inputs!$C$6)/Inputs!$C$40)+0.2*SIN(2*PI()*(((Inputs!$I$6+(((A197)+1)/2)*(Inputs!$J$6-Inputs!$I$6)))+(Inputs!$C$6))/(0.5*(Inputs!$C$39+Inputs!$C$40))))+Inputs!$C$38*SIN(2*PI()*((Inputs!$I$6+(((A197)+1)/2)*(Inputs!$J$6-Inputs!$I$6)))/Inputs!$C$39)*SIN(2*PI()*(Inputs!$C$6)/Inputs!$C$40)+-Inputs!$C$41*EXP(-(((Inputs!$C$6)-Inputs!$C$43)^2)/(2*Inputs!$C$44^2))*EXP(-((((Inputs!$I$6+(((A197)+1)/2)*(Inputs!$J$6-Inputs!$I$6)))-Inputs!$C$42)^2)/(2*Inputs!$C$45^2))+Inputs!$C$48*(0.7*(0.45*SIN(2*PI()*((((Inputs!$I$6+(((A197)+1)/2)*(Inputs!$J$6-Inputs!$I$6)))/Inputs!$C$49)+Inputs!$C$47*0.137))+0.35*COS(2*PI()*(((Inputs!$C$6)/Inputs!$C$50)+Inputs!$C$47*0.173))+0.2*SIN(2*PI()*((((Inputs!$I$6+(((A197)+1)/2)*(Inputs!$J$6-Inputs!$I$6)))+(Inputs!$C$6))/(0.5*(Inputs!$C$49+Inputs!$C$50))+Inputs!$C$47*0.097)))+0.3*(2*((SIN((((Inputs!$I$6+(((A197)+1)/2)*(Inputs!$J$6-Inputs!$I$6)))*12.9898+(Inputs!$C$6)*78.233+Inputs!$C$47*37.719))*43758.5453)-INT((SIN((((Inputs!$I$6+(((A197)+1)/2)*(Inputs!$J$6-Inputs!$I$6)))*12.9898+(Inputs!$C$6)*78.233+Inputs!$C$47*37.719))*43758.5453)))-1))),NA())</f>
        <v/>
      </c>
      <c r="AT197" s="9">
        <f>IF(OR(Inputs!$F$7=TRUE,Inputs!$F$7="TRUE",Inputs!$F$7=1),IF(OR(Inputs!$C$27=TRUE,Inputs!$C$27="TRUE",Inputs!$C$27=1),1,0)*(Inputs!$C$51*(115*EXP(-(((Inputs!$C$6)-25)^2)/(4.5^2))+70*EXP(-(((Inputs!$C$6)+38)^2)/(7^2))*(0.55+0.45*SIN(2*PI()*((Inputs!$I$7+(((A197)+1)/2)*(Inputs!$J$7-Inputs!$I$7)))/45))+24*SIN(2*PI()*(Inputs!$C$6)/9+((Inputs!$I$7+(((A197)+1)/2)*(Inputs!$J$7-Inputs!$I$7)))/18)*EXP(-(((Inputs!$C$6)+5)^2)/(22^2))+18*SIN(2*PI()*((Inputs!$I$7+(((A197)+1)/2)*(Inputs!$J$7-Inputs!$I$7)))/70))+Inputs!$C$28*EXP(-((((Inputs!$I$7+(((A197)+1)/2)*(Inputs!$J$7-Inputs!$I$7)))-Inputs!$C$29)^2)/(2*Inputs!$C$31^2))*EXP(-(((Inputs!$C$6)-Inputs!$C$30)^2)/(2*Inputs!$C$32^2))+-Inputs!$C$33*EXP(-((((((Inputs!$I$7+(((A197)+1)/2)*(Inputs!$J$7-Inputs!$I$7)))-Inputs!$C$34)^2)+(((Inputs!$C$6)-Inputs!$C$35)^2))/(2*Inputs!$C$36^2)))+Inputs!$C$37*(0.55*SIN(2*PI()*((Inputs!$I$7+(((A197)+1)/2)*(Inputs!$J$7-Inputs!$I$7)))/Inputs!$C$39)+0.35*COS(2*PI()*(Inputs!$C$6)/Inputs!$C$40)+0.2*SIN(2*PI()*(((Inputs!$I$7+(((A197)+1)/2)*(Inputs!$J$7-Inputs!$I$7)))+(Inputs!$C$6))/(0.5*(Inputs!$C$39+Inputs!$C$40))))+Inputs!$C$38*SIN(2*PI()*((Inputs!$I$7+(((A197)+1)/2)*(Inputs!$J$7-Inputs!$I$7)))/Inputs!$C$39)*SIN(2*PI()*(Inputs!$C$6)/Inputs!$C$40)+-Inputs!$C$41*EXP(-(((Inputs!$C$6)-Inputs!$C$43)^2)/(2*Inputs!$C$44^2))*EXP(-((((Inputs!$I$7+(((A197)+1)/2)*(Inputs!$J$7-Inputs!$I$7)))-Inputs!$C$42)^2)/(2*Inputs!$C$45^2))+Inputs!$C$48*(0.7*(0.45*SIN(2*PI()*((((Inputs!$I$7+(((A197)+1)/2)*(Inputs!$J$7-Inputs!$I$7)))/Inputs!$C$49)+Inputs!$C$47*0.137))+0.35*COS(2*PI()*(((Inputs!$C$6)/Inputs!$C$50)+Inputs!$C$47*0.173))+0.2*SIN(2*PI()*((((Inputs!$I$7+(((A197)+1)/2)*(Inputs!$J$7-Inputs!$I$7)))+(Inputs!$C$6))/(0.5*(Inputs!$C$49+Inputs!$C$50))+Inputs!$C$47*0.097)))+0.3*(2*((SIN((((Inputs!$I$7+(((A197)+1)/2)*(Inputs!$J$7-Inputs!$I$7)))*12.9898+(Inputs!$C$6)*78.233+Inputs!$C$47*37.719))*43758.5453)-INT((SIN((((Inputs!$I$7+(((A197)+1)/2)*(Inputs!$J$7-Inputs!$I$7)))*12.9898+(Inputs!$C$6)*78.233+Inputs!$C$47*37.719))*43758.5453)))-1))),NA())</f>
        <v/>
      </c>
      <c r="AU197" s="9">
        <f>IF(OR(Inputs!$F$8=TRUE,Inputs!$F$8="TRUE",Inputs!$F$8=1),IF(OR(Inputs!$C$27=TRUE,Inputs!$C$27="TRUE",Inputs!$C$27=1),1,0)*(Inputs!$C$51*(115*EXP(-(((Inputs!$C$6)-25)^2)/(4.5^2))+70*EXP(-(((Inputs!$C$6)+38)^2)/(7^2))*(0.55+0.45*SIN(2*PI()*((Inputs!$I$8+(((A197)+1)/2)*(Inputs!$J$8-Inputs!$I$8)))/45))+24*SIN(2*PI()*(Inputs!$C$6)/9+((Inputs!$I$8+(((A197)+1)/2)*(Inputs!$J$8-Inputs!$I$8)))/18)*EXP(-(((Inputs!$C$6)+5)^2)/(22^2))+18*SIN(2*PI()*((Inputs!$I$8+(((A197)+1)/2)*(Inputs!$J$8-Inputs!$I$8)))/70))+Inputs!$C$28*EXP(-((((Inputs!$I$8+(((A197)+1)/2)*(Inputs!$J$8-Inputs!$I$8)))-Inputs!$C$29)^2)/(2*Inputs!$C$31^2))*EXP(-(((Inputs!$C$6)-Inputs!$C$30)^2)/(2*Inputs!$C$32^2))+-Inputs!$C$33*EXP(-((((((Inputs!$I$8+(((A197)+1)/2)*(Inputs!$J$8-Inputs!$I$8)))-Inputs!$C$34)^2)+(((Inputs!$C$6)-Inputs!$C$35)^2))/(2*Inputs!$C$36^2)))+Inputs!$C$37*(0.55*SIN(2*PI()*((Inputs!$I$8+(((A197)+1)/2)*(Inputs!$J$8-Inputs!$I$8)))/Inputs!$C$39)+0.35*COS(2*PI()*(Inputs!$C$6)/Inputs!$C$40)+0.2*SIN(2*PI()*(((Inputs!$I$8+(((A197)+1)/2)*(Inputs!$J$8-Inputs!$I$8)))+(Inputs!$C$6))/(0.5*(Inputs!$C$39+Inputs!$C$40))))+Inputs!$C$38*SIN(2*PI()*((Inputs!$I$8+(((A197)+1)/2)*(Inputs!$J$8-Inputs!$I$8)))/Inputs!$C$39)*SIN(2*PI()*(Inputs!$C$6)/Inputs!$C$40)+-Inputs!$C$41*EXP(-(((Inputs!$C$6)-Inputs!$C$43)^2)/(2*Inputs!$C$44^2))*EXP(-((((Inputs!$I$8+(((A197)+1)/2)*(Inputs!$J$8-Inputs!$I$8)))-Inputs!$C$42)^2)/(2*Inputs!$C$45^2))+Inputs!$C$48*(0.7*(0.45*SIN(2*PI()*((((Inputs!$I$8+(((A197)+1)/2)*(Inputs!$J$8-Inputs!$I$8)))/Inputs!$C$49)+Inputs!$C$47*0.137))+0.35*COS(2*PI()*(((Inputs!$C$6)/Inputs!$C$50)+Inputs!$C$47*0.173))+0.2*SIN(2*PI()*((((Inputs!$I$8+(((A197)+1)/2)*(Inputs!$J$8-Inputs!$I$8)))+(Inputs!$C$6))/(0.5*(Inputs!$C$49+Inputs!$C$50))+Inputs!$C$47*0.097)))+0.3*(2*((SIN((((Inputs!$I$8+(((A197)+1)/2)*(Inputs!$J$8-Inputs!$I$8)))*12.9898+(Inputs!$C$6)*78.233+Inputs!$C$47*37.719))*43758.5453)-INT((SIN((((Inputs!$I$8+(((A197)+1)/2)*(Inputs!$J$8-Inputs!$I$8)))*12.9898+(Inputs!$C$6)*78.233+Inputs!$C$47*37.719))*43758.5453)))-1))),NA())</f>
        <v/>
      </c>
      <c r="AV197" s="9">
        <f>IF(OR(Inputs!$F$9=TRUE,Inputs!$F$9="TRUE",Inputs!$F$9=1),IF(OR(Inputs!$C$27=TRUE,Inputs!$C$27="TRUE",Inputs!$C$27=1),1,0)*(Inputs!$C$51*(115*EXP(-(((Inputs!$C$6)-25)^2)/(4.5^2))+70*EXP(-(((Inputs!$C$6)+38)^2)/(7^2))*(0.55+0.45*SIN(2*PI()*((Inputs!$I$9+(((A197)+1)/2)*(Inputs!$J$9-Inputs!$I$9)))/45))+24*SIN(2*PI()*(Inputs!$C$6)/9+((Inputs!$I$9+(((A197)+1)/2)*(Inputs!$J$9-Inputs!$I$9)))/18)*EXP(-(((Inputs!$C$6)+5)^2)/(22^2))+18*SIN(2*PI()*((Inputs!$I$9+(((A197)+1)/2)*(Inputs!$J$9-Inputs!$I$9)))/70))+Inputs!$C$28*EXP(-((((Inputs!$I$9+(((A197)+1)/2)*(Inputs!$J$9-Inputs!$I$9)))-Inputs!$C$29)^2)/(2*Inputs!$C$31^2))*EXP(-(((Inputs!$C$6)-Inputs!$C$30)^2)/(2*Inputs!$C$32^2))+-Inputs!$C$33*EXP(-((((((Inputs!$I$9+(((A197)+1)/2)*(Inputs!$J$9-Inputs!$I$9)))-Inputs!$C$34)^2)+(((Inputs!$C$6)-Inputs!$C$35)^2))/(2*Inputs!$C$36^2)))+Inputs!$C$37*(0.55*SIN(2*PI()*((Inputs!$I$9+(((A197)+1)/2)*(Inputs!$J$9-Inputs!$I$9)))/Inputs!$C$39)+0.35*COS(2*PI()*(Inputs!$C$6)/Inputs!$C$40)+0.2*SIN(2*PI()*(((Inputs!$I$9+(((A197)+1)/2)*(Inputs!$J$9-Inputs!$I$9)))+(Inputs!$C$6))/(0.5*(Inputs!$C$39+Inputs!$C$40))))+Inputs!$C$38*SIN(2*PI()*((Inputs!$I$9+(((A197)+1)/2)*(Inputs!$J$9-Inputs!$I$9)))/Inputs!$C$39)*SIN(2*PI()*(Inputs!$C$6)/Inputs!$C$40)+-Inputs!$C$41*EXP(-(((Inputs!$C$6)-Inputs!$C$43)^2)/(2*Inputs!$C$44^2))*EXP(-((((Inputs!$I$9+(((A197)+1)/2)*(Inputs!$J$9-Inputs!$I$9)))-Inputs!$C$42)^2)/(2*Inputs!$C$45^2))+Inputs!$C$48*(0.7*(0.45*SIN(2*PI()*((((Inputs!$I$9+(((A197)+1)/2)*(Inputs!$J$9-Inputs!$I$9)))/Inputs!$C$49)+Inputs!$C$47*0.137))+0.35*COS(2*PI()*(((Inputs!$C$6)/Inputs!$C$50)+Inputs!$C$47*0.173))+0.2*SIN(2*PI()*((((Inputs!$I$9+(((A197)+1)/2)*(Inputs!$J$9-Inputs!$I$9)))+(Inputs!$C$6))/(0.5*(Inputs!$C$49+Inputs!$C$50))+Inputs!$C$47*0.097)))+0.3*(2*((SIN((((Inputs!$I$9+(((A197)+1)/2)*(Inputs!$J$9-Inputs!$I$9)))*12.9898+(Inputs!$C$6)*78.233+Inputs!$C$47*37.719))*43758.5453)-INT((SIN((((Inputs!$I$9+(((A197)+1)/2)*(Inputs!$J$9-Inputs!$I$9)))*12.9898+(Inputs!$C$6)*78.233+Inputs!$C$47*37.719))*43758.5453)))-1))),NA())</f>
        <v/>
      </c>
      <c r="AW197" s="10" t="n"/>
      <c r="AX197" s="9">
        <f>A197</f>
        <v/>
      </c>
      <c r="AY197" s="9">
        <f>0</f>
        <v/>
      </c>
      <c r="AZ197" s="9">
        <f>IF(OR(Inputs!$F$6=TRUE,Inputs!$F$6="TRUE",Inputs!$F$6=1),(Inputs!$H$6+Inputs!$L$6*(((Inputs!$I$6+(((A197)+1)/2)*(Inputs!$J$6-Inputs!$I$6)))/Inputs!$K$6)^2),NA())</f>
        <v/>
      </c>
      <c r="BA197" s="9">
        <f>IF(OR(Inputs!$F$7=TRUE,Inputs!$F$7="TRUE",Inputs!$F$7=1),(Inputs!$H$7+Inputs!$L$7*(((Inputs!$I$7+(((A197)+1)/2)*(Inputs!$J$7-Inputs!$I$7)))/Inputs!$K$7)^2),NA())</f>
        <v/>
      </c>
      <c r="BB197" s="9">
        <f>IF(OR(Inputs!$F$8=TRUE,Inputs!$F$8="TRUE",Inputs!$F$8=1),(Inputs!$H$8+Inputs!$L$8*(((Inputs!$I$8+(((A197)+1)/2)*(Inputs!$J$8-Inputs!$I$8)))/Inputs!$K$8)^2),NA())</f>
        <v/>
      </c>
      <c r="BC197" s="9">
        <f>IF(OR(Inputs!$F$9=TRUE,Inputs!$F$9="TRUE",Inputs!$F$9=1),(Inputs!$H$9+Inputs!$L$9*(((Inputs!$I$9+(((A197)+1)/2)*(Inputs!$J$9-Inputs!$I$9)))/Inputs!$K$9)^2),NA())</f>
        <v/>
      </c>
      <c r="BD197" s="10" t="n"/>
      <c r="BE197" s="9">
        <f>A197</f>
        <v/>
      </c>
      <c r="BF197" s="9">
        <f>0</f>
        <v/>
      </c>
      <c r="BG197" s="9">
        <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f>
        <v/>
      </c>
      <c r="BH197" s="9">
        <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f>
        <v/>
      </c>
      <c r="BI197" s="9">
        <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f>
        <v/>
      </c>
      <c r="BJ197" s="9">
        <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f>
        <v/>
      </c>
    </row>
    <row r="198">
      <c r="A198" s="9">
        <f>ROUND(-1+196*2/240,3)</f>
        <v/>
      </c>
      <c r="B198" s="9">
        <f>IF(OR(Inputs!$F$6=TRUE,Inputs!$F$6="TRUE",Inputs!$F$6=1),(Inputs!$H$6+Inputs!$L$6*(((Inputs!$I$6+(((A198)+1)/2)*(Inputs!$J$6-Inputs!$I$6)))/Inputs!$K$6)^2),NA())</f>
        <v/>
      </c>
      <c r="C198" s="9">
        <f>IF(OR(Inputs!$F$7=TRUE,Inputs!$F$7="TRUE",Inputs!$F$7=1),(Inputs!$H$7+Inputs!$L$7*(((Inputs!$I$7+(((A198)+1)/2)*(Inputs!$J$7-Inputs!$I$7)))/Inputs!$K$7)^2),NA())</f>
        <v/>
      </c>
      <c r="D198" s="9">
        <f>IF(OR(Inputs!$F$8=TRUE,Inputs!$F$8="TRUE",Inputs!$F$8=1),(Inputs!$H$8+Inputs!$L$8*(((Inputs!$I$8+(((A198)+1)/2)*(Inputs!$J$8-Inputs!$I$8)))/Inputs!$K$8)^2),NA())</f>
        <v/>
      </c>
      <c r="E198" s="9">
        <f>IF(OR(Inputs!$F$9=TRUE,Inputs!$F$9="TRUE",Inputs!$F$9=1),(Inputs!$H$9+Inputs!$L$9*(((Inputs!$I$9+(((A198)+1)/2)*(Inputs!$J$9-Inputs!$I$9)))/Inputs!$K$9)^2),NA())</f>
        <v/>
      </c>
      <c r="F198" s="10" t="n"/>
      <c r="G198" s="9">
        <f>A198</f>
        <v/>
      </c>
      <c r="H198" s="9">
        <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f>
        <v/>
      </c>
      <c r="I198" s="9">
        <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f>
        <v/>
      </c>
      <c r="J198" s="9">
        <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f>
        <v/>
      </c>
      <c r="K198" s="9">
        <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f>
        <v/>
      </c>
      <c r="L198" s="10" t="n"/>
      <c r="M198" s="9">
        <f>A198</f>
        <v/>
      </c>
      <c r="N198" s="9">
        <f>IF(OR(Inputs!$F$6=TRUE,Inputs!$F$6="TRUE",Inputs!$F$6=1),(-2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NA())</f>
        <v/>
      </c>
      <c r="O198" s="9">
        <f>IF(OR(Inputs!$F$7=TRUE,Inputs!$F$7="TRUE",Inputs!$F$7=1),(-2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NA())</f>
        <v/>
      </c>
      <c r="P198" s="9">
        <f>IF(OR(Inputs!$F$8=TRUE,Inputs!$F$8="TRUE",Inputs!$F$8=1),(-2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NA())</f>
        <v/>
      </c>
      <c r="Q198" s="9">
        <f>IF(OR(Inputs!$F$9=TRUE,Inputs!$F$9="TRUE",Inputs!$F$9=1),(-2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NA())</f>
        <v/>
      </c>
      <c r="R198" s="10" t="n"/>
      <c r="S198" s="9">
        <f>A198</f>
        <v/>
      </c>
      <c r="T198" s="9">
        <f>(Inputs!$I$6+(((A198)+1)/2)*(Inputs!$J$6-Inputs!$I$6))</f>
        <v/>
      </c>
      <c r="U198" s="9">
        <f>(Inputs!$I$7+(((A198)+1)/2)*(Inputs!$J$7-Inputs!$I$7))</f>
        <v/>
      </c>
      <c r="V198" s="9">
        <f>(Inputs!$I$8+(((A198)+1)/2)*(Inputs!$J$8-Inputs!$I$8))</f>
        <v/>
      </c>
      <c r="W198" s="9">
        <f>(Inputs!$I$9+(((A198)+1)/2)*(Inputs!$J$9-Inputs!$I$9))</f>
        <v/>
      </c>
      <c r="X198" s="10" t="n"/>
      <c r="Y198" s="9">
        <f>A198</f>
        <v/>
      </c>
      <c r="Z198" s="9">
        <f>(Inputs!$H$6+Inputs!$L$6*(((Inputs!$I$6+(((A198)+1)/2)*(Inputs!$J$6-Inputs!$I$6)))/Inputs!$K$6)^2)</f>
        <v/>
      </c>
      <c r="AA198" s="9">
        <f>(Inputs!$H$7+Inputs!$L$7*(((Inputs!$I$7+(((A198)+1)/2)*(Inputs!$J$7-Inputs!$I$7)))/Inputs!$K$7)^2)</f>
        <v/>
      </c>
      <c r="AB198" s="9">
        <f>(Inputs!$H$8+Inputs!$L$8*(((Inputs!$I$8+(((A198)+1)/2)*(Inputs!$J$8-Inputs!$I$8)))/Inputs!$K$8)^2)</f>
        <v/>
      </c>
      <c r="AC198" s="9">
        <f>(Inputs!$H$9+Inputs!$L$9*(((Inputs!$I$9+(((A198)+1)/2)*(Inputs!$J$9-Inputs!$I$9)))/Inputs!$K$9)^2)</f>
        <v/>
      </c>
      <c r="AD198" s="10" t="n"/>
      <c r="AE198" s="9">
        <f>A198</f>
        <v/>
      </c>
      <c r="AF198" s="9">
        <f>(((SQRT((Inputs!$C$52+((Inputs!$H$6+Inputs!$L$6*(((Inputs!$I$6+(((A198)+1)/2)*(Inputs!$J$6-Inputs!$I$6)))/Inputs!$K$6)^2)))^2+Inputs!$C$52^2-2*(Inputs!$C$52+((Inputs!$H$6+Inputs!$L$6*(((Inputs!$I$6+(((A198)+1)/2)*(Inputs!$J$6-Inputs!$I$6)))/Inputs!$K$6)^2)))*Inputs!$C$52*COS(SQRT(((Inputs!$I$6+(((A198)+1)/2)*(Inputs!$J$6-Inputs!$I$6)))^2+Inputs!$C$6^2)/Inputs!$C$52)))-((Inputs!$H$6+Inputs!$L$6*(((Inputs!$I$6+(((A198)+1)/2)*(Inputs!$J$6-Inputs!$I$6)))/Inputs!$K$6)^2)))*1000/Inputs!$C$12)</f>
        <v/>
      </c>
      <c r="AG198" s="9">
        <f>(((SQRT((Inputs!$C$52+((Inputs!$H$7+Inputs!$L$7*(((Inputs!$I$7+(((A198)+1)/2)*(Inputs!$J$7-Inputs!$I$7)))/Inputs!$K$7)^2)))^2+Inputs!$C$52^2-2*(Inputs!$C$52+((Inputs!$H$7+Inputs!$L$7*(((Inputs!$I$7+(((A198)+1)/2)*(Inputs!$J$7-Inputs!$I$7)))/Inputs!$K$7)^2)))*Inputs!$C$52*COS(SQRT(((Inputs!$I$7+(((A198)+1)/2)*(Inputs!$J$7-Inputs!$I$7)))^2+Inputs!$C$6^2)/Inputs!$C$52)))-((Inputs!$H$7+Inputs!$L$7*(((Inputs!$I$7+(((A198)+1)/2)*(Inputs!$J$7-Inputs!$I$7)))/Inputs!$K$7)^2)))*1000/Inputs!$C$12)</f>
        <v/>
      </c>
      <c r="AH198" s="9">
        <f>(((SQRT((Inputs!$C$52+((Inputs!$H$8+Inputs!$L$8*(((Inputs!$I$8+(((A198)+1)/2)*(Inputs!$J$8-Inputs!$I$8)))/Inputs!$K$8)^2)))^2+Inputs!$C$52^2-2*(Inputs!$C$52+((Inputs!$H$8+Inputs!$L$8*(((Inputs!$I$8+(((A198)+1)/2)*(Inputs!$J$8-Inputs!$I$8)))/Inputs!$K$8)^2)))*Inputs!$C$52*COS(SQRT(((Inputs!$I$8+(((A198)+1)/2)*(Inputs!$J$8-Inputs!$I$8)))^2+Inputs!$C$6^2)/Inputs!$C$52)))-((Inputs!$H$8+Inputs!$L$8*(((Inputs!$I$8+(((A198)+1)/2)*(Inputs!$J$8-Inputs!$I$8)))/Inputs!$K$8)^2)))*1000/Inputs!$C$12)</f>
        <v/>
      </c>
      <c r="AI198" s="9">
        <f>(((SQRT((Inputs!$C$52+((Inputs!$H$9+Inputs!$L$9*(((Inputs!$I$9+(((A198)+1)/2)*(Inputs!$J$9-Inputs!$I$9)))/Inputs!$K$9)^2)))^2+Inputs!$C$52^2-2*(Inputs!$C$52+((Inputs!$H$9+Inputs!$L$9*(((Inputs!$I$9+(((A198)+1)/2)*(Inputs!$J$9-Inputs!$I$9)))/Inputs!$K$9)^2)))*Inputs!$C$52*COS(SQRT(((Inputs!$I$9+(((A198)+1)/2)*(Inputs!$J$9-Inputs!$I$9)))^2+Inputs!$C$6^2)/Inputs!$C$52)))-((Inputs!$H$9+Inputs!$L$9*(((Inputs!$I$9+(((A198)+1)/2)*(Inputs!$J$9-Inputs!$I$9)))/Inputs!$K$9)^2)))*1000/Inputs!$C$12)</f>
        <v/>
      </c>
      <c r="AJ198" s="10" t="n"/>
      <c r="AK198" s="9">
        <f>A198</f>
        <v/>
      </c>
      <c r="AL198" s="9">
        <f>(-2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f>
        <v/>
      </c>
      <c r="AM198" s="9">
        <f>(-2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f>
        <v/>
      </c>
      <c r="AN198" s="9">
        <f>(-2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f>
        <v/>
      </c>
      <c r="AO198" s="9">
        <f>(-2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f>
        <v/>
      </c>
      <c r="AP198" s="10" t="n"/>
      <c r="AQ198" s="9">
        <f>A198</f>
        <v/>
      </c>
      <c r="AR198" s="9">
        <f>0</f>
        <v/>
      </c>
      <c r="AS198" s="9">
        <f>IF(OR(Inputs!$F$6=TRUE,Inputs!$F$6="TRUE",Inputs!$F$6=1),IF(OR(Inputs!$C$27=TRUE,Inputs!$C$27="TRUE",Inputs!$C$27=1),1,0)*(Inputs!$C$51*(115*EXP(-(((Inputs!$C$6)-25)^2)/(4.5^2))+70*EXP(-(((Inputs!$C$6)+38)^2)/(7^2))*(0.55+0.45*SIN(2*PI()*((Inputs!$I$6+(((A198)+1)/2)*(Inputs!$J$6-Inputs!$I$6)))/45))+24*SIN(2*PI()*(Inputs!$C$6)/9+((Inputs!$I$6+(((A198)+1)/2)*(Inputs!$J$6-Inputs!$I$6)))/18)*EXP(-(((Inputs!$C$6)+5)^2)/(22^2))+18*SIN(2*PI()*((Inputs!$I$6+(((A198)+1)/2)*(Inputs!$J$6-Inputs!$I$6)))/70))+Inputs!$C$28*EXP(-((((Inputs!$I$6+(((A198)+1)/2)*(Inputs!$J$6-Inputs!$I$6)))-Inputs!$C$29)^2)/(2*Inputs!$C$31^2))*EXP(-(((Inputs!$C$6)-Inputs!$C$30)^2)/(2*Inputs!$C$32^2))+-Inputs!$C$33*EXP(-((((((Inputs!$I$6+(((A198)+1)/2)*(Inputs!$J$6-Inputs!$I$6)))-Inputs!$C$34)^2)+(((Inputs!$C$6)-Inputs!$C$35)^2))/(2*Inputs!$C$36^2)))+Inputs!$C$37*(0.55*SIN(2*PI()*((Inputs!$I$6+(((A198)+1)/2)*(Inputs!$J$6-Inputs!$I$6)))/Inputs!$C$39)+0.35*COS(2*PI()*(Inputs!$C$6)/Inputs!$C$40)+0.2*SIN(2*PI()*(((Inputs!$I$6+(((A198)+1)/2)*(Inputs!$J$6-Inputs!$I$6)))+(Inputs!$C$6))/(0.5*(Inputs!$C$39+Inputs!$C$40))))+Inputs!$C$38*SIN(2*PI()*((Inputs!$I$6+(((A198)+1)/2)*(Inputs!$J$6-Inputs!$I$6)))/Inputs!$C$39)*SIN(2*PI()*(Inputs!$C$6)/Inputs!$C$40)+-Inputs!$C$41*EXP(-(((Inputs!$C$6)-Inputs!$C$43)^2)/(2*Inputs!$C$44^2))*EXP(-((((Inputs!$I$6+(((A198)+1)/2)*(Inputs!$J$6-Inputs!$I$6)))-Inputs!$C$42)^2)/(2*Inputs!$C$45^2))+Inputs!$C$48*(0.7*(0.45*SIN(2*PI()*((((Inputs!$I$6+(((A198)+1)/2)*(Inputs!$J$6-Inputs!$I$6)))/Inputs!$C$49)+Inputs!$C$47*0.137))+0.35*COS(2*PI()*(((Inputs!$C$6)/Inputs!$C$50)+Inputs!$C$47*0.173))+0.2*SIN(2*PI()*((((Inputs!$I$6+(((A198)+1)/2)*(Inputs!$J$6-Inputs!$I$6)))+(Inputs!$C$6))/(0.5*(Inputs!$C$49+Inputs!$C$50))+Inputs!$C$47*0.097)))+0.3*(2*((SIN((((Inputs!$I$6+(((A198)+1)/2)*(Inputs!$J$6-Inputs!$I$6)))*12.9898+(Inputs!$C$6)*78.233+Inputs!$C$47*37.719))*43758.5453)-INT((SIN((((Inputs!$I$6+(((A198)+1)/2)*(Inputs!$J$6-Inputs!$I$6)))*12.9898+(Inputs!$C$6)*78.233+Inputs!$C$47*37.719))*43758.5453)))-1))),NA())</f>
        <v/>
      </c>
      <c r="AT198" s="9">
        <f>IF(OR(Inputs!$F$7=TRUE,Inputs!$F$7="TRUE",Inputs!$F$7=1),IF(OR(Inputs!$C$27=TRUE,Inputs!$C$27="TRUE",Inputs!$C$27=1),1,0)*(Inputs!$C$51*(115*EXP(-(((Inputs!$C$6)-25)^2)/(4.5^2))+70*EXP(-(((Inputs!$C$6)+38)^2)/(7^2))*(0.55+0.45*SIN(2*PI()*((Inputs!$I$7+(((A198)+1)/2)*(Inputs!$J$7-Inputs!$I$7)))/45))+24*SIN(2*PI()*(Inputs!$C$6)/9+((Inputs!$I$7+(((A198)+1)/2)*(Inputs!$J$7-Inputs!$I$7)))/18)*EXP(-(((Inputs!$C$6)+5)^2)/(22^2))+18*SIN(2*PI()*((Inputs!$I$7+(((A198)+1)/2)*(Inputs!$J$7-Inputs!$I$7)))/70))+Inputs!$C$28*EXP(-((((Inputs!$I$7+(((A198)+1)/2)*(Inputs!$J$7-Inputs!$I$7)))-Inputs!$C$29)^2)/(2*Inputs!$C$31^2))*EXP(-(((Inputs!$C$6)-Inputs!$C$30)^2)/(2*Inputs!$C$32^2))+-Inputs!$C$33*EXP(-((((((Inputs!$I$7+(((A198)+1)/2)*(Inputs!$J$7-Inputs!$I$7)))-Inputs!$C$34)^2)+(((Inputs!$C$6)-Inputs!$C$35)^2))/(2*Inputs!$C$36^2)))+Inputs!$C$37*(0.55*SIN(2*PI()*((Inputs!$I$7+(((A198)+1)/2)*(Inputs!$J$7-Inputs!$I$7)))/Inputs!$C$39)+0.35*COS(2*PI()*(Inputs!$C$6)/Inputs!$C$40)+0.2*SIN(2*PI()*(((Inputs!$I$7+(((A198)+1)/2)*(Inputs!$J$7-Inputs!$I$7)))+(Inputs!$C$6))/(0.5*(Inputs!$C$39+Inputs!$C$40))))+Inputs!$C$38*SIN(2*PI()*((Inputs!$I$7+(((A198)+1)/2)*(Inputs!$J$7-Inputs!$I$7)))/Inputs!$C$39)*SIN(2*PI()*(Inputs!$C$6)/Inputs!$C$40)+-Inputs!$C$41*EXP(-(((Inputs!$C$6)-Inputs!$C$43)^2)/(2*Inputs!$C$44^2))*EXP(-((((Inputs!$I$7+(((A198)+1)/2)*(Inputs!$J$7-Inputs!$I$7)))-Inputs!$C$42)^2)/(2*Inputs!$C$45^2))+Inputs!$C$48*(0.7*(0.45*SIN(2*PI()*((((Inputs!$I$7+(((A198)+1)/2)*(Inputs!$J$7-Inputs!$I$7)))/Inputs!$C$49)+Inputs!$C$47*0.137))+0.35*COS(2*PI()*(((Inputs!$C$6)/Inputs!$C$50)+Inputs!$C$47*0.173))+0.2*SIN(2*PI()*((((Inputs!$I$7+(((A198)+1)/2)*(Inputs!$J$7-Inputs!$I$7)))+(Inputs!$C$6))/(0.5*(Inputs!$C$49+Inputs!$C$50))+Inputs!$C$47*0.097)))+0.3*(2*((SIN((((Inputs!$I$7+(((A198)+1)/2)*(Inputs!$J$7-Inputs!$I$7)))*12.9898+(Inputs!$C$6)*78.233+Inputs!$C$47*37.719))*43758.5453)-INT((SIN((((Inputs!$I$7+(((A198)+1)/2)*(Inputs!$J$7-Inputs!$I$7)))*12.9898+(Inputs!$C$6)*78.233+Inputs!$C$47*37.719))*43758.5453)))-1))),NA())</f>
        <v/>
      </c>
      <c r="AU198" s="9">
        <f>IF(OR(Inputs!$F$8=TRUE,Inputs!$F$8="TRUE",Inputs!$F$8=1),IF(OR(Inputs!$C$27=TRUE,Inputs!$C$27="TRUE",Inputs!$C$27=1),1,0)*(Inputs!$C$51*(115*EXP(-(((Inputs!$C$6)-25)^2)/(4.5^2))+70*EXP(-(((Inputs!$C$6)+38)^2)/(7^2))*(0.55+0.45*SIN(2*PI()*((Inputs!$I$8+(((A198)+1)/2)*(Inputs!$J$8-Inputs!$I$8)))/45))+24*SIN(2*PI()*(Inputs!$C$6)/9+((Inputs!$I$8+(((A198)+1)/2)*(Inputs!$J$8-Inputs!$I$8)))/18)*EXP(-(((Inputs!$C$6)+5)^2)/(22^2))+18*SIN(2*PI()*((Inputs!$I$8+(((A198)+1)/2)*(Inputs!$J$8-Inputs!$I$8)))/70))+Inputs!$C$28*EXP(-((((Inputs!$I$8+(((A198)+1)/2)*(Inputs!$J$8-Inputs!$I$8)))-Inputs!$C$29)^2)/(2*Inputs!$C$31^2))*EXP(-(((Inputs!$C$6)-Inputs!$C$30)^2)/(2*Inputs!$C$32^2))+-Inputs!$C$33*EXP(-((((((Inputs!$I$8+(((A198)+1)/2)*(Inputs!$J$8-Inputs!$I$8)))-Inputs!$C$34)^2)+(((Inputs!$C$6)-Inputs!$C$35)^2))/(2*Inputs!$C$36^2)))+Inputs!$C$37*(0.55*SIN(2*PI()*((Inputs!$I$8+(((A198)+1)/2)*(Inputs!$J$8-Inputs!$I$8)))/Inputs!$C$39)+0.35*COS(2*PI()*(Inputs!$C$6)/Inputs!$C$40)+0.2*SIN(2*PI()*(((Inputs!$I$8+(((A198)+1)/2)*(Inputs!$J$8-Inputs!$I$8)))+(Inputs!$C$6))/(0.5*(Inputs!$C$39+Inputs!$C$40))))+Inputs!$C$38*SIN(2*PI()*((Inputs!$I$8+(((A198)+1)/2)*(Inputs!$J$8-Inputs!$I$8)))/Inputs!$C$39)*SIN(2*PI()*(Inputs!$C$6)/Inputs!$C$40)+-Inputs!$C$41*EXP(-(((Inputs!$C$6)-Inputs!$C$43)^2)/(2*Inputs!$C$44^2))*EXP(-((((Inputs!$I$8+(((A198)+1)/2)*(Inputs!$J$8-Inputs!$I$8)))-Inputs!$C$42)^2)/(2*Inputs!$C$45^2))+Inputs!$C$48*(0.7*(0.45*SIN(2*PI()*((((Inputs!$I$8+(((A198)+1)/2)*(Inputs!$J$8-Inputs!$I$8)))/Inputs!$C$49)+Inputs!$C$47*0.137))+0.35*COS(2*PI()*(((Inputs!$C$6)/Inputs!$C$50)+Inputs!$C$47*0.173))+0.2*SIN(2*PI()*((((Inputs!$I$8+(((A198)+1)/2)*(Inputs!$J$8-Inputs!$I$8)))+(Inputs!$C$6))/(0.5*(Inputs!$C$49+Inputs!$C$50))+Inputs!$C$47*0.097)))+0.3*(2*((SIN((((Inputs!$I$8+(((A198)+1)/2)*(Inputs!$J$8-Inputs!$I$8)))*12.9898+(Inputs!$C$6)*78.233+Inputs!$C$47*37.719))*43758.5453)-INT((SIN((((Inputs!$I$8+(((A198)+1)/2)*(Inputs!$J$8-Inputs!$I$8)))*12.9898+(Inputs!$C$6)*78.233+Inputs!$C$47*37.719))*43758.5453)))-1))),NA())</f>
        <v/>
      </c>
      <c r="AV198" s="9">
        <f>IF(OR(Inputs!$F$9=TRUE,Inputs!$F$9="TRUE",Inputs!$F$9=1),IF(OR(Inputs!$C$27=TRUE,Inputs!$C$27="TRUE",Inputs!$C$27=1),1,0)*(Inputs!$C$51*(115*EXP(-(((Inputs!$C$6)-25)^2)/(4.5^2))+70*EXP(-(((Inputs!$C$6)+38)^2)/(7^2))*(0.55+0.45*SIN(2*PI()*((Inputs!$I$9+(((A198)+1)/2)*(Inputs!$J$9-Inputs!$I$9)))/45))+24*SIN(2*PI()*(Inputs!$C$6)/9+((Inputs!$I$9+(((A198)+1)/2)*(Inputs!$J$9-Inputs!$I$9)))/18)*EXP(-(((Inputs!$C$6)+5)^2)/(22^2))+18*SIN(2*PI()*((Inputs!$I$9+(((A198)+1)/2)*(Inputs!$J$9-Inputs!$I$9)))/70))+Inputs!$C$28*EXP(-((((Inputs!$I$9+(((A198)+1)/2)*(Inputs!$J$9-Inputs!$I$9)))-Inputs!$C$29)^2)/(2*Inputs!$C$31^2))*EXP(-(((Inputs!$C$6)-Inputs!$C$30)^2)/(2*Inputs!$C$32^2))+-Inputs!$C$33*EXP(-((((((Inputs!$I$9+(((A198)+1)/2)*(Inputs!$J$9-Inputs!$I$9)))-Inputs!$C$34)^2)+(((Inputs!$C$6)-Inputs!$C$35)^2))/(2*Inputs!$C$36^2)))+Inputs!$C$37*(0.55*SIN(2*PI()*((Inputs!$I$9+(((A198)+1)/2)*(Inputs!$J$9-Inputs!$I$9)))/Inputs!$C$39)+0.35*COS(2*PI()*(Inputs!$C$6)/Inputs!$C$40)+0.2*SIN(2*PI()*(((Inputs!$I$9+(((A198)+1)/2)*(Inputs!$J$9-Inputs!$I$9)))+(Inputs!$C$6))/(0.5*(Inputs!$C$39+Inputs!$C$40))))+Inputs!$C$38*SIN(2*PI()*((Inputs!$I$9+(((A198)+1)/2)*(Inputs!$J$9-Inputs!$I$9)))/Inputs!$C$39)*SIN(2*PI()*(Inputs!$C$6)/Inputs!$C$40)+-Inputs!$C$41*EXP(-(((Inputs!$C$6)-Inputs!$C$43)^2)/(2*Inputs!$C$44^2))*EXP(-((((Inputs!$I$9+(((A198)+1)/2)*(Inputs!$J$9-Inputs!$I$9)))-Inputs!$C$42)^2)/(2*Inputs!$C$45^2))+Inputs!$C$48*(0.7*(0.45*SIN(2*PI()*((((Inputs!$I$9+(((A198)+1)/2)*(Inputs!$J$9-Inputs!$I$9)))/Inputs!$C$49)+Inputs!$C$47*0.137))+0.35*COS(2*PI()*(((Inputs!$C$6)/Inputs!$C$50)+Inputs!$C$47*0.173))+0.2*SIN(2*PI()*((((Inputs!$I$9+(((A198)+1)/2)*(Inputs!$J$9-Inputs!$I$9)))+(Inputs!$C$6))/(0.5*(Inputs!$C$49+Inputs!$C$50))+Inputs!$C$47*0.097)))+0.3*(2*((SIN((((Inputs!$I$9+(((A198)+1)/2)*(Inputs!$J$9-Inputs!$I$9)))*12.9898+(Inputs!$C$6)*78.233+Inputs!$C$47*37.719))*43758.5453)-INT((SIN((((Inputs!$I$9+(((A198)+1)/2)*(Inputs!$J$9-Inputs!$I$9)))*12.9898+(Inputs!$C$6)*78.233+Inputs!$C$47*37.719))*43758.5453)))-1))),NA())</f>
        <v/>
      </c>
      <c r="AW198" s="10" t="n"/>
      <c r="AX198" s="9">
        <f>A198</f>
        <v/>
      </c>
      <c r="AY198" s="9">
        <f>0</f>
        <v/>
      </c>
      <c r="AZ198" s="9">
        <f>IF(OR(Inputs!$F$6=TRUE,Inputs!$F$6="TRUE",Inputs!$F$6=1),(Inputs!$H$6+Inputs!$L$6*(((Inputs!$I$6+(((A198)+1)/2)*(Inputs!$J$6-Inputs!$I$6)))/Inputs!$K$6)^2),NA())</f>
        <v/>
      </c>
      <c r="BA198" s="9">
        <f>IF(OR(Inputs!$F$7=TRUE,Inputs!$F$7="TRUE",Inputs!$F$7=1),(Inputs!$H$7+Inputs!$L$7*(((Inputs!$I$7+(((A198)+1)/2)*(Inputs!$J$7-Inputs!$I$7)))/Inputs!$K$7)^2),NA())</f>
        <v/>
      </c>
      <c r="BB198" s="9">
        <f>IF(OR(Inputs!$F$8=TRUE,Inputs!$F$8="TRUE",Inputs!$F$8=1),(Inputs!$H$8+Inputs!$L$8*(((Inputs!$I$8+(((A198)+1)/2)*(Inputs!$J$8-Inputs!$I$8)))/Inputs!$K$8)^2),NA())</f>
        <v/>
      </c>
      <c r="BC198" s="9">
        <f>IF(OR(Inputs!$F$9=TRUE,Inputs!$F$9="TRUE",Inputs!$F$9=1),(Inputs!$H$9+Inputs!$L$9*(((Inputs!$I$9+(((A198)+1)/2)*(Inputs!$J$9-Inputs!$I$9)))/Inputs!$K$9)^2),NA())</f>
        <v/>
      </c>
      <c r="BD198" s="10" t="n"/>
      <c r="BE198" s="9">
        <f>A198</f>
        <v/>
      </c>
      <c r="BF198" s="9">
        <f>0</f>
        <v/>
      </c>
      <c r="BG198" s="9">
        <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f>
        <v/>
      </c>
      <c r="BH198" s="9">
        <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f>
        <v/>
      </c>
      <c r="BI198" s="9">
        <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f>
        <v/>
      </c>
      <c r="BJ198" s="9">
        <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f>
        <v/>
      </c>
    </row>
    <row r="199">
      <c r="A199" s="9">
        <f>ROUND(-1+197*2/240,3)</f>
        <v/>
      </c>
      <c r="B199" s="9">
        <f>IF(OR(Inputs!$F$6=TRUE,Inputs!$F$6="TRUE",Inputs!$F$6=1),(Inputs!$H$6+Inputs!$L$6*(((Inputs!$I$6+(((A199)+1)/2)*(Inputs!$J$6-Inputs!$I$6)))/Inputs!$K$6)^2),NA())</f>
        <v/>
      </c>
      <c r="C199" s="9">
        <f>IF(OR(Inputs!$F$7=TRUE,Inputs!$F$7="TRUE",Inputs!$F$7=1),(Inputs!$H$7+Inputs!$L$7*(((Inputs!$I$7+(((A199)+1)/2)*(Inputs!$J$7-Inputs!$I$7)))/Inputs!$K$7)^2),NA())</f>
        <v/>
      </c>
      <c r="D199" s="9">
        <f>IF(OR(Inputs!$F$8=TRUE,Inputs!$F$8="TRUE",Inputs!$F$8=1),(Inputs!$H$8+Inputs!$L$8*(((Inputs!$I$8+(((A199)+1)/2)*(Inputs!$J$8-Inputs!$I$8)))/Inputs!$K$8)^2),NA())</f>
        <v/>
      </c>
      <c r="E199" s="9">
        <f>IF(OR(Inputs!$F$9=TRUE,Inputs!$F$9="TRUE",Inputs!$F$9=1),(Inputs!$H$9+Inputs!$L$9*(((Inputs!$I$9+(((A199)+1)/2)*(Inputs!$J$9-Inputs!$I$9)))/Inputs!$K$9)^2),NA())</f>
        <v/>
      </c>
      <c r="F199" s="10" t="n"/>
      <c r="G199" s="9">
        <f>A199</f>
        <v/>
      </c>
      <c r="H199" s="9">
        <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f>
        <v/>
      </c>
      <c r="I199" s="9">
        <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f>
        <v/>
      </c>
      <c r="J199" s="9">
        <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f>
        <v/>
      </c>
      <c r="K199" s="9">
        <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f>
        <v/>
      </c>
      <c r="L199" s="10" t="n"/>
      <c r="M199" s="9">
        <f>A199</f>
        <v/>
      </c>
      <c r="N199" s="9">
        <f>IF(OR(Inputs!$F$6=TRUE,Inputs!$F$6="TRUE",Inputs!$F$6=1),(-2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NA())</f>
        <v/>
      </c>
      <c r="O199" s="9">
        <f>IF(OR(Inputs!$F$7=TRUE,Inputs!$F$7="TRUE",Inputs!$F$7=1),(-2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NA())</f>
        <v/>
      </c>
      <c r="P199" s="9">
        <f>IF(OR(Inputs!$F$8=TRUE,Inputs!$F$8="TRUE",Inputs!$F$8=1),(-2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NA())</f>
        <v/>
      </c>
      <c r="Q199" s="9">
        <f>IF(OR(Inputs!$F$9=TRUE,Inputs!$F$9="TRUE",Inputs!$F$9=1),(-2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NA())</f>
        <v/>
      </c>
      <c r="R199" s="10" t="n"/>
      <c r="S199" s="9">
        <f>A199</f>
        <v/>
      </c>
      <c r="T199" s="9">
        <f>(Inputs!$I$6+(((A199)+1)/2)*(Inputs!$J$6-Inputs!$I$6))</f>
        <v/>
      </c>
      <c r="U199" s="9">
        <f>(Inputs!$I$7+(((A199)+1)/2)*(Inputs!$J$7-Inputs!$I$7))</f>
        <v/>
      </c>
      <c r="V199" s="9">
        <f>(Inputs!$I$8+(((A199)+1)/2)*(Inputs!$J$8-Inputs!$I$8))</f>
        <v/>
      </c>
      <c r="W199" s="9">
        <f>(Inputs!$I$9+(((A199)+1)/2)*(Inputs!$J$9-Inputs!$I$9))</f>
        <v/>
      </c>
      <c r="X199" s="10" t="n"/>
      <c r="Y199" s="9">
        <f>A199</f>
        <v/>
      </c>
      <c r="Z199" s="9">
        <f>(Inputs!$H$6+Inputs!$L$6*(((Inputs!$I$6+(((A199)+1)/2)*(Inputs!$J$6-Inputs!$I$6)))/Inputs!$K$6)^2)</f>
        <v/>
      </c>
      <c r="AA199" s="9">
        <f>(Inputs!$H$7+Inputs!$L$7*(((Inputs!$I$7+(((A199)+1)/2)*(Inputs!$J$7-Inputs!$I$7)))/Inputs!$K$7)^2)</f>
        <v/>
      </c>
      <c r="AB199" s="9">
        <f>(Inputs!$H$8+Inputs!$L$8*(((Inputs!$I$8+(((A199)+1)/2)*(Inputs!$J$8-Inputs!$I$8)))/Inputs!$K$8)^2)</f>
        <v/>
      </c>
      <c r="AC199" s="9">
        <f>(Inputs!$H$9+Inputs!$L$9*(((Inputs!$I$9+(((A199)+1)/2)*(Inputs!$J$9-Inputs!$I$9)))/Inputs!$K$9)^2)</f>
        <v/>
      </c>
      <c r="AD199" s="10" t="n"/>
      <c r="AE199" s="9">
        <f>A199</f>
        <v/>
      </c>
      <c r="AF199" s="9">
        <f>(((SQRT((Inputs!$C$52+((Inputs!$H$6+Inputs!$L$6*(((Inputs!$I$6+(((A199)+1)/2)*(Inputs!$J$6-Inputs!$I$6)))/Inputs!$K$6)^2)))^2+Inputs!$C$52^2-2*(Inputs!$C$52+((Inputs!$H$6+Inputs!$L$6*(((Inputs!$I$6+(((A199)+1)/2)*(Inputs!$J$6-Inputs!$I$6)))/Inputs!$K$6)^2)))*Inputs!$C$52*COS(SQRT(((Inputs!$I$6+(((A199)+1)/2)*(Inputs!$J$6-Inputs!$I$6)))^2+Inputs!$C$6^2)/Inputs!$C$52)))-((Inputs!$H$6+Inputs!$L$6*(((Inputs!$I$6+(((A199)+1)/2)*(Inputs!$J$6-Inputs!$I$6)))/Inputs!$K$6)^2)))*1000/Inputs!$C$12)</f>
        <v/>
      </c>
      <c r="AG199" s="9">
        <f>(((SQRT((Inputs!$C$52+((Inputs!$H$7+Inputs!$L$7*(((Inputs!$I$7+(((A199)+1)/2)*(Inputs!$J$7-Inputs!$I$7)))/Inputs!$K$7)^2)))^2+Inputs!$C$52^2-2*(Inputs!$C$52+((Inputs!$H$7+Inputs!$L$7*(((Inputs!$I$7+(((A199)+1)/2)*(Inputs!$J$7-Inputs!$I$7)))/Inputs!$K$7)^2)))*Inputs!$C$52*COS(SQRT(((Inputs!$I$7+(((A199)+1)/2)*(Inputs!$J$7-Inputs!$I$7)))^2+Inputs!$C$6^2)/Inputs!$C$52)))-((Inputs!$H$7+Inputs!$L$7*(((Inputs!$I$7+(((A199)+1)/2)*(Inputs!$J$7-Inputs!$I$7)))/Inputs!$K$7)^2)))*1000/Inputs!$C$12)</f>
        <v/>
      </c>
      <c r="AH199" s="9">
        <f>(((SQRT((Inputs!$C$52+((Inputs!$H$8+Inputs!$L$8*(((Inputs!$I$8+(((A199)+1)/2)*(Inputs!$J$8-Inputs!$I$8)))/Inputs!$K$8)^2)))^2+Inputs!$C$52^2-2*(Inputs!$C$52+((Inputs!$H$8+Inputs!$L$8*(((Inputs!$I$8+(((A199)+1)/2)*(Inputs!$J$8-Inputs!$I$8)))/Inputs!$K$8)^2)))*Inputs!$C$52*COS(SQRT(((Inputs!$I$8+(((A199)+1)/2)*(Inputs!$J$8-Inputs!$I$8)))^2+Inputs!$C$6^2)/Inputs!$C$52)))-((Inputs!$H$8+Inputs!$L$8*(((Inputs!$I$8+(((A199)+1)/2)*(Inputs!$J$8-Inputs!$I$8)))/Inputs!$K$8)^2)))*1000/Inputs!$C$12)</f>
        <v/>
      </c>
      <c r="AI199" s="9">
        <f>(((SQRT((Inputs!$C$52+((Inputs!$H$9+Inputs!$L$9*(((Inputs!$I$9+(((A199)+1)/2)*(Inputs!$J$9-Inputs!$I$9)))/Inputs!$K$9)^2)))^2+Inputs!$C$52^2-2*(Inputs!$C$52+((Inputs!$H$9+Inputs!$L$9*(((Inputs!$I$9+(((A199)+1)/2)*(Inputs!$J$9-Inputs!$I$9)))/Inputs!$K$9)^2)))*Inputs!$C$52*COS(SQRT(((Inputs!$I$9+(((A199)+1)/2)*(Inputs!$J$9-Inputs!$I$9)))^2+Inputs!$C$6^2)/Inputs!$C$52)))-((Inputs!$H$9+Inputs!$L$9*(((Inputs!$I$9+(((A199)+1)/2)*(Inputs!$J$9-Inputs!$I$9)))/Inputs!$K$9)^2)))*1000/Inputs!$C$12)</f>
        <v/>
      </c>
      <c r="AJ199" s="10" t="n"/>
      <c r="AK199" s="9">
        <f>A199</f>
        <v/>
      </c>
      <c r="AL199" s="9">
        <f>(-2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f>
        <v/>
      </c>
      <c r="AM199" s="9">
        <f>(-2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f>
        <v/>
      </c>
      <c r="AN199" s="9">
        <f>(-2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f>
        <v/>
      </c>
      <c r="AO199" s="9">
        <f>(-2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f>
        <v/>
      </c>
      <c r="AP199" s="10" t="n"/>
      <c r="AQ199" s="9">
        <f>A199</f>
        <v/>
      </c>
      <c r="AR199" s="9">
        <f>0</f>
        <v/>
      </c>
      <c r="AS199" s="9">
        <f>IF(OR(Inputs!$F$6=TRUE,Inputs!$F$6="TRUE",Inputs!$F$6=1),IF(OR(Inputs!$C$27=TRUE,Inputs!$C$27="TRUE",Inputs!$C$27=1),1,0)*(Inputs!$C$51*(115*EXP(-(((Inputs!$C$6)-25)^2)/(4.5^2))+70*EXP(-(((Inputs!$C$6)+38)^2)/(7^2))*(0.55+0.45*SIN(2*PI()*((Inputs!$I$6+(((A199)+1)/2)*(Inputs!$J$6-Inputs!$I$6)))/45))+24*SIN(2*PI()*(Inputs!$C$6)/9+((Inputs!$I$6+(((A199)+1)/2)*(Inputs!$J$6-Inputs!$I$6)))/18)*EXP(-(((Inputs!$C$6)+5)^2)/(22^2))+18*SIN(2*PI()*((Inputs!$I$6+(((A199)+1)/2)*(Inputs!$J$6-Inputs!$I$6)))/70))+Inputs!$C$28*EXP(-((((Inputs!$I$6+(((A199)+1)/2)*(Inputs!$J$6-Inputs!$I$6)))-Inputs!$C$29)^2)/(2*Inputs!$C$31^2))*EXP(-(((Inputs!$C$6)-Inputs!$C$30)^2)/(2*Inputs!$C$32^2))+-Inputs!$C$33*EXP(-((((((Inputs!$I$6+(((A199)+1)/2)*(Inputs!$J$6-Inputs!$I$6)))-Inputs!$C$34)^2)+(((Inputs!$C$6)-Inputs!$C$35)^2))/(2*Inputs!$C$36^2)))+Inputs!$C$37*(0.55*SIN(2*PI()*((Inputs!$I$6+(((A199)+1)/2)*(Inputs!$J$6-Inputs!$I$6)))/Inputs!$C$39)+0.35*COS(2*PI()*(Inputs!$C$6)/Inputs!$C$40)+0.2*SIN(2*PI()*(((Inputs!$I$6+(((A199)+1)/2)*(Inputs!$J$6-Inputs!$I$6)))+(Inputs!$C$6))/(0.5*(Inputs!$C$39+Inputs!$C$40))))+Inputs!$C$38*SIN(2*PI()*((Inputs!$I$6+(((A199)+1)/2)*(Inputs!$J$6-Inputs!$I$6)))/Inputs!$C$39)*SIN(2*PI()*(Inputs!$C$6)/Inputs!$C$40)+-Inputs!$C$41*EXP(-(((Inputs!$C$6)-Inputs!$C$43)^2)/(2*Inputs!$C$44^2))*EXP(-((((Inputs!$I$6+(((A199)+1)/2)*(Inputs!$J$6-Inputs!$I$6)))-Inputs!$C$42)^2)/(2*Inputs!$C$45^2))+Inputs!$C$48*(0.7*(0.45*SIN(2*PI()*((((Inputs!$I$6+(((A199)+1)/2)*(Inputs!$J$6-Inputs!$I$6)))/Inputs!$C$49)+Inputs!$C$47*0.137))+0.35*COS(2*PI()*(((Inputs!$C$6)/Inputs!$C$50)+Inputs!$C$47*0.173))+0.2*SIN(2*PI()*((((Inputs!$I$6+(((A199)+1)/2)*(Inputs!$J$6-Inputs!$I$6)))+(Inputs!$C$6))/(0.5*(Inputs!$C$49+Inputs!$C$50))+Inputs!$C$47*0.097)))+0.3*(2*((SIN((((Inputs!$I$6+(((A199)+1)/2)*(Inputs!$J$6-Inputs!$I$6)))*12.9898+(Inputs!$C$6)*78.233+Inputs!$C$47*37.719))*43758.5453)-INT((SIN((((Inputs!$I$6+(((A199)+1)/2)*(Inputs!$J$6-Inputs!$I$6)))*12.9898+(Inputs!$C$6)*78.233+Inputs!$C$47*37.719))*43758.5453)))-1))),NA())</f>
        <v/>
      </c>
      <c r="AT199" s="9">
        <f>IF(OR(Inputs!$F$7=TRUE,Inputs!$F$7="TRUE",Inputs!$F$7=1),IF(OR(Inputs!$C$27=TRUE,Inputs!$C$27="TRUE",Inputs!$C$27=1),1,0)*(Inputs!$C$51*(115*EXP(-(((Inputs!$C$6)-25)^2)/(4.5^2))+70*EXP(-(((Inputs!$C$6)+38)^2)/(7^2))*(0.55+0.45*SIN(2*PI()*((Inputs!$I$7+(((A199)+1)/2)*(Inputs!$J$7-Inputs!$I$7)))/45))+24*SIN(2*PI()*(Inputs!$C$6)/9+((Inputs!$I$7+(((A199)+1)/2)*(Inputs!$J$7-Inputs!$I$7)))/18)*EXP(-(((Inputs!$C$6)+5)^2)/(22^2))+18*SIN(2*PI()*((Inputs!$I$7+(((A199)+1)/2)*(Inputs!$J$7-Inputs!$I$7)))/70))+Inputs!$C$28*EXP(-((((Inputs!$I$7+(((A199)+1)/2)*(Inputs!$J$7-Inputs!$I$7)))-Inputs!$C$29)^2)/(2*Inputs!$C$31^2))*EXP(-(((Inputs!$C$6)-Inputs!$C$30)^2)/(2*Inputs!$C$32^2))+-Inputs!$C$33*EXP(-((((((Inputs!$I$7+(((A199)+1)/2)*(Inputs!$J$7-Inputs!$I$7)))-Inputs!$C$34)^2)+(((Inputs!$C$6)-Inputs!$C$35)^2))/(2*Inputs!$C$36^2)))+Inputs!$C$37*(0.55*SIN(2*PI()*((Inputs!$I$7+(((A199)+1)/2)*(Inputs!$J$7-Inputs!$I$7)))/Inputs!$C$39)+0.35*COS(2*PI()*(Inputs!$C$6)/Inputs!$C$40)+0.2*SIN(2*PI()*(((Inputs!$I$7+(((A199)+1)/2)*(Inputs!$J$7-Inputs!$I$7)))+(Inputs!$C$6))/(0.5*(Inputs!$C$39+Inputs!$C$40))))+Inputs!$C$38*SIN(2*PI()*((Inputs!$I$7+(((A199)+1)/2)*(Inputs!$J$7-Inputs!$I$7)))/Inputs!$C$39)*SIN(2*PI()*(Inputs!$C$6)/Inputs!$C$40)+-Inputs!$C$41*EXP(-(((Inputs!$C$6)-Inputs!$C$43)^2)/(2*Inputs!$C$44^2))*EXP(-((((Inputs!$I$7+(((A199)+1)/2)*(Inputs!$J$7-Inputs!$I$7)))-Inputs!$C$42)^2)/(2*Inputs!$C$45^2))+Inputs!$C$48*(0.7*(0.45*SIN(2*PI()*((((Inputs!$I$7+(((A199)+1)/2)*(Inputs!$J$7-Inputs!$I$7)))/Inputs!$C$49)+Inputs!$C$47*0.137))+0.35*COS(2*PI()*(((Inputs!$C$6)/Inputs!$C$50)+Inputs!$C$47*0.173))+0.2*SIN(2*PI()*((((Inputs!$I$7+(((A199)+1)/2)*(Inputs!$J$7-Inputs!$I$7)))+(Inputs!$C$6))/(0.5*(Inputs!$C$49+Inputs!$C$50))+Inputs!$C$47*0.097)))+0.3*(2*((SIN((((Inputs!$I$7+(((A199)+1)/2)*(Inputs!$J$7-Inputs!$I$7)))*12.9898+(Inputs!$C$6)*78.233+Inputs!$C$47*37.719))*43758.5453)-INT((SIN((((Inputs!$I$7+(((A199)+1)/2)*(Inputs!$J$7-Inputs!$I$7)))*12.9898+(Inputs!$C$6)*78.233+Inputs!$C$47*37.719))*43758.5453)))-1))),NA())</f>
        <v/>
      </c>
      <c r="AU199" s="9">
        <f>IF(OR(Inputs!$F$8=TRUE,Inputs!$F$8="TRUE",Inputs!$F$8=1),IF(OR(Inputs!$C$27=TRUE,Inputs!$C$27="TRUE",Inputs!$C$27=1),1,0)*(Inputs!$C$51*(115*EXP(-(((Inputs!$C$6)-25)^2)/(4.5^2))+70*EXP(-(((Inputs!$C$6)+38)^2)/(7^2))*(0.55+0.45*SIN(2*PI()*((Inputs!$I$8+(((A199)+1)/2)*(Inputs!$J$8-Inputs!$I$8)))/45))+24*SIN(2*PI()*(Inputs!$C$6)/9+((Inputs!$I$8+(((A199)+1)/2)*(Inputs!$J$8-Inputs!$I$8)))/18)*EXP(-(((Inputs!$C$6)+5)^2)/(22^2))+18*SIN(2*PI()*((Inputs!$I$8+(((A199)+1)/2)*(Inputs!$J$8-Inputs!$I$8)))/70))+Inputs!$C$28*EXP(-((((Inputs!$I$8+(((A199)+1)/2)*(Inputs!$J$8-Inputs!$I$8)))-Inputs!$C$29)^2)/(2*Inputs!$C$31^2))*EXP(-(((Inputs!$C$6)-Inputs!$C$30)^2)/(2*Inputs!$C$32^2))+-Inputs!$C$33*EXP(-((((((Inputs!$I$8+(((A199)+1)/2)*(Inputs!$J$8-Inputs!$I$8)))-Inputs!$C$34)^2)+(((Inputs!$C$6)-Inputs!$C$35)^2))/(2*Inputs!$C$36^2)))+Inputs!$C$37*(0.55*SIN(2*PI()*((Inputs!$I$8+(((A199)+1)/2)*(Inputs!$J$8-Inputs!$I$8)))/Inputs!$C$39)+0.35*COS(2*PI()*(Inputs!$C$6)/Inputs!$C$40)+0.2*SIN(2*PI()*(((Inputs!$I$8+(((A199)+1)/2)*(Inputs!$J$8-Inputs!$I$8)))+(Inputs!$C$6))/(0.5*(Inputs!$C$39+Inputs!$C$40))))+Inputs!$C$38*SIN(2*PI()*((Inputs!$I$8+(((A199)+1)/2)*(Inputs!$J$8-Inputs!$I$8)))/Inputs!$C$39)*SIN(2*PI()*(Inputs!$C$6)/Inputs!$C$40)+-Inputs!$C$41*EXP(-(((Inputs!$C$6)-Inputs!$C$43)^2)/(2*Inputs!$C$44^2))*EXP(-((((Inputs!$I$8+(((A199)+1)/2)*(Inputs!$J$8-Inputs!$I$8)))-Inputs!$C$42)^2)/(2*Inputs!$C$45^2))+Inputs!$C$48*(0.7*(0.45*SIN(2*PI()*((((Inputs!$I$8+(((A199)+1)/2)*(Inputs!$J$8-Inputs!$I$8)))/Inputs!$C$49)+Inputs!$C$47*0.137))+0.35*COS(2*PI()*(((Inputs!$C$6)/Inputs!$C$50)+Inputs!$C$47*0.173))+0.2*SIN(2*PI()*((((Inputs!$I$8+(((A199)+1)/2)*(Inputs!$J$8-Inputs!$I$8)))+(Inputs!$C$6))/(0.5*(Inputs!$C$49+Inputs!$C$50))+Inputs!$C$47*0.097)))+0.3*(2*((SIN((((Inputs!$I$8+(((A199)+1)/2)*(Inputs!$J$8-Inputs!$I$8)))*12.9898+(Inputs!$C$6)*78.233+Inputs!$C$47*37.719))*43758.5453)-INT((SIN((((Inputs!$I$8+(((A199)+1)/2)*(Inputs!$J$8-Inputs!$I$8)))*12.9898+(Inputs!$C$6)*78.233+Inputs!$C$47*37.719))*43758.5453)))-1))),NA())</f>
        <v/>
      </c>
      <c r="AV199" s="9">
        <f>IF(OR(Inputs!$F$9=TRUE,Inputs!$F$9="TRUE",Inputs!$F$9=1),IF(OR(Inputs!$C$27=TRUE,Inputs!$C$27="TRUE",Inputs!$C$27=1),1,0)*(Inputs!$C$51*(115*EXP(-(((Inputs!$C$6)-25)^2)/(4.5^2))+70*EXP(-(((Inputs!$C$6)+38)^2)/(7^2))*(0.55+0.45*SIN(2*PI()*((Inputs!$I$9+(((A199)+1)/2)*(Inputs!$J$9-Inputs!$I$9)))/45))+24*SIN(2*PI()*(Inputs!$C$6)/9+((Inputs!$I$9+(((A199)+1)/2)*(Inputs!$J$9-Inputs!$I$9)))/18)*EXP(-(((Inputs!$C$6)+5)^2)/(22^2))+18*SIN(2*PI()*((Inputs!$I$9+(((A199)+1)/2)*(Inputs!$J$9-Inputs!$I$9)))/70))+Inputs!$C$28*EXP(-((((Inputs!$I$9+(((A199)+1)/2)*(Inputs!$J$9-Inputs!$I$9)))-Inputs!$C$29)^2)/(2*Inputs!$C$31^2))*EXP(-(((Inputs!$C$6)-Inputs!$C$30)^2)/(2*Inputs!$C$32^2))+-Inputs!$C$33*EXP(-((((((Inputs!$I$9+(((A199)+1)/2)*(Inputs!$J$9-Inputs!$I$9)))-Inputs!$C$34)^2)+(((Inputs!$C$6)-Inputs!$C$35)^2))/(2*Inputs!$C$36^2)))+Inputs!$C$37*(0.55*SIN(2*PI()*((Inputs!$I$9+(((A199)+1)/2)*(Inputs!$J$9-Inputs!$I$9)))/Inputs!$C$39)+0.35*COS(2*PI()*(Inputs!$C$6)/Inputs!$C$40)+0.2*SIN(2*PI()*(((Inputs!$I$9+(((A199)+1)/2)*(Inputs!$J$9-Inputs!$I$9)))+(Inputs!$C$6))/(0.5*(Inputs!$C$39+Inputs!$C$40))))+Inputs!$C$38*SIN(2*PI()*((Inputs!$I$9+(((A199)+1)/2)*(Inputs!$J$9-Inputs!$I$9)))/Inputs!$C$39)*SIN(2*PI()*(Inputs!$C$6)/Inputs!$C$40)+-Inputs!$C$41*EXP(-(((Inputs!$C$6)-Inputs!$C$43)^2)/(2*Inputs!$C$44^2))*EXP(-((((Inputs!$I$9+(((A199)+1)/2)*(Inputs!$J$9-Inputs!$I$9)))-Inputs!$C$42)^2)/(2*Inputs!$C$45^2))+Inputs!$C$48*(0.7*(0.45*SIN(2*PI()*((((Inputs!$I$9+(((A199)+1)/2)*(Inputs!$J$9-Inputs!$I$9)))/Inputs!$C$49)+Inputs!$C$47*0.137))+0.35*COS(2*PI()*(((Inputs!$C$6)/Inputs!$C$50)+Inputs!$C$47*0.173))+0.2*SIN(2*PI()*((((Inputs!$I$9+(((A199)+1)/2)*(Inputs!$J$9-Inputs!$I$9)))+(Inputs!$C$6))/(0.5*(Inputs!$C$49+Inputs!$C$50))+Inputs!$C$47*0.097)))+0.3*(2*((SIN((((Inputs!$I$9+(((A199)+1)/2)*(Inputs!$J$9-Inputs!$I$9)))*12.9898+(Inputs!$C$6)*78.233+Inputs!$C$47*37.719))*43758.5453)-INT((SIN((((Inputs!$I$9+(((A199)+1)/2)*(Inputs!$J$9-Inputs!$I$9)))*12.9898+(Inputs!$C$6)*78.233+Inputs!$C$47*37.719))*43758.5453)))-1))),NA())</f>
        <v/>
      </c>
      <c r="AW199" s="10" t="n"/>
      <c r="AX199" s="9">
        <f>A199</f>
        <v/>
      </c>
      <c r="AY199" s="9">
        <f>0</f>
        <v/>
      </c>
      <c r="AZ199" s="9">
        <f>IF(OR(Inputs!$F$6=TRUE,Inputs!$F$6="TRUE",Inputs!$F$6=1),(Inputs!$H$6+Inputs!$L$6*(((Inputs!$I$6+(((A199)+1)/2)*(Inputs!$J$6-Inputs!$I$6)))/Inputs!$K$6)^2),NA())</f>
        <v/>
      </c>
      <c r="BA199" s="9">
        <f>IF(OR(Inputs!$F$7=TRUE,Inputs!$F$7="TRUE",Inputs!$F$7=1),(Inputs!$H$7+Inputs!$L$7*(((Inputs!$I$7+(((A199)+1)/2)*(Inputs!$J$7-Inputs!$I$7)))/Inputs!$K$7)^2),NA())</f>
        <v/>
      </c>
      <c r="BB199" s="9">
        <f>IF(OR(Inputs!$F$8=TRUE,Inputs!$F$8="TRUE",Inputs!$F$8=1),(Inputs!$H$8+Inputs!$L$8*(((Inputs!$I$8+(((A199)+1)/2)*(Inputs!$J$8-Inputs!$I$8)))/Inputs!$K$8)^2),NA())</f>
        <v/>
      </c>
      <c r="BC199" s="9">
        <f>IF(OR(Inputs!$F$9=TRUE,Inputs!$F$9="TRUE",Inputs!$F$9=1),(Inputs!$H$9+Inputs!$L$9*(((Inputs!$I$9+(((A199)+1)/2)*(Inputs!$J$9-Inputs!$I$9)))/Inputs!$K$9)^2),NA())</f>
        <v/>
      </c>
      <c r="BD199" s="10" t="n"/>
      <c r="BE199" s="9">
        <f>A199</f>
        <v/>
      </c>
      <c r="BF199" s="9">
        <f>0</f>
        <v/>
      </c>
      <c r="BG199" s="9">
        <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f>
        <v/>
      </c>
      <c r="BH199" s="9">
        <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f>
        <v/>
      </c>
      <c r="BI199" s="9">
        <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f>
        <v/>
      </c>
      <c r="BJ199" s="9">
        <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f>
        <v/>
      </c>
    </row>
    <row r="200">
      <c r="A200" s="9">
        <f>ROUND(-1+198*2/240,3)</f>
        <v/>
      </c>
      <c r="B200" s="9">
        <f>IF(OR(Inputs!$F$6=TRUE,Inputs!$F$6="TRUE",Inputs!$F$6=1),(Inputs!$H$6+Inputs!$L$6*(((Inputs!$I$6+(((A200)+1)/2)*(Inputs!$J$6-Inputs!$I$6)))/Inputs!$K$6)^2),NA())</f>
        <v/>
      </c>
      <c r="C200" s="9">
        <f>IF(OR(Inputs!$F$7=TRUE,Inputs!$F$7="TRUE",Inputs!$F$7=1),(Inputs!$H$7+Inputs!$L$7*(((Inputs!$I$7+(((A200)+1)/2)*(Inputs!$J$7-Inputs!$I$7)))/Inputs!$K$7)^2),NA())</f>
        <v/>
      </c>
      <c r="D200" s="9">
        <f>IF(OR(Inputs!$F$8=TRUE,Inputs!$F$8="TRUE",Inputs!$F$8=1),(Inputs!$H$8+Inputs!$L$8*(((Inputs!$I$8+(((A200)+1)/2)*(Inputs!$J$8-Inputs!$I$8)))/Inputs!$K$8)^2),NA())</f>
        <v/>
      </c>
      <c r="E200" s="9">
        <f>IF(OR(Inputs!$F$9=TRUE,Inputs!$F$9="TRUE",Inputs!$F$9=1),(Inputs!$H$9+Inputs!$L$9*(((Inputs!$I$9+(((A200)+1)/2)*(Inputs!$J$9-Inputs!$I$9)))/Inputs!$K$9)^2),NA())</f>
        <v/>
      </c>
      <c r="F200" s="10" t="n"/>
      <c r="G200" s="9">
        <f>A200</f>
        <v/>
      </c>
      <c r="H200" s="9">
        <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f>
        <v/>
      </c>
      <c r="I200" s="9">
        <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f>
        <v/>
      </c>
      <c r="J200" s="9">
        <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f>
        <v/>
      </c>
      <c r="K200" s="9">
        <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f>
        <v/>
      </c>
      <c r="L200" s="10" t="n"/>
      <c r="M200" s="9">
        <f>A200</f>
        <v/>
      </c>
      <c r="N200" s="9">
        <f>IF(OR(Inputs!$F$6=TRUE,Inputs!$F$6="TRUE",Inputs!$F$6=1),(-2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NA())</f>
        <v/>
      </c>
      <c r="O200" s="9">
        <f>IF(OR(Inputs!$F$7=TRUE,Inputs!$F$7="TRUE",Inputs!$F$7=1),(-2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NA())</f>
        <v/>
      </c>
      <c r="P200" s="9">
        <f>IF(OR(Inputs!$F$8=TRUE,Inputs!$F$8="TRUE",Inputs!$F$8=1),(-2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NA())</f>
        <v/>
      </c>
      <c r="Q200" s="9">
        <f>IF(OR(Inputs!$F$9=TRUE,Inputs!$F$9="TRUE",Inputs!$F$9=1),(-2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NA())</f>
        <v/>
      </c>
      <c r="R200" s="10" t="n"/>
      <c r="S200" s="9">
        <f>A200</f>
        <v/>
      </c>
      <c r="T200" s="9">
        <f>(Inputs!$I$6+(((A200)+1)/2)*(Inputs!$J$6-Inputs!$I$6))</f>
        <v/>
      </c>
      <c r="U200" s="9">
        <f>(Inputs!$I$7+(((A200)+1)/2)*(Inputs!$J$7-Inputs!$I$7))</f>
        <v/>
      </c>
      <c r="V200" s="9">
        <f>(Inputs!$I$8+(((A200)+1)/2)*(Inputs!$J$8-Inputs!$I$8))</f>
        <v/>
      </c>
      <c r="W200" s="9">
        <f>(Inputs!$I$9+(((A200)+1)/2)*(Inputs!$J$9-Inputs!$I$9))</f>
        <v/>
      </c>
      <c r="X200" s="10" t="n"/>
      <c r="Y200" s="9">
        <f>A200</f>
        <v/>
      </c>
      <c r="Z200" s="9">
        <f>(Inputs!$H$6+Inputs!$L$6*(((Inputs!$I$6+(((A200)+1)/2)*(Inputs!$J$6-Inputs!$I$6)))/Inputs!$K$6)^2)</f>
        <v/>
      </c>
      <c r="AA200" s="9">
        <f>(Inputs!$H$7+Inputs!$L$7*(((Inputs!$I$7+(((A200)+1)/2)*(Inputs!$J$7-Inputs!$I$7)))/Inputs!$K$7)^2)</f>
        <v/>
      </c>
      <c r="AB200" s="9">
        <f>(Inputs!$H$8+Inputs!$L$8*(((Inputs!$I$8+(((A200)+1)/2)*(Inputs!$J$8-Inputs!$I$8)))/Inputs!$K$8)^2)</f>
        <v/>
      </c>
      <c r="AC200" s="9">
        <f>(Inputs!$H$9+Inputs!$L$9*(((Inputs!$I$9+(((A200)+1)/2)*(Inputs!$J$9-Inputs!$I$9)))/Inputs!$K$9)^2)</f>
        <v/>
      </c>
      <c r="AD200" s="10" t="n"/>
      <c r="AE200" s="9">
        <f>A200</f>
        <v/>
      </c>
      <c r="AF200" s="9">
        <f>(((SQRT((Inputs!$C$52+((Inputs!$H$6+Inputs!$L$6*(((Inputs!$I$6+(((A200)+1)/2)*(Inputs!$J$6-Inputs!$I$6)))/Inputs!$K$6)^2)))^2+Inputs!$C$52^2-2*(Inputs!$C$52+((Inputs!$H$6+Inputs!$L$6*(((Inputs!$I$6+(((A200)+1)/2)*(Inputs!$J$6-Inputs!$I$6)))/Inputs!$K$6)^2)))*Inputs!$C$52*COS(SQRT(((Inputs!$I$6+(((A200)+1)/2)*(Inputs!$J$6-Inputs!$I$6)))^2+Inputs!$C$6^2)/Inputs!$C$52)))-((Inputs!$H$6+Inputs!$L$6*(((Inputs!$I$6+(((A200)+1)/2)*(Inputs!$J$6-Inputs!$I$6)))/Inputs!$K$6)^2)))*1000/Inputs!$C$12)</f>
        <v/>
      </c>
      <c r="AG200" s="9">
        <f>(((SQRT((Inputs!$C$52+((Inputs!$H$7+Inputs!$L$7*(((Inputs!$I$7+(((A200)+1)/2)*(Inputs!$J$7-Inputs!$I$7)))/Inputs!$K$7)^2)))^2+Inputs!$C$52^2-2*(Inputs!$C$52+((Inputs!$H$7+Inputs!$L$7*(((Inputs!$I$7+(((A200)+1)/2)*(Inputs!$J$7-Inputs!$I$7)))/Inputs!$K$7)^2)))*Inputs!$C$52*COS(SQRT(((Inputs!$I$7+(((A200)+1)/2)*(Inputs!$J$7-Inputs!$I$7)))^2+Inputs!$C$6^2)/Inputs!$C$52)))-((Inputs!$H$7+Inputs!$L$7*(((Inputs!$I$7+(((A200)+1)/2)*(Inputs!$J$7-Inputs!$I$7)))/Inputs!$K$7)^2)))*1000/Inputs!$C$12)</f>
        <v/>
      </c>
      <c r="AH200" s="9">
        <f>(((SQRT((Inputs!$C$52+((Inputs!$H$8+Inputs!$L$8*(((Inputs!$I$8+(((A200)+1)/2)*(Inputs!$J$8-Inputs!$I$8)))/Inputs!$K$8)^2)))^2+Inputs!$C$52^2-2*(Inputs!$C$52+((Inputs!$H$8+Inputs!$L$8*(((Inputs!$I$8+(((A200)+1)/2)*(Inputs!$J$8-Inputs!$I$8)))/Inputs!$K$8)^2)))*Inputs!$C$52*COS(SQRT(((Inputs!$I$8+(((A200)+1)/2)*(Inputs!$J$8-Inputs!$I$8)))^2+Inputs!$C$6^2)/Inputs!$C$52)))-((Inputs!$H$8+Inputs!$L$8*(((Inputs!$I$8+(((A200)+1)/2)*(Inputs!$J$8-Inputs!$I$8)))/Inputs!$K$8)^2)))*1000/Inputs!$C$12)</f>
        <v/>
      </c>
      <c r="AI200" s="9">
        <f>(((SQRT((Inputs!$C$52+((Inputs!$H$9+Inputs!$L$9*(((Inputs!$I$9+(((A200)+1)/2)*(Inputs!$J$9-Inputs!$I$9)))/Inputs!$K$9)^2)))^2+Inputs!$C$52^2-2*(Inputs!$C$52+((Inputs!$H$9+Inputs!$L$9*(((Inputs!$I$9+(((A200)+1)/2)*(Inputs!$J$9-Inputs!$I$9)))/Inputs!$K$9)^2)))*Inputs!$C$52*COS(SQRT(((Inputs!$I$9+(((A200)+1)/2)*(Inputs!$J$9-Inputs!$I$9)))^2+Inputs!$C$6^2)/Inputs!$C$52)))-((Inputs!$H$9+Inputs!$L$9*(((Inputs!$I$9+(((A200)+1)/2)*(Inputs!$J$9-Inputs!$I$9)))/Inputs!$K$9)^2)))*1000/Inputs!$C$12)</f>
        <v/>
      </c>
      <c r="AJ200" s="10" t="n"/>
      <c r="AK200" s="9">
        <f>A200</f>
        <v/>
      </c>
      <c r="AL200" s="9">
        <f>(-2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f>
        <v/>
      </c>
      <c r="AM200" s="9">
        <f>(-2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f>
        <v/>
      </c>
      <c r="AN200" s="9">
        <f>(-2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f>
        <v/>
      </c>
      <c r="AO200" s="9">
        <f>(-2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f>
        <v/>
      </c>
      <c r="AP200" s="10" t="n"/>
      <c r="AQ200" s="9">
        <f>A200</f>
        <v/>
      </c>
      <c r="AR200" s="9">
        <f>0</f>
        <v/>
      </c>
      <c r="AS200" s="9">
        <f>IF(OR(Inputs!$F$6=TRUE,Inputs!$F$6="TRUE",Inputs!$F$6=1),IF(OR(Inputs!$C$27=TRUE,Inputs!$C$27="TRUE",Inputs!$C$27=1),1,0)*(Inputs!$C$51*(115*EXP(-(((Inputs!$C$6)-25)^2)/(4.5^2))+70*EXP(-(((Inputs!$C$6)+38)^2)/(7^2))*(0.55+0.45*SIN(2*PI()*((Inputs!$I$6+(((A200)+1)/2)*(Inputs!$J$6-Inputs!$I$6)))/45))+24*SIN(2*PI()*(Inputs!$C$6)/9+((Inputs!$I$6+(((A200)+1)/2)*(Inputs!$J$6-Inputs!$I$6)))/18)*EXP(-(((Inputs!$C$6)+5)^2)/(22^2))+18*SIN(2*PI()*((Inputs!$I$6+(((A200)+1)/2)*(Inputs!$J$6-Inputs!$I$6)))/70))+Inputs!$C$28*EXP(-((((Inputs!$I$6+(((A200)+1)/2)*(Inputs!$J$6-Inputs!$I$6)))-Inputs!$C$29)^2)/(2*Inputs!$C$31^2))*EXP(-(((Inputs!$C$6)-Inputs!$C$30)^2)/(2*Inputs!$C$32^2))+-Inputs!$C$33*EXP(-((((((Inputs!$I$6+(((A200)+1)/2)*(Inputs!$J$6-Inputs!$I$6)))-Inputs!$C$34)^2)+(((Inputs!$C$6)-Inputs!$C$35)^2))/(2*Inputs!$C$36^2)))+Inputs!$C$37*(0.55*SIN(2*PI()*((Inputs!$I$6+(((A200)+1)/2)*(Inputs!$J$6-Inputs!$I$6)))/Inputs!$C$39)+0.35*COS(2*PI()*(Inputs!$C$6)/Inputs!$C$40)+0.2*SIN(2*PI()*(((Inputs!$I$6+(((A200)+1)/2)*(Inputs!$J$6-Inputs!$I$6)))+(Inputs!$C$6))/(0.5*(Inputs!$C$39+Inputs!$C$40))))+Inputs!$C$38*SIN(2*PI()*((Inputs!$I$6+(((A200)+1)/2)*(Inputs!$J$6-Inputs!$I$6)))/Inputs!$C$39)*SIN(2*PI()*(Inputs!$C$6)/Inputs!$C$40)+-Inputs!$C$41*EXP(-(((Inputs!$C$6)-Inputs!$C$43)^2)/(2*Inputs!$C$44^2))*EXP(-((((Inputs!$I$6+(((A200)+1)/2)*(Inputs!$J$6-Inputs!$I$6)))-Inputs!$C$42)^2)/(2*Inputs!$C$45^2))+Inputs!$C$48*(0.7*(0.45*SIN(2*PI()*((((Inputs!$I$6+(((A200)+1)/2)*(Inputs!$J$6-Inputs!$I$6)))/Inputs!$C$49)+Inputs!$C$47*0.137))+0.35*COS(2*PI()*(((Inputs!$C$6)/Inputs!$C$50)+Inputs!$C$47*0.173))+0.2*SIN(2*PI()*((((Inputs!$I$6+(((A200)+1)/2)*(Inputs!$J$6-Inputs!$I$6)))+(Inputs!$C$6))/(0.5*(Inputs!$C$49+Inputs!$C$50))+Inputs!$C$47*0.097)))+0.3*(2*((SIN((((Inputs!$I$6+(((A200)+1)/2)*(Inputs!$J$6-Inputs!$I$6)))*12.9898+(Inputs!$C$6)*78.233+Inputs!$C$47*37.719))*43758.5453)-INT((SIN((((Inputs!$I$6+(((A200)+1)/2)*(Inputs!$J$6-Inputs!$I$6)))*12.9898+(Inputs!$C$6)*78.233+Inputs!$C$47*37.719))*43758.5453)))-1))),NA())</f>
        <v/>
      </c>
      <c r="AT200" s="9">
        <f>IF(OR(Inputs!$F$7=TRUE,Inputs!$F$7="TRUE",Inputs!$F$7=1),IF(OR(Inputs!$C$27=TRUE,Inputs!$C$27="TRUE",Inputs!$C$27=1),1,0)*(Inputs!$C$51*(115*EXP(-(((Inputs!$C$6)-25)^2)/(4.5^2))+70*EXP(-(((Inputs!$C$6)+38)^2)/(7^2))*(0.55+0.45*SIN(2*PI()*((Inputs!$I$7+(((A200)+1)/2)*(Inputs!$J$7-Inputs!$I$7)))/45))+24*SIN(2*PI()*(Inputs!$C$6)/9+((Inputs!$I$7+(((A200)+1)/2)*(Inputs!$J$7-Inputs!$I$7)))/18)*EXP(-(((Inputs!$C$6)+5)^2)/(22^2))+18*SIN(2*PI()*((Inputs!$I$7+(((A200)+1)/2)*(Inputs!$J$7-Inputs!$I$7)))/70))+Inputs!$C$28*EXP(-((((Inputs!$I$7+(((A200)+1)/2)*(Inputs!$J$7-Inputs!$I$7)))-Inputs!$C$29)^2)/(2*Inputs!$C$31^2))*EXP(-(((Inputs!$C$6)-Inputs!$C$30)^2)/(2*Inputs!$C$32^2))+-Inputs!$C$33*EXP(-((((((Inputs!$I$7+(((A200)+1)/2)*(Inputs!$J$7-Inputs!$I$7)))-Inputs!$C$34)^2)+(((Inputs!$C$6)-Inputs!$C$35)^2))/(2*Inputs!$C$36^2)))+Inputs!$C$37*(0.55*SIN(2*PI()*((Inputs!$I$7+(((A200)+1)/2)*(Inputs!$J$7-Inputs!$I$7)))/Inputs!$C$39)+0.35*COS(2*PI()*(Inputs!$C$6)/Inputs!$C$40)+0.2*SIN(2*PI()*(((Inputs!$I$7+(((A200)+1)/2)*(Inputs!$J$7-Inputs!$I$7)))+(Inputs!$C$6))/(0.5*(Inputs!$C$39+Inputs!$C$40))))+Inputs!$C$38*SIN(2*PI()*((Inputs!$I$7+(((A200)+1)/2)*(Inputs!$J$7-Inputs!$I$7)))/Inputs!$C$39)*SIN(2*PI()*(Inputs!$C$6)/Inputs!$C$40)+-Inputs!$C$41*EXP(-(((Inputs!$C$6)-Inputs!$C$43)^2)/(2*Inputs!$C$44^2))*EXP(-((((Inputs!$I$7+(((A200)+1)/2)*(Inputs!$J$7-Inputs!$I$7)))-Inputs!$C$42)^2)/(2*Inputs!$C$45^2))+Inputs!$C$48*(0.7*(0.45*SIN(2*PI()*((((Inputs!$I$7+(((A200)+1)/2)*(Inputs!$J$7-Inputs!$I$7)))/Inputs!$C$49)+Inputs!$C$47*0.137))+0.35*COS(2*PI()*(((Inputs!$C$6)/Inputs!$C$50)+Inputs!$C$47*0.173))+0.2*SIN(2*PI()*((((Inputs!$I$7+(((A200)+1)/2)*(Inputs!$J$7-Inputs!$I$7)))+(Inputs!$C$6))/(0.5*(Inputs!$C$49+Inputs!$C$50))+Inputs!$C$47*0.097)))+0.3*(2*((SIN((((Inputs!$I$7+(((A200)+1)/2)*(Inputs!$J$7-Inputs!$I$7)))*12.9898+(Inputs!$C$6)*78.233+Inputs!$C$47*37.719))*43758.5453)-INT((SIN((((Inputs!$I$7+(((A200)+1)/2)*(Inputs!$J$7-Inputs!$I$7)))*12.9898+(Inputs!$C$6)*78.233+Inputs!$C$47*37.719))*43758.5453)))-1))),NA())</f>
        <v/>
      </c>
      <c r="AU200" s="9">
        <f>IF(OR(Inputs!$F$8=TRUE,Inputs!$F$8="TRUE",Inputs!$F$8=1),IF(OR(Inputs!$C$27=TRUE,Inputs!$C$27="TRUE",Inputs!$C$27=1),1,0)*(Inputs!$C$51*(115*EXP(-(((Inputs!$C$6)-25)^2)/(4.5^2))+70*EXP(-(((Inputs!$C$6)+38)^2)/(7^2))*(0.55+0.45*SIN(2*PI()*((Inputs!$I$8+(((A200)+1)/2)*(Inputs!$J$8-Inputs!$I$8)))/45))+24*SIN(2*PI()*(Inputs!$C$6)/9+((Inputs!$I$8+(((A200)+1)/2)*(Inputs!$J$8-Inputs!$I$8)))/18)*EXP(-(((Inputs!$C$6)+5)^2)/(22^2))+18*SIN(2*PI()*((Inputs!$I$8+(((A200)+1)/2)*(Inputs!$J$8-Inputs!$I$8)))/70))+Inputs!$C$28*EXP(-((((Inputs!$I$8+(((A200)+1)/2)*(Inputs!$J$8-Inputs!$I$8)))-Inputs!$C$29)^2)/(2*Inputs!$C$31^2))*EXP(-(((Inputs!$C$6)-Inputs!$C$30)^2)/(2*Inputs!$C$32^2))+-Inputs!$C$33*EXP(-((((((Inputs!$I$8+(((A200)+1)/2)*(Inputs!$J$8-Inputs!$I$8)))-Inputs!$C$34)^2)+(((Inputs!$C$6)-Inputs!$C$35)^2))/(2*Inputs!$C$36^2)))+Inputs!$C$37*(0.55*SIN(2*PI()*((Inputs!$I$8+(((A200)+1)/2)*(Inputs!$J$8-Inputs!$I$8)))/Inputs!$C$39)+0.35*COS(2*PI()*(Inputs!$C$6)/Inputs!$C$40)+0.2*SIN(2*PI()*(((Inputs!$I$8+(((A200)+1)/2)*(Inputs!$J$8-Inputs!$I$8)))+(Inputs!$C$6))/(0.5*(Inputs!$C$39+Inputs!$C$40))))+Inputs!$C$38*SIN(2*PI()*((Inputs!$I$8+(((A200)+1)/2)*(Inputs!$J$8-Inputs!$I$8)))/Inputs!$C$39)*SIN(2*PI()*(Inputs!$C$6)/Inputs!$C$40)+-Inputs!$C$41*EXP(-(((Inputs!$C$6)-Inputs!$C$43)^2)/(2*Inputs!$C$44^2))*EXP(-((((Inputs!$I$8+(((A200)+1)/2)*(Inputs!$J$8-Inputs!$I$8)))-Inputs!$C$42)^2)/(2*Inputs!$C$45^2))+Inputs!$C$48*(0.7*(0.45*SIN(2*PI()*((((Inputs!$I$8+(((A200)+1)/2)*(Inputs!$J$8-Inputs!$I$8)))/Inputs!$C$49)+Inputs!$C$47*0.137))+0.35*COS(2*PI()*(((Inputs!$C$6)/Inputs!$C$50)+Inputs!$C$47*0.173))+0.2*SIN(2*PI()*((((Inputs!$I$8+(((A200)+1)/2)*(Inputs!$J$8-Inputs!$I$8)))+(Inputs!$C$6))/(0.5*(Inputs!$C$49+Inputs!$C$50))+Inputs!$C$47*0.097)))+0.3*(2*((SIN((((Inputs!$I$8+(((A200)+1)/2)*(Inputs!$J$8-Inputs!$I$8)))*12.9898+(Inputs!$C$6)*78.233+Inputs!$C$47*37.719))*43758.5453)-INT((SIN((((Inputs!$I$8+(((A200)+1)/2)*(Inputs!$J$8-Inputs!$I$8)))*12.9898+(Inputs!$C$6)*78.233+Inputs!$C$47*37.719))*43758.5453)))-1))),NA())</f>
        <v/>
      </c>
      <c r="AV200" s="9">
        <f>IF(OR(Inputs!$F$9=TRUE,Inputs!$F$9="TRUE",Inputs!$F$9=1),IF(OR(Inputs!$C$27=TRUE,Inputs!$C$27="TRUE",Inputs!$C$27=1),1,0)*(Inputs!$C$51*(115*EXP(-(((Inputs!$C$6)-25)^2)/(4.5^2))+70*EXP(-(((Inputs!$C$6)+38)^2)/(7^2))*(0.55+0.45*SIN(2*PI()*((Inputs!$I$9+(((A200)+1)/2)*(Inputs!$J$9-Inputs!$I$9)))/45))+24*SIN(2*PI()*(Inputs!$C$6)/9+((Inputs!$I$9+(((A200)+1)/2)*(Inputs!$J$9-Inputs!$I$9)))/18)*EXP(-(((Inputs!$C$6)+5)^2)/(22^2))+18*SIN(2*PI()*((Inputs!$I$9+(((A200)+1)/2)*(Inputs!$J$9-Inputs!$I$9)))/70))+Inputs!$C$28*EXP(-((((Inputs!$I$9+(((A200)+1)/2)*(Inputs!$J$9-Inputs!$I$9)))-Inputs!$C$29)^2)/(2*Inputs!$C$31^2))*EXP(-(((Inputs!$C$6)-Inputs!$C$30)^2)/(2*Inputs!$C$32^2))+-Inputs!$C$33*EXP(-((((((Inputs!$I$9+(((A200)+1)/2)*(Inputs!$J$9-Inputs!$I$9)))-Inputs!$C$34)^2)+(((Inputs!$C$6)-Inputs!$C$35)^2))/(2*Inputs!$C$36^2)))+Inputs!$C$37*(0.55*SIN(2*PI()*((Inputs!$I$9+(((A200)+1)/2)*(Inputs!$J$9-Inputs!$I$9)))/Inputs!$C$39)+0.35*COS(2*PI()*(Inputs!$C$6)/Inputs!$C$40)+0.2*SIN(2*PI()*(((Inputs!$I$9+(((A200)+1)/2)*(Inputs!$J$9-Inputs!$I$9)))+(Inputs!$C$6))/(0.5*(Inputs!$C$39+Inputs!$C$40))))+Inputs!$C$38*SIN(2*PI()*((Inputs!$I$9+(((A200)+1)/2)*(Inputs!$J$9-Inputs!$I$9)))/Inputs!$C$39)*SIN(2*PI()*(Inputs!$C$6)/Inputs!$C$40)+-Inputs!$C$41*EXP(-(((Inputs!$C$6)-Inputs!$C$43)^2)/(2*Inputs!$C$44^2))*EXP(-((((Inputs!$I$9+(((A200)+1)/2)*(Inputs!$J$9-Inputs!$I$9)))-Inputs!$C$42)^2)/(2*Inputs!$C$45^2))+Inputs!$C$48*(0.7*(0.45*SIN(2*PI()*((((Inputs!$I$9+(((A200)+1)/2)*(Inputs!$J$9-Inputs!$I$9)))/Inputs!$C$49)+Inputs!$C$47*0.137))+0.35*COS(2*PI()*(((Inputs!$C$6)/Inputs!$C$50)+Inputs!$C$47*0.173))+0.2*SIN(2*PI()*((((Inputs!$I$9+(((A200)+1)/2)*(Inputs!$J$9-Inputs!$I$9)))+(Inputs!$C$6))/(0.5*(Inputs!$C$49+Inputs!$C$50))+Inputs!$C$47*0.097)))+0.3*(2*((SIN((((Inputs!$I$9+(((A200)+1)/2)*(Inputs!$J$9-Inputs!$I$9)))*12.9898+(Inputs!$C$6)*78.233+Inputs!$C$47*37.719))*43758.5453)-INT((SIN((((Inputs!$I$9+(((A200)+1)/2)*(Inputs!$J$9-Inputs!$I$9)))*12.9898+(Inputs!$C$6)*78.233+Inputs!$C$47*37.719))*43758.5453)))-1))),NA())</f>
        <v/>
      </c>
      <c r="AW200" s="10" t="n"/>
      <c r="AX200" s="9">
        <f>A200</f>
        <v/>
      </c>
      <c r="AY200" s="9">
        <f>0</f>
        <v/>
      </c>
      <c r="AZ200" s="9">
        <f>IF(OR(Inputs!$F$6=TRUE,Inputs!$F$6="TRUE",Inputs!$F$6=1),(Inputs!$H$6+Inputs!$L$6*(((Inputs!$I$6+(((A200)+1)/2)*(Inputs!$J$6-Inputs!$I$6)))/Inputs!$K$6)^2),NA())</f>
        <v/>
      </c>
      <c r="BA200" s="9">
        <f>IF(OR(Inputs!$F$7=TRUE,Inputs!$F$7="TRUE",Inputs!$F$7=1),(Inputs!$H$7+Inputs!$L$7*(((Inputs!$I$7+(((A200)+1)/2)*(Inputs!$J$7-Inputs!$I$7)))/Inputs!$K$7)^2),NA())</f>
        <v/>
      </c>
      <c r="BB200" s="9">
        <f>IF(OR(Inputs!$F$8=TRUE,Inputs!$F$8="TRUE",Inputs!$F$8=1),(Inputs!$H$8+Inputs!$L$8*(((Inputs!$I$8+(((A200)+1)/2)*(Inputs!$J$8-Inputs!$I$8)))/Inputs!$K$8)^2),NA())</f>
        <v/>
      </c>
      <c r="BC200" s="9">
        <f>IF(OR(Inputs!$F$9=TRUE,Inputs!$F$9="TRUE",Inputs!$F$9=1),(Inputs!$H$9+Inputs!$L$9*(((Inputs!$I$9+(((A200)+1)/2)*(Inputs!$J$9-Inputs!$I$9)))/Inputs!$K$9)^2),NA())</f>
        <v/>
      </c>
      <c r="BD200" s="10" t="n"/>
      <c r="BE200" s="9">
        <f>A200</f>
        <v/>
      </c>
      <c r="BF200" s="9">
        <f>0</f>
        <v/>
      </c>
      <c r="BG200" s="9">
        <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f>
        <v/>
      </c>
      <c r="BH200" s="9">
        <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f>
        <v/>
      </c>
      <c r="BI200" s="9">
        <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f>
        <v/>
      </c>
      <c r="BJ200" s="9">
        <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f>
        <v/>
      </c>
    </row>
    <row r="201">
      <c r="A201" s="9">
        <f>ROUND(-1+199*2/240,3)</f>
        <v/>
      </c>
      <c r="B201" s="9">
        <f>IF(OR(Inputs!$F$6=TRUE,Inputs!$F$6="TRUE",Inputs!$F$6=1),(Inputs!$H$6+Inputs!$L$6*(((Inputs!$I$6+(((A201)+1)/2)*(Inputs!$J$6-Inputs!$I$6)))/Inputs!$K$6)^2),NA())</f>
        <v/>
      </c>
      <c r="C201" s="9">
        <f>IF(OR(Inputs!$F$7=TRUE,Inputs!$F$7="TRUE",Inputs!$F$7=1),(Inputs!$H$7+Inputs!$L$7*(((Inputs!$I$7+(((A201)+1)/2)*(Inputs!$J$7-Inputs!$I$7)))/Inputs!$K$7)^2),NA())</f>
        <v/>
      </c>
      <c r="D201" s="9">
        <f>IF(OR(Inputs!$F$8=TRUE,Inputs!$F$8="TRUE",Inputs!$F$8=1),(Inputs!$H$8+Inputs!$L$8*(((Inputs!$I$8+(((A201)+1)/2)*(Inputs!$J$8-Inputs!$I$8)))/Inputs!$K$8)^2),NA())</f>
        <v/>
      </c>
      <c r="E201" s="9">
        <f>IF(OR(Inputs!$F$9=TRUE,Inputs!$F$9="TRUE",Inputs!$F$9=1),(Inputs!$H$9+Inputs!$L$9*(((Inputs!$I$9+(((A201)+1)/2)*(Inputs!$J$9-Inputs!$I$9)))/Inputs!$K$9)^2),NA())</f>
        <v/>
      </c>
      <c r="F201" s="10" t="n"/>
      <c r="G201" s="9">
        <f>A201</f>
        <v/>
      </c>
      <c r="H201" s="9">
        <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f>
        <v/>
      </c>
      <c r="I201" s="9">
        <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f>
        <v/>
      </c>
      <c r="J201" s="9">
        <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f>
        <v/>
      </c>
      <c r="K201" s="9">
        <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f>
        <v/>
      </c>
      <c r="L201" s="10" t="n"/>
      <c r="M201" s="9">
        <f>A201</f>
        <v/>
      </c>
      <c r="N201" s="9">
        <f>IF(OR(Inputs!$F$6=TRUE,Inputs!$F$6="TRUE",Inputs!$F$6=1),(-2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NA())</f>
        <v/>
      </c>
      <c r="O201" s="9">
        <f>IF(OR(Inputs!$F$7=TRUE,Inputs!$F$7="TRUE",Inputs!$F$7=1),(-2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NA())</f>
        <v/>
      </c>
      <c r="P201" s="9">
        <f>IF(OR(Inputs!$F$8=TRUE,Inputs!$F$8="TRUE",Inputs!$F$8=1),(-2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NA())</f>
        <v/>
      </c>
      <c r="Q201" s="9">
        <f>IF(OR(Inputs!$F$9=TRUE,Inputs!$F$9="TRUE",Inputs!$F$9=1),(-2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NA())</f>
        <v/>
      </c>
      <c r="R201" s="10" t="n"/>
      <c r="S201" s="9">
        <f>A201</f>
        <v/>
      </c>
      <c r="T201" s="9">
        <f>(Inputs!$I$6+(((A201)+1)/2)*(Inputs!$J$6-Inputs!$I$6))</f>
        <v/>
      </c>
      <c r="U201" s="9">
        <f>(Inputs!$I$7+(((A201)+1)/2)*(Inputs!$J$7-Inputs!$I$7))</f>
        <v/>
      </c>
      <c r="V201" s="9">
        <f>(Inputs!$I$8+(((A201)+1)/2)*(Inputs!$J$8-Inputs!$I$8))</f>
        <v/>
      </c>
      <c r="W201" s="9">
        <f>(Inputs!$I$9+(((A201)+1)/2)*(Inputs!$J$9-Inputs!$I$9))</f>
        <v/>
      </c>
      <c r="X201" s="10" t="n"/>
      <c r="Y201" s="9">
        <f>A201</f>
        <v/>
      </c>
      <c r="Z201" s="9">
        <f>(Inputs!$H$6+Inputs!$L$6*(((Inputs!$I$6+(((A201)+1)/2)*(Inputs!$J$6-Inputs!$I$6)))/Inputs!$K$6)^2)</f>
        <v/>
      </c>
      <c r="AA201" s="9">
        <f>(Inputs!$H$7+Inputs!$L$7*(((Inputs!$I$7+(((A201)+1)/2)*(Inputs!$J$7-Inputs!$I$7)))/Inputs!$K$7)^2)</f>
        <v/>
      </c>
      <c r="AB201" s="9">
        <f>(Inputs!$H$8+Inputs!$L$8*(((Inputs!$I$8+(((A201)+1)/2)*(Inputs!$J$8-Inputs!$I$8)))/Inputs!$K$8)^2)</f>
        <v/>
      </c>
      <c r="AC201" s="9">
        <f>(Inputs!$H$9+Inputs!$L$9*(((Inputs!$I$9+(((A201)+1)/2)*(Inputs!$J$9-Inputs!$I$9)))/Inputs!$K$9)^2)</f>
        <v/>
      </c>
      <c r="AD201" s="10" t="n"/>
      <c r="AE201" s="9">
        <f>A201</f>
        <v/>
      </c>
      <c r="AF201" s="9">
        <f>(((SQRT((Inputs!$C$52+((Inputs!$H$6+Inputs!$L$6*(((Inputs!$I$6+(((A201)+1)/2)*(Inputs!$J$6-Inputs!$I$6)))/Inputs!$K$6)^2)))^2+Inputs!$C$52^2-2*(Inputs!$C$52+((Inputs!$H$6+Inputs!$L$6*(((Inputs!$I$6+(((A201)+1)/2)*(Inputs!$J$6-Inputs!$I$6)))/Inputs!$K$6)^2)))*Inputs!$C$52*COS(SQRT(((Inputs!$I$6+(((A201)+1)/2)*(Inputs!$J$6-Inputs!$I$6)))^2+Inputs!$C$6^2)/Inputs!$C$52)))-((Inputs!$H$6+Inputs!$L$6*(((Inputs!$I$6+(((A201)+1)/2)*(Inputs!$J$6-Inputs!$I$6)))/Inputs!$K$6)^2)))*1000/Inputs!$C$12)</f>
        <v/>
      </c>
      <c r="AG201" s="9">
        <f>(((SQRT((Inputs!$C$52+((Inputs!$H$7+Inputs!$L$7*(((Inputs!$I$7+(((A201)+1)/2)*(Inputs!$J$7-Inputs!$I$7)))/Inputs!$K$7)^2)))^2+Inputs!$C$52^2-2*(Inputs!$C$52+((Inputs!$H$7+Inputs!$L$7*(((Inputs!$I$7+(((A201)+1)/2)*(Inputs!$J$7-Inputs!$I$7)))/Inputs!$K$7)^2)))*Inputs!$C$52*COS(SQRT(((Inputs!$I$7+(((A201)+1)/2)*(Inputs!$J$7-Inputs!$I$7)))^2+Inputs!$C$6^2)/Inputs!$C$52)))-((Inputs!$H$7+Inputs!$L$7*(((Inputs!$I$7+(((A201)+1)/2)*(Inputs!$J$7-Inputs!$I$7)))/Inputs!$K$7)^2)))*1000/Inputs!$C$12)</f>
        <v/>
      </c>
      <c r="AH201" s="9">
        <f>(((SQRT((Inputs!$C$52+((Inputs!$H$8+Inputs!$L$8*(((Inputs!$I$8+(((A201)+1)/2)*(Inputs!$J$8-Inputs!$I$8)))/Inputs!$K$8)^2)))^2+Inputs!$C$52^2-2*(Inputs!$C$52+((Inputs!$H$8+Inputs!$L$8*(((Inputs!$I$8+(((A201)+1)/2)*(Inputs!$J$8-Inputs!$I$8)))/Inputs!$K$8)^2)))*Inputs!$C$52*COS(SQRT(((Inputs!$I$8+(((A201)+1)/2)*(Inputs!$J$8-Inputs!$I$8)))^2+Inputs!$C$6^2)/Inputs!$C$52)))-((Inputs!$H$8+Inputs!$L$8*(((Inputs!$I$8+(((A201)+1)/2)*(Inputs!$J$8-Inputs!$I$8)))/Inputs!$K$8)^2)))*1000/Inputs!$C$12)</f>
        <v/>
      </c>
      <c r="AI201" s="9">
        <f>(((SQRT((Inputs!$C$52+((Inputs!$H$9+Inputs!$L$9*(((Inputs!$I$9+(((A201)+1)/2)*(Inputs!$J$9-Inputs!$I$9)))/Inputs!$K$9)^2)))^2+Inputs!$C$52^2-2*(Inputs!$C$52+((Inputs!$H$9+Inputs!$L$9*(((Inputs!$I$9+(((A201)+1)/2)*(Inputs!$J$9-Inputs!$I$9)))/Inputs!$K$9)^2)))*Inputs!$C$52*COS(SQRT(((Inputs!$I$9+(((A201)+1)/2)*(Inputs!$J$9-Inputs!$I$9)))^2+Inputs!$C$6^2)/Inputs!$C$52)))-((Inputs!$H$9+Inputs!$L$9*(((Inputs!$I$9+(((A201)+1)/2)*(Inputs!$J$9-Inputs!$I$9)))/Inputs!$K$9)^2)))*1000/Inputs!$C$12)</f>
        <v/>
      </c>
      <c r="AJ201" s="10" t="n"/>
      <c r="AK201" s="9">
        <f>A201</f>
        <v/>
      </c>
      <c r="AL201" s="9">
        <f>(-2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f>
        <v/>
      </c>
      <c r="AM201" s="9">
        <f>(-2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f>
        <v/>
      </c>
      <c r="AN201" s="9">
        <f>(-2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f>
        <v/>
      </c>
      <c r="AO201" s="9">
        <f>(-2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f>
        <v/>
      </c>
      <c r="AP201" s="10" t="n"/>
      <c r="AQ201" s="9">
        <f>A201</f>
        <v/>
      </c>
      <c r="AR201" s="9">
        <f>0</f>
        <v/>
      </c>
      <c r="AS201" s="9">
        <f>IF(OR(Inputs!$F$6=TRUE,Inputs!$F$6="TRUE",Inputs!$F$6=1),IF(OR(Inputs!$C$27=TRUE,Inputs!$C$27="TRUE",Inputs!$C$27=1),1,0)*(Inputs!$C$51*(115*EXP(-(((Inputs!$C$6)-25)^2)/(4.5^2))+70*EXP(-(((Inputs!$C$6)+38)^2)/(7^2))*(0.55+0.45*SIN(2*PI()*((Inputs!$I$6+(((A201)+1)/2)*(Inputs!$J$6-Inputs!$I$6)))/45))+24*SIN(2*PI()*(Inputs!$C$6)/9+((Inputs!$I$6+(((A201)+1)/2)*(Inputs!$J$6-Inputs!$I$6)))/18)*EXP(-(((Inputs!$C$6)+5)^2)/(22^2))+18*SIN(2*PI()*((Inputs!$I$6+(((A201)+1)/2)*(Inputs!$J$6-Inputs!$I$6)))/70))+Inputs!$C$28*EXP(-((((Inputs!$I$6+(((A201)+1)/2)*(Inputs!$J$6-Inputs!$I$6)))-Inputs!$C$29)^2)/(2*Inputs!$C$31^2))*EXP(-(((Inputs!$C$6)-Inputs!$C$30)^2)/(2*Inputs!$C$32^2))+-Inputs!$C$33*EXP(-((((((Inputs!$I$6+(((A201)+1)/2)*(Inputs!$J$6-Inputs!$I$6)))-Inputs!$C$34)^2)+(((Inputs!$C$6)-Inputs!$C$35)^2))/(2*Inputs!$C$36^2)))+Inputs!$C$37*(0.55*SIN(2*PI()*((Inputs!$I$6+(((A201)+1)/2)*(Inputs!$J$6-Inputs!$I$6)))/Inputs!$C$39)+0.35*COS(2*PI()*(Inputs!$C$6)/Inputs!$C$40)+0.2*SIN(2*PI()*(((Inputs!$I$6+(((A201)+1)/2)*(Inputs!$J$6-Inputs!$I$6)))+(Inputs!$C$6))/(0.5*(Inputs!$C$39+Inputs!$C$40))))+Inputs!$C$38*SIN(2*PI()*((Inputs!$I$6+(((A201)+1)/2)*(Inputs!$J$6-Inputs!$I$6)))/Inputs!$C$39)*SIN(2*PI()*(Inputs!$C$6)/Inputs!$C$40)+-Inputs!$C$41*EXP(-(((Inputs!$C$6)-Inputs!$C$43)^2)/(2*Inputs!$C$44^2))*EXP(-((((Inputs!$I$6+(((A201)+1)/2)*(Inputs!$J$6-Inputs!$I$6)))-Inputs!$C$42)^2)/(2*Inputs!$C$45^2))+Inputs!$C$48*(0.7*(0.45*SIN(2*PI()*((((Inputs!$I$6+(((A201)+1)/2)*(Inputs!$J$6-Inputs!$I$6)))/Inputs!$C$49)+Inputs!$C$47*0.137))+0.35*COS(2*PI()*(((Inputs!$C$6)/Inputs!$C$50)+Inputs!$C$47*0.173))+0.2*SIN(2*PI()*((((Inputs!$I$6+(((A201)+1)/2)*(Inputs!$J$6-Inputs!$I$6)))+(Inputs!$C$6))/(0.5*(Inputs!$C$49+Inputs!$C$50))+Inputs!$C$47*0.097)))+0.3*(2*((SIN((((Inputs!$I$6+(((A201)+1)/2)*(Inputs!$J$6-Inputs!$I$6)))*12.9898+(Inputs!$C$6)*78.233+Inputs!$C$47*37.719))*43758.5453)-INT((SIN((((Inputs!$I$6+(((A201)+1)/2)*(Inputs!$J$6-Inputs!$I$6)))*12.9898+(Inputs!$C$6)*78.233+Inputs!$C$47*37.719))*43758.5453)))-1))),NA())</f>
        <v/>
      </c>
      <c r="AT201" s="9">
        <f>IF(OR(Inputs!$F$7=TRUE,Inputs!$F$7="TRUE",Inputs!$F$7=1),IF(OR(Inputs!$C$27=TRUE,Inputs!$C$27="TRUE",Inputs!$C$27=1),1,0)*(Inputs!$C$51*(115*EXP(-(((Inputs!$C$6)-25)^2)/(4.5^2))+70*EXP(-(((Inputs!$C$6)+38)^2)/(7^2))*(0.55+0.45*SIN(2*PI()*((Inputs!$I$7+(((A201)+1)/2)*(Inputs!$J$7-Inputs!$I$7)))/45))+24*SIN(2*PI()*(Inputs!$C$6)/9+((Inputs!$I$7+(((A201)+1)/2)*(Inputs!$J$7-Inputs!$I$7)))/18)*EXP(-(((Inputs!$C$6)+5)^2)/(22^2))+18*SIN(2*PI()*((Inputs!$I$7+(((A201)+1)/2)*(Inputs!$J$7-Inputs!$I$7)))/70))+Inputs!$C$28*EXP(-((((Inputs!$I$7+(((A201)+1)/2)*(Inputs!$J$7-Inputs!$I$7)))-Inputs!$C$29)^2)/(2*Inputs!$C$31^2))*EXP(-(((Inputs!$C$6)-Inputs!$C$30)^2)/(2*Inputs!$C$32^2))+-Inputs!$C$33*EXP(-((((((Inputs!$I$7+(((A201)+1)/2)*(Inputs!$J$7-Inputs!$I$7)))-Inputs!$C$34)^2)+(((Inputs!$C$6)-Inputs!$C$35)^2))/(2*Inputs!$C$36^2)))+Inputs!$C$37*(0.55*SIN(2*PI()*((Inputs!$I$7+(((A201)+1)/2)*(Inputs!$J$7-Inputs!$I$7)))/Inputs!$C$39)+0.35*COS(2*PI()*(Inputs!$C$6)/Inputs!$C$40)+0.2*SIN(2*PI()*(((Inputs!$I$7+(((A201)+1)/2)*(Inputs!$J$7-Inputs!$I$7)))+(Inputs!$C$6))/(0.5*(Inputs!$C$39+Inputs!$C$40))))+Inputs!$C$38*SIN(2*PI()*((Inputs!$I$7+(((A201)+1)/2)*(Inputs!$J$7-Inputs!$I$7)))/Inputs!$C$39)*SIN(2*PI()*(Inputs!$C$6)/Inputs!$C$40)+-Inputs!$C$41*EXP(-(((Inputs!$C$6)-Inputs!$C$43)^2)/(2*Inputs!$C$44^2))*EXP(-((((Inputs!$I$7+(((A201)+1)/2)*(Inputs!$J$7-Inputs!$I$7)))-Inputs!$C$42)^2)/(2*Inputs!$C$45^2))+Inputs!$C$48*(0.7*(0.45*SIN(2*PI()*((((Inputs!$I$7+(((A201)+1)/2)*(Inputs!$J$7-Inputs!$I$7)))/Inputs!$C$49)+Inputs!$C$47*0.137))+0.35*COS(2*PI()*(((Inputs!$C$6)/Inputs!$C$50)+Inputs!$C$47*0.173))+0.2*SIN(2*PI()*((((Inputs!$I$7+(((A201)+1)/2)*(Inputs!$J$7-Inputs!$I$7)))+(Inputs!$C$6))/(0.5*(Inputs!$C$49+Inputs!$C$50))+Inputs!$C$47*0.097)))+0.3*(2*((SIN((((Inputs!$I$7+(((A201)+1)/2)*(Inputs!$J$7-Inputs!$I$7)))*12.9898+(Inputs!$C$6)*78.233+Inputs!$C$47*37.719))*43758.5453)-INT((SIN((((Inputs!$I$7+(((A201)+1)/2)*(Inputs!$J$7-Inputs!$I$7)))*12.9898+(Inputs!$C$6)*78.233+Inputs!$C$47*37.719))*43758.5453)))-1))),NA())</f>
        <v/>
      </c>
      <c r="AU201" s="9">
        <f>IF(OR(Inputs!$F$8=TRUE,Inputs!$F$8="TRUE",Inputs!$F$8=1),IF(OR(Inputs!$C$27=TRUE,Inputs!$C$27="TRUE",Inputs!$C$27=1),1,0)*(Inputs!$C$51*(115*EXP(-(((Inputs!$C$6)-25)^2)/(4.5^2))+70*EXP(-(((Inputs!$C$6)+38)^2)/(7^2))*(0.55+0.45*SIN(2*PI()*((Inputs!$I$8+(((A201)+1)/2)*(Inputs!$J$8-Inputs!$I$8)))/45))+24*SIN(2*PI()*(Inputs!$C$6)/9+((Inputs!$I$8+(((A201)+1)/2)*(Inputs!$J$8-Inputs!$I$8)))/18)*EXP(-(((Inputs!$C$6)+5)^2)/(22^2))+18*SIN(2*PI()*((Inputs!$I$8+(((A201)+1)/2)*(Inputs!$J$8-Inputs!$I$8)))/70))+Inputs!$C$28*EXP(-((((Inputs!$I$8+(((A201)+1)/2)*(Inputs!$J$8-Inputs!$I$8)))-Inputs!$C$29)^2)/(2*Inputs!$C$31^2))*EXP(-(((Inputs!$C$6)-Inputs!$C$30)^2)/(2*Inputs!$C$32^2))+-Inputs!$C$33*EXP(-((((((Inputs!$I$8+(((A201)+1)/2)*(Inputs!$J$8-Inputs!$I$8)))-Inputs!$C$34)^2)+(((Inputs!$C$6)-Inputs!$C$35)^2))/(2*Inputs!$C$36^2)))+Inputs!$C$37*(0.55*SIN(2*PI()*((Inputs!$I$8+(((A201)+1)/2)*(Inputs!$J$8-Inputs!$I$8)))/Inputs!$C$39)+0.35*COS(2*PI()*(Inputs!$C$6)/Inputs!$C$40)+0.2*SIN(2*PI()*(((Inputs!$I$8+(((A201)+1)/2)*(Inputs!$J$8-Inputs!$I$8)))+(Inputs!$C$6))/(0.5*(Inputs!$C$39+Inputs!$C$40))))+Inputs!$C$38*SIN(2*PI()*((Inputs!$I$8+(((A201)+1)/2)*(Inputs!$J$8-Inputs!$I$8)))/Inputs!$C$39)*SIN(2*PI()*(Inputs!$C$6)/Inputs!$C$40)+-Inputs!$C$41*EXP(-(((Inputs!$C$6)-Inputs!$C$43)^2)/(2*Inputs!$C$44^2))*EXP(-((((Inputs!$I$8+(((A201)+1)/2)*(Inputs!$J$8-Inputs!$I$8)))-Inputs!$C$42)^2)/(2*Inputs!$C$45^2))+Inputs!$C$48*(0.7*(0.45*SIN(2*PI()*((((Inputs!$I$8+(((A201)+1)/2)*(Inputs!$J$8-Inputs!$I$8)))/Inputs!$C$49)+Inputs!$C$47*0.137))+0.35*COS(2*PI()*(((Inputs!$C$6)/Inputs!$C$50)+Inputs!$C$47*0.173))+0.2*SIN(2*PI()*((((Inputs!$I$8+(((A201)+1)/2)*(Inputs!$J$8-Inputs!$I$8)))+(Inputs!$C$6))/(0.5*(Inputs!$C$49+Inputs!$C$50))+Inputs!$C$47*0.097)))+0.3*(2*((SIN((((Inputs!$I$8+(((A201)+1)/2)*(Inputs!$J$8-Inputs!$I$8)))*12.9898+(Inputs!$C$6)*78.233+Inputs!$C$47*37.719))*43758.5453)-INT((SIN((((Inputs!$I$8+(((A201)+1)/2)*(Inputs!$J$8-Inputs!$I$8)))*12.9898+(Inputs!$C$6)*78.233+Inputs!$C$47*37.719))*43758.5453)))-1))),NA())</f>
        <v/>
      </c>
      <c r="AV201" s="9">
        <f>IF(OR(Inputs!$F$9=TRUE,Inputs!$F$9="TRUE",Inputs!$F$9=1),IF(OR(Inputs!$C$27=TRUE,Inputs!$C$27="TRUE",Inputs!$C$27=1),1,0)*(Inputs!$C$51*(115*EXP(-(((Inputs!$C$6)-25)^2)/(4.5^2))+70*EXP(-(((Inputs!$C$6)+38)^2)/(7^2))*(0.55+0.45*SIN(2*PI()*((Inputs!$I$9+(((A201)+1)/2)*(Inputs!$J$9-Inputs!$I$9)))/45))+24*SIN(2*PI()*(Inputs!$C$6)/9+((Inputs!$I$9+(((A201)+1)/2)*(Inputs!$J$9-Inputs!$I$9)))/18)*EXP(-(((Inputs!$C$6)+5)^2)/(22^2))+18*SIN(2*PI()*((Inputs!$I$9+(((A201)+1)/2)*(Inputs!$J$9-Inputs!$I$9)))/70))+Inputs!$C$28*EXP(-((((Inputs!$I$9+(((A201)+1)/2)*(Inputs!$J$9-Inputs!$I$9)))-Inputs!$C$29)^2)/(2*Inputs!$C$31^2))*EXP(-(((Inputs!$C$6)-Inputs!$C$30)^2)/(2*Inputs!$C$32^2))+-Inputs!$C$33*EXP(-((((((Inputs!$I$9+(((A201)+1)/2)*(Inputs!$J$9-Inputs!$I$9)))-Inputs!$C$34)^2)+(((Inputs!$C$6)-Inputs!$C$35)^2))/(2*Inputs!$C$36^2)))+Inputs!$C$37*(0.55*SIN(2*PI()*((Inputs!$I$9+(((A201)+1)/2)*(Inputs!$J$9-Inputs!$I$9)))/Inputs!$C$39)+0.35*COS(2*PI()*(Inputs!$C$6)/Inputs!$C$40)+0.2*SIN(2*PI()*(((Inputs!$I$9+(((A201)+1)/2)*(Inputs!$J$9-Inputs!$I$9)))+(Inputs!$C$6))/(0.5*(Inputs!$C$39+Inputs!$C$40))))+Inputs!$C$38*SIN(2*PI()*((Inputs!$I$9+(((A201)+1)/2)*(Inputs!$J$9-Inputs!$I$9)))/Inputs!$C$39)*SIN(2*PI()*(Inputs!$C$6)/Inputs!$C$40)+-Inputs!$C$41*EXP(-(((Inputs!$C$6)-Inputs!$C$43)^2)/(2*Inputs!$C$44^2))*EXP(-((((Inputs!$I$9+(((A201)+1)/2)*(Inputs!$J$9-Inputs!$I$9)))-Inputs!$C$42)^2)/(2*Inputs!$C$45^2))+Inputs!$C$48*(0.7*(0.45*SIN(2*PI()*((((Inputs!$I$9+(((A201)+1)/2)*(Inputs!$J$9-Inputs!$I$9)))/Inputs!$C$49)+Inputs!$C$47*0.137))+0.35*COS(2*PI()*(((Inputs!$C$6)/Inputs!$C$50)+Inputs!$C$47*0.173))+0.2*SIN(2*PI()*((((Inputs!$I$9+(((A201)+1)/2)*(Inputs!$J$9-Inputs!$I$9)))+(Inputs!$C$6))/(0.5*(Inputs!$C$49+Inputs!$C$50))+Inputs!$C$47*0.097)))+0.3*(2*((SIN((((Inputs!$I$9+(((A201)+1)/2)*(Inputs!$J$9-Inputs!$I$9)))*12.9898+(Inputs!$C$6)*78.233+Inputs!$C$47*37.719))*43758.5453)-INT((SIN((((Inputs!$I$9+(((A201)+1)/2)*(Inputs!$J$9-Inputs!$I$9)))*12.9898+(Inputs!$C$6)*78.233+Inputs!$C$47*37.719))*43758.5453)))-1))),NA())</f>
        <v/>
      </c>
      <c r="AW201" s="10" t="n"/>
      <c r="AX201" s="9">
        <f>A201</f>
        <v/>
      </c>
      <c r="AY201" s="9">
        <f>0</f>
        <v/>
      </c>
      <c r="AZ201" s="9">
        <f>IF(OR(Inputs!$F$6=TRUE,Inputs!$F$6="TRUE",Inputs!$F$6=1),(Inputs!$H$6+Inputs!$L$6*(((Inputs!$I$6+(((A201)+1)/2)*(Inputs!$J$6-Inputs!$I$6)))/Inputs!$K$6)^2),NA())</f>
        <v/>
      </c>
      <c r="BA201" s="9">
        <f>IF(OR(Inputs!$F$7=TRUE,Inputs!$F$7="TRUE",Inputs!$F$7=1),(Inputs!$H$7+Inputs!$L$7*(((Inputs!$I$7+(((A201)+1)/2)*(Inputs!$J$7-Inputs!$I$7)))/Inputs!$K$7)^2),NA())</f>
        <v/>
      </c>
      <c r="BB201" s="9">
        <f>IF(OR(Inputs!$F$8=TRUE,Inputs!$F$8="TRUE",Inputs!$F$8=1),(Inputs!$H$8+Inputs!$L$8*(((Inputs!$I$8+(((A201)+1)/2)*(Inputs!$J$8-Inputs!$I$8)))/Inputs!$K$8)^2),NA())</f>
        <v/>
      </c>
      <c r="BC201" s="9">
        <f>IF(OR(Inputs!$F$9=TRUE,Inputs!$F$9="TRUE",Inputs!$F$9=1),(Inputs!$H$9+Inputs!$L$9*(((Inputs!$I$9+(((A201)+1)/2)*(Inputs!$J$9-Inputs!$I$9)))/Inputs!$K$9)^2),NA())</f>
        <v/>
      </c>
      <c r="BD201" s="10" t="n"/>
      <c r="BE201" s="9">
        <f>A201</f>
        <v/>
      </c>
      <c r="BF201" s="9">
        <f>0</f>
        <v/>
      </c>
      <c r="BG201" s="9">
        <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f>
        <v/>
      </c>
      <c r="BH201" s="9">
        <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f>
        <v/>
      </c>
      <c r="BI201" s="9">
        <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f>
        <v/>
      </c>
      <c r="BJ201" s="9">
        <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f>
        <v/>
      </c>
    </row>
    <row r="202">
      <c r="A202" s="9">
        <f>ROUND(-1+200*2/240,3)</f>
        <v/>
      </c>
      <c r="B202" s="9">
        <f>IF(OR(Inputs!$F$6=TRUE,Inputs!$F$6="TRUE",Inputs!$F$6=1),(Inputs!$H$6+Inputs!$L$6*(((Inputs!$I$6+(((A202)+1)/2)*(Inputs!$J$6-Inputs!$I$6)))/Inputs!$K$6)^2),NA())</f>
        <v/>
      </c>
      <c r="C202" s="9">
        <f>IF(OR(Inputs!$F$7=TRUE,Inputs!$F$7="TRUE",Inputs!$F$7=1),(Inputs!$H$7+Inputs!$L$7*(((Inputs!$I$7+(((A202)+1)/2)*(Inputs!$J$7-Inputs!$I$7)))/Inputs!$K$7)^2),NA())</f>
        <v/>
      </c>
      <c r="D202" s="9">
        <f>IF(OR(Inputs!$F$8=TRUE,Inputs!$F$8="TRUE",Inputs!$F$8=1),(Inputs!$H$8+Inputs!$L$8*(((Inputs!$I$8+(((A202)+1)/2)*(Inputs!$J$8-Inputs!$I$8)))/Inputs!$K$8)^2),NA())</f>
        <v/>
      </c>
      <c r="E202" s="9">
        <f>IF(OR(Inputs!$F$9=TRUE,Inputs!$F$9="TRUE",Inputs!$F$9=1),(Inputs!$H$9+Inputs!$L$9*(((Inputs!$I$9+(((A202)+1)/2)*(Inputs!$J$9-Inputs!$I$9)))/Inputs!$K$9)^2),NA())</f>
        <v/>
      </c>
      <c r="F202" s="10" t="n"/>
      <c r="G202" s="9">
        <f>A202</f>
        <v/>
      </c>
      <c r="H202" s="9">
        <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f>
        <v/>
      </c>
      <c r="I202" s="9">
        <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f>
        <v/>
      </c>
      <c r="J202" s="9">
        <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f>
        <v/>
      </c>
      <c r="K202" s="9">
        <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f>
        <v/>
      </c>
      <c r="L202" s="10" t="n"/>
      <c r="M202" s="9">
        <f>A202</f>
        <v/>
      </c>
      <c r="N202" s="9">
        <f>IF(OR(Inputs!$F$6=TRUE,Inputs!$F$6="TRUE",Inputs!$F$6=1),(-2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NA())</f>
        <v/>
      </c>
      <c r="O202" s="9">
        <f>IF(OR(Inputs!$F$7=TRUE,Inputs!$F$7="TRUE",Inputs!$F$7=1),(-2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NA())</f>
        <v/>
      </c>
      <c r="P202" s="9">
        <f>IF(OR(Inputs!$F$8=TRUE,Inputs!$F$8="TRUE",Inputs!$F$8=1),(-2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NA())</f>
        <v/>
      </c>
      <c r="Q202" s="9">
        <f>IF(OR(Inputs!$F$9=TRUE,Inputs!$F$9="TRUE",Inputs!$F$9=1),(-2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NA())</f>
        <v/>
      </c>
      <c r="R202" s="10" t="n"/>
      <c r="S202" s="9">
        <f>A202</f>
        <v/>
      </c>
      <c r="T202" s="9">
        <f>(Inputs!$I$6+(((A202)+1)/2)*(Inputs!$J$6-Inputs!$I$6))</f>
        <v/>
      </c>
      <c r="U202" s="9">
        <f>(Inputs!$I$7+(((A202)+1)/2)*(Inputs!$J$7-Inputs!$I$7))</f>
        <v/>
      </c>
      <c r="V202" s="9">
        <f>(Inputs!$I$8+(((A202)+1)/2)*(Inputs!$J$8-Inputs!$I$8))</f>
        <v/>
      </c>
      <c r="W202" s="9">
        <f>(Inputs!$I$9+(((A202)+1)/2)*(Inputs!$J$9-Inputs!$I$9))</f>
        <v/>
      </c>
      <c r="X202" s="10" t="n"/>
      <c r="Y202" s="9">
        <f>A202</f>
        <v/>
      </c>
      <c r="Z202" s="9">
        <f>(Inputs!$H$6+Inputs!$L$6*(((Inputs!$I$6+(((A202)+1)/2)*(Inputs!$J$6-Inputs!$I$6)))/Inputs!$K$6)^2)</f>
        <v/>
      </c>
      <c r="AA202" s="9">
        <f>(Inputs!$H$7+Inputs!$L$7*(((Inputs!$I$7+(((A202)+1)/2)*(Inputs!$J$7-Inputs!$I$7)))/Inputs!$K$7)^2)</f>
        <v/>
      </c>
      <c r="AB202" s="9">
        <f>(Inputs!$H$8+Inputs!$L$8*(((Inputs!$I$8+(((A202)+1)/2)*(Inputs!$J$8-Inputs!$I$8)))/Inputs!$K$8)^2)</f>
        <v/>
      </c>
      <c r="AC202" s="9">
        <f>(Inputs!$H$9+Inputs!$L$9*(((Inputs!$I$9+(((A202)+1)/2)*(Inputs!$J$9-Inputs!$I$9)))/Inputs!$K$9)^2)</f>
        <v/>
      </c>
      <c r="AD202" s="10" t="n"/>
      <c r="AE202" s="9">
        <f>A202</f>
        <v/>
      </c>
      <c r="AF202" s="9">
        <f>(((SQRT((Inputs!$C$52+((Inputs!$H$6+Inputs!$L$6*(((Inputs!$I$6+(((A202)+1)/2)*(Inputs!$J$6-Inputs!$I$6)))/Inputs!$K$6)^2)))^2+Inputs!$C$52^2-2*(Inputs!$C$52+((Inputs!$H$6+Inputs!$L$6*(((Inputs!$I$6+(((A202)+1)/2)*(Inputs!$J$6-Inputs!$I$6)))/Inputs!$K$6)^2)))*Inputs!$C$52*COS(SQRT(((Inputs!$I$6+(((A202)+1)/2)*(Inputs!$J$6-Inputs!$I$6)))^2+Inputs!$C$6^2)/Inputs!$C$52)))-((Inputs!$H$6+Inputs!$L$6*(((Inputs!$I$6+(((A202)+1)/2)*(Inputs!$J$6-Inputs!$I$6)))/Inputs!$K$6)^2)))*1000/Inputs!$C$12)</f>
        <v/>
      </c>
      <c r="AG202" s="9">
        <f>(((SQRT((Inputs!$C$52+((Inputs!$H$7+Inputs!$L$7*(((Inputs!$I$7+(((A202)+1)/2)*(Inputs!$J$7-Inputs!$I$7)))/Inputs!$K$7)^2)))^2+Inputs!$C$52^2-2*(Inputs!$C$52+((Inputs!$H$7+Inputs!$L$7*(((Inputs!$I$7+(((A202)+1)/2)*(Inputs!$J$7-Inputs!$I$7)))/Inputs!$K$7)^2)))*Inputs!$C$52*COS(SQRT(((Inputs!$I$7+(((A202)+1)/2)*(Inputs!$J$7-Inputs!$I$7)))^2+Inputs!$C$6^2)/Inputs!$C$52)))-((Inputs!$H$7+Inputs!$L$7*(((Inputs!$I$7+(((A202)+1)/2)*(Inputs!$J$7-Inputs!$I$7)))/Inputs!$K$7)^2)))*1000/Inputs!$C$12)</f>
        <v/>
      </c>
      <c r="AH202" s="9">
        <f>(((SQRT((Inputs!$C$52+((Inputs!$H$8+Inputs!$L$8*(((Inputs!$I$8+(((A202)+1)/2)*(Inputs!$J$8-Inputs!$I$8)))/Inputs!$K$8)^2)))^2+Inputs!$C$52^2-2*(Inputs!$C$52+((Inputs!$H$8+Inputs!$L$8*(((Inputs!$I$8+(((A202)+1)/2)*(Inputs!$J$8-Inputs!$I$8)))/Inputs!$K$8)^2)))*Inputs!$C$52*COS(SQRT(((Inputs!$I$8+(((A202)+1)/2)*(Inputs!$J$8-Inputs!$I$8)))^2+Inputs!$C$6^2)/Inputs!$C$52)))-((Inputs!$H$8+Inputs!$L$8*(((Inputs!$I$8+(((A202)+1)/2)*(Inputs!$J$8-Inputs!$I$8)))/Inputs!$K$8)^2)))*1000/Inputs!$C$12)</f>
        <v/>
      </c>
      <c r="AI202" s="9">
        <f>(((SQRT((Inputs!$C$52+((Inputs!$H$9+Inputs!$L$9*(((Inputs!$I$9+(((A202)+1)/2)*(Inputs!$J$9-Inputs!$I$9)))/Inputs!$K$9)^2)))^2+Inputs!$C$52^2-2*(Inputs!$C$52+((Inputs!$H$9+Inputs!$L$9*(((Inputs!$I$9+(((A202)+1)/2)*(Inputs!$J$9-Inputs!$I$9)))/Inputs!$K$9)^2)))*Inputs!$C$52*COS(SQRT(((Inputs!$I$9+(((A202)+1)/2)*(Inputs!$J$9-Inputs!$I$9)))^2+Inputs!$C$6^2)/Inputs!$C$52)))-((Inputs!$H$9+Inputs!$L$9*(((Inputs!$I$9+(((A202)+1)/2)*(Inputs!$J$9-Inputs!$I$9)))/Inputs!$K$9)^2)))*1000/Inputs!$C$12)</f>
        <v/>
      </c>
      <c r="AJ202" s="10" t="n"/>
      <c r="AK202" s="9">
        <f>A202</f>
        <v/>
      </c>
      <c r="AL202" s="9">
        <f>(-2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f>
        <v/>
      </c>
      <c r="AM202" s="9">
        <f>(-2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f>
        <v/>
      </c>
      <c r="AN202" s="9">
        <f>(-2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f>
        <v/>
      </c>
      <c r="AO202" s="9">
        <f>(-2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f>
        <v/>
      </c>
      <c r="AP202" s="10" t="n"/>
      <c r="AQ202" s="9">
        <f>A202</f>
        <v/>
      </c>
      <c r="AR202" s="9">
        <f>0</f>
        <v/>
      </c>
      <c r="AS202" s="9">
        <f>IF(OR(Inputs!$F$6=TRUE,Inputs!$F$6="TRUE",Inputs!$F$6=1),IF(OR(Inputs!$C$27=TRUE,Inputs!$C$27="TRUE",Inputs!$C$27=1),1,0)*(Inputs!$C$51*(115*EXP(-(((Inputs!$C$6)-25)^2)/(4.5^2))+70*EXP(-(((Inputs!$C$6)+38)^2)/(7^2))*(0.55+0.45*SIN(2*PI()*((Inputs!$I$6+(((A202)+1)/2)*(Inputs!$J$6-Inputs!$I$6)))/45))+24*SIN(2*PI()*(Inputs!$C$6)/9+((Inputs!$I$6+(((A202)+1)/2)*(Inputs!$J$6-Inputs!$I$6)))/18)*EXP(-(((Inputs!$C$6)+5)^2)/(22^2))+18*SIN(2*PI()*((Inputs!$I$6+(((A202)+1)/2)*(Inputs!$J$6-Inputs!$I$6)))/70))+Inputs!$C$28*EXP(-((((Inputs!$I$6+(((A202)+1)/2)*(Inputs!$J$6-Inputs!$I$6)))-Inputs!$C$29)^2)/(2*Inputs!$C$31^2))*EXP(-(((Inputs!$C$6)-Inputs!$C$30)^2)/(2*Inputs!$C$32^2))+-Inputs!$C$33*EXP(-((((((Inputs!$I$6+(((A202)+1)/2)*(Inputs!$J$6-Inputs!$I$6)))-Inputs!$C$34)^2)+(((Inputs!$C$6)-Inputs!$C$35)^2))/(2*Inputs!$C$36^2)))+Inputs!$C$37*(0.55*SIN(2*PI()*((Inputs!$I$6+(((A202)+1)/2)*(Inputs!$J$6-Inputs!$I$6)))/Inputs!$C$39)+0.35*COS(2*PI()*(Inputs!$C$6)/Inputs!$C$40)+0.2*SIN(2*PI()*(((Inputs!$I$6+(((A202)+1)/2)*(Inputs!$J$6-Inputs!$I$6)))+(Inputs!$C$6))/(0.5*(Inputs!$C$39+Inputs!$C$40))))+Inputs!$C$38*SIN(2*PI()*((Inputs!$I$6+(((A202)+1)/2)*(Inputs!$J$6-Inputs!$I$6)))/Inputs!$C$39)*SIN(2*PI()*(Inputs!$C$6)/Inputs!$C$40)+-Inputs!$C$41*EXP(-(((Inputs!$C$6)-Inputs!$C$43)^2)/(2*Inputs!$C$44^2))*EXP(-((((Inputs!$I$6+(((A202)+1)/2)*(Inputs!$J$6-Inputs!$I$6)))-Inputs!$C$42)^2)/(2*Inputs!$C$45^2))+Inputs!$C$48*(0.7*(0.45*SIN(2*PI()*((((Inputs!$I$6+(((A202)+1)/2)*(Inputs!$J$6-Inputs!$I$6)))/Inputs!$C$49)+Inputs!$C$47*0.137))+0.35*COS(2*PI()*(((Inputs!$C$6)/Inputs!$C$50)+Inputs!$C$47*0.173))+0.2*SIN(2*PI()*((((Inputs!$I$6+(((A202)+1)/2)*(Inputs!$J$6-Inputs!$I$6)))+(Inputs!$C$6))/(0.5*(Inputs!$C$49+Inputs!$C$50))+Inputs!$C$47*0.097)))+0.3*(2*((SIN((((Inputs!$I$6+(((A202)+1)/2)*(Inputs!$J$6-Inputs!$I$6)))*12.9898+(Inputs!$C$6)*78.233+Inputs!$C$47*37.719))*43758.5453)-INT((SIN((((Inputs!$I$6+(((A202)+1)/2)*(Inputs!$J$6-Inputs!$I$6)))*12.9898+(Inputs!$C$6)*78.233+Inputs!$C$47*37.719))*43758.5453)))-1))),NA())</f>
        <v/>
      </c>
      <c r="AT202" s="9">
        <f>IF(OR(Inputs!$F$7=TRUE,Inputs!$F$7="TRUE",Inputs!$F$7=1),IF(OR(Inputs!$C$27=TRUE,Inputs!$C$27="TRUE",Inputs!$C$27=1),1,0)*(Inputs!$C$51*(115*EXP(-(((Inputs!$C$6)-25)^2)/(4.5^2))+70*EXP(-(((Inputs!$C$6)+38)^2)/(7^2))*(0.55+0.45*SIN(2*PI()*((Inputs!$I$7+(((A202)+1)/2)*(Inputs!$J$7-Inputs!$I$7)))/45))+24*SIN(2*PI()*(Inputs!$C$6)/9+((Inputs!$I$7+(((A202)+1)/2)*(Inputs!$J$7-Inputs!$I$7)))/18)*EXP(-(((Inputs!$C$6)+5)^2)/(22^2))+18*SIN(2*PI()*((Inputs!$I$7+(((A202)+1)/2)*(Inputs!$J$7-Inputs!$I$7)))/70))+Inputs!$C$28*EXP(-((((Inputs!$I$7+(((A202)+1)/2)*(Inputs!$J$7-Inputs!$I$7)))-Inputs!$C$29)^2)/(2*Inputs!$C$31^2))*EXP(-(((Inputs!$C$6)-Inputs!$C$30)^2)/(2*Inputs!$C$32^2))+-Inputs!$C$33*EXP(-((((((Inputs!$I$7+(((A202)+1)/2)*(Inputs!$J$7-Inputs!$I$7)))-Inputs!$C$34)^2)+(((Inputs!$C$6)-Inputs!$C$35)^2))/(2*Inputs!$C$36^2)))+Inputs!$C$37*(0.55*SIN(2*PI()*((Inputs!$I$7+(((A202)+1)/2)*(Inputs!$J$7-Inputs!$I$7)))/Inputs!$C$39)+0.35*COS(2*PI()*(Inputs!$C$6)/Inputs!$C$40)+0.2*SIN(2*PI()*(((Inputs!$I$7+(((A202)+1)/2)*(Inputs!$J$7-Inputs!$I$7)))+(Inputs!$C$6))/(0.5*(Inputs!$C$39+Inputs!$C$40))))+Inputs!$C$38*SIN(2*PI()*((Inputs!$I$7+(((A202)+1)/2)*(Inputs!$J$7-Inputs!$I$7)))/Inputs!$C$39)*SIN(2*PI()*(Inputs!$C$6)/Inputs!$C$40)+-Inputs!$C$41*EXP(-(((Inputs!$C$6)-Inputs!$C$43)^2)/(2*Inputs!$C$44^2))*EXP(-((((Inputs!$I$7+(((A202)+1)/2)*(Inputs!$J$7-Inputs!$I$7)))-Inputs!$C$42)^2)/(2*Inputs!$C$45^2))+Inputs!$C$48*(0.7*(0.45*SIN(2*PI()*((((Inputs!$I$7+(((A202)+1)/2)*(Inputs!$J$7-Inputs!$I$7)))/Inputs!$C$49)+Inputs!$C$47*0.137))+0.35*COS(2*PI()*(((Inputs!$C$6)/Inputs!$C$50)+Inputs!$C$47*0.173))+0.2*SIN(2*PI()*((((Inputs!$I$7+(((A202)+1)/2)*(Inputs!$J$7-Inputs!$I$7)))+(Inputs!$C$6))/(0.5*(Inputs!$C$49+Inputs!$C$50))+Inputs!$C$47*0.097)))+0.3*(2*((SIN((((Inputs!$I$7+(((A202)+1)/2)*(Inputs!$J$7-Inputs!$I$7)))*12.9898+(Inputs!$C$6)*78.233+Inputs!$C$47*37.719))*43758.5453)-INT((SIN((((Inputs!$I$7+(((A202)+1)/2)*(Inputs!$J$7-Inputs!$I$7)))*12.9898+(Inputs!$C$6)*78.233+Inputs!$C$47*37.719))*43758.5453)))-1))),NA())</f>
        <v/>
      </c>
      <c r="AU202" s="9">
        <f>IF(OR(Inputs!$F$8=TRUE,Inputs!$F$8="TRUE",Inputs!$F$8=1),IF(OR(Inputs!$C$27=TRUE,Inputs!$C$27="TRUE",Inputs!$C$27=1),1,0)*(Inputs!$C$51*(115*EXP(-(((Inputs!$C$6)-25)^2)/(4.5^2))+70*EXP(-(((Inputs!$C$6)+38)^2)/(7^2))*(0.55+0.45*SIN(2*PI()*((Inputs!$I$8+(((A202)+1)/2)*(Inputs!$J$8-Inputs!$I$8)))/45))+24*SIN(2*PI()*(Inputs!$C$6)/9+((Inputs!$I$8+(((A202)+1)/2)*(Inputs!$J$8-Inputs!$I$8)))/18)*EXP(-(((Inputs!$C$6)+5)^2)/(22^2))+18*SIN(2*PI()*((Inputs!$I$8+(((A202)+1)/2)*(Inputs!$J$8-Inputs!$I$8)))/70))+Inputs!$C$28*EXP(-((((Inputs!$I$8+(((A202)+1)/2)*(Inputs!$J$8-Inputs!$I$8)))-Inputs!$C$29)^2)/(2*Inputs!$C$31^2))*EXP(-(((Inputs!$C$6)-Inputs!$C$30)^2)/(2*Inputs!$C$32^2))+-Inputs!$C$33*EXP(-((((((Inputs!$I$8+(((A202)+1)/2)*(Inputs!$J$8-Inputs!$I$8)))-Inputs!$C$34)^2)+(((Inputs!$C$6)-Inputs!$C$35)^2))/(2*Inputs!$C$36^2)))+Inputs!$C$37*(0.55*SIN(2*PI()*((Inputs!$I$8+(((A202)+1)/2)*(Inputs!$J$8-Inputs!$I$8)))/Inputs!$C$39)+0.35*COS(2*PI()*(Inputs!$C$6)/Inputs!$C$40)+0.2*SIN(2*PI()*(((Inputs!$I$8+(((A202)+1)/2)*(Inputs!$J$8-Inputs!$I$8)))+(Inputs!$C$6))/(0.5*(Inputs!$C$39+Inputs!$C$40))))+Inputs!$C$38*SIN(2*PI()*((Inputs!$I$8+(((A202)+1)/2)*(Inputs!$J$8-Inputs!$I$8)))/Inputs!$C$39)*SIN(2*PI()*(Inputs!$C$6)/Inputs!$C$40)+-Inputs!$C$41*EXP(-(((Inputs!$C$6)-Inputs!$C$43)^2)/(2*Inputs!$C$44^2))*EXP(-((((Inputs!$I$8+(((A202)+1)/2)*(Inputs!$J$8-Inputs!$I$8)))-Inputs!$C$42)^2)/(2*Inputs!$C$45^2))+Inputs!$C$48*(0.7*(0.45*SIN(2*PI()*((((Inputs!$I$8+(((A202)+1)/2)*(Inputs!$J$8-Inputs!$I$8)))/Inputs!$C$49)+Inputs!$C$47*0.137))+0.35*COS(2*PI()*(((Inputs!$C$6)/Inputs!$C$50)+Inputs!$C$47*0.173))+0.2*SIN(2*PI()*((((Inputs!$I$8+(((A202)+1)/2)*(Inputs!$J$8-Inputs!$I$8)))+(Inputs!$C$6))/(0.5*(Inputs!$C$49+Inputs!$C$50))+Inputs!$C$47*0.097)))+0.3*(2*((SIN((((Inputs!$I$8+(((A202)+1)/2)*(Inputs!$J$8-Inputs!$I$8)))*12.9898+(Inputs!$C$6)*78.233+Inputs!$C$47*37.719))*43758.5453)-INT((SIN((((Inputs!$I$8+(((A202)+1)/2)*(Inputs!$J$8-Inputs!$I$8)))*12.9898+(Inputs!$C$6)*78.233+Inputs!$C$47*37.719))*43758.5453)))-1))),NA())</f>
        <v/>
      </c>
      <c r="AV202" s="9">
        <f>IF(OR(Inputs!$F$9=TRUE,Inputs!$F$9="TRUE",Inputs!$F$9=1),IF(OR(Inputs!$C$27=TRUE,Inputs!$C$27="TRUE",Inputs!$C$27=1),1,0)*(Inputs!$C$51*(115*EXP(-(((Inputs!$C$6)-25)^2)/(4.5^2))+70*EXP(-(((Inputs!$C$6)+38)^2)/(7^2))*(0.55+0.45*SIN(2*PI()*((Inputs!$I$9+(((A202)+1)/2)*(Inputs!$J$9-Inputs!$I$9)))/45))+24*SIN(2*PI()*(Inputs!$C$6)/9+((Inputs!$I$9+(((A202)+1)/2)*(Inputs!$J$9-Inputs!$I$9)))/18)*EXP(-(((Inputs!$C$6)+5)^2)/(22^2))+18*SIN(2*PI()*((Inputs!$I$9+(((A202)+1)/2)*(Inputs!$J$9-Inputs!$I$9)))/70))+Inputs!$C$28*EXP(-((((Inputs!$I$9+(((A202)+1)/2)*(Inputs!$J$9-Inputs!$I$9)))-Inputs!$C$29)^2)/(2*Inputs!$C$31^2))*EXP(-(((Inputs!$C$6)-Inputs!$C$30)^2)/(2*Inputs!$C$32^2))+-Inputs!$C$33*EXP(-((((((Inputs!$I$9+(((A202)+1)/2)*(Inputs!$J$9-Inputs!$I$9)))-Inputs!$C$34)^2)+(((Inputs!$C$6)-Inputs!$C$35)^2))/(2*Inputs!$C$36^2)))+Inputs!$C$37*(0.55*SIN(2*PI()*((Inputs!$I$9+(((A202)+1)/2)*(Inputs!$J$9-Inputs!$I$9)))/Inputs!$C$39)+0.35*COS(2*PI()*(Inputs!$C$6)/Inputs!$C$40)+0.2*SIN(2*PI()*(((Inputs!$I$9+(((A202)+1)/2)*(Inputs!$J$9-Inputs!$I$9)))+(Inputs!$C$6))/(0.5*(Inputs!$C$39+Inputs!$C$40))))+Inputs!$C$38*SIN(2*PI()*((Inputs!$I$9+(((A202)+1)/2)*(Inputs!$J$9-Inputs!$I$9)))/Inputs!$C$39)*SIN(2*PI()*(Inputs!$C$6)/Inputs!$C$40)+-Inputs!$C$41*EXP(-(((Inputs!$C$6)-Inputs!$C$43)^2)/(2*Inputs!$C$44^2))*EXP(-((((Inputs!$I$9+(((A202)+1)/2)*(Inputs!$J$9-Inputs!$I$9)))-Inputs!$C$42)^2)/(2*Inputs!$C$45^2))+Inputs!$C$48*(0.7*(0.45*SIN(2*PI()*((((Inputs!$I$9+(((A202)+1)/2)*(Inputs!$J$9-Inputs!$I$9)))/Inputs!$C$49)+Inputs!$C$47*0.137))+0.35*COS(2*PI()*(((Inputs!$C$6)/Inputs!$C$50)+Inputs!$C$47*0.173))+0.2*SIN(2*PI()*((((Inputs!$I$9+(((A202)+1)/2)*(Inputs!$J$9-Inputs!$I$9)))+(Inputs!$C$6))/(0.5*(Inputs!$C$49+Inputs!$C$50))+Inputs!$C$47*0.097)))+0.3*(2*((SIN((((Inputs!$I$9+(((A202)+1)/2)*(Inputs!$J$9-Inputs!$I$9)))*12.9898+(Inputs!$C$6)*78.233+Inputs!$C$47*37.719))*43758.5453)-INT((SIN((((Inputs!$I$9+(((A202)+1)/2)*(Inputs!$J$9-Inputs!$I$9)))*12.9898+(Inputs!$C$6)*78.233+Inputs!$C$47*37.719))*43758.5453)))-1))),NA())</f>
        <v/>
      </c>
      <c r="AW202" s="10" t="n"/>
      <c r="AX202" s="9">
        <f>A202</f>
        <v/>
      </c>
      <c r="AY202" s="9">
        <f>0</f>
        <v/>
      </c>
      <c r="AZ202" s="9">
        <f>IF(OR(Inputs!$F$6=TRUE,Inputs!$F$6="TRUE",Inputs!$F$6=1),(Inputs!$H$6+Inputs!$L$6*(((Inputs!$I$6+(((A202)+1)/2)*(Inputs!$J$6-Inputs!$I$6)))/Inputs!$K$6)^2),NA())</f>
        <v/>
      </c>
      <c r="BA202" s="9">
        <f>IF(OR(Inputs!$F$7=TRUE,Inputs!$F$7="TRUE",Inputs!$F$7=1),(Inputs!$H$7+Inputs!$L$7*(((Inputs!$I$7+(((A202)+1)/2)*(Inputs!$J$7-Inputs!$I$7)))/Inputs!$K$7)^2),NA())</f>
        <v/>
      </c>
      <c r="BB202" s="9">
        <f>IF(OR(Inputs!$F$8=TRUE,Inputs!$F$8="TRUE",Inputs!$F$8=1),(Inputs!$H$8+Inputs!$L$8*(((Inputs!$I$8+(((A202)+1)/2)*(Inputs!$J$8-Inputs!$I$8)))/Inputs!$K$8)^2),NA())</f>
        <v/>
      </c>
      <c r="BC202" s="9">
        <f>IF(OR(Inputs!$F$9=TRUE,Inputs!$F$9="TRUE",Inputs!$F$9=1),(Inputs!$H$9+Inputs!$L$9*(((Inputs!$I$9+(((A202)+1)/2)*(Inputs!$J$9-Inputs!$I$9)))/Inputs!$K$9)^2),NA())</f>
        <v/>
      </c>
      <c r="BD202" s="10" t="n"/>
      <c r="BE202" s="9">
        <f>A202</f>
        <v/>
      </c>
      <c r="BF202" s="9">
        <f>0</f>
        <v/>
      </c>
      <c r="BG202" s="9">
        <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f>
        <v/>
      </c>
      <c r="BH202" s="9">
        <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f>
        <v/>
      </c>
      <c r="BI202" s="9">
        <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f>
        <v/>
      </c>
      <c r="BJ202" s="9">
        <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f>
        <v/>
      </c>
    </row>
    <row r="203">
      <c r="A203" s="9">
        <f>ROUND(-1+201*2/240,3)</f>
        <v/>
      </c>
      <c r="B203" s="9">
        <f>IF(OR(Inputs!$F$6=TRUE,Inputs!$F$6="TRUE",Inputs!$F$6=1),(Inputs!$H$6+Inputs!$L$6*(((Inputs!$I$6+(((A203)+1)/2)*(Inputs!$J$6-Inputs!$I$6)))/Inputs!$K$6)^2),NA())</f>
        <v/>
      </c>
      <c r="C203" s="9">
        <f>IF(OR(Inputs!$F$7=TRUE,Inputs!$F$7="TRUE",Inputs!$F$7=1),(Inputs!$H$7+Inputs!$L$7*(((Inputs!$I$7+(((A203)+1)/2)*(Inputs!$J$7-Inputs!$I$7)))/Inputs!$K$7)^2),NA())</f>
        <v/>
      </c>
      <c r="D203" s="9">
        <f>IF(OR(Inputs!$F$8=TRUE,Inputs!$F$8="TRUE",Inputs!$F$8=1),(Inputs!$H$8+Inputs!$L$8*(((Inputs!$I$8+(((A203)+1)/2)*(Inputs!$J$8-Inputs!$I$8)))/Inputs!$K$8)^2),NA())</f>
        <v/>
      </c>
      <c r="E203" s="9">
        <f>IF(OR(Inputs!$F$9=TRUE,Inputs!$F$9="TRUE",Inputs!$F$9=1),(Inputs!$H$9+Inputs!$L$9*(((Inputs!$I$9+(((A203)+1)/2)*(Inputs!$J$9-Inputs!$I$9)))/Inputs!$K$9)^2),NA())</f>
        <v/>
      </c>
      <c r="F203" s="10" t="n"/>
      <c r="G203" s="9">
        <f>A203</f>
        <v/>
      </c>
      <c r="H203" s="9">
        <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f>
        <v/>
      </c>
      <c r="I203" s="9">
        <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f>
        <v/>
      </c>
      <c r="J203" s="9">
        <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f>
        <v/>
      </c>
      <c r="K203" s="9">
        <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f>
        <v/>
      </c>
      <c r="L203" s="10" t="n"/>
      <c r="M203" s="9">
        <f>A203</f>
        <v/>
      </c>
      <c r="N203" s="9">
        <f>IF(OR(Inputs!$F$6=TRUE,Inputs!$F$6="TRUE",Inputs!$F$6=1),(-2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NA())</f>
        <v/>
      </c>
      <c r="O203" s="9">
        <f>IF(OR(Inputs!$F$7=TRUE,Inputs!$F$7="TRUE",Inputs!$F$7=1),(-2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NA())</f>
        <v/>
      </c>
      <c r="P203" s="9">
        <f>IF(OR(Inputs!$F$8=TRUE,Inputs!$F$8="TRUE",Inputs!$F$8=1),(-2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NA())</f>
        <v/>
      </c>
      <c r="Q203" s="9">
        <f>IF(OR(Inputs!$F$9=TRUE,Inputs!$F$9="TRUE",Inputs!$F$9=1),(-2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NA())</f>
        <v/>
      </c>
      <c r="R203" s="10" t="n"/>
      <c r="S203" s="9">
        <f>A203</f>
        <v/>
      </c>
      <c r="T203" s="9">
        <f>(Inputs!$I$6+(((A203)+1)/2)*(Inputs!$J$6-Inputs!$I$6))</f>
        <v/>
      </c>
      <c r="U203" s="9">
        <f>(Inputs!$I$7+(((A203)+1)/2)*(Inputs!$J$7-Inputs!$I$7))</f>
        <v/>
      </c>
      <c r="V203" s="9">
        <f>(Inputs!$I$8+(((A203)+1)/2)*(Inputs!$J$8-Inputs!$I$8))</f>
        <v/>
      </c>
      <c r="W203" s="9">
        <f>(Inputs!$I$9+(((A203)+1)/2)*(Inputs!$J$9-Inputs!$I$9))</f>
        <v/>
      </c>
      <c r="X203" s="10" t="n"/>
      <c r="Y203" s="9">
        <f>A203</f>
        <v/>
      </c>
      <c r="Z203" s="9">
        <f>(Inputs!$H$6+Inputs!$L$6*(((Inputs!$I$6+(((A203)+1)/2)*(Inputs!$J$6-Inputs!$I$6)))/Inputs!$K$6)^2)</f>
        <v/>
      </c>
      <c r="AA203" s="9">
        <f>(Inputs!$H$7+Inputs!$L$7*(((Inputs!$I$7+(((A203)+1)/2)*(Inputs!$J$7-Inputs!$I$7)))/Inputs!$K$7)^2)</f>
        <v/>
      </c>
      <c r="AB203" s="9">
        <f>(Inputs!$H$8+Inputs!$L$8*(((Inputs!$I$8+(((A203)+1)/2)*(Inputs!$J$8-Inputs!$I$8)))/Inputs!$K$8)^2)</f>
        <v/>
      </c>
      <c r="AC203" s="9">
        <f>(Inputs!$H$9+Inputs!$L$9*(((Inputs!$I$9+(((A203)+1)/2)*(Inputs!$J$9-Inputs!$I$9)))/Inputs!$K$9)^2)</f>
        <v/>
      </c>
      <c r="AD203" s="10" t="n"/>
      <c r="AE203" s="9">
        <f>A203</f>
        <v/>
      </c>
      <c r="AF203" s="9">
        <f>(((SQRT((Inputs!$C$52+((Inputs!$H$6+Inputs!$L$6*(((Inputs!$I$6+(((A203)+1)/2)*(Inputs!$J$6-Inputs!$I$6)))/Inputs!$K$6)^2)))^2+Inputs!$C$52^2-2*(Inputs!$C$52+((Inputs!$H$6+Inputs!$L$6*(((Inputs!$I$6+(((A203)+1)/2)*(Inputs!$J$6-Inputs!$I$6)))/Inputs!$K$6)^2)))*Inputs!$C$52*COS(SQRT(((Inputs!$I$6+(((A203)+1)/2)*(Inputs!$J$6-Inputs!$I$6)))^2+Inputs!$C$6^2)/Inputs!$C$52)))-((Inputs!$H$6+Inputs!$L$6*(((Inputs!$I$6+(((A203)+1)/2)*(Inputs!$J$6-Inputs!$I$6)))/Inputs!$K$6)^2)))*1000/Inputs!$C$12)</f>
        <v/>
      </c>
      <c r="AG203" s="9">
        <f>(((SQRT((Inputs!$C$52+((Inputs!$H$7+Inputs!$L$7*(((Inputs!$I$7+(((A203)+1)/2)*(Inputs!$J$7-Inputs!$I$7)))/Inputs!$K$7)^2)))^2+Inputs!$C$52^2-2*(Inputs!$C$52+((Inputs!$H$7+Inputs!$L$7*(((Inputs!$I$7+(((A203)+1)/2)*(Inputs!$J$7-Inputs!$I$7)))/Inputs!$K$7)^2)))*Inputs!$C$52*COS(SQRT(((Inputs!$I$7+(((A203)+1)/2)*(Inputs!$J$7-Inputs!$I$7)))^2+Inputs!$C$6^2)/Inputs!$C$52)))-((Inputs!$H$7+Inputs!$L$7*(((Inputs!$I$7+(((A203)+1)/2)*(Inputs!$J$7-Inputs!$I$7)))/Inputs!$K$7)^2)))*1000/Inputs!$C$12)</f>
        <v/>
      </c>
      <c r="AH203" s="9">
        <f>(((SQRT((Inputs!$C$52+((Inputs!$H$8+Inputs!$L$8*(((Inputs!$I$8+(((A203)+1)/2)*(Inputs!$J$8-Inputs!$I$8)))/Inputs!$K$8)^2)))^2+Inputs!$C$52^2-2*(Inputs!$C$52+((Inputs!$H$8+Inputs!$L$8*(((Inputs!$I$8+(((A203)+1)/2)*(Inputs!$J$8-Inputs!$I$8)))/Inputs!$K$8)^2)))*Inputs!$C$52*COS(SQRT(((Inputs!$I$8+(((A203)+1)/2)*(Inputs!$J$8-Inputs!$I$8)))^2+Inputs!$C$6^2)/Inputs!$C$52)))-((Inputs!$H$8+Inputs!$L$8*(((Inputs!$I$8+(((A203)+1)/2)*(Inputs!$J$8-Inputs!$I$8)))/Inputs!$K$8)^2)))*1000/Inputs!$C$12)</f>
        <v/>
      </c>
      <c r="AI203" s="9">
        <f>(((SQRT((Inputs!$C$52+((Inputs!$H$9+Inputs!$L$9*(((Inputs!$I$9+(((A203)+1)/2)*(Inputs!$J$9-Inputs!$I$9)))/Inputs!$K$9)^2)))^2+Inputs!$C$52^2-2*(Inputs!$C$52+((Inputs!$H$9+Inputs!$L$9*(((Inputs!$I$9+(((A203)+1)/2)*(Inputs!$J$9-Inputs!$I$9)))/Inputs!$K$9)^2)))*Inputs!$C$52*COS(SQRT(((Inputs!$I$9+(((A203)+1)/2)*(Inputs!$J$9-Inputs!$I$9)))^2+Inputs!$C$6^2)/Inputs!$C$52)))-((Inputs!$H$9+Inputs!$L$9*(((Inputs!$I$9+(((A203)+1)/2)*(Inputs!$J$9-Inputs!$I$9)))/Inputs!$K$9)^2)))*1000/Inputs!$C$12)</f>
        <v/>
      </c>
      <c r="AJ203" s="10" t="n"/>
      <c r="AK203" s="9">
        <f>A203</f>
        <v/>
      </c>
      <c r="AL203" s="9">
        <f>(-2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f>
        <v/>
      </c>
      <c r="AM203" s="9">
        <f>(-2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f>
        <v/>
      </c>
      <c r="AN203" s="9">
        <f>(-2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f>
        <v/>
      </c>
      <c r="AO203" s="9">
        <f>(-2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f>
        <v/>
      </c>
      <c r="AP203" s="10" t="n"/>
      <c r="AQ203" s="9">
        <f>A203</f>
        <v/>
      </c>
      <c r="AR203" s="9">
        <f>0</f>
        <v/>
      </c>
      <c r="AS203" s="9">
        <f>IF(OR(Inputs!$F$6=TRUE,Inputs!$F$6="TRUE",Inputs!$F$6=1),IF(OR(Inputs!$C$27=TRUE,Inputs!$C$27="TRUE",Inputs!$C$27=1),1,0)*(Inputs!$C$51*(115*EXP(-(((Inputs!$C$6)-25)^2)/(4.5^2))+70*EXP(-(((Inputs!$C$6)+38)^2)/(7^2))*(0.55+0.45*SIN(2*PI()*((Inputs!$I$6+(((A203)+1)/2)*(Inputs!$J$6-Inputs!$I$6)))/45))+24*SIN(2*PI()*(Inputs!$C$6)/9+((Inputs!$I$6+(((A203)+1)/2)*(Inputs!$J$6-Inputs!$I$6)))/18)*EXP(-(((Inputs!$C$6)+5)^2)/(22^2))+18*SIN(2*PI()*((Inputs!$I$6+(((A203)+1)/2)*(Inputs!$J$6-Inputs!$I$6)))/70))+Inputs!$C$28*EXP(-((((Inputs!$I$6+(((A203)+1)/2)*(Inputs!$J$6-Inputs!$I$6)))-Inputs!$C$29)^2)/(2*Inputs!$C$31^2))*EXP(-(((Inputs!$C$6)-Inputs!$C$30)^2)/(2*Inputs!$C$32^2))+-Inputs!$C$33*EXP(-((((((Inputs!$I$6+(((A203)+1)/2)*(Inputs!$J$6-Inputs!$I$6)))-Inputs!$C$34)^2)+(((Inputs!$C$6)-Inputs!$C$35)^2))/(2*Inputs!$C$36^2)))+Inputs!$C$37*(0.55*SIN(2*PI()*((Inputs!$I$6+(((A203)+1)/2)*(Inputs!$J$6-Inputs!$I$6)))/Inputs!$C$39)+0.35*COS(2*PI()*(Inputs!$C$6)/Inputs!$C$40)+0.2*SIN(2*PI()*(((Inputs!$I$6+(((A203)+1)/2)*(Inputs!$J$6-Inputs!$I$6)))+(Inputs!$C$6))/(0.5*(Inputs!$C$39+Inputs!$C$40))))+Inputs!$C$38*SIN(2*PI()*((Inputs!$I$6+(((A203)+1)/2)*(Inputs!$J$6-Inputs!$I$6)))/Inputs!$C$39)*SIN(2*PI()*(Inputs!$C$6)/Inputs!$C$40)+-Inputs!$C$41*EXP(-(((Inputs!$C$6)-Inputs!$C$43)^2)/(2*Inputs!$C$44^2))*EXP(-((((Inputs!$I$6+(((A203)+1)/2)*(Inputs!$J$6-Inputs!$I$6)))-Inputs!$C$42)^2)/(2*Inputs!$C$45^2))+Inputs!$C$48*(0.7*(0.45*SIN(2*PI()*((((Inputs!$I$6+(((A203)+1)/2)*(Inputs!$J$6-Inputs!$I$6)))/Inputs!$C$49)+Inputs!$C$47*0.137))+0.35*COS(2*PI()*(((Inputs!$C$6)/Inputs!$C$50)+Inputs!$C$47*0.173))+0.2*SIN(2*PI()*((((Inputs!$I$6+(((A203)+1)/2)*(Inputs!$J$6-Inputs!$I$6)))+(Inputs!$C$6))/(0.5*(Inputs!$C$49+Inputs!$C$50))+Inputs!$C$47*0.097)))+0.3*(2*((SIN((((Inputs!$I$6+(((A203)+1)/2)*(Inputs!$J$6-Inputs!$I$6)))*12.9898+(Inputs!$C$6)*78.233+Inputs!$C$47*37.719))*43758.5453)-INT((SIN((((Inputs!$I$6+(((A203)+1)/2)*(Inputs!$J$6-Inputs!$I$6)))*12.9898+(Inputs!$C$6)*78.233+Inputs!$C$47*37.719))*43758.5453)))-1))),NA())</f>
        <v/>
      </c>
      <c r="AT203" s="9">
        <f>IF(OR(Inputs!$F$7=TRUE,Inputs!$F$7="TRUE",Inputs!$F$7=1),IF(OR(Inputs!$C$27=TRUE,Inputs!$C$27="TRUE",Inputs!$C$27=1),1,0)*(Inputs!$C$51*(115*EXP(-(((Inputs!$C$6)-25)^2)/(4.5^2))+70*EXP(-(((Inputs!$C$6)+38)^2)/(7^2))*(0.55+0.45*SIN(2*PI()*((Inputs!$I$7+(((A203)+1)/2)*(Inputs!$J$7-Inputs!$I$7)))/45))+24*SIN(2*PI()*(Inputs!$C$6)/9+((Inputs!$I$7+(((A203)+1)/2)*(Inputs!$J$7-Inputs!$I$7)))/18)*EXP(-(((Inputs!$C$6)+5)^2)/(22^2))+18*SIN(2*PI()*((Inputs!$I$7+(((A203)+1)/2)*(Inputs!$J$7-Inputs!$I$7)))/70))+Inputs!$C$28*EXP(-((((Inputs!$I$7+(((A203)+1)/2)*(Inputs!$J$7-Inputs!$I$7)))-Inputs!$C$29)^2)/(2*Inputs!$C$31^2))*EXP(-(((Inputs!$C$6)-Inputs!$C$30)^2)/(2*Inputs!$C$32^2))+-Inputs!$C$33*EXP(-((((((Inputs!$I$7+(((A203)+1)/2)*(Inputs!$J$7-Inputs!$I$7)))-Inputs!$C$34)^2)+(((Inputs!$C$6)-Inputs!$C$35)^2))/(2*Inputs!$C$36^2)))+Inputs!$C$37*(0.55*SIN(2*PI()*((Inputs!$I$7+(((A203)+1)/2)*(Inputs!$J$7-Inputs!$I$7)))/Inputs!$C$39)+0.35*COS(2*PI()*(Inputs!$C$6)/Inputs!$C$40)+0.2*SIN(2*PI()*(((Inputs!$I$7+(((A203)+1)/2)*(Inputs!$J$7-Inputs!$I$7)))+(Inputs!$C$6))/(0.5*(Inputs!$C$39+Inputs!$C$40))))+Inputs!$C$38*SIN(2*PI()*((Inputs!$I$7+(((A203)+1)/2)*(Inputs!$J$7-Inputs!$I$7)))/Inputs!$C$39)*SIN(2*PI()*(Inputs!$C$6)/Inputs!$C$40)+-Inputs!$C$41*EXP(-(((Inputs!$C$6)-Inputs!$C$43)^2)/(2*Inputs!$C$44^2))*EXP(-((((Inputs!$I$7+(((A203)+1)/2)*(Inputs!$J$7-Inputs!$I$7)))-Inputs!$C$42)^2)/(2*Inputs!$C$45^2))+Inputs!$C$48*(0.7*(0.45*SIN(2*PI()*((((Inputs!$I$7+(((A203)+1)/2)*(Inputs!$J$7-Inputs!$I$7)))/Inputs!$C$49)+Inputs!$C$47*0.137))+0.35*COS(2*PI()*(((Inputs!$C$6)/Inputs!$C$50)+Inputs!$C$47*0.173))+0.2*SIN(2*PI()*((((Inputs!$I$7+(((A203)+1)/2)*(Inputs!$J$7-Inputs!$I$7)))+(Inputs!$C$6))/(0.5*(Inputs!$C$49+Inputs!$C$50))+Inputs!$C$47*0.097)))+0.3*(2*((SIN((((Inputs!$I$7+(((A203)+1)/2)*(Inputs!$J$7-Inputs!$I$7)))*12.9898+(Inputs!$C$6)*78.233+Inputs!$C$47*37.719))*43758.5453)-INT((SIN((((Inputs!$I$7+(((A203)+1)/2)*(Inputs!$J$7-Inputs!$I$7)))*12.9898+(Inputs!$C$6)*78.233+Inputs!$C$47*37.719))*43758.5453)))-1))),NA())</f>
        <v/>
      </c>
      <c r="AU203" s="9">
        <f>IF(OR(Inputs!$F$8=TRUE,Inputs!$F$8="TRUE",Inputs!$F$8=1),IF(OR(Inputs!$C$27=TRUE,Inputs!$C$27="TRUE",Inputs!$C$27=1),1,0)*(Inputs!$C$51*(115*EXP(-(((Inputs!$C$6)-25)^2)/(4.5^2))+70*EXP(-(((Inputs!$C$6)+38)^2)/(7^2))*(0.55+0.45*SIN(2*PI()*((Inputs!$I$8+(((A203)+1)/2)*(Inputs!$J$8-Inputs!$I$8)))/45))+24*SIN(2*PI()*(Inputs!$C$6)/9+((Inputs!$I$8+(((A203)+1)/2)*(Inputs!$J$8-Inputs!$I$8)))/18)*EXP(-(((Inputs!$C$6)+5)^2)/(22^2))+18*SIN(2*PI()*((Inputs!$I$8+(((A203)+1)/2)*(Inputs!$J$8-Inputs!$I$8)))/70))+Inputs!$C$28*EXP(-((((Inputs!$I$8+(((A203)+1)/2)*(Inputs!$J$8-Inputs!$I$8)))-Inputs!$C$29)^2)/(2*Inputs!$C$31^2))*EXP(-(((Inputs!$C$6)-Inputs!$C$30)^2)/(2*Inputs!$C$32^2))+-Inputs!$C$33*EXP(-((((((Inputs!$I$8+(((A203)+1)/2)*(Inputs!$J$8-Inputs!$I$8)))-Inputs!$C$34)^2)+(((Inputs!$C$6)-Inputs!$C$35)^2))/(2*Inputs!$C$36^2)))+Inputs!$C$37*(0.55*SIN(2*PI()*((Inputs!$I$8+(((A203)+1)/2)*(Inputs!$J$8-Inputs!$I$8)))/Inputs!$C$39)+0.35*COS(2*PI()*(Inputs!$C$6)/Inputs!$C$40)+0.2*SIN(2*PI()*(((Inputs!$I$8+(((A203)+1)/2)*(Inputs!$J$8-Inputs!$I$8)))+(Inputs!$C$6))/(0.5*(Inputs!$C$39+Inputs!$C$40))))+Inputs!$C$38*SIN(2*PI()*((Inputs!$I$8+(((A203)+1)/2)*(Inputs!$J$8-Inputs!$I$8)))/Inputs!$C$39)*SIN(2*PI()*(Inputs!$C$6)/Inputs!$C$40)+-Inputs!$C$41*EXP(-(((Inputs!$C$6)-Inputs!$C$43)^2)/(2*Inputs!$C$44^2))*EXP(-((((Inputs!$I$8+(((A203)+1)/2)*(Inputs!$J$8-Inputs!$I$8)))-Inputs!$C$42)^2)/(2*Inputs!$C$45^2))+Inputs!$C$48*(0.7*(0.45*SIN(2*PI()*((((Inputs!$I$8+(((A203)+1)/2)*(Inputs!$J$8-Inputs!$I$8)))/Inputs!$C$49)+Inputs!$C$47*0.137))+0.35*COS(2*PI()*(((Inputs!$C$6)/Inputs!$C$50)+Inputs!$C$47*0.173))+0.2*SIN(2*PI()*((((Inputs!$I$8+(((A203)+1)/2)*(Inputs!$J$8-Inputs!$I$8)))+(Inputs!$C$6))/(0.5*(Inputs!$C$49+Inputs!$C$50))+Inputs!$C$47*0.097)))+0.3*(2*((SIN((((Inputs!$I$8+(((A203)+1)/2)*(Inputs!$J$8-Inputs!$I$8)))*12.9898+(Inputs!$C$6)*78.233+Inputs!$C$47*37.719))*43758.5453)-INT((SIN((((Inputs!$I$8+(((A203)+1)/2)*(Inputs!$J$8-Inputs!$I$8)))*12.9898+(Inputs!$C$6)*78.233+Inputs!$C$47*37.719))*43758.5453)))-1))),NA())</f>
        <v/>
      </c>
      <c r="AV203" s="9">
        <f>IF(OR(Inputs!$F$9=TRUE,Inputs!$F$9="TRUE",Inputs!$F$9=1),IF(OR(Inputs!$C$27=TRUE,Inputs!$C$27="TRUE",Inputs!$C$27=1),1,0)*(Inputs!$C$51*(115*EXP(-(((Inputs!$C$6)-25)^2)/(4.5^2))+70*EXP(-(((Inputs!$C$6)+38)^2)/(7^2))*(0.55+0.45*SIN(2*PI()*((Inputs!$I$9+(((A203)+1)/2)*(Inputs!$J$9-Inputs!$I$9)))/45))+24*SIN(2*PI()*(Inputs!$C$6)/9+((Inputs!$I$9+(((A203)+1)/2)*(Inputs!$J$9-Inputs!$I$9)))/18)*EXP(-(((Inputs!$C$6)+5)^2)/(22^2))+18*SIN(2*PI()*((Inputs!$I$9+(((A203)+1)/2)*(Inputs!$J$9-Inputs!$I$9)))/70))+Inputs!$C$28*EXP(-((((Inputs!$I$9+(((A203)+1)/2)*(Inputs!$J$9-Inputs!$I$9)))-Inputs!$C$29)^2)/(2*Inputs!$C$31^2))*EXP(-(((Inputs!$C$6)-Inputs!$C$30)^2)/(2*Inputs!$C$32^2))+-Inputs!$C$33*EXP(-((((((Inputs!$I$9+(((A203)+1)/2)*(Inputs!$J$9-Inputs!$I$9)))-Inputs!$C$34)^2)+(((Inputs!$C$6)-Inputs!$C$35)^2))/(2*Inputs!$C$36^2)))+Inputs!$C$37*(0.55*SIN(2*PI()*((Inputs!$I$9+(((A203)+1)/2)*(Inputs!$J$9-Inputs!$I$9)))/Inputs!$C$39)+0.35*COS(2*PI()*(Inputs!$C$6)/Inputs!$C$40)+0.2*SIN(2*PI()*(((Inputs!$I$9+(((A203)+1)/2)*(Inputs!$J$9-Inputs!$I$9)))+(Inputs!$C$6))/(0.5*(Inputs!$C$39+Inputs!$C$40))))+Inputs!$C$38*SIN(2*PI()*((Inputs!$I$9+(((A203)+1)/2)*(Inputs!$J$9-Inputs!$I$9)))/Inputs!$C$39)*SIN(2*PI()*(Inputs!$C$6)/Inputs!$C$40)+-Inputs!$C$41*EXP(-(((Inputs!$C$6)-Inputs!$C$43)^2)/(2*Inputs!$C$44^2))*EXP(-((((Inputs!$I$9+(((A203)+1)/2)*(Inputs!$J$9-Inputs!$I$9)))-Inputs!$C$42)^2)/(2*Inputs!$C$45^2))+Inputs!$C$48*(0.7*(0.45*SIN(2*PI()*((((Inputs!$I$9+(((A203)+1)/2)*(Inputs!$J$9-Inputs!$I$9)))/Inputs!$C$49)+Inputs!$C$47*0.137))+0.35*COS(2*PI()*(((Inputs!$C$6)/Inputs!$C$50)+Inputs!$C$47*0.173))+0.2*SIN(2*PI()*((((Inputs!$I$9+(((A203)+1)/2)*(Inputs!$J$9-Inputs!$I$9)))+(Inputs!$C$6))/(0.5*(Inputs!$C$49+Inputs!$C$50))+Inputs!$C$47*0.097)))+0.3*(2*((SIN((((Inputs!$I$9+(((A203)+1)/2)*(Inputs!$J$9-Inputs!$I$9)))*12.9898+(Inputs!$C$6)*78.233+Inputs!$C$47*37.719))*43758.5453)-INT((SIN((((Inputs!$I$9+(((A203)+1)/2)*(Inputs!$J$9-Inputs!$I$9)))*12.9898+(Inputs!$C$6)*78.233+Inputs!$C$47*37.719))*43758.5453)))-1))),NA())</f>
        <v/>
      </c>
      <c r="AW203" s="10" t="n"/>
      <c r="AX203" s="9">
        <f>A203</f>
        <v/>
      </c>
      <c r="AY203" s="9">
        <f>0</f>
        <v/>
      </c>
      <c r="AZ203" s="9">
        <f>IF(OR(Inputs!$F$6=TRUE,Inputs!$F$6="TRUE",Inputs!$F$6=1),(Inputs!$H$6+Inputs!$L$6*(((Inputs!$I$6+(((A203)+1)/2)*(Inputs!$J$6-Inputs!$I$6)))/Inputs!$K$6)^2),NA())</f>
        <v/>
      </c>
      <c r="BA203" s="9">
        <f>IF(OR(Inputs!$F$7=TRUE,Inputs!$F$7="TRUE",Inputs!$F$7=1),(Inputs!$H$7+Inputs!$L$7*(((Inputs!$I$7+(((A203)+1)/2)*(Inputs!$J$7-Inputs!$I$7)))/Inputs!$K$7)^2),NA())</f>
        <v/>
      </c>
      <c r="BB203" s="9">
        <f>IF(OR(Inputs!$F$8=TRUE,Inputs!$F$8="TRUE",Inputs!$F$8=1),(Inputs!$H$8+Inputs!$L$8*(((Inputs!$I$8+(((A203)+1)/2)*(Inputs!$J$8-Inputs!$I$8)))/Inputs!$K$8)^2),NA())</f>
        <v/>
      </c>
      <c r="BC203" s="9">
        <f>IF(OR(Inputs!$F$9=TRUE,Inputs!$F$9="TRUE",Inputs!$F$9=1),(Inputs!$H$9+Inputs!$L$9*(((Inputs!$I$9+(((A203)+1)/2)*(Inputs!$J$9-Inputs!$I$9)))/Inputs!$K$9)^2),NA())</f>
        <v/>
      </c>
      <c r="BD203" s="10" t="n"/>
      <c r="BE203" s="9">
        <f>A203</f>
        <v/>
      </c>
      <c r="BF203" s="9">
        <f>0</f>
        <v/>
      </c>
      <c r="BG203" s="9">
        <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f>
        <v/>
      </c>
      <c r="BH203" s="9">
        <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f>
        <v/>
      </c>
      <c r="BI203" s="9">
        <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f>
        <v/>
      </c>
      <c r="BJ203" s="9">
        <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f>
        <v/>
      </c>
    </row>
    <row r="204">
      <c r="A204" s="9">
        <f>ROUND(-1+202*2/240,3)</f>
        <v/>
      </c>
      <c r="B204" s="9">
        <f>IF(OR(Inputs!$F$6=TRUE,Inputs!$F$6="TRUE",Inputs!$F$6=1),(Inputs!$H$6+Inputs!$L$6*(((Inputs!$I$6+(((A204)+1)/2)*(Inputs!$J$6-Inputs!$I$6)))/Inputs!$K$6)^2),NA())</f>
        <v/>
      </c>
      <c r="C204" s="9">
        <f>IF(OR(Inputs!$F$7=TRUE,Inputs!$F$7="TRUE",Inputs!$F$7=1),(Inputs!$H$7+Inputs!$L$7*(((Inputs!$I$7+(((A204)+1)/2)*(Inputs!$J$7-Inputs!$I$7)))/Inputs!$K$7)^2),NA())</f>
        <v/>
      </c>
      <c r="D204" s="9">
        <f>IF(OR(Inputs!$F$8=TRUE,Inputs!$F$8="TRUE",Inputs!$F$8=1),(Inputs!$H$8+Inputs!$L$8*(((Inputs!$I$8+(((A204)+1)/2)*(Inputs!$J$8-Inputs!$I$8)))/Inputs!$K$8)^2),NA())</f>
        <v/>
      </c>
      <c r="E204" s="9">
        <f>IF(OR(Inputs!$F$9=TRUE,Inputs!$F$9="TRUE",Inputs!$F$9=1),(Inputs!$H$9+Inputs!$L$9*(((Inputs!$I$9+(((A204)+1)/2)*(Inputs!$J$9-Inputs!$I$9)))/Inputs!$K$9)^2),NA())</f>
        <v/>
      </c>
      <c r="F204" s="10" t="n"/>
      <c r="G204" s="9">
        <f>A204</f>
        <v/>
      </c>
      <c r="H204" s="9">
        <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f>
        <v/>
      </c>
      <c r="I204" s="9">
        <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f>
        <v/>
      </c>
      <c r="J204" s="9">
        <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f>
        <v/>
      </c>
      <c r="K204" s="9">
        <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f>
        <v/>
      </c>
      <c r="L204" s="10" t="n"/>
      <c r="M204" s="9">
        <f>A204</f>
        <v/>
      </c>
      <c r="N204" s="9">
        <f>IF(OR(Inputs!$F$6=TRUE,Inputs!$F$6="TRUE",Inputs!$F$6=1),(-2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NA())</f>
        <v/>
      </c>
      <c r="O204" s="9">
        <f>IF(OR(Inputs!$F$7=TRUE,Inputs!$F$7="TRUE",Inputs!$F$7=1),(-2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NA())</f>
        <v/>
      </c>
      <c r="P204" s="9">
        <f>IF(OR(Inputs!$F$8=TRUE,Inputs!$F$8="TRUE",Inputs!$F$8=1),(-2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NA())</f>
        <v/>
      </c>
      <c r="Q204" s="9">
        <f>IF(OR(Inputs!$F$9=TRUE,Inputs!$F$9="TRUE",Inputs!$F$9=1),(-2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NA())</f>
        <v/>
      </c>
      <c r="R204" s="10" t="n"/>
      <c r="S204" s="9">
        <f>A204</f>
        <v/>
      </c>
      <c r="T204" s="9">
        <f>(Inputs!$I$6+(((A204)+1)/2)*(Inputs!$J$6-Inputs!$I$6))</f>
        <v/>
      </c>
      <c r="U204" s="9">
        <f>(Inputs!$I$7+(((A204)+1)/2)*(Inputs!$J$7-Inputs!$I$7))</f>
        <v/>
      </c>
      <c r="V204" s="9">
        <f>(Inputs!$I$8+(((A204)+1)/2)*(Inputs!$J$8-Inputs!$I$8))</f>
        <v/>
      </c>
      <c r="W204" s="9">
        <f>(Inputs!$I$9+(((A204)+1)/2)*(Inputs!$J$9-Inputs!$I$9))</f>
        <v/>
      </c>
      <c r="X204" s="10" t="n"/>
      <c r="Y204" s="9">
        <f>A204</f>
        <v/>
      </c>
      <c r="Z204" s="9">
        <f>(Inputs!$H$6+Inputs!$L$6*(((Inputs!$I$6+(((A204)+1)/2)*(Inputs!$J$6-Inputs!$I$6)))/Inputs!$K$6)^2)</f>
        <v/>
      </c>
      <c r="AA204" s="9">
        <f>(Inputs!$H$7+Inputs!$L$7*(((Inputs!$I$7+(((A204)+1)/2)*(Inputs!$J$7-Inputs!$I$7)))/Inputs!$K$7)^2)</f>
        <v/>
      </c>
      <c r="AB204" s="9">
        <f>(Inputs!$H$8+Inputs!$L$8*(((Inputs!$I$8+(((A204)+1)/2)*(Inputs!$J$8-Inputs!$I$8)))/Inputs!$K$8)^2)</f>
        <v/>
      </c>
      <c r="AC204" s="9">
        <f>(Inputs!$H$9+Inputs!$L$9*(((Inputs!$I$9+(((A204)+1)/2)*(Inputs!$J$9-Inputs!$I$9)))/Inputs!$K$9)^2)</f>
        <v/>
      </c>
      <c r="AD204" s="10" t="n"/>
      <c r="AE204" s="9">
        <f>A204</f>
        <v/>
      </c>
      <c r="AF204" s="9">
        <f>(((SQRT((Inputs!$C$52+((Inputs!$H$6+Inputs!$L$6*(((Inputs!$I$6+(((A204)+1)/2)*(Inputs!$J$6-Inputs!$I$6)))/Inputs!$K$6)^2)))^2+Inputs!$C$52^2-2*(Inputs!$C$52+((Inputs!$H$6+Inputs!$L$6*(((Inputs!$I$6+(((A204)+1)/2)*(Inputs!$J$6-Inputs!$I$6)))/Inputs!$K$6)^2)))*Inputs!$C$52*COS(SQRT(((Inputs!$I$6+(((A204)+1)/2)*(Inputs!$J$6-Inputs!$I$6)))^2+Inputs!$C$6^2)/Inputs!$C$52)))-((Inputs!$H$6+Inputs!$L$6*(((Inputs!$I$6+(((A204)+1)/2)*(Inputs!$J$6-Inputs!$I$6)))/Inputs!$K$6)^2)))*1000/Inputs!$C$12)</f>
        <v/>
      </c>
      <c r="AG204" s="9">
        <f>(((SQRT((Inputs!$C$52+((Inputs!$H$7+Inputs!$L$7*(((Inputs!$I$7+(((A204)+1)/2)*(Inputs!$J$7-Inputs!$I$7)))/Inputs!$K$7)^2)))^2+Inputs!$C$52^2-2*(Inputs!$C$52+((Inputs!$H$7+Inputs!$L$7*(((Inputs!$I$7+(((A204)+1)/2)*(Inputs!$J$7-Inputs!$I$7)))/Inputs!$K$7)^2)))*Inputs!$C$52*COS(SQRT(((Inputs!$I$7+(((A204)+1)/2)*(Inputs!$J$7-Inputs!$I$7)))^2+Inputs!$C$6^2)/Inputs!$C$52)))-((Inputs!$H$7+Inputs!$L$7*(((Inputs!$I$7+(((A204)+1)/2)*(Inputs!$J$7-Inputs!$I$7)))/Inputs!$K$7)^2)))*1000/Inputs!$C$12)</f>
        <v/>
      </c>
      <c r="AH204" s="9">
        <f>(((SQRT((Inputs!$C$52+((Inputs!$H$8+Inputs!$L$8*(((Inputs!$I$8+(((A204)+1)/2)*(Inputs!$J$8-Inputs!$I$8)))/Inputs!$K$8)^2)))^2+Inputs!$C$52^2-2*(Inputs!$C$52+((Inputs!$H$8+Inputs!$L$8*(((Inputs!$I$8+(((A204)+1)/2)*(Inputs!$J$8-Inputs!$I$8)))/Inputs!$K$8)^2)))*Inputs!$C$52*COS(SQRT(((Inputs!$I$8+(((A204)+1)/2)*(Inputs!$J$8-Inputs!$I$8)))^2+Inputs!$C$6^2)/Inputs!$C$52)))-((Inputs!$H$8+Inputs!$L$8*(((Inputs!$I$8+(((A204)+1)/2)*(Inputs!$J$8-Inputs!$I$8)))/Inputs!$K$8)^2)))*1000/Inputs!$C$12)</f>
        <v/>
      </c>
      <c r="AI204" s="9">
        <f>(((SQRT((Inputs!$C$52+((Inputs!$H$9+Inputs!$L$9*(((Inputs!$I$9+(((A204)+1)/2)*(Inputs!$J$9-Inputs!$I$9)))/Inputs!$K$9)^2)))^2+Inputs!$C$52^2-2*(Inputs!$C$52+((Inputs!$H$9+Inputs!$L$9*(((Inputs!$I$9+(((A204)+1)/2)*(Inputs!$J$9-Inputs!$I$9)))/Inputs!$K$9)^2)))*Inputs!$C$52*COS(SQRT(((Inputs!$I$9+(((A204)+1)/2)*(Inputs!$J$9-Inputs!$I$9)))^2+Inputs!$C$6^2)/Inputs!$C$52)))-((Inputs!$H$9+Inputs!$L$9*(((Inputs!$I$9+(((A204)+1)/2)*(Inputs!$J$9-Inputs!$I$9)))/Inputs!$K$9)^2)))*1000/Inputs!$C$12)</f>
        <v/>
      </c>
      <c r="AJ204" s="10" t="n"/>
      <c r="AK204" s="9">
        <f>A204</f>
        <v/>
      </c>
      <c r="AL204" s="9">
        <f>(-2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f>
        <v/>
      </c>
      <c r="AM204" s="9">
        <f>(-2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f>
        <v/>
      </c>
      <c r="AN204" s="9">
        <f>(-2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f>
        <v/>
      </c>
      <c r="AO204" s="9">
        <f>(-2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f>
        <v/>
      </c>
      <c r="AP204" s="10" t="n"/>
      <c r="AQ204" s="9">
        <f>A204</f>
        <v/>
      </c>
      <c r="AR204" s="9">
        <f>0</f>
        <v/>
      </c>
      <c r="AS204" s="9">
        <f>IF(OR(Inputs!$F$6=TRUE,Inputs!$F$6="TRUE",Inputs!$F$6=1),IF(OR(Inputs!$C$27=TRUE,Inputs!$C$27="TRUE",Inputs!$C$27=1),1,0)*(Inputs!$C$51*(115*EXP(-(((Inputs!$C$6)-25)^2)/(4.5^2))+70*EXP(-(((Inputs!$C$6)+38)^2)/(7^2))*(0.55+0.45*SIN(2*PI()*((Inputs!$I$6+(((A204)+1)/2)*(Inputs!$J$6-Inputs!$I$6)))/45))+24*SIN(2*PI()*(Inputs!$C$6)/9+((Inputs!$I$6+(((A204)+1)/2)*(Inputs!$J$6-Inputs!$I$6)))/18)*EXP(-(((Inputs!$C$6)+5)^2)/(22^2))+18*SIN(2*PI()*((Inputs!$I$6+(((A204)+1)/2)*(Inputs!$J$6-Inputs!$I$6)))/70))+Inputs!$C$28*EXP(-((((Inputs!$I$6+(((A204)+1)/2)*(Inputs!$J$6-Inputs!$I$6)))-Inputs!$C$29)^2)/(2*Inputs!$C$31^2))*EXP(-(((Inputs!$C$6)-Inputs!$C$30)^2)/(2*Inputs!$C$32^2))+-Inputs!$C$33*EXP(-((((((Inputs!$I$6+(((A204)+1)/2)*(Inputs!$J$6-Inputs!$I$6)))-Inputs!$C$34)^2)+(((Inputs!$C$6)-Inputs!$C$35)^2))/(2*Inputs!$C$36^2)))+Inputs!$C$37*(0.55*SIN(2*PI()*((Inputs!$I$6+(((A204)+1)/2)*(Inputs!$J$6-Inputs!$I$6)))/Inputs!$C$39)+0.35*COS(2*PI()*(Inputs!$C$6)/Inputs!$C$40)+0.2*SIN(2*PI()*(((Inputs!$I$6+(((A204)+1)/2)*(Inputs!$J$6-Inputs!$I$6)))+(Inputs!$C$6))/(0.5*(Inputs!$C$39+Inputs!$C$40))))+Inputs!$C$38*SIN(2*PI()*((Inputs!$I$6+(((A204)+1)/2)*(Inputs!$J$6-Inputs!$I$6)))/Inputs!$C$39)*SIN(2*PI()*(Inputs!$C$6)/Inputs!$C$40)+-Inputs!$C$41*EXP(-(((Inputs!$C$6)-Inputs!$C$43)^2)/(2*Inputs!$C$44^2))*EXP(-((((Inputs!$I$6+(((A204)+1)/2)*(Inputs!$J$6-Inputs!$I$6)))-Inputs!$C$42)^2)/(2*Inputs!$C$45^2))+Inputs!$C$48*(0.7*(0.45*SIN(2*PI()*((((Inputs!$I$6+(((A204)+1)/2)*(Inputs!$J$6-Inputs!$I$6)))/Inputs!$C$49)+Inputs!$C$47*0.137))+0.35*COS(2*PI()*(((Inputs!$C$6)/Inputs!$C$50)+Inputs!$C$47*0.173))+0.2*SIN(2*PI()*((((Inputs!$I$6+(((A204)+1)/2)*(Inputs!$J$6-Inputs!$I$6)))+(Inputs!$C$6))/(0.5*(Inputs!$C$49+Inputs!$C$50))+Inputs!$C$47*0.097)))+0.3*(2*((SIN((((Inputs!$I$6+(((A204)+1)/2)*(Inputs!$J$6-Inputs!$I$6)))*12.9898+(Inputs!$C$6)*78.233+Inputs!$C$47*37.719))*43758.5453)-INT((SIN((((Inputs!$I$6+(((A204)+1)/2)*(Inputs!$J$6-Inputs!$I$6)))*12.9898+(Inputs!$C$6)*78.233+Inputs!$C$47*37.719))*43758.5453)))-1))),NA())</f>
        <v/>
      </c>
      <c r="AT204" s="9">
        <f>IF(OR(Inputs!$F$7=TRUE,Inputs!$F$7="TRUE",Inputs!$F$7=1),IF(OR(Inputs!$C$27=TRUE,Inputs!$C$27="TRUE",Inputs!$C$27=1),1,0)*(Inputs!$C$51*(115*EXP(-(((Inputs!$C$6)-25)^2)/(4.5^2))+70*EXP(-(((Inputs!$C$6)+38)^2)/(7^2))*(0.55+0.45*SIN(2*PI()*((Inputs!$I$7+(((A204)+1)/2)*(Inputs!$J$7-Inputs!$I$7)))/45))+24*SIN(2*PI()*(Inputs!$C$6)/9+((Inputs!$I$7+(((A204)+1)/2)*(Inputs!$J$7-Inputs!$I$7)))/18)*EXP(-(((Inputs!$C$6)+5)^2)/(22^2))+18*SIN(2*PI()*((Inputs!$I$7+(((A204)+1)/2)*(Inputs!$J$7-Inputs!$I$7)))/70))+Inputs!$C$28*EXP(-((((Inputs!$I$7+(((A204)+1)/2)*(Inputs!$J$7-Inputs!$I$7)))-Inputs!$C$29)^2)/(2*Inputs!$C$31^2))*EXP(-(((Inputs!$C$6)-Inputs!$C$30)^2)/(2*Inputs!$C$32^2))+-Inputs!$C$33*EXP(-((((((Inputs!$I$7+(((A204)+1)/2)*(Inputs!$J$7-Inputs!$I$7)))-Inputs!$C$34)^2)+(((Inputs!$C$6)-Inputs!$C$35)^2))/(2*Inputs!$C$36^2)))+Inputs!$C$37*(0.55*SIN(2*PI()*((Inputs!$I$7+(((A204)+1)/2)*(Inputs!$J$7-Inputs!$I$7)))/Inputs!$C$39)+0.35*COS(2*PI()*(Inputs!$C$6)/Inputs!$C$40)+0.2*SIN(2*PI()*(((Inputs!$I$7+(((A204)+1)/2)*(Inputs!$J$7-Inputs!$I$7)))+(Inputs!$C$6))/(0.5*(Inputs!$C$39+Inputs!$C$40))))+Inputs!$C$38*SIN(2*PI()*((Inputs!$I$7+(((A204)+1)/2)*(Inputs!$J$7-Inputs!$I$7)))/Inputs!$C$39)*SIN(2*PI()*(Inputs!$C$6)/Inputs!$C$40)+-Inputs!$C$41*EXP(-(((Inputs!$C$6)-Inputs!$C$43)^2)/(2*Inputs!$C$44^2))*EXP(-((((Inputs!$I$7+(((A204)+1)/2)*(Inputs!$J$7-Inputs!$I$7)))-Inputs!$C$42)^2)/(2*Inputs!$C$45^2))+Inputs!$C$48*(0.7*(0.45*SIN(2*PI()*((((Inputs!$I$7+(((A204)+1)/2)*(Inputs!$J$7-Inputs!$I$7)))/Inputs!$C$49)+Inputs!$C$47*0.137))+0.35*COS(2*PI()*(((Inputs!$C$6)/Inputs!$C$50)+Inputs!$C$47*0.173))+0.2*SIN(2*PI()*((((Inputs!$I$7+(((A204)+1)/2)*(Inputs!$J$7-Inputs!$I$7)))+(Inputs!$C$6))/(0.5*(Inputs!$C$49+Inputs!$C$50))+Inputs!$C$47*0.097)))+0.3*(2*((SIN((((Inputs!$I$7+(((A204)+1)/2)*(Inputs!$J$7-Inputs!$I$7)))*12.9898+(Inputs!$C$6)*78.233+Inputs!$C$47*37.719))*43758.5453)-INT((SIN((((Inputs!$I$7+(((A204)+1)/2)*(Inputs!$J$7-Inputs!$I$7)))*12.9898+(Inputs!$C$6)*78.233+Inputs!$C$47*37.719))*43758.5453)))-1))),NA())</f>
        <v/>
      </c>
      <c r="AU204" s="9">
        <f>IF(OR(Inputs!$F$8=TRUE,Inputs!$F$8="TRUE",Inputs!$F$8=1),IF(OR(Inputs!$C$27=TRUE,Inputs!$C$27="TRUE",Inputs!$C$27=1),1,0)*(Inputs!$C$51*(115*EXP(-(((Inputs!$C$6)-25)^2)/(4.5^2))+70*EXP(-(((Inputs!$C$6)+38)^2)/(7^2))*(0.55+0.45*SIN(2*PI()*((Inputs!$I$8+(((A204)+1)/2)*(Inputs!$J$8-Inputs!$I$8)))/45))+24*SIN(2*PI()*(Inputs!$C$6)/9+((Inputs!$I$8+(((A204)+1)/2)*(Inputs!$J$8-Inputs!$I$8)))/18)*EXP(-(((Inputs!$C$6)+5)^2)/(22^2))+18*SIN(2*PI()*((Inputs!$I$8+(((A204)+1)/2)*(Inputs!$J$8-Inputs!$I$8)))/70))+Inputs!$C$28*EXP(-((((Inputs!$I$8+(((A204)+1)/2)*(Inputs!$J$8-Inputs!$I$8)))-Inputs!$C$29)^2)/(2*Inputs!$C$31^2))*EXP(-(((Inputs!$C$6)-Inputs!$C$30)^2)/(2*Inputs!$C$32^2))+-Inputs!$C$33*EXP(-((((((Inputs!$I$8+(((A204)+1)/2)*(Inputs!$J$8-Inputs!$I$8)))-Inputs!$C$34)^2)+(((Inputs!$C$6)-Inputs!$C$35)^2))/(2*Inputs!$C$36^2)))+Inputs!$C$37*(0.55*SIN(2*PI()*((Inputs!$I$8+(((A204)+1)/2)*(Inputs!$J$8-Inputs!$I$8)))/Inputs!$C$39)+0.35*COS(2*PI()*(Inputs!$C$6)/Inputs!$C$40)+0.2*SIN(2*PI()*(((Inputs!$I$8+(((A204)+1)/2)*(Inputs!$J$8-Inputs!$I$8)))+(Inputs!$C$6))/(0.5*(Inputs!$C$39+Inputs!$C$40))))+Inputs!$C$38*SIN(2*PI()*((Inputs!$I$8+(((A204)+1)/2)*(Inputs!$J$8-Inputs!$I$8)))/Inputs!$C$39)*SIN(2*PI()*(Inputs!$C$6)/Inputs!$C$40)+-Inputs!$C$41*EXP(-(((Inputs!$C$6)-Inputs!$C$43)^2)/(2*Inputs!$C$44^2))*EXP(-((((Inputs!$I$8+(((A204)+1)/2)*(Inputs!$J$8-Inputs!$I$8)))-Inputs!$C$42)^2)/(2*Inputs!$C$45^2))+Inputs!$C$48*(0.7*(0.45*SIN(2*PI()*((((Inputs!$I$8+(((A204)+1)/2)*(Inputs!$J$8-Inputs!$I$8)))/Inputs!$C$49)+Inputs!$C$47*0.137))+0.35*COS(2*PI()*(((Inputs!$C$6)/Inputs!$C$50)+Inputs!$C$47*0.173))+0.2*SIN(2*PI()*((((Inputs!$I$8+(((A204)+1)/2)*(Inputs!$J$8-Inputs!$I$8)))+(Inputs!$C$6))/(0.5*(Inputs!$C$49+Inputs!$C$50))+Inputs!$C$47*0.097)))+0.3*(2*((SIN((((Inputs!$I$8+(((A204)+1)/2)*(Inputs!$J$8-Inputs!$I$8)))*12.9898+(Inputs!$C$6)*78.233+Inputs!$C$47*37.719))*43758.5453)-INT((SIN((((Inputs!$I$8+(((A204)+1)/2)*(Inputs!$J$8-Inputs!$I$8)))*12.9898+(Inputs!$C$6)*78.233+Inputs!$C$47*37.719))*43758.5453)))-1))),NA())</f>
        <v/>
      </c>
      <c r="AV204" s="9">
        <f>IF(OR(Inputs!$F$9=TRUE,Inputs!$F$9="TRUE",Inputs!$F$9=1),IF(OR(Inputs!$C$27=TRUE,Inputs!$C$27="TRUE",Inputs!$C$27=1),1,0)*(Inputs!$C$51*(115*EXP(-(((Inputs!$C$6)-25)^2)/(4.5^2))+70*EXP(-(((Inputs!$C$6)+38)^2)/(7^2))*(0.55+0.45*SIN(2*PI()*((Inputs!$I$9+(((A204)+1)/2)*(Inputs!$J$9-Inputs!$I$9)))/45))+24*SIN(2*PI()*(Inputs!$C$6)/9+((Inputs!$I$9+(((A204)+1)/2)*(Inputs!$J$9-Inputs!$I$9)))/18)*EXP(-(((Inputs!$C$6)+5)^2)/(22^2))+18*SIN(2*PI()*((Inputs!$I$9+(((A204)+1)/2)*(Inputs!$J$9-Inputs!$I$9)))/70))+Inputs!$C$28*EXP(-((((Inputs!$I$9+(((A204)+1)/2)*(Inputs!$J$9-Inputs!$I$9)))-Inputs!$C$29)^2)/(2*Inputs!$C$31^2))*EXP(-(((Inputs!$C$6)-Inputs!$C$30)^2)/(2*Inputs!$C$32^2))+-Inputs!$C$33*EXP(-((((((Inputs!$I$9+(((A204)+1)/2)*(Inputs!$J$9-Inputs!$I$9)))-Inputs!$C$34)^2)+(((Inputs!$C$6)-Inputs!$C$35)^2))/(2*Inputs!$C$36^2)))+Inputs!$C$37*(0.55*SIN(2*PI()*((Inputs!$I$9+(((A204)+1)/2)*(Inputs!$J$9-Inputs!$I$9)))/Inputs!$C$39)+0.35*COS(2*PI()*(Inputs!$C$6)/Inputs!$C$40)+0.2*SIN(2*PI()*(((Inputs!$I$9+(((A204)+1)/2)*(Inputs!$J$9-Inputs!$I$9)))+(Inputs!$C$6))/(0.5*(Inputs!$C$39+Inputs!$C$40))))+Inputs!$C$38*SIN(2*PI()*((Inputs!$I$9+(((A204)+1)/2)*(Inputs!$J$9-Inputs!$I$9)))/Inputs!$C$39)*SIN(2*PI()*(Inputs!$C$6)/Inputs!$C$40)+-Inputs!$C$41*EXP(-(((Inputs!$C$6)-Inputs!$C$43)^2)/(2*Inputs!$C$44^2))*EXP(-((((Inputs!$I$9+(((A204)+1)/2)*(Inputs!$J$9-Inputs!$I$9)))-Inputs!$C$42)^2)/(2*Inputs!$C$45^2))+Inputs!$C$48*(0.7*(0.45*SIN(2*PI()*((((Inputs!$I$9+(((A204)+1)/2)*(Inputs!$J$9-Inputs!$I$9)))/Inputs!$C$49)+Inputs!$C$47*0.137))+0.35*COS(2*PI()*(((Inputs!$C$6)/Inputs!$C$50)+Inputs!$C$47*0.173))+0.2*SIN(2*PI()*((((Inputs!$I$9+(((A204)+1)/2)*(Inputs!$J$9-Inputs!$I$9)))+(Inputs!$C$6))/(0.5*(Inputs!$C$49+Inputs!$C$50))+Inputs!$C$47*0.097)))+0.3*(2*((SIN((((Inputs!$I$9+(((A204)+1)/2)*(Inputs!$J$9-Inputs!$I$9)))*12.9898+(Inputs!$C$6)*78.233+Inputs!$C$47*37.719))*43758.5453)-INT((SIN((((Inputs!$I$9+(((A204)+1)/2)*(Inputs!$J$9-Inputs!$I$9)))*12.9898+(Inputs!$C$6)*78.233+Inputs!$C$47*37.719))*43758.5453)))-1))),NA())</f>
        <v/>
      </c>
      <c r="AW204" s="10" t="n"/>
      <c r="AX204" s="9">
        <f>A204</f>
        <v/>
      </c>
      <c r="AY204" s="9">
        <f>0</f>
        <v/>
      </c>
      <c r="AZ204" s="9">
        <f>IF(OR(Inputs!$F$6=TRUE,Inputs!$F$6="TRUE",Inputs!$F$6=1),(Inputs!$H$6+Inputs!$L$6*(((Inputs!$I$6+(((A204)+1)/2)*(Inputs!$J$6-Inputs!$I$6)))/Inputs!$K$6)^2),NA())</f>
        <v/>
      </c>
      <c r="BA204" s="9">
        <f>IF(OR(Inputs!$F$7=TRUE,Inputs!$F$7="TRUE",Inputs!$F$7=1),(Inputs!$H$7+Inputs!$L$7*(((Inputs!$I$7+(((A204)+1)/2)*(Inputs!$J$7-Inputs!$I$7)))/Inputs!$K$7)^2),NA())</f>
        <v/>
      </c>
      <c r="BB204" s="9">
        <f>IF(OR(Inputs!$F$8=TRUE,Inputs!$F$8="TRUE",Inputs!$F$8=1),(Inputs!$H$8+Inputs!$L$8*(((Inputs!$I$8+(((A204)+1)/2)*(Inputs!$J$8-Inputs!$I$8)))/Inputs!$K$8)^2),NA())</f>
        <v/>
      </c>
      <c r="BC204" s="9">
        <f>IF(OR(Inputs!$F$9=TRUE,Inputs!$F$9="TRUE",Inputs!$F$9=1),(Inputs!$H$9+Inputs!$L$9*(((Inputs!$I$9+(((A204)+1)/2)*(Inputs!$J$9-Inputs!$I$9)))/Inputs!$K$9)^2),NA())</f>
        <v/>
      </c>
      <c r="BD204" s="10" t="n"/>
      <c r="BE204" s="9">
        <f>A204</f>
        <v/>
      </c>
      <c r="BF204" s="9">
        <f>0</f>
        <v/>
      </c>
      <c r="BG204" s="9">
        <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f>
        <v/>
      </c>
      <c r="BH204" s="9">
        <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f>
        <v/>
      </c>
      <c r="BI204" s="9">
        <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f>
        <v/>
      </c>
      <c r="BJ204" s="9">
        <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f>
        <v/>
      </c>
    </row>
    <row r="205">
      <c r="A205" s="9">
        <f>ROUND(-1+203*2/240,3)</f>
        <v/>
      </c>
      <c r="B205" s="9">
        <f>IF(OR(Inputs!$F$6=TRUE,Inputs!$F$6="TRUE",Inputs!$F$6=1),(Inputs!$H$6+Inputs!$L$6*(((Inputs!$I$6+(((A205)+1)/2)*(Inputs!$J$6-Inputs!$I$6)))/Inputs!$K$6)^2),NA())</f>
        <v/>
      </c>
      <c r="C205" s="9">
        <f>IF(OR(Inputs!$F$7=TRUE,Inputs!$F$7="TRUE",Inputs!$F$7=1),(Inputs!$H$7+Inputs!$L$7*(((Inputs!$I$7+(((A205)+1)/2)*(Inputs!$J$7-Inputs!$I$7)))/Inputs!$K$7)^2),NA())</f>
        <v/>
      </c>
      <c r="D205" s="9">
        <f>IF(OR(Inputs!$F$8=TRUE,Inputs!$F$8="TRUE",Inputs!$F$8=1),(Inputs!$H$8+Inputs!$L$8*(((Inputs!$I$8+(((A205)+1)/2)*(Inputs!$J$8-Inputs!$I$8)))/Inputs!$K$8)^2),NA())</f>
        <v/>
      </c>
      <c r="E205" s="9">
        <f>IF(OR(Inputs!$F$9=TRUE,Inputs!$F$9="TRUE",Inputs!$F$9=1),(Inputs!$H$9+Inputs!$L$9*(((Inputs!$I$9+(((A205)+1)/2)*(Inputs!$J$9-Inputs!$I$9)))/Inputs!$K$9)^2),NA())</f>
        <v/>
      </c>
      <c r="F205" s="10" t="n"/>
      <c r="G205" s="9">
        <f>A205</f>
        <v/>
      </c>
      <c r="H205" s="9">
        <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f>
        <v/>
      </c>
      <c r="I205" s="9">
        <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f>
        <v/>
      </c>
      <c r="J205" s="9">
        <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f>
        <v/>
      </c>
      <c r="K205" s="9">
        <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f>
        <v/>
      </c>
      <c r="L205" s="10" t="n"/>
      <c r="M205" s="9">
        <f>A205</f>
        <v/>
      </c>
      <c r="N205" s="9">
        <f>IF(OR(Inputs!$F$6=TRUE,Inputs!$F$6="TRUE",Inputs!$F$6=1),(-2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NA())</f>
        <v/>
      </c>
      <c r="O205" s="9">
        <f>IF(OR(Inputs!$F$7=TRUE,Inputs!$F$7="TRUE",Inputs!$F$7=1),(-2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NA())</f>
        <v/>
      </c>
      <c r="P205" s="9">
        <f>IF(OR(Inputs!$F$8=TRUE,Inputs!$F$8="TRUE",Inputs!$F$8=1),(-2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NA())</f>
        <v/>
      </c>
      <c r="Q205" s="9">
        <f>IF(OR(Inputs!$F$9=TRUE,Inputs!$F$9="TRUE",Inputs!$F$9=1),(-2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NA())</f>
        <v/>
      </c>
      <c r="R205" s="10" t="n"/>
      <c r="S205" s="9">
        <f>A205</f>
        <v/>
      </c>
      <c r="T205" s="9">
        <f>(Inputs!$I$6+(((A205)+1)/2)*(Inputs!$J$6-Inputs!$I$6))</f>
        <v/>
      </c>
      <c r="U205" s="9">
        <f>(Inputs!$I$7+(((A205)+1)/2)*(Inputs!$J$7-Inputs!$I$7))</f>
        <v/>
      </c>
      <c r="V205" s="9">
        <f>(Inputs!$I$8+(((A205)+1)/2)*(Inputs!$J$8-Inputs!$I$8))</f>
        <v/>
      </c>
      <c r="W205" s="9">
        <f>(Inputs!$I$9+(((A205)+1)/2)*(Inputs!$J$9-Inputs!$I$9))</f>
        <v/>
      </c>
      <c r="X205" s="10" t="n"/>
      <c r="Y205" s="9">
        <f>A205</f>
        <v/>
      </c>
      <c r="Z205" s="9">
        <f>(Inputs!$H$6+Inputs!$L$6*(((Inputs!$I$6+(((A205)+1)/2)*(Inputs!$J$6-Inputs!$I$6)))/Inputs!$K$6)^2)</f>
        <v/>
      </c>
      <c r="AA205" s="9">
        <f>(Inputs!$H$7+Inputs!$L$7*(((Inputs!$I$7+(((A205)+1)/2)*(Inputs!$J$7-Inputs!$I$7)))/Inputs!$K$7)^2)</f>
        <v/>
      </c>
      <c r="AB205" s="9">
        <f>(Inputs!$H$8+Inputs!$L$8*(((Inputs!$I$8+(((A205)+1)/2)*(Inputs!$J$8-Inputs!$I$8)))/Inputs!$K$8)^2)</f>
        <v/>
      </c>
      <c r="AC205" s="9">
        <f>(Inputs!$H$9+Inputs!$L$9*(((Inputs!$I$9+(((A205)+1)/2)*(Inputs!$J$9-Inputs!$I$9)))/Inputs!$K$9)^2)</f>
        <v/>
      </c>
      <c r="AD205" s="10" t="n"/>
      <c r="AE205" s="9">
        <f>A205</f>
        <v/>
      </c>
      <c r="AF205" s="9">
        <f>(((SQRT((Inputs!$C$52+((Inputs!$H$6+Inputs!$L$6*(((Inputs!$I$6+(((A205)+1)/2)*(Inputs!$J$6-Inputs!$I$6)))/Inputs!$K$6)^2)))^2+Inputs!$C$52^2-2*(Inputs!$C$52+((Inputs!$H$6+Inputs!$L$6*(((Inputs!$I$6+(((A205)+1)/2)*(Inputs!$J$6-Inputs!$I$6)))/Inputs!$K$6)^2)))*Inputs!$C$52*COS(SQRT(((Inputs!$I$6+(((A205)+1)/2)*(Inputs!$J$6-Inputs!$I$6)))^2+Inputs!$C$6^2)/Inputs!$C$52)))-((Inputs!$H$6+Inputs!$L$6*(((Inputs!$I$6+(((A205)+1)/2)*(Inputs!$J$6-Inputs!$I$6)))/Inputs!$K$6)^2)))*1000/Inputs!$C$12)</f>
        <v/>
      </c>
      <c r="AG205" s="9">
        <f>(((SQRT((Inputs!$C$52+((Inputs!$H$7+Inputs!$L$7*(((Inputs!$I$7+(((A205)+1)/2)*(Inputs!$J$7-Inputs!$I$7)))/Inputs!$K$7)^2)))^2+Inputs!$C$52^2-2*(Inputs!$C$52+((Inputs!$H$7+Inputs!$L$7*(((Inputs!$I$7+(((A205)+1)/2)*(Inputs!$J$7-Inputs!$I$7)))/Inputs!$K$7)^2)))*Inputs!$C$52*COS(SQRT(((Inputs!$I$7+(((A205)+1)/2)*(Inputs!$J$7-Inputs!$I$7)))^2+Inputs!$C$6^2)/Inputs!$C$52)))-((Inputs!$H$7+Inputs!$L$7*(((Inputs!$I$7+(((A205)+1)/2)*(Inputs!$J$7-Inputs!$I$7)))/Inputs!$K$7)^2)))*1000/Inputs!$C$12)</f>
        <v/>
      </c>
      <c r="AH205" s="9">
        <f>(((SQRT((Inputs!$C$52+((Inputs!$H$8+Inputs!$L$8*(((Inputs!$I$8+(((A205)+1)/2)*(Inputs!$J$8-Inputs!$I$8)))/Inputs!$K$8)^2)))^2+Inputs!$C$52^2-2*(Inputs!$C$52+((Inputs!$H$8+Inputs!$L$8*(((Inputs!$I$8+(((A205)+1)/2)*(Inputs!$J$8-Inputs!$I$8)))/Inputs!$K$8)^2)))*Inputs!$C$52*COS(SQRT(((Inputs!$I$8+(((A205)+1)/2)*(Inputs!$J$8-Inputs!$I$8)))^2+Inputs!$C$6^2)/Inputs!$C$52)))-((Inputs!$H$8+Inputs!$L$8*(((Inputs!$I$8+(((A205)+1)/2)*(Inputs!$J$8-Inputs!$I$8)))/Inputs!$K$8)^2)))*1000/Inputs!$C$12)</f>
        <v/>
      </c>
      <c r="AI205" s="9">
        <f>(((SQRT((Inputs!$C$52+((Inputs!$H$9+Inputs!$L$9*(((Inputs!$I$9+(((A205)+1)/2)*(Inputs!$J$9-Inputs!$I$9)))/Inputs!$K$9)^2)))^2+Inputs!$C$52^2-2*(Inputs!$C$52+((Inputs!$H$9+Inputs!$L$9*(((Inputs!$I$9+(((A205)+1)/2)*(Inputs!$J$9-Inputs!$I$9)))/Inputs!$K$9)^2)))*Inputs!$C$52*COS(SQRT(((Inputs!$I$9+(((A205)+1)/2)*(Inputs!$J$9-Inputs!$I$9)))^2+Inputs!$C$6^2)/Inputs!$C$52)))-((Inputs!$H$9+Inputs!$L$9*(((Inputs!$I$9+(((A205)+1)/2)*(Inputs!$J$9-Inputs!$I$9)))/Inputs!$K$9)^2)))*1000/Inputs!$C$12)</f>
        <v/>
      </c>
      <c r="AJ205" s="10" t="n"/>
      <c r="AK205" s="9">
        <f>A205</f>
        <v/>
      </c>
      <c r="AL205" s="9">
        <f>(-2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f>
        <v/>
      </c>
      <c r="AM205" s="9">
        <f>(-2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f>
        <v/>
      </c>
      <c r="AN205" s="9">
        <f>(-2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f>
        <v/>
      </c>
      <c r="AO205" s="9">
        <f>(-2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f>
        <v/>
      </c>
      <c r="AP205" s="10" t="n"/>
      <c r="AQ205" s="9">
        <f>A205</f>
        <v/>
      </c>
      <c r="AR205" s="9">
        <f>0</f>
        <v/>
      </c>
      <c r="AS205" s="9">
        <f>IF(OR(Inputs!$F$6=TRUE,Inputs!$F$6="TRUE",Inputs!$F$6=1),IF(OR(Inputs!$C$27=TRUE,Inputs!$C$27="TRUE",Inputs!$C$27=1),1,0)*(Inputs!$C$51*(115*EXP(-(((Inputs!$C$6)-25)^2)/(4.5^2))+70*EXP(-(((Inputs!$C$6)+38)^2)/(7^2))*(0.55+0.45*SIN(2*PI()*((Inputs!$I$6+(((A205)+1)/2)*(Inputs!$J$6-Inputs!$I$6)))/45))+24*SIN(2*PI()*(Inputs!$C$6)/9+((Inputs!$I$6+(((A205)+1)/2)*(Inputs!$J$6-Inputs!$I$6)))/18)*EXP(-(((Inputs!$C$6)+5)^2)/(22^2))+18*SIN(2*PI()*((Inputs!$I$6+(((A205)+1)/2)*(Inputs!$J$6-Inputs!$I$6)))/70))+Inputs!$C$28*EXP(-((((Inputs!$I$6+(((A205)+1)/2)*(Inputs!$J$6-Inputs!$I$6)))-Inputs!$C$29)^2)/(2*Inputs!$C$31^2))*EXP(-(((Inputs!$C$6)-Inputs!$C$30)^2)/(2*Inputs!$C$32^2))+-Inputs!$C$33*EXP(-((((((Inputs!$I$6+(((A205)+1)/2)*(Inputs!$J$6-Inputs!$I$6)))-Inputs!$C$34)^2)+(((Inputs!$C$6)-Inputs!$C$35)^2))/(2*Inputs!$C$36^2)))+Inputs!$C$37*(0.55*SIN(2*PI()*((Inputs!$I$6+(((A205)+1)/2)*(Inputs!$J$6-Inputs!$I$6)))/Inputs!$C$39)+0.35*COS(2*PI()*(Inputs!$C$6)/Inputs!$C$40)+0.2*SIN(2*PI()*(((Inputs!$I$6+(((A205)+1)/2)*(Inputs!$J$6-Inputs!$I$6)))+(Inputs!$C$6))/(0.5*(Inputs!$C$39+Inputs!$C$40))))+Inputs!$C$38*SIN(2*PI()*((Inputs!$I$6+(((A205)+1)/2)*(Inputs!$J$6-Inputs!$I$6)))/Inputs!$C$39)*SIN(2*PI()*(Inputs!$C$6)/Inputs!$C$40)+-Inputs!$C$41*EXP(-(((Inputs!$C$6)-Inputs!$C$43)^2)/(2*Inputs!$C$44^2))*EXP(-((((Inputs!$I$6+(((A205)+1)/2)*(Inputs!$J$6-Inputs!$I$6)))-Inputs!$C$42)^2)/(2*Inputs!$C$45^2))+Inputs!$C$48*(0.7*(0.45*SIN(2*PI()*((((Inputs!$I$6+(((A205)+1)/2)*(Inputs!$J$6-Inputs!$I$6)))/Inputs!$C$49)+Inputs!$C$47*0.137))+0.35*COS(2*PI()*(((Inputs!$C$6)/Inputs!$C$50)+Inputs!$C$47*0.173))+0.2*SIN(2*PI()*((((Inputs!$I$6+(((A205)+1)/2)*(Inputs!$J$6-Inputs!$I$6)))+(Inputs!$C$6))/(0.5*(Inputs!$C$49+Inputs!$C$50))+Inputs!$C$47*0.097)))+0.3*(2*((SIN((((Inputs!$I$6+(((A205)+1)/2)*(Inputs!$J$6-Inputs!$I$6)))*12.9898+(Inputs!$C$6)*78.233+Inputs!$C$47*37.719))*43758.5453)-INT((SIN((((Inputs!$I$6+(((A205)+1)/2)*(Inputs!$J$6-Inputs!$I$6)))*12.9898+(Inputs!$C$6)*78.233+Inputs!$C$47*37.719))*43758.5453)))-1))),NA())</f>
        <v/>
      </c>
      <c r="AT205" s="9">
        <f>IF(OR(Inputs!$F$7=TRUE,Inputs!$F$7="TRUE",Inputs!$F$7=1),IF(OR(Inputs!$C$27=TRUE,Inputs!$C$27="TRUE",Inputs!$C$27=1),1,0)*(Inputs!$C$51*(115*EXP(-(((Inputs!$C$6)-25)^2)/(4.5^2))+70*EXP(-(((Inputs!$C$6)+38)^2)/(7^2))*(0.55+0.45*SIN(2*PI()*((Inputs!$I$7+(((A205)+1)/2)*(Inputs!$J$7-Inputs!$I$7)))/45))+24*SIN(2*PI()*(Inputs!$C$6)/9+((Inputs!$I$7+(((A205)+1)/2)*(Inputs!$J$7-Inputs!$I$7)))/18)*EXP(-(((Inputs!$C$6)+5)^2)/(22^2))+18*SIN(2*PI()*((Inputs!$I$7+(((A205)+1)/2)*(Inputs!$J$7-Inputs!$I$7)))/70))+Inputs!$C$28*EXP(-((((Inputs!$I$7+(((A205)+1)/2)*(Inputs!$J$7-Inputs!$I$7)))-Inputs!$C$29)^2)/(2*Inputs!$C$31^2))*EXP(-(((Inputs!$C$6)-Inputs!$C$30)^2)/(2*Inputs!$C$32^2))+-Inputs!$C$33*EXP(-((((((Inputs!$I$7+(((A205)+1)/2)*(Inputs!$J$7-Inputs!$I$7)))-Inputs!$C$34)^2)+(((Inputs!$C$6)-Inputs!$C$35)^2))/(2*Inputs!$C$36^2)))+Inputs!$C$37*(0.55*SIN(2*PI()*((Inputs!$I$7+(((A205)+1)/2)*(Inputs!$J$7-Inputs!$I$7)))/Inputs!$C$39)+0.35*COS(2*PI()*(Inputs!$C$6)/Inputs!$C$40)+0.2*SIN(2*PI()*(((Inputs!$I$7+(((A205)+1)/2)*(Inputs!$J$7-Inputs!$I$7)))+(Inputs!$C$6))/(0.5*(Inputs!$C$39+Inputs!$C$40))))+Inputs!$C$38*SIN(2*PI()*((Inputs!$I$7+(((A205)+1)/2)*(Inputs!$J$7-Inputs!$I$7)))/Inputs!$C$39)*SIN(2*PI()*(Inputs!$C$6)/Inputs!$C$40)+-Inputs!$C$41*EXP(-(((Inputs!$C$6)-Inputs!$C$43)^2)/(2*Inputs!$C$44^2))*EXP(-((((Inputs!$I$7+(((A205)+1)/2)*(Inputs!$J$7-Inputs!$I$7)))-Inputs!$C$42)^2)/(2*Inputs!$C$45^2))+Inputs!$C$48*(0.7*(0.45*SIN(2*PI()*((((Inputs!$I$7+(((A205)+1)/2)*(Inputs!$J$7-Inputs!$I$7)))/Inputs!$C$49)+Inputs!$C$47*0.137))+0.35*COS(2*PI()*(((Inputs!$C$6)/Inputs!$C$50)+Inputs!$C$47*0.173))+0.2*SIN(2*PI()*((((Inputs!$I$7+(((A205)+1)/2)*(Inputs!$J$7-Inputs!$I$7)))+(Inputs!$C$6))/(0.5*(Inputs!$C$49+Inputs!$C$50))+Inputs!$C$47*0.097)))+0.3*(2*((SIN((((Inputs!$I$7+(((A205)+1)/2)*(Inputs!$J$7-Inputs!$I$7)))*12.9898+(Inputs!$C$6)*78.233+Inputs!$C$47*37.719))*43758.5453)-INT((SIN((((Inputs!$I$7+(((A205)+1)/2)*(Inputs!$J$7-Inputs!$I$7)))*12.9898+(Inputs!$C$6)*78.233+Inputs!$C$47*37.719))*43758.5453)))-1))),NA())</f>
        <v/>
      </c>
      <c r="AU205" s="9">
        <f>IF(OR(Inputs!$F$8=TRUE,Inputs!$F$8="TRUE",Inputs!$F$8=1),IF(OR(Inputs!$C$27=TRUE,Inputs!$C$27="TRUE",Inputs!$C$27=1),1,0)*(Inputs!$C$51*(115*EXP(-(((Inputs!$C$6)-25)^2)/(4.5^2))+70*EXP(-(((Inputs!$C$6)+38)^2)/(7^2))*(0.55+0.45*SIN(2*PI()*((Inputs!$I$8+(((A205)+1)/2)*(Inputs!$J$8-Inputs!$I$8)))/45))+24*SIN(2*PI()*(Inputs!$C$6)/9+((Inputs!$I$8+(((A205)+1)/2)*(Inputs!$J$8-Inputs!$I$8)))/18)*EXP(-(((Inputs!$C$6)+5)^2)/(22^2))+18*SIN(2*PI()*((Inputs!$I$8+(((A205)+1)/2)*(Inputs!$J$8-Inputs!$I$8)))/70))+Inputs!$C$28*EXP(-((((Inputs!$I$8+(((A205)+1)/2)*(Inputs!$J$8-Inputs!$I$8)))-Inputs!$C$29)^2)/(2*Inputs!$C$31^2))*EXP(-(((Inputs!$C$6)-Inputs!$C$30)^2)/(2*Inputs!$C$32^2))+-Inputs!$C$33*EXP(-((((((Inputs!$I$8+(((A205)+1)/2)*(Inputs!$J$8-Inputs!$I$8)))-Inputs!$C$34)^2)+(((Inputs!$C$6)-Inputs!$C$35)^2))/(2*Inputs!$C$36^2)))+Inputs!$C$37*(0.55*SIN(2*PI()*((Inputs!$I$8+(((A205)+1)/2)*(Inputs!$J$8-Inputs!$I$8)))/Inputs!$C$39)+0.35*COS(2*PI()*(Inputs!$C$6)/Inputs!$C$40)+0.2*SIN(2*PI()*(((Inputs!$I$8+(((A205)+1)/2)*(Inputs!$J$8-Inputs!$I$8)))+(Inputs!$C$6))/(0.5*(Inputs!$C$39+Inputs!$C$40))))+Inputs!$C$38*SIN(2*PI()*((Inputs!$I$8+(((A205)+1)/2)*(Inputs!$J$8-Inputs!$I$8)))/Inputs!$C$39)*SIN(2*PI()*(Inputs!$C$6)/Inputs!$C$40)+-Inputs!$C$41*EXP(-(((Inputs!$C$6)-Inputs!$C$43)^2)/(2*Inputs!$C$44^2))*EXP(-((((Inputs!$I$8+(((A205)+1)/2)*(Inputs!$J$8-Inputs!$I$8)))-Inputs!$C$42)^2)/(2*Inputs!$C$45^2))+Inputs!$C$48*(0.7*(0.45*SIN(2*PI()*((((Inputs!$I$8+(((A205)+1)/2)*(Inputs!$J$8-Inputs!$I$8)))/Inputs!$C$49)+Inputs!$C$47*0.137))+0.35*COS(2*PI()*(((Inputs!$C$6)/Inputs!$C$50)+Inputs!$C$47*0.173))+0.2*SIN(2*PI()*((((Inputs!$I$8+(((A205)+1)/2)*(Inputs!$J$8-Inputs!$I$8)))+(Inputs!$C$6))/(0.5*(Inputs!$C$49+Inputs!$C$50))+Inputs!$C$47*0.097)))+0.3*(2*((SIN((((Inputs!$I$8+(((A205)+1)/2)*(Inputs!$J$8-Inputs!$I$8)))*12.9898+(Inputs!$C$6)*78.233+Inputs!$C$47*37.719))*43758.5453)-INT((SIN((((Inputs!$I$8+(((A205)+1)/2)*(Inputs!$J$8-Inputs!$I$8)))*12.9898+(Inputs!$C$6)*78.233+Inputs!$C$47*37.719))*43758.5453)))-1))),NA())</f>
        <v/>
      </c>
      <c r="AV205" s="9">
        <f>IF(OR(Inputs!$F$9=TRUE,Inputs!$F$9="TRUE",Inputs!$F$9=1),IF(OR(Inputs!$C$27=TRUE,Inputs!$C$27="TRUE",Inputs!$C$27=1),1,0)*(Inputs!$C$51*(115*EXP(-(((Inputs!$C$6)-25)^2)/(4.5^2))+70*EXP(-(((Inputs!$C$6)+38)^2)/(7^2))*(0.55+0.45*SIN(2*PI()*((Inputs!$I$9+(((A205)+1)/2)*(Inputs!$J$9-Inputs!$I$9)))/45))+24*SIN(2*PI()*(Inputs!$C$6)/9+((Inputs!$I$9+(((A205)+1)/2)*(Inputs!$J$9-Inputs!$I$9)))/18)*EXP(-(((Inputs!$C$6)+5)^2)/(22^2))+18*SIN(2*PI()*((Inputs!$I$9+(((A205)+1)/2)*(Inputs!$J$9-Inputs!$I$9)))/70))+Inputs!$C$28*EXP(-((((Inputs!$I$9+(((A205)+1)/2)*(Inputs!$J$9-Inputs!$I$9)))-Inputs!$C$29)^2)/(2*Inputs!$C$31^2))*EXP(-(((Inputs!$C$6)-Inputs!$C$30)^2)/(2*Inputs!$C$32^2))+-Inputs!$C$33*EXP(-((((((Inputs!$I$9+(((A205)+1)/2)*(Inputs!$J$9-Inputs!$I$9)))-Inputs!$C$34)^2)+(((Inputs!$C$6)-Inputs!$C$35)^2))/(2*Inputs!$C$36^2)))+Inputs!$C$37*(0.55*SIN(2*PI()*((Inputs!$I$9+(((A205)+1)/2)*(Inputs!$J$9-Inputs!$I$9)))/Inputs!$C$39)+0.35*COS(2*PI()*(Inputs!$C$6)/Inputs!$C$40)+0.2*SIN(2*PI()*(((Inputs!$I$9+(((A205)+1)/2)*(Inputs!$J$9-Inputs!$I$9)))+(Inputs!$C$6))/(0.5*(Inputs!$C$39+Inputs!$C$40))))+Inputs!$C$38*SIN(2*PI()*((Inputs!$I$9+(((A205)+1)/2)*(Inputs!$J$9-Inputs!$I$9)))/Inputs!$C$39)*SIN(2*PI()*(Inputs!$C$6)/Inputs!$C$40)+-Inputs!$C$41*EXP(-(((Inputs!$C$6)-Inputs!$C$43)^2)/(2*Inputs!$C$44^2))*EXP(-((((Inputs!$I$9+(((A205)+1)/2)*(Inputs!$J$9-Inputs!$I$9)))-Inputs!$C$42)^2)/(2*Inputs!$C$45^2))+Inputs!$C$48*(0.7*(0.45*SIN(2*PI()*((((Inputs!$I$9+(((A205)+1)/2)*(Inputs!$J$9-Inputs!$I$9)))/Inputs!$C$49)+Inputs!$C$47*0.137))+0.35*COS(2*PI()*(((Inputs!$C$6)/Inputs!$C$50)+Inputs!$C$47*0.173))+0.2*SIN(2*PI()*((((Inputs!$I$9+(((A205)+1)/2)*(Inputs!$J$9-Inputs!$I$9)))+(Inputs!$C$6))/(0.5*(Inputs!$C$49+Inputs!$C$50))+Inputs!$C$47*0.097)))+0.3*(2*((SIN((((Inputs!$I$9+(((A205)+1)/2)*(Inputs!$J$9-Inputs!$I$9)))*12.9898+(Inputs!$C$6)*78.233+Inputs!$C$47*37.719))*43758.5453)-INT((SIN((((Inputs!$I$9+(((A205)+1)/2)*(Inputs!$J$9-Inputs!$I$9)))*12.9898+(Inputs!$C$6)*78.233+Inputs!$C$47*37.719))*43758.5453)))-1))),NA())</f>
        <v/>
      </c>
      <c r="AW205" s="10" t="n"/>
      <c r="AX205" s="9">
        <f>A205</f>
        <v/>
      </c>
      <c r="AY205" s="9">
        <f>0</f>
        <v/>
      </c>
      <c r="AZ205" s="9">
        <f>IF(OR(Inputs!$F$6=TRUE,Inputs!$F$6="TRUE",Inputs!$F$6=1),(Inputs!$H$6+Inputs!$L$6*(((Inputs!$I$6+(((A205)+1)/2)*(Inputs!$J$6-Inputs!$I$6)))/Inputs!$K$6)^2),NA())</f>
        <v/>
      </c>
      <c r="BA205" s="9">
        <f>IF(OR(Inputs!$F$7=TRUE,Inputs!$F$7="TRUE",Inputs!$F$7=1),(Inputs!$H$7+Inputs!$L$7*(((Inputs!$I$7+(((A205)+1)/2)*(Inputs!$J$7-Inputs!$I$7)))/Inputs!$K$7)^2),NA())</f>
        <v/>
      </c>
      <c r="BB205" s="9">
        <f>IF(OR(Inputs!$F$8=TRUE,Inputs!$F$8="TRUE",Inputs!$F$8=1),(Inputs!$H$8+Inputs!$L$8*(((Inputs!$I$8+(((A205)+1)/2)*(Inputs!$J$8-Inputs!$I$8)))/Inputs!$K$8)^2),NA())</f>
        <v/>
      </c>
      <c r="BC205" s="9">
        <f>IF(OR(Inputs!$F$9=TRUE,Inputs!$F$9="TRUE",Inputs!$F$9=1),(Inputs!$H$9+Inputs!$L$9*(((Inputs!$I$9+(((A205)+1)/2)*(Inputs!$J$9-Inputs!$I$9)))/Inputs!$K$9)^2),NA())</f>
        <v/>
      </c>
      <c r="BD205" s="10" t="n"/>
      <c r="BE205" s="9">
        <f>A205</f>
        <v/>
      </c>
      <c r="BF205" s="9">
        <f>0</f>
        <v/>
      </c>
      <c r="BG205" s="9">
        <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f>
        <v/>
      </c>
      <c r="BH205" s="9">
        <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f>
        <v/>
      </c>
      <c r="BI205" s="9">
        <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f>
        <v/>
      </c>
      <c r="BJ205" s="9">
        <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f>
        <v/>
      </c>
    </row>
    <row r="206">
      <c r="A206" s="9">
        <f>ROUND(-1+204*2/240,3)</f>
        <v/>
      </c>
      <c r="B206" s="9">
        <f>IF(OR(Inputs!$F$6=TRUE,Inputs!$F$6="TRUE",Inputs!$F$6=1),(Inputs!$H$6+Inputs!$L$6*(((Inputs!$I$6+(((A206)+1)/2)*(Inputs!$J$6-Inputs!$I$6)))/Inputs!$K$6)^2),NA())</f>
        <v/>
      </c>
      <c r="C206" s="9">
        <f>IF(OR(Inputs!$F$7=TRUE,Inputs!$F$7="TRUE",Inputs!$F$7=1),(Inputs!$H$7+Inputs!$L$7*(((Inputs!$I$7+(((A206)+1)/2)*(Inputs!$J$7-Inputs!$I$7)))/Inputs!$K$7)^2),NA())</f>
        <v/>
      </c>
      <c r="D206" s="9">
        <f>IF(OR(Inputs!$F$8=TRUE,Inputs!$F$8="TRUE",Inputs!$F$8=1),(Inputs!$H$8+Inputs!$L$8*(((Inputs!$I$8+(((A206)+1)/2)*(Inputs!$J$8-Inputs!$I$8)))/Inputs!$K$8)^2),NA())</f>
        <v/>
      </c>
      <c r="E206" s="9">
        <f>IF(OR(Inputs!$F$9=TRUE,Inputs!$F$9="TRUE",Inputs!$F$9=1),(Inputs!$H$9+Inputs!$L$9*(((Inputs!$I$9+(((A206)+1)/2)*(Inputs!$J$9-Inputs!$I$9)))/Inputs!$K$9)^2),NA())</f>
        <v/>
      </c>
      <c r="F206" s="10" t="n"/>
      <c r="G206" s="9">
        <f>A206</f>
        <v/>
      </c>
      <c r="H206" s="9">
        <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f>
        <v/>
      </c>
      <c r="I206" s="9">
        <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f>
        <v/>
      </c>
      <c r="J206" s="9">
        <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f>
        <v/>
      </c>
      <c r="K206" s="9">
        <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f>
        <v/>
      </c>
      <c r="L206" s="10" t="n"/>
      <c r="M206" s="9">
        <f>A206</f>
        <v/>
      </c>
      <c r="N206" s="9">
        <f>IF(OR(Inputs!$F$6=TRUE,Inputs!$F$6="TRUE",Inputs!$F$6=1),(-2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NA())</f>
        <v/>
      </c>
      <c r="O206" s="9">
        <f>IF(OR(Inputs!$F$7=TRUE,Inputs!$F$7="TRUE",Inputs!$F$7=1),(-2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NA())</f>
        <v/>
      </c>
      <c r="P206" s="9">
        <f>IF(OR(Inputs!$F$8=TRUE,Inputs!$F$8="TRUE",Inputs!$F$8=1),(-2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NA())</f>
        <v/>
      </c>
      <c r="Q206" s="9">
        <f>IF(OR(Inputs!$F$9=TRUE,Inputs!$F$9="TRUE",Inputs!$F$9=1),(-2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NA())</f>
        <v/>
      </c>
      <c r="R206" s="10" t="n"/>
      <c r="S206" s="9">
        <f>A206</f>
        <v/>
      </c>
      <c r="T206" s="9">
        <f>(Inputs!$I$6+(((A206)+1)/2)*(Inputs!$J$6-Inputs!$I$6))</f>
        <v/>
      </c>
      <c r="U206" s="9">
        <f>(Inputs!$I$7+(((A206)+1)/2)*(Inputs!$J$7-Inputs!$I$7))</f>
        <v/>
      </c>
      <c r="V206" s="9">
        <f>(Inputs!$I$8+(((A206)+1)/2)*(Inputs!$J$8-Inputs!$I$8))</f>
        <v/>
      </c>
      <c r="W206" s="9">
        <f>(Inputs!$I$9+(((A206)+1)/2)*(Inputs!$J$9-Inputs!$I$9))</f>
        <v/>
      </c>
      <c r="X206" s="10" t="n"/>
      <c r="Y206" s="9">
        <f>A206</f>
        <v/>
      </c>
      <c r="Z206" s="9">
        <f>(Inputs!$H$6+Inputs!$L$6*(((Inputs!$I$6+(((A206)+1)/2)*(Inputs!$J$6-Inputs!$I$6)))/Inputs!$K$6)^2)</f>
        <v/>
      </c>
      <c r="AA206" s="9">
        <f>(Inputs!$H$7+Inputs!$L$7*(((Inputs!$I$7+(((A206)+1)/2)*(Inputs!$J$7-Inputs!$I$7)))/Inputs!$K$7)^2)</f>
        <v/>
      </c>
      <c r="AB206" s="9">
        <f>(Inputs!$H$8+Inputs!$L$8*(((Inputs!$I$8+(((A206)+1)/2)*(Inputs!$J$8-Inputs!$I$8)))/Inputs!$K$8)^2)</f>
        <v/>
      </c>
      <c r="AC206" s="9">
        <f>(Inputs!$H$9+Inputs!$L$9*(((Inputs!$I$9+(((A206)+1)/2)*(Inputs!$J$9-Inputs!$I$9)))/Inputs!$K$9)^2)</f>
        <v/>
      </c>
      <c r="AD206" s="10" t="n"/>
      <c r="AE206" s="9">
        <f>A206</f>
        <v/>
      </c>
      <c r="AF206" s="9">
        <f>(((SQRT((Inputs!$C$52+((Inputs!$H$6+Inputs!$L$6*(((Inputs!$I$6+(((A206)+1)/2)*(Inputs!$J$6-Inputs!$I$6)))/Inputs!$K$6)^2)))^2+Inputs!$C$52^2-2*(Inputs!$C$52+((Inputs!$H$6+Inputs!$L$6*(((Inputs!$I$6+(((A206)+1)/2)*(Inputs!$J$6-Inputs!$I$6)))/Inputs!$K$6)^2)))*Inputs!$C$52*COS(SQRT(((Inputs!$I$6+(((A206)+1)/2)*(Inputs!$J$6-Inputs!$I$6)))^2+Inputs!$C$6^2)/Inputs!$C$52)))-((Inputs!$H$6+Inputs!$L$6*(((Inputs!$I$6+(((A206)+1)/2)*(Inputs!$J$6-Inputs!$I$6)))/Inputs!$K$6)^2)))*1000/Inputs!$C$12)</f>
        <v/>
      </c>
      <c r="AG206" s="9">
        <f>(((SQRT((Inputs!$C$52+((Inputs!$H$7+Inputs!$L$7*(((Inputs!$I$7+(((A206)+1)/2)*(Inputs!$J$7-Inputs!$I$7)))/Inputs!$K$7)^2)))^2+Inputs!$C$52^2-2*(Inputs!$C$52+((Inputs!$H$7+Inputs!$L$7*(((Inputs!$I$7+(((A206)+1)/2)*(Inputs!$J$7-Inputs!$I$7)))/Inputs!$K$7)^2)))*Inputs!$C$52*COS(SQRT(((Inputs!$I$7+(((A206)+1)/2)*(Inputs!$J$7-Inputs!$I$7)))^2+Inputs!$C$6^2)/Inputs!$C$52)))-((Inputs!$H$7+Inputs!$L$7*(((Inputs!$I$7+(((A206)+1)/2)*(Inputs!$J$7-Inputs!$I$7)))/Inputs!$K$7)^2)))*1000/Inputs!$C$12)</f>
        <v/>
      </c>
      <c r="AH206" s="9">
        <f>(((SQRT((Inputs!$C$52+((Inputs!$H$8+Inputs!$L$8*(((Inputs!$I$8+(((A206)+1)/2)*(Inputs!$J$8-Inputs!$I$8)))/Inputs!$K$8)^2)))^2+Inputs!$C$52^2-2*(Inputs!$C$52+((Inputs!$H$8+Inputs!$L$8*(((Inputs!$I$8+(((A206)+1)/2)*(Inputs!$J$8-Inputs!$I$8)))/Inputs!$K$8)^2)))*Inputs!$C$52*COS(SQRT(((Inputs!$I$8+(((A206)+1)/2)*(Inputs!$J$8-Inputs!$I$8)))^2+Inputs!$C$6^2)/Inputs!$C$52)))-((Inputs!$H$8+Inputs!$L$8*(((Inputs!$I$8+(((A206)+1)/2)*(Inputs!$J$8-Inputs!$I$8)))/Inputs!$K$8)^2)))*1000/Inputs!$C$12)</f>
        <v/>
      </c>
      <c r="AI206" s="9">
        <f>(((SQRT((Inputs!$C$52+((Inputs!$H$9+Inputs!$L$9*(((Inputs!$I$9+(((A206)+1)/2)*(Inputs!$J$9-Inputs!$I$9)))/Inputs!$K$9)^2)))^2+Inputs!$C$52^2-2*(Inputs!$C$52+((Inputs!$H$9+Inputs!$L$9*(((Inputs!$I$9+(((A206)+1)/2)*(Inputs!$J$9-Inputs!$I$9)))/Inputs!$K$9)^2)))*Inputs!$C$52*COS(SQRT(((Inputs!$I$9+(((A206)+1)/2)*(Inputs!$J$9-Inputs!$I$9)))^2+Inputs!$C$6^2)/Inputs!$C$52)))-((Inputs!$H$9+Inputs!$L$9*(((Inputs!$I$9+(((A206)+1)/2)*(Inputs!$J$9-Inputs!$I$9)))/Inputs!$K$9)^2)))*1000/Inputs!$C$12)</f>
        <v/>
      </c>
      <c r="AJ206" s="10" t="n"/>
      <c r="AK206" s="9">
        <f>A206</f>
        <v/>
      </c>
      <c r="AL206" s="9">
        <f>(-2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f>
        <v/>
      </c>
      <c r="AM206" s="9">
        <f>(-2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f>
        <v/>
      </c>
      <c r="AN206" s="9">
        <f>(-2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f>
        <v/>
      </c>
      <c r="AO206" s="9">
        <f>(-2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f>
        <v/>
      </c>
      <c r="AP206" s="10" t="n"/>
      <c r="AQ206" s="9">
        <f>A206</f>
        <v/>
      </c>
      <c r="AR206" s="9">
        <f>0</f>
        <v/>
      </c>
      <c r="AS206" s="9">
        <f>IF(OR(Inputs!$F$6=TRUE,Inputs!$F$6="TRUE",Inputs!$F$6=1),IF(OR(Inputs!$C$27=TRUE,Inputs!$C$27="TRUE",Inputs!$C$27=1),1,0)*(Inputs!$C$51*(115*EXP(-(((Inputs!$C$6)-25)^2)/(4.5^2))+70*EXP(-(((Inputs!$C$6)+38)^2)/(7^2))*(0.55+0.45*SIN(2*PI()*((Inputs!$I$6+(((A206)+1)/2)*(Inputs!$J$6-Inputs!$I$6)))/45))+24*SIN(2*PI()*(Inputs!$C$6)/9+((Inputs!$I$6+(((A206)+1)/2)*(Inputs!$J$6-Inputs!$I$6)))/18)*EXP(-(((Inputs!$C$6)+5)^2)/(22^2))+18*SIN(2*PI()*((Inputs!$I$6+(((A206)+1)/2)*(Inputs!$J$6-Inputs!$I$6)))/70))+Inputs!$C$28*EXP(-((((Inputs!$I$6+(((A206)+1)/2)*(Inputs!$J$6-Inputs!$I$6)))-Inputs!$C$29)^2)/(2*Inputs!$C$31^2))*EXP(-(((Inputs!$C$6)-Inputs!$C$30)^2)/(2*Inputs!$C$32^2))+-Inputs!$C$33*EXP(-((((((Inputs!$I$6+(((A206)+1)/2)*(Inputs!$J$6-Inputs!$I$6)))-Inputs!$C$34)^2)+(((Inputs!$C$6)-Inputs!$C$35)^2))/(2*Inputs!$C$36^2)))+Inputs!$C$37*(0.55*SIN(2*PI()*((Inputs!$I$6+(((A206)+1)/2)*(Inputs!$J$6-Inputs!$I$6)))/Inputs!$C$39)+0.35*COS(2*PI()*(Inputs!$C$6)/Inputs!$C$40)+0.2*SIN(2*PI()*(((Inputs!$I$6+(((A206)+1)/2)*(Inputs!$J$6-Inputs!$I$6)))+(Inputs!$C$6))/(0.5*(Inputs!$C$39+Inputs!$C$40))))+Inputs!$C$38*SIN(2*PI()*((Inputs!$I$6+(((A206)+1)/2)*(Inputs!$J$6-Inputs!$I$6)))/Inputs!$C$39)*SIN(2*PI()*(Inputs!$C$6)/Inputs!$C$40)+-Inputs!$C$41*EXP(-(((Inputs!$C$6)-Inputs!$C$43)^2)/(2*Inputs!$C$44^2))*EXP(-((((Inputs!$I$6+(((A206)+1)/2)*(Inputs!$J$6-Inputs!$I$6)))-Inputs!$C$42)^2)/(2*Inputs!$C$45^2))+Inputs!$C$48*(0.7*(0.45*SIN(2*PI()*((((Inputs!$I$6+(((A206)+1)/2)*(Inputs!$J$6-Inputs!$I$6)))/Inputs!$C$49)+Inputs!$C$47*0.137))+0.35*COS(2*PI()*(((Inputs!$C$6)/Inputs!$C$50)+Inputs!$C$47*0.173))+0.2*SIN(2*PI()*((((Inputs!$I$6+(((A206)+1)/2)*(Inputs!$J$6-Inputs!$I$6)))+(Inputs!$C$6))/(0.5*(Inputs!$C$49+Inputs!$C$50))+Inputs!$C$47*0.097)))+0.3*(2*((SIN((((Inputs!$I$6+(((A206)+1)/2)*(Inputs!$J$6-Inputs!$I$6)))*12.9898+(Inputs!$C$6)*78.233+Inputs!$C$47*37.719))*43758.5453)-INT((SIN((((Inputs!$I$6+(((A206)+1)/2)*(Inputs!$J$6-Inputs!$I$6)))*12.9898+(Inputs!$C$6)*78.233+Inputs!$C$47*37.719))*43758.5453)))-1))),NA())</f>
        <v/>
      </c>
      <c r="AT206" s="9">
        <f>IF(OR(Inputs!$F$7=TRUE,Inputs!$F$7="TRUE",Inputs!$F$7=1),IF(OR(Inputs!$C$27=TRUE,Inputs!$C$27="TRUE",Inputs!$C$27=1),1,0)*(Inputs!$C$51*(115*EXP(-(((Inputs!$C$6)-25)^2)/(4.5^2))+70*EXP(-(((Inputs!$C$6)+38)^2)/(7^2))*(0.55+0.45*SIN(2*PI()*((Inputs!$I$7+(((A206)+1)/2)*(Inputs!$J$7-Inputs!$I$7)))/45))+24*SIN(2*PI()*(Inputs!$C$6)/9+((Inputs!$I$7+(((A206)+1)/2)*(Inputs!$J$7-Inputs!$I$7)))/18)*EXP(-(((Inputs!$C$6)+5)^2)/(22^2))+18*SIN(2*PI()*((Inputs!$I$7+(((A206)+1)/2)*(Inputs!$J$7-Inputs!$I$7)))/70))+Inputs!$C$28*EXP(-((((Inputs!$I$7+(((A206)+1)/2)*(Inputs!$J$7-Inputs!$I$7)))-Inputs!$C$29)^2)/(2*Inputs!$C$31^2))*EXP(-(((Inputs!$C$6)-Inputs!$C$30)^2)/(2*Inputs!$C$32^2))+-Inputs!$C$33*EXP(-((((((Inputs!$I$7+(((A206)+1)/2)*(Inputs!$J$7-Inputs!$I$7)))-Inputs!$C$34)^2)+(((Inputs!$C$6)-Inputs!$C$35)^2))/(2*Inputs!$C$36^2)))+Inputs!$C$37*(0.55*SIN(2*PI()*((Inputs!$I$7+(((A206)+1)/2)*(Inputs!$J$7-Inputs!$I$7)))/Inputs!$C$39)+0.35*COS(2*PI()*(Inputs!$C$6)/Inputs!$C$40)+0.2*SIN(2*PI()*(((Inputs!$I$7+(((A206)+1)/2)*(Inputs!$J$7-Inputs!$I$7)))+(Inputs!$C$6))/(0.5*(Inputs!$C$39+Inputs!$C$40))))+Inputs!$C$38*SIN(2*PI()*((Inputs!$I$7+(((A206)+1)/2)*(Inputs!$J$7-Inputs!$I$7)))/Inputs!$C$39)*SIN(2*PI()*(Inputs!$C$6)/Inputs!$C$40)+-Inputs!$C$41*EXP(-(((Inputs!$C$6)-Inputs!$C$43)^2)/(2*Inputs!$C$44^2))*EXP(-((((Inputs!$I$7+(((A206)+1)/2)*(Inputs!$J$7-Inputs!$I$7)))-Inputs!$C$42)^2)/(2*Inputs!$C$45^2))+Inputs!$C$48*(0.7*(0.45*SIN(2*PI()*((((Inputs!$I$7+(((A206)+1)/2)*(Inputs!$J$7-Inputs!$I$7)))/Inputs!$C$49)+Inputs!$C$47*0.137))+0.35*COS(2*PI()*(((Inputs!$C$6)/Inputs!$C$50)+Inputs!$C$47*0.173))+0.2*SIN(2*PI()*((((Inputs!$I$7+(((A206)+1)/2)*(Inputs!$J$7-Inputs!$I$7)))+(Inputs!$C$6))/(0.5*(Inputs!$C$49+Inputs!$C$50))+Inputs!$C$47*0.097)))+0.3*(2*((SIN((((Inputs!$I$7+(((A206)+1)/2)*(Inputs!$J$7-Inputs!$I$7)))*12.9898+(Inputs!$C$6)*78.233+Inputs!$C$47*37.719))*43758.5453)-INT((SIN((((Inputs!$I$7+(((A206)+1)/2)*(Inputs!$J$7-Inputs!$I$7)))*12.9898+(Inputs!$C$6)*78.233+Inputs!$C$47*37.719))*43758.5453)))-1))),NA())</f>
        <v/>
      </c>
      <c r="AU206" s="9">
        <f>IF(OR(Inputs!$F$8=TRUE,Inputs!$F$8="TRUE",Inputs!$F$8=1),IF(OR(Inputs!$C$27=TRUE,Inputs!$C$27="TRUE",Inputs!$C$27=1),1,0)*(Inputs!$C$51*(115*EXP(-(((Inputs!$C$6)-25)^2)/(4.5^2))+70*EXP(-(((Inputs!$C$6)+38)^2)/(7^2))*(0.55+0.45*SIN(2*PI()*((Inputs!$I$8+(((A206)+1)/2)*(Inputs!$J$8-Inputs!$I$8)))/45))+24*SIN(2*PI()*(Inputs!$C$6)/9+((Inputs!$I$8+(((A206)+1)/2)*(Inputs!$J$8-Inputs!$I$8)))/18)*EXP(-(((Inputs!$C$6)+5)^2)/(22^2))+18*SIN(2*PI()*((Inputs!$I$8+(((A206)+1)/2)*(Inputs!$J$8-Inputs!$I$8)))/70))+Inputs!$C$28*EXP(-((((Inputs!$I$8+(((A206)+1)/2)*(Inputs!$J$8-Inputs!$I$8)))-Inputs!$C$29)^2)/(2*Inputs!$C$31^2))*EXP(-(((Inputs!$C$6)-Inputs!$C$30)^2)/(2*Inputs!$C$32^2))+-Inputs!$C$33*EXP(-((((((Inputs!$I$8+(((A206)+1)/2)*(Inputs!$J$8-Inputs!$I$8)))-Inputs!$C$34)^2)+(((Inputs!$C$6)-Inputs!$C$35)^2))/(2*Inputs!$C$36^2)))+Inputs!$C$37*(0.55*SIN(2*PI()*((Inputs!$I$8+(((A206)+1)/2)*(Inputs!$J$8-Inputs!$I$8)))/Inputs!$C$39)+0.35*COS(2*PI()*(Inputs!$C$6)/Inputs!$C$40)+0.2*SIN(2*PI()*(((Inputs!$I$8+(((A206)+1)/2)*(Inputs!$J$8-Inputs!$I$8)))+(Inputs!$C$6))/(0.5*(Inputs!$C$39+Inputs!$C$40))))+Inputs!$C$38*SIN(2*PI()*((Inputs!$I$8+(((A206)+1)/2)*(Inputs!$J$8-Inputs!$I$8)))/Inputs!$C$39)*SIN(2*PI()*(Inputs!$C$6)/Inputs!$C$40)+-Inputs!$C$41*EXP(-(((Inputs!$C$6)-Inputs!$C$43)^2)/(2*Inputs!$C$44^2))*EXP(-((((Inputs!$I$8+(((A206)+1)/2)*(Inputs!$J$8-Inputs!$I$8)))-Inputs!$C$42)^2)/(2*Inputs!$C$45^2))+Inputs!$C$48*(0.7*(0.45*SIN(2*PI()*((((Inputs!$I$8+(((A206)+1)/2)*(Inputs!$J$8-Inputs!$I$8)))/Inputs!$C$49)+Inputs!$C$47*0.137))+0.35*COS(2*PI()*(((Inputs!$C$6)/Inputs!$C$50)+Inputs!$C$47*0.173))+0.2*SIN(2*PI()*((((Inputs!$I$8+(((A206)+1)/2)*(Inputs!$J$8-Inputs!$I$8)))+(Inputs!$C$6))/(0.5*(Inputs!$C$49+Inputs!$C$50))+Inputs!$C$47*0.097)))+0.3*(2*((SIN((((Inputs!$I$8+(((A206)+1)/2)*(Inputs!$J$8-Inputs!$I$8)))*12.9898+(Inputs!$C$6)*78.233+Inputs!$C$47*37.719))*43758.5453)-INT((SIN((((Inputs!$I$8+(((A206)+1)/2)*(Inputs!$J$8-Inputs!$I$8)))*12.9898+(Inputs!$C$6)*78.233+Inputs!$C$47*37.719))*43758.5453)))-1))),NA())</f>
        <v/>
      </c>
      <c r="AV206" s="9">
        <f>IF(OR(Inputs!$F$9=TRUE,Inputs!$F$9="TRUE",Inputs!$F$9=1),IF(OR(Inputs!$C$27=TRUE,Inputs!$C$27="TRUE",Inputs!$C$27=1),1,0)*(Inputs!$C$51*(115*EXP(-(((Inputs!$C$6)-25)^2)/(4.5^2))+70*EXP(-(((Inputs!$C$6)+38)^2)/(7^2))*(0.55+0.45*SIN(2*PI()*((Inputs!$I$9+(((A206)+1)/2)*(Inputs!$J$9-Inputs!$I$9)))/45))+24*SIN(2*PI()*(Inputs!$C$6)/9+((Inputs!$I$9+(((A206)+1)/2)*(Inputs!$J$9-Inputs!$I$9)))/18)*EXP(-(((Inputs!$C$6)+5)^2)/(22^2))+18*SIN(2*PI()*((Inputs!$I$9+(((A206)+1)/2)*(Inputs!$J$9-Inputs!$I$9)))/70))+Inputs!$C$28*EXP(-((((Inputs!$I$9+(((A206)+1)/2)*(Inputs!$J$9-Inputs!$I$9)))-Inputs!$C$29)^2)/(2*Inputs!$C$31^2))*EXP(-(((Inputs!$C$6)-Inputs!$C$30)^2)/(2*Inputs!$C$32^2))+-Inputs!$C$33*EXP(-((((((Inputs!$I$9+(((A206)+1)/2)*(Inputs!$J$9-Inputs!$I$9)))-Inputs!$C$34)^2)+(((Inputs!$C$6)-Inputs!$C$35)^2))/(2*Inputs!$C$36^2)))+Inputs!$C$37*(0.55*SIN(2*PI()*((Inputs!$I$9+(((A206)+1)/2)*(Inputs!$J$9-Inputs!$I$9)))/Inputs!$C$39)+0.35*COS(2*PI()*(Inputs!$C$6)/Inputs!$C$40)+0.2*SIN(2*PI()*(((Inputs!$I$9+(((A206)+1)/2)*(Inputs!$J$9-Inputs!$I$9)))+(Inputs!$C$6))/(0.5*(Inputs!$C$39+Inputs!$C$40))))+Inputs!$C$38*SIN(2*PI()*((Inputs!$I$9+(((A206)+1)/2)*(Inputs!$J$9-Inputs!$I$9)))/Inputs!$C$39)*SIN(2*PI()*(Inputs!$C$6)/Inputs!$C$40)+-Inputs!$C$41*EXP(-(((Inputs!$C$6)-Inputs!$C$43)^2)/(2*Inputs!$C$44^2))*EXP(-((((Inputs!$I$9+(((A206)+1)/2)*(Inputs!$J$9-Inputs!$I$9)))-Inputs!$C$42)^2)/(2*Inputs!$C$45^2))+Inputs!$C$48*(0.7*(0.45*SIN(2*PI()*((((Inputs!$I$9+(((A206)+1)/2)*(Inputs!$J$9-Inputs!$I$9)))/Inputs!$C$49)+Inputs!$C$47*0.137))+0.35*COS(2*PI()*(((Inputs!$C$6)/Inputs!$C$50)+Inputs!$C$47*0.173))+0.2*SIN(2*PI()*((((Inputs!$I$9+(((A206)+1)/2)*(Inputs!$J$9-Inputs!$I$9)))+(Inputs!$C$6))/(0.5*(Inputs!$C$49+Inputs!$C$50))+Inputs!$C$47*0.097)))+0.3*(2*((SIN((((Inputs!$I$9+(((A206)+1)/2)*(Inputs!$J$9-Inputs!$I$9)))*12.9898+(Inputs!$C$6)*78.233+Inputs!$C$47*37.719))*43758.5453)-INT((SIN((((Inputs!$I$9+(((A206)+1)/2)*(Inputs!$J$9-Inputs!$I$9)))*12.9898+(Inputs!$C$6)*78.233+Inputs!$C$47*37.719))*43758.5453)))-1))),NA())</f>
        <v/>
      </c>
      <c r="AW206" s="10" t="n"/>
      <c r="AX206" s="9">
        <f>A206</f>
        <v/>
      </c>
      <c r="AY206" s="9">
        <f>0</f>
        <v/>
      </c>
      <c r="AZ206" s="9">
        <f>IF(OR(Inputs!$F$6=TRUE,Inputs!$F$6="TRUE",Inputs!$F$6=1),(Inputs!$H$6+Inputs!$L$6*(((Inputs!$I$6+(((A206)+1)/2)*(Inputs!$J$6-Inputs!$I$6)))/Inputs!$K$6)^2),NA())</f>
        <v/>
      </c>
      <c r="BA206" s="9">
        <f>IF(OR(Inputs!$F$7=TRUE,Inputs!$F$7="TRUE",Inputs!$F$7=1),(Inputs!$H$7+Inputs!$L$7*(((Inputs!$I$7+(((A206)+1)/2)*(Inputs!$J$7-Inputs!$I$7)))/Inputs!$K$7)^2),NA())</f>
        <v/>
      </c>
      <c r="BB206" s="9">
        <f>IF(OR(Inputs!$F$8=TRUE,Inputs!$F$8="TRUE",Inputs!$F$8=1),(Inputs!$H$8+Inputs!$L$8*(((Inputs!$I$8+(((A206)+1)/2)*(Inputs!$J$8-Inputs!$I$8)))/Inputs!$K$8)^2),NA())</f>
        <v/>
      </c>
      <c r="BC206" s="9">
        <f>IF(OR(Inputs!$F$9=TRUE,Inputs!$F$9="TRUE",Inputs!$F$9=1),(Inputs!$H$9+Inputs!$L$9*(((Inputs!$I$9+(((A206)+1)/2)*(Inputs!$J$9-Inputs!$I$9)))/Inputs!$K$9)^2),NA())</f>
        <v/>
      </c>
      <c r="BD206" s="10" t="n"/>
      <c r="BE206" s="9">
        <f>A206</f>
        <v/>
      </c>
      <c r="BF206" s="9">
        <f>0</f>
        <v/>
      </c>
      <c r="BG206" s="9">
        <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f>
        <v/>
      </c>
      <c r="BH206" s="9">
        <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f>
        <v/>
      </c>
      <c r="BI206" s="9">
        <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f>
        <v/>
      </c>
      <c r="BJ206" s="9">
        <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f>
        <v/>
      </c>
    </row>
    <row r="207">
      <c r="A207" s="9">
        <f>ROUND(-1+205*2/240,3)</f>
        <v/>
      </c>
      <c r="B207" s="9">
        <f>IF(OR(Inputs!$F$6=TRUE,Inputs!$F$6="TRUE",Inputs!$F$6=1),(Inputs!$H$6+Inputs!$L$6*(((Inputs!$I$6+(((A207)+1)/2)*(Inputs!$J$6-Inputs!$I$6)))/Inputs!$K$6)^2),NA())</f>
        <v/>
      </c>
      <c r="C207" s="9">
        <f>IF(OR(Inputs!$F$7=TRUE,Inputs!$F$7="TRUE",Inputs!$F$7=1),(Inputs!$H$7+Inputs!$L$7*(((Inputs!$I$7+(((A207)+1)/2)*(Inputs!$J$7-Inputs!$I$7)))/Inputs!$K$7)^2),NA())</f>
        <v/>
      </c>
      <c r="D207" s="9">
        <f>IF(OR(Inputs!$F$8=TRUE,Inputs!$F$8="TRUE",Inputs!$F$8=1),(Inputs!$H$8+Inputs!$L$8*(((Inputs!$I$8+(((A207)+1)/2)*(Inputs!$J$8-Inputs!$I$8)))/Inputs!$K$8)^2),NA())</f>
        <v/>
      </c>
      <c r="E207" s="9">
        <f>IF(OR(Inputs!$F$9=TRUE,Inputs!$F$9="TRUE",Inputs!$F$9=1),(Inputs!$H$9+Inputs!$L$9*(((Inputs!$I$9+(((A207)+1)/2)*(Inputs!$J$9-Inputs!$I$9)))/Inputs!$K$9)^2),NA())</f>
        <v/>
      </c>
      <c r="F207" s="10" t="n"/>
      <c r="G207" s="9">
        <f>A207</f>
        <v/>
      </c>
      <c r="H207" s="9">
        <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f>
        <v/>
      </c>
      <c r="I207" s="9">
        <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f>
        <v/>
      </c>
      <c r="J207" s="9">
        <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f>
        <v/>
      </c>
      <c r="K207" s="9">
        <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f>
        <v/>
      </c>
      <c r="L207" s="10" t="n"/>
      <c r="M207" s="9">
        <f>A207</f>
        <v/>
      </c>
      <c r="N207" s="9">
        <f>IF(OR(Inputs!$F$6=TRUE,Inputs!$F$6="TRUE",Inputs!$F$6=1),(-2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NA())</f>
        <v/>
      </c>
      <c r="O207" s="9">
        <f>IF(OR(Inputs!$F$7=TRUE,Inputs!$F$7="TRUE",Inputs!$F$7=1),(-2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NA())</f>
        <v/>
      </c>
      <c r="P207" s="9">
        <f>IF(OR(Inputs!$F$8=TRUE,Inputs!$F$8="TRUE",Inputs!$F$8=1),(-2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NA())</f>
        <v/>
      </c>
      <c r="Q207" s="9">
        <f>IF(OR(Inputs!$F$9=TRUE,Inputs!$F$9="TRUE",Inputs!$F$9=1),(-2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NA())</f>
        <v/>
      </c>
      <c r="R207" s="10" t="n"/>
      <c r="S207" s="9">
        <f>A207</f>
        <v/>
      </c>
      <c r="T207" s="9">
        <f>(Inputs!$I$6+(((A207)+1)/2)*(Inputs!$J$6-Inputs!$I$6))</f>
        <v/>
      </c>
      <c r="U207" s="9">
        <f>(Inputs!$I$7+(((A207)+1)/2)*(Inputs!$J$7-Inputs!$I$7))</f>
        <v/>
      </c>
      <c r="V207" s="9">
        <f>(Inputs!$I$8+(((A207)+1)/2)*(Inputs!$J$8-Inputs!$I$8))</f>
        <v/>
      </c>
      <c r="W207" s="9">
        <f>(Inputs!$I$9+(((A207)+1)/2)*(Inputs!$J$9-Inputs!$I$9))</f>
        <v/>
      </c>
      <c r="X207" s="10" t="n"/>
      <c r="Y207" s="9">
        <f>A207</f>
        <v/>
      </c>
      <c r="Z207" s="9">
        <f>(Inputs!$H$6+Inputs!$L$6*(((Inputs!$I$6+(((A207)+1)/2)*(Inputs!$J$6-Inputs!$I$6)))/Inputs!$K$6)^2)</f>
        <v/>
      </c>
      <c r="AA207" s="9">
        <f>(Inputs!$H$7+Inputs!$L$7*(((Inputs!$I$7+(((A207)+1)/2)*(Inputs!$J$7-Inputs!$I$7)))/Inputs!$K$7)^2)</f>
        <v/>
      </c>
      <c r="AB207" s="9">
        <f>(Inputs!$H$8+Inputs!$L$8*(((Inputs!$I$8+(((A207)+1)/2)*(Inputs!$J$8-Inputs!$I$8)))/Inputs!$K$8)^2)</f>
        <v/>
      </c>
      <c r="AC207" s="9">
        <f>(Inputs!$H$9+Inputs!$L$9*(((Inputs!$I$9+(((A207)+1)/2)*(Inputs!$J$9-Inputs!$I$9)))/Inputs!$K$9)^2)</f>
        <v/>
      </c>
      <c r="AD207" s="10" t="n"/>
      <c r="AE207" s="9">
        <f>A207</f>
        <v/>
      </c>
      <c r="AF207" s="9">
        <f>(((SQRT((Inputs!$C$52+((Inputs!$H$6+Inputs!$L$6*(((Inputs!$I$6+(((A207)+1)/2)*(Inputs!$J$6-Inputs!$I$6)))/Inputs!$K$6)^2)))^2+Inputs!$C$52^2-2*(Inputs!$C$52+((Inputs!$H$6+Inputs!$L$6*(((Inputs!$I$6+(((A207)+1)/2)*(Inputs!$J$6-Inputs!$I$6)))/Inputs!$K$6)^2)))*Inputs!$C$52*COS(SQRT(((Inputs!$I$6+(((A207)+1)/2)*(Inputs!$J$6-Inputs!$I$6)))^2+Inputs!$C$6^2)/Inputs!$C$52)))-((Inputs!$H$6+Inputs!$L$6*(((Inputs!$I$6+(((A207)+1)/2)*(Inputs!$J$6-Inputs!$I$6)))/Inputs!$K$6)^2)))*1000/Inputs!$C$12)</f>
        <v/>
      </c>
      <c r="AG207" s="9">
        <f>(((SQRT((Inputs!$C$52+((Inputs!$H$7+Inputs!$L$7*(((Inputs!$I$7+(((A207)+1)/2)*(Inputs!$J$7-Inputs!$I$7)))/Inputs!$K$7)^2)))^2+Inputs!$C$52^2-2*(Inputs!$C$52+((Inputs!$H$7+Inputs!$L$7*(((Inputs!$I$7+(((A207)+1)/2)*(Inputs!$J$7-Inputs!$I$7)))/Inputs!$K$7)^2)))*Inputs!$C$52*COS(SQRT(((Inputs!$I$7+(((A207)+1)/2)*(Inputs!$J$7-Inputs!$I$7)))^2+Inputs!$C$6^2)/Inputs!$C$52)))-((Inputs!$H$7+Inputs!$L$7*(((Inputs!$I$7+(((A207)+1)/2)*(Inputs!$J$7-Inputs!$I$7)))/Inputs!$K$7)^2)))*1000/Inputs!$C$12)</f>
        <v/>
      </c>
      <c r="AH207" s="9">
        <f>(((SQRT((Inputs!$C$52+((Inputs!$H$8+Inputs!$L$8*(((Inputs!$I$8+(((A207)+1)/2)*(Inputs!$J$8-Inputs!$I$8)))/Inputs!$K$8)^2)))^2+Inputs!$C$52^2-2*(Inputs!$C$52+((Inputs!$H$8+Inputs!$L$8*(((Inputs!$I$8+(((A207)+1)/2)*(Inputs!$J$8-Inputs!$I$8)))/Inputs!$K$8)^2)))*Inputs!$C$52*COS(SQRT(((Inputs!$I$8+(((A207)+1)/2)*(Inputs!$J$8-Inputs!$I$8)))^2+Inputs!$C$6^2)/Inputs!$C$52)))-((Inputs!$H$8+Inputs!$L$8*(((Inputs!$I$8+(((A207)+1)/2)*(Inputs!$J$8-Inputs!$I$8)))/Inputs!$K$8)^2)))*1000/Inputs!$C$12)</f>
        <v/>
      </c>
      <c r="AI207" s="9">
        <f>(((SQRT((Inputs!$C$52+((Inputs!$H$9+Inputs!$L$9*(((Inputs!$I$9+(((A207)+1)/2)*(Inputs!$J$9-Inputs!$I$9)))/Inputs!$K$9)^2)))^2+Inputs!$C$52^2-2*(Inputs!$C$52+((Inputs!$H$9+Inputs!$L$9*(((Inputs!$I$9+(((A207)+1)/2)*(Inputs!$J$9-Inputs!$I$9)))/Inputs!$K$9)^2)))*Inputs!$C$52*COS(SQRT(((Inputs!$I$9+(((A207)+1)/2)*(Inputs!$J$9-Inputs!$I$9)))^2+Inputs!$C$6^2)/Inputs!$C$52)))-((Inputs!$H$9+Inputs!$L$9*(((Inputs!$I$9+(((A207)+1)/2)*(Inputs!$J$9-Inputs!$I$9)))/Inputs!$K$9)^2)))*1000/Inputs!$C$12)</f>
        <v/>
      </c>
      <c r="AJ207" s="10" t="n"/>
      <c r="AK207" s="9">
        <f>A207</f>
        <v/>
      </c>
      <c r="AL207" s="9">
        <f>(-2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f>
        <v/>
      </c>
      <c r="AM207" s="9">
        <f>(-2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f>
        <v/>
      </c>
      <c r="AN207" s="9">
        <f>(-2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f>
        <v/>
      </c>
      <c r="AO207" s="9">
        <f>(-2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f>
        <v/>
      </c>
      <c r="AP207" s="10" t="n"/>
      <c r="AQ207" s="9">
        <f>A207</f>
        <v/>
      </c>
      <c r="AR207" s="9">
        <f>0</f>
        <v/>
      </c>
      <c r="AS207" s="9">
        <f>IF(OR(Inputs!$F$6=TRUE,Inputs!$F$6="TRUE",Inputs!$F$6=1),IF(OR(Inputs!$C$27=TRUE,Inputs!$C$27="TRUE",Inputs!$C$27=1),1,0)*(Inputs!$C$51*(115*EXP(-(((Inputs!$C$6)-25)^2)/(4.5^2))+70*EXP(-(((Inputs!$C$6)+38)^2)/(7^2))*(0.55+0.45*SIN(2*PI()*((Inputs!$I$6+(((A207)+1)/2)*(Inputs!$J$6-Inputs!$I$6)))/45))+24*SIN(2*PI()*(Inputs!$C$6)/9+((Inputs!$I$6+(((A207)+1)/2)*(Inputs!$J$6-Inputs!$I$6)))/18)*EXP(-(((Inputs!$C$6)+5)^2)/(22^2))+18*SIN(2*PI()*((Inputs!$I$6+(((A207)+1)/2)*(Inputs!$J$6-Inputs!$I$6)))/70))+Inputs!$C$28*EXP(-((((Inputs!$I$6+(((A207)+1)/2)*(Inputs!$J$6-Inputs!$I$6)))-Inputs!$C$29)^2)/(2*Inputs!$C$31^2))*EXP(-(((Inputs!$C$6)-Inputs!$C$30)^2)/(2*Inputs!$C$32^2))+-Inputs!$C$33*EXP(-((((((Inputs!$I$6+(((A207)+1)/2)*(Inputs!$J$6-Inputs!$I$6)))-Inputs!$C$34)^2)+(((Inputs!$C$6)-Inputs!$C$35)^2))/(2*Inputs!$C$36^2)))+Inputs!$C$37*(0.55*SIN(2*PI()*((Inputs!$I$6+(((A207)+1)/2)*(Inputs!$J$6-Inputs!$I$6)))/Inputs!$C$39)+0.35*COS(2*PI()*(Inputs!$C$6)/Inputs!$C$40)+0.2*SIN(2*PI()*(((Inputs!$I$6+(((A207)+1)/2)*(Inputs!$J$6-Inputs!$I$6)))+(Inputs!$C$6))/(0.5*(Inputs!$C$39+Inputs!$C$40))))+Inputs!$C$38*SIN(2*PI()*((Inputs!$I$6+(((A207)+1)/2)*(Inputs!$J$6-Inputs!$I$6)))/Inputs!$C$39)*SIN(2*PI()*(Inputs!$C$6)/Inputs!$C$40)+-Inputs!$C$41*EXP(-(((Inputs!$C$6)-Inputs!$C$43)^2)/(2*Inputs!$C$44^2))*EXP(-((((Inputs!$I$6+(((A207)+1)/2)*(Inputs!$J$6-Inputs!$I$6)))-Inputs!$C$42)^2)/(2*Inputs!$C$45^2))+Inputs!$C$48*(0.7*(0.45*SIN(2*PI()*((((Inputs!$I$6+(((A207)+1)/2)*(Inputs!$J$6-Inputs!$I$6)))/Inputs!$C$49)+Inputs!$C$47*0.137))+0.35*COS(2*PI()*(((Inputs!$C$6)/Inputs!$C$50)+Inputs!$C$47*0.173))+0.2*SIN(2*PI()*((((Inputs!$I$6+(((A207)+1)/2)*(Inputs!$J$6-Inputs!$I$6)))+(Inputs!$C$6))/(0.5*(Inputs!$C$49+Inputs!$C$50))+Inputs!$C$47*0.097)))+0.3*(2*((SIN((((Inputs!$I$6+(((A207)+1)/2)*(Inputs!$J$6-Inputs!$I$6)))*12.9898+(Inputs!$C$6)*78.233+Inputs!$C$47*37.719))*43758.5453)-INT((SIN((((Inputs!$I$6+(((A207)+1)/2)*(Inputs!$J$6-Inputs!$I$6)))*12.9898+(Inputs!$C$6)*78.233+Inputs!$C$47*37.719))*43758.5453)))-1))),NA())</f>
        <v/>
      </c>
      <c r="AT207" s="9">
        <f>IF(OR(Inputs!$F$7=TRUE,Inputs!$F$7="TRUE",Inputs!$F$7=1),IF(OR(Inputs!$C$27=TRUE,Inputs!$C$27="TRUE",Inputs!$C$27=1),1,0)*(Inputs!$C$51*(115*EXP(-(((Inputs!$C$6)-25)^2)/(4.5^2))+70*EXP(-(((Inputs!$C$6)+38)^2)/(7^2))*(0.55+0.45*SIN(2*PI()*((Inputs!$I$7+(((A207)+1)/2)*(Inputs!$J$7-Inputs!$I$7)))/45))+24*SIN(2*PI()*(Inputs!$C$6)/9+((Inputs!$I$7+(((A207)+1)/2)*(Inputs!$J$7-Inputs!$I$7)))/18)*EXP(-(((Inputs!$C$6)+5)^2)/(22^2))+18*SIN(2*PI()*((Inputs!$I$7+(((A207)+1)/2)*(Inputs!$J$7-Inputs!$I$7)))/70))+Inputs!$C$28*EXP(-((((Inputs!$I$7+(((A207)+1)/2)*(Inputs!$J$7-Inputs!$I$7)))-Inputs!$C$29)^2)/(2*Inputs!$C$31^2))*EXP(-(((Inputs!$C$6)-Inputs!$C$30)^2)/(2*Inputs!$C$32^2))+-Inputs!$C$33*EXP(-((((((Inputs!$I$7+(((A207)+1)/2)*(Inputs!$J$7-Inputs!$I$7)))-Inputs!$C$34)^2)+(((Inputs!$C$6)-Inputs!$C$35)^2))/(2*Inputs!$C$36^2)))+Inputs!$C$37*(0.55*SIN(2*PI()*((Inputs!$I$7+(((A207)+1)/2)*(Inputs!$J$7-Inputs!$I$7)))/Inputs!$C$39)+0.35*COS(2*PI()*(Inputs!$C$6)/Inputs!$C$40)+0.2*SIN(2*PI()*(((Inputs!$I$7+(((A207)+1)/2)*(Inputs!$J$7-Inputs!$I$7)))+(Inputs!$C$6))/(0.5*(Inputs!$C$39+Inputs!$C$40))))+Inputs!$C$38*SIN(2*PI()*((Inputs!$I$7+(((A207)+1)/2)*(Inputs!$J$7-Inputs!$I$7)))/Inputs!$C$39)*SIN(2*PI()*(Inputs!$C$6)/Inputs!$C$40)+-Inputs!$C$41*EXP(-(((Inputs!$C$6)-Inputs!$C$43)^2)/(2*Inputs!$C$44^2))*EXP(-((((Inputs!$I$7+(((A207)+1)/2)*(Inputs!$J$7-Inputs!$I$7)))-Inputs!$C$42)^2)/(2*Inputs!$C$45^2))+Inputs!$C$48*(0.7*(0.45*SIN(2*PI()*((((Inputs!$I$7+(((A207)+1)/2)*(Inputs!$J$7-Inputs!$I$7)))/Inputs!$C$49)+Inputs!$C$47*0.137))+0.35*COS(2*PI()*(((Inputs!$C$6)/Inputs!$C$50)+Inputs!$C$47*0.173))+0.2*SIN(2*PI()*((((Inputs!$I$7+(((A207)+1)/2)*(Inputs!$J$7-Inputs!$I$7)))+(Inputs!$C$6))/(0.5*(Inputs!$C$49+Inputs!$C$50))+Inputs!$C$47*0.097)))+0.3*(2*((SIN((((Inputs!$I$7+(((A207)+1)/2)*(Inputs!$J$7-Inputs!$I$7)))*12.9898+(Inputs!$C$6)*78.233+Inputs!$C$47*37.719))*43758.5453)-INT((SIN((((Inputs!$I$7+(((A207)+1)/2)*(Inputs!$J$7-Inputs!$I$7)))*12.9898+(Inputs!$C$6)*78.233+Inputs!$C$47*37.719))*43758.5453)))-1))),NA())</f>
        <v/>
      </c>
      <c r="AU207" s="9">
        <f>IF(OR(Inputs!$F$8=TRUE,Inputs!$F$8="TRUE",Inputs!$F$8=1),IF(OR(Inputs!$C$27=TRUE,Inputs!$C$27="TRUE",Inputs!$C$27=1),1,0)*(Inputs!$C$51*(115*EXP(-(((Inputs!$C$6)-25)^2)/(4.5^2))+70*EXP(-(((Inputs!$C$6)+38)^2)/(7^2))*(0.55+0.45*SIN(2*PI()*((Inputs!$I$8+(((A207)+1)/2)*(Inputs!$J$8-Inputs!$I$8)))/45))+24*SIN(2*PI()*(Inputs!$C$6)/9+((Inputs!$I$8+(((A207)+1)/2)*(Inputs!$J$8-Inputs!$I$8)))/18)*EXP(-(((Inputs!$C$6)+5)^2)/(22^2))+18*SIN(2*PI()*((Inputs!$I$8+(((A207)+1)/2)*(Inputs!$J$8-Inputs!$I$8)))/70))+Inputs!$C$28*EXP(-((((Inputs!$I$8+(((A207)+1)/2)*(Inputs!$J$8-Inputs!$I$8)))-Inputs!$C$29)^2)/(2*Inputs!$C$31^2))*EXP(-(((Inputs!$C$6)-Inputs!$C$30)^2)/(2*Inputs!$C$32^2))+-Inputs!$C$33*EXP(-((((((Inputs!$I$8+(((A207)+1)/2)*(Inputs!$J$8-Inputs!$I$8)))-Inputs!$C$34)^2)+(((Inputs!$C$6)-Inputs!$C$35)^2))/(2*Inputs!$C$36^2)))+Inputs!$C$37*(0.55*SIN(2*PI()*((Inputs!$I$8+(((A207)+1)/2)*(Inputs!$J$8-Inputs!$I$8)))/Inputs!$C$39)+0.35*COS(2*PI()*(Inputs!$C$6)/Inputs!$C$40)+0.2*SIN(2*PI()*(((Inputs!$I$8+(((A207)+1)/2)*(Inputs!$J$8-Inputs!$I$8)))+(Inputs!$C$6))/(0.5*(Inputs!$C$39+Inputs!$C$40))))+Inputs!$C$38*SIN(2*PI()*((Inputs!$I$8+(((A207)+1)/2)*(Inputs!$J$8-Inputs!$I$8)))/Inputs!$C$39)*SIN(2*PI()*(Inputs!$C$6)/Inputs!$C$40)+-Inputs!$C$41*EXP(-(((Inputs!$C$6)-Inputs!$C$43)^2)/(2*Inputs!$C$44^2))*EXP(-((((Inputs!$I$8+(((A207)+1)/2)*(Inputs!$J$8-Inputs!$I$8)))-Inputs!$C$42)^2)/(2*Inputs!$C$45^2))+Inputs!$C$48*(0.7*(0.45*SIN(2*PI()*((((Inputs!$I$8+(((A207)+1)/2)*(Inputs!$J$8-Inputs!$I$8)))/Inputs!$C$49)+Inputs!$C$47*0.137))+0.35*COS(2*PI()*(((Inputs!$C$6)/Inputs!$C$50)+Inputs!$C$47*0.173))+0.2*SIN(2*PI()*((((Inputs!$I$8+(((A207)+1)/2)*(Inputs!$J$8-Inputs!$I$8)))+(Inputs!$C$6))/(0.5*(Inputs!$C$49+Inputs!$C$50))+Inputs!$C$47*0.097)))+0.3*(2*((SIN((((Inputs!$I$8+(((A207)+1)/2)*(Inputs!$J$8-Inputs!$I$8)))*12.9898+(Inputs!$C$6)*78.233+Inputs!$C$47*37.719))*43758.5453)-INT((SIN((((Inputs!$I$8+(((A207)+1)/2)*(Inputs!$J$8-Inputs!$I$8)))*12.9898+(Inputs!$C$6)*78.233+Inputs!$C$47*37.719))*43758.5453)))-1))),NA())</f>
        <v/>
      </c>
      <c r="AV207" s="9">
        <f>IF(OR(Inputs!$F$9=TRUE,Inputs!$F$9="TRUE",Inputs!$F$9=1),IF(OR(Inputs!$C$27=TRUE,Inputs!$C$27="TRUE",Inputs!$C$27=1),1,0)*(Inputs!$C$51*(115*EXP(-(((Inputs!$C$6)-25)^2)/(4.5^2))+70*EXP(-(((Inputs!$C$6)+38)^2)/(7^2))*(0.55+0.45*SIN(2*PI()*((Inputs!$I$9+(((A207)+1)/2)*(Inputs!$J$9-Inputs!$I$9)))/45))+24*SIN(2*PI()*(Inputs!$C$6)/9+((Inputs!$I$9+(((A207)+1)/2)*(Inputs!$J$9-Inputs!$I$9)))/18)*EXP(-(((Inputs!$C$6)+5)^2)/(22^2))+18*SIN(2*PI()*((Inputs!$I$9+(((A207)+1)/2)*(Inputs!$J$9-Inputs!$I$9)))/70))+Inputs!$C$28*EXP(-((((Inputs!$I$9+(((A207)+1)/2)*(Inputs!$J$9-Inputs!$I$9)))-Inputs!$C$29)^2)/(2*Inputs!$C$31^2))*EXP(-(((Inputs!$C$6)-Inputs!$C$30)^2)/(2*Inputs!$C$32^2))+-Inputs!$C$33*EXP(-((((((Inputs!$I$9+(((A207)+1)/2)*(Inputs!$J$9-Inputs!$I$9)))-Inputs!$C$34)^2)+(((Inputs!$C$6)-Inputs!$C$35)^2))/(2*Inputs!$C$36^2)))+Inputs!$C$37*(0.55*SIN(2*PI()*((Inputs!$I$9+(((A207)+1)/2)*(Inputs!$J$9-Inputs!$I$9)))/Inputs!$C$39)+0.35*COS(2*PI()*(Inputs!$C$6)/Inputs!$C$40)+0.2*SIN(2*PI()*(((Inputs!$I$9+(((A207)+1)/2)*(Inputs!$J$9-Inputs!$I$9)))+(Inputs!$C$6))/(0.5*(Inputs!$C$39+Inputs!$C$40))))+Inputs!$C$38*SIN(2*PI()*((Inputs!$I$9+(((A207)+1)/2)*(Inputs!$J$9-Inputs!$I$9)))/Inputs!$C$39)*SIN(2*PI()*(Inputs!$C$6)/Inputs!$C$40)+-Inputs!$C$41*EXP(-(((Inputs!$C$6)-Inputs!$C$43)^2)/(2*Inputs!$C$44^2))*EXP(-((((Inputs!$I$9+(((A207)+1)/2)*(Inputs!$J$9-Inputs!$I$9)))-Inputs!$C$42)^2)/(2*Inputs!$C$45^2))+Inputs!$C$48*(0.7*(0.45*SIN(2*PI()*((((Inputs!$I$9+(((A207)+1)/2)*(Inputs!$J$9-Inputs!$I$9)))/Inputs!$C$49)+Inputs!$C$47*0.137))+0.35*COS(2*PI()*(((Inputs!$C$6)/Inputs!$C$50)+Inputs!$C$47*0.173))+0.2*SIN(2*PI()*((((Inputs!$I$9+(((A207)+1)/2)*(Inputs!$J$9-Inputs!$I$9)))+(Inputs!$C$6))/(0.5*(Inputs!$C$49+Inputs!$C$50))+Inputs!$C$47*0.097)))+0.3*(2*((SIN((((Inputs!$I$9+(((A207)+1)/2)*(Inputs!$J$9-Inputs!$I$9)))*12.9898+(Inputs!$C$6)*78.233+Inputs!$C$47*37.719))*43758.5453)-INT((SIN((((Inputs!$I$9+(((A207)+1)/2)*(Inputs!$J$9-Inputs!$I$9)))*12.9898+(Inputs!$C$6)*78.233+Inputs!$C$47*37.719))*43758.5453)))-1))),NA())</f>
        <v/>
      </c>
      <c r="AW207" s="10" t="n"/>
      <c r="AX207" s="9">
        <f>A207</f>
        <v/>
      </c>
      <c r="AY207" s="9">
        <f>0</f>
        <v/>
      </c>
      <c r="AZ207" s="9">
        <f>IF(OR(Inputs!$F$6=TRUE,Inputs!$F$6="TRUE",Inputs!$F$6=1),(Inputs!$H$6+Inputs!$L$6*(((Inputs!$I$6+(((A207)+1)/2)*(Inputs!$J$6-Inputs!$I$6)))/Inputs!$K$6)^2),NA())</f>
        <v/>
      </c>
      <c r="BA207" s="9">
        <f>IF(OR(Inputs!$F$7=TRUE,Inputs!$F$7="TRUE",Inputs!$F$7=1),(Inputs!$H$7+Inputs!$L$7*(((Inputs!$I$7+(((A207)+1)/2)*(Inputs!$J$7-Inputs!$I$7)))/Inputs!$K$7)^2),NA())</f>
        <v/>
      </c>
      <c r="BB207" s="9">
        <f>IF(OR(Inputs!$F$8=TRUE,Inputs!$F$8="TRUE",Inputs!$F$8=1),(Inputs!$H$8+Inputs!$L$8*(((Inputs!$I$8+(((A207)+1)/2)*(Inputs!$J$8-Inputs!$I$8)))/Inputs!$K$8)^2),NA())</f>
        <v/>
      </c>
      <c r="BC207" s="9">
        <f>IF(OR(Inputs!$F$9=TRUE,Inputs!$F$9="TRUE",Inputs!$F$9=1),(Inputs!$H$9+Inputs!$L$9*(((Inputs!$I$9+(((A207)+1)/2)*(Inputs!$J$9-Inputs!$I$9)))/Inputs!$K$9)^2),NA())</f>
        <v/>
      </c>
      <c r="BD207" s="10" t="n"/>
      <c r="BE207" s="9">
        <f>A207</f>
        <v/>
      </c>
      <c r="BF207" s="9">
        <f>0</f>
        <v/>
      </c>
      <c r="BG207" s="9">
        <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f>
        <v/>
      </c>
      <c r="BH207" s="9">
        <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f>
        <v/>
      </c>
      <c r="BI207" s="9">
        <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f>
        <v/>
      </c>
      <c r="BJ207" s="9">
        <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f>
        <v/>
      </c>
    </row>
    <row r="208">
      <c r="A208" s="9">
        <f>ROUND(-1+206*2/240,3)</f>
        <v/>
      </c>
      <c r="B208" s="9">
        <f>IF(OR(Inputs!$F$6=TRUE,Inputs!$F$6="TRUE",Inputs!$F$6=1),(Inputs!$H$6+Inputs!$L$6*(((Inputs!$I$6+(((A208)+1)/2)*(Inputs!$J$6-Inputs!$I$6)))/Inputs!$K$6)^2),NA())</f>
        <v/>
      </c>
      <c r="C208" s="9">
        <f>IF(OR(Inputs!$F$7=TRUE,Inputs!$F$7="TRUE",Inputs!$F$7=1),(Inputs!$H$7+Inputs!$L$7*(((Inputs!$I$7+(((A208)+1)/2)*(Inputs!$J$7-Inputs!$I$7)))/Inputs!$K$7)^2),NA())</f>
        <v/>
      </c>
      <c r="D208" s="9">
        <f>IF(OR(Inputs!$F$8=TRUE,Inputs!$F$8="TRUE",Inputs!$F$8=1),(Inputs!$H$8+Inputs!$L$8*(((Inputs!$I$8+(((A208)+1)/2)*(Inputs!$J$8-Inputs!$I$8)))/Inputs!$K$8)^2),NA())</f>
        <v/>
      </c>
      <c r="E208" s="9">
        <f>IF(OR(Inputs!$F$9=TRUE,Inputs!$F$9="TRUE",Inputs!$F$9=1),(Inputs!$H$9+Inputs!$L$9*(((Inputs!$I$9+(((A208)+1)/2)*(Inputs!$J$9-Inputs!$I$9)))/Inputs!$K$9)^2),NA())</f>
        <v/>
      </c>
      <c r="F208" s="10" t="n"/>
      <c r="G208" s="9">
        <f>A208</f>
        <v/>
      </c>
      <c r="H208" s="9">
        <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f>
        <v/>
      </c>
      <c r="I208" s="9">
        <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f>
        <v/>
      </c>
      <c r="J208" s="9">
        <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f>
        <v/>
      </c>
      <c r="K208" s="9">
        <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f>
        <v/>
      </c>
      <c r="L208" s="10" t="n"/>
      <c r="M208" s="9">
        <f>A208</f>
        <v/>
      </c>
      <c r="N208" s="9">
        <f>IF(OR(Inputs!$F$6=TRUE,Inputs!$F$6="TRUE",Inputs!$F$6=1),(-2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NA())</f>
        <v/>
      </c>
      <c r="O208" s="9">
        <f>IF(OR(Inputs!$F$7=TRUE,Inputs!$F$7="TRUE",Inputs!$F$7=1),(-2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NA())</f>
        <v/>
      </c>
      <c r="P208" s="9">
        <f>IF(OR(Inputs!$F$8=TRUE,Inputs!$F$8="TRUE",Inputs!$F$8=1),(-2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NA())</f>
        <v/>
      </c>
      <c r="Q208" s="9">
        <f>IF(OR(Inputs!$F$9=TRUE,Inputs!$F$9="TRUE",Inputs!$F$9=1),(-2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NA())</f>
        <v/>
      </c>
      <c r="R208" s="10" t="n"/>
      <c r="S208" s="9">
        <f>A208</f>
        <v/>
      </c>
      <c r="T208" s="9">
        <f>(Inputs!$I$6+(((A208)+1)/2)*(Inputs!$J$6-Inputs!$I$6))</f>
        <v/>
      </c>
      <c r="U208" s="9">
        <f>(Inputs!$I$7+(((A208)+1)/2)*(Inputs!$J$7-Inputs!$I$7))</f>
        <v/>
      </c>
      <c r="V208" s="9">
        <f>(Inputs!$I$8+(((A208)+1)/2)*(Inputs!$J$8-Inputs!$I$8))</f>
        <v/>
      </c>
      <c r="W208" s="9">
        <f>(Inputs!$I$9+(((A208)+1)/2)*(Inputs!$J$9-Inputs!$I$9))</f>
        <v/>
      </c>
      <c r="X208" s="10" t="n"/>
      <c r="Y208" s="9">
        <f>A208</f>
        <v/>
      </c>
      <c r="Z208" s="9">
        <f>(Inputs!$H$6+Inputs!$L$6*(((Inputs!$I$6+(((A208)+1)/2)*(Inputs!$J$6-Inputs!$I$6)))/Inputs!$K$6)^2)</f>
        <v/>
      </c>
      <c r="AA208" s="9">
        <f>(Inputs!$H$7+Inputs!$L$7*(((Inputs!$I$7+(((A208)+1)/2)*(Inputs!$J$7-Inputs!$I$7)))/Inputs!$K$7)^2)</f>
        <v/>
      </c>
      <c r="AB208" s="9">
        <f>(Inputs!$H$8+Inputs!$L$8*(((Inputs!$I$8+(((A208)+1)/2)*(Inputs!$J$8-Inputs!$I$8)))/Inputs!$K$8)^2)</f>
        <v/>
      </c>
      <c r="AC208" s="9">
        <f>(Inputs!$H$9+Inputs!$L$9*(((Inputs!$I$9+(((A208)+1)/2)*(Inputs!$J$9-Inputs!$I$9)))/Inputs!$K$9)^2)</f>
        <v/>
      </c>
      <c r="AD208" s="10" t="n"/>
      <c r="AE208" s="9">
        <f>A208</f>
        <v/>
      </c>
      <c r="AF208" s="9">
        <f>(((SQRT((Inputs!$C$52+((Inputs!$H$6+Inputs!$L$6*(((Inputs!$I$6+(((A208)+1)/2)*(Inputs!$J$6-Inputs!$I$6)))/Inputs!$K$6)^2)))^2+Inputs!$C$52^2-2*(Inputs!$C$52+((Inputs!$H$6+Inputs!$L$6*(((Inputs!$I$6+(((A208)+1)/2)*(Inputs!$J$6-Inputs!$I$6)))/Inputs!$K$6)^2)))*Inputs!$C$52*COS(SQRT(((Inputs!$I$6+(((A208)+1)/2)*(Inputs!$J$6-Inputs!$I$6)))^2+Inputs!$C$6^2)/Inputs!$C$52)))-((Inputs!$H$6+Inputs!$L$6*(((Inputs!$I$6+(((A208)+1)/2)*(Inputs!$J$6-Inputs!$I$6)))/Inputs!$K$6)^2)))*1000/Inputs!$C$12)</f>
        <v/>
      </c>
      <c r="AG208" s="9">
        <f>(((SQRT((Inputs!$C$52+((Inputs!$H$7+Inputs!$L$7*(((Inputs!$I$7+(((A208)+1)/2)*(Inputs!$J$7-Inputs!$I$7)))/Inputs!$K$7)^2)))^2+Inputs!$C$52^2-2*(Inputs!$C$52+((Inputs!$H$7+Inputs!$L$7*(((Inputs!$I$7+(((A208)+1)/2)*(Inputs!$J$7-Inputs!$I$7)))/Inputs!$K$7)^2)))*Inputs!$C$52*COS(SQRT(((Inputs!$I$7+(((A208)+1)/2)*(Inputs!$J$7-Inputs!$I$7)))^2+Inputs!$C$6^2)/Inputs!$C$52)))-((Inputs!$H$7+Inputs!$L$7*(((Inputs!$I$7+(((A208)+1)/2)*(Inputs!$J$7-Inputs!$I$7)))/Inputs!$K$7)^2)))*1000/Inputs!$C$12)</f>
        <v/>
      </c>
      <c r="AH208" s="9">
        <f>(((SQRT((Inputs!$C$52+((Inputs!$H$8+Inputs!$L$8*(((Inputs!$I$8+(((A208)+1)/2)*(Inputs!$J$8-Inputs!$I$8)))/Inputs!$K$8)^2)))^2+Inputs!$C$52^2-2*(Inputs!$C$52+((Inputs!$H$8+Inputs!$L$8*(((Inputs!$I$8+(((A208)+1)/2)*(Inputs!$J$8-Inputs!$I$8)))/Inputs!$K$8)^2)))*Inputs!$C$52*COS(SQRT(((Inputs!$I$8+(((A208)+1)/2)*(Inputs!$J$8-Inputs!$I$8)))^2+Inputs!$C$6^2)/Inputs!$C$52)))-((Inputs!$H$8+Inputs!$L$8*(((Inputs!$I$8+(((A208)+1)/2)*(Inputs!$J$8-Inputs!$I$8)))/Inputs!$K$8)^2)))*1000/Inputs!$C$12)</f>
        <v/>
      </c>
      <c r="AI208" s="9">
        <f>(((SQRT((Inputs!$C$52+((Inputs!$H$9+Inputs!$L$9*(((Inputs!$I$9+(((A208)+1)/2)*(Inputs!$J$9-Inputs!$I$9)))/Inputs!$K$9)^2)))^2+Inputs!$C$52^2-2*(Inputs!$C$52+((Inputs!$H$9+Inputs!$L$9*(((Inputs!$I$9+(((A208)+1)/2)*(Inputs!$J$9-Inputs!$I$9)))/Inputs!$K$9)^2)))*Inputs!$C$52*COS(SQRT(((Inputs!$I$9+(((A208)+1)/2)*(Inputs!$J$9-Inputs!$I$9)))^2+Inputs!$C$6^2)/Inputs!$C$52)))-((Inputs!$H$9+Inputs!$L$9*(((Inputs!$I$9+(((A208)+1)/2)*(Inputs!$J$9-Inputs!$I$9)))/Inputs!$K$9)^2)))*1000/Inputs!$C$12)</f>
        <v/>
      </c>
      <c r="AJ208" s="10" t="n"/>
      <c r="AK208" s="9">
        <f>A208</f>
        <v/>
      </c>
      <c r="AL208" s="9">
        <f>(-2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f>
        <v/>
      </c>
      <c r="AM208" s="9">
        <f>(-2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f>
        <v/>
      </c>
      <c r="AN208" s="9">
        <f>(-2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f>
        <v/>
      </c>
      <c r="AO208" s="9">
        <f>(-2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f>
        <v/>
      </c>
      <c r="AP208" s="10" t="n"/>
      <c r="AQ208" s="9">
        <f>A208</f>
        <v/>
      </c>
      <c r="AR208" s="9">
        <f>0</f>
        <v/>
      </c>
      <c r="AS208" s="9">
        <f>IF(OR(Inputs!$F$6=TRUE,Inputs!$F$6="TRUE",Inputs!$F$6=1),IF(OR(Inputs!$C$27=TRUE,Inputs!$C$27="TRUE",Inputs!$C$27=1),1,0)*(Inputs!$C$51*(115*EXP(-(((Inputs!$C$6)-25)^2)/(4.5^2))+70*EXP(-(((Inputs!$C$6)+38)^2)/(7^2))*(0.55+0.45*SIN(2*PI()*((Inputs!$I$6+(((A208)+1)/2)*(Inputs!$J$6-Inputs!$I$6)))/45))+24*SIN(2*PI()*(Inputs!$C$6)/9+((Inputs!$I$6+(((A208)+1)/2)*(Inputs!$J$6-Inputs!$I$6)))/18)*EXP(-(((Inputs!$C$6)+5)^2)/(22^2))+18*SIN(2*PI()*((Inputs!$I$6+(((A208)+1)/2)*(Inputs!$J$6-Inputs!$I$6)))/70))+Inputs!$C$28*EXP(-((((Inputs!$I$6+(((A208)+1)/2)*(Inputs!$J$6-Inputs!$I$6)))-Inputs!$C$29)^2)/(2*Inputs!$C$31^2))*EXP(-(((Inputs!$C$6)-Inputs!$C$30)^2)/(2*Inputs!$C$32^2))+-Inputs!$C$33*EXP(-((((((Inputs!$I$6+(((A208)+1)/2)*(Inputs!$J$6-Inputs!$I$6)))-Inputs!$C$34)^2)+(((Inputs!$C$6)-Inputs!$C$35)^2))/(2*Inputs!$C$36^2)))+Inputs!$C$37*(0.55*SIN(2*PI()*((Inputs!$I$6+(((A208)+1)/2)*(Inputs!$J$6-Inputs!$I$6)))/Inputs!$C$39)+0.35*COS(2*PI()*(Inputs!$C$6)/Inputs!$C$40)+0.2*SIN(2*PI()*(((Inputs!$I$6+(((A208)+1)/2)*(Inputs!$J$6-Inputs!$I$6)))+(Inputs!$C$6))/(0.5*(Inputs!$C$39+Inputs!$C$40))))+Inputs!$C$38*SIN(2*PI()*((Inputs!$I$6+(((A208)+1)/2)*(Inputs!$J$6-Inputs!$I$6)))/Inputs!$C$39)*SIN(2*PI()*(Inputs!$C$6)/Inputs!$C$40)+-Inputs!$C$41*EXP(-(((Inputs!$C$6)-Inputs!$C$43)^2)/(2*Inputs!$C$44^2))*EXP(-((((Inputs!$I$6+(((A208)+1)/2)*(Inputs!$J$6-Inputs!$I$6)))-Inputs!$C$42)^2)/(2*Inputs!$C$45^2))+Inputs!$C$48*(0.7*(0.45*SIN(2*PI()*((((Inputs!$I$6+(((A208)+1)/2)*(Inputs!$J$6-Inputs!$I$6)))/Inputs!$C$49)+Inputs!$C$47*0.137))+0.35*COS(2*PI()*(((Inputs!$C$6)/Inputs!$C$50)+Inputs!$C$47*0.173))+0.2*SIN(2*PI()*((((Inputs!$I$6+(((A208)+1)/2)*(Inputs!$J$6-Inputs!$I$6)))+(Inputs!$C$6))/(0.5*(Inputs!$C$49+Inputs!$C$50))+Inputs!$C$47*0.097)))+0.3*(2*((SIN((((Inputs!$I$6+(((A208)+1)/2)*(Inputs!$J$6-Inputs!$I$6)))*12.9898+(Inputs!$C$6)*78.233+Inputs!$C$47*37.719))*43758.5453)-INT((SIN((((Inputs!$I$6+(((A208)+1)/2)*(Inputs!$J$6-Inputs!$I$6)))*12.9898+(Inputs!$C$6)*78.233+Inputs!$C$47*37.719))*43758.5453)))-1))),NA())</f>
        <v/>
      </c>
      <c r="AT208" s="9">
        <f>IF(OR(Inputs!$F$7=TRUE,Inputs!$F$7="TRUE",Inputs!$F$7=1),IF(OR(Inputs!$C$27=TRUE,Inputs!$C$27="TRUE",Inputs!$C$27=1),1,0)*(Inputs!$C$51*(115*EXP(-(((Inputs!$C$6)-25)^2)/(4.5^2))+70*EXP(-(((Inputs!$C$6)+38)^2)/(7^2))*(0.55+0.45*SIN(2*PI()*((Inputs!$I$7+(((A208)+1)/2)*(Inputs!$J$7-Inputs!$I$7)))/45))+24*SIN(2*PI()*(Inputs!$C$6)/9+((Inputs!$I$7+(((A208)+1)/2)*(Inputs!$J$7-Inputs!$I$7)))/18)*EXP(-(((Inputs!$C$6)+5)^2)/(22^2))+18*SIN(2*PI()*((Inputs!$I$7+(((A208)+1)/2)*(Inputs!$J$7-Inputs!$I$7)))/70))+Inputs!$C$28*EXP(-((((Inputs!$I$7+(((A208)+1)/2)*(Inputs!$J$7-Inputs!$I$7)))-Inputs!$C$29)^2)/(2*Inputs!$C$31^2))*EXP(-(((Inputs!$C$6)-Inputs!$C$30)^2)/(2*Inputs!$C$32^2))+-Inputs!$C$33*EXP(-((((((Inputs!$I$7+(((A208)+1)/2)*(Inputs!$J$7-Inputs!$I$7)))-Inputs!$C$34)^2)+(((Inputs!$C$6)-Inputs!$C$35)^2))/(2*Inputs!$C$36^2)))+Inputs!$C$37*(0.55*SIN(2*PI()*((Inputs!$I$7+(((A208)+1)/2)*(Inputs!$J$7-Inputs!$I$7)))/Inputs!$C$39)+0.35*COS(2*PI()*(Inputs!$C$6)/Inputs!$C$40)+0.2*SIN(2*PI()*(((Inputs!$I$7+(((A208)+1)/2)*(Inputs!$J$7-Inputs!$I$7)))+(Inputs!$C$6))/(0.5*(Inputs!$C$39+Inputs!$C$40))))+Inputs!$C$38*SIN(2*PI()*((Inputs!$I$7+(((A208)+1)/2)*(Inputs!$J$7-Inputs!$I$7)))/Inputs!$C$39)*SIN(2*PI()*(Inputs!$C$6)/Inputs!$C$40)+-Inputs!$C$41*EXP(-(((Inputs!$C$6)-Inputs!$C$43)^2)/(2*Inputs!$C$44^2))*EXP(-((((Inputs!$I$7+(((A208)+1)/2)*(Inputs!$J$7-Inputs!$I$7)))-Inputs!$C$42)^2)/(2*Inputs!$C$45^2))+Inputs!$C$48*(0.7*(0.45*SIN(2*PI()*((((Inputs!$I$7+(((A208)+1)/2)*(Inputs!$J$7-Inputs!$I$7)))/Inputs!$C$49)+Inputs!$C$47*0.137))+0.35*COS(2*PI()*(((Inputs!$C$6)/Inputs!$C$50)+Inputs!$C$47*0.173))+0.2*SIN(2*PI()*((((Inputs!$I$7+(((A208)+1)/2)*(Inputs!$J$7-Inputs!$I$7)))+(Inputs!$C$6))/(0.5*(Inputs!$C$49+Inputs!$C$50))+Inputs!$C$47*0.097)))+0.3*(2*((SIN((((Inputs!$I$7+(((A208)+1)/2)*(Inputs!$J$7-Inputs!$I$7)))*12.9898+(Inputs!$C$6)*78.233+Inputs!$C$47*37.719))*43758.5453)-INT((SIN((((Inputs!$I$7+(((A208)+1)/2)*(Inputs!$J$7-Inputs!$I$7)))*12.9898+(Inputs!$C$6)*78.233+Inputs!$C$47*37.719))*43758.5453)))-1))),NA())</f>
        <v/>
      </c>
      <c r="AU208" s="9">
        <f>IF(OR(Inputs!$F$8=TRUE,Inputs!$F$8="TRUE",Inputs!$F$8=1),IF(OR(Inputs!$C$27=TRUE,Inputs!$C$27="TRUE",Inputs!$C$27=1),1,0)*(Inputs!$C$51*(115*EXP(-(((Inputs!$C$6)-25)^2)/(4.5^2))+70*EXP(-(((Inputs!$C$6)+38)^2)/(7^2))*(0.55+0.45*SIN(2*PI()*((Inputs!$I$8+(((A208)+1)/2)*(Inputs!$J$8-Inputs!$I$8)))/45))+24*SIN(2*PI()*(Inputs!$C$6)/9+((Inputs!$I$8+(((A208)+1)/2)*(Inputs!$J$8-Inputs!$I$8)))/18)*EXP(-(((Inputs!$C$6)+5)^2)/(22^2))+18*SIN(2*PI()*((Inputs!$I$8+(((A208)+1)/2)*(Inputs!$J$8-Inputs!$I$8)))/70))+Inputs!$C$28*EXP(-((((Inputs!$I$8+(((A208)+1)/2)*(Inputs!$J$8-Inputs!$I$8)))-Inputs!$C$29)^2)/(2*Inputs!$C$31^2))*EXP(-(((Inputs!$C$6)-Inputs!$C$30)^2)/(2*Inputs!$C$32^2))+-Inputs!$C$33*EXP(-((((((Inputs!$I$8+(((A208)+1)/2)*(Inputs!$J$8-Inputs!$I$8)))-Inputs!$C$34)^2)+(((Inputs!$C$6)-Inputs!$C$35)^2))/(2*Inputs!$C$36^2)))+Inputs!$C$37*(0.55*SIN(2*PI()*((Inputs!$I$8+(((A208)+1)/2)*(Inputs!$J$8-Inputs!$I$8)))/Inputs!$C$39)+0.35*COS(2*PI()*(Inputs!$C$6)/Inputs!$C$40)+0.2*SIN(2*PI()*(((Inputs!$I$8+(((A208)+1)/2)*(Inputs!$J$8-Inputs!$I$8)))+(Inputs!$C$6))/(0.5*(Inputs!$C$39+Inputs!$C$40))))+Inputs!$C$38*SIN(2*PI()*((Inputs!$I$8+(((A208)+1)/2)*(Inputs!$J$8-Inputs!$I$8)))/Inputs!$C$39)*SIN(2*PI()*(Inputs!$C$6)/Inputs!$C$40)+-Inputs!$C$41*EXP(-(((Inputs!$C$6)-Inputs!$C$43)^2)/(2*Inputs!$C$44^2))*EXP(-((((Inputs!$I$8+(((A208)+1)/2)*(Inputs!$J$8-Inputs!$I$8)))-Inputs!$C$42)^2)/(2*Inputs!$C$45^2))+Inputs!$C$48*(0.7*(0.45*SIN(2*PI()*((((Inputs!$I$8+(((A208)+1)/2)*(Inputs!$J$8-Inputs!$I$8)))/Inputs!$C$49)+Inputs!$C$47*0.137))+0.35*COS(2*PI()*(((Inputs!$C$6)/Inputs!$C$50)+Inputs!$C$47*0.173))+0.2*SIN(2*PI()*((((Inputs!$I$8+(((A208)+1)/2)*(Inputs!$J$8-Inputs!$I$8)))+(Inputs!$C$6))/(0.5*(Inputs!$C$49+Inputs!$C$50))+Inputs!$C$47*0.097)))+0.3*(2*((SIN((((Inputs!$I$8+(((A208)+1)/2)*(Inputs!$J$8-Inputs!$I$8)))*12.9898+(Inputs!$C$6)*78.233+Inputs!$C$47*37.719))*43758.5453)-INT((SIN((((Inputs!$I$8+(((A208)+1)/2)*(Inputs!$J$8-Inputs!$I$8)))*12.9898+(Inputs!$C$6)*78.233+Inputs!$C$47*37.719))*43758.5453)))-1))),NA())</f>
        <v/>
      </c>
      <c r="AV208" s="9">
        <f>IF(OR(Inputs!$F$9=TRUE,Inputs!$F$9="TRUE",Inputs!$F$9=1),IF(OR(Inputs!$C$27=TRUE,Inputs!$C$27="TRUE",Inputs!$C$27=1),1,0)*(Inputs!$C$51*(115*EXP(-(((Inputs!$C$6)-25)^2)/(4.5^2))+70*EXP(-(((Inputs!$C$6)+38)^2)/(7^2))*(0.55+0.45*SIN(2*PI()*((Inputs!$I$9+(((A208)+1)/2)*(Inputs!$J$9-Inputs!$I$9)))/45))+24*SIN(2*PI()*(Inputs!$C$6)/9+((Inputs!$I$9+(((A208)+1)/2)*(Inputs!$J$9-Inputs!$I$9)))/18)*EXP(-(((Inputs!$C$6)+5)^2)/(22^2))+18*SIN(2*PI()*((Inputs!$I$9+(((A208)+1)/2)*(Inputs!$J$9-Inputs!$I$9)))/70))+Inputs!$C$28*EXP(-((((Inputs!$I$9+(((A208)+1)/2)*(Inputs!$J$9-Inputs!$I$9)))-Inputs!$C$29)^2)/(2*Inputs!$C$31^2))*EXP(-(((Inputs!$C$6)-Inputs!$C$30)^2)/(2*Inputs!$C$32^2))+-Inputs!$C$33*EXP(-((((((Inputs!$I$9+(((A208)+1)/2)*(Inputs!$J$9-Inputs!$I$9)))-Inputs!$C$34)^2)+(((Inputs!$C$6)-Inputs!$C$35)^2))/(2*Inputs!$C$36^2)))+Inputs!$C$37*(0.55*SIN(2*PI()*((Inputs!$I$9+(((A208)+1)/2)*(Inputs!$J$9-Inputs!$I$9)))/Inputs!$C$39)+0.35*COS(2*PI()*(Inputs!$C$6)/Inputs!$C$40)+0.2*SIN(2*PI()*(((Inputs!$I$9+(((A208)+1)/2)*(Inputs!$J$9-Inputs!$I$9)))+(Inputs!$C$6))/(0.5*(Inputs!$C$39+Inputs!$C$40))))+Inputs!$C$38*SIN(2*PI()*((Inputs!$I$9+(((A208)+1)/2)*(Inputs!$J$9-Inputs!$I$9)))/Inputs!$C$39)*SIN(2*PI()*(Inputs!$C$6)/Inputs!$C$40)+-Inputs!$C$41*EXP(-(((Inputs!$C$6)-Inputs!$C$43)^2)/(2*Inputs!$C$44^2))*EXP(-((((Inputs!$I$9+(((A208)+1)/2)*(Inputs!$J$9-Inputs!$I$9)))-Inputs!$C$42)^2)/(2*Inputs!$C$45^2))+Inputs!$C$48*(0.7*(0.45*SIN(2*PI()*((((Inputs!$I$9+(((A208)+1)/2)*(Inputs!$J$9-Inputs!$I$9)))/Inputs!$C$49)+Inputs!$C$47*0.137))+0.35*COS(2*PI()*(((Inputs!$C$6)/Inputs!$C$50)+Inputs!$C$47*0.173))+0.2*SIN(2*PI()*((((Inputs!$I$9+(((A208)+1)/2)*(Inputs!$J$9-Inputs!$I$9)))+(Inputs!$C$6))/(0.5*(Inputs!$C$49+Inputs!$C$50))+Inputs!$C$47*0.097)))+0.3*(2*((SIN((((Inputs!$I$9+(((A208)+1)/2)*(Inputs!$J$9-Inputs!$I$9)))*12.9898+(Inputs!$C$6)*78.233+Inputs!$C$47*37.719))*43758.5453)-INT((SIN((((Inputs!$I$9+(((A208)+1)/2)*(Inputs!$J$9-Inputs!$I$9)))*12.9898+(Inputs!$C$6)*78.233+Inputs!$C$47*37.719))*43758.5453)))-1))),NA())</f>
        <v/>
      </c>
      <c r="AW208" s="10" t="n"/>
      <c r="AX208" s="9">
        <f>A208</f>
        <v/>
      </c>
      <c r="AY208" s="9">
        <f>0</f>
        <v/>
      </c>
      <c r="AZ208" s="9">
        <f>IF(OR(Inputs!$F$6=TRUE,Inputs!$F$6="TRUE",Inputs!$F$6=1),(Inputs!$H$6+Inputs!$L$6*(((Inputs!$I$6+(((A208)+1)/2)*(Inputs!$J$6-Inputs!$I$6)))/Inputs!$K$6)^2),NA())</f>
        <v/>
      </c>
      <c r="BA208" s="9">
        <f>IF(OR(Inputs!$F$7=TRUE,Inputs!$F$7="TRUE",Inputs!$F$7=1),(Inputs!$H$7+Inputs!$L$7*(((Inputs!$I$7+(((A208)+1)/2)*(Inputs!$J$7-Inputs!$I$7)))/Inputs!$K$7)^2),NA())</f>
        <v/>
      </c>
      <c r="BB208" s="9">
        <f>IF(OR(Inputs!$F$8=TRUE,Inputs!$F$8="TRUE",Inputs!$F$8=1),(Inputs!$H$8+Inputs!$L$8*(((Inputs!$I$8+(((A208)+1)/2)*(Inputs!$J$8-Inputs!$I$8)))/Inputs!$K$8)^2),NA())</f>
        <v/>
      </c>
      <c r="BC208" s="9">
        <f>IF(OR(Inputs!$F$9=TRUE,Inputs!$F$9="TRUE",Inputs!$F$9=1),(Inputs!$H$9+Inputs!$L$9*(((Inputs!$I$9+(((A208)+1)/2)*(Inputs!$J$9-Inputs!$I$9)))/Inputs!$K$9)^2),NA())</f>
        <v/>
      </c>
      <c r="BD208" s="10" t="n"/>
      <c r="BE208" s="9">
        <f>A208</f>
        <v/>
      </c>
      <c r="BF208" s="9">
        <f>0</f>
        <v/>
      </c>
      <c r="BG208" s="9">
        <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f>
        <v/>
      </c>
      <c r="BH208" s="9">
        <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f>
        <v/>
      </c>
      <c r="BI208" s="9">
        <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f>
        <v/>
      </c>
      <c r="BJ208" s="9">
        <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f>
        <v/>
      </c>
    </row>
    <row r="209">
      <c r="A209" s="9">
        <f>ROUND(-1+207*2/240,3)</f>
        <v/>
      </c>
      <c r="B209" s="9">
        <f>IF(OR(Inputs!$F$6=TRUE,Inputs!$F$6="TRUE",Inputs!$F$6=1),(Inputs!$H$6+Inputs!$L$6*(((Inputs!$I$6+(((A209)+1)/2)*(Inputs!$J$6-Inputs!$I$6)))/Inputs!$K$6)^2),NA())</f>
        <v/>
      </c>
      <c r="C209" s="9">
        <f>IF(OR(Inputs!$F$7=TRUE,Inputs!$F$7="TRUE",Inputs!$F$7=1),(Inputs!$H$7+Inputs!$L$7*(((Inputs!$I$7+(((A209)+1)/2)*(Inputs!$J$7-Inputs!$I$7)))/Inputs!$K$7)^2),NA())</f>
        <v/>
      </c>
      <c r="D209" s="9">
        <f>IF(OR(Inputs!$F$8=TRUE,Inputs!$F$8="TRUE",Inputs!$F$8=1),(Inputs!$H$8+Inputs!$L$8*(((Inputs!$I$8+(((A209)+1)/2)*(Inputs!$J$8-Inputs!$I$8)))/Inputs!$K$8)^2),NA())</f>
        <v/>
      </c>
      <c r="E209" s="9">
        <f>IF(OR(Inputs!$F$9=TRUE,Inputs!$F$9="TRUE",Inputs!$F$9=1),(Inputs!$H$9+Inputs!$L$9*(((Inputs!$I$9+(((A209)+1)/2)*(Inputs!$J$9-Inputs!$I$9)))/Inputs!$K$9)^2),NA())</f>
        <v/>
      </c>
      <c r="F209" s="10" t="n"/>
      <c r="G209" s="9">
        <f>A209</f>
        <v/>
      </c>
      <c r="H209" s="9">
        <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f>
        <v/>
      </c>
      <c r="I209" s="9">
        <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f>
        <v/>
      </c>
      <c r="J209" s="9">
        <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f>
        <v/>
      </c>
      <c r="K209" s="9">
        <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f>
        <v/>
      </c>
      <c r="L209" s="10" t="n"/>
      <c r="M209" s="9">
        <f>A209</f>
        <v/>
      </c>
      <c r="N209" s="9">
        <f>IF(OR(Inputs!$F$6=TRUE,Inputs!$F$6="TRUE",Inputs!$F$6=1),(-2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NA())</f>
        <v/>
      </c>
      <c r="O209" s="9">
        <f>IF(OR(Inputs!$F$7=TRUE,Inputs!$F$7="TRUE",Inputs!$F$7=1),(-2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NA())</f>
        <v/>
      </c>
      <c r="P209" s="9">
        <f>IF(OR(Inputs!$F$8=TRUE,Inputs!$F$8="TRUE",Inputs!$F$8=1),(-2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NA())</f>
        <v/>
      </c>
      <c r="Q209" s="9">
        <f>IF(OR(Inputs!$F$9=TRUE,Inputs!$F$9="TRUE",Inputs!$F$9=1),(-2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NA())</f>
        <v/>
      </c>
      <c r="R209" s="10" t="n"/>
      <c r="S209" s="9">
        <f>A209</f>
        <v/>
      </c>
      <c r="T209" s="9">
        <f>(Inputs!$I$6+(((A209)+1)/2)*(Inputs!$J$6-Inputs!$I$6))</f>
        <v/>
      </c>
      <c r="U209" s="9">
        <f>(Inputs!$I$7+(((A209)+1)/2)*(Inputs!$J$7-Inputs!$I$7))</f>
        <v/>
      </c>
      <c r="V209" s="9">
        <f>(Inputs!$I$8+(((A209)+1)/2)*(Inputs!$J$8-Inputs!$I$8))</f>
        <v/>
      </c>
      <c r="W209" s="9">
        <f>(Inputs!$I$9+(((A209)+1)/2)*(Inputs!$J$9-Inputs!$I$9))</f>
        <v/>
      </c>
      <c r="X209" s="10" t="n"/>
      <c r="Y209" s="9">
        <f>A209</f>
        <v/>
      </c>
      <c r="Z209" s="9">
        <f>(Inputs!$H$6+Inputs!$L$6*(((Inputs!$I$6+(((A209)+1)/2)*(Inputs!$J$6-Inputs!$I$6)))/Inputs!$K$6)^2)</f>
        <v/>
      </c>
      <c r="AA209" s="9">
        <f>(Inputs!$H$7+Inputs!$L$7*(((Inputs!$I$7+(((A209)+1)/2)*(Inputs!$J$7-Inputs!$I$7)))/Inputs!$K$7)^2)</f>
        <v/>
      </c>
      <c r="AB209" s="9">
        <f>(Inputs!$H$8+Inputs!$L$8*(((Inputs!$I$8+(((A209)+1)/2)*(Inputs!$J$8-Inputs!$I$8)))/Inputs!$K$8)^2)</f>
        <v/>
      </c>
      <c r="AC209" s="9">
        <f>(Inputs!$H$9+Inputs!$L$9*(((Inputs!$I$9+(((A209)+1)/2)*(Inputs!$J$9-Inputs!$I$9)))/Inputs!$K$9)^2)</f>
        <v/>
      </c>
      <c r="AD209" s="10" t="n"/>
      <c r="AE209" s="9">
        <f>A209</f>
        <v/>
      </c>
      <c r="AF209" s="9">
        <f>(((SQRT((Inputs!$C$52+((Inputs!$H$6+Inputs!$L$6*(((Inputs!$I$6+(((A209)+1)/2)*(Inputs!$J$6-Inputs!$I$6)))/Inputs!$K$6)^2)))^2+Inputs!$C$52^2-2*(Inputs!$C$52+((Inputs!$H$6+Inputs!$L$6*(((Inputs!$I$6+(((A209)+1)/2)*(Inputs!$J$6-Inputs!$I$6)))/Inputs!$K$6)^2)))*Inputs!$C$52*COS(SQRT(((Inputs!$I$6+(((A209)+1)/2)*(Inputs!$J$6-Inputs!$I$6)))^2+Inputs!$C$6^2)/Inputs!$C$52)))-((Inputs!$H$6+Inputs!$L$6*(((Inputs!$I$6+(((A209)+1)/2)*(Inputs!$J$6-Inputs!$I$6)))/Inputs!$K$6)^2)))*1000/Inputs!$C$12)</f>
        <v/>
      </c>
      <c r="AG209" s="9">
        <f>(((SQRT((Inputs!$C$52+((Inputs!$H$7+Inputs!$L$7*(((Inputs!$I$7+(((A209)+1)/2)*(Inputs!$J$7-Inputs!$I$7)))/Inputs!$K$7)^2)))^2+Inputs!$C$52^2-2*(Inputs!$C$52+((Inputs!$H$7+Inputs!$L$7*(((Inputs!$I$7+(((A209)+1)/2)*(Inputs!$J$7-Inputs!$I$7)))/Inputs!$K$7)^2)))*Inputs!$C$52*COS(SQRT(((Inputs!$I$7+(((A209)+1)/2)*(Inputs!$J$7-Inputs!$I$7)))^2+Inputs!$C$6^2)/Inputs!$C$52)))-((Inputs!$H$7+Inputs!$L$7*(((Inputs!$I$7+(((A209)+1)/2)*(Inputs!$J$7-Inputs!$I$7)))/Inputs!$K$7)^2)))*1000/Inputs!$C$12)</f>
        <v/>
      </c>
      <c r="AH209" s="9">
        <f>(((SQRT((Inputs!$C$52+((Inputs!$H$8+Inputs!$L$8*(((Inputs!$I$8+(((A209)+1)/2)*(Inputs!$J$8-Inputs!$I$8)))/Inputs!$K$8)^2)))^2+Inputs!$C$52^2-2*(Inputs!$C$52+((Inputs!$H$8+Inputs!$L$8*(((Inputs!$I$8+(((A209)+1)/2)*(Inputs!$J$8-Inputs!$I$8)))/Inputs!$K$8)^2)))*Inputs!$C$52*COS(SQRT(((Inputs!$I$8+(((A209)+1)/2)*(Inputs!$J$8-Inputs!$I$8)))^2+Inputs!$C$6^2)/Inputs!$C$52)))-((Inputs!$H$8+Inputs!$L$8*(((Inputs!$I$8+(((A209)+1)/2)*(Inputs!$J$8-Inputs!$I$8)))/Inputs!$K$8)^2)))*1000/Inputs!$C$12)</f>
        <v/>
      </c>
      <c r="AI209" s="9">
        <f>(((SQRT((Inputs!$C$52+((Inputs!$H$9+Inputs!$L$9*(((Inputs!$I$9+(((A209)+1)/2)*(Inputs!$J$9-Inputs!$I$9)))/Inputs!$K$9)^2)))^2+Inputs!$C$52^2-2*(Inputs!$C$52+((Inputs!$H$9+Inputs!$L$9*(((Inputs!$I$9+(((A209)+1)/2)*(Inputs!$J$9-Inputs!$I$9)))/Inputs!$K$9)^2)))*Inputs!$C$52*COS(SQRT(((Inputs!$I$9+(((A209)+1)/2)*(Inputs!$J$9-Inputs!$I$9)))^2+Inputs!$C$6^2)/Inputs!$C$52)))-((Inputs!$H$9+Inputs!$L$9*(((Inputs!$I$9+(((A209)+1)/2)*(Inputs!$J$9-Inputs!$I$9)))/Inputs!$K$9)^2)))*1000/Inputs!$C$12)</f>
        <v/>
      </c>
      <c r="AJ209" s="10" t="n"/>
      <c r="AK209" s="9">
        <f>A209</f>
        <v/>
      </c>
      <c r="AL209" s="9">
        <f>(-2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f>
        <v/>
      </c>
      <c r="AM209" s="9">
        <f>(-2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f>
        <v/>
      </c>
      <c r="AN209" s="9">
        <f>(-2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f>
        <v/>
      </c>
      <c r="AO209" s="9">
        <f>(-2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f>
        <v/>
      </c>
      <c r="AP209" s="10" t="n"/>
      <c r="AQ209" s="9">
        <f>A209</f>
        <v/>
      </c>
      <c r="AR209" s="9">
        <f>0</f>
        <v/>
      </c>
      <c r="AS209" s="9">
        <f>IF(OR(Inputs!$F$6=TRUE,Inputs!$F$6="TRUE",Inputs!$F$6=1),IF(OR(Inputs!$C$27=TRUE,Inputs!$C$27="TRUE",Inputs!$C$27=1),1,0)*(Inputs!$C$51*(115*EXP(-(((Inputs!$C$6)-25)^2)/(4.5^2))+70*EXP(-(((Inputs!$C$6)+38)^2)/(7^2))*(0.55+0.45*SIN(2*PI()*((Inputs!$I$6+(((A209)+1)/2)*(Inputs!$J$6-Inputs!$I$6)))/45))+24*SIN(2*PI()*(Inputs!$C$6)/9+((Inputs!$I$6+(((A209)+1)/2)*(Inputs!$J$6-Inputs!$I$6)))/18)*EXP(-(((Inputs!$C$6)+5)^2)/(22^2))+18*SIN(2*PI()*((Inputs!$I$6+(((A209)+1)/2)*(Inputs!$J$6-Inputs!$I$6)))/70))+Inputs!$C$28*EXP(-((((Inputs!$I$6+(((A209)+1)/2)*(Inputs!$J$6-Inputs!$I$6)))-Inputs!$C$29)^2)/(2*Inputs!$C$31^2))*EXP(-(((Inputs!$C$6)-Inputs!$C$30)^2)/(2*Inputs!$C$32^2))+-Inputs!$C$33*EXP(-((((((Inputs!$I$6+(((A209)+1)/2)*(Inputs!$J$6-Inputs!$I$6)))-Inputs!$C$34)^2)+(((Inputs!$C$6)-Inputs!$C$35)^2))/(2*Inputs!$C$36^2)))+Inputs!$C$37*(0.55*SIN(2*PI()*((Inputs!$I$6+(((A209)+1)/2)*(Inputs!$J$6-Inputs!$I$6)))/Inputs!$C$39)+0.35*COS(2*PI()*(Inputs!$C$6)/Inputs!$C$40)+0.2*SIN(2*PI()*(((Inputs!$I$6+(((A209)+1)/2)*(Inputs!$J$6-Inputs!$I$6)))+(Inputs!$C$6))/(0.5*(Inputs!$C$39+Inputs!$C$40))))+Inputs!$C$38*SIN(2*PI()*((Inputs!$I$6+(((A209)+1)/2)*(Inputs!$J$6-Inputs!$I$6)))/Inputs!$C$39)*SIN(2*PI()*(Inputs!$C$6)/Inputs!$C$40)+-Inputs!$C$41*EXP(-(((Inputs!$C$6)-Inputs!$C$43)^2)/(2*Inputs!$C$44^2))*EXP(-((((Inputs!$I$6+(((A209)+1)/2)*(Inputs!$J$6-Inputs!$I$6)))-Inputs!$C$42)^2)/(2*Inputs!$C$45^2))+Inputs!$C$48*(0.7*(0.45*SIN(2*PI()*((((Inputs!$I$6+(((A209)+1)/2)*(Inputs!$J$6-Inputs!$I$6)))/Inputs!$C$49)+Inputs!$C$47*0.137))+0.35*COS(2*PI()*(((Inputs!$C$6)/Inputs!$C$50)+Inputs!$C$47*0.173))+0.2*SIN(2*PI()*((((Inputs!$I$6+(((A209)+1)/2)*(Inputs!$J$6-Inputs!$I$6)))+(Inputs!$C$6))/(0.5*(Inputs!$C$49+Inputs!$C$50))+Inputs!$C$47*0.097)))+0.3*(2*((SIN((((Inputs!$I$6+(((A209)+1)/2)*(Inputs!$J$6-Inputs!$I$6)))*12.9898+(Inputs!$C$6)*78.233+Inputs!$C$47*37.719))*43758.5453)-INT((SIN((((Inputs!$I$6+(((A209)+1)/2)*(Inputs!$J$6-Inputs!$I$6)))*12.9898+(Inputs!$C$6)*78.233+Inputs!$C$47*37.719))*43758.5453)))-1))),NA())</f>
        <v/>
      </c>
      <c r="AT209" s="9">
        <f>IF(OR(Inputs!$F$7=TRUE,Inputs!$F$7="TRUE",Inputs!$F$7=1),IF(OR(Inputs!$C$27=TRUE,Inputs!$C$27="TRUE",Inputs!$C$27=1),1,0)*(Inputs!$C$51*(115*EXP(-(((Inputs!$C$6)-25)^2)/(4.5^2))+70*EXP(-(((Inputs!$C$6)+38)^2)/(7^2))*(0.55+0.45*SIN(2*PI()*((Inputs!$I$7+(((A209)+1)/2)*(Inputs!$J$7-Inputs!$I$7)))/45))+24*SIN(2*PI()*(Inputs!$C$6)/9+((Inputs!$I$7+(((A209)+1)/2)*(Inputs!$J$7-Inputs!$I$7)))/18)*EXP(-(((Inputs!$C$6)+5)^2)/(22^2))+18*SIN(2*PI()*((Inputs!$I$7+(((A209)+1)/2)*(Inputs!$J$7-Inputs!$I$7)))/70))+Inputs!$C$28*EXP(-((((Inputs!$I$7+(((A209)+1)/2)*(Inputs!$J$7-Inputs!$I$7)))-Inputs!$C$29)^2)/(2*Inputs!$C$31^2))*EXP(-(((Inputs!$C$6)-Inputs!$C$30)^2)/(2*Inputs!$C$32^2))+-Inputs!$C$33*EXP(-((((((Inputs!$I$7+(((A209)+1)/2)*(Inputs!$J$7-Inputs!$I$7)))-Inputs!$C$34)^2)+(((Inputs!$C$6)-Inputs!$C$35)^2))/(2*Inputs!$C$36^2)))+Inputs!$C$37*(0.55*SIN(2*PI()*((Inputs!$I$7+(((A209)+1)/2)*(Inputs!$J$7-Inputs!$I$7)))/Inputs!$C$39)+0.35*COS(2*PI()*(Inputs!$C$6)/Inputs!$C$40)+0.2*SIN(2*PI()*(((Inputs!$I$7+(((A209)+1)/2)*(Inputs!$J$7-Inputs!$I$7)))+(Inputs!$C$6))/(0.5*(Inputs!$C$39+Inputs!$C$40))))+Inputs!$C$38*SIN(2*PI()*((Inputs!$I$7+(((A209)+1)/2)*(Inputs!$J$7-Inputs!$I$7)))/Inputs!$C$39)*SIN(2*PI()*(Inputs!$C$6)/Inputs!$C$40)+-Inputs!$C$41*EXP(-(((Inputs!$C$6)-Inputs!$C$43)^2)/(2*Inputs!$C$44^2))*EXP(-((((Inputs!$I$7+(((A209)+1)/2)*(Inputs!$J$7-Inputs!$I$7)))-Inputs!$C$42)^2)/(2*Inputs!$C$45^2))+Inputs!$C$48*(0.7*(0.45*SIN(2*PI()*((((Inputs!$I$7+(((A209)+1)/2)*(Inputs!$J$7-Inputs!$I$7)))/Inputs!$C$49)+Inputs!$C$47*0.137))+0.35*COS(2*PI()*(((Inputs!$C$6)/Inputs!$C$50)+Inputs!$C$47*0.173))+0.2*SIN(2*PI()*((((Inputs!$I$7+(((A209)+1)/2)*(Inputs!$J$7-Inputs!$I$7)))+(Inputs!$C$6))/(0.5*(Inputs!$C$49+Inputs!$C$50))+Inputs!$C$47*0.097)))+0.3*(2*((SIN((((Inputs!$I$7+(((A209)+1)/2)*(Inputs!$J$7-Inputs!$I$7)))*12.9898+(Inputs!$C$6)*78.233+Inputs!$C$47*37.719))*43758.5453)-INT((SIN((((Inputs!$I$7+(((A209)+1)/2)*(Inputs!$J$7-Inputs!$I$7)))*12.9898+(Inputs!$C$6)*78.233+Inputs!$C$47*37.719))*43758.5453)))-1))),NA())</f>
        <v/>
      </c>
      <c r="AU209" s="9">
        <f>IF(OR(Inputs!$F$8=TRUE,Inputs!$F$8="TRUE",Inputs!$F$8=1),IF(OR(Inputs!$C$27=TRUE,Inputs!$C$27="TRUE",Inputs!$C$27=1),1,0)*(Inputs!$C$51*(115*EXP(-(((Inputs!$C$6)-25)^2)/(4.5^2))+70*EXP(-(((Inputs!$C$6)+38)^2)/(7^2))*(0.55+0.45*SIN(2*PI()*((Inputs!$I$8+(((A209)+1)/2)*(Inputs!$J$8-Inputs!$I$8)))/45))+24*SIN(2*PI()*(Inputs!$C$6)/9+((Inputs!$I$8+(((A209)+1)/2)*(Inputs!$J$8-Inputs!$I$8)))/18)*EXP(-(((Inputs!$C$6)+5)^2)/(22^2))+18*SIN(2*PI()*((Inputs!$I$8+(((A209)+1)/2)*(Inputs!$J$8-Inputs!$I$8)))/70))+Inputs!$C$28*EXP(-((((Inputs!$I$8+(((A209)+1)/2)*(Inputs!$J$8-Inputs!$I$8)))-Inputs!$C$29)^2)/(2*Inputs!$C$31^2))*EXP(-(((Inputs!$C$6)-Inputs!$C$30)^2)/(2*Inputs!$C$32^2))+-Inputs!$C$33*EXP(-((((((Inputs!$I$8+(((A209)+1)/2)*(Inputs!$J$8-Inputs!$I$8)))-Inputs!$C$34)^2)+(((Inputs!$C$6)-Inputs!$C$35)^2))/(2*Inputs!$C$36^2)))+Inputs!$C$37*(0.55*SIN(2*PI()*((Inputs!$I$8+(((A209)+1)/2)*(Inputs!$J$8-Inputs!$I$8)))/Inputs!$C$39)+0.35*COS(2*PI()*(Inputs!$C$6)/Inputs!$C$40)+0.2*SIN(2*PI()*(((Inputs!$I$8+(((A209)+1)/2)*(Inputs!$J$8-Inputs!$I$8)))+(Inputs!$C$6))/(0.5*(Inputs!$C$39+Inputs!$C$40))))+Inputs!$C$38*SIN(2*PI()*((Inputs!$I$8+(((A209)+1)/2)*(Inputs!$J$8-Inputs!$I$8)))/Inputs!$C$39)*SIN(2*PI()*(Inputs!$C$6)/Inputs!$C$40)+-Inputs!$C$41*EXP(-(((Inputs!$C$6)-Inputs!$C$43)^2)/(2*Inputs!$C$44^2))*EXP(-((((Inputs!$I$8+(((A209)+1)/2)*(Inputs!$J$8-Inputs!$I$8)))-Inputs!$C$42)^2)/(2*Inputs!$C$45^2))+Inputs!$C$48*(0.7*(0.45*SIN(2*PI()*((((Inputs!$I$8+(((A209)+1)/2)*(Inputs!$J$8-Inputs!$I$8)))/Inputs!$C$49)+Inputs!$C$47*0.137))+0.35*COS(2*PI()*(((Inputs!$C$6)/Inputs!$C$50)+Inputs!$C$47*0.173))+0.2*SIN(2*PI()*((((Inputs!$I$8+(((A209)+1)/2)*(Inputs!$J$8-Inputs!$I$8)))+(Inputs!$C$6))/(0.5*(Inputs!$C$49+Inputs!$C$50))+Inputs!$C$47*0.097)))+0.3*(2*((SIN((((Inputs!$I$8+(((A209)+1)/2)*(Inputs!$J$8-Inputs!$I$8)))*12.9898+(Inputs!$C$6)*78.233+Inputs!$C$47*37.719))*43758.5453)-INT((SIN((((Inputs!$I$8+(((A209)+1)/2)*(Inputs!$J$8-Inputs!$I$8)))*12.9898+(Inputs!$C$6)*78.233+Inputs!$C$47*37.719))*43758.5453)))-1))),NA())</f>
        <v/>
      </c>
      <c r="AV209" s="9">
        <f>IF(OR(Inputs!$F$9=TRUE,Inputs!$F$9="TRUE",Inputs!$F$9=1),IF(OR(Inputs!$C$27=TRUE,Inputs!$C$27="TRUE",Inputs!$C$27=1),1,0)*(Inputs!$C$51*(115*EXP(-(((Inputs!$C$6)-25)^2)/(4.5^2))+70*EXP(-(((Inputs!$C$6)+38)^2)/(7^2))*(0.55+0.45*SIN(2*PI()*((Inputs!$I$9+(((A209)+1)/2)*(Inputs!$J$9-Inputs!$I$9)))/45))+24*SIN(2*PI()*(Inputs!$C$6)/9+((Inputs!$I$9+(((A209)+1)/2)*(Inputs!$J$9-Inputs!$I$9)))/18)*EXP(-(((Inputs!$C$6)+5)^2)/(22^2))+18*SIN(2*PI()*((Inputs!$I$9+(((A209)+1)/2)*(Inputs!$J$9-Inputs!$I$9)))/70))+Inputs!$C$28*EXP(-((((Inputs!$I$9+(((A209)+1)/2)*(Inputs!$J$9-Inputs!$I$9)))-Inputs!$C$29)^2)/(2*Inputs!$C$31^2))*EXP(-(((Inputs!$C$6)-Inputs!$C$30)^2)/(2*Inputs!$C$32^2))+-Inputs!$C$33*EXP(-((((((Inputs!$I$9+(((A209)+1)/2)*(Inputs!$J$9-Inputs!$I$9)))-Inputs!$C$34)^2)+(((Inputs!$C$6)-Inputs!$C$35)^2))/(2*Inputs!$C$36^2)))+Inputs!$C$37*(0.55*SIN(2*PI()*((Inputs!$I$9+(((A209)+1)/2)*(Inputs!$J$9-Inputs!$I$9)))/Inputs!$C$39)+0.35*COS(2*PI()*(Inputs!$C$6)/Inputs!$C$40)+0.2*SIN(2*PI()*(((Inputs!$I$9+(((A209)+1)/2)*(Inputs!$J$9-Inputs!$I$9)))+(Inputs!$C$6))/(0.5*(Inputs!$C$39+Inputs!$C$40))))+Inputs!$C$38*SIN(2*PI()*((Inputs!$I$9+(((A209)+1)/2)*(Inputs!$J$9-Inputs!$I$9)))/Inputs!$C$39)*SIN(2*PI()*(Inputs!$C$6)/Inputs!$C$40)+-Inputs!$C$41*EXP(-(((Inputs!$C$6)-Inputs!$C$43)^2)/(2*Inputs!$C$44^2))*EXP(-((((Inputs!$I$9+(((A209)+1)/2)*(Inputs!$J$9-Inputs!$I$9)))-Inputs!$C$42)^2)/(2*Inputs!$C$45^2))+Inputs!$C$48*(0.7*(0.45*SIN(2*PI()*((((Inputs!$I$9+(((A209)+1)/2)*(Inputs!$J$9-Inputs!$I$9)))/Inputs!$C$49)+Inputs!$C$47*0.137))+0.35*COS(2*PI()*(((Inputs!$C$6)/Inputs!$C$50)+Inputs!$C$47*0.173))+0.2*SIN(2*PI()*((((Inputs!$I$9+(((A209)+1)/2)*(Inputs!$J$9-Inputs!$I$9)))+(Inputs!$C$6))/(0.5*(Inputs!$C$49+Inputs!$C$50))+Inputs!$C$47*0.097)))+0.3*(2*((SIN((((Inputs!$I$9+(((A209)+1)/2)*(Inputs!$J$9-Inputs!$I$9)))*12.9898+(Inputs!$C$6)*78.233+Inputs!$C$47*37.719))*43758.5453)-INT((SIN((((Inputs!$I$9+(((A209)+1)/2)*(Inputs!$J$9-Inputs!$I$9)))*12.9898+(Inputs!$C$6)*78.233+Inputs!$C$47*37.719))*43758.5453)))-1))),NA())</f>
        <v/>
      </c>
      <c r="AW209" s="10" t="n"/>
      <c r="AX209" s="9">
        <f>A209</f>
        <v/>
      </c>
      <c r="AY209" s="9">
        <f>0</f>
        <v/>
      </c>
      <c r="AZ209" s="9">
        <f>IF(OR(Inputs!$F$6=TRUE,Inputs!$F$6="TRUE",Inputs!$F$6=1),(Inputs!$H$6+Inputs!$L$6*(((Inputs!$I$6+(((A209)+1)/2)*(Inputs!$J$6-Inputs!$I$6)))/Inputs!$K$6)^2),NA())</f>
        <v/>
      </c>
      <c r="BA209" s="9">
        <f>IF(OR(Inputs!$F$7=TRUE,Inputs!$F$7="TRUE",Inputs!$F$7=1),(Inputs!$H$7+Inputs!$L$7*(((Inputs!$I$7+(((A209)+1)/2)*(Inputs!$J$7-Inputs!$I$7)))/Inputs!$K$7)^2),NA())</f>
        <v/>
      </c>
      <c r="BB209" s="9">
        <f>IF(OR(Inputs!$F$8=TRUE,Inputs!$F$8="TRUE",Inputs!$F$8=1),(Inputs!$H$8+Inputs!$L$8*(((Inputs!$I$8+(((A209)+1)/2)*(Inputs!$J$8-Inputs!$I$8)))/Inputs!$K$8)^2),NA())</f>
        <v/>
      </c>
      <c r="BC209" s="9">
        <f>IF(OR(Inputs!$F$9=TRUE,Inputs!$F$9="TRUE",Inputs!$F$9=1),(Inputs!$H$9+Inputs!$L$9*(((Inputs!$I$9+(((A209)+1)/2)*(Inputs!$J$9-Inputs!$I$9)))/Inputs!$K$9)^2),NA())</f>
        <v/>
      </c>
      <c r="BD209" s="10" t="n"/>
      <c r="BE209" s="9">
        <f>A209</f>
        <v/>
      </c>
      <c r="BF209" s="9">
        <f>0</f>
        <v/>
      </c>
      <c r="BG209" s="9">
        <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f>
        <v/>
      </c>
      <c r="BH209" s="9">
        <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f>
        <v/>
      </c>
      <c r="BI209" s="9">
        <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f>
        <v/>
      </c>
      <c r="BJ209" s="9">
        <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f>
        <v/>
      </c>
    </row>
    <row r="210">
      <c r="A210" s="9">
        <f>ROUND(-1+208*2/240,3)</f>
        <v/>
      </c>
      <c r="B210" s="9">
        <f>IF(OR(Inputs!$F$6=TRUE,Inputs!$F$6="TRUE",Inputs!$F$6=1),(Inputs!$H$6+Inputs!$L$6*(((Inputs!$I$6+(((A210)+1)/2)*(Inputs!$J$6-Inputs!$I$6)))/Inputs!$K$6)^2),NA())</f>
        <v/>
      </c>
      <c r="C210" s="9">
        <f>IF(OR(Inputs!$F$7=TRUE,Inputs!$F$7="TRUE",Inputs!$F$7=1),(Inputs!$H$7+Inputs!$L$7*(((Inputs!$I$7+(((A210)+1)/2)*(Inputs!$J$7-Inputs!$I$7)))/Inputs!$K$7)^2),NA())</f>
        <v/>
      </c>
      <c r="D210" s="9">
        <f>IF(OR(Inputs!$F$8=TRUE,Inputs!$F$8="TRUE",Inputs!$F$8=1),(Inputs!$H$8+Inputs!$L$8*(((Inputs!$I$8+(((A210)+1)/2)*(Inputs!$J$8-Inputs!$I$8)))/Inputs!$K$8)^2),NA())</f>
        <v/>
      </c>
      <c r="E210" s="9">
        <f>IF(OR(Inputs!$F$9=TRUE,Inputs!$F$9="TRUE",Inputs!$F$9=1),(Inputs!$H$9+Inputs!$L$9*(((Inputs!$I$9+(((A210)+1)/2)*(Inputs!$J$9-Inputs!$I$9)))/Inputs!$K$9)^2),NA())</f>
        <v/>
      </c>
      <c r="F210" s="10" t="n"/>
      <c r="G210" s="9">
        <f>A210</f>
        <v/>
      </c>
      <c r="H210" s="9">
        <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f>
        <v/>
      </c>
      <c r="I210" s="9">
        <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f>
        <v/>
      </c>
      <c r="J210" s="9">
        <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f>
        <v/>
      </c>
      <c r="K210" s="9">
        <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f>
        <v/>
      </c>
      <c r="L210" s="10" t="n"/>
      <c r="M210" s="9">
        <f>A210</f>
        <v/>
      </c>
      <c r="N210" s="9">
        <f>IF(OR(Inputs!$F$6=TRUE,Inputs!$F$6="TRUE",Inputs!$F$6=1),(-2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NA())</f>
        <v/>
      </c>
      <c r="O210" s="9">
        <f>IF(OR(Inputs!$F$7=TRUE,Inputs!$F$7="TRUE",Inputs!$F$7=1),(-2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NA())</f>
        <v/>
      </c>
      <c r="P210" s="9">
        <f>IF(OR(Inputs!$F$8=TRUE,Inputs!$F$8="TRUE",Inputs!$F$8=1),(-2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NA())</f>
        <v/>
      </c>
      <c r="Q210" s="9">
        <f>IF(OR(Inputs!$F$9=TRUE,Inputs!$F$9="TRUE",Inputs!$F$9=1),(-2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NA())</f>
        <v/>
      </c>
      <c r="R210" s="10" t="n"/>
      <c r="S210" s="9">
        <f>A210</f>
        <v/>
      </c>
      <c r="T210" s="9">
        <f>(Inputs!$I$6+(((A210)+1)/2)*(Inputs!$J$6-Inputs!$I$6))</f>
        <v/>
      </c>
      <c r="U210" s="9">
        <f>(Inputs!$I$7+(((A210)+1)/2)*(Inputs!$J$7-Inputs!$I$7))</f>
        <v/>
      </c>
      <c r="V210" s="9">
        <f>(Inputs!$I$8+(((A210)+1)/2)*(Inputs!$J$8-Inputs!$I$8))</f>
        <v/>
      </c>
      <c r="W210" s="9">
        <f>(Inputs!$I$9+(((A210)+1)/2)*(Inputs!$J$9-Inputs!$I$9))</f>
        <v/>
      </c>
      <c r="X210" s="10" t="n"/>
      <c r="Y210" s="9">
        <f>A210</f>
        <v/>
      </c>
      <c r="Z210" s="9">
        <f>(Inputs!$H$6+Inputs!$L$6*(((Inputs!$I$6+(((A210)+1)/2)*(Inputs!$J$6-Inputs!$I$6)))/Inputs!$K$6)^2)</f>
        <v/>
      </c>
      <c r="AA210" s="9">
        <f>(Inputs!$H$7+Inputs!$L$7*(((Inputs!$I$7+(((A210)+1)/2)*(Inputs!$J$7-Inputs!$I$7)))/Inputs!$K$7)^2)</f>
        <v/>
      </c>
      <c r="AB210" s="9">
        <f>(Inputs!$H$8+Inputs!$L$8*(((Inputs!$I$8+(((A210)+1)/2)*(Inputs!$J$8-Inputs!$I$8)))/Inputs!$K$8)^2)</f>
        <v/>
      </c>
      <c r="AC210" s="9">
        <f>(Inputs!$H$9+Inputs!$L$9*(((Inputs!$I$9+(((A210)+1)/2)*(Inputs!$J$9-Inputs!$I$9)))/Inputs!$K$9)^2)</f>
        <v/>
      </c>
      <c r="AD210" s="10" t="n"/>
      <c r="AE210" s="9">
        <f>A210</f>
        <v/>
      </c>
      <c r="AF210" s="9">
        <f>(((SQRT((Inputs!$C$52+((Inputs!$H$6+Inputs!$L$6*(((Inputs!$I$6+(((A210)+1)/2)*(Inputs!$J$6-Inputs!$I$6)))/Inputs!$K$6)^2)))^2+Inputs!$C$52^2-2*(Inputs!$C$52+((Inputs!$H$6+Inputs!$L$6*(((Inputs!$I$6+(((A210)+1)/2)*(Inputs!$J$6-Inputs!$I$6)))/Inputs!$K$6)^2)))*Inputs!$C$52*COS(SQRT(((Inputs!$I$6+(((A210)+1)/2)*(Inputs!$J$6-Inputs!$I$6)))^2+Inputs!$C$6^2)/Inputs!$C$52)))-((Inputs!$H$6+Inputs!$L$6*(((Inputs!$I$6+(((A210)+1)/2)*(Inputs!$J$6-Inputs!$I$6)))/Inputs!$K$6)^2)))*1000/Inputs!$C$12)</f>
        <v/>
      </c>
      <c r="AG210" s="9">
        <f>(((SQRT((Inputs!$C$52+((Inputs!$H$7+Inputs!$L$7*(((Inputs!$I$7+(((A210)+1)/2)*(Inputs!$J$7-Inputs!$I$7)))/Inputs!$K$7)^2)))^2+Inputs!$C$52^2-2*(Inputs!$C$52+((Inputs!$H$7+Inputs!$L$7*(((Inputs!$I$7+(((A210)+1)/2)*(Inputs!$J$7-Inputs!$I$7)))/Inputs!$K$7)^2)))*Inputs!$C$52*COS(SQRT(((Inputs!$I$7+(((A210)+1)/2)*(Inputs!$J$7-Inputs!$I$7)))^2+Inputs!$C$6^2)/Inputs!$C$52)))-((Inputs!$H$7+Inputs!$L$7*(((Inputs!$I$7+(((A210)+1)/2)*(Inputs!$J$7-Inputs!$I$7)))/Inputs!$K$7)^2)))*1000/Inputs!$C$12)</f>
        <v/>
      </c>
      <c r="AH210" s="9">
        <f>(((SQRT((Inputs!$C$52+((Inputs!$H$8+Inputs!$L$8*(((Inputs!$I$8+(((A210)+1)/2)*(Inputs!$J$8-Inputs!$I$8)))/Inputs!$K$8)^2)))^2+Inputs!$C$52^2-2*(Inputs!$C$52+((Inputs!$H$8+Inputs!$L$8*(((Inputs!$I$8+(((A210)+1)/2)*(Inputs!$J$8-Inputs!$I$8)))/Inputs!$K$8)^2)))*Inputs!$C$52*COS(SQRT(((Inputs!$I$8+(((A210)+1)/2)*(Inputs!$J$8-Inputs!$I$8)))^2+Inputs!$C$6^2)/Inputs!$C$52)))-((Inputs!$H$8+Inputs!$L$8*(((Inputs!$I$8+(((A210)+1)/2)*(Inputs!$J$8-Inputs!$I$8)))/Inputs!$K$8)^2)))*1000/Inputs!$C$12)</f>
        <v/>
      </c>
      <c r="AI210" s="9">
        <f>(((SQRT((Inputs!$C$52+((Inputs!$H$9+Inputs!$L$9*(((Inputs!$I$9+(((A210)+1)/2)*(Inputs!$J$9-Inputs!$I$9)))/Inputs!$K$9)^2)))^2+Inputs!$C$52^2-2*(Inputs!$C$52+((Inputs!$H$9+Inputs!$L$9*(((Inputs!$I$9+(((A210)+1)/2)*(Inputs!$J$9-Inputs!$I$9)))/Inputs!$K$9)^2)))*Inputs!$C$52*COS(SQRT(((Inputs!$I$9+(((A210)+1)/2)*(Inputs!$J$9-Inputs!$I$9)))^2+Inputs!$C$6^2)/Inputs!$C$52)))-((Inputs!$H$9+Inputs!$L$9*(((Inputs!$I$9+(((A210)+1)/2)*(Inputs!$J$9-Inputs!$I$9)))/Inputs!$K$9)^2)))*1000/Inputs!$C$12)</f>
        <v/>
      </c>
      <c r="AJ210" s="10" t="n"/>
      <c r="AK210" s="9">
        <f>A210</f>
        <v/>
      </c>
      <c r="AL210" s="9">
        <f>(-2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f>
        <v/>
      </c>
      <c r="AM210" s="9">
        <f>(-2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f>
        <v/>
      </c>
      <c r="AN210" s="9">
        <f>(-2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f>
        <v/>
      </c>
      <c r="AO210" s="9">
        <f>(-2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f>
        <v/>
      </c>
      <c r="AP210" s="10" t="n"/>
      <c r="AQ210" s="9">
        <f>A210</f>
        <v/>
      </c>
      <c r="AR210" s="9">
        <f>0</f>
        <v/>
      </c>
      <c r="AS210" s="9">
        <f>IF(OR(Inputs!$F$6=TRUE,Inputs!$F$6="TRUE",Inputs!$F$6=1),IF(OR(Inputs!$C$27=TRUE,Inputs!$C$27="TRUE",Inputs!$C$27=1),1,0)*(Inputs!$C$51*(115*EXP(-(((Inputs!$C$6)-25)^2)/(4.5^2))+70*EXP(-(((Inputs!$C$6)+38)^2)/(7^2))*(0.55+0.45*SIN(2*PI()*((Inputs!$I$6+(((A210)+1)/2)*(Inputs!$J$6-Inputs!$I$6)))/45))+24*SIN(2*PI()*(Inputs!$C$6)/9+((Inputs!$I$6+(((A210)+1)/2)*(Inputs!$J$6-Inputs!$I$6)))/18)*EXP(-(((Inputs!$C$6)+5)^2)/(22^2))+18*SIN(2*PI()*((Inputs!$I$6+(((A210)+1)/2)*(Inputs!$J$6-Inputs!$I$6)))/70))+Inputs!$C$28*EXP(-((((Inputs!$I$6+(((A210)+1)/2)*(Inputs!$J$6-Inputs!$I$6)))-Inputs!$C$29)^2)/(2*Inputs!$C$31^2))*EXP(-(((Inputs!$C$6)-Inputs!$C$30)^2)/(2*Inputs!$C$32^2))+-Inputs!$C$33*EXP(-((((((Inputs!$I$6+(((A210)+1)/2)*(Inputs!$J$6-Inputs!$I$6)))-Inputs!$C$34)^2)+(((Inputs!$C$6)-Inputs!$C$35)^2))/(2*Inputs!$C$36^2)))+Inputs!$C$37*(0.55*SIN(2*PI()*((Inputs!$I$6+(((A210)+1)/2)*(Inputs!$J$6-Inputs!$I$6)))/Inputs!$C$39)+0.35*COS(2*PI()*(Inputs!$C$6)/Inputs!$C$40)+0.2*SIN(2*PI()*(((Inputs!$I$6+(((A210)+1)/2)*(Inputs!$J$6-Inputs!$I$6)))+(Inputs!$C$6))/(0.5*(Inputs!$C$39+Inputs!$C$40))))+Inputs!$C$38*SIN(2*PI()*((Inputs!$I$6+(((A210)+1)/2)*(Inputs!$J$6-Inputs!$I$6)))/Inputs!$C$39)*SIN(2*PI()*(Inputs!$C$6)/Inputs!$C$40)+-Inputs!$C$41*EXP(-(((Inputs!$C$6)-Inputs!$C$43)^2)/(2*Inputs!$C$44^2))*EXP(-((((Inputs!$I$6+(((A210)+1)/2)*(Inputs!$J$6-Inputs!$I$6)))-Inputs!$C$42)^2)/(2*Inputs!$C$45^2))+Inputs!$C$48*(0.7*(0.45*SIN(2*PI()*((((Inputs!$I$6+(((A210)+1)/2)*(Inputs!$J$6-Inputs!$I$6)))/Inputs!$C$49)+Inputs!$C$47*0.137))+0.35*COS(2*PI()*(((Inputs!$C$6)/Inputs!$C$50)+Inputs!$C$47*0.173))+0.2*SIN(2*PI()*((((Inputs!$I$6+(((A210)+1)/2)*(Inputs!$J$6-Inputs!$I$6)))+(Inputs!$C$6))/(0.5*(Inputs!$C$49+Inputs!$C$50))+Inputs!$C$47*0.097)))+0.3*(2*((SIN((((Inputs!$I$6+(((A210)+1)/2)*(Inputs!$J$6-Inputs!$I$6)))*12.9898+(Inputs!$C$6)*78.233+Inputs!$C$47*37.719))*43758.5453)-INT((SIN((((Inputs!$I$6+(((A210)+1)/2)*(Inputs!$J$6-Inputs!$I$6)))*12.9898+(Inputs!$C$6)*78.233+Inputs!$C$47*37.719))*43758.5453)))-1))),NA())</f>
        <v/>
      </c>
      <c r="AT210" s="9">
        <f>IF(OR(Inputs!$F$7=TRUE,Inputs!$F$7="TRUE",Inputs!$F$7=1),IF(OR(Inputs!$C$27=TRUE,Inputs!$C$27="TRUE",Inputs!$C$27=1),1,0)*(Inputs!$C$51*(115*EXP(-(((Inputs!$C$6)-25)^2)/(4.5^2))+70*EXP(-(((Inputs!$C$6)+38)^2)/(7^2))*(0.55+0.45*SIN(2*PI()*((Inputs!$I$7+(((A210)+1)/2)*(Inputs!$J$7-Inputs!$I$7)))/45))+24*SIN(2*PI()*(Inputs!$C$6)/9+((Inputs!$I$7+(((A210)+1)/2)*(Inputs!$J$7-Inputs!$I$7)))/18)*EXP(-(((Inputs!$C$6)+5)^2)/(22^2))+18*SIN(2*PI()*((Inputs!$I$7+(((A210)+1)/2)*(Inputs!$J$7-Inputs!$I$7)))/70))+Inputs!$C$28*EXP(-((((Inputs!$I$7+(((A210)+1)/2)*(Inputs!$J$7-Inputs!$I$7)))-Inputs!$C$29)^2)/(2*Inputs!$C$31^2))*EXP(-(((Inputs!$C$6)-Inputs!$C$30)^2)/(2*Inputs!$C$32^2))+-Inputs!$C$33*EXP(-((((((Inputs!$I$7+(((A210)+1)/2)*(Inputs!$J$7-Inputs!$I$7)))-Inputs!$C$34)^2)+(((Inputs!$C$6)-Inputs!$C$35)^2))/(2*Inputs!$C$36^2)))+Inputs!$C$37*(0.55*SIN(2*PI()*((Inputs!$I$7+(((A210)+1)/2)*(Inputs!$J$7-Inputs!$I$7)))/Inputs!$C$39)+0.35*COS(2*PI()*(Inputs!$C$6)/Inputs!$C$40)+0.2*SIN(2*PI()*(((Inputs!$I$7+(((A210)+1)/2)*(Inputs!$J$7-Inputs!$I$7)))+(Inputs!$C$6))/(0.5*(Inputs!$C$39+Inputs!$C$40))))+Inputs!$C$38*SIN(2*PI()*((Inputs!$I$7+(((A210)+1)/2)*(Inputs!$J$7-Inputs!$I$7)))/Inputs!$C$39)*SIN(2*PI()*(Inputs!$C$6)/Inputs!$C$40)+-Inputs!$C$41*EXP(-(((Inputs!$C$6)-Inputs!$C$43)^2)/(2*Inputs!$C$44^2))*EXP(-((((Inputs!$I$7+(((A210)+1)/2)*(Inputs!$J$7-Inputs!$I$7)))-Inputs!$C$42)^2)/(2*Inputs!$C$45^2))+Inputs!$C$48*(0.7*(0.45*SIN(2*PI()*((((Inputs!$I$7+(((A210)+1)/2)*(Inputs!$J$7-Inputs!$I$7)))/Inputs!$C$49)+Inputs!$C$47*0.137))+0.35*COS(2*PI()*(((Inputs!$C$6)/Inputs!$C$50)+Inputs!$C$47*0.173))+0.2*SIN(2*PI()*((((Inputs!$I$7+(((A210)+1)/2)*(Inputs!$J$7-Inputs!$I$7)))+(Inputs!$C$6))/(0.5*(Inputs!$C$49+Inputs!$C$50))+Inputs!$C$47*0.097)))+0.3*(2*((SIN((((Inputs!$I$7+(((A210)+1)/2)*(Inputs!$J$7-Inputs!$I$7)))*12.9898+(Inputs!$C$6)*78.233+Inputs!$C$47*37.719))*43758.5453)-INT((SIN((((Inputs!$I$7+(((A210)+1)/2)*(Inputs!$J$7-Inputs!$I$7)))*12.9898+(Inputs!$C$6)*78.233+Inputs!$C$47*37.719))*43758.5453)))-1))),NA())</f>
        <v/>
      </c>
      <c r="AU210" s="9">
        <f>IF(OR(Inputs!$F$8=TRUE,Inputs!$F$8="TRUE",Inputs!$F$8=1),IF(OR(Inputs!$C$27=TRUE,Inputs!$C$27="TRUE",Inputs!$C$27=1),1,0)*(Inputs!$C$51*(115*EXP(-(((Inputs!$C$6)-25)^2)/(4.5^2))+70*EXP(-(((Inputs!$C$6)+38)^2)/(7^2))*(0.55+0.45*SIN(2*PI()*((Inputs!$I$8+(((A210)+1)/2)*(Inputs!$J$8-Inputs!$I$8)))/45))+24*SIN(2*PI()*(Inputs!$C$6)/9+((Inputs!$I$8+(((A210)+1)/2)*(Inputs!$J$8-Inputs!$I$8)))/18)*EXP(-(((Inputs!$C$6)+5)^2)/(22^2))+18*SIN(2*PI()*((Inputs!$I$8+(((A210)+1)/2)*(Inputs!$J$8-Inputs!$I$8)))/70))+Inputs!$C$28*EXP(-((((Inputs!$I$8+(((A210)+1)/2)*(Inputs!$J$8-Inputs!$I$8)))-Inputs!$C$29)^2)/(2*Inputs!$C$31^2))*EXP(-(((Inputs!$C$6)-Inputs!$C$30)^2)/(2*Inputs!$C$32^2))+-Inputs!$C$33*EXP(-((((((Inputs!$I$8+(((A210)+1)/2)*(Inputs!$J$8-Inputs!$I$8)))-Inputs!$C$34)^2)+(((Inputs!$C$6)-Inputs!$C$35)^2))/(2*Inputs!$C$36^2)))+Inputs!$C$37*(0.55*SIN(2*PI()*((Inputs!$I$8+(((A210)+1)/2)*(Inputs!$J$8-Inputs!$I$8)))/Inputs!$C$39)+0.35*COS(2*PI()*(Inputs!$C$6)/Inputs!$C$40)+0.2*SIN(2*PI()*(((Inputs!$I$8+(((A210)+1)/2)*(Inputs!$J$8-Inputs!$I$8)))+(Inputs!$C$6))/(0.5*(Inputs!$C$39+Inputs!$C$40))))+Inputs!$C$38*SIN(2*PI()*((Inputs!$I$8+(((A210)+1)/2)*(Inputs!$J$8-Inputs!$I$8)))/Inputs!$C$39)*SIN(2*PI()*(Inputs!$C$6)/Inputs!$C$40)+-Inputs!$C$41*EXP(-(((Inputs!$C$6)-Inputs!$C$43)^2)/(2*Inputs!$C$44^2))*EXP(-((((Inputs!$I$8+(((A210)+1)/2)*(Inputs!$J$8-Inputs!$I$8)))-Inputs!$C$42)^2)/(2*Inputs!$C$45^2))+Inputs!$C$48*(0.7*(0.45*SIN(2*PI()*((((Inputs!$I$8+(((A210)+1)/2)*(Inputs!$J$8-Inputs!$I$8)))/Inputs!$C$49)+Inputs!$C$47*0.137))+0.35*COS(2*PI()*(((Inputs!$C$6)/Inputs!$C$50)+Inputs!$C$47*0.173))+0.2*SIN(2*PI()*((((Inputs!$I$8+(((A210)+1)/2)*(Inputs!$J$8-Inputs!$I$8)))+(Inputs!$C$6))/(0.5*(Inputs!$C$49+Inputs!$C$50))+Inputs!$C$47*0.097)))+0.3*(2*((SIN((((Inputs!$I$8+(((A210)+1)/2)*(Inputs!$J$8-Inputs!$I$8)))*12.9898+(Inputs!$C$6)*78.233+Inputs!$C$47*37.719))*43758.5453)-INT((SIN((((Inputs!$I$8+(((A210)+1)/2)*(Inputs!$J$8-Inputs!$I$8)))*12.9898+(Inputs!$C$6)*78.233+Inputs!$C$47*37.719))*43758.5453)))-1))),NA())</f>
        <v/>
      </c>
      <c r="AV210" s="9">
        <f>IF(OR(Inputs!$F$9=TRUE,Inputs!$F$9="TRUE",Inputs!$F$9=1),IF(OR(Inputs!$C$27=TRUE,Inputs!$C$27="TRUE",Inputs!$C$27=1),1,0)*(Inputs!$C$51*(115*EXP(-(((Inputs!$C$6)-25)^2)/(4.5^2))+70*EXP(-(((Inputs!$C$6)+38)^2)/(7^2))*(0.55+0.45*SIN(2*PI()*((Inputs!$I$9+(((A210)+1)/2)*(Inputs!$J$9-Inputs!$I$9)))/45))+24*SIN(2*PI()*(Inputs!$C$6)/9+((Inputs!$I$9+(((A210)+1)/2)*(Inputs!$J$9-Inputs!$I$9)))/18)*EXP(-(((Inputs!$C$6)+5)^2)/(22^2))+18*SIN(2*PI()*((Inputs!$I$9+(((A210)+1)/2)*(Inputs!$J$9-Inputs!$I$9)))/70))+Inputs!$C$28*EXP(-((((Inputs!$I$9+(((A210)+1)/2)*(Inputs!$J$9-Inputs!$I$9)))-Inputs!$C$29)^2)/(2*Inputs!$C$31^2))*EXP(-(((Inputs!$C$6)-Inputs!$C$30)^2)/(2*Inputs!$C$32^2))+-Inputs!$C$33*EXP(-((((((Inputs!$I$9+(((A210)+1)/2)*(Inputs!$J$9-Inputs!$I$9)))-Inputs!$C$34)^2)+(((Inputs!$C$6)-Inputs!$C$35)^2))/(2*Inputs!$C$36^2)))+Inputs!$C$37*(0.55*SIN(2*PI()*((Inputs!$I$9+(((A210)+1)/2)*(Inputs!$J$9-Inputs!$I$9)))/Inputs!$C$39)+0.35*COS(2*PI()*(Inputs!$C$6)/Inputs!$C$40)+0.2*SIN(2*PI()*(((Inputs!$I$9+(((A210)+1)/2)*(Inputs!$J$9-Inputs!$I$9)))+(Inputs!$C$6))/(0.5*(Inputs!$C$39+Inputs!$C$40))))+Inputs!$C$38*SIN(2*PI()*((Inputs!$I$9+(((A210)+1)/2)*(Inputs!$J$9-Inputs!$I$9)))/Inputs!$C$39)*SIN(2*PI()*(Inputs!$C$6)/Inputs!$C$40)+-Inputs!$C$41*EXP(-(((Inputs!$C$6)-Inputs!$C$43)^2)/(2*Inputs!$C$44^2))*EXP(-((((Inputs!$I$9+(((A210)+1)/2)*(Inputs!$J$9-Inputs!$I$9)))-Inputs!$C$42)^2)/(2*Inputs!$C$45^2))+Inputs!$C$48*(0.7*(0.45*SIN(2*PI()*((((Inputs!$I$9+(((A210)+1)/2)*(Inputs!$J$9-Inputs!$I$9)))/Inputs!$C$49)+Inputs!$C$47*0.137))+0.35*COS(2*PI()*(((Inputs!$C$6)/Inputs!$C$50)+Inputs!$C$47*0.173))+0.2*SIN(2*PI()*((((Inputs!$I$9+(((A210)+1)/2)*(Inputs!$J$9-Inputs!$I$9)))+(Inputs!$C$6))/(0.5*(Inputs!$C$49+Inputs!$C$50))+Inputs!$C$47*0.097)))+0.3*(2*((SIN((((Inputs!$I$9+(((A210)+1)/2)*(Inputs!$J$9-Inputs!$I$9)))*12.9898+(Inputs!$C$6)*78.233+Inputs!$C$47*37.719))*43758.5453)-INT((SIN((((Inputs!$I$9+(((A210)+1)/2)*(Inputs!$J$9-Inputs!$I$9)))*12.9898+(Inputs!$C$6)*78.233+Inputs!$C$47*37.719))*43758.5453)))-1))),NA())</f>
        <v/>
      </c>
      <c r="AW210" s="10" t="n"/>
      <c r="AX210" s="9">
        <f>A210</f>
        <v/>
      </c>
      <c r="AY210" s="9">
        <f>0</f>
        <v/>
      </c>
      <c r="AZ210" s="9">
        <f>IF(OR(Inputs!$F$6=TRUE,Inputs!$F$6="TRUE",Inputs!$F$6=1),(Inputs!$H$6+Inputs!$L$6*(((Inputs!$I$6+(((A210)+1)/2)*(Inputs!$J$6-Inputs!$I$6)))/Inputs!$K$6)^2),NA())</f>
        <v/>
      </c>
      <c r="BA210" s="9">
        <f>IF(OR(Inputs!$F$7=TRUE,Inputs!$F$7="TRUE",Inputs!$F$7=1),(Inputs!$H$7+Inputs!$L$7*(((Inputs!$I$7+(((A210)+1)/2)*(Inputs!$J$7-Inputs!$I$7)))/Inputs!$K$7)^2),NA())</f>
        <v/>
      </c>
      <c r="BB210" s="9">
        <f>IF(OR(Inputs!$F$8=TRUE,Inputs!$F$8="TRUE",Inputs!$F$8=1),(Inputs!$H$8+Inputs!$L$8*(((Inputs!$I$8+(((A210)+1)/2)*(Inputs!$J$8-Inputs!$I$8)))/Inputs!$K$8)^2),NA())</f>
        <v/>
      </c>
      <c r="BC210" s="9">
        <f>IF(OR(Inputs!$F$9=TRUE,Inputs!$F$9="TRUE",Inputs!$F$9=1),(Inputs!$H$9+Inputs!$L$9*(((Inputs!$I$9+(((A210)+1)/2)*(Inputs!$J$9-Inputs!$I$9)))/Inputs!$K$9)^2),NA())</f>
        <v/>
      </c>
      <c r="BD210" s="10" t="n"/>
      <c r="BE210" s="9">
        <f>A210</f>
        <v/>
      </c>
      <c r="BF210" s="9">
        <f>0</f>
        <v/>
      </c>
      <c r="BG210" s="9">
        <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f>
        <v/>
      </c>
      <c r="BH210" s="9">
        <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f>
        <v/>
      </c>
      <c r="BI210" s="9">
        <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f>
        <v/>
      </c>
      <c r="BJ210" s="9">
        <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f>
        <v/>
      </c>
    </row>
    <row r="211">
      <c r="A211" s="9">
        <f>ROUND(-1+209*2/240,3)</f>
        <v/>
      </c>
      <c r="B211" s="9">
        <f>IF(OR(Inputs!$F$6=TRUE,Inputs!$F$6="TRUE",Inputs!$F$6=1),(Inputs!$H$6+Inputs!$L$6*(((Inputs!$I$6+(((A211)+1)/2)*(Inputs!$J$6-Inputs!$I$6)))/Inputs!$K$6)^2),NA())</f>
        <v/>
      </c>
      <c r="C211" s="9">
        <f>IF(OR(Inputs!$F$7=TRUE,Inputs!$F$7="TRUE",Inputs!$F$7=1),(Inputs!$H$7+Inputs!$L$7*(((Inputs!$I$7+(((A211)+1)/2)*(Inputs!$J$7-Inputs!$I$7)))/Inputs!$K$7)^2),NA())</f>
        <v/>
      </c>
      <c r="D211" s="9">
        <f>IF(OR(Inputs!$F$8=TRUE,Inputs!$F$8="TRUE",Inputs!$F$8=1),(Inputs!$H$8+Inputs!$L$8*(((Inputs!$I$8+(((A211)+1)/2)*(Inputs!$J$8-Inputs!$I$8)))/Inputs!$K$8)^2),NA())</f>
        <v/>
      </c>
      <c r="E211" s="9">
        <f>IF(OR(Inputs!$F$9=TRUE,Inputs!$F$9="TRUE",Inputs!$F$9=1),(Inputs!$H$9+Inputs!$L$9*(((Inputs!$I$9+(((A211)+1)/2)*(Inputs!$J$9-Inputs!$I$9)))/Inputs!$K$9)^2),NA())</f>
        <v/>
      </c>
      <c r="F211" s="10" t="n"/>
      <c r="G211" s="9">
        <f>A211</f>
        <v/>
      </c>
      <c r="H211" s="9">
        <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f>
        <v/>
      </c>
      <c r="I211" s="9">
        <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f>
        <v/>
      </c>
      <c r="J211" s="9">
        <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f>
        <v/>
      </c>
      <c r="K211" s="9">
        <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f>
        <v/>
      </c>
      <c r="L211" s="10" t="n"/>
      <c r="M211" s="9">
        <f>A211</f>
        <v/>
      </c>
      <c r="N211" s="9">
        <f>IF(OR(Inputs!$F$6=TRUE,Inputs!$F$6="TRUE",Inputs!$F$6=1),(-2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NA())</f>
        <v/>
      </c>
      <c r="O211" s="9">
        <f>IF(OR(Inputs!$F$7=TRUE,Inputs!$F$7="TRUE",Inputs!$F$7=1),(-2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NA())</f>
        <v/>
      </c>
      <c r="P211" s="9">
        <f>IF(OR(Inputs!$F$8=TRUE,Inputs!$F$8="TRUE",Inputs!$F$8=1),(-2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NA())</f>
        <v/>
      </c>
      <c r="Q211" s="9">
        <f>IF(OR(Inputs!$F$9=TRUE,Inputs!$F$9="TRUE",Inputs!$F$9=1),(-2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NA())</f>
        <v/>
      </c>
      <c r="R211" s="10" t="n"/>
      <c r="S211" s="9">
        <f>A211</f>
        <v/>
      </c>
      <c r="T211" s="9">
        <f>(Inputs!$I$6+(((A211)+1)/2)*(Inputs!$J$6-Inputs!$I$6))</f>
        <v/>
      </c>
      <c r="U211" s="9">
        <f>(Inputs!$I$7+(((A211)+1)/2)*(Inputs!$J$7-Inputs!$I$7))</f>
        <v/>
      </c>
      <c r="V211" s="9">
        <f>(Inputs!$I$8+(((A211)+1)/2)*(Inputs!$J$8-Inputs!$I$8))</f>
        <v/>
      </c>
      <c r="W211" s="9">
        <f>(Inputs!$I$9+(((A211)+1)/2)*(Inputs!$J$9-Inputs!$I$9))</f>
        <v/>
      </c>
      <c r="X211" s="10" t="n"/>
      <c r="Y211" s="9">
        <f>A211</f>
        <v/>
      </c>
      <c r="Z211" s="9">
        <f>(Inputs!$H$6+Inputs!$L$6*(((Inputs!$I$6+(((A211)+1)/2)*(Inputs!$J$6-Inputs!$I$6)))/Inputs!$K$6)^2)</f>
        <v/>
      </c>
      <c r="AA211" s="9">
        <f>(Inputs!$H$7+Inputs!$L$7*(((Inputs!$I$7+(((A211)+1)/2)*(Inputs!$J$7-Inputs!$I$7)))/Inputs!$K$7)^2)</f>
        <v/>
      </c>
      <c r="AB211" s="9">
        <f>(Inputs!$H$8+Inputs!$L$8*(((Inputs!$I$8+(((A211)+1)/2)*(Inputs!$J$8-Inputs!$I$8)))/Inputs!$K$8)^2)</f>
        <v/>
      </c>
      <c r="AC211" s="9">
        <f>(Inputs!$H$9+Inputs!$L$9*(((Inputs!$I$9+(((A211)+1)/2)*(Inputs!$J$9-Inputs!$I$9)))/Inputs!$K$9)^2)</f>
        <v/>
      </c>
      <c r="AD211" s="10" t="n"/>
      <c r="AE211" s="9">
        <f>A211</f>
        <v/>
      </c>
      <c r="AF211" s="9">
        <f>(((SQRT((Inputs!$C$52+((Inputs!$H$6+Inputs!$L$6*(((Inputs!$I$6+(((A211)+1)/2)*(Inputs!$J$6-Inputs!$I$6)))/Inputs!$K$6)^2)))^2+Inputs!$C$52^2-2*(Inputs!$C$52+((Inputs!$H$6+Inputs!$L$6*(((Inputs!$I$6+(((A211)+1)/2)*(Inputs!$J$6-Inputs!$I$6)))/Inputs!$K$6)^2)))*Inputs!$C$52*COS(SQRT(((Inputs!$I$6+(((A211)+1)/2)*(Inputs!$J$6-Inputs!$I$6)))^2+Inputs!$C$6^2)/Inputs!$C$52)))-((Inputs!$H$6+Inputs!$L$6*(((Inputs!$I$6+(((A211)+1)/2)*(Inputs!$J$6-Inputs!$I$6)))/Inputs!$K$6)^2)))*1000/Inputs!$C$12)</f>
        <v/>
      </c>
      <c r="AG211" s="9">
        <f>(((SQRT((Inputs!$C$52+((Inputs!$H$7+Inputs!$L$7*(((Inputs!$I$7+(((A211)+1)/2)*(Inputs!$J$7-Inputs!$I$7)))/Inputs!$K$7)^2)))^2+Inputs!$C$52^2-2*(Inputs!$C$52+((Inputs!$H$7+Inputs!$L$7*(((Inputs!$I$7+(((A211)+1)/2)*(Inputs!$J$7-Inputs!$I$7)))/Inputs!$K$7)^2)))*Inputs!$C$52*COS(SQRT(((Inputs!$I$7+(((A211)+1)/2)*(Inputs!$J$7-Inputs!$I$7)))^2+Inputs!$C$6^2)/Inputs!$C$52)))-((Inputs!$H$7+Inputs!$L$7*(((Inputs!$I$7+(((A211)+1)/2)*(Inputs!$J$7-Inputs!$I$7)))/Inputs!$K$7)^2)))*1000/Inputs!$C$12)</f>
        <v/>
      </c>
      <c r="AH211" s="9">
        <f>(((SQRT((Inputs!$C$52+((Inputs!$H$8+Inputs!$L$8*(((Inputs!$I$8+(((A211)+1)/2)*(Inputs!$J$8-Inputs!$I$8)))/Inputs!$K$8)^2)))^2+Inputs!$C$52^2-2*(Inputs!$C$52+((Inputs!$H$8+Inputs!$L$8*(((Inputs!$I$8+(((A211)+1)/2)*(Inputs!$J$8-Inputs!$I$8)))/Inputs!$K$8)^2)))*Inputs!$C$52*COS(SQRT(((Inputs!$I$8+(((A211)+1)/2)*(Inputs!$J$8-Inputs!$I$8)))^2+Inputs!$C$6^2)/Inputs!$C$52)))-((Inputs!$H$8+Inputs!$L$8*(((Inputs!$I$8+(((A211)+1)/2)*(Inputs!$J$8-Inputs!$I$8)))/Inputs!$K$8)^2)))*1000/Inputs!$C$12)</f>
        <v/>
      </c>
      <c r="AI211" s="9">
        <f>(((SQRT((Inputs!$C$52+((Inputs!$H$9+Inputs!$L$9*(((Inputs!$I$9+(((A211)+1)/2)*(Inputs!$J$9-Inputs!$I$9)))/Inputs!$K$9)^2)))^2+Inputs!$C$52^2-2*(Inputs!$C$52+((Inputs!$H$9+Inputs!$L$9*(((Inputs!$I$9+(((A211)+1)/2)*(Inputs!$J$9-Inputs!$I$9)))/Inputs!$K$9)^2)))*Inputs!$C$52*COS(SQRT(((Inputs!$I$9+(((A211)+1)/2)*(Inputs!$J$9-Inputs!$I$9)))^2+Inputs!$C$6^2)/Inputs!$C$52)))-((Inputs!$H$9+Inputs!$L$9*(((Inputs!$I$9+(((A211)+1)/2)*(Inputs!$J$9-Inputs!$I$9)))/Inputs!$K$9)^2)))*1000/Inputs!$C$12)</f>
        <v/>
      </c>
      <c r="AJ211" s="10" t="n"/>
      <c r="AK211" s="9">
        <f>A211</f>
        <v/>
      </c>
      <c r="AL211" s="9">
        <f>(-2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f>
        <v/>
      </c>
      <c r="AM211" s="9">
        <f>(-2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f>
        <v/>
      </c>
      <c r="AN211" s="9">
        <f>(-2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f>
        <v/>
      </c>
      <c r="AO211" s="9">
        <f>(-2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f>
        <v/>
      </c>
      <c r="AP211" s="10" t="n"/>
      <c r="AQ211" s="9">
        <f>A211</f>
        <v/>
      </c>
      <c r="AR211" s="9">
        <f>0</f>
        <v/>
      </c>
      <c r="AS211" s="9">
        <f>IF(OR(Inputs!$F$6=TRUE,Inputs!$F$6="TRUE",Inputs!$F$6=1),IF(OR(Inputs!$C$27=TRUE,Inputs!$C$27="TRUE",Inputs!$C$27=1),1,0)*(Inputs!$C$51*(115*EXP(-(((Inputs!$C$6)-25)^2)/(4.5^2))+70*EXP(-(((Inputs!$C$6)+38)^2)/(7^2))*(0.55+0.45*SIN(2*PI()*((Inputs!$I$6+(((A211)+1)/2)*(Inputs!$J$6-Inputs!$I$6)))/45))+24*SIN(2*PI()*(Inputs!$C$6)/9+((Inputs!$I$6+(((A211)+1)/2)*(Inputs!$J$6-Inputs!$I$6)))/18)*EXP(-(((Inputs!$C$6)+5)^2)/(22^2))+18*SIN(2*PI()*((Inputs!$I$6+(((A211)+1)/2)*(Inputs!$J$6-Inputs!$I$6)))/70))+Inputs!$C$28*EXP(-((((Inputs!$I$6+(((A211)+1)/2)*(Inputs!$J$6-Inputs!$I$6)))-Inputs!$C$29)^2)/(2*Inputs!$C$31^2))*EXP(-(((Inputs!$C$6)-Inputs!$C$30)^2)/(2*Inputs!$C$32^2))+-Inputs!$C$33*EXP(-((((((Inputs!$I$6+(((A211)+1)/2)*(Inputs!$J$6-Inputs!$I$6)))-Inputs!$C$34)^2)+(((Inputs!$C$6)-Inputs!$C$35)^2))/(2*Inputs!$C$36^2)))+Inputs!$C$37*(0.55*SIN(2*PI()*((Inputs!$I$6+(((A211)+1)/2)*(Inputs!$J$6-Inputs!$I$6)))/Inputs!$C$39)+0.35*COS(2*PI()*(Inputs!$C$6)/Inputs!$C$40)+0.2*SIN(2*PI()*(((Inputs!$I$6+(((A211)+1)/2)*(Inputs!$J$6-Inputs!$I$6)))+(Inputs!$C$6))/(0.5*(Inputs!$C$39+Inputs!$C$40))))+Inputs!$C$38*SIN(2*PI()*((Inputs!$I$6+(((A211)+1)/2)*(Inputs!$J$6-Inputs!$I$6)))/Inputs!$C$39)*SIN(2*PI()*(Inputs!$C$6)/Inputs!$C$40)+-Inputs!$C$41*EXP(-(((Inputs!$C$6)-Inputs!$C$43)^2)/(2*Inputs!$C$44^2))*EXP(-((((Inputs!$I$6+(((A211)+1)/2)*(Inputs!$J$6-Inputs!$I$6)))-Inputs!$C$42)^2)/(2*Inputs!$C$45^2))+Inputs!$C$48*(0.7*(0.45*SIN(2*PI()*((((Inputs!$I$6+(((A211)+1)/2)*(Inputs!$J$6-Inputs!$I$6)))/Inputs!$C$49)+Inputs!$C$47*0.137))+0.35*COS(2*PI()*(((Inputs!$C$6)/Inputs!$C$50)+Inputs!$C$47*0.173))+0.2*SIN(2*PI()*((((Inputs!$I$6+(((A211)+1)/2)*(Inputs!$J$6-Inputs!$I$6)))+(Inputs!$C$6))/(0.5*(Inputs!$C$49+Inputs!$C$50))+Inputs!$C$47*0.097)))+0.3*(2*((SIN((((Inputs!$I$6+(((A211)+1)/2)*(Inputs!$J$6-Inputs!$I$6)))*12.9898+(Inputs!$C$6)*78.233+Inputs!$C$47*37.719))*43758.5453)-INT((SIN((((Inputs!$I$6+(((A211)+1)/2)*(Inputs!$J$6-Inputs!$I$6)))*12.9898+(Inputs!$C$6)*78.233+Inputs!$C$47*37.719))*43758.5453)))-1))),NA())</f>
        <v/>
      </c>
      <c r="AT211" s="9">
        <f>IF(OR(Inputs!$F$7=TRUE,Inputs!$F$7="TRUE",Inputs!$F$7=1),IF(OR(Inputs!$C$27=TRUE,Inputs!$C$27="TRUE",Inputs!$C$27=1),1,0)*(Inputs!$C$51*(115*EXP(-(((Inputs!$C$6)-25)^2)/(4.5^2))+70*EXP(-(((Inputs!$C$6)+38)^2)/(7^2))*(0.55+0.45*SIN(2*PI()*((Inputs!$I$7+(((A211)+1)/2)*(Inputs!$J$7-Inputs!$I$7)))/45))+24*SIN(2*PI()*(Inputs!$C$6)/9+((Inputs!$I$7+(((A211)+1)/2)*(Inputs!$J$7-Inputs!$I$7)))/18)*EXP(-(((Inputs!$C$6)+5)^2)/(22^2))+18*SIN(2*PI()*((Inputs!$I$7+(((A211)+1)/2)*(Inputs!$J$7-Inputs!$I$7)))/70))+Inputs!$C$28*EXP(-((((Inputs!$I$7+(((A211)+1)/2)*(Inputs!$J$7-Inputs!$I$7)))-Inputs!$C$29)^2)/(2*Inputs!$C$31^2))*EXP(-(((Inputs!$C$6)-Inputs!$C$30)^2)/(2*Inputs!$C$32^2))+-Inputs!$C$33*EXP(-((((((Inputs!$I$7+(((A211)+1)/2)*(Inputs!$J$7-Inputs!$I$7)))-Inputs!$C$34)^2)+(((Inputs!$C$6)-Inputs!$C$35)^2))/(2*Inputs!$C$36^2)))+Inputs!$C$37*(0.55*SIN(2*PI()*((Inputs!$I$7+(((A211)+1)/2)*(Inputs!$J$7-Inputs!$I$7)))/Inputs!$C$39)+0.35*COS(2*PI()*(Inputs!$C$6)/Inputs!$C$40)+0.2*SIN(2*PI()*(((Inputs!$I$7+(((A211)+1)/2)*(Inputs!$J$7-Inputs!$I$7)))+(Inputs!$C$6))/(0.5*(Inputs!$C$39+Inputs!$C$40))))+Inputs!$C$38*SIN(2*PI()*((Inputs!$I$7+(((A211)+1)/2)*(Inputs!$J$7-Inputs!$I$7)))/Inputs!$C$39)*SIN(2*PI()*(Inputs!$C$6)/Inputs!$C$40)+-Inputs!$C$41*EXP(-(((Inputs!$C$6)-Inputs!$C$43)^2)/(2*Inputs!$C$44^2))*EXP(-((((Inputs!$I$7+(((A211)+1)/2)*(Inputs!$J$7-Inputs!$I$7)))-Inputs!$C$42)^2)/(2*Inputs!$C$45^2))+Inputs!$C$48*(0.7*(0.45*SIN(2*PI()*((((Inputs!$I$7+(((A211)+1)/2)*(Inputs!$J$7-Inputs!$I$7)))/Inputs!$C$49)+Inputs!$C$47*0.137))+0.35*COS(2*PI()*(((Inputs!$C$6)/Inputs!$C$50)+Inputs!$C$47*0.173))+0.2*SIN(2*PI()*((((Inputs!$I$7+(((A211)+1)/2)*(Inputs!$J$7-Inputs!$I$7)))+(Inputs!$C$6))/(0.5*(Inputs!$C$49+Inputs!$C$50))+Inputs!$C$47*0.097)))+0.3*(2*((SIN((((Inputs!$I$7+(((A211)+1)/2)*(Inputs!$J$7-Inputs!$I$7)))*12.9898+(Inputs!$C$6)*78.233+Inputs!$C$47*37.719))*43758.5453)-INT((SIN((((Inputs!$I$7+(((A211)+1)/2)*(Inputs!$J$7-Inputs!$I$7)))*12.9898+(Inputs!$C$6)*78.233+Inputs!$C$47*37.719))*43758.5453)))-1))),NA())</f>
        <v/>
      </c>
      <c r="AU211" s="9">
        <f>IF(OR(Inputs!$F$8=TRUE,Inputs!$F$8="TRUE",Inputs!$F$8=1),IF(OR(Inputs!$C$27=TRUE,Inputs!$C$27="TRUE",Inputs!$C$27=1),1,0)*(Inputs!$C$51*(115*EXP(-(((Inputs!$C$6)-25)^2)/(4.5^2))+70*EXP(-(((Inputs!$C$6)+38)^2)/(7^2))*(0.55+0.45*SIN(2*PI()*((Inputs!$I$8+(((A211)+1)/2)*(Inputs!$J$8-Inputs!$I$8)))/45))+24*SIN(2*PI()*(Inputs!$C$6)/9+((Inputs!$I$8+(((A211)+1)/2)*(Inputs!$J$8-Inputs!$I$8)))/18)*EXP(-(((Inputs!$C$6)+5)^2)/(22^2))+18*SIN(2*PI()*((Inputs!$I$8+(((A211)+1)/2)*(Inputs!$J$8-Inputs!$I$8)))/70))+Inputs!$C$28*EXP(-((((Inputs!$I$8+(((A211)+1)/2)*(Inputs!$J$8-Inputs!$I$8)))-Inputs!$C$29)^2)/(2*Inputs!$C$31^2))*EXP(-(((Inputs!$C$6)-Inputs!$C$30)^2)/(2*Inputs!$C$32^2))+-Inputs!$C$33*EXP(-((((((Inputs!$I$8+(((A211)+1)/2)*(Inputs!$J$8-Inputs!$I$8)))-Inputs!$C$34)^2)+(((Inputs!$C$6)-Inputs!$C$35)^2))/(2*Inputs!$C$36^2)))+Inputs!$C$37*(0.55*SIN(2*PI()*((Inputs!$I$8+(((A211)+1)/2)*(Inputs!$J$8-Inputs!$I$8)))/Inputs!$C$39)+0.35*COS(2*PI()*(Inputs!$C$6)/Inputs!$C$40)+0.2*SIN(2*PI()*(((Inputs!$I$8+(((A211)+1)/2)*(Inputs!$J$8-Inputs!$I$8)))+(Inputs!$C$6))/(0.5*(Inputs!$C$39+Inputs!$C$40))))+Inputs!$C$38*SIN(2*PI()*((Inputs!$I$8+(((A211)+1)/2)*(Inputs!$J$8-Inputs!$I$8)))/Inputs!$C$39)*SIN(2*PI()*(Inputs!$C$6)/Inputs!$C$40)+-Inputs!$C$41*EXP(-(((Inputs!$C$6)-Inputs!$C$43)^2)/(2*Inputs!$C$44^2))*EXP(-((((Inputs!$I$8+(((A211)+1)/2)*(Inputs!$J$8-Inputs!$I$8)))-Inputs!$C$42)^2)/(2*Inputs!$C$45^2))+Inputs!$C$48*(0.7*(0.45*SIN(2*PI()*((((Inputs!$I$8+(((A211)+1)/2)*(Inputs!$J$8-Inputs!$I$8)))/Inputs!$C$49)+Inputs!$C$47*0.137))+0.35*COS(2*PI()*(((Inputs!$C$6)/Inputs!$C$50)+Inputs!$C$47*0.173))+0.2*SIN(2*PI()*((((Inputs!$I$8+(((A211)+1)/2)*(Inputs!$J$8-Inputs!$I$8)))+(Inputs!$C$6))/(0.5*(Inputs!$C$49+Inputs!$C$50))+Inputs!$C$47*0.097)))+0.3*(2*((SIN((((Inputs!$I$8+(((A211)+1)/2)*(Inputs!$J$8-Inputs!$I$8)))*12.9898+(Inputs!$C$6)*78.233+Inputs!$C$47*37.719))*43758.5453)-INT((SIN((((Inputs!$I$8+(((A211)+1)/2)*(Inputs!$J$8-Inputs!$I$8)))*12.9898+(Inputs!$C$6)*78.233+Inputs!$C$47*37.719))*43758.5453)))-1))),NA())</f>
        <v/>
      </c>
      <c r="AV211" s="9">
        <f>IF(OR(Inputs!$F$9=TRUE,Inputs!$F$9="TRUE",Inputs!$F$9=1),IF(OR(Inputs!$C$27=TRUE,Inputs!$C$27="TRUE",Inputs!$C$27=1),1,0)*(Inputs!$C$51*(115*EXP(-(((Inputs!$C$6)-25)^2)/(4.5^2))+70*EXP(-(((Inputs!$C$6)+38)^2)/(7^2))*(0.55+0.45*SIN(2*PI()*((Inputs!$I$9+(((A211)+1)/2)*(Inputs!$J$9-Inputs!$I$9)))/45))+24*SIN(2*PI()*(Inputs!$C$6)/9+((Inputs!$I$9+(((A211)+1)/2)*(Inputs!$J$9-Inputs!$I$9)))/18)*EXP(-(((Inputs!$C$6)+5)^2)/(22^2))+18*SIN(2*PI()*((Inputs!$I$9+(((A211)+1)/2)*(Inputs!$J$9-Inputs!$I$9)))/70))+Inputs!$C$28*EXP(-((((Inputs!$I$9+(((A211)+1)/2)*(Inputs!$J$9-Inputs!$I$9)))-Inputs!$C$29)^2)/(2*Inputs!$C$31^2))*EXP(-(((Inputs!$C$6)-Inputs!$C$30)^2)/(2*Inputs!$C$32^2))+-Inputs!$C$33*EXP(-((((((Inputs!$I$9+(((A211)+1)/2)*(Inputs!$J$9-Inputs!$I$9)))-Inputs!$C$34)^2)+(((Inputs!$C$6)-Inputs!$C$35)^2))/(2*Inputs!$C$36^2)))+Inputs!$C$37*(0.55*SIN(2*PI()*((Inputs!$I$9+(((A211)+1)/2)*(Inputs!$J$9-Inputs!$I$9)))/Inputs!$C$39)+0.35*COS(2*PI()*(Inputs!$C$6)/Inputs!$C$40)+0.2*SIN(2*PI()*(((Inputs!$I$9+(((A211)+1)/2)*(Inputs!$J$9-Inputs!$I$9)))+(Inputs!$C$6))/(0.5*(Inputs!$C$39+Inputs!$C$40))))+Inputs!$C$38*SIN(2*PI()*((Inputs!$I$9+(((A211)+1)/2)*(Inputs!$J$9-Inputs!$I$9)))/Inputs!$C$39)*SIN(2*PI()*(Inputs!$C$6)/Inputs!$C$40)+-Inputs!$C$41*EXP(-(((Inputs!$C$6)-Inputs!$C$43)^2)/(2*Inputs!$C$44^2))*EXP(-((((Inputs!$I$9+(((A211)+1)/2)*(Inputs!$J$9-Inputs!$I$9)))-Inputs!$C$42)^2)/(2*Inputs!$C$45^2))+Inputs!$C$48*(0.7*(0.45*SIN(2*PI()*((((Inputs!$I$9+(((A211)+1)/2)*(Inputs!$J$9-Inputs!$I$9)))/Inputs!$C$49)+Inputs!$C$47*0.137))+0.35*COS(2*PI()*(((Inputs!$C$6)/Inputs!$C$50)+Inputs!$C$47*0.173))+0.2*SIN(2*PI()*((((Inputs!$I$9+(((A211)+1)/2)*(Inputs!$J$9-Inputs!$I$9)))+(Inputs!$C$6))/(0.5*(Inputs!$C$49+Inputs!$C$50))+Inputs!$C$47*0.097)))+0.3*(2*((SIN((((Inputs!$I$9+(((A211)+1)/2)*(Inputs!$J$9-Inputs!$I$9)))*12.9898+(Inputs!$C$6)*78.233+Inputs!$C$47*37.719))*43758.5453)-INT((SIN((((Inputs!$I$9+(((A211)+1)/2)*(Inputs!$J$9-Inputs!$I$9)))*12.9898+(Inputs!$C$6)*78.233+Inputs!$C$47*37.719))*43758.5453)))-1))),NA())</f>
        <v/>
      </c>
      <c r="AW211" s="10" t="n"/>
      <c r="AX211" s="9">
        <f>A211</f>
        <v/>
      </c>
      <c r="AY211" s="9">
        <f>0</f>
        <v/>
      </c>
      <c r="AZ211" s="9">
        <f>IF(OR(Inputs!$F$6=TRUE,Inputs!$F$6="TRUE",Inputs!$F$6=1),(Inputs!$H$6+Inputs!$L$6*(((Inputs!$I$6+(((A211)+1)/2)*(Inputs!$J$6-Inputs!$I$6)))/Inputs!$K$6)^2),NA())</f>
        <v/>
      </c>
      <c r="BA211" s="9">
        <f>IF(OR(Inputs!$F$7=TRUE,Inputs!$F$7="TRUE",Inputs!$F$7=1),(Inputs!$H$7+Inputs!$L$7*(((Inputs!$I$7+(((A211)+1)/2)*(Inputs!$J$7-Inputs!$I$7)))/Inputs!$K$7)^2),NA())</f>
        <v/>
      </c>
      <c r="BB211" s="9">
        <f>IF(OR(Inputs!$F$8=TRUE,Inputs!$F$8="TRUE",Inputs!$F$8=1),(Inputs!$H$8+Inputs!$L$8*(((Inputs!$I$8+(((A211)+1)/2)*(Inputs!$J$8-Inputs!$I$8)))/Inputs!$K$8)^2),NA())</f>
        <v/>
      </c>
      <c r="BC211" s="9">
        <f>IF(OR(Inputs!$F$9=TRUE,Inputs!$F$9="TRUE",Inputs!$F$9=1),(Inputs!$H$9+Inputs!$L$9*(((Inputs!$I$9+(((A211)+1)/2)*(Inputs!$J$9-Inputs!$I$9)))/Inputs!$K$9)^2),NA())</f>
        <v/>
      </c>
      <c r="BD211" s="10" t="n"/>
      <c r="BE211" s="9">
        <f>A211</f>
        <v/>
      </c>
      <c r="BF211" s="9">
        <f>0</f>
        <v/>
      </c>
      <c r="BG211" s="9">
        <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f>
        <v/>
      </c>
      <c r="BH211" s="9">
        <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f>
        <v/>
      </c>
      <c r="BI211" s="9">
        <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f>
        <v/>
      </c>
      <c r="BJ211" s="9">
        <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f>
        <v/>
      </c>
    </row>
    <row r="212">
      <c r="A212" s="9">
        <f>ROUND(-1+210*2/240,3)</f>
        <v/>
      </c>
      <c r="B212" s="9">
        <f>IF(OR(Inputs!$F$6=TRUE,Inputs!$F$6="TRUE",Inputs!$F$6=1),(Inputs!$H$6+Inputs!$L$6*(((Inputs!$I$6+(((A212)+1)/2)*(Inputs!$J$6-Inputs!$I$6)))/Inputs!$K$6)^2),NA())</f>
        <v/>
      </c>
      <c r="C212" s="9">
        <f>IF(OR(Inputs!$F$7=TRUE,Inputs!$F$7="TRUE",Inputs!$F$7=1),(Inputs!$H$7+Inputs!$L$7*(((Inputs!$I$7+(((A212)+1)/2)*(Inputs!$J$7-Inputs!$I$7)))/Inputs!$K$7)^2),NA())</f>
        <v/>
      </c>
      <c r="D212" s="9">
        <f>IF(OR(Inputs!$F$8=TRUE,Inputs!$F$8="TRUE",Inputs!$F$8=1),(Inputs!$H$8+Inputs!$L$8*(((Inputs!$I$8+(((A212)+1)/2)*(Inputs!$J$8-Inputs!$I$8)))/Inputs!$K$8)^2),NA())</f>
        <v/>
      </c>
      <c r="E212" s="9">
        <f>IF(OR(Inputs!$F$9=TRUE,Inputs!$F$9="TRUE",Inputs!$F$9=1),(Inputs!$H$9+Inputs!$L$9*(((Inputs!$I$9+(((A212)+1)/2)*(Inputs!$J$9-Inputs!$I$9)))/Inputs!$K$9)^2),NA())</f>
        <v/>
      </c>
      <c r="F212" s="10" t="n"/>
      <c r="G212" s="9">
        <f>A212</f>
        <v/>
      </c>
      <c r="H212" s="9">
        <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f>
        <v/>
      </c>
      <c r="I212" s="9">
        <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f>
        <v/>
      </c>
      <c r="J212" s="9">
        <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f>
        <v/>
      </c>
      <c r="K212" s="9">
        <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f>
        <v/>
      </c>
      <c r="L212" s="10" t="n"/>
      <c r="M212" s="9">
        <f>A212</f>
        <v/>
      </c>
      <c r="N212" s="9">
        <f>IF(OR(Inputs!$F$6=TRUE,Inputs!$F$6="TRUE",Inputs!$F$6=1),(-2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NA())</f>
        <v/>
      </c>
      <c r="O212" s="9">
        <f>IF(OR(Inputs!$F$7=TRUE,Inputs!$F$7="TRUE",Inputs!$F$7=1),(-2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NA())</f>
        <v/>
      </c>
      <c r="P212" s="9">
        <f>IF(OR(Inputs!$F$8=TRUE,Inputs!$F$8="TRUE",Inputs!$F$8=1),(-2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NA())</f>
        <v/>
      </c>
      <c r="Q212" s="9">
        <f>IF(OR(Inputs!$F$9=TRUE,Inputs!$F$9="TRUE",Inputs!$F$9=1),(-2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NA())</f>
        <v/>
      </c>
      <c r="R212" s="10" t="n"/>
      <c r="S212" s="9">
        <f>A212</f>
        <v/>
      </c>
      <c r="T212" s="9">
        <f>(Inputs!$I$6+(((A212)+1)/2)*(Inputs!$J$6-Inputs!$I$6))</f>
        <v/>
      </c>
      <c r="U212" s="9">
        <f>(Inputs!$I$7+(((A212)+1)/2)*(Inputs!$J$7-Inputs!$I$7))</f>
        <v/>
      </c>
      <c r="V212" s="9">
        <f>(Inputs!$I$8+(((A212)+1)/2)*(Inputs!$J$8-Inputs!$I$8))</f>
        <v/>
      </c>
      <c r="W212" s="9">
        <f>(Inputs!$I$9+(((A212)+1)/2)*(Inputs!$J$9-Inputs!$I$9))</f>
        <v/>
      </c>
      <c r="X212" s="10" t="n"/>
      <c r="Y212" s="9">
        <f>A212</f>
        <v/>
      </c>
      <c r="Z212" s="9">
        <f>(Inputs!$H$6+Inputs!$L$6*(((Inputs!$I$6+(((A212)+1)/2)*(Inputs!$J$6-Inputs!$I$6)))/Inputs!$K$6)^2)</f>
        <v/>
      </c>
      <c r="AA212" s="9">
        <f>(Inputs!$H$7+Inputs!$L$7*(((Inputs!$I$7+(((A212)+1)/2)*(Inputs!$J$7-Inputs!$I$7)))/Inputs!$K$7)^2)</f>
        <v/>
      </c>
      <c r="AB212" s="9">
        <f>(Inputs!$H$8+Inputs!$L$8*(((Inputs!$I$8+(((A212)+1)/2)*(Inputs!$J$8-Inputs!$I$8)))/Inputs!$K$8)^2)</f>
        <v/>
      </c>
      <c r="AC212" s="9">
        <f>(Inputs!$H$9+Inputs!$L$9*(((Inputs!$I$9+(((A212)+1)/2)*(Inputs!$J$9-Inputs!$I$9)))/Inputs!$K$9)^2)</f>
        <v/>
      </c>
      <c r="AD212" s="10" t="n"/>
      <c r="AE212" s="9">
        <f>A212</f>
        <v/>
      </c>
      <c r="AF212" s="9">
        <f>(((SQRT((Inputs!$C$52+((Inputs!$H$6+Inputs!$L$6*(((Inputs!$I$6+(((A212)+1)/2)*(Inputs!$J$6-Inputs!$I$6)))/Inputs!$K$6)^2)))^2+Inputs!$C$52^2-2*(Inputs!$C$52+((Inputs!$H$6+Inputs!$L$6*(((Inputs!$I$6+(((A212)+1)/2)*(Inputs!$J$6-Inputs!$I$6)))/Inputs!$K$6)^2)))*Inputs!$C$52*COS(SQRT(((Inputs!$I$6+(((A212)+1)/2)*(Inputs!$J$6-Inputs!$I$6)))^2+Inputs!$C$6^2)/Inputs!$C$52)))-((Inputs!$H$6+Inputs!$L$6*(((Inputs!$I$6+(((A212)+1)/2)*(Inputs!$J$6-Inputs!$I$6)))/Inputs!$K$6)^2)))*1000/Inputs!$C$12)</f>
        <v/>
      </c>
      <c r="AG212" s="9">
        <f>(((SQRT((Inputs!$C$52+((Inputs!$H$7+Inputs!$L$7*(((Inputs!$I$7+(((A212)+1)/2)*(Inputs!$J$7-Inputs!$I$7)))/Inputs!$K$7)^2)))^2+Inputs!$C$52^2-2*(Inputs!$C$52+((Inputs!$H$7+Inputs!$L$7*(((Inputs!$I$7+(((A212)+1)/2)*(Inputs!$J$7-Inputs!$I$7)))/Inputs!$K$7)^2)))*Inputs!$C$52*COS(SQRT(((Inputs!$I$7+(((A212)+1)/2)*(Inputs!$J$7-Inputs!$I$7)))^2+Inputs!$C$6^2)/Inputs!$C$52)))-((Inputs!$H$7+Inputs!$L$7*(((Inputs!$I$7+(((A212)+1)/2)*(Inputs!$J$7-Inputs!$I$7)))/Inputs!$K$7)^2)))*1000/Inputs!$C$12)</f>
        <v/>
      </c>
      <c r="AH212" s="9">
        <f>(((SQRT((Inputs!$C$52+((Inputs!$H$8+Inputs!$L$8*(((Inputs!$I$8+(((A212)+1)/2)*(Inputs!$J$8-Inputs!$I$8)))/Inputs!$K$8)^2)))^2+Inputs!$C$52^2-2*(Inputs!$C$52+((Inputs!$H$8+Inputs!$L$8*(((Inputs!$I$8+(((A212)+1)/2)*(Inputs!$J$8-Inputs!$I$8)))/Inputs!$K$8)^2)))*Inputs!$C$52*COS(SQRT(((Inputs!$I$8+(((A212)+1)/2)*(Inputs!$J$8-Inputs!$I$8)))^2+Inputs!$C$6^2)/Inputs!$C$52)))-((Inputs!$H$8+Inputs!$L$8*(((Inputs!$I$8+(((A212)+1)/2)*(Inputs!$J$8-Inputs!$I$8)))/Inputs!$K$8)^2)))*1000/Inputs!$C$12)</f>
        <v/>
      </c>
      <c r="AI212" s="9">
        <f>(((SQRT((Inputs!$C$52+((Inputs!$H$9+Inputs!$L$9*(((Inputs!$I$9+(((A212)+1)/2)*(Inputs!$J$9-Inputs!$I$9)))/Inputs!$K$9)^2)))^2+Inputs!$C$52^2-2*(Inputs!$C$52+((Inputs!$H$9+Inputs!$L$9*(((Inputs!$I$9+(((A212)+1)/2)*(Inputs!$J$9-Inputs!$I$9)))/Inputs!$K$9)^2)))*Inputs!$C$52*COS(SQRT(((Inputs!$I$9+(((A212)+1)/2)*(Inputs!$J$9-Inputs!$I$9)))^2+Inputs!$C$6^2)/Inputs!$C$52)))-((Inputs!$H$9+Inputs!$L$9*(((Inputs!$I$9+(((A212)+1)/2)*(Inputs!$J$9-Inputs!$I$9)))/Inputs!$K$9)^2)))*1000/Inputs!$C$12)</f>
        <v/>
      </c>
      <c r="AJ212" s="10" t="n"/>
      <c r="AK212" s="9">
        <f>A212</f>
        <v/>
      </c>
      <c r="AL212" s="9">
        <f>(-2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f>
        <v/>
      </c>
      <c r="AM212" s="9">
        <f>(-2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f>
        <v/>
      </c>
      <c r="AN212" s="9">
        <f>(-2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f>
        <v/>
      </c>
      <c r="AO212" s="9">
        <f>(-2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f>
        <v/>
      </c>
      <c r="AP212" s="10" t="n"/>
      <c r="AQ212" s="9">
        <f>A212</f>
        <v/>
      </c>
      <c r="AR212" s="9">
        <f>0</f>
        <v/>
      </c>
      <c r="AS212" s="9">
        <f>IF(OR(Inputs!$F$6=TRUE,Inputs!$F$6="TRUE",Inputs!$F$6=1),IF(OR(Inputs!$C$27=TRUE,Inputs!$C$27="TRUE",Inputs!$C$27=1),1,0)*(Inputs!$C$51*(115*EXP(-(((Inputs!$C$6)-25)^2)/(4.5^2))+70*EXP(-(((Inputs!$C$6)+38)^2)/(7^2))*(0.55+0.45*SIN(2*PI()*((Inputs!$I$6+(((A212)+1)/2)*(Inputs!$J$6-Inputs!$I$6)))/45))+24*SIN(2*PI()*(Inputs!$C$6)/9+((Inputs!$I$6+(((A212)+1)/2)*(Inputs!$J$6-Inputs!$I$6)))/18)*EXP(-(((Inputs!$C$6)+5)^2)/(22^2))+18*SIN(2*PI()*((Inputs!$I$6+(((A212)+1)/2)*(Inputs!$J$6-Inputs!$I$6)))/70))+Inputs!$C$28*EXP(-((((Inputs!$I$6+(((A212)+1)/2)*(Inputs!$J$6-Inputs!$I$6)))-Inputs!$C$29)^2)/(2*Inputs!$C$31^2))*EXP(-(((Inputs!$C$6)-Inputs!$C$30)^2)/(2*Inputs!$C$32^2))+-Inputs!$C$33*EXP(-((((((Inputs!$I$6+(((A212)+1)/2)*(Inputs!$J$6-Inputs!$I$6)))-Inputs!$C$34)^2)+(((Inputs!$C$6)-Inputs!$C$35)^2))/(2*Inputs!$C$36^2)))+Inputs!$C$37*(0.55*SIN(2*PI()*((Inputs!$I$6+(((A212)+1)/2)*(Inputs!$J$6-Inputs!$I$6)))/Inputs!$C$39)+0.35*COS(2*PI()*(Inputs!$C$6)/Inputs!$C$40)+0.2*SIN(2*PI()*(((Inputs!$I$6+(((A212)+1)/2)*(Inputs!$J$6-Inputs!$I$6)))+(Inputs!$C$6))/(0.5*(Inputs!$C$39+Inputs!$C$40))))+Inputs!$C$38*SIN(2*PI()*((Inputs!$I$6+(((A212)+1)/2)*(Inputs!$J$6-Inputs!$I$6)))/Inputs!$C$39)*SIN(2*PI()*(Inputs!$C$6)/Inputs!$C$40)+-Inputs!$C$41*EXP(-(((Inputs!$C$6)-Inputs!$C$43)^2)/(2*Inputs!$C$44^2))*EXP(-((((Inputs!$I$6+(((A212)+1)/2)*(Inputs!$J$6-Inputs!$I$6)))-Inputs!$C$42)^2)/(2*Inputs!$C$45^2))+Inputs!$C$48*(0.7*(0.45*SIN(2*PI()*((((Inputs!$I$6+(((A212)+1)/2)*(Inputs!$J$6-Inputs!$I$6)))/Inputs!$C$49)+Inputs!$C$47*0.137))+0.35*COS(2*PI()*(((Inputs!$C$6)/Inputs!$C$50)+Inputs!$C$47*0.173))+0.2*SIN(2*PI()*((((Inputs!$I$6+(((A212)+1)/2)*(Inputs!$J$6-Inputs!$I$6)))+(Inputs!$C$6))/(0.5*(Inputs!$C$49+Inputs!$C$50))+Inputs!$C$47*0.097)))+0.3*(2*((SIN((((Inputs!$I$6+(((A212)+1)/2)*(Inputs!$J$6-Inputs!$I$6)))*12.9898+(Inputs!$C$6)*78.233+Inputs!$C$47*37.719))*43758.5453)-INT((SIN((((Inputs!$I$6+(((A212)+1)/2)*(Inputs!$J$6-Inputs!$I$6)))*12.9898+(Inputs!$C$6)*78.233+Inputs!$C$47*37.719))*43758.5453)))-1))),NA())</f>
        <v/>
      </c>
      <c r="AT212" s="9">
        <f>IF(OR(Inputs!$F$7=TRUE,Inputs!$F$7="TRUE",Inputs!$F$7=1),IF(OR(Inputs!$C$27=TRUE,Inputs!$C$27="TRUE",Inputs!$C$27=1),1,0)*(Inputs!$C$51*(115*EXP(-(((Inputs!$C$6)-25)^2)/(4.5^2))+70*EXP(-(((Inputs!$C$6)+38)^2)/(7^2))*(0.55+0.45*SIN(2*PI()*((Inputs!$I$7+(((A212)+1)/2)*(Inputs!$J$7-Inputs!$I$7)))/45))+24*SIN(2*PI()*(Inputs!$C$6)/9+((Inputs!$I$7+(((A212)+1)/2)*(Inputs!$J$7-Inputs!$I$7)))/18)*EXP(-(((Inputs!$C$6)+5)^2)/(22^2))+18*SIN(2*PI()*((Inputs!$I$7+(((A212)+1)/2)*(Inputs!$J$7-Inputs!$I$7)))/70))+Inputs!$C$28*EXP(-((((Inputs!$I$7+(((A212)+1)/2)*(Inputs!$J$7-Inputs!$I$7)))-Inputs!$C$29)^2)/(2*Inputs!$C$31^2))*EXP(-(((Inputs!$C$6)-Inputs!$C$30)^2)/(2*Inputs!$C$32^2))+-Inputs!$C$33*EXP(-((((((Inputs!$I$7+(((A212)+1)/2)*(Inputs!$J$7-Inputs!$I$7)))-Inputs!$C$34)^2)+(((Inputs!$C$6)-Inputs!$C$35)^2))/(2*Inputs!$C$36^2)))+Inputs!$C$37*(0.55*SIN(2*PI()*((Inputs!$I$7+(((A212)+1)/2)*(Inputs!$J$7-Inputs!$I$7)))/Inputs!$C$39)+0.35*COS(2*PI()*(Inputs!$C$6)/Inputs!$C$40)+0.2*SIN(2*PI()*(((Inputs!$I$7+(((A212)+1)/2)*(Inputs!$J$7-Inputs!$I$7)))+(Inputs!$C$6))/(0.5*(Inputs!$C$39+Inputs!$C$40))))+Inputs!$C$38*SIN(2*PI()*((Inputs!$I$7+(((A212)+1)/2)*(Inputs!$J$7-Inputs!$I$7)))/Inputs!$C$39)*SIN(2*PI()*(Inputs!$C$6)/Inputs!$C$40)+-Inputs!$C$41*EXP(-(((Inputs!$C$6)-Inputs!$C$43)^2)/(2*Inputs!$C$44^2))*EXP(-((((Inputs!$I$7+(((A212)+1)/2)*(Inputs!$J$7-Inputs!$I$7)))-Inputs!$C$42)^2)/(2*Inputs!$C$45^2))+Inputs!$C$48*(0.7*(0.45*SIN(2*PI()*((((Inputs!$I$7+(((A212)+1)/2)*(Inputs!$J$7-Inputs!$I$7)))/Inputs!$C$49)+Inputs!$C$47*0.137))+0.35*COS(2*PI()*(((Inputs!$C$6)/Inputs!$C$50)+Inputs!$C$47*0.173))+0.2*SIN(2*PI()*((((Inputs!$I$7+(((A212)+1)/2)*(Inputs!$J$7-Inputs!$I$7)))+(Inputs!$C$6))/(0.5*(Inputs!$C$49+Inputs!$C$50))+Inputs!$C$47*0.097)))+0.3*(2*((SIN((((Inputs!$I$7+(((A212)+1)/2)*(Inputs!$J$7-Inputs!$I$7)))*12.9898+(Inputs!$C$6)*78.233+Inputs!$C$47*37.719))*43758.5453)-INT((SIN((((Inputs!$I$7+(((A212)+1)/2)*(Inputs!$J$7-Inputs!$I$7)))*12.9898+(Inputs!$C$6)*78.233+Inputs!$C$47*37.719))*43758.5453)))-1))),NA())</f>
        <v/>
      </c>
      <c r="AU212" s="9">
        <f>IF(OR(Inputs!$F$8=TRUE,Inputs!$F$8="TRUE",Inputs!$F$8=1),IF(OR(Inputs!$C$27=TRUE,Inputs!$C$27="TRUE",Inputs!$C$27=1),1,0)*(Inputs!$C$51*(115*EXP(-(((Inputs!$C$6)-25)^2)/(4.5^2))+70*EXP(-(((Inputs!$C$6)+38)^2)/(7^2))*(0.55+0.45*SIN(2*PI()*((Inputs!$I$8+(((A212)+1)/2)*(Inputs!$J$8-Inputs!$I$8)))/45))+24*SIN(2*PI()*(Inputs!$C$6)/9+((Inputs!$I$8+(((A212)+1)/2)*(Inputs!$J$8-Inputs!$I$8)))/18)*EXP(-(((Inputs!$C$6)+5)^2)/(22^2))+18*SIN(2*PI()*((Inputs!$I$8+(((A212)+1)/2)*(Inputs!$J$8-Inputs!$I$8)))/70))+Inputs!$C$28*EXP(-((((Inputs!$I$8+(((A212)+1)/2)*(Inputs!$J$8-Inputs!$I$8)))-Inputs!$C$29)^2)/(2*Inputs!$C$31^2))*EXP(-(((Inputs!$C$6)-Inputs!$C$30)^2)/(2*Inputs!$C$32^2))+-Inputs!$C$33*EXP(-((((((Inputs!$I$8+(((A212)+1)/2)*(Inputs!$J$8-Inputs!$I$8)))-Inputs!$C$34)^2)+(((Inputs!$C$6)-Inputs!$C$35)^2))/(2*Inputs!$C$36^2)))+Inputs!$C$37*(0.55*SIN(2*PI()*((Inputs!$I$8+(((A212)+1)/2)*(Inputs!$J$8-Inputs!$I$8)))/Inputs!$C$39)+0.35*COS(2*PI()*(Inputs!$C$6)/Inputs!$C$40)+0.2*SIN(2*PI()*(((Inputs!$I$8+(((A212)+1)/2)*(Inputs!$J$8-Inputs!$I$8)))+(Inputs!$C$6))/(0.5*(Inputs!$C$39+Inputs!$C$40))))+Inputs!$C$38*SIN(2*PI()*((Inputs!$I$8+(((A212)+1)/2)*(Inputs!$J$8-Inputs!$I$8)))/Inputs!$C$39)*SIN(2*PI()*(Inputs!$C$6)/Inputs!$C$40)+-Inputs!$C$41*EXP(-(((Inputs!$C$6)-Inputs!$C$43)^2)/(2*Inputs!$C$44^2))*EXP(-((((Inputs!$I$8+(((A212)+1)/2)*(Inputs!$J$8-Inputs!$I$8)))-Inputs!$C$42)^2)/(2*Inputs!$C$45^2))+Inputs!$C$48*(0.7*(0.45*SIN(2*PI()*((((Inputs!$I$8+(((A212)+1)/2)*(Inputs!$J$8-Inputs!$I$8)))/Inputs!$C$49)+Inputs!$C$47*0.137))+0.35*COS(2*PI()*(((Inputs!$C$6)/Inputs!$C$50)+Inputs!$C$47*0.173))+0.2*SIN(2*PI()*((((Inputs!$I$8+(((A212)+1)/2)*(Inputs!$J$8-Inputs!$I$8)))+(Inputs!$C$6))/(0.5*(Inputs!$C$49+Inputs!$C$50))+Inputs!$C$47*0.097)))+0.3*(2*((SIN((((Inputs!$I$8+(((A212)+1)/2)*(Inputs!$J$8-Inputs!$I$8)))*12.9898+(Inputs!$C$6)*78.233+Inputs!$C$47*37.719))*43758.5453)-INT((SIN((((Inputs!$I$8+(((A212)+1)/2)*(Inputs!$J$8-Inputs!$I$8)))*12.9898+(Inputs!$C$6)*78.233+Inputs!$C$47*37.719))*43758.5453)))-1))),NA())</f>
        <v/>
      </c>
      <c r="AV212" s="9">
        <f>IF(OR(Inputs!$F$9=TRUE,Inputs!$F$9="TRUE",Inputs!$F$9=1),IF(OR(Inputs!$C$27=TRUE,Inputs!$C$27="TRUE",Inputs!$C$27=1),1,0)*(Inputs!$C$51*(115*EXP(-(((Inputs!$C$6)-25)^2)/(4.5^2))+70*EXP(-(((Inputs!$C$6)+38)^2)/(7^2))*(0.55+0.45*SIN(2*PI()*((Inputs!$I$9+(((A212)+1)/2)*(Inputs!$J$9-Inputs!$I$9)))/45))+24*SIN(2*PI()*(Inputs!$C$6)/9+((Inputs!$I$9+(((A212)+1)/2)*(Inputs!$J$9-Inputs!$I$9)))/18)*EXP(-(((Inputs!$C$6)+5)^2)/(22^2))+18*SIN(2*PI()*((Inputs!$I$9+(((A212)+1)/2)*(Inputs!$J$9-Inputs!$I$9)))/70))+Inputs!$C$28*EXP(-((((Inputs!$I$9+(((A212)+1)/2)*(Inputs!$J$9-Inputs!$I$9)))-Inputs!$C$29)^2)/(2*Inputs!$C$31^2))*EXP(-(((Inputs!$C$6)-Inputs!$C$30)^2)/(2*Inputs!$C$32^2))+-Inputs!$C$33*EXP(-((((((Inputs!$I$9+(((A212)+1)/2)*(Inputs!$J$9-Inputs!$I$9)))-Inputs!$C$34)^2)+(((Inputs!$C$6)-Inputs!$C$35)^2))/(2*Inputs!$C$36^2)))+Inputs!$C$37*(0.55*SIN(2*PI()*((Inputs!$I$9+(((A212)+1)/2)*(Inputs!$J$9-Inputs!$I$9)))/Inputs!$C$39)+0.35*COS(2*PI()*(Inputs!$C$6)/Inputs!$C$40)+0.2*SIN(2*PI()*(((Inputs!$I$9+(((A212)+1)/2)*(Inputs!$J$9-Inputs!$I$9)))+(Inputs!$C$6))/(0.5*(Inputs!$C$39+Inputs!$C$40))))+Inputs!$C$38*SIN(2*PI()*((Inputs!$I$9+(((A212)+1)/2)*(Inputs!$J$9-Inputs!$I$9)))/Inputs!$C$39)*SIN(2*PI()*(Inputs!$C$6)/Inputs!$C$40)+-Inputs!$C$41*EXP(-(((Inputs!$C$6)-Inputs!$C$43)^2)/(2*Inputs!$C$44^2))*EXP(-((((Inputs!$I$9+(((A212)+1)/2)*(Inputs!$J$9-Inputs!$I$9)))-Inputs!$C$42)^2)/(2*Inputs!$C$45^2))+Inputs!$C$48*(0.7*(0.45*SIN(2*PI()*((((Inputs!$I$9+(((A212)+1)/2)*(Inputs!$J$9-Inputs!$I$9)))/Inputs!$C$49)+Inputs!$C$47*0.137))+0.35*COS(2*PI()*(((Inputs!$C$6)/Inputs!$C$50)+Inputs!$C$47*0.173))+0.2*SIN(2*PI()*((((Inputs!$I$9+(((A212)+1)/2)*(Inputs!$J$9-Inputs!$I$9)))+(Inputs!$C$6))/(0.5*(Inputs!$C$49+Inputs!$C$50))+Inputs!$C$47*0.097)))+0.3*(2*((SIN((((Inputs!$I$9+(((A212)+1)/2)*(Inputs!$J$9-Inputs!$I$9)))*12.9898+(Inputs!$C$6)*78.233+Inputs!$C$47*37.719))*43758.5453)-INT((SIN((((Inputs!$I$9+(((A212)+1)/2)*(Inputs!$J$9-Inputs!$I$9)))*12.9898+(Inputs!$C$6)*78.233+Inputs!$C$47*37.719))*43758.5453)))-1))),NA())</f>
        <v/>
      </c>
      <c r="AW212" s="10" t="n"/>
      <c r="AX212" s="9">
        <f>A212</f>
        <v/>
      </c>
      <c r="AY212" s="9">
        <f>0</f>
        <v/>
      </c>
      <c r="AZ212" s="9">
        <f>IF(OR(Inputs!$F$6=TRUE,Inputs!$F$6="TRUE",Inputs!$F$6=1),(Inputs!$H$6+Inputs!$L$6*(((Inputs!$I$6+(((A212)+1)/2)*(Inputs!$J$6-Inputs!$I$6)))/Inputs!$K$6)^2),NA())</f>
        <v/>
      </c>
      <c r="BA212" s="9">
        <f>IF(OR(Inputs!$F$7=TRUE,Inputs!$F$7="TRUE",Inputs!$F$7=1),(Inputs!$H$7+Inputs!$L$7*(((Inputs!$I$7+(((A212)+1)/2)*(Inputs!$J$7-Inputs!$I$7)))/Inputs!$K$7)^2),NA())</f>
        <v/>
      </c>
      <c r="BB212" s="9">
        <f>IF(OR(Inputs!$F$8=TRUE,Inputs!$F$8="TRUE",Inputs!$F$8=1),(Inputs!$H$8+Inputs!$L$8*(((Inputs!$I$8+(((A212)+1)/2)*(Inputs!$J$8-Inputs!$I$8)))/Inputs!$K$8)^2),NA())</f>
        <v/>
      </c>
      <c r="BC212" s="9">
        <f>IF(OR(Inputs!$F$9=TRUE,Inputs!$F$9="TRUE",Inputs!$F$9=1),(Inputs!$H$9+Inputs!$L$9*(((Inputs!$I$9+(((A212)+1)/2)*(Inputs!$J$9-Inputs!$I$9)))/Inputs!$K$9)^2),NA())</f>
        <v/>
      </c>
      <c r="BD212" s="10" t="n"/>
      <c r="BE212" s="9">
        <f>A212</f>
        <v/>
      </c>
      <c r="BF212" s="9">
        <f>0</f>
        <v/>
      </c>
      <c r="BG212" s="9">
        <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f>
        <v/>
      </c>
      <c r="BH212" s="9">
        <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f>
        <v/>
      </c>
      <c r="BI212" s="9">
        <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f>
        <v/>
      </c>
      <c r="BJ212" s="9">
        <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f>
        <v/>
      </c>
    </row>
    <row r="213">
      <c r="A213" s="9">
        <f>ROUND(-1+211*2/240,3)</f>
        <v/>
      </c>
      <c r="B213" s="9">
        <f>IF(OR(Inputs!$F$6=TRUE,Inputs!$F$6="TRUE",Inputs!$F$6=1),(Inputs!$H$6+Inputs!$L$6*(((Inputs!$I$6+(((A213)+1)/2)*(Inputs!$J$6-Inputs!$I$6)))/Inputs!$K$6)^2),NA())</f>
        <v/>
      </c>
      <c r="C213" s="9">
        <f>IF(OR(Inputs!$F$7=TRUE,Inputs!$F$7="TRUE",Inputs!$F$7=1),(Inputs!$H$7+Inputs!$L$7*(((Inputs!$I$7+(((A213)+1)/2)*(Inputs!$J$7-Inputs!$I$7)))/Inputs!$K$7)^2),NA())</f>
        <v/>
      </c>
      <c r="D213" s="9">
        <f>IF(OR(Inputs!$F$8=TRUE,Inputs!$F$8="TRUE",Inputs!$F$8=1),(Inputs!$H$8+Inputs!$L$8*(((Inputs!$I$8+(((A213)+1)/2)*(Inputs!$J$8-Inputs!$I$8)))/Inputs!$K$8)^2),NA())</f>
        <v/>
      </c>
      <c r="E213" s="9">
        <f>IF(OR(Inputs!$F$9=TRUE,Inputs!$F$9="TRUE",Inputs!$F$9=1),(Inputs!$H$9+Inputs!$L$9*(((Inputs!$I$9+(((A213)+1)/2)*(Inputs!$J$9-Inputs!$I$9)))/Inputs!$K$9)^2),NA())</f>
        <v/>
      </c>
      <c r="F213" s="10" t="n"/>
      <c r="G213" s="9">
        <f>A213</f>
        <v/>
      </c>
      <c r="H213" s="9">
        <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f>
        <v/>
      </c>
      <c r="I213" s="9">
        <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f>
        <v/>
      </c>
      <c r="J213" s="9">
        <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f>
        <v/>
      </c>
      <c r="K213" s="9">
        <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f>
        <v/>
      </c>
      <c r="L213" s="10" t="n"/>
      <c r="M213" s="9">
        <f>A213</f>
        <v/>
      </c>
      <c r="N213" s="9">
        <f>IF(OR(Inputs!$F$6=TRUE,Inputs!$F$6="TRUE",Inputs!$F$6=1),(-2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NA())</f>
        <v/>
      </c>
      <c r="O213" s="9">
        <f>IF(OR(Inputs!$F$7=TRUE,Inputs!$F$7="TRUE",Inputs!$F$7=1),(-2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NA())</f>
        <v/>
      </c>
      <c r="P213" s="9">
        <f>IF(OR(Inputs!$F$8=TRUE,Inputs!$F$8="TRUE",Inputs!$F$8=1),(-2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NA())</f>
        <v/>
      </c>
      <c r="Q213" s="9">
        <f>IF(OR(Inputs!$F$9=TRUE,Inputs!$F$9="TRUE",Inputs!$F$9=1),(-2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NA())</f>
        <v/>
      </c>
      <c r="R213" s="10" t="n"/>
      <c r="S213" s="9">
        <f>A213</f>
        <v/>
      </c>
      <c r="T213" s="9">
        <f>(Inputs!$I$6+(((A213)+1)/2)*(Inputs!$J$6-Inputs!$I$6))</f>
        <v/>
      </c>
      <c r="U213" s="9">
        <f>(Inputs!$I$7+(((A213)+1)/2)*(Inputs!$J$7-Inputs!$I$7))</f>
        <v/>
      </c>
      <c r="V213" s="9">
        <f>(Inputs!$I$8+(((A213)+1)/2)*(Inputs!$J$8-Inputs!$I$8))</f>
        <v/>
      </c>
      <c r="W213" s="9">
        <f>(Inputs!$I$9+(((A213)+1)/2)*(Inputs!$J$9-Inputs!$I$9))</f>
        <v/>
      </c>
      <c r="X213" s="10" t="n"/>
      <c r="Y213" s="9">
        <f>A213</f>
        <v/>
      </c>
      <c r="Z213" s="9">
        <f>(Inputs!$H$6+Inputs!$L$6*(((Inputs!$I$6+(((A213)+1)/2)*(Inputs!$J$6-Inputs!$I$6)))/Inputs!$K$6)^2)</f>
        <v/>
      </c>
      <c r="AA213" s="9">
        <f>(Inputs!$H$7+Inputs!$L$7*(((Inputs!$I$7+(((A213)+1)/2)*(Inputs!$J$7-Inputs!$I$7)))/Inputs!$K$7)^2)</f>
        <v/>
      </c>
      <c r="AB213" s="9">
        <f>(Inputs!$H$8+Inputs!$L$8*(((Inputs!$I$8+(((A213)+1)/2)*(Inputs!$J$8-Inputs!$I$8)))/Inputs!$K$8)^2)</f>
        <v/>
      </c>
      <c r="AC213" s="9">
        <f>(Inputs!$H$9+Inputs!$L$9*(((Inputs!$I$9+(((A213)+1)/2)*(Inputs!$J$9-Inputs!$I$9)))/Inputs!$K$9)^2)</f>
        <v/>
      </c>
      <c r="AD213" s="10" t="n"/>
      <c r="AE213" s="9">
        <f>A213</f>
        <v/>
      </c>
      <c r="AF213" s="9">
        <f>(((SQRT((Inputs!$C$52+((Inputs!$H$6+Inputs!$L$6*(((Inputs!$I$6+(((A213)+1)/2)*(Inputs!$J$6-Inputs!$I$6)))/Inputs!$K$6)^2)))^2+Inputs!$C$52^2-2*(Inputs!$C$52+((Inputs!$H$6+Inputs!$L$6*(((Inputs!$I$6+(((A213)+1)/2)*(Inputs!$J$6-Inputs!$I$6)))/Inputs!$K$6)^2)))*Inputs!$C$52*COS(SQRT(((Inputs!$I$6+(((A213)+1)/2)*(Inputs!$J$6-Inputs!$I$6)))^2+Inputs!$C$6^2)/Inputs!$C$52)))-((Inputs!$H$6+Inputs!$L$6*(((Inputs!$I$6+(((A213)+1)/2)*(Inputs!$J$6-Inputs!$I$6)))/Inputs!$K$6)^2)))*1000/Inputs!$C$12)</f>
        <v/>
      </c>
      <c r="AG213" s="9">
        <f>(((SQRT((Inputs!$C$52+((Inputs!$H$7+Inputs!$L$7*(((Inputs!$I$7+(((A213)+1)/2)*(Inputs!$J$7-Inputs!$I$7)))/Inputs!$K$7)^2)))^2+Inputs!$C$52^2-2*(Inputs!$C$52+((Inputs!$H$7+Inputs!$L$7*(((Inputs!$I$7+(((A213)+1)/2)*(Inputs!$J$7-Inputs!$I$7)))/Inputs!$K$7)^2)))*Inputs!$C$52*COS(SQRT(((Inputs!$I$7+(((A213)+1)/2)*(Inputs!$J$7-Inputs!$I$7)))^2+Inputs!$C$6^2)/Inputs!$C$52)))-((Inputs!$H$7+Inputs!$L$7*(((Inputs!$I$7+(((A213)+1)/2)*(Inputs!$J$7-Inputs!$I$7)))/Inputs!$K$7)^2)))*1000/Inputs!$C$12)</f>
        <v/>
      </c>
      <c r="AH213" s="9">
        <f>(((SQRT((Inputs!$C$52+((Inputs!$H$8+Inputs!$L$8*(((Inputs!$I$8+(((A213)+1)/2)*(Inputs!$J$8-Inputs!$I$8)))/Inputs!$K$8)^2)))^2+Inputs!$C$52^2-2*(Inputs!$C$52+((Inputs!$H$8+Inputs!$L$8*(((Inputs!$I$8+(((A213)+1)/2)*(Inputs!$J$8-Inputs!$I$8)))/Inputs!$K$8)^2)))*Inputs!$C$52*COS(SQRT(((Inputs!$I$8+(((A213)+1)/2)*(Inputs!$J$8-Inputs!$I$8)))^2+Inputs!$C$6^2)/Inputs!$C$52)))-((Inputs!$H$8+Inputs!$L$8*(((Inputs!$I$8+(((A213)+1)/2)*(Inputs!$J$8-Inputs!$I$8)))/Inputs!$K$8)^2)))*1000/Inputs!$C$12)</f>
        <v/>
      </c>
      <c r="AI213" s="9">
        <f>(((SQRT((Inputs!$C$52+((Inputs!$H$9+Inputs!$L$9*(((Inputs!$I$9+(((A213)+1)/2)*(Inputs!$J$9-Inputs!$I$9)))/Inputs!$K$9)^2)))^2+Inputs!$C$52^2-2*(Inputs!$C$52+((Inputs!$H$9+Inputs!$L$9*(((Inputs!$I$9+(((A213)+1)/2)*(Inputs!$J$9-Inputs!$I$9)))/Inputs!$K$9)^2)))*Inputs!$C$52*COS(SQRT(((Inputs!$I$9+(((A213)+1)/2)*(Inputs!$J$9-Inputs!$I$9)))^2+Inputs!$C$6^2)/Inputs!$C$52)))-((Inputs!$H$9+Inputs!$L$9*(((Inputs!$I$9+(((A213)+1)/2)*(Inputs!$J$9-Inputs!$I$9)))/Inputs!$K$9)^2)))*1000/Inputs!$C$12)</f>
        <v/>
      </c>
      <c r="AJ213" s="10" t="n"/>
      <c r="AK213" s="9">
        <f>A213</f>
        <v/>
      </c>
      <c r="AL213" s="9">
        <f>(-2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f>
        <v/>
      </c>
      <c r="AM213" s="9">
        <f>(-2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f>
        <v/>
      </c>
      <c r="AN213" s="9">
        <f>(-2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f>
        <v/>
      </c>
      <c r="AO213" s="9">
        <f>(-2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f>
        <v/>
      </c>
      <c r="AP213" s="10" t="n"/>
      <c r="AQ213" s="9">
        <f>A213</f>
        <v/>
      </c>
      <c r="AR213" s="9">
        <f>0</f>
        <v/>
      </c>
      <c r="AS213" s="9">
        <f>IF(OR(Inputs!$F$6=TRUE,Inputs!$F$6="TRUE",Inputs!$F$6=1),IF(OR(Inputs!$C$27=TRUE,Inputs!$C$27="TRUE",Inputs!$C$27=1),1,0)*(Inputs!$C$51*(115*EXP(-(((Inputs!$C$6)-25)^2)/(4.5^2))+70*EXP(-(((Inputs!$C$6)+38)^2)/(7^2))*(0.55+0.45*SIN(2*PI()*((Inputs!$I$6+(((A213)+1)/2)*(Inputs!$J$6-Inputs!$I$6)))/45))+24*SIN(2*PI()*(Inputs!$C$6)/9+((Inputs!$I$6+(((A213)+1)/2)*(Inputs!$J$6-Inputs!$I$6)))/18)*EXP(-(((Inputs!$C$6)+5)^2)/(22^2))+18*SIN(2*PI()*((Inputs!$I$6+(((A213)+1)/2)*(Inputs!$J$6-Inputs!$I$6)))/70))+Inputs!$C$28*EXP(-((((Inputs!$I$6+(((A213)+1)/2)*(Inputs!$J$6-Inputs!$I$6)))-Inputs!$C$29)^2)/(2*Inputs!$C$31^2))*EXP(-(((Inputs!$C$6)-Inputs!$C$30)^2)/(2*Inputs!$C$32^2))+-Inputs!$C$33*EXP(-((((((Inputs!$I$6+(((A213)+1)/2)*(Inputs!$J$6-Inputs!$I$6)))-Inputs!$C$34)^2)+(((Inputs!$C$6)-Inputs!$C$35)^2))/(2*Inputs!$C$36^2)))+Inputs!$C$37*(0.55*SIN(2*PI()*((Inputs!$I$6+(((A213)+1)/2)*(Inputs!$J$6-Inputs!$I$6)))/Inputs!$C$39)+0.35*COS(2*PI()*(Inputs!$C$6)/Inputs!$C$40)+0.2*SIN(2*PI()*(((Inputs!$I$6+(((A213)+1)/2)*(Inputs!$J$6-Inputs!$I$6)))+(Inputs!$C$6))/(0.5*(Inputs!$C$39+Inputs!$C$40))))+Inputs!$C$38*SIN(2*PI()*((Inputs!$I$6+(((A213)+1)/2)*(Inputs!$J$6-Inputs!$I$6)))/Inputs!$C$39)*SIN(2*PI()*(Inputs!$C$6)/Inputs!$C$40)+-Inputs!$C$41*EXP(-(((Inputs!$C$6)-Inputs!$C$43)^2)/(2*Inputs!$C$44^2))*EXP(-((((Inputs!$I$6+(((A213)+1)/2)*(Inputs!$J$6-Inputs!$I$6)))-Inputs!$C$42)^2)/(2*Inputs!$C$45^2))+Inputs!$C$48*(0.7*(0.45*SIN(2*PI()*((((Inputs!$I$6+(((A213)+1)/2)*(Inputs!$J$6-Inputs!$I$6)))/Inputs!$C$49)+Inputs!$C$47*0.137))+0.35*COS(2*PI()*(((Inputs!$C$6)/Inputs!$C$50)+Inputs!$C$47*0.173))+0.2*SIN(2*PI()*((((Inputs!$I$6+(((A213)+1)/2)*(Inputs!$J$6-Inputs!$I$6)))+(Inputs!$C$6))/(0.5*(Inputs!$C$49+Inputs!$C$50))+Inputs!$C$47*0.097)))+0.3*(2*((SIN((((Inputs!$I$6+(((A213)+1)/2)*(Inputs!$J$6-Inputs!$I$6)))*12.9898+(Inputs!$C$6)*78.233+Inputs!$C$47*37.719))*43758.5453)-INT((SIN((((Inputs!$I$6+(((A213)+1)/2)*(Inputs!$J$6-Inputs!$I$6)))*12.9898+(Inputs!$C$6)*78.233+Inputs!$C$47*37.719))*43758.5453)))-1))),NA())</f>
        <v/>
      </c>
      <c r="AT213" s="9">
        <f>IF(OR(Inputs!$F$7=TRUE,Inputs!$F$7="TRUE",Inputs!$F$7=1),IF(OR(Inputs!$C$27=TRUE,Inputs!$C$27="TRUE",Inputs!$C$27=1),1,0)*(Inputs!$C$51*(115*EXP(-(((Inputs!$C$6)-25)^2)/(4.5^2))+70*EXP(-(((Inputs!$C$6)+38)^2)/(7^2))*(0.55+0.45*SIN(2*PI()*((Inputs!$I$7+(((A213)+1)/2)*(Inputs!$J$7-Inputs!$I$7)))/45))+24*SIN(2*PI()*(Inputs!$C$6)/9+((Inputs!$I$7+(((A213)+1)/2)*(Inputs!$J$7-Inputs!$I$7)))/18)*EXP(-(((Inputs!$C$6)+5)^2)/(22^2))+18*SIN(2*PI()*((Inputs!$I$7+(((A213)+1)/2)*(Inputs!$J$7-Inputs!$I$7)))/70))+Inputs!$C$28*EXP(-((((Inputs!$I$7+(((A213)+1)/2)*(Inputs!$J$7-Inputs!$I$7)))-Inputs!$C$29)^2)/(2*Inputs!$C$31^2))*EXP(-(((Inputs!$C$6)-Inputs!$C$30)^2)/(2*Inputs!$C$32^2))+-Inputs!$C$33*EXP(-((((((Inputs!$I$7+(((A213)+1)/2)*(Inputs!$J$7-Inputs!$I$7)))-Inputs!$C$34)^2)+(((Inputs!$C$6)-Inputs!$C$35)^2))/(2*Inputs!$C$36^2)))+Inputs!$C$37*(0.55*SIN(2*PI()*((Inputs!$I$7+(((A213)+1)/2)*(Inputs!$J$7-Inputs!$I$7)))/Inputs!$C$39)+0.35*COS(2*PI()*(Inputs!$C$6)/Inputs!$C$40)+0.2*SIN(2*PI()*(((Inputs!$I$7+(((A213)+1)/2)*(Inputs!$J$7-Inputs!$I$7)))+(Inputs!$C$6))/(0.5*(Inputs!$C$39+Inputs!$C$40))))+Inputs!$C$38*SIN(2*PI()*((Inputs!$I$7+(((A213)+1)/2)*(Inputs!$J$7-Inputs!$I$7)))/Inputs!$C$39)*SIN(2*PI()*(Inputs!$C$6)/Inputs!$C$40)+-Inputs!$C$41*EXP(-(((Inputs!$C$6)-Inputs!$C$43)^2)/(2*Inputs!$C$44^2))*EXP(-((((Inputs!$I$7+(((A213)+1)/2)*(Inputs!$J$7-Inputs!$I$7)))-Inputs!$C$42)^2)/(2*Inputs!$C$45^2))+Inputs!$C$48*(0.7*(0.45*SIN(2*PI()*((((Inputs!$I$7+(((A213)+1)/2)*(Inputs!$J$7-Inputs!$I$7)))/Inputs!$C$49)+Inputs!$C$47*0.137))+0.35*COS(2*PI()*(((Inputs!$C$6)/Inputs!$C$50)+Inputs!$C$47*0.173))+0.2*SIN(2*PI()*((((Inputs!$I$7+(((A213)+1)/2)*(Inputs!$J$7-Inputs!$I$7)))+(Inputs!$C$6))/(0.5*(Inputs!$C$49+Inputs!$C$50))+Inputs!$C$47*0.097)))+0.3*(2*((SIN((((Inputs!$I$7+(((A213)+1)/2)*(Inputs!$J$7-Inputs!$I$7)))*12.9898+(Inputs!$C$6)*78.233+Inputs!$C$47*37.719))*43758.5453)-INT((SIN((((Inputs!$I$7+(((A213)+1)/2)*(Inputs!$J$7-Inputs!$I$7)))*12.9898+(Inputs!$C$6)*78.233+Inputs!$C$47*37.719))*43758.5453)))-1))),NA())</f>
        <v/>
      </c>
      <c r="AU213" s="9">
        <f>IF(OR(Inputs!$F$8=TRUE,Inputs!$F$8="TRUE",Inputs!$F$8=1),IF(OR(Inputs!$C$27=TRUE,Inputs!$C$27="TRUE",Inputs!$C$27=1),1,0)*(Inputs!$C$51*(115*EXP(-(((Inputs!$C$6)-25)^2)/(4.5^2))+70*EXP(-(((Inputs!$C$6)+38)^2)/(7^2))*(0.55+0.45*SIN(2*PI()*((Inputs!$I$8+(((A213)+1)/2)*(Inputs!$J$8-Inputs!$I$8)))/45))+24*SIN(2*PI()*(Inputs!$C$6)/9+((Inputs!$I$8+(((A213)+1)/2)*(Inputs!$J$8-Inputs!$I$8)))/18)*EXP(-(((Inputs!$C$6)+5)^2)/(22^2))+18*SIN(2*PI()*((Inputs!$I$8+(((A213)+1)/2)*(Inputs!$J$8-Inputs!$I$8)))/70))+Inputs!$C$28*EXP(-((((Inputs!$I$8+(((A213)+1)/2)*(Inputs!$J$8-Inputs!$I$8)))-Inputs!$C$29)^2)/(2*Inputs!$C$31^2))*EXP(-(((Inputs!$C$6)-Inputs!$C$30)^2)/(2*Inputs!$C$32^2))+-Inputs!$C$33*EXP(-((((((Inputs!$I$8+(((A213)+1)/2)*(Inputs!$J$8-Inputs!$I$8)))-Inputs!$C$34)^2)+(((Inputs!$C$6)-Inputs!$C$35)^2))/(2*Inputs!$C$36^2)))+Inputs!$C$37*(0.55*SIN(2*PI()*((Inputs!$I$8+(((A213)+1)/2)*(Inputs!$J$8-Inputs!$I$8)))/Inputs!$C$39)+0.35*COS(2*PI()*(Inputs!$C$6)/Inputs!$C$40)+0.2*SIN(2*PI()*(((Inputs!$I$8+(((A213)+1)/2)*(Inputs!$J$8-Inputs!$I$8)))+(Inputs!$C$6))/(0.5*(Inputs!$C$39+Inputs!$C$40))))+Inputs!$C$38*SIN(2*PI()*((Inputs!$I$8+(((A213)+1)/2)*(Inputs!$J$8-Inputs!$I$8)))/Inputs!$C$39)*SIN(2*PI()*(Inputs!$C$6)/Inputs!$C$40)+-Inputs!$C$41*EXP(-(((Inputs!$C$6)-Inputs!$C$43)^2)/(2*Inputs!$C$44^2))*EXP(-((((Inputs!$I$8+(((A213)+1)/2)*(Inputs!$J$8-Inputs!$I$8)))-Inputs!$C$42)^2)/(2*Inputs!$C$45^2))+Inputs!$C$48*(0.7*(0.45*SIN(2*PI()*((((Inputs!$I$8+(((A213)+1)/2)*(Inputs!$J$8-Inputs!$I$8)))/Inputs!$C$49)+Inputs!$C$47*0.137))+0.35*COS(2*PI()*(((Inputs!$C$6)/Inputs!$C$50)+Inputs!$C$47*0.173))+0.2*SIN(2*PI()*((((Inputs!$I$8+(((A213)+1)/2)*(Inputs!$J$8-Inputs!$I$8)))+(Inputs!$C$6))/(0.5*(Inputs!$C$49+Inputs!$C$50))+Inputs!$C$47*0.097)))+0.3*(2*((SIN((((Inputs!$I$8+(((A213)+1)/2)*(Inputs!$J$8-Inputs!$I$8)))*12.9898+(Inputs!$C$6)*78.233+Inputs!$C$47*37.719))*43758.5453)-INT((SIN((((Inputs!$I$8+(((A213)+1)/2)*(Inputs!$J$8-Inputs!$I$8)))*12.9898+(Inputs!$C$6)*78.233+Inputs!$C$47*37.719))*43758.5453)))-1))),NA())</f>
        <v/>
      </c>
      <c r="AV213" s="9">
        <f>IF(OR(Inputs!$F$9=TRUE,Inputs!$F$9="TRUE",Inputs!$F$9=1),IF(OR(Inputs!$C$27=TRUE,Inputs!$C$27="TRUE",Inputs!$C$27=1),1,0)*(Inputs!$C$51*(115*EXP(-(((Inputs!$C$6)-25)^2)/(4.5^2))+70*EXP(-(((Inputs!$C$6)+38)^2)/(7^2))*(0.55+0.45*SIN(2*PI()*((Inputs!$I$9+(((A213)+1)/2)*(Inputs!$J$9-Inputs!$I$9)))/45))+24*SIN(2*PI()*(Inputs!$C$6)/9+((Inputs!$I$9+(((A213)+1)/2)*(Inputs!$J$9-Inputs!$I$9)))/18)*EXP(-(((Inputs!$C$6)+5)^2)/(22^2))+18*SIN(2*PI()*((Inputs!$I$9+(((A213)+1)/2)*(Inputs!$J$9-Inputs!$I$9)))/70))+Inputs!$C$28*EXP(-((((Inputs!$I$9+(((A213)+1)/2)*(Inputs!$J$9-Inputs!$I$9)))-Inputs!$C$29)^2)/(2*Inputs!$C$31^2))*EXP(-(((Inputs!$C$6)-Inputs!$C$30)^2)/(2*Inputs!$C$32^2))+-Inputs!$C$33*EXP(-((((((Inputs!$I$9+(((A213)+1)/2)*(Inputs!$J$9-Inputs!$I$9)))-Inputs!$C$34)^2)+(((Inputs!$C$6)-Inputs!$C$35)^2))/(2*Inputs!$C$36^2)))+Inputs!$C$37*(0.55*SIN(2*PI()*((Inputs!$I$9+(((A213)+1)/2)*(Inputs!$J$9-Inputs!$I$9)))/Inputs!$C$39)+0.35*COS(2*PI()*(Inputs!$C$6)/Inputs!$C$40)+0.2*SIN(2*PI()*(((Inputs!$I$9+(((A213)+1)/2)*(Inputs!$J$9-Inputs!$I$9)))+(Inputs!$C$6))/(0.5*(Inputs!$C$39+Inputs!$C$40))))+Inputs!$C$38*SIN(2*PI()*((Inputs!$I$9+(((A213)+1)/2)*(Inputs!$J$9-Inputs!$I$9)))/Inputs!$C$39)*SIN(2*PI()*(Inputs!$C$6)/Inputs!$C$40)+-Inputs!$C$41*EXP(-(((Inputs!$C$6)-Inputs!$C$43)^2)/(2*Inputs!$C$44^2))*EXP(-((((Inputs!$I$9+(((A213)+1)/2)*(Inputs!$J$9-Inputs!$I$9)))-Inputs!$C$42)^2)/(2*Inputs!$C$45^2))+Inputs!$C$48*(0.7*(0.45*SIN(2*PI()*((((Inputs!$I$9+(((A213)+1)/2)*(Inputs!$J$9-Inputs!$I$9)))/Inputs!$C$49)+Inputs!$C$47*0.137))+0.35*COS(2*PI()*(((Inputs!$C$6)/Inputs!$C$50)+Inputs!$C$47*0.173))+0.2*SIN(2*PI()*((((Inputs!$I$9+(((A213)+1)/2)*(Inputs!$J$9-Inputs!$I$9)))+(Inputs!$C$6))/(0.5*(Inputs!$C$49+Inputs!$C$50))+Inputs!$C$47*0.097)))+0.3*(2*((SIN((((Inputs!$I$9+(((A213)+1)/2)*(Inputs!$J$9-Inputs!$I$9)))*12.9898+(Inputs!$C$6)*78.233+Inputs!$C$47*37.719))*43758.5453)-INT((SIN((((Inputs!$I$9+(((A213)+1)/2)*(Inputs!$J$9-Inputs!$I$9)))*12.9898+(Inputs!$C$6)*78.233+Inputs!$C$47*37.719))*43758.5453)))-1))),NA())</f>
        <v/>
      </c>
      <c r="AW213" s="10" t="n"/>
      <c r="AX213" s="9">
        <f>A213</f>
        <v/>
      </c>
      <c r="AY213" s="9">
        <f>0</f>
        <v/>
      </c>
      <c r="AZ213" s="9">
        <f>IF(OR(Inputs!$F$6=TRUE,Inputs!$F$6="TRUE",Inputs!$F$6=1),(Inputs!$H$6+Inputs!$L$6*(((Inputs!$I$6+(((A213)+1)/2)*(Inputs!$J$6-Inputs!$I$6)))/Inputs!$K$6)^2),NA())</f>
        <v/>
      </c>
      <c r="BA213" s="9">
        <f>IF(OR(Inputs!$F$7=TRUE,Inputs!$F$7="TRUE",Inputs!$F$7=1),(Inputs!$H$7+Inputs!$L$7*(((Inputs!$I$7+(((A213)+1)/2)*(Inputs!$J$7-Inputs!$I$7)))/Inputs!$K$7)^2),NA())</f>
        <v/>
      </c>
      <c r="BB213" s="9">
        <f>IF(OR(Inputs!$F$8=TRUE,Inputs!$F$8="TRUE",Inputs!$F$8=1),(Inputs!$H$8+Inputs!$L$8*(((Inputs!$I$8+(((A213)+1)/2)*(Inputs!$J$8-Inputs!$I$8)))/Inputs!$K$8)^2),NA())</f>
        <v/>
      </c>
      <c r="BC213" s="9">
        <f>IF(OR(Inputs!$F$9=TRUE,Inputs!$F$9="TRUE",Inputs!$F$9=1),(Inputs!$H$9+Inputs!$L$9*(((Inputs!$I$9+(((A213)+1)/2)*(Inputs!$J$9-Inputs!$I$9)))/Inputs!$K$9)^2),NA())</f>
        <v/>
      </c>
      <c r="BD213" s="10" t="n"/>
      <c r="BE213" s="9">
        <f>A213</f>
        <v/>
      </c>
      <c r="BF213" s="9">
        <f>0</f>
        <v/>
      </c>
      <c r="BG213" s="9">
        <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f>
        <v/>
      </c>
      <c r="BH213" s="9">
        <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f>
        <v/>
      </c>
      <c r="BI213" s="9">
        <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f>
        <v/>
      </c>
      <c r="BJ213" s="9">
        <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f>
        <v/>
      </c>
    </row>
    <row r="214">
      <c r="A214" s="9">
        <f>ROUND(-1+212*2/240,3)</f>
        <v/>
      </c>
      <c r="B214" s="9">
        <f>IF(OR(Inputs!$F$6=TRUE,Inputs!$F$6="TRUE",Inputs!$F$6=1),(Inputs!$H$6+Inputs!$L$6*(((Inputs!$I$6+(((A214)+1)/2)*(Inputs!$J$6-Inputs!$I$6)))/Inputs!$K$6)^2),NA())</f>
        <v/>
      </c>
      <c r="C214" s="9">
        <f>IF(OR(Inputs!$F$7=TRUE,Inputs!$F$7="TRUE",Inputs!$F$7=1),(Inputs!$H$7+Inputs!$L$7*(((Inputs!$I$7+(((A214)+1)/2)*(Inputs!$J$7-Inputs!$I$7)))/Inputs!$K$7)^2),NA())</f>
        <v/>
      </c>
      <c r="D214" s="9">
        <f>IF(OR(Inputs!$F$8=TRUE,Inputs!$F$8="TRUE",Inputs!$F$8=1),(Inputs!$H$8+Inputs!$L$8*(((Inputs!$I$8+(((A214)+1)/2)*(Inputs!$J$8-Inputs!$I$8)))/Inputs!$K$8)^2),NA())</f>
        <v/>
      </c>
      <c r="E214" s="9">
        <f>IF(OR(Inputs!$F$9=TRUE,Inputs!$F$9="TRUE",Inputs!$F$9=1),(Inputs!$H$9+Inputs!$L$9*(((Inputs!$I$9+(((A214)+1)/2)*(Inputs!$J$9-Inputs!$I$9)))/Inputs!$K$9)^2),NA())</f>
        <v/>
      </c>
      <c r="F214" s="10" t="n"/>
      <c r="G214" s="9">
        <f>A214</f>
        <v/>
      </c>
      <c r="H214" s="9">
        <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f>
        <v/>
      </c>
      <c r="I214" s="9">
        <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f>
        <v/>
      </c>
      <c r="J214" s="9">
        <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f>
        <v/>
      </c>
      <c r="K214" s="9">
        <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f>
        <v/>
      </c>
      <c r="L214" s="10" t="n"/>
      <c r="M214" s="9">
        <f>A214</f>
        <v/>
      </c>
      <c r="N214" s="9">
        <f>IF(OR(Inputs!$F$6=TRUE,Inputs!$F$6="TRUE",Inputs!$F$6=1),(-2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NA())</f>
        <v/>
      </c>
      <c r="O214" s="9">
        <f>IF(OR(Inputs!$F$7=TRUE,Inputs!$F$7="TRUE",Inputs!$F$7=1),(-2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NA())</f>
        <v/>
      </c>
      <c r="P214" s="9">
        <f>IF(OR(Inputs!$F$8=TRUE,Inputs!$F$8="TRUE",Inputs!$F$8=1),(-2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NA())</f>
        <v/>
      </c>
      <c r="Q214" s="9">
        <f>IF(OR(Inputs!$F$9=TRUE,Inputs!$F$9="TRUE",Inputs!$F$9=1),(-2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NA())</f>
        <v/>
      </c>
      <c r="R214" s="10" t="n"/>
      <c r="S214" s="9">
        <f>A214</f>
        <v/>
      </c>
      <c r="T214" s="9">
        <f>(Inputs!$I$6+(((A214)+1)/2)*(Inputs!$J$6-Inputs!$I$6))</f>
        <v/>
      </c>
      <c r="U214" s="9">
        <f>(Inputs!$I$7+(((A214)+1)/2)*(Inputs!$J$7-Inputs!$I$7))</f>
        <v/>
      </c>
      <c r="V214" s="9">
        <f>(Inputs!$I$8+(((A214)+1)/2)*(Inputs!$J$8-Inputs!$I$8))</f>
        <v/>
      </c>
      <c r="W214" s="9">
        <f>(Inputs!$I$9+(((A214)+1)/2)*(Inputs!$J$9-Inputs!$I$9))</f>
        <v/>
      </c>
      <c r="X214" s="10" t="n"/>
      <c r="Y214" s="9">
        <f>A214</f>
        <v/>
      </c>
      <c r="Z214" s="9">
        <f>(Inputs!$H$6+Inputs!$L$6*(((Inputs!$I$6+(((A214)+1)/2)*(Inputs!$J$6-Inputs!$I$6)))/Inputs!$K$6)^2)</f>
        <v/>
      </c>
      <c r="AA214" s="9">
        <f>(Inputs!$H$7+Inputs!$L$7*(((Inputs!$I$7+(((A214)+1)/2)*(Inputs!$J$7-Inputs!$I$7)))/Inputs!$K$7)^2)</f>
        <v/>
      </c>
      <c r="AB214" s="9">
        <f>(Inputs!$H$8+Inputs!$L$8*(((Inputs!$I$8+(((A214)+1)/2)*(Inputs!$J$8-Inputs!$I$8)))/Inputs!$K$8)^2)</f>
        <v/>
      </c>
      <c r="AC214" s="9">
        <f>(Inputs!$H$9+Inputs!$L$9*(((Inputs!$I$9+(((A214)+1)/2)*(Inputs!$J$9-Inputs!$I$9)))/Inputs!$K$9)^2)</f>
        <v/>
      </c>
      <c r="AD214" s="10" t="n"/>
      <c r="AE214" s="9">
        <f>A214</f>
        <v/>
      </c>
      <c r="AF214" s="9">
        <f>(((SQRT((Inputs!$C$52+((Inputs!$H$6+Inputs!$L$6*(((Inputs!$I$6+(((A214)+1)/2)*(Inputs!$J$6-Inputs!$I$6)))/Inputs!$K$6)^2)))^2+Inputs!$C$52^2-2*(Inputs!$C$52+((Inputs!$H$6+Inputs!$L$6*(((Inputs!$I$6+(((A214)+1)/2)*(Inputs!$J$6-Inputs!$I$6)))/Inputs!$K$6)^2)))*Inputs!$C$52*COS(SQRT(((Inputs!$I$6+(((A214)+1)/2)*(Inputs!$J$6-Inputs!$I$6)))^2+Inputs!$C$6^2)/Inputs!$C$52)))-((Inputs!$H$6+Inputs!$L$6*(((Inputs!$I$6+(((A214)+1)/2)*(Inputs!$J$6-Inputs!$I$6)))/Inputs!$K$6)^2)))*1000/Inputs!$C$12)</f>
        <v/>
      </c>
      <c r="AG214" s="9">
        <f>(((SQRT((Inputs!$C$52+((Inputs!$H$7+Inputs!$L$7*(((Inputs!$I$7+(((A214)+1)/2)*(Inputs!$J$7-Inputs!$I$7)))/Inputs!$K$7)^2)))^2+Inputs!$C$52^2-2*(Inputs!$C$52+((Inputs!$H$7+Inputs!$L$7*(((Inputs!$I$7+(((A214)+1)/2)*(Inputs!$J$7-Inputs!$I$7)))/Inputs!$K$7)^2)))*Inputs!$C$52*COS(SQRT(((Inputs!$I$7+(((A214)+1)/2)*(Inputs!$J$7-Inputs!$I$7)))^2+Inputs!$C$6^2)/Inputs!$C$52)))-((Inputs!$H$7+Inputs!$L$7*(((Inputs!$I$7+(((A214)+1)/2)*(Inputs!$J$7-Inputs!$I$7)))/Inputs!$K$7)^2)))*1000/Inputs!$C$12)</f>
        <v/>
      </c>
      <c r="AH214" s="9">
        <f>(((SQRT((Inputs!$C$52+((Inputs!$H$8+Inputs!$L$8*(((Inputs!$I$8+(((A214)+1)/2)*(Inputs!$J$8-Inputs!$I$8)))/Inputs!$K$8)^2)))^2+Inputs!$C$52^2-2*(Inputs!$C$52+((Inputs!$H$8+Inputs!$L$8*(((Inputs!$I$8+(((A214)+1)/2)*(Inputs!$J$8-Inputs!$I$8)))/Inputs!$K$8)^2)))*Inputs!$C$52*COS(SQRT(((Inputs!$I$8+(((A214)+1)/2)*(Inputs!$J$8-Inputs!$I$8)))^2+Inputs!$C$6^2)/Inputs!$C$52)))-((Inputs!$H$8+Inputs!$L$8*(((Inputs!$I$8+(((A214)+1)/2)*(Inputs!$J$8-Inputs!$I$8)))/Inputs!$K$8)^2)))*1000/Inputs!$C$12)</f>
        <v/>
      </c>
      <c r="AI214" s="9">
        <f>(((SQRT((Inputs!$C$52+((Inputs!$H$9+Inputs!$L$9*(((Inputs!$I$9+(((A214)+1)/2)*(Inputs!$J$9-Inputs!$I$9)))/Inputs!$K$9)^2)))^2+Inputs!$C$52^2-2*(Inputs!$C$52+((Inputs!$H$9+Inputs!$L$9*(((Inputs!$I$9+(((A214)+1)/2)*(Inputs!$J$9-Inputs!$I$9)))/Inputs!$K$9)^2)))*Inputs!$C$52*COS(SQRT(((Inputs!$I$9+(((A214)+1)/2)*(Inputs!$J$9-Inputs!$I$9)))^2+Inputs!$C$6^2)/Inputs!$C$52)))-((Inputs!$H$9+Inputs!$L$9*(((Inputs!$I$9+(((A214)+1)/2)*(Inputs!$J$9-Inputs!$I$9)))/Inputs!$K$9)^2)))*1000/Inputs!$C$12)</f>
        <v/>
      </c>
      <c r="AJ214" s="10" t="n"/>
      <c r="AK214" s="9">
        <f>A214</f>
        <v/>
      </c>
      <c r="AL214" s="9">
        <f>(-2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f>
        <v/>
      </c>
      <c r="AM214" s="9">
        <f>(-2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f>
        <v/>
      </c>
      <c r="AN214" s="9">
        <f>(-2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f>
        <v/>
      </c>
      <c r="AO214" s="9">
        <f>(-2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f>
        <v/>
      </c>
      <c r="AP214" s="10" t="n"/>
      <c r="AQ214" s="9">
        <f>A214</f>
        <v/>
      </c>
      <c r="AR214" s="9">
        <f>0</f>
        <v/>
      </c>
      <c r="AS214" s="9">
        <f>IF(OR(Inputs!$F$6=TRUE,Inputs!$F$6="TRUE",Inputs!$F$6=1),IF(OR(Inputs!$C$27=TRUE,Inputs!$C$27="TRUE",Inputs!$C$27=1),1,0)*(Inputs!$C$51*(115*EXP(-(((Inputs!$C$6)-25)^2)/(4.5^2))+70*EXP(-(((Inputs!$C$6)+38)^2)/(7^2))*(0.55+0.45*SIN(2*PI()*((Inputs!$I$6+(((A214)+1)/2)*(Inputs!$J$6-Inputs!$I$6)))/45))+24*SIN(2*PI()*(Inputs!$C$6)/9+((Inputs!$I$6+(((A214)+1)/2)*(Inputs!$J$6-Inputs!$I$6)))/18)*EXP(-(((Inputs!$C$6)+5)^2)/(22^2))+18*SIN(2*PI()*((Inputs!$I$6+(((A214)+1)/2)*(Inputs!$J$6-Inputs!$I$6)))/70))+Inputs!$C$28*EXP(-((((Inputs!$I$6+(((A214)+1)/2)*(Inputs!$J$6-Inputs!$I$6)))-Inputs!$C$29)^2)/(2*Inputs!$C$31^2))*EXP(-(((Inputs!$C$6)-Inputs!$C$30)^2)/(2*Inputs!$C$32^2))+-Inputs!$C$33*EXP(-((((((Inputs!$I$6+(((A214)+1)/2)*(Inputs!$J$6-Inputs!$I$6)))-Inputs!$C$34)^2)+(((Inputs!$C$6)-Inputs!$C$35)^2))/(2*Inputs!$C$36^2)))+Inputs!$C$37*(0.55*SIN(2*PI()*((Inputs!$I$6+(((A214)+1)/2)*(Inputs!$J$6-Inputs!$I$6)))/Inputs!$C$39)+0.35*COS(2*PI()*(Inputs!$C$6)/Inputs!$C$40)+0.2*SIN(2*PI()*(((Inputs!$I$6+(((A214)+1)/2)*(Inputs!$J$6-Inputs!$I$6)))+(Inputs!$C$6))/(0.5*(Inputs!$C$39+Inputs!$C$40))))+Inputs!$C$38*SIN(2*PI()*((Inputs!$I$6+(((A214)+1)/2)*(Inputs!$J$6-Inputs!$I$6)))/Inputs!$C$39)*SIN(2*PI()*(Inputs!$C$6)/Inputs!$C$40)+-Inputs!$C$41*EXP(-(((Inputs!$C$6)-Inputs!$C$43)^2)/(2*Inputs!$C$44^2))*EXP(-((((Inputs!$I$6+(((A214)+1)/2)*(Inputs!$J$6-Inputs!$I$6)))-Inputs!$C$42)^2)/(2*Inputs!$C$45^2))+Inputs!$C$48*(0.7*(0.45*SIN(2*PI()*((((Inputs!$I$6+(((A214)+1)/2)*(Inputs!$J$6-Inputs!$I$6)))/Inputs!$C$49)+Inputs!$C$47*0.137))+0.35*COS(2*PI()*(((Inputs!$C$6)/Inputs!$C$50)+Inputs!$C$47*0.173))+0.2*SIN(2*PI()*((((Inputs!$I$6+(((A214)+1)/2)*(Inputs!$J$6-Inputs!$I$6)))+(Inputs!$C$6))/(0.5*(Inputs!$C$49+Inputs!$C$50))+Inputs!$C$47*0.097)))+0.3*(2*((SIN((((Inputs!$I$6+(((A214)+1)/2)*(Inputs!$J$6-Inputs!$I$6)))*12.9898+(Inputs!$C$6)*78.233+Inputs!$C$47*37.719))*43758.5453)-INT((SIN((((Inputs!$I$6+(((A214)+1)/2)*(Inputs!$J$6-Inputs!$I$6)))*12.9898+(Inputs!$C$6)*78.233+Inputs!$C$47*37.719))*43758.5453)))-1))),NA())</f>
        <v/>
      </c>
      <c r="AT214" s="9">
        <f>IF(OR(Inputs!$F$7=TRUE,Inputs!$F$7="TRUE",Inputs!$F$7=1),IF(OR(Inputs!$C$27=TRUE,Inputs!$C$27="TRUE",Inputs!$C$27=1),1,0)*(Inputs!$C$51*(115*EXP(-(((Inputs!$C$6)-25)^2)/(4.5^2))+70*EXP(-(((Inputs!$C$6)+38)^2)/(7^2))*(0.55+0.45*SIN(2*PI()*((Inputs!$I$7+(((A214)+1)/2)*(Inputs!$J$7-Inputs!$I$7)))/45))+24*SIN(2*PI()*(Inputs!$C$6)/9+((Inputs!$I$7+(((A214)+1)/2)*(Inputs!$J$7-Inputs!$I$7)))/18)*EXP(-(((Inputs!$C$6)+5)^2)/(22^2))+18*SIN(2*PI()*((Inputs!$I$7+(((A214)+1)/2)*(Inputs!$J$7-Inputs!$I$7)))/70))+Inputs!$C$28*EXP(-((((Inputs!$I$7+(((A214)+1)/2)*(Inputs!$J$7-Inputs!$I$7)))-Inputs!$C$29)^2)/(2*Inputs!$C$31^2))*EXP(-(((Inputs!$C$6)-Inputs!$C$30)^2)/(2*Inputs!$C$32^2))+-Inputs!$C$33*EXP(-((((((Inputs!$I$7+(((A214)+1)/2)*(Inputs!$J$7-Inputs!$I$7)))-Inputs!$C$34)^2)+(((Inputs!$C$6)-Inputs!$C$35)^2))/(2*Inputs!$C$36^2)))+Inputs!$C$37*(0.55*SIN(2*PI()*((Inputs!$I$7+(((A214)+1)/2)*(Inputs!$J$7-Inputs!$I$7)))/Inputs!$C$39)+0.35*COS(2*PI()*(Inputs!$C$6)/Inputs!$C$40)+0.2*SIN(2*PI()*(((Inputs!$I$7+(((A214)+1)/2)*(Inputs!$J$7-Inputs!$I$7)))+(Inputs!$C$6))/(0.5*(Inputs!$C$39+Inputs!$C$40))))+Inputs!$C$38*SIN(2*PI()*((Inputs!$I$7+(((A214)+1)/2)*(Inputs!$J$7-Inputs!$I$7)))/Inputs!$C$39)*SIN(2*PI()*(Inputs!$C$6)/Inputs!$C$40)+-Inputs!$C$41*EXP(-(((Inputs!$C$6)-Inputs!$C$43)^2)/(2*Inputs!$C$44^2))*EXP(-((((Inputs!$I$7+(((A214)+1)/2)*(Inputs!$J$7-Inputs!$I$7)))-Inputs!$C$42)^2)/(2*Inputs!$C$45^2))+Inputs!$C$48*(0.7*(0.45*SIN(2*PI()*((((Inputs!$I$7+(((A214)+1)/2)*(Inputs!$J$7-Inputs!$I$7)))/Inputs!$C$49)+Inputs!$C$47*0.137))+0.35*COS(2*PI()*(((Inputs!$C$6)/Inputs!$C$50)+Inputs!$C$47*0.173))+0.2*SIN(2*PI()*((((Inputs!$I$7+(((A214)+1)/2)*(Inputs!$J$7-Inputs!$I$7)))+(Inputs!$C$6))/(0.5*(Inputs!$C$49+Inputs!$C$50))+Inputs!$C$47*0.097)))+0.3*(2*((SIN((((Inputs!$I$7+(((A214)+1)/2)*(Inputs!$J$7-Inputs!$I$7)))*12.9898+(Inputs!$C$6)*78.233+Inputs!$C$47*37.719))*43758.5453)-INT((SIN((((Inputs!$I$7+(((A214)+1)/2)*(Inputs!$J$7-Inputs!$I$7)))*12.9898+(Inputs!$C$6)*78.233+Inputs!$C$47*37.719))*43758.5453)))-1))),NA())</f>
        <v/>
      </c>
      <c r="AU214" s="9">
        <f>IF(OR(Inputs!$F$8=TRUE,Inputs!$F$8="TRUE",Inputs!$F$8=1),IF(OR(Inputs!$C$27=TRUE,Inputs!$C$27="TRUE",Inputs!$C$27=1),1,0)*(Inputs!$C$51*(115*EXP(-(((Inputs!$C$6)-25)^2)/(4.5^2))+70*EXP(-(((Inputs!$C$6)+38)^2)/(7^2))*(0.55+0.45*SIN(2*PI()*((Inputs!$I$8+(((A214)+1)/2)*(Inputs!$J$8-Inputs!$I$8)))/45))+24*SIN(2*PI()*(Inputs!$C$6)/9+((Inputs!$I$8+(((A214)+1)/2)*(Inputs!$J$8-Inputs!$I$8)))/18)*EXP(-(((Inputs!$C$6)+5)^2)/(22^2))+18*SIN(2*PI()*((Inputs!$I$8+(((A214)+1)/2)*(Inputs!$J$8-Inputs!$I$8)))/70))+Inputs!$C$28*EXP(-((((Inputs!$I$8+(((A214)+1)/2)*(Inputs!$J$8-Inputs!$I$8)))-Inputs!$C$29)^2)/(2*Inputs!$C$31^2))*EXP(-(((Inputs!$C$6)-Inputs!$C$30)^2)/(2*Inputs!$C$32^2))+-Inputs!$C$33*EXP(-((((((Inputs!$I$8+(((A214)+1)/2)*(Inputs!$J$8-Inputs!$I$8)))-Inputs!$C$34)^2)+(((Inputs!$C$6)-Inputs!$C$35)^2))/(2*Inputs!$C$36^2)))+Inputs!$C$37*(0.55*SIN(2*PI()*((Inputs!$I$8+(((A214)+1)/2)*(Inputs!$J$8-Inputs!$I$8)))/Inputs!$C$39)+0.35*COS(2*PI()*(Inputs!$C$6)/Inputs!$C$40)+0.2*SIN(2*PI()*(((Inputs!$I$8+(((A214)+1)/2)*(Inputs!$J$8-Inputs!$I$8)))+(Inputs!$C$6))/(0.5*(Inputs!$C$39+Inputs!$C$40))))+Inputs!$C$38*SIN(2*PI()*((Inputs!$I$8+(((A214)+1)/2)*(Inputs!$J$8-Inputs!$I$8)))/Inputs!$C$39)*SIN(2*PI()*(Inputs!$C$6)/Inputs!$C$40)+-Inputs!$C$41*EXP(-(((Inputs!$C$6)-Inputs!$C$43)^2)/(2*Inputs!$C$44^2))*EXP(-((((Inputs!$I$8+(((A214)+1)/2)*(Inputs!$J$8-Inputs!$I$8)))-Inputs!$C$42)^2)/(2*Inputs!$C$45^2))+Inputs!$C$48*(0.7*(0.45*SIN(2*PI()*((((Inputs!$I$8+(((A214)+1)/2)*(Inputs!$J$8-Inputs!$I$8)))/Inputs!$C$49)+Inputs!$C$47*0.137))+0.35*COS(2*PI()*(((Inputs!$C$6)/Inputs!$C$50)+Inputs!$C$47*0.173))+0.2*SIN(2*PI()*((((Inputs!$I$8+(((A214)+1)/2)*(Inputs!$J$8-Inputs!$I$8)))+(Inputs!$C$6))/(0.5*(Inputs!$C$49+Inputs!$C$50))+Inputs!$C$47*0.097)))+0.3*(2*((SIN((((Inputs!$I$8+(((A214)+1)/2)*(Inputs!$J$8-Inputs!$I$8)))*12.9898+(Inputs!$C$6)*78.233+Inputs!$C$47*37.719))*43758.5453)-INT((SIN((((Inputs!$I$8+(((A214)+1)/2)*(Inputs!$J$8-Inputs!$I$8)))*12.9898+(Inputs!$C$6)*78.233+Inputs!$C$47*37.719))*43758.5453)))-1))),NA())</f>
        <v/>
      </c>
      <c r="AV214" s="9">
        <f>IF(OR(Inputs!$F$9=TRUE,Inputs!$F$9="TRUE",Inputs!$F$9=1),IF(OR(Inputs!$C$27=TRUE,Inputs!$C$27="TRUE",Inputs!$C$27=1),1,0)*(Inputs!$C$51*(115*EXP(-(((Inputs!$C$6)-25)^2)/(4.5^2))+70*EXP(-(((Inputs!$C$6)+38)^2)/(7^2))*(0.55+0.45*SIN(2*PI()*((Inputs!$I$9+(((A214)+1)/2)*(Inputs!$J$9-Inputs!$I$9)))/45))+24*SIN(2*PI()*(Inputs!$C$6)/9+((Inputs!$I$9+(((A214)+1)/2)*(Inputs!$J$9-Inputs!$I$9)))/18)*EXP(-(((Inputs!$C$6)+5)^2)/(22^2))+18*SIN(2*PI()*((Inputs!$I$9+(((A214)+1)/2)*(Inputs!$J$9-Inputs!$I$9)))/70))+Inputs!$C$28*EXP(-((((Inputs!$I$9+(((A214)+1)/2)*(Inputs!$J$9-Inputs!$I$9)))-Inputs!$C$29)^2)/(2*Inputs!$C$31^2))*EXP(-(((Inputs!$C$6)-Inputs!$C$30)^2)/(2*Inputs!$C$32^2))+-Inputs!$C$33*EXP(-((((((Inputs!$I$9+(((A214)+1)/2)*(Inputs!$J$9-Inputs!$I$9)))-Inputs!$C$34)^2)+(((Inputs!$C$6)-Inputs!$C$35)^2))/(2*Inputs!$C$36^2)))+Inputs!$C$37*(0.55*SIN(2*PI()*((Inputs!$I$9+(((A214)+1)/2)*(Inputs!$J$9-Inputs!$I$9)))/Inputs!$C$39)+0.35*COS(2*PI()*(Inputs!$C$6)/Inputs!$C$40)+0.2*SIN(2*PI()*(((Inputs!$I$9+(((A214)+1)/2)*(Inputs!$J$9-Inputs!$I$9)))+(Inputs!$C$6))/(0.5*(Inputs!$C$39+Inputs!$C$40))))+Inputs!$C$38*SIN(2*PI()*((Inputs!$I$9+(((A214)+1)/2)*(Inputs!$J$9-Inputs!$I$9)))/Inputs!$C$39)*SIN(2*PI()*(Inputs!$C$6)/Inputs!$C$40)+-Inputs!$C$41*EXP(-(((Inputs!$C$6)-Inputs!$C$43)^2)/(2*Inputs!$C$44^2))*EXP(-((((Inputs!$I$9+(((A214)+1)/2)*(Inputs!$J$9-Inputs!$I$9)))-Inputs!$C$42)^2)/(2*Inputs!$C$45^2))+Inputs!$C$48*(0.7*(0.45*SIN(2*PI()*((((Inputs!$I$9+(((A214)+1)/2)*(Inputs!$J$9-Inputs!$I$9)))/Inputs!$C$49)+Inputs!$C$47*0.137))+0.35*COS(2*PI()*(((Inputs!$C$6)/Inputs!$C$50)+Inputs!$C$47*0.173))+0.2*SIN(2*PI()*((((Inputs!$I$9+(((A214)+1)/2)*(Inputs!$J$9-Inputs!$I$9)))+(Inputs!$C$6))/(0.5*(Inputs!$C$49+Inputs!$C$50))+Inputs!$C$47*0.097)))+0.3*(2*((SIN((((Inputs!$I$9+(((A214)+1)/2)*(Inputs!$J$9-Inputs!$I$9)))*12.9898+(Inputs!$C$6)*78.233+Inputs!$C$47*37.719))*43758.5453)-INT((SIN((((Inputs!$I$9+(((A214)+1)/2)*(Inputs!$J$9-Inputs!$I$9)))*12.9898+(Inputs!$C$6)*78.233+Inputs!$C$47*37.719))*43758.5453)))-1))),NA())</f>
        <v/>
      </c>
      <c r="AW214" s="10" t="n"/>
      <c r="AX214" s="9">
        <f>A214</f>
        <v/>
      </c>
      <c r="AY214" s="9">
        <f>0</f>
        <v/>
      </c>
      <c r="AZ214" s="9">
        <f>IF(OR(Inputs!$F$6=TRUE,Inputs!$F$6="TRUE",Inputs!$F$6=1),(Inputs!$H$6+Inputs!$L$6*(((Inputs!$I$6+(((A214)+1)/2)*(Inputs!$J$6-Inputs!$I$6)))/Inputs!$K$6)^2),NA())</f>
        <v/>
      </c>
      <c r="BA214" s="9">
        <f>IF(OR(Inputs!$F$7=TRUE,Inputs!$F$7="TRUE",Inputs!$F$7=1),(Inputs!$H$7+Inputs!$L$7*(((Inputs!$I$7+(((A214)+1)/2)*(Inputs!$J$7-Inputs!$I$7)))/Inputs!$K$7)^2),NA())</f>
        <v/>
      </c>
      <c r="BB214" s="9">
        <f>IF(OR(Inputs!$F$8=TRUE,Inputs!$F$8="TRUE",Inputs!$F$8=1),(Inputs!$H$8+Inputs!$L$8*(((Inputs!$I$8+(((A214)+1)/2)*(Inputs!$J$8-Inputs!$I$8)))/Inputs!$K$8)^2),NA())</f>
        <v/>
      </c>
      <c r="BC214" s="9">
        <f>IF(OR(Inputs!$F$9=TRUE,Inputs!$F$9="TRUE",Inputs!$F$9=1),(Inputs!$H$9+Inputs!$L$9*(((Inputs!$I$9+(((A214)+1)/2)*(Inputs!$J$9-Inputs!$I$9)))/Inputs!$K$9)^2),NA())</f>
        <v/>
      </c>
      <c r="BD214" s="10" t="n"/>
      <c r="BE214" s="9">
        <f>A214</f>
        <v/>
      </c>
      <c r="BF214" s="9">
        <f>0</f>
        <v/>
      </c>
      <c r="BG214" s="9">
        <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f>
        <v/>
      </c>
      <c r="BH214" s="9">
        <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f>
        <v/>
      </c>
      <c r="BI214" s="9">
        <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f>
        <v/>
      </c>
      <c r="BJ214" s="9">
        <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f>
        <v/>
      </c>
    </row>
    <row r="215">
      <c r="A215" s="9">
        <f>ROUND(-1+213*2/240,3)</f>
        <v/>
      </c>
      <c r="B215" s="9">
        <f>IF(OR(Inputs!$F$6=TRUE,Inputs!$F$6="TRUE",Inputs!$F$6=1),(Inputs!$H$6+Inputs!$L$6*(((Inputs!$I$6+(((A215)+1)/2)*(Inputs!$J$6-Inputs!$I$6)))/Inputs!$K$6)^2),NA())</f>
        <v/>
      </c>
      <c r="C215" s="9">
        <f>IF(OR(Inputs!$F$7=TRUE,Inputs!$F$7="TRUE",Inputs!$F$7=1),(Inputs!$H$7+Inputs!$L$7*(((Inputs!$I$7+(((A215)+1)/2)*(Inputs!$J$7-Inputs!$I$7)))/Inputs!$K$7)^2),NA())</f>
        <v/>
      </c>
      <c r="D215" s="9">
        <f>IF(OR(Inputs!$F$8=TRUE,Inputs!$F$8="TRUE",Inputs!$F$8=1),(Inputs!$H$8+Inputs!$L$8*(((Inputs!$I$8+(((A215)+1)/2)*(Inputs!$J$8-Inputs!$I$8)))/Inputs!$K$8)^2),NA())</f>
        <v/>
      </c>
      <c r="E215" s="9">
        <f>IF(OR(Inputs!$F$9=TRUE,Inputs!$F$9="TRUE",Inputs!$F$9=1),(Inputs!$H$9+Inputs!$L$9*(((Inputs!$I$9+(((A215)+1)/2)*(Inputs!$J$9-Inputs!$I$9)))/Inputs!$K$9)^2),NA())</f>
        <v/>
      </c>
      <c r="F215" s="10" t="n"/>
      <c r="G215" s="9">
        <f>A215</f>
        <v/>
      </c>
      <c r="H215" s="9">
        <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f>
        <v/>
      </c>
      <c r="I215" s="9">
        <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f>
        <v/>
      </c>
      <c r="J215" s="9">
        <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f>
        <v/>
      </c>
      <c r="K215" s="9">
        <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f>
        <v/>
      </c>
      <c r="L215" s="10" t="n"/>
      <c r="M215" s="9">
        <f>A215</f>
        <v/>
      </c>
      <c r="N215" s="9">
        <f>IF(OR(Inputs!$F$6=TRUE,Inputs!$F$6="TRUE",Inputs!$F$6=1),(-2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NA())</f>
        <v/>
      </c>
      <c r="O215" s="9">
        <f>IF(OR(Inputs!$F$7=TRUE,Inputs!$F$7="TRUE",Inputs!$F$7=1),(-2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NA())</f>
        <v/>
      </c>
      <c r="P215" s="9">
        <f>IF(OR(Inputs!$F$8=TRUE,Inputs!$F$8="TRUE",Inputs!$F$8=1),(-2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NA())</f>
        <v/>
      </c>
      <c r="Q215" s="9">
        <f>IF(OR(Inputs!$F$9=TRUE,Inputs!$F$9="TRUE",Inputs!$F$9=1),(-2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NA())</f>
        <v/>
      </c>
      <c r="R215" s="10" t="n"/>
      <c r="S215" s="9">
        <f>A215</f>
        <v/>
      </c>
      <c r="T215" s="9">
        <f>(Inputs!$I$6+(((A215)+1)/2)*(Inputs!$J$6-Inputs!$I$6))</f>
        <v/>
      </c>
      <c r="U215" s="9">
        <f>(Inputs!$I$7+(((A215)+1)/2)*(Inputs!$J$7-Inputs!$I$7))</f>
        <v/>
      </c>
      <c r="V215" s="9">
        <f>(Inputs!$I$8+(((A215)+1)/2)*(Inputs!$J$8-Inputs!$I$8))</f>
        <v/>
      </c>
      <c r="W215" s="9">
        <f>(Inputs!$I$9+(((A215)+1)/2)*(Inputs!$J$9-Inputs!$I$9))</f>
        <v/>
      </c>
      <c r="X215" s="10" t="n"/>
      <c r="Y215" s="9">
        <f>A215</f>
        <v/>
      </c>
      <c r="Z215" s="9">
        <f>(Inputs!$H$6+Inputs!$L$6*(((Inputs!$I$6+(((A215)+1)/2)*(Inputs!$J$6-Inputs!$I$6)))/Inputs!$K$6)^2)</f>
        <v/>
      </c>
      <c r="AA215" s="9">
        <f>(Inputs!$H$7+Inputs!$L$7*(((Inputs!$I$7+(((A215)+1)/2)*(Inputs!$J$7-Inputs!$I$7)))/Inputs!$K$7)^2)</f>
        <v/>
      </c>
      <c r="AB215" s="9">
        <f>(Inputs!$H$8+Inputs!$L$8*(((Inputs!$I$8+(((A215)+1)/2)*(Inputs!$J$8-Inputs!$I$8)))/Inputs!$K$8)^2)</f>
        <v/>
      </c>
      <c r="AC215" s="9">
        <f>(Inputs!$H$9+Inputs!$L$9*(((Inputs!$I$9+(((A215)+1)/2)*(Inputs!$J$9-Inputs!$I$9)))/Inputs!$K$9)^2)</f>
        <v/>
      </c>
      <c r="AD215" s="10" t="n"/>
      <c r="AE215" s="9">
        <f>A215</f>
        <v/>
      </c>
      <c r="AF215" s="9">
        <f>(((SQRT((Inputs!$C$52+((Inputs!$H$6+Inputs!$L$6*(((Inputs!$I$6+(((A215)+1)/2)*(Inputs!$J$6-Inputs!$I$6)))/Inputs!$K$6)^2)))^2+Inputs!$C$52^2-2*(Inputs!$C$52+((Inputs!$H$6+Inputs!$L$6*(((Inputs!$I$6+(((A215)+1)/2)*(Inputs!$J$6-Inputs!$I$6)))/Inputs!$K$6)^2)))*Inputs!$C$52*COS(SQRT(((Inputs!$I$6+(((A215)+1)/2)*(Inputs!$J$6-Inputs!$I$6)))^2+Inputs!$C$6^2)/Inputs!$C$52)))-((Inputs!$H$6+Inputs!$L$6*(((Inputs!$I$6+(((A215)+1)/2)*(Inputs!$J$6-Inputs!$I$6)))/Inputs!$K$6)^2)))*1000/Inputs!$C$12)</f>
        <v/>
      </c>
      <c r="AG215" s="9">
        <f>(((SQRT((Inputs!$C$52+((Inputs!$H$7+Inputs!$L$7*(((Inputs!$I$7+(((A215)+1)/2)*(Inputs!$J$7-Inputs!$I$7)))/Inputs!$K$7)^2)))^2+Inputs!$C$52^2-2*(Inputs!$C$52+((Inputs!$H$7+Inputs!$L$7*(((Inputs!$I$7+(((A215)+1)/2)*(Inputs!$J$7-Inputs!$I$7)))/Inputs!$K$7)^2)))*Inputs!$C$52*COS(SQRT(((Inputs!$I$7+(((A215)+1)/2)*(Inputs!$J$7-Inputs!$I$7)))^2+Inputs!$C$6^2)/Inputs!$C$52)))-((Inputs!$H$7+Inputs!$L$7*(((Inputs!$I$7+(((A215)+1)/2)*(Inputs!$J$7-Inputs!$I$7)))/Inputs!$K$7)^2)))*1000/Inputs!$C$12)</f>
        <v/>
      </c>
      <c r="AH215" s="9">
        <f>(((SQRT((Inputs!$C$52+((Inputs!$H$8+Inputs!$L$8*(((Inputs!$I$8+(((A215)+1)/2)*(Inputs!$J$8-Inputs!$I$8)))/Inputs!$K$8)^2)))^2+Inputs!$C$52^2-2*(Inputs!$C$52+((Inputs!$H$8+Inputs!$L$8*(((Inputs!$I$8+(((A215)+1)/2)*(Inputs!$J$8-Inputs!$I$8)))/Inputs!$K$8)^2)))*Inputs!$C$52*COS(SQRT(((Inputs!$I$8+(((A215)+1)/2)*(Inputs!$J$8-Inputs!$I$8)))^2+Inputs!$C$6^2)/Inputs!$C$52)))-((Inputs!$H$8+Inputs!$L$8*(((Inputs!$I$8+(((A215)+1)/2)*(Inputs!$J$8-Inputs!$I$8)))/Inputs!$K$8)^2)))*1000/Inputs!$C$12)</f>
        <v/>
      </c>
      <c r="AI215" s="9">
        <f>(((SQRT((Inputs!$C$52+((Inputs!$H$9+Inputs!$L$9*(((Inputs!$I$9+(((A215)+1)/2)*(Inputs!$J$9-Inputs!$I$9)))/Inputs!$K$9)^2)))^2+Inputs!$C$52^2-2*(Inputs!$C$52+((Inputs!$H$9+Inputs!$L$9*(((Inputs!$I$9+(((A215)+1)/2)*(Inputs!$J$9-Inputs!$I$9)))/Inputs!$K$9)^2)))*Inputs!$C$52*COS(SQRT(((Inputs!$I$9+(((A215)+1)/2)*(Inputs!$J$9-Inputs!$I$9)))^2+Inputs!$C$6^2)/Inputs!$C$52)))-((Inputs!$H$9+Inputs!$L$9*(((Inputs!$I$9+(((A215)+1)/2)*(Inputs!$J$9-Inputs!$I$9)))/Inputs!$K$9)^2)))*1000/Inputs!$C$12)</f>
        <v/>
      </c>
      <c r="AJ215" s="10" t="n"/>
      <c r="AK215" s="9">
        <f>A215</f>
        <v/>
      </c>
      <c r="AL215" s="9">
        <f>(-2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f>
        <v/>
      </c>
      <c r="AM215" s="9">
        <f>(-2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f>
        <v/>
      </c>
      <c r="AN215" s="9">
        <f>(-2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f>
        <v/>
      </c>
      <c r="AO215" s="9">
        <f>(-2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f>
        <v/>
      </c>
      <c r="AP215" s="10" t="n"/>
      <c r="AQ215" s="9">
        <f>A215</f>
        <v/>
      </c>
      <c r="AR215" s="9">
        <f>0</f>
        <v/>
      </c>
      <c r="AS215" s="9">
        <f>IF(OR(Inputs!$F$6=TRUE,Inputs!$F$6="TRUE",Inputs!$F$6=1),IF(OR(Inputs!$C$27=TRUE,Inputs!$C$27="TRUE",Inputs!$C$27=1),1,0)*(Inputs!$C$51*(115*EXP(-(((Inputs!$C$6)-25)^2)/(4.5^2))+70*EXP(-(((Inputs!$C$6)+38)^2)/(7^2))*(0.55+0.45*SIN(2*PI()*((Inputs!$I$6+(((A215)+1)/2)*(Inputs!$J$6-Inputs!$I$6)))/45))+24*SIN(2*PI()*(Inputs!$C$6)/9+((Inputs!$I$6+(((A215)+1)/2)*(Inputs!$J$6-Inputs!$I$6)))/18)*EXP(-(((Inputs!$C$6)+5)^2)/(22^2))+18*SIN(2*PI()*((Inputs!$I$6+(((A215)+1)/2)*(Inputs!$J$6-Inputs!$I$6)))/70))+Inputs!$C$28*EXP(-((((Inputs!$I$6+(((A215)+1)/2)*(Inputs!$J$6-Inputs!$I$6)))-Inputs!$C$29)^2)/(2*Inputs!$C$31^2))*EXP(-(((Inputs!$C$6)-Inputs!$C$30)^2)/(2*Inputs!$C$32^2))+-Inputs!$C$33*EXP(-((((((Inputs!$I$6+(((A215)+1)/2)*(Inputs!$J$6-Inputs!$I$6)))-Inputs!$C$34)^2)+(((Inputs!$C$6)-Inputs!$C$35)^2))/(2*Inputs!$C$36^2)))+Inputs!$C$37*(0.55*SIN(2*PI()*((Inputs!$I$6+(((A215)+1)/2)*(Inputs!$J$6-Inputs!$I$6)))/Inputs!$C$39)+0.35*COS(2*PI()*(Inputs!$C$6)/Inputs!$C$40)+0.2*SIN(2*PI()*(((Inputs!$I$6+(((A215)+1)/2)*(Inputs!$J$6-Inputs!$I$6)))+(Inputs!$C$6))/(0.5*(Inputs!$C$39+Inputs!$C$40))))+Inputs!$C$38*SIN(2*PI()*((Inputs!$I$6+(((A215)+1)/2)*(Inputs!$J$6-Inputs!$I$6)))/Inputs!$C$39)*SIN(2*PI()*(Inputs!$C$6)/Inputs!$C$40)+-Inputs!$C$41*EXP(-(((Inputs!$C$6)-Inputs!$C$43)^2)/(2*Inputs!$C$44^2))*EXP(-((((Inputs!$I$6+(((A215)+1)/2)*(Inputs!$J$6-Inputs!$I$6)))-Inputs!$C$42)^2)/(2*Inputs!$C$45^2))+Inputs!$C$48*(0.7*(0.45*SIN(2*PI()*((((Inputs!$I$6+(((A215)+1)/2)*(Inputs!$J$6-Inputs!$I$6)))/Inputs!$C$49)+Inputs!$C$47*0.137))+0.35*COS(2*PI()*(((Inputs!$C$6)/Inputs!$C$50)+Inputs!$C$47*0.173))+0.2*SIN(2*PI()*((((Inputs!$I$6+(((A215)+1)/2)*(Inputs!$J$6-Inputs!$I$6)))+(Inputs!$C$6))/(0.5*(Inputs!$C$49+Inputs!$C$50))+Inputs!$C$47*0.097)))+0.3*(2*((SIN((((Inputs!$I$6+(((A215)+1)/2)*(Inputs!$J$6-Inputs!$I$6)))*12.9898+(Inputs!$C$6)*78.233+Inputs!$C$47*37.719))*43758.5453)-INT((SIN((((Inputs!$I$6+(((A215)+1)/2)*(Inputs!$J$6-Inputs!$I$6)))*12.9898+(Inputs!$C$6)*78.233+Inputs!$C$47*37.719))*43758.5453)))-1))),NA())</f>
        <v/>
      </c>
      <c r="AT215" s="9">
        <f>IF(OR(Inputs!$F$7=TRUE,Inputs!$F$7="TRUE",Inputs!$F$7=1),IF(OR(Inputs!$C$27=TRUE,Inputs!$C$27="TRUE",Inputs!$C$27=1),1,0)*(Inputs!$C$51*(115*EXP(-(((Inputs!$C$6)-25)^2)/(4.5^2))+70*EXP(-(((Inputs!$C$6)+38)^2)/(7^2))*(0.55+0.45*SIN(2*PI()*((Inputs!$I$7+(((A215)+1)/2)*(Inputs!$J$7-Inputs!$I$7)))/45))+24*SIN(2*PI()*(Inputs!$C$6)/9+((Inputs!$I$7+(((A215)+1)/2)*(Inputs!$J$7-Inputs!$I$7)))/18)*EXP(-(((Inputs!$C$6)+5)^2)/(22^2))+18*SIN(2*PI()*((Inputs!$I$7+(((A215)+1)/2)*(Inputs!$J$7-Inputs!$I$7)))/70))+Inputs!$C$28*EXP(-((((Inputs!$I$7+(((A215)+1)/2)*(Inputs!$J$7-Inputs!$I$7)))-Inputs!$C$29)^2)/(2*Inputs!$C$31^2))*EXP(-(((Inputs!$C$6)-Inputs!$C$30)^2)/(2*Inputs!$C$32^2))+-Inputs!$C$33*EXP(-((((((Inputs!$I$7+(((A215)+1)/2)*(Inputs!$J$7-Inputs!$I$7)))-Inputs!$C$34)^2)+(((Inputs!$C$6)-Inputs!$C$35)^2))/(2*Inputs!$C$36^2)))+Inputs!$C$37*(0.55*SIN(2*PI()*((Inputs!$I$7+(((A215)+1)/2)*(Inputs!$J$7-Inputs!$I$7)))/Inputs!$C$39)+0.35*COS(2*PI()*(Inputs!$C$6)/Inputs!$C$40)+0.2*SIN(2*PI()*(((Inputs!$I$7+(((A215)+1)/2)*(Inputs!$J$7-Inputs!$I$7)))+(Inputs!$C$6))/(0.5*(Inputs!$C$39+Inputs!$C$40))))+Inputs!$C$38*SIN(2*PI()*((Inputs!$I$7+(((A215)+1)/2)*(Inputs!$J$7-Inputs!$I$7)))/Inputs!$C$39)*SIN(2*PI()*(Inputs!$C$6)/Inputs!$C$40)+-Inputs!$C$41*EXP(-(((Inputs!$C$6)-Inputs!$C$43)^2)/(2*Inputs!$C$44^2))*EXP(-((((Inputs!$I$7+(((A215)+1)/2)*(Inputs!$J$7-Inputs!$I$7)))-Inputs!$C$42)^2)/(2*Inputs!$C$45^2))+Inputs!$C$48*(0.7*(0.45*SIN(2*PI()*((((Inputs!$I$7+(((A215)+1)/2)*(Inputs!$J$7-Inputs!$I$7)))/Inputs!$C$49)+Inputs!$C$47*0.137))+0.35*COS(2*PI()*(((Inputs!$C$6)/Inputs!$C$50)+Inputs!$C$47*0.173))+0.2*SIN(2*PI()*((((Inputs!$I$7+(((A215)+1)/2)*(Inputs!$J$7-Inputs!$I$7)))+(Inputs!$C$6))/(0.5*(Inputs!$C$49+Inputs!$C$50))+Inputs!$C$47*0.097)))+0.3*(2*((SIN((((Inputs!$I$7+(((A215)+1)/2)*(Inputs!$J$7-Inputs!$I$7)))*12.9898+(Inputs!$C$6)*78.233+Inputs!$C$47*37.719))*43758.5453)-INT((SIN((((Inputs!$I$7+(((A215)+1)/2)*(Inputs!$J$7-Inputs!$I$7)))*12.9898+(Inputs!$C$6)*78.233+Inputs!$C$47*37.719))*43758.5453)))-1))),NA())</f>
        <v/>
      </c>
      <c r="AU215" s="9">
        <f>IF(OR(Inputs!$F$8=TRUE,Inputs!$F$8="TRUE",Inputs!$F$8=1),IF(OR(Inputs!$C$27=TRUE,Inputs!$C$27="TRUE",Inputs!$C$27=1),1,0)*(Inputs!$C$51*(115*EXP(-(((Inputs!$C$6)-25)^2)/(4.5^2))+70*EXP(-(((Inputs!$C$6)+38)^2)/(7^2))*(0.55+0.45*SIN(2*PI()*((Inputs!$I$8+(((A215)+1)/2)*(Inputs!$J$8-Inputs!$I$8)))/45))+24*SIN(2*PI()*(Inputs!$C$6)/9+((Inputs!$I$8+(((A215)+1)/2)*(Inputs!$J$8-Inputs!$I$8)))/18)*EXP(-(((Inputs!$C$6)+5)^2)/(22^2))+18*SIN(2*PI()*((Inputs!$I$8+(((A215)+1)/2)*(Inputs!$J$8-Inputs!$I$8)))/70))+Inputs!$C$28*EXP(-((((Inputs!$I$8+(((A215)+1)/2)*(Inputs!$J$8-Inputs!$I$8)))-Inputs!$C$29)^2)/(2*Inputs!$C$31^2))*EXP(-(((Inputs!$C$6)-Inputs!$C$30)^2)/(2*Inputs!$C$32^2))+-Inputs!$C$33*EXP(-((((((Inputs!$I$8+(((A215)+1)/2)*(Inputs!$J$8-Inputs!$I$8)))-Inputs!$C$34)^2)+(((Inputs!$C$6)-Inputs!$C$35)^2))/(2*Inputs!$C$36^2)))+Inputs!$C$37*(0.55*SIN(2*PI()*((Inputs!$I$8+(((A215)+1)/2)*(Inputs!$J$8-Inputs!$I$8)))/Inputs!$C$39)+0.35*COS(2*PI()*(Inputs!$C$6)/Inputs!$C$40)+0.2*SIN(2*PI()*(((Inputs!$I$8+(((A215)+1)/2)*(Inputs!$J$8-Inputs!$I$8)))+(Inputs!$C$6))/(0.5*(Inputs!$C$39+Inputs!$C$40))))+Inputs!$C$38*SIN(2*PI()*((Inputs!$I$8+(((A215)+1)/2)*(Inputs!$J$8-Inputs!$I$8)))/Inputs!$C$39)*SIN(2*PI()*(Inputs!$C$6)/Inputs!$C$40)+-Inputs!$C$41*EXP(-(((Inputs!$C$6)-Inputs!$C$43)^2)/(2*Inputs!$C$44^2))*EXP(-((((Inputs!$I$8+(((A215)+1)/2)*(Inputs!$J$8-Inputs!$I$8)))-Inputs!$C$42)^2)/(2*Inputs!$C$45^2))+Inputs!$C$48*(0.7*(0.45*SIN(2*PI()*((((Inputs!$I$8+(((A215)+1)/2)*(Inputs!$J$8-Inputs!$I$8)))/Inputs!$C$49)+Inputs!$C$47*0.137))+0.35*COS(2*PI()*(((Inputs!$C$6)/Inputs!$C$50)+Inputs!$C$47*0.173))+0.2*SIN(2*PI()*((((Inputs!$I$8+(((A215)+1)/2)*(Inputs!$J$8-Inputs!$I$8)))+(Inputs!$C$6))/(0.5*(Inputs!$C$49+Inputs!$C$50))+Inputs!$C$47*0.097)))+0.3*(2*((SIN((((Inputs!$I$8+(((A215)+1)/2)*(Inputs!$J$8-Inputs!$I$8)))*12.9898+(Inputs!$C$6)*78.233+Inputs!$C$47*37.719))*43758.5453)-INT((SIN((((Inputs!$I$8+(((A215)+1)/2)*(Inputs!$J$8-Inputs!$I$8)))*12.9898+(Inputs!$C$6)*78.233+Inputs!$C$47*37.719))*43758.5453)))-1))),NA())</f>
        <v/>
      </c>
      <c r="AV215" s="9">
        <f>IF(OR(Inputs!$F$9=TRUE,Inputs!$F$9="TRUE",Inputs!$F$9=1),IF(OR(Inputs!$C$27=TRUE,Inputs!$C$27="TRUE",Inputs!$C$27=1),1,0)*(Inputs!$C$51*(115*EXP(-(((Inputs!$C$6)-25)^2)/(4.5^2))+70*EXP(-(((Inputs!$C$6)+38)^2)/(7^2))*(0.55+0.45*SIN(2*PI()*((Inputs!$I$9+(((A215)+1)/2)*(Inputs!$J$9-Inputs!$I$9)))/45))+24*SIN(2*PI()*(Inputs!$C$6)/9+((Inputs!$I$9+(((A215)+1)/2)*(Inputs!$J$9-Inputs!$I$9)))/18)*EXP(-(((Inputs!$C$6)+5)^2)/(22^2))+18*SIN(2*PI()*((Inputs!$I$9+(((A215)+1)/2)*(Inputs!$J$9-Inputs!$I$9)))/70))+Inputs!$C$28*EXP(-((((Inputs!$I$9+(((A215)+1)/2)*(Inputs!$J$9-Inputs!$I$9)))-Inputs!$C$29)^2)/(2*Inputs!$C$31^2))*EXP(-(((Inputs!$C$6)-Inputs!$C$30)^2)/(2*Inputs!$C$32^2))+-Inputs!$C$33*EXP(-((((((Inputs!$I$9+(((A215)+1)/2)*(Inputs!$J$9-Inputs!$I$9)))-Inputs!$C$34)^2)+(((Inputs!$C$6)-Inputs!$C$35)^2))/(2*Inputs!$C$36^2)))+Inputs!$C$37*(0.55*SIN(2*PI()*((Inputs!$I$9+(((A215)+1)/2)*(Inputs!$J$9-Inputs!$I$9)))/Inputs!$C$39)+0.35*COS(2*PI()*(Inputs!$C$6)/Inputs!$C$40)+0.2*SIN(2*PI()*(((Inputs!$I$9+(((A215)+1)/2)*(Inputs!$J$9-Inputs!$I$9)))+(Inputs!$C$6))/(0.5*(Inputs!$C$39+Inputs!$C$40))))+Inputs!$C$38*SIN(2*PI()*((Inputs!$I$9+(((A215)+1)/2)*(Inputs!$J$9-Inputs!$I$9)))/Inputs!$C$39)*SIN(2*PI()*(Inputs!$C$6)/Inputs!$C$40)+-Inputs!$C$41*EXP(-(((Inputs!$C$6)-Inputs!$C$43)^2)/(2*Inputs!$C$44^2))*EXP(-((((Inputs!$I$9+(((A215)+1)/2)*(Inputs!$J$9-Inputs!$I$9)))-Inputs!$C$42)^2)/(2*Inputs!$C$45^2))+Inputs!$C$48*(0.7*(0.45*SIN(2*PI()*((((Inputs!$I$9+(((A215)+1)/2)*(Inputs!$J$9-Inputs!$I$9)))/Inputs!$C$49)+Inputs!$C$47*0.137))+0.35*COS(2*PI()*(((Inputs!$C$6)/Inputs!$C$50)+Inputs!$C$47*0.173))+0.2*SIN(2*PI()*((((Inputs!$I$9+(((A215)+1)/2)*(Inputs!$J$9-Inputs!$I$9)))+(Inputs!$C$6))/(0.5*(Inputs!$C$49+Inputs!$C$50))+Inputs!$C$47*0.097)))+0.3*(2*((SIN((((Inputs!$I$9+(((A215)+1)/2)*(Inputs!$J$9-Inputs!$I$9)))*12.9898+(Inputs!$C$6)*78.233+Inputs!$C$47*37.719))*43758.5453)-INT((SIN((((Inputs!$I$9+(((A215)+1)/2)*(Inputs!$J$9-Inputs!$I$9)))*12.9898+(Inputs!$C$6)*78.233+Inputs!$C$47*37.719))*43758.5453)))-1))),NA())</f>
        <v/>
      </c>
      <c r="AW215" s="10" t="n"/>
      <c r="AX215" s="9">
        <f>A215</f>
        <v/>
      </c>
      <c r="AY215" s="9">
        <f>0</f>
        <v/>
      </c>
      <c r="AZ215" s="9">
        <f>IF(OR(Inputs!$F$6=TRUE,Inputs!$F$6="TRUE",Inputs!$F$6=1),(Inputs!$H$6+Inputs!$L$6*(((Inputs!$I$6+(((A215)+1)/2)*(Inputs!$J$6-Inputs!$I$6)))/Inputs!$K$6)^2),NA())</f>
        <v/>
      </c>
      <c r="BA215" s="9">
        <f>IF(OR(Inputs!$F$7=TRUE,Inputs!$F$7="TRUE",Inputs!$F$7=1),(Inputs!$H$7+Inputs!$L$7*(((Inputs!$I$7+(((A215)+1)/2)*(Inputs!$J$7-Inputs!$I$7)))/Inputs!$K$7)^2),NA())</f>
        <v/>
      </c>
      <c r="BB215" s="9">
        <f>IF(OR(Inputs!$F$8=TRUE,Inputs!$F$8="TRUE",Inputs!$F$8=1),(Inputs!$H$8+Inputs!$L$8*(((Inputs!$I$8+(((A215)+1)/2)*(Inputs!$J$8-Inputs!$I$8)))/Inputs!$K$8)^2),NA())</f>
        <v/>
      </c>
      <c r="BC215" s="9">
        <f>IF(OR(Inputs!$F$9=TRUE,Inputs!$F$9="TRUE",Inputs!$F$9=1),(Inputs!$H$9+Inputs!$L$9*(((Inputs!$I$9+(((A215)+1)/2)*(Inputs!$J$9-Inputs!$I$9)))/Inputs!$K$9)^2),NA())</f>
        <v/>
      </c>
      <c r="BD215" s="10" t="n"/>
      <c r="BE215" s="9">
        <f>A215</f>
        <v/>
      </c>
      <c r="BF215" s="9">
        <f>0</f>
        <v/>
      </c>
      <c r="BG215" s="9">
        <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f>
        <v/>
      </c>
      <c r="BH215" s="9">
        <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f>
        <v/>
      </c>
      <c r="BI215" s="9">
        <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f>
        <v/>
      </c>
      <c r="BJ215" s="9">
        <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f>
        <v/>
      </c>
    </row>
    <row r="216">
      <c r="A216" s="9">
        <f>ROUND(-1+214*2/240,3)</f>
        <v/>
      </c>
      <c r="B216" s="9">
        <f>IF(OR(Inputs!$F$6=TRUE,Inputs!$F$6="TRUE",Inputs!$F$6=1),(Inputs!$H$6+Inputs!$L$6*(((Inputs!$I$6+(((A216)+1)/2)*(Inputs!$J$6-Inputs!$I$6)))/Inputs!$K$6)^2),NA())</f>
        <v/>
      </c>
      <c r="C216" s="9">
        <f>IF(OR(Inputs!$F$7=TRUE,Inputs!$F$7="TRUE",Inputs!$F$7=1),(Inputs!$H$7+Inputs!$L$7*(((Inputs!$I$7+(((A216)+1)/2)*(Inputs!$J$7-Inputs!$I$7)))/Inputs!$K$7)^2),NA())</f>
        <v/>
      </c>
      <c r="D216" s="9">
        <f>IF(OR(Inputs!$F$8=TRUE,Inputs!$F$8="TRUE",Inputs!$F$8=1),(Inputs!$H$8+Inputs!$L$8*(((Inputs!$I$8+(((A216)+1)/2)*(Inputs!$J$8-Inputs!$I$8)))/Inputs!$K$8)^2),NA())</f>
        <v/>
      </c>
      <c r="E216" s="9">
        <f>IF(OR(Inputs!$F$9=TRUE,Inputs!$F$9="TRUE",Inputs!$F$9=1),(Inputs!$H$9+Inputs!$L$9*(((Inputs!$I$9+(((A216)+1)/2)*(Inputs!$J$9-Inputs!$I$9)))/Inputs!$K$9)^2),NA())</f>
        <v/>
      </c>
      <c r="F216" s="10" t="n"/>
      <c r="G216" s="9">
        <f>A216</f>
        <v/>
      </c>
      <c r="H216" s="9">
        <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f>
        <v/>
      </c>
      <c r="I216" s="9">
        <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f>
        <v/>
      </c>
      <c r="J216" s="9">
        <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f>
        <v/>
      </c>
      <c r="K216" s="9">
        <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f>
        <v/>
      </c>
      <c r="L216" s="10" t="n"/>
      <c r="M216" s="9">
        <f>A216</f>
        <v/>
      </c>
      <c r="N216" s="9">
        <f>IF(OR(Inputs!$F$6=TRUE,Inputs!$F$6="TRUE",Inputs!$F$6=1),(-2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NA())</f>
        <v/>
      </c>
      <c r="O216" s="9">
        <f>IF(OR(Inputs!$F$7=TRUE,Inputs!$F$7="TRUE",Inputs!$F$7=1),(-2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NA())</f>
        <v/>
      </c>
      <c r="P216" s="9">
        <f>IF(OR(Inputs!$F$8=TRUE,Inputs!$F$8="TRUE",Inputs!$F$8=1),(-2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NA())</f>
        <v/>
      </c>
      <c r="Q216" s="9">
        <f>IF(OR(Inputs!$F$9=TRUE,Inputs!$F$9="TRUE",Inputs!$F$9=1),(-2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NA())</f>
        <v/>
      </c>
      <c r="R216" s="10" t="n"/>
      <c r="S216" s="9">
        <f>A216</f>
        <v/>
      </c>
      <c r="T216" s="9">
        <f>(Inputs!$I$6+(((A216)+1)/2)*(Inputs!$J$6-Inputs!$I$6))</f>
        <v/>
      </c>
      <c r="U216" s="9">
        <f>(Inputs!$I$7+(((A216)+1)/2)*(Inputs!$J$7-Inputs!$I$7))</f>
        <v/>
      </c>
      <c r="V216" s="9">
        <f>(Inputs!$I$8+(((A216)+1)/2)*(Inputs!$J$8-Inputs!$I$8))</f>
        <v/>
      </c>
      <c r="W216" s="9">
        <f>(Inputs!$I$9+(((A216)+1)/2)*(Inputs!$J$9-Inputs!$I$9))</f>
        <v/>
      </c>
      <c r="X216" s="10" t="n"/>
      <c r="Y216" s="9">
        <f>A216</f>
        <v/>
      </c>
      <c r="Z216" s="9">
        <f>(Inputs!$H$6+Inputs!$L$6*(((Inputs!$I$6+(((A216)+1)/2)*(Inputs!$J$6-Inputs!$I$6)))/Inputs!$K$6)^2)</f>
        <v/>
      </c>
      <c r="AA216" s="9">
        <f>(Inputs!$H$7+Inputs!$L$7*(((Inputs!$I$7+(((A216)+1)/2)*(Inputs!$J$7-Inputs!$I$7)))/Inputs!$K$7)^2)</f>
        <v/>
      </c>
      <c r="AB216" s="9">
        <f>(Inputs!$H$8+Inputs!$L$8*(((Inputs!$I$8+(((A216)+1)/2)*(Inputs!$J$8-Inputs!$I$8)))/Inputs!$K$8)^2)</f>
        <v/>
      </c>
      <c r="AC216" s="9">
        <f>(Inputs!$H$9+Inputs!$L$9*(((Inputs!$I$9+(((A216)+1)/2)*(Inputs!$J$9-Inputs!$I$9)))/Inputs!$K$9)^2)</f>
        <v/>
      </c>
      <c r="AD216" s="10" t="n"/>
      <c r="AE216" s="9">
        <f>A216</f>
        <v/>
      </c>
      <c r="AF216" s="9">
        <f>(((SQRT((Inputs!$C$52+((Inputs!$H$6+Inputs!$L$6*(((Inputs!$I$6+(((A216)+1)/2)*(Inputs!$J$6-Inputs!$I$6)))/Inputs!$K$6)^2)))^2+Inputs!$C$52^2-2*(Inputs!$C$52+((Inputs!$H$6+Inputs!$L$6*(((Inputs!$I$6+(((A216)+1)/2)*(Inputs!$J$6-Inputs!$I$6)))/Inputs!$K$6)^2)))*Inputs!$C$52*COS(SQRT(((Inputs!$I$6+(((A216)+1)/2)*(Inputs!$J$6-Inputs!$I$6)))^2+Inputs!$C$6^2)/Inputs!$C$52)))-((Inputs!$H$6+Inputs!$L$6*(((Inputs!$I$6+(((A216)+1)/2)*(Inputs!$J$6-Inputs!$I$6)))/Inputs!$K$6)^2)))*1000/Inputs!$C$12)</f>
        <v/>
      </c>
      <c r="AG216" s="9">
        <f>(((SQRT((Inputs!$C$52+((Inputs!$H$7+Inputs!$L$7*(((Inputs!$I$7+(((A216)+1)/2)*(Inputs!$J$7-Inputs!$I$7)))/Inputs!$K$7)^2)))^2+Inputs!$C$52^2-2*(Inputs!$C$52+((Inputs!$H$7+Inputs!$L$7*(((Inputs!$I$7+(((A216)+1)/2)*(Inputs!$J$7-Inputs!$I$7)))/Inputs!$K$7)^2)))*Inputs!$C$52*COS(SQRT(((Inputs!$I$7+(((A216)+1)/2)*(Inputs!$J$7-Inputs!$I$7)))^2+Inputs!$C$6^2)/Inputs!$C$52)))-((Inputs!$H$7+Inputs!$L$7*(((Inputs!$I$7+(((A216)+1)/2)*(Inputs!$J$7-Inputs!$I$7)))/Inputs!$K$7)^2)))*1000/Inputs!$C$12)</f>
        <v/>
      </c>
      <c r="AH216" s="9">
        <f>(((SQRT((Inputs!$C$52+((Inputs!$H$8+Inputs!$L$8*(((Inputs!$I$8+(((A216)+1)/2)*(Inputs!$J$8-Inputs!$I$8)))/Inputs!$K$8)^2)))^2+Inputs!$C$52^2-2*(Inputs!$C$52+((Inputs!$H$8+Inputs!$L$8*(((Inputs!$I$8+(((A216)+1)/2)*(Inputs!$J$8-Inputs!$I$8)))/Inputs!$K$8)^2)))*Inputs!$C$52*COS(SQRT(((Inputs!$I$8+(((A216)+1)/2)*(Inputs!$J$8-Inputs!$I$8)))^2+Inputs!$C$6^2)/Inputs!$C$52)))-((Inputs!$H$8+Inputs!$L$8*(((Inputs!$I$8+(((A216)+1)/2)*(Inputs!$J$8-Inputs!$I$8)))/Inputs!$K$8)^2)))*1000/Inputs!$C$12)</f>
        <v/>
      </c>
      <c r="AI216" s="9">
        <f>(((SQRT((Inputs!$C$52+((Inputs!$H$9+Inputs!$L$9*(((Inputs!$I$9+(((A216)+1)/2)*(Inputs!$J$9-Inputs!$I$9)))/Inputs!$K$9)^2)))^2+Inputs!$C$52^2-2*(Inputs!$C$52+((Inputs!$H$9+Inputs!$L$9*(((Inputs!$I$9+(((A216)+1)/2)*(Inputs!$J$9-Inputs!$I$9)))/Inputs!$K$9)^2)))*Inputs!$C$52*COS(SQRT(((Inputs!$I$9+(((A216)+1)/2)*(Inputs!$J$9-Inputs!$I$9)))^2+Inputs!$C$6^2)/Inputs!$C$52)))-((Inputs!$H$9+Inputs!$L$9*(((Inputs!$I$9+(((A216)+1)/2)*(Inputs!$J$9-Inputs!$I$9)))/Inputs!$K$9)^2)))*1000/Inputs!$C$12)</f>
        <v/>
      </c>
      <c r="AJ216" s="10" t="n"/>
      <c r="AK216" s="9">
        <f>A216</f>
        <v/>
      </c>
      <c r="AL216" s="9">
        <f>(-2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f>
        <v/>
      </c>
      <c r="AM216" s="9">
        <f>(-2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f>
        <v/>
      </c>
      <c r="AN216" s="9">
        <f>(-2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f>
        <v/>
      </c>
      <c r="AO216" s="9">
        <f>(-2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f>
        <v/>
      </c>
      <c r="AP216" s="10" t="n"/>
      <c r="AQ216" s="9">
        <f>A216</f>
        <v/>
      </c>
      <c r="AR216" s="9">
        <f>0</f>
        <v/>
      </c>
      <c r="AS216" s="9">
        <f>IF(OR(Inputs!$F$6=TRUE,Inputs!$F$6="TRUE",Inputs!$F$6=1),IF(OR(Inputs!$C$27=TRUE,Inputs!$C$27="TRUE",Inputs!$C$27=1),1,0)*(Inputs!$C$51*(115*EXP(-(((Inputs!$C$6)-25)^2)/(4.5^2))+70*EXP(-(((Inputs!$C$6)+38)^2)/(7^2))*(0.55+0.45*SIN(2*PI()*((Inputs!$I$6+(((A216)+1)/2)*(Inputs!$J$6-Inputs!$I$6)))/45))+24*SIN(2*PI()*(Inputs!$C$6)/9+((Inputs!$I$6+(((A216)+1)/2)*(Inputs!$J$6-Inputs!$I$6)))/18)*EXP(-(((Inputs!$C$6)+5)^2)/(22^2))+18*SIN(2*PI()*((Inputs!$I$6+(((A216)+1)/2)*(Inputs!$J$6-Inputs!$I$6)))/70))+Inputs!$C$28*EXP(-((((Inputs!$I$6+(((A216)+1)/2)*(Inputs!$J$6-Inputs!$I$6)))-Inputs!$C$29)^2)/(2*Inputs!$C$31^2))*EXP(-(((Inputs!$C$6)-Inputs!$C$30)^2)/(2*Inputs!$C$32^2))+-Inputs!$C$33*EXP(-((((((Inputs!$I$6+(((A216)+1)/2)*(Inputs!$J$6-Inputs!$I$6)))-Inputs!$C$34)^2)+(((Inputs!$C$6)-Inputs!$C$35)^2))/(2*Inputs!$C$36^2)))+Inputs!$C$37*(0.55*SIN(2*PI()*((Inputs!$I$6+(((A216)+1)/2)*(Inputs!$J$6-Inputs!$I$6)))/Inputs!$C$39)+0.35*COS(2*PI()*(Inputs!$C$6)/Inputs!$C$40)+0.2*SIN(2*PI()*(((Inputs!$I$6+(((A216)+1)/2)*(Inputs!$J$6-Inputs!$I$6)))+(Inputs!$C$6))/(0.5*(Inputs!$C$39+Inputs!$C$40))))+Inputs!$C$38*SIN(2*PI()*((Inputs!$I$6+(((A216)+1)/2)*(Inputs!$J$6-Inputs!$I$6)))/Inputs!$C$39)*SIN(2*PI()*(Inputs!$C$6)/Inputs!$C$40)+-Inputs!$C$41*EXP(-(((Inputs!$C$6)-Inputs!$C$43)^2)/(2*Inputs!$C$44^2))*EXP(-((((Inputs!$I$6+(((A216)+1)/2)*(Inputs!$J$6-Inputs!$I$6)))-Inputs!$C$42)^2)/(2*Inputs!$C$45^2))+Inputs!$C$48*(0.7*(0.45*SIN(2*PI()*((((Inputs!$I$6+(((A216)+1)/2)*(Inputs!$J$6-Inputs!$I$6)))/Inputs!$C$49)+Inputs!$C$47*0.137))+0.35*COS(2*PI()*(((Inputs!$C$6)/Inputs!$C$50)+Inputs!$C$47*0.173))+0.2*SIN(2*PI()*((((Inputs!$I$6+(((A216)+1)/2)*(Inputs!$J$6-Inputs!$I$6)))+(Inputs!$C$6))/(0.5*(Inputs!$C$49+Inputs!$C$50))+Inputs!$C$47*0.097)))+0.3*(2*((SIN((((Inputs!$I$6+(((A216)+1)/2)*(Inputs!$J$6-Inputs!$I$6)))*12.9898+(Inputs!$C$6)*78.233+Inputs!$C$47*37.719))*43758.5453)-INT((SIN((((Inputs!$I$6+(((A216)+1)/2)*(Inputs!$J$6-Inputs!$I$6)))*12.9898+(Inputs!$C$6)*78.233+Inputs!$C$47*37.719))*43758.5453)))-1))),NA())</f>
        <v/>
      </c>
      <c r="AT216" s="9">
        <f>IF(OR(Inputs!$F$7=TRUE,Inputs!$F$7="TRUE",Inputs!$F$7=1),IF(OR(Inputs!$C$27=TRUE,Inputs!$C$27="TRUE",Inputs!$C$27=1),1,0)*(Inputs!$C$51*(115*EXP(-(((Inputs!$C$6)-25)^2)/(4.5^2))+70*EXP(-(((Inputs!$C$6)+38)^2)/(7^2))*(0.55+0.45*SIN(2*PI()*((Inputs!$I$7+(((A216)+1)/2)*(Inputs!$J$7-Inputs!$I$7)))/45))+24*SIN(2*PI()*(Inputs!$C$6)/9+((Inputs!$I$7+(((A216)+1)/2)*(Inputs!$J$7-Inputs!$I$7)))/18)*EXP(-(((Inputs!$C$6)+5)^2)/(22^2))+18*SIN(2*PI()*((Inputs!$I$7+(((A216)+1)/2)*(Inputs!$J$7-Inputs!$I$7)))/70))+Inputs!$C$28*EXP(-((((Inputs!$I$7+(((A216)+1)/2)*(Inputs!$J$7-Inputs!$I$7)))-Inputs!$C$29)^2)/(2*Inputs!$C$31^2))*EXP(-(((Inputs!$C$6)-Inputs!$C$30)^2)/(2*Inputs!$C$32^2))+-Inputs!$C$33*EXP(-((((((Inputs!$I$7+(((A216)+1)/2)*(Inputs!$J$7-Inputs!$I$7)))-Inputs!$C$34)^2)+(((Inputs!$C$6)-Inputs!$C$35)^2))/(2*Inputs!$C$36^2)))+Inputs!$C$37*(0.55*SIN(2*PI()*((Inputs!$I$7+(((A216)+1)/2)*(Inputs!$J$7-Inputs!$I$7)))/Inputs!$C$39)+0.35*COS(2*PI()*(Inputs!$C$6)/Inputs!$C$40)+0.2*SIN(2*PI()*(((Inputs!$I$7+(((A216)+1)/2)*(Inputs!$J$7-Inputs!$I$7)))+(Inputs!$C$6))/(0.5*(Inputs!$C$39+Inputs!$C$40))))+Inputs!$C$38*SIN(2*PI()*((Inputs!$I$7+(((A216)+1)/2)*(Inputs!$J$7-Inputs!$I$7)))/Inputs!$C$39)*SIN(2*PI()*(Inputs!$C$6)/Inputs!$C$40)+-Inputs!$C$41*EXP(-(((Inputs!$C$6)-Inputs!$C$43)^2)/(2*Inputs!$C$44^2))*EXP(-((((Inputs!$I$7+(((A216)+1)/2)*(Inputs!$J$7-Inputs!$I$7)))-Inputs!$C$42)^2)/(2*Inputs!$C$45^2))+Inputs!$C$48*(0.7*(0.45*SIN(2*PI()*((((Inputs!$I$7+(((A216)+1)/2)*(Inputs!$J$7-Inputs!$I$7)))/Inputs!$C$49)+Inputs!$C$47*0.137))+0.35*COS(2*PI()*(((Inputs!$C$6)/Inputs!$C$50)+Inputs!$C$47*0.173))+0.2*SIN(2*PI()*((((Inputs!$I$7+(((A216)+1)/2)*(Inputs!$J$7-Inputs!$I$7)))+(Inputs!$C$6))/(0.5*(Inputs!$C$49+Inputs!$C$50))+Inputs!$C$47*0.097)))+0.3*(2*((SIN((((Inputs!$I$7+(((A216)+1)/2)*(Inputs!$J$7-Inputs!$I$7)))*12.9898+(Inputs!$C$6)*78.233+Inputs!$C$47*37.719))*43758.5453)-INT((SIN((((Inputs!$I$7+(((A216)+1)/2)*(Inputs!$J$7-Inputs!$I$7)))*12.9898+(Inputs!$C$6)*78.233+Inputs!$C$47*37.719))*43758.5453)))-1))),NA())</f>
        <v/>
      </c>
      <c r="AU216" s="9">
        <f>IF(OR(Inputs!$F$8=TRUE,Inputs!$F$8="TRUE",Inputs!$F$8=1),IF(OR(Inputs!$C$27=TRUE,Inputs!$C$27="TRUE",Inputs!$C$27=1),1,0)*(Inputs!$C$51*(115*EXP(-(((Inputs!$C$6)-25)^2)/(4.5^2))+70*EXP(-(((Inputs!$C$6)+38)^2)/(7^2))*(0.55+0.45*SIN(2*PI()*((Inputs!$I$8+(((A216)+1)/2)*(Inputs!$J$8-Inputs!$I$8)))/45))+24*SIN(2*PI()*(Inputs!$C$6)/9+((Inputs!$I$8+(((A216)+1)/2)*(Inputs!$J$8-Inputs!$I$8)))/18)*EXP(-(((Inputs!$C$6)+5)^2)/(22^2))+18*SIN(2*PI()*((Inputs!$I$8+(((A216)+1)/2)*(Inputs!$J$8-Inputs!$I$8)))/70))+Inputs!$C$28*EXP(-((((Inputs!$I$8+(((A216)+1)/2)*(Inputs!$J$8-Inputs!$I$8)))-Inputs!$C$29)^2)/(2*Inputs!$C$31^2))*EXP(-(((Inputs!$C$6)-Inputs!$C$30)^2)/(2*Inputs!$C$32^2))+-Inputs!$C$33*EXP(-((((((Inputs!$I$8+(((A216)+1)/2)*(Inputs!$J$8-Inputs!$I$8)))-Inputs!$C$34)^2)+(((Inputs!$C$6)-Inputs!$C$35)^2))/(2*Inputs!$C$36^2)))+Inputs!$C$37*(0.55*SIN(2*PI()*((Inputs!$I$8+(((A216)+1)/2)*(Inputs!$J$8-Inputs!$I$8)))/Inputs!$C$39)+0.35*COS(2*PI()*(Inputs!$C$6)/Inputs!$C$40)+0.2*SIN(2*PI()*(((Inputs!$I$8+(((A216)+1)/2)*(Inputs!$J$8-Inputs!$I$8)))+(Inputs!$C$6))/(0.5*(Inputs!$C$39+Inputs!$C$40))))+Inputs!$C$38*SIN(2*PI()*((Inputs!$I$8+(((A216)+1)/2)*(Inputs!$J$8-Inputs!$I$8)))/Inputs!$C$39)*SIN(2*PI()*(Inputs!$C$6)/Inputs!$C$40)+-Inputs!$C$41*EXP(-(((Inputs!$C$6)-Inputs!$C$43)^2)/(2*Inputs!$C$44^2))*EXP(-((((Inputs!$I$8+(((A216)+1)/2)*(Inputs!$J$8-Inputs!$I$8)))-Inputs!$C$42)^2)/(2*Inputs!$C$45^2))+Inputs!$C$48*(0.7*(0.45*SIN(2*PI()*((((Inputs!$I$8+(((A216)+1)/2)*(Inputs!$J$8-Inputs!$I$8)))/Inputs!$C$49)+Inputs!$C$47*0.137))+0.35*COS(2*PI()*(((Inputs!$C$6)/Inputs!$C$50)+Inputs!$C$47*0.173))+0.2*SIN(2*PI()*((((Inputs!$I$8+(((A216)+1)/2)*(Inputs!$J$8-Inputs!$I$8)))+(Inputs!$C$6))/(0.5*(Inputs!$C$49+Inputs!$C$50))+Inputs!$C$47*0.097)))+0.3*(2*((SIN((((Inputs!$I$8+(((A216)+1)/2)*(Inputs!$J$8-Inputs!$I$8)))*12.9898+(Inputs!$C$6)*78.233+Inputs!$C$47*37.719))*43758.5453)-INT((SIN((((Inputs!$I$8+(((A216)+1)/2)*(Inputs!$J$8-Inputs!$I$8)))*12.9898+(Inputs!$C$6)*78.233+Inputs!$C$47*37.719))*43758.5453)))-1))),NA())</f>
        <v/>
      </c>
      <c r="AV216" s="9">
        <f>IF(OR(Inputs!$F$9=TRUE,Inputs!$F$9="TRUE",Inputs!$F$9=1),IF(OR(Inputs!$C$27=TRUE,Inputs!$C$27="TRUE",Inputs!$C$27=1),1,0)*(Inputs!$C$51*(115*EXP(-(((Inputs!$C$6)-25)^2)/(4.5^2))+70*EXP(-(((Inputs!$C$6)+38)^2)/(7^2))*(0.55+0.45*SIN(2*PI()*((Inputs!$I$9+(((A216)+1)/2)*(Inputs!$J$9-Inputs!$I$9)))/45))+24*SIN(2*PI()*(Inputs!$C$6)/9+((Inputs!$I$9+(((A216)+1)/2)*(Inputs!$J$9-Inputs!$I$9)))/18)*EXP(-(((Inputs!$C$6)+5)^2)/(22^2))+18*SIN(2*PI()*((Inputs!$I$9+(((A216)+1)/2)*(Inputs!$J$9-Inputs!$I$9)))/70))+Inputs!$C$28*EXP(-((((Inputs!$I$9+(((A216)+1)/2)*(Inputs!$J$9-Inputs!$I$9)))-Inputs!$C$29)^2)/(2*Inputs!$C$31^2))*EXP(-(((Inputs!$C$6)-Inputs!$C$30)^2)/(2*Inputs!$C$32^2))+-Inputs!$C$33*EXP(-((((((Inputs!$I$9+(((A216)+1)/2)*(Inputs!$J$9-Inputs!$I$9)))-Inputs!$C$34)^2)+(((Inputs!$C$6)-Inputs!$C$35)^2))/(2*Inputs!$C$36^2)))+Inputs!$C$37*(0.55*SIN(2*PI()*((Inputs!$I$9+(((A216)+1)/2)*(Inputs!$J$9-Inputs!$I$9)))/Inputs!$C$39)+0.35*COS(2*PI()*(Inputs!$C$6)/Inputs!$C$40)+0.2*SIN(2*PI()*(((Inputs!$I$9+(((A216)+1)/2)*(Inputs!$J$9-Inputs!$I$9)))+(Inputs!$C$6))/(0.5*(Inputs!$C$39+Inputs!$C$40))))+Inputs!$C$38*SIN(2*PI()*((Inputs!$I$9+(((A216)+1)/2)*(Inputs!$J$9-Inputs!$I$9)))/Inputs!$C$39)*SIN(2*PI()*(Inputs!$C$6)/Inputs!$C$40)+-Inputs!$C$41*EXP(-(((Inputs!$C$6)-Inputs!$C$43)^2)/(2*Inputs!$C$44^2))*EXP(-((((Inputs!$I$9+(((A216)+1)/2)*(Inputs!$J$9-Inputs!$I$9)))-Inputs!$C$42)^2)/(2*Inputs!$C$45^2))+Inputs!$C$48*(0.7*(0.45*SIN(2*PI()*((((Inputs!$I$9+(((A216)+1)/2)*(Inputs!$J$9-Inputs!$I$9)))/Inputs!$C$49)+Inputs!$C$47*0.137))+0.35*COS(2*PI()*(((Inputs!$C$6)/Inputs!$C$50)+Inputs!$C$47*0.173))+0.2*SIN(2*PI()*((((Inputs!$I$9+(((A216)+1)/2)*(Inputs!$J$9-Inputs!$I$9)))+(Inputs!$C$6))/(0.5*(Inputs!$C$49+Inputs!$C$50))+Inputs!$C$47*0.097)))+0.3*(2*((SIN((((Inputs!$I$9+(((A216)+1)/2)*(Inputs!$J$9-Inputs!$I$9)))*12.9898+(Inputs!$C$6)*78.233+Inputs!$C$47*37.719))*43758.5453)-INT((SIN((((Inputs!$I$9+(((A216)+1)/2)*(Inputs!$J$9-Inputs!$I$9)))*12.9898+(Inputs!$C$6)*78.233+Inputs!$C$47*37.719))*43758.5453)))-1))),NA())</f>
        <v/>
      </c>
      <c r="AW216" s="10" t="n"/>
      <c r="AX216" s="9">
        <f>A216</f>
        <v/>
      </c>
      <c r="AY216" s="9">
        <f>0</f>
        <v/>
      </c>
      <c r="AZ216" s="9">
        <f>IF(OR(Inputs!$F$6=TRUE,Inputs!$F$6="TRUE",Inputs!$F$6=1),(Inputs!$H$6+Inputs!$L$6*(((Inputs!$I$6+(((A216)+1)/2)*(Inputs!$J$6-Inputs!$I$6)))/Inputs!$K$6)^2),NA())</f>
        <v/>
      </c>
      <c r="BA216" s="9">
        <f>IF(OR(Inputs!$F$7=TRUE,Inputs!$F$7="TRUE",Inputs!$F$7=1),(Inputs!$H$7+Inputs!$L$7*(((Inputs!$I$7+(((A216)+1)/2)*(Inputs!$J$7-Inputs!$I$7)))/Inputs!$K$7)^2),NA())</f>
        <v/>
      </c>
      <c r="BB216" s="9">
        <f>IF(OR(Inputs!$F$8=TRUE,Inputs!$F$8="TRUE",Inputs!$F$8=1),(Inputs!$H$8+Inputs!$L$8*(((Inputs!$I$8+(((A216)+1)/2)*(Inputs!$J$8-Inputs!$I$8)))/Inputs!$K$8)^2),NA())</f>
        <v/>
      </c>
      <c r="BC216" s="9">
        <f>IF(OR(Inputs!$F$9=TRUE,Inputs!$F$9="TRUE",Inputs!$F$9=1),(Inputs!$H$9+Inputs!$L$9*(((Inputs!$I$9+(((A216)+1)/2)*(Inputs!$J$9-Inputs!$I$9)))/Inputs!$K$9)^2),NA())</f>
        <v/>
      </c>
      <c r="BD216" s="10" t="n"/>
      <c r="BE216" s="9">
        <f>A216</f>
        <v/>
      </c>
      <c r="BF216" s="9">
        <f>0</f>
        <v/>
      </c>
      <c r="BG216" s="9">
        <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f>
        <v/>
      </c>
      <c r="BH216" s="9">
        <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f>
        <v/>
      </c>
      <c r="BI216" s="9">
        <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f>
        <v/>
      </c>
      <c r="BJ216" s="9">
        <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f>
        <v/>
      </c>
    </row>
    <row r="217">
      <c r="A217" s="9">
        <f>ROUND(-1+215*2/240,3)</f>
        <v/>
      </c>
      <c r="B217" s="9">
        <f>IF(OR(Inputs!$F$6=TRUE,Inputs!$F$6="TRUE",Inputs!$F$6=1),(Inputs!$H$6+Inputs!$L$6*(((Inputs!$I$6+(((A217)+1)/2)*(Inputs!$J$6-Inputs!$I$6)))/Inputs!$K$6)^2),NA())</f>
        <v/>
      </c>
      <c r="C217" s="9">
        <f>IF(OR(Inputs!$F$7=TRUE,Inputs!$F$7="TRUE",Inputs!$F$7=1),(Inputs!$H$7+Inputs!$L$7*(((Inputs!$I$7+(((A217)+1)/2)*(Inputs!$J$7-Inputs!$I$7)))/Inputs!$K$7)^2),NA())</f>
        <v/>
      </c>
      <c r="D217" s="9">
        <f>IF(OR(Inputs!$F$8=TRUE,Inputs!$F$8="TRUE",Inputs!$F$8=1),(Inputs!$H$8+Inputs!$L$8*(((Inputs!$I$8+(((A217)+1)/2)*(Inputs!$J$8-Inputs!$I$8)))/Inputs!$K$8)^2),NA())</f>
        <v/>
      </c>
      <c r="E217" s="9">
        <f>IF(OR(Inputs!$F$9=TRUE,Inputs!$F$9="TRUE",Inputs!$F$9=1),(Inputs!$H$9+Inputs!$L$9*(((Inputs!$I$9+(((A217)+1)/2)*(Inputs!$J$9-Inputs!$I$9)))/Inputs!$K$9)^2),NA())</f>
        <v/>
      </c>
      <c r="F217" s="10" t="n"/>
      <c r="G217" s="9">
        <f>A217</f>
        <v/>
      </c>
      <c r="H217" s="9">
        <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f>
        <v/>
      </c>
      <c r="I217" s="9">
        <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f>
        <v/>
      </c>
      <c r="J217" s="9">
        <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f>
        <v/>
      </c>
      <c r="K217" s="9">
        <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f>
        <v/>
      </c>
      <c r="L217" s="10" t="n"/>
      <c r="M217" s="9">
        <f>A217</f>
        <v/>
      </c>
      <c r="N217" s="9">
        <f>IF(OR(Inputs!$F$6=TRUE,Inputs!$F$6="TRUE",Inputs!$F$6=1),(-2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NA())</f>
        <v/>
      </c>
      <c r="O217" s="9">
        <f>IF(OR(Inputs!$F$7=TRUE,Inputs!$F$7="TRUE",Inputs!$F$7=1),(-2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NA())</f>
        <v/>
      </c>
      <c r="P217" s="9">
        <f>IF(OR(Inputs!$F$8=TRUE,Inputs!$F$8="TRUE",Inputs!$F$8=1),(-2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NA())</f>
        <v/>
      </c>
      <c r="Q217" s="9">
        <f>IF(OR(Inputs!$F$9=TRUE,Inputs!$F$9="TRUE",Inputs!$F$9=1),(-2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NA())</f>
        <v/>
      </c>
      <c r="R217" s="10" t="n"/>
      <c r="S217" s="9">
        <f>A217</f>
        <v/>
      </c>
      <c r="T217" s="9">
        <f>(Inputs!$I$6+(((A217)+1)/2)*(Inputs!$J$6-Inputs!$I$6))</f>
        <v/>
      </c>
      <c r="U217" s="9">
        <f>(Inputs!$I$7+(((A217)+1)/2)*(Inputs!$J$7-Inputs!$I$7))</f>
        <v/>
      </c>
      <c r="V217" s="9">
        <f>(Inputs!$I$8+(((A217)+1)/2)*(Inputs!$J$8-Inputs!$I$8))</f>
        <v/>
      </c>
      <c r="W217" s="9">
        <f>(Inputs!$I$9+(((A217)+1)/2)*(Inputs!$J$9-Inputs!$I$9))</f>
        <v/>
      </c>
      <c r="X217" s="10" t="n"/>
      <c r="Y217" s="9">
        <f>A217</f>
        <v/>
      </c>
      <c r="Z217" s="9">
        <f>(Inputs!$H$6+Inputs!$L$6*(((Inputs!$I$6+(((A217)+1)/2)*(Inputs!$J$6-Inputs!$I$6)))/Inputs!$K$6)^2)</f>
        <v/>
      </c>
      <c r="AA217" s="9">
        <f>(Inputs!$H$7+Inputs!$L$7*(((Inputs!$I$7+(((A217)+1)/2)*(Inputs!$J$7-Inputs!$I$7)))/Inputs!$K$7)^2)</f>
        <v/>
      </c>
      <c r="AB217" s="9">
        <f>(Inputs!$H$8+Inputs!$L$8*(((Inputs!$I$8+(((A217)+1)/2)*(Inputs!$J$8-Inputs!$I$8)))/Inputs!$K$8)^2)</f>
        <v/>
      </c>
      <c r="AC217" s="9">
        <f>(Inputs!$H$9+Inputs!$L$9*(((Inputs!$I$9+(((A217)+1)/2)*(Inputs!$J$9-Inputs!$I$9)))/Inputs!$K$9)^2)</f>
        <v/>
      </c>
      <c r="AD217" s="10" t="n"/>
      <c r="AE217" s="9">
        <f>A217</f>
        <v/>
      </c>
      <c r="AF217" s="9">
        <f>(((SQRT((Inputs!$C$52+((Inputs!$H$6+Inputs!$L$6*(((Inputs!$I$6+(((A217)+1)/2)*(Inputs!$J$6-Inputs!$I$6)))/Inputs!$K$6)^2)))^2+Inputs!$C$52^2-2*(Inputs!$C$52+((Inputs!$H$6+Inputs!$L$6*(((Inputs!$I$6+(((A217)+1)/2)*(Inputs!$J$6-Inputs!$I$6)))/Inputs!$K$6)^2)))*Inputs!$C$52*COS(SQRT(((Inputs!$I$6+(((A217)+1)/2)*(Inputs!$J$6-Inputs!$I$6)))^2+Inputs!$C$6^2)/Inputs!$C$52)))-((Inputs!$H$6+Inputs!$L$6*(((Inputs!$I$6+(((A217)+1)/2)*(Inputs!$J$6-Inputs!$I$6)))/Inputs!$K$6)^2)))*1000/Inputs!$C$12)</f>
        <v/>
      </c>
      <c r="AG217" s="9">
        <f>(((SQRT((Inputs!$C$52+((Inputs!$H$7+Inputs!$L$7*(((Inputs!$I$7+(((A217)+1)/2)*(Inputs!$J$7-Inputs!$I$7)))/Inputs!$K$7)^2)))^2+Inputs!$C$52^2-2*(Inputs!$C$52+((Inputs!$H$7+Inputs!$L$7*(((Inputs!$I$7+(((A217)+1)/2)*(Inputs!$J$7-Inputs!$I$7)))/Inputs!$K$7)^2)))*Inputs!$C$52*COS(SQRT(((Inputs!$I$7+(((A217)+1)/2)*(Inputs!$J$7-Inputs!$I$7)))^2+Inputs!$C$6^2)/Inputs!$C$52)))-((Inputs!$H$7+Inputs!$L$7*(((Inputs!$I$7+(((A217)+1)/2)*(Inputs!$J$7-Inputs!$I$7)))/Inputs!$K$7)^2)))*1000/Inputs!$C$12)</f>
        <v/>
      </c>
      <c r="AH217" s="9">
        <f>(((SQRT((Inputs!$C$52+((Inputs!$H$8+Inputs!$L$8*(((Inputs!$I$8+(((A217)+1)/2)*(Inputs!$J$8-Inputs!$I$8)))/Inputs!$K$8)^2)))^2+Inputs!$C$52^2-2*(Inputs!$C$52+((Inputs!$H$8+Inputs!$L$8*(((Inputs!$I$8+(((A217)+1)/2)*(Inputs!$J$8-Inputs!$I$8)))/Inputs!$K$8)^2)))*Inputs!$C$52*COS(SQRT(((Inputs!$I$8+(((A217)+1)/2)*(Inputs!$J$8-Inputs!$I$8)))^2+Inputs!$C$6^2)/Inputs!$C$52)))-((Inputs!$H$8+Inputs!$L$8*(((Inputs!$I$8+(((A217)+1)/2)*(Inputs!$J$8-Inputs!$I$8)))/Inputs!$K$8)^2)))*1000/Inputs!$C$12)</f>
        <v/>
      </c>
      <c r="AI217" s="9">
        <f>(((SQRT((Inputs!$C$52+((Inputs!$H$9+Inputs!$L$9*(((Inputs!$I$9+(((A217)+1)/2)*(Inputs!$J$9-Inputs!$I$9)))/Inputs!$K$9)^2)))^2+Inputs!$C$52^2-2*(Inputs!$C$52+((Inputs!$H$9+Inputs!$L$9*(((Inputs!$I$9+(((A217)+1)/2)*(Inputs!$J$9-Inputs!$I$9)))/Inputs!$K$9)^2)))*Inputs!$C$52*COS(SQRT(((Inputs!$I$9+(((A217)+1)/2)*(Inputs!$J$9-Inputs!$I$9)))^2+Inputs!$C$6^2)/Inputs!$C$52)))-((Inputs!$H$9+Inputs!$L$9*(((Inputs!$I$9+(((A217)+1)/2)*(Inputs!$J$9-Inputs!$I$9)))/Inputs!$K$9)^2)))*1000/Inputs!$C$12)</f>
        <v/>
      </c>
      <c r="AJ217" s="10" t="n"/>
      <c r="AK217" s="9">
        <f>A217</f>
        <v/>
      </c>
      <c r="AL217" s="9">
        <f>(-2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f>
        <v/>
      </c>
      <c r="AM217" s="9">
        <f>(-2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f>
        <v/>
      </c>
      <c r="AN217" s="9">
        <f>(-2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f>
        <v/>
      </c>
      <c r="AO217" s="9">
        <f>(-2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f>
        <v/>
      </c>
      <c r="AP217" s="10" t="n"/>
      <c r="AQ217" s="9">
        <f>A217</f>
        <v/>
      </c>
      <c r="AR217" s="9">
        <f>0</f>
        <v/>
      </c>
      <c r="AS217" s="9">
        <f>IF(OR(Inputs!$F$6=TRUE,Inputs!$F$6="TRUE",Inputs!$F$6=1),IF(OR(Inputs!$C$27=TRUE,Inputs!$C$27="TRUE",Inputs!$C$27=1),1,0)*(Inputs!$C$51*(115*EXP(-(((Inputs!$C$6)-25)^2)/(4.5^2))+70*EXP(-(((Inputs!$C$6)+38)^2)/(7^2))*(0.55+0.45*SIN(2*PI()*((Inputs!$I$6+(((A217)+1)/2)*(Inputs!$J$6-Inputs!$I$6)))/45))+24*SIN(2*PI()*(Inputs!$C$6)/9+((Inputs!$I$6+(((A217)+1)/2)*(Inputs!$J$6-Inputs!$I$6)))/18)*EXP(-(((Inputs!$C$6)+5)^2)/(22^2))+18*SIN(2*PI()*((Inputs!$I$6+(((A217)+1)/2)*(Inputs!$J$6-Inputs!$I$6)))/70))+Inputs!$C$28*EXP(-((((Inputs!$I$6+(((A217)+1)/2)*(Inputs!$J$6-Inputs!$I$6)))-Inputs!$C$29)^2)/(2*Inputs!$C$31^2))*EXP(-(((Inputs!$C$6)-Inputs!$C$30)^2)/(2*Inputs!$C$32^2))+-Inputs!$C$33*EXP(-((((((Inputs!$I$6+(((A217)+1)/2)*(Inputs!$J$6-Inputs!$I$6)))-Inputs!$C$34)^2)+(((Inputs!$C$6)-Inputs!$C$35)^2))/(2*Inputs!$C$36^2)))+Inputs!$C$37*(0.55*SIN(2*PI()*((Inputs!$I$6+(((A217)+1)/2)*(Inputs!$J$6-Inputs!$I$6)))/Inputs!$C$39)+0.35*COS(2*PI()*(Inputs!$C$6)/Inputs!$C$40)+0.2*SIN(2*PI()*(((Inputs!$I$6+(((A217)+1)/2)*(Inputs!$J$6-Inputs!$I$6)))+(Inputs!$C$6))/(0.5*(Inputs!$C$39+Inputs!$C$40))))+Inputs!$C$38*SIN(2*PI()*((Inputs!$I$6+(((A217)+1)/2)*(Inputs!$J$6-Inputs!$I$6)))/Inputs!$C$39)*SIN(2*PI()*(Inputs!$C$6)/Inputs!$C$40)+-Inputs!$C$41*EXP(-(((Inputs!$C$6)-Inputs!$C$43)^2)/(2*Inputs!$C$44^2))*EXP(-((((Inputs!$I$6+(((A217)+1)/2)*(Inputs!$J$6-Inputs!$I$6)))-Inputs!$C$42)^2)/(2*Inputs!$C$45^2))+Inputs!$C$48*(0.7*(0.45*SIN(2*PI()*((((Inputs!$I$6+(((A217)+1)/2)*(Inputs!$J$6-Inputs!$I$6)))/Inputs!$C$49)+Inputs!$C$47*0.137))+0.35*COS(2*PI()*(((Inputs!$C$6)/Inputs!$C$50)+Inputs!$C$47*0.173))+0.2*SIN(2*PI()*((((Inputs!$I$6+(((A217)+1)/2)*(Inputs!$J$6-Inputs!$I$6)))+(Inputs!$C$6))/(0.5*(Inputs!$C$49+Inputs!$C$50))+Inputs!$C$47*0.097)))+0.3*(2*((SIN((((Inputs!$I$6+(((A217)+1)/2)*(Inputs!$J$6-Inputs!$I$6)))*12.9898+(Inputs!$C$6)*78.233+Inputs!$C$47*37.719))*43758.5453)-INT((SIN((((Inputs!$I$6+(((A217)+1)/2)*(Inputs!$J$6-Inputs!$I$6)))*12.9898+(Inputs!$C$6)*78.233+Inputs!$C$47*37.719))*43758.5453)))-1))),NA())</f>
        <v/>
      </c>
      <c r="AT217" s="9">
        <f>IF(OR(Inputs!$F$7=TRUE,Inputs!$F$7="TRUE",Inputs!$F$7=1),IF(OR(Inputs!$C$27=TRUE,Inputs!$C$27="TRUE",Inputs!$C$27=1),1,0)*(Inputs!$C$51*(115*EXP(-(((Inputs!$C$6)-25)^2)/(4.5^2))+70*EXP(-(((Inputs!$C$6)+38)^2)/(7^2))*(0.55+0.45*SIN(2*PI()*((Inputs!$I$7+(((A217)+1)/2)*(Inputs!$J$7-Inputs!$I$7)))/45))+24*SIN(2*PI()*(Inputs!$C$6)/9+((Inputs!$I$7+(((A217)+1)/2)*(Inputs!$J$7-Inputs!$I$7)))/18)*EXP(-(((Inputs!$C$6)+5)^2)/(22^2))+18*SIN(2*PI()*((Inputs!$I$7+(((A217)+1)/2)*(Inputs!$J$7-Inputs!$I$7)))/70))+Inputs!$C$28*EXP(-((((Inputs!$I$7+(((A217)+1)/2)*(Inputs!$J$7-Inputs!$I$7)))-Inputs!$C$29)^2)/(2*Inputs!$C$31^2))*EXP(-(((Inputs!$C$6)-Inputs!$C$30)^2)/(2*Inputs!$C$32^2))+-Inputs!$C$33*EXP(-((((((Inputs!$I$7+(((A217)+1)/2)*(Inputs!$J$7-Inputs!$I$7)))-Inputs!$C$34)^2)+(((Inputs!$C$6)-Inputs!$C$35)^2))/(2*Inputs!$C$36^2)))+Inputs!$C$37*(0.55*SIN(2*PI()*((Inputs!$I$7+(((A217)+1)/2)*(Inputs!$J$7-Inputs!$I$7)))/Inputs!$C$39)+0.35*COS(2*PI()*(Inputs!$C$6)/Inputs!$C$40)+0.2*SIN(2*PI()*(((Inputs!$I$7+(((A217)+1)/2)*(Inputs!$J$7-Inputs!$I$7)))+(Inputs!$C$6))/(0.5*(Inputs!$C$39+Inputs!$C$40))))+Inputs!$C$38*SIN(2*PI()*((Inputs!$I$7+(((A217)+1)/2)*(Inputs!$J$7-Inputs!$I$7)))/Inputs!$C$39)*SIN(2*PI()*(Inputs!$C$6)/Inputs!$C$40)+-Inputs!$C$41*EXP(-(((Inputs!$C$6)-Inputs!$C$43)^2)/(2*Inputs!$C$44^2))*EXP(-((((Inputs!$I$7+(((A217)+1)/2)*(Inputs!$J$7-Inputs!$I$7)))-Inputs!$C$42)^2)/(2*Inputs!$C$45^2))+Inputs!$C$48*(0.7*(0.45*SIN(2*PI()*((((Inputs!$I$7+(((A217)+1)/2)*(Inputs!$J$7-Inputs!$I$7)))/Inputs!$C$49)+Inputs!$C$47*0.137))+0.35*COS(2*PI()*(((Inputs!$C$6)/Inputs!$C$50)+Inputs!$C$47*0.173))+0.2*SIN(2*PI()*((((Inputs!$I$7+(((A217)+1)/2)*(Inputs!$J$7-Inputs!$I$7)))+(Inputs!$C$6))/(0.5*(Inputs!$C$49+Inputs!$C$50))+Inputs!$C$47*0.097)))+0.3*(2*((SIN((((Inputs!$I$7+(((A217)+1)/2)*(Inputs!$J$7-Inputs!$I$7)))*12.9898+(Inputs!$C$6)*78.233+Inputs!$C$47*37.719))*43758.5453)-INT((SIN((((Inputs!$I$7+(((A217)+1)/2)*(Inputs!$J$7-Inputs!$I$7)))*12.9898+(Inputs!$C$6)*78.233+Inputs!$C$47*37.719))*43758.5453)))-1))),NA())</f>
        <v/>
      </c>
      <c r="AU217" s="9">
        <f>IF(OR(Inputs!$F$8=TRUE,Inputs!$F$8="TRUE",Inputs!$F$8=1),IF(OR(Inputs!$C$27=TRUE,Inputs!$C$27="TRUE",Inputs!$C$27=1),1,0)*(Inputs!$C$51*(115*EXP(-(((Inputs!$C$6)-25)^2)/(4.5^2))+70*EXP(-(((Inputs!$C$6)+38)^2)/(7^2))*(0.55+0.45*SIN(2*PI()*((Inputs!$I$8+(((A217)+1)/2)*(Inputs!$J$8-Inputs!$I$8)))/45))+24*SIN(2*PI()*(Inputs!$C$6)/9+((Inputs!$I$8+(((A217)+1)/2)*(Inputs!$J$8-Inputs!$I$8)))/18)*EXP(-(((Inputs!$C$6)+5)^2)/(22^2))+18*SIN(2*PI()*((Inputs!$I$8+(((A217)+1)/2)*(Inputs!$J$8-Inputs!$I$8)))/70))+Inputs!$C$28*EXP(-((((Inputs!$I$8+(((A217)+1)/2)*(Inputs!$J$8-Inputs!$I$8)))-Inputs!$C$29)^2)/(2*Inputs!$C$31^2))*EXP(-(((Inputs!$C$6)-Inputs!$C$30)^2)/(2*Inputs!$C$32^2))+-Inputs!$C$33*EXP(-((((((Inputs!$I$8+(((A217)+1)/2)*(Inputs!$J$8-Inputs!$I$8)))-Inputs!$C$34)^2)+(((Inputs!$C$6)-Inputs!$C$35)^2))/(2*Inputs!$C$36^2)))+Inputs!$C$37*(0.55*SIN(2*PI()*((Inputs!$I$8+(((A217)+1)/2)*(Inputs!$J$8-Inputs!$I$8)))/Inputs!$C$39)+0.35*COS(2*PI()*(Inputs!$C$6)/Inputs!$C$40)+0.2*SIN(2*PI()*(((Inputs!$I$8+(((A217)+1)/2)*(Inputs!$J$8-Inputs!$I$8)))+(Inputs!$C$6))/(0.5*(Inputs!$C$39+Inputs!$C$40))))+Inputs!$C$38*SIN(2*PI()*((Inputs!$I$8+(((A217)+1)/2)*(Inputs!$J$8-Inputs!$I$8)))/Inputs!$C$39)*SIN(2*PI()*(Inputs!$C$6)/Inputs!$C$40)+-Inputs!$C$41*EXP(-(((Inputs!$C$6)-Inputs!$C$43)^2)/(2*Inputs!$C$44^2))*EXP(-((((Inputs!$I$8+(((A217)+1)/2)*(Inputs!$J$8-Inputs!$I$8)))-Inputs!$C$42)^2)/(2*Inputs!$C$45^2))+Inputs!$C$48*(0.7*(0.45*SIN(2*PI()*((((Inputs!$I$8+(((A217)+1)/2)*(Inputs!$J$8-Inputs!$I$8)))/Inputs!$C$49)+Inputs!$C$47*0.137))+0.35*COS(2*PI()*(((Inputs!$C$6)/Inputs!$C$50)+Inputs!$C$47*0.173))+0.2*SIN(2*PI()*((((Inputs!$I$8+(((A217)+1)/2)*(Inputs!$J$8-Inputs!$I$8)))+(Inputs!$C$6))/(0.5*(Inputs!$C$49+Inputs!$C$50))+Inputs!$C$47*0.097)))+0.3*(2*((SIN((((Inputs!$I$8+(((A217)+1)/2)*(Inputs!$J$8-Inputs!$I$8)))*12.9898+(Inputs!$C$6)*78.233+Inputs!$C$47*37.719))*43758.5453)-INT((SIN((((Inputs!$I$8+(((A217)+1)/2)*(Inputs!$J$8-Inputs!$I$8)))*12.9898+(Inputs!$C$6)*78.233+Inputs!$C$47*37.719))*43758.5453)))-1))),NA())</f>
        <v/>
      </c>
      <c r="AV217" s="9">
        <f>IF(OR(Inputs!$F$9=TRUE,Inputs!$F$9="TRUE",Inputs!$F$9=1),IF(OR(Inputs!$C$27=TRUE,Inputs!$C$27="TRUE",Inputs!$C$27=1),1,0)*(Inputs!$C$51*(115*EXP(-(((Inputs!$C$6)-25)^2)/(4.5^2))+70*EXP(-(((Inputs!$C$6)+38)^2)/(7^2))*(0.55+0.45*SIN(2*PI()*((Inputs!$I$9+(((A217)+1)/2)*(Inputs!$J$9-Inputs!$I$9)))/45))+24*SIN(2*PI()*(Inputs!$C$6)/9+((Inputs!$I$9+(((A217)+1)/2)*(Inputs!$J$9-Inputs!$I$9)))/18)*EXP(-(((Inputs!$C$6)+5)^2)/(22^2))+18*SIN(2*PI()*((Inputs!$I$9+(((A217)+1)/2)*(Inputs!$J$9-Inputs!$I$9)))/70))+Inputs!$C$28*EXP(-((((Inputs!$I$9+(((A217)+1)/2)*(Inputs!$J$9-Inputs!$I$9)))-Inputs!$C$29)^2)/(2*Inputs!$C$31^2))*EXP(-(((Inputs!$C$6)-Inputs!$C$30)^2)/(2*Inputs!$C$32^2))+-Inputs!$C$33*EXP(-((((((Inputs!$I$9+(((A217)+1)/2)*(Inputs!$J$9-Inputs!$I$9)))-Inputs!$C$34)^2)+(((Inputs!$C$6)-Inputs!$C$35)^2))/(2*Inputs!$C$36^2)))+Inputs!$C$37*(0.55*SIN(2*PI()*((Inputs!$I$9+(((A217)+1)/2)*(Inputs!$J$9-Inputs!$I$9)))/Inputs!$C$39)+0.35*COS(2*PI()*(Inputs!$C$6)/Inputs!$C$40)+0.2*SIN(2*PI()*(((Inputs!$I$9+(((A217)+1)/2)*(Inputs!$J$9-Inputs!$I$9)))+(Inputs!$C$6))/(0.5*(Inputs!$C$39+Inputs!$C$40))))+Inputs!$C$38*SIN(2*PI()*((Inputs!$I$9+(((A217)+1)/2)*(Inputs!$J$9-Inputs!$I$9)))/Inputs!$C$39)*SIN(2*PI()*(Inputs!$C$6)/Inputs!$C$40)+-Inputs!$C$41*EXP(-(((Inputs!$C$6)-Inputs!$C$43)^2)/(2*Inputs!$C$44^2))*EXP(-((((Inputs!$I$9+(((A217)+1)/2)*(Inputs!$J$9-Inputs!$I$9)))-Inputs!$C$42)^2)/(2*Inputs!$C$45^2))+Inputs!$C$48*(0.7*(0.45*SIN(2*PI()*((((Inputs!$I$9+(((A217)+1)/2)*(Inputs!$J$9-Inputs!$I$9)))/Inputs!$C$49)+Inputs!$C$47*0.137))+0.35*COS(2*PI()*(((Inputs!$C$6)/Inputs!$C$50)+Inputs!$C$47*0.173))+0.2*SIN(2*PI()*((((Inputs!$I$9+(((A217)+1)/2)*(Inputs!$J$9-Inputs!$I$9)))+(Inputs!$C$6))/(0.5*(Inputs!$C$49+Inputs!$C$50))+Inputs!$C$47*0.097)))+0.3*(2*((SIN((((Inputs!$I$9+(((A217)+1)/2)*(Inputs!$J$9-Inputs!$I$9)))*12.9898+(Inputs!$C$6)*78.233+Inputs!$C$47*37.719))*43758.5453)-INT((SIN((((Inputs!$I$9+(((A217)+1)/2)*(Inputs!$J$9-Inputs!$I$9)))*12.9898+(Inputs!$C$6)*78.233+Inputs!$C$47*37.719))*43758.5453)))-1))),NA())</f>
        <v/>
      </c>
      <c r="AW217" s="10" t="n"/>
      <c r="AX217" s="9">
        <f>A217</f>
        <v/>
      </c>
      <c r="AY217" s="9">
        <f>0</f>
        <v/>
      </c>
      <c r="AZ217" s="9">
        <f>IF(OR(Inputs!$F$6=TRUE,Inputs!$F$6="TRUE",Inputs!$F$6=1),(Inputs!$H$6+Inputs!$L$6*(((Inputs!$I$6+(((A217)+1)/2)*(Inputs!$J$6-Inputs!$I$6)))/Inputs!$K$6)^2),NA())</f>
        <v/>
      </c>
      <c r="BA217" s="9">
        <f>IF(OR(Inputs!$F$7=TRUE,Inputs!$F$7="TRUE",Inputs!$F$7=1),(Inputs!$H$7+Inputs!$L$7*(((Inputs!$I$7+(((A217)+1)/2)*(Inputs!$J$7-Inputs!$I$7)))/Inputs!$K$7)^2),NA())</f>
        <v/>
      </c>
      <c r="BB217" s="9">
        <f>IF(OR(Inputs!$F$8=TRUE,Inputs!$F$8="TRUE",Inputs!$F$8=1),(Inputs!$H$8+Inputs!$L$8*(((Inputs!$I$8+(((A217)+1)/2)*(Inputs!$J$8-Inputs!$I$8)))/Inputs!$K$8)^2),NA())</f>
        <v/>
      </c>
      <c r="BC217" s="9">
        <f>IF(OR(Inputs!$F$9=TRUE,Inputs!$F$9="TRUE",Inputs!$F$9=1),(Inputs!$H$9+Inputs!$L$9*(((Inputs!$I$9+(((A217)+1)/2)*(Inputs!$J$9-Inputs!$I$9)))/Inputs!$K$9)^2),NA())</f>
        <v/>
      </c>
      <c r="BD217" s="10" t="n"/>
      <c r="BE217" s="9">
        <f>A217</f>
        <v/>
      </c>
      <c r="BF217" s="9">
        <f>0</f>
        <v/>
      </c>
      <c r="BG217" s="9">
        <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f>
        <v/>
      </c>
      <c r="BH217" s="9">
        <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f>
        <v/>
      </c>
      <c r="BI217" s="9">
        <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f>
        <v/>
      </c>
      <c r="BJ217" s="9">
        <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f>
        <v/>
      </c>
    </row>
    <row r="218">
      <c r="A218" s="9">
        <f>ROUND(-1+216*2/240,3)</f>
        <v/>
      </c>
      <c r="B218" s="9">
        <f>IF(OR(Inputs!$F$6=TRUE,Inputs!$F$6="TRUE",Inputs!$F$6=1),(Inputs!$H$6+Inputs!$L$6*(((Inputs!$I$6+(((A218)+1)/2)*(Inputs!$J$6-Inputs!$I$6)))/Inputs!$K$6)^2),NA())</f>
        <v/>
      </c>
      <c r="C218" s="9">
        <f>IF(OR(Inputs!$F$7=TRUE,Inputs!$F$7="TRUE",Inputs!$F$7=1),(Inputs!$H$7+Inputs!$L$7*(((Inputs!$I$7+(((A218)+1)/2)*(Inputs!$J$7-Inputs!$I$7)))/Inputs!$K$7)^2),NA())</f>
        <v/>
      </c>
      <c r="D218" s="9">
        <f>IF(OR(Inputs!$F$8=TRUE,Inputs!$F$8="TRUE",Inputs!$F$8=1),(Inputs!$H$8+Inputs!$L$8*(((Inputs!$I$8+(((A218)+1)/2)*(Inputs!$J$8-Inputs!$I$8)))/Inputs!$K$8)^2),NA())</f>
        <v/>
      </c>
      <c r="E218" s="9">
        <f>IF(OR(Inputs!$F$9=TRUE,Inputs!$F$9="TRUE",Inputs!$F$9=1),(Inputs!$H$9+Inputs!$L$9*(((Inputs!$I$9+(((A218)+1)/2)*(Inputs!$J$9-Inputs!$I$9)))/Inputs!$K$9)^2),NA())</f>
        <v/>
      </c>
      <c r="F218" s="10" t="n"/>
      <c r="G218" s="9">
        <f>A218</f>
        <v/>
      </c>
      <c r="H218" s="9">
        <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f>
        <v/>
      </c>
      <c r="I218" s="9">
        <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f>
        <v/>
      </c>
      <c r="J218" s="9">
        <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f>
        <v/>
      </c>
      <c r="K218" s="9">
        <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f>
        <v/>
      </c>
      <c r="L218" s="10" t="n"/>
      <c r="M218" s="9">
        <f>A218</f>
        <v/>
      </c>
      <c r="N218" s="9">
        <f>IF(OR(Inputs!$F$6=TRUE,Inputs!$F$6="TRUE",Inputs!$F$6=1),(-2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NA())</f>
        <v/>
      </c>
      <c r="O218" s="9">
        <f>IF(OR(Inputs!$F$7=TRUE,Inputs!$F$7="TRUE",Inputs!$F$7=1),(-2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NA())</f>
        <v/>
      </c>
      <c r="P218" s="9">
        <f>IF(OR(Inputs!$F$8=TRUE,Inputs!$F$8="TRUE",Inputs!$F$8=1),(-2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NA())</f>
        <v/>
      </c>
      <c r="Q218" s="9">
        <f>IF(OR(Inputs!$F$9=TRUE,Inputs!$F$9="TRUE",Inputs!$F$9=1),(-2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NA())</f>
        <v/>
      </c>
      <c r="R218" s="10" t="n"/>
      <c r="S218" s="9">
        <f>A218</f>
        <v/>
      </c>
      <c r="T218" s="9">
        <f>(Inputs!$I$6+(((A218)+1)/2)*(Inputs!$J$6-Inputs!$I$6))</f>
        <v/>
      </c>
      <c r="U218" s="9">
        <f>(Inputs!$I$7+(((A218)+1)/2)*(Inputs!$J$7-Inputs!$I$7))</f>
        <v/>
      </c>
      <c r="V218" s="9">
        <f>(Inputs!$I$8+(((A218)+1)/2)*(Inputs!$J$8-Inputs!$I$8))</f>
        <v/>
      </c>
      <c r="W218" s="9">
        <f>(Inputs!$I$9+(((A218)+1)/2)*(Inputs!$J$9-Inputs!$I$9))</f>
        <v/>
      </c>
      <c r="X218" s="10" t="n"/>
      <c r="Y218" s="9">
        <f>A218</f>
        <v/>
      </c>
      <c r="Z218" s="9">
        <f>(Inputs!$H$6+Inputs!$L$6*(((Inputs!$I$6+(((A218)+1)/2)*(Inputs!$J$6-Inputs!$I$6)))/Inputs!$K$6)^2)</f>
        <v/>
      </c>
      <c r="AA218" s="9">
        <f>(Inputs!$H$7+Inputs!$L$7*(((Inputs!$I$7+(((A218)+1)/2)*(Inputs!$J$7-Inputs!$I$7)))/Inputs!$K$7)^2)</f>
        <v/>
      </c>
      <c r="AB218" s="9">
        <f>(Inputs!$H$8+Inputs!$L$8*(((Inputs!$I$8+(((A218)+1)/2)*(Inputs!$J$8-Inputs!$I$8)))/Inputs!$K$8)^2)</f>
        <v/>
      </c>
      <c r="AC218" s="9">
        <f>(Inputs!$H$9+Inputs!$L$9*(((Inputs!$I$9+(((A218)+1)/2)*(Inputs!$J$9-Inputs!$I$9)))/Inputs!$K$9)^2)</f>
        <v/>
      </c>
      <c r="AD218" s="10" t="n"/>
      <c r="AE218" s="9">
        <f>A218</f>
        <v/>
      </c>
      <c r="AF218" s="9">
        <f>(((SQRT((Inputs!$C$52+((Inputs!$H$6+Inputs!$L$6*(((Inputs!$I$6+(((A218)+1)/2)*(Inputs!$J$6-Inputs!$I$6)))/Inputs!$K$6)^2)))^2+Inputs!$C$52^2-2*(Inputs!$C$52+((Inputs!$H$6+Inputs!$L$6*(((Inputs!$I$6+(((A218)+1)/2)*(Inputs!$J$6-Inputs!$I$6)))/Inputs!$K$6)^2)))*Inputs!$C$52*COS(SQRT(((Inputs!$I$6+(((A218)+1)/2)*(Inputs!$J$6-Inputs!$I$6)))^2+Inputs!$C$6^2)/Inputs!$C$52)))-((Inputs!$H$6+Inputs!$L$6*(((Inputs!$I$6+(((A218)+1)/2)*(Inputs!$J$6-Inputs!$I$6)))/Inputs!$K$6)^2)))*1000/Inputs!$C$12)</f>
        <v/>
      </c>
      <c r="AG218" s="9">
        <f>(((SQRT((Inputs!$C$52+((Inputs!$H$7+Inputs!$L$7*(((Inputs!$I$7+(((A218)+1)/2)*(Inputs!$J$7-Inputs!$I$7)))/Inputs!$K$7)^2)))^2+Inputs!$C$52^2-2*(Inputs!$C$52+((Inputs!$H$7+Inputs!$L$7*(((Inputs!$I$7+(((A218)+1)/2)*(Inputs!$J$7-Inputs!$I$7)))/Inputs!$K$7)^2)))*Inputs!$C$52*COS(SQRT(((Inputs!$I$7+(((A218)+1)/2)*(Inputs!$J$7-Inputs!$I$7)))^2+Inputs!$C$6^2)/Inputs!$C$52)))-((Inputs!$H$7+Inputs!$L$7*(((Inputs!$I$7+(((A218)+1)/2)*(Inputs!$J$7-Inputs!$I$7)))/Inputs!$K$7)^2)))*1000/Inputs!$C$12)</f>
        <v/>
      </c>
      <c r="AH218" s="9">
        <f>(((SQRT((Inputs!$C$52+((Inputs!$H$8+Inputs!$L$8*(((Inputs!$I$8+(((A218)+1)/2)*(Inputs!$J$8-Inputs!$I$8)))/Inputs!$K$8)^2)))^2+Inputs!$C$52^2-2*(Inputs!$C$52+((Inputs!$H$8+Inputs!$L$8*(((Inputs!$I$8+(((A218)+1)/2)*(Inputs!$J$8-Inputs!$I$8)))/Inputs!$K$8)^2)))*Inputs!$C$52*COS(SQRT(((Inputs!$I$8+(((A218)+1)/2)*(Inputs!$J$8-Inputs!$I$8)))^2+Inputs!$C$6^2)/Inputs!$C$52)))-((Inputs!$H$8+Inputs!$L$8*(((Inputs!$I$8+(((A218)+1)/2)*(Inputs!$J$8-Inputs!$I$8)))/Inputs!$K$8)^2)))*1000/Inputs!$C$12)</f>
        <v/>
      </c>
      <c r="AI218" s="9">
        <f>(((SQRT((Inputs!$C$52+((Inputs!$H$9+Inputs!$L$9*(((Inputs!$I$9+(((A218)+1)/2)*(Inputs!$J$9-Inputs!$I$9)))/Inputs!$K$9)^2)))^2+Inputs!$C$52^2-2*(Inputs!$C$52+((Inputs!$H$9+Inputs!$L$9*(((Inputs!$I$9+(((A218)+1)/2)*(Inputs!$J$9-Inputs!$I$9)))/Inputs!$K$9)^2)))*Inputs!$C$52*COS(SQRT(((Inputs!$I$9+(((A218)+1)/2)*(Inputs!$J$9-Inputs!$I$9)))^2+Inputs!$C$6^2)/Inputs!$C$52)))-((Inputs!$H$9+Inputs!$L$9*(((Inputs!$I$9+(((A218)+1)/2)*(Inputs!$J$9-Inputs!$I$9)))/Inputs!$K$9)^2)))*1000/Inputs!$C$12)</f>
        <v/>
      </c>
      <c r="AJ218" s="10" t="n"/>
      <c r="AK218" s="9">
        <f>A218</f>
        <v/>
      </c>
      <c r="AL218" s="9">
        <f>(-2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f>
        <v/>
      </c>
      <c r="AM218" s="9">
        <f>(-2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f>
        <v/>
      </c>
      <c r="AN218" s="9">
        <f>(-2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f>
        <v/>
      </c>
      <c r="AO218" s="9">
        <f>(-2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f>
        <v/>
      </c>
      <c r="AP218" s="10" t="n"/>
      <c r="AQ218" s="9">
        <f>A218</f>
        <v/>
      </c>
      <c r="AR218" s="9">
        <f>0</f>
        <v/>
      </c>
      <c r="AS218" s="9">
        <f>IF(OR(Inputs!$F$6=TRUE,Inputs!$F$6="TRUE",Inputs!$F$6=1),IF(OR(Inputs!$C$27=TRUE,Inputs!$C$27="TRUE",Inputs!$C$27=1),1,0)*(Inputs!$C$51*(115*EXP(-(((Inputs!$C$6)-25)^2)/(4.5^2))+70*EXP(-(((Inputs!$C$6)+38)^2)/(7^2))*(0.55+0.45*SIN(2*PI()*((Inputs!$I$6+(((A218)+1)/2)*(Inputs!$J$6-Inputs!$I$6)))/45))+24*SIN(2*PI()*(Inputs!$C$6)/9+((Inputs!$I$6+(((A218)+1)/2)*(Inputs!$J$6-Inputs!$I$6)))/18)*EXP(-(((Inputs!$C$6)+5)^2)/(22^2))+18*SIN(2*PI()*((Inputs!$I$6+(((A218)+1)/2)*(Inputs!$J$6-Inputs!$I$6)))/70))+Inputs!$C$28*EXP(-((((Inputs!$I$6+(((A218)+1)/2)*(Inputs!$J$6-Inputs!$I$6)))-Inputs!$C$29)^2)/(2*Inputs!$C$31^2))*EXP(-(((Inputs!$C$6)-Inputs!$C$30)^2)/(2*Inputs!$C$32^2))+-Inputs!$C$33*EXP(-((((((Inputs!$I$6+(((A218)+1)/2)*(Inputs!$J$6-Inputs!$I$6)))-Inputs!$C$34)^2)+(((Inputs!$C$6)-Inputs!$C$35)^2))/(2*Inputs!$C$36^2)))+Inputs!$C$37*(0.55*SIN(2*PI()*((Inputs!$I$6+(((A218)+1)/2)*(Inputs!$J$6-Inputs!$I$6)))/Inputs!$C$39)+0.35*COS(2*PI()*(Inputs!$C$6)/Inputs!$C$40)+0.2*SIN(2*PI()*(((Inputs!$I$6+(((A218)+1)/2)*(Inputs!$J$6-Inputs!$I$6)))+(Inputs!$C$6))/(0.5*(Inputs!$C$39+Inputs!$C$40))))+Inputs!$C$38*SIN(2*PI()*((Inputs!$I$6+(((A218)+1)/2)*(Inputs!$J$6-Inputs!$I$6)))/Inputs!$C$39)*SIN(2*PI()*(Inputs!$C$6)/Inputs!$C$40)+-Inputs!$C$41*EXP(-(((Inputs!$C$6)-Inputs!$C$43)^2)/(2*Inputs!$C$44^2))*EXP(-((((Inputs!$I$6+(((A218)+1)/2)*(Inputs!$J$6-Inputs!$I$6)))-Inputs!$C$42)^2)/(2*Inputs!$C$45^2))+Inputs!$C$48*(0.7*(0.45*SIN(2*PI()*((((Inputs!$I$6+(((A218)+1)/2)*(Inputs!$J$6-Inputs!$I$6)))/Inputs!$C$49)+Inputs!$C$47*0.137))+0.35*COS(2*PI()*(((Inputs!$C$6)/Inputs!$C$50)+Inputs!$C$47*0.173))+0.2*SIN(2*PI()*((((Inputs!$I$6+(((A218)+1)/2)*(Inputs!$J$6-Inputs!$I$6)))+(Inputs!$C$6))/(0.5*(Inputs!$C$49+Inputs!$C$50))+Inputs!$C$47*0.097)))+0.3*(2*((SIN((((Inputs!$I$6+(((A218)+1)/2)*(Inputs!$J$6-Inputs!$I$6)))*12.9898+(Inputs!$C$6)*78.233+Inputs!$C$47*37.719))*43758.5453)-INT((SIN((((Inputs!$I$6+(((A218)+1)/2)*(Inputs!$J$6-Inputs!$I$6)))*12.9898+(Inputs!$C$6)*78.233+Inputs!$C$47*37.719))*43758.5453)))-1))),NA())</f>
        <v/>
      </c>
      <c r="AT218" s="9">
        <f>IF(OR(Inputs!$F$7=TRUE,Inputs!$F$7="TRUE",Inputs!$F$7=1),IF(OR(Inputs!$C$27=TRUE,Inputs!$C$27="TRUE",Inputs!$C$27=1),1,0)*(Inputs!$C$51*(115*EXP(-(((Inputs!$C$6)-25)^2)/(4.5^2))+70*EXP(-(((Inputs!$C$6)+38)^2)/(7^2))*(0.55+0.45*SIN(2*PI()*((Inputs!$I$7+(((A218)+1)/2)*(Inputs!$J$7-Inputs!$I$7)))/45))+24*SIN(2*PI()*(Inputs!$C$6)/9+((Inputs!$I$7+(((A218)+1)/2)*(Inputs!$J$7-Inputs!$I$7)))/18)*EXP(-(((Inputs!$C$6)+5)^2)/(22^2))+18*SIN(2*PI()*((Inputs!$I$7+(((A218)+1)/2)*(Inputs!$J$7-Inputs!$I$7)))/70))+Inputs!$C$28*EXP(-((((Inputs!$I$7+(((A218)+1)/2)*(Inputs!$J$7-Inputs!$I$7)))-Inputs!$C$29)^2)/(2*Inputs!$C$31^2))*EXP(-(((Inputs!$C$6)-Inputs!$C$30)^2)/(2*Inputs!$C$32^2))+-Inputs!$C$33*EXP(-((((((Inputs!$I$7+(((A218)+1)/2)*(Inputs!$J$7-Inputs!$I$7)))-Inputs!$C$34)^2)+(((Inputs!$C$6)-Inputs!$C$35)^2))/(2*Inputs!$C$36^2)))+Inputs!$C$37*(0.55*SIN(2*PI()*((Inputs!$I$7+(((A218)+1)/2)*(Inputs!$J$7-Inputs!$I$7)))/Inputs!$C$39)+0.35*COS(2*PI()*(Inputs!$C$6)/Inputs!$C$40)+0.2*SIN(2*PI()*(((Inputs!$I$7+(((A218)+1)/2)*(Inputs!$J$7-Inputs!$I$7)))+(Inputs!$C$6))/(0.5*(Inputs!$C$39+Inputs!$C$40))))+Inputs!$C$38*SIN(2*PI()*((Inputs!$I$7+(((A218)+1)/2)*(Inputs!$J$7-Inputs!$I$7)))/Inputs!$C$39)*SIN(2*PI()*(Inputs!$C$6)/Inputs!$C$40)+-Inputs!$C$41*EXP(-(((Inputs!$C$6)-Inputs!$C$43)^2)/(2*Inputs!$C$44^2))*EXP(-((((Inputs!$I$7+(((A218)+1)/2)*(Inputs!$J$7-Inputs!$I$7)))-Inputs!$C$42)^2)/(2*Inputs!$C$45^2))+Inputs!$C$48*(0.7*(0.45*SIN(2*PI()*((((Inputs!$I$7+(((A218)+1)/2)*(Inputs!$J$7-Inputs!$I$7)))/Inputs!$C$49)+Inputs!$C$47*0.137))+0.35*COS(2*PI()*(((Inputs!$C$6)/Inputs!$C$50)+Inputs!$C$47*0.173))+0.2*SIN(2*PI()*((((Inputs!$I$7+(((A218)+1)/2)*(Inputs!$J$7-Inputs!$I$7)))+(Inputs!$C$6))/(0.5*(Inputs!$C$49+Inputs!$C$50))+Inputs!$C$47*0.097)))+0.3*(2*((SIN((((Inputs!$I$7+(((A218)+1)/2)*(Inputs!$J$7-Inputs!$I$7)))*12.9898+(Inputs!$C$6)*78.233+Inputs!$C$47*37.719))*43758.5453)-INT((SIN((((Inputs!$I$7+(((A218)+1)/2)*(Inputs!$J$7-Inputs!$I$7)))*12.9898+(Inputs!$C$6)*78.233+Inputs!$C$47*37.719))*43758.5453)))-1))),NA())</f>
        <v/>
      </c>
      <c r="AU218" s="9">
        <f>IF(OR(Inputs!$F$8=TRUE,Inputs!$F$8="TRUE",Inputs!$F$8=1),IF(OR(Inputs!$C$27=TRUE,Inputs!$C$27="TRUE",Inputs!$C$27=1),1,0)*(Inputs!$C$51*(115*EXP(-(((Inputs!$C$6)-25)^2)/(4.5^2))+70*EXP(-(((Inputs!$C$6)+38)^2)/(7^2))*(0.55+0.45*SIN(2*PI()*((Inputs!$I$8+(((A218)+1)/2)*(Inputs!$J$8-Inputs!$I$8)))/45))+24*SIN(2*PI()*(Inputs!$C$6)/9+((Inputs!$I$8+(((A218)+1)/2)*(Inputs!$J$8-Inputs!$I$8)))/18)*EXP(-(((Inputs!$C$6)+5)^2)/(22^2))+18*SIN(2*PI()*((Inputs!$I$8+(((A218)+1)/2)*(Inputs!$J$8-Inputs!$I$8)))/70))+Inputs!$C$28*EXP(-((((Inputs!$I$8+(((A218)+1)/2)*(Inputs!$J$8-Inputs!$I$8)))-Inputs!$C$29)^2)/(2*Inputs!$C$31^2))*EXP(-(((Inputs!$C$6)-Inputs!$C$30)^2)/(2*Inputs!$C$32^2))+-Inputs!$C$33*EXP(-((((((Inputs!$I$8+(((A218)+1)/2)*(Inputs!$J$8-Inputs!$I$8)))-Inputs!$C$34)^2)+(((Inputs!$C$6)-Inputs!$C$35)^2))/(2*Inputs!$C$36^2)))+Inputs!$C$37*(0.55*SIN(2*PI()*((Inputs!$I$8+(((A218)+1)/2)*(Inputs!$J$8-Inputs!$I$8)))/Inputs!$C$39)+0.35*COS(2*PI()*(Inputs!$C$6)/Inputs!$C$40)+0.2*SIN(2*PI()*(((Inputs!$I$8+(((A218)+1)/2)*(Inputs!$J$8-Inputs!$I$8)))+(Inputs!$C$6))/(0.5*(Inputs!$C$39+Inputs!$C$40))))+Inputs!$C$38*SIN(2*PI()*((Inputs!$I$8+(((A218)+1)/2)*(Inputs!$J$8-Inputs!$I$8)))/Inputs!$C$39)*SIN(2*PI()*(Inputs!$C$6)/Inputs!$C$40)+-Inputs!$C$41*EXP(-(((Inputs!$C$6)-Inputs!$C$43)^2)/(2*Inputs!$C$44^2))*EXP(-((((Inputs!$I$8+(((A218)+1)/2)*(Inputs!$J$8-Inputs!$I$8)))-Inputs!$C$42)^2)/(2*Inputs!$C$45^2))+Inputs!$C$48*(0.7*(0.45*SIN(2*PI()*((((Inputs!$I$8+(((A218)+1)/2)*(Inputs!$J$8-Inputs!$I$8)))/Inputs!$C$49)+Inputs!$C$47*0.137))+0.35*COS(2*PI()*(((Inputs!$C$6)/Inputs!$C$50)+Inputs!$C$47*0.173))+0.2*SIN(2*PI()*((((Inputs!$I$8+(((A218)+1)/2)*(Inputs!$J$8-Inputs!$I$8)))+(Inputs!$C$6))/(0.5*(Inputs!$C$49+Inputs!$C$50))+Inputs!$C$47*0.097)))+0.3*(2*((SIN((((Inputs!$I$8+(((A218)+1)/2)*(Inputs!$J$8-Inputs!$I$8)))*12.9898+(Inputs!$C$6)*78.233+Inputs!$C$47*37.719))*43758.5453)-INT((SIN((((Inputs!$I$8+(((A218)+1)/2)*(Inputs!$J$8-Inputs!$I$8)))*12.9898+(Inputs!$C$6)*78.233+Inputs!$C$47*37.719))*43758.5453)))-1))),NA())</f>
        <v/>
      </c>
      <c r="AV218" s="9">
        <f>IF(OR(Inputs!$F$9=TRUE,Inputs!$F$9="TRUE",Inputs!$F$9=1),IF(OR(Inputs!$C$27=TRUE,Inputs!$C$27="TRUE",Inputs!$C$27=1),1,0)*(Inputs!$C$51*(115*EXP(-(((Inputs!$C$6)-25)^2)/(4.5^2))+70*EXP(-(((Inputs!$C$6)+38)^2)/(7^2))*(0.55+0.45*SIN(2*PI()*((Inputs!$I$9+(((A218)+1)/2)*(Inputs!$J$9-Inputs!$I$9)))/45))+24*SIN(2*PI()*(Inputs!$C$6)/9+((Inputs!$I$9+(((A218)+1)/2)*(Inputs!$J$9-Inputs!$I$9)))/18)*EXP(-(((Inputs!$C$6)+5)^2)/(22^2))+18*SIN(2*PI()*((Inputs!$I$9+(((A218)+1)/2)*(Inputs!$J$9-Inputs!$I$9)))/70))+Inputs!$C$28*EXP(-((((Inputs!$I$9+(((A218)+1)/2)*(Inputs!$J$9-Inputs!$I$9)))-Inputs!$C$29)^2)/(2*Inputs!$C$31^2))*EXP(-(((Inputs!$C$6)-Inputs!$C$30)^2)/(2*Inputs!$C$32^2))+-Inputs!$C$33*EXP(-((((((Inputs!$I$9+(((A218)+1)/2)*(Inputs!$J$9-Inputs!$I$9)))-Inputs!$C$34)^2)+(((Inputs!$C$6)-Inputs!$C$35)^2))/(2*Inputs!$C$36^2)))+Inputs!$C$37*(0.55*SIN(2*PI()*((Inputs!$I$9+(((A218)+1)/2)*(Inputs!$J$9-Inputs!$I$9)))/Inputs!$C$39)+0.35*COS(2*PI()*(Inputs!$C$6)/Inputs!$C$40)+0.2*SIN(2*PI()*(((Inputs!$I$9+(((A218)+1)/2)*(Inputs!$J$9-Inputs!$I$9)))+(Inputs!$C$6))/(0.5*(Inputs!$C$39+Inputs!$C$40))))+Inputs!$C$38*SIN(2*PI()*((Inputs!$I$9+(((A218)+1)/2)*(Inputs!$J$9-Inputs!$I$9)))/Inputs!$C$39)*SIN(2*PI()*(Inputs!$C$6)/Inputs!$C$40)+-Inputs!$C$41*EXP(-(((Inputs!$C$6)-Inputs!$C$43)^2)/(2*Inputs!$C$44^2))*EXP(-((((Inputs!$I$9+(((A218)+1)/2)*(Inputs!$J$9-Inputs!$I$9)))-Inputs!$C$42)^2)/(2*Inputs!$C$45^2))+Inputs!$C$48*(0.7*(0.45*SIN(2*PI()*((((Inputs!$I$9+(((A218)+1)/2)*(Inputs!$J$9-Inputs!$I$9)))/Inputs!$C$49)+Inputs!$C$47*0.137))+0.35*COS(2*PI()*(((Inputs!$C$6)/Inputs!$C$50)+Inputs!$C$47*0.173))+0.2*SIN(2*PI()*((((Inputs!$I$9+(((A218)+1)/2)*(Inputs!$J$9-Inputs!$I$9)))+(Inputs!$C$6))/(0.5*(Inputs!$C$49+Inputs!$C$50))+Inputs!$C$47*0.097)))+0.3*(2*((SIN((((Inputs!$I$9+(((A218)+1)/2)*(Inputs!$J$9-Inputs!$I$9)))*12.9898+(Inputs!$C$6)*78.233+Inputs!$C$47*37.719))*43758.5453)-INT((SIN((((Inputs!$I$9+(((A218)+1)/2)*(Inputs!$J$9-Inputs!$I$9)))*12.9898+(Inputs!$C$6)*78.233+Inputs!$C$47*37.719))*43758.5453)))-1))),NA())</f>
        <v/>
      </c>
      <c r="AW218" s="10" t="n"/>
      <c r="AX218" s="9">
        <f>A218</f>
        <v/>
      </c>
      <c r="AY218" s="9">
        <f>0</f>
        <v/>
      </c>
      <c r="AZ218" s="9">
        <f>IF(OR(Inputs!$F$6=TRUE,Inputs!$F$6="TRUE",Inputs!$F$6=1),(Inputs!$H$6+Inputs!$L$6*(((Inputs!$I$6+(((A218)+1)/2)*(Inputs!$J$6-Inputs!$I$6)))/Inputs!$K$6)^2),NA())</f>
        <v/>
      </c>
      <c r="BA218" s="9">
        <f>IF(OR(Inputs!$F$7=TRUE,Inputs!$F$7="TRUE",Inputs!$F$7=1),(Inputs!$H$7+Inputs!$L$7*(((Inputs!$I$7+(((A218)+1)/2)*(Inputs!$J$7-Inputs!$I$7)))/Inputs!$K$7)^2),NA())</f>
        <v/>
      </c>
      <c r="BB218" s="9">
        <f>IF(OR(Inputs!$F$8=TRUE,Inputs!$F$8="TRUE",Inputs!$F$8=1),(Inputs!$H$8+Inputs!$L$8*(((Inputs!$I$8+(((A218)+1)/2)*(Inputs!$J$8-Inputs!$I$8)))/Inputs!$K$8)^2),NA())</f>
        <v/>
      </c>
      <c r="BC218" s="9">
        <f>IF(OR(Inputs!$F$9=TRUE,Inputs!$F$9="TRUE",Inputs!$F$9=1),(Inputs!$H$9+Inputs!$L$9*(((Inputs!$I$9+(((A218)+1)/2)*(Inputs!$J$9-Inputs!$I$9)))/Inputs!$K$9)^2),NA())</f>
        <v/>
      </c>
      <c r="BD218" s="10" t="n"/>
      <c r="BE218" s="9">
        <f>A218</f>
        <v/>
      </c>
      <c r="BF218" s="9">
        <f>0</f>
        <v/>
      </c>
      <c r="BG218" s="9">
        <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f>
        <v/>
      </c>
      <c r="BH218" s="9">
        <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f>
        <v/>
      </c>
      <c r="BI218" s="9">
        <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f>
        <v/>
      </c>
      <c r="BJ218" s="9">
        <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f>
        <v/>
      </c>
    </row>
    <row r="219">
      <c r="A219" s="9">
        <f>ROUND(-1+217*2/240,3)</f>
        <v/>
      </c>
      <c r="B219" s="9">
        <f>IF(OR(Inputs!$F$6=TRUE,Inputs!$F$6="TRUE",Inputs!$F$6=1),(Inputs!$H$6+Inputs!$L$6*(((Inputs!$I$6+(((A219)+1)/2)*(Inputs!$J$6-Inputs!$I$6)))/Inputs!$K$6)^2),NA())</f>
        <v/>
      </c>
      <c r="C219" s="9">
        <f>IF(OR(Inputs!$F$7=TRUE,Inputs!$F$7="TRUE",Inputs!$F$7=1),(Inputs!$H$7+Inputs!$L$7*(((Inputs!$I$7+(((A219)+1)/2)*(Inputs!$J$7-Inputs!$I$7)))/Inputs!$K$7)^2),NA())</f>
        <v/>
      </c>
      <c r="D219" s="9">
        <f>IF(OR(Inputs!$F$8=TRUE,Inputs!$F$8="TRUE",Inputs!$F$8=1),(Inputs!$H$8+Inputs!$L$8*(((Inputs!$I$8+(((A219)+1)/2)*(Inputs!$J$8-Inputs!$I$8)))/Inputs!$K$8)^2),NA())</f>
        <v/>
      </c>
      <c r="E219" s="9">
        <f>IF(OR(Inputs!$F$9=TRUE,Inputs!$F$9="TRUE",Inputs!$F$9=1),(Inputs!$H$9+Inputs!$L$9*(((Inputs!$I$9+(((A219)+1)/2)*(Inputs!$J$9-Inputs!$I$9)))/Inputs!$K$9)^2),NA())</f>
        <v/>
      </c>
      <c r="F219" s="10" t="n"/>
      <c r="G219" s="9">
        <f>A219</f>
        <v/>
      </c>
      <c r="H219" s="9">
        <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f>
        <v/>
      </c>
      <c r="I219" s="9">
        <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f>
        <v/>
      </c>
      <c r="J219" s="9">
        <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f>
        <v/>
      </c>
      <c r="K219" s="9">
        <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f>
        <v/>
      </c>
      <c r="L219" s="10" t="n"/>
      <c r="M219" s="9">
        <f>A219</f>
        <v/>
      </c>
      <c r="N219" s="9">
        <f>IF(OR(Inputs!$F$6=TRUE,Inputs!$F$6="TRUE",Inputs!$F$6=1),(-2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NA())</f>
        <v/>
      </c>
      <c r="O219" s="9">
        <f>IF(OR(Inputs!$F$7=TRUE,Inputs!$F$7="TRUE",Inputs!$F$7=1),(-2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NA())</f>
        <v/>
      </c>
      <c r="P219" s="9">
        <f>IF(OR(Inputs!$F$8=TRUE,Inputs!$F$8="TRUE",Inputs!$F$8=1),(-2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NA())</f>
        <v/>
      </c>
      <c r="Q219" s="9">
        <f>IF(OR(Inputs!$F$9=TRUE,Inputs!$F$9="TRUE",Inputs!$F$9=1),(-2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NA())</f>
        <v/>
      </c>
      <c r="R219" s="10" t="n"/>
      <c r="S219" s="9">
        <f>A219</f>
        <v/>
      </c>
      <c r="T219" s="9">
        <f>(Inputs!$I$6+(((A219)+1)/2)*(Inputs!$J$6-Inputs!$I$6))</f>
        <v/>
      </c>
      <c r="U219" s="9">
        <f>(Inputs!$I$7+(((A219)+1)/2)*(Inputs!$J$7-Inputs!$I$7))</f>
        <v/>
      </c>
      <c r="V219" s="9">
        <f>(Inputs!$I$8+(((A219)+1)/2)*(Inputs!$J$8-Inputs!$I$8))</f>
        <v/>
      </c>
      <c r="W219" s="9">
        <f>(Inputs!$I$9+(((A219)+1)/2)*(Inputs!$J$9-Inputs!$I$9))</f>
        <v/>
      </c>
      <c r="X219" s="10" t="n"/>
      <c r="Y219" s="9">
        <f>A219</f>
        <v/>
      </c>
      <c r="Z219" s="9">
        <f>(Inputs!$H$6+Inputs!$L$6*(((Inputs!$I$6+(((A219)+1)/2)*(Inputs!$J$6-Inputs!$I$6)))/Inputs!$K$6)^2)</f>
        <v/>
      </c>
      <c r="AA219" s="9">
        <f>(Inputs!$H$7+Inputs!$L$7*(((Inputs!$I$7+(((A219)+1)/2)*(Inputs!$J$7-Inputs!$I$7)))/Inputs!$K$7)^2)</f>
        <v/>
      </c>
      <c r="AB219" s="9">
        <f>(Inputs!$H$8+Inputs!$L$8*(((Inputs!$I$8+(((A219)+1)/2)*(Inputs!$J$8-Inputs!$I$8)))/Inputs!$K$8)^2)</f>
        <v/>
      </c>
      <c r="AC219" s="9">
        <f>(Inputs!$H$9+Inputs!$L$9*(((Inputs!$I$9+(((A219)+1)/2)*(Inputs!$J$9-Inputs!$I$9)))/Inputs!$K$9)^2)</f>
        <v/>
      </c>
      <c r="AD219" s="10" t="n"/>
      <c r="AE219" s="9">
        <f>A219</f>
        <v/>
      </c>
      <c r="AF219" s="9">
        <f>(((SQRT((Inputs!$C$52+((Inputs!$H$6+Inputs!$L$6*(((Inputs!$I$6+(((A219)+1)/2)*(Inputs!$J$6-Inputs!$I$6)))/Inputs!$K$6)^2)))^2+Inputs!$C$52^2-2*(Inputs!$C$52+((Inputs!$H$6+Inputs!$L$6*(((Inputs!$I$6+(((A219)+1)/2)*(Inputs!$J$6-Inputs!$I$6)))/Inputs!$K$6)^2)))*Inputs!$C$52*COS(SQRT(((Inputs!$I$6+(((A219)+1)/2)*(Inputs!$J$6-Inputs!$I$6)))^2+Inputs!$C$6^2)/Inputs!$C$52)))-((Inputs!$H$6+Inputs!$L$6*(((Inputs!$I$6+(((A219)+1)/2)*(Inputs!$J$6-Inputs!$I$6)))/Inputs!$K$6)^2)))*1000/Inputs!$C$12)</f>
        <v/>
      </c>
      <c r="AG219" s="9">
        <f>(((SQRT((Inputs!$C$52+((Inputs!$H$7+Inputs!$L$7*(((Inputs!$I$7+(((A219)+1)/2)*(Inputs!$J$7-Inputs!$I$7)))/Inputs!$K$7)^2)))^2+Inputs!$C$52^2-2*(Inputs!$C$52+((Inputs!$H$7+Inputs!$L$7*(((Inputs!$I$7+(((A219)+1)/2)*(Inputs!$J$7-Inputs!$I$7)))/Inputs!$K$7)^2)))*Inputs!$C$52*COS(SQRT(((Inputs!$I$7+(((A219)+1)/2)*(Inputs!$J$7-Inputs!$I$7)))^2+Inputs!$C$6^2)/Inputs!$C$52)))-((Inputs!$H$7+Inputs!$L$7*(((Inputs!$I$7+(((A219)+1)/2)*(Inputs!$J$7-Inputs!$I$7)))/Inputs!$K$7)^2)))*1000/Inputs!$C$12)</f>
        <v/>
      </c>
      <c r="AH219" s="9">
        <f>(((SQRT((Inputs!$C$52+((Inputs!$H$8+Inputs!$L$8*(((Inputs!$I$8+(((A219)+1)/2)*(Inputs!$J$8-Inputs!$I$8)))/Inputs!$K$8)^2)))^2+Inputs!$C$52^2-2*(Inputs!$C$52+((Inputs!$H$8+Inputs!$L$8*(((Inputs!$I$8+(((A219)+1)/2)*(Inputs!$J$8-Inputs!$I$8)))/Inputs!$K$8)^2)))*Inputs!$C$52*COS(SQRT(((Inputs!$I$8+(((A219)+1)/2)*(Inputs!$J$8-Inputs!$I$8)))^2+Inputs!$C$6^2)/Inputs!$C$52)))-((Inputs!$H$8+Inputs!$L$8*(((Inputs!$I$8+(((A219)+1)/2)*(Inputs!$J$8-Inputs!$I$8)))/Inputs!$K$8)^2)))*1000/Inputs!$C$12)</f>
        <v/>
      </c>
      <c r="AI219" s="9">
        <f>(((SQRT((Inputs!$C$52+((Inputs!$H$9+Inputs!$L$9*(((Inputs!$I$9+(((A219)+1)/2)*(Inputs!$J$9-Inputs!$I$9)))/Inputs!$K$9)^2)))^2+Inputs!$C$52^2-2*(Inputs!$C$52+((Inputs!$H$9+Inputs!$L$9*(((Inputs!$I$9+(((A219)+1)/2)*(Inputs!$J$9-Inputs!$I$9)))/Inputs!$K$9)^2)))*Inputs!$C$52*COS(SQRT(((Inputs!$I$9+(((A219)+1)/2)*(Inputs!$J$9-Inputs!$I$9)))^2+Inputs!$C$6^2)/Inputs!$C$52)))-((Inputs!$H$9+Inputs!$L$9*(((Inputs!$I$9+(((A219)+1)/2)*(Inputs!$J$9-Inputs!$I$9)))/Inputs!$K$9)^2)))*1000/Inputs!$C$12)</f>
        <v/>
      </c>
      <c r="AJ219" s="10" t="n"/>
      <c r="AK219" s="9">
        <f>A219</f>
        <v/>
      </c>
      <c r="AL219" s="9">
        <f>(-2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f>
        <v/>
      </c>
      <c r="AM219" s="9">
        <f>(-2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f>
        <v/>
      </c>
      <c r="AN219" s="9">
        <f>(-2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f>
        <v/>
      </c>
      <c r="AO219" s="9">
        <f>(-2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f>
        <v/>
      </c>
      <c r="AP219" s="10" t="n"/>
      <c r="AQ219" s="9">
        <f>A219</f>
        <v/>
      </c>
      <c r="AR219" s="9">
        <f>0</f>
        <v/>
      </c>
      <c r="AS219" s="9">
        <f>IF(OR(Inputs!$F$6=TRUE,Inputs!$F$6="TRUE",Inputs!$F$6=1),IF(OR(Inputs!$C$27=TRUE,Inputs!$C$27="TRUE",Inputs!$C$27=1),1,0)*(Inputs!$C$51*(115*EXP(-(((Inputs!$C$6)-25)^2)/(4.5^2))+70*EXP(-(((Inputs!$C$6)+38)^2)/(7^2))*(0.55+0.45*SIN(2*PI()*((Inputs!$I$6+(((A219)+1)/2)*(Inputs!$J$6-Inputs!$I$6)))/45))+24*SIN(2*PI()*(Inputs!$C$6)/9+((Inputs!$I$6+(((A219)+1)/2)*(Inputs!$J$6-Inputs!$I$6)))/18)*EXP(-(((Inputs!$C$6)+5)^2)/(22^2))+18*SIN(2*PI()*((Inputs!$I$6+(((A219)+1)/2)*(Inputs!$J$6-Inputs!$I$6)))/70))+Inputs!$C$28*EXP(-((((Inputs!$I$6+(((A219)+1)/2)*(Inputs!$J$6-Inputs!$I$6)))-Inputs!$C$29)^2)/(2*Inputs!$C$31^2))*EXP(-(((Inputs!$C$6)-Inputs!$C$30)^2)/(2*Inputs!$C$32^2))+-Inputs!$C$33*EXP(-((((((Inputs!$I$6+(((A219)+1)/2)*(Inputs!$J$6-Inputs!$I$6)))-Inputs!$C$34)^2)+(((Inputs!$C$6)-Inputs!$C$35)^2))/(2*Inputs!$C$36^2)))+Inputs!$C$37*(0.55*SIN(2*PI()*((Inputs!$I$6+(((A219)+1)/2)*(Inputs!$J$6-Inputs!$I$6)))/Inputs!$C$39)+0.35*COS(2*PI()*(Inputs!$C$6)/Inputs!$C$40)+0.2*SIN(2*PI()*(((Inputs!$I$6+(((A219)+1)/2)*(Inputs!$J$6-Inputs!$I$6)))+(Inputs!$C$6))/(0.5*(Inputs!$C$39+Inputs!$C$40))))+Inputs!$C$38*SIN(2*PI()*((Inputs!$I$6+(((A219)+1)/2)*(Inputs!$J$6-Inputs!$I$6)))/Inputs!$C$39)*SIN(2*PI()*(Inputs!$C$6)/Inputs!$C$40)+-Inputs!$C$41*EXP(-(((Inputs!$C$6)-Inputs!$C$43)^2)/(2*Inputs!$C$44^2))*EXP(-((((Inputs!$I$6+(((A219)+1)/2)*(Inputs!$J$6-Inputs!$I$6)))-Inputs!$C$42)^2)/(2*Inputs!$C$45^2))+Inputs!$C$48*(0.7*(0.45*SIN(2*PI()*((((Inputs!$I$6+(((A219)+1)/2)*(Inputs!$J$6-Inputs!$I$6)))/Inputs!$C$49)+Inputs!$C$47*0.137))+0.35*COS(2*PI()*(((Inputs!$C$6)/Inputs!$C$50)+Inputs!$C$47*0.173))+0.2*SIN(2*PI()*((((Inputs!$I$6+(((A219)+1)/2)*(Inputs!$J$6-Inputs!$I$6)))+(Inputs!$C$6))/(0.5*(Inputs!$C$49+Inputs!$C$50))+Inputs!$C$47*0.097)))+0.3*(2*((SIN((((Inputs!$I$6+(((A219)+1)/2)*(Inputs!$J$6-Inputs!$I$6)))*12.9898+(Inputs!$C$6)*78.233+Inputs!$C$47*37.719))*43758.5453)-INT((SIN((((Inputs!$I$6+(((A219)+1)/2)*(Inputs!$J$6-Inputs!$I$6)))*12.9898+(Inputs!$C$6)*78.233+Inputs!$C$47*37.719))*43758.5453)))-1))),NA())</f>
        <v/>
      </c>
      <c r="AT219" s="9">
        <f>IF(OR(Inputs!$F$7=TRUE,Inputs!$F$7="TRUE",Inputs!$F$7=1),IF(OR(Inputs!$C$27=TRUE,Inputs!$C$27="TRUE",Inputs!$C$27=1),1,0)*(Inputs!$C$51*(115*EXP(-(((Inputs!$C$6)-25)^2)/(4.5^2))+70*EXP(-(((Inputs!$C$6)+38)^2)/(7^2))*(0.55+0.45*SIN(2*PI()*((Inputs!$I$7+(((A219)+1)/2)*(Inputs!$J$7-Inputs!$I$7)))/45))+24*SIN(2*PI()*(Inputs!$C$6)/9+((Inputs!$I$7+(((A219)+1)/2)*(Inputs!$J$7-Inputs!$I$7)))/18)*EXP(-(((Inputs!$C$6)+5)^2)/(22^2))+18*SIN(2*PI()*((Inputs!$I$7+(((A219)+1)/2)*(Inputs!$J$7-Inputs!$I$7)))/70))+Inputs!$C$28*EXP(-((((Inputs!$I$7+(((A219)+1)/2)*(Inputs!$J$7-Inputs!$I$7)))-Inputs!$C$29)^2)/(2*Inputs!$C$31^2))*EXP(-(((Inputs!$C$6)-Inputs!$C$30)^2)/(2*Inputs!$C$32^2))+-Inputs!$C$33*EXP(-((((((Inputs!$I$7+(((A219)+1)/2)*(Inputs!$J$7-Inputs!$I$7)))-Inputs!$C$34)^2)+(((Inputs!$C$6)-Inputs!$C$35)^2))/(2*Inputs!$C$36^2)))+Inputs!$C$37*(0.55*SIN(2*PI()*((Inputs!$I$7+(((A219)+1)/2)*(Inputs!$J$7-Inputs!$I$7)))/Inputs!$C$39)+0.35*COS(2*PI()*(Inputs!$C$6)/Inputs!$C$40)+0.2*SIN(2*PI()*(((Inputs!$I$7+(((A219)+1)/2)*(Inputs!$J$7-Inputs!$I$7)))+(Inputs!$C$6))/(0.5*(Inputs!$C$39+Inputs!$C$40))))+Inputs!$C$38*SIN(2*PI()*((Inputs!$I$7+(((A219)+1)/2)*(Inputs!$J$7-Inputs!$I$7)))/Inputs!$C$39)*SIN(2*PI()*(Inputs!$C$6)/Inputs!$C$40)+-Inputs!$C$41*EXP(-(((Inputs!$C$6)-Inputs!$C$43)^2)/(2*Inputs!$C$44^2))*EXP(-((((Inputs!$I$7+(((A219)+1)/2)*(Inputs!$J$7-Inputs!$I$7)))-Inputs!$C$42)^2)/(2*Inputs!$C$45^2))+Inputs!$C$48*(0.7*(0.45*SIN(2*PI()*((((Inputs!$I$7+(((A219)+1)/2)*(Inputs!$J$7-Inputs!$I$7)))/Inputs!$C$49)+Inputs!$C$47*0.137))+0.35*COS(2*PI()*(((Inputs!$C$6)/Inputs!$C$50)+Inputs!$C$47*0.173))+0.2*SIN(2*PI()*((((Inputs!$I$7+(((A219)+1)/2)*(Inputs!$J$7-Inputs!$I$7)))+(Inputs!$C$6))/(0.5*(Inputs!$C$49+Inputs!$C$50))+Inputs!$C$47*0.097)))+0.3*(2*((SIN((((Inputs!$I$7+(((A219)+1)/2)*(Inputs!$J$7-Inputs!$I$7)))*12.9898+(Inputs!$C$6)*78.233+Inputs!$C$47*37.719))*43758.5453)-INT((SIN((((Inputs!$I$7+(((A219)+1)/2)*(Inputs!$J$7-Inputs!$I$7)))*12.9898+(Inputs!$C$6)*78.233+Inputs!$C$47*37.719))*43758.5453)))-1))),NA())</f>
        <v/>
      </c>
      <c r="AU219" s="9">
        <f>IF(OR(Inputs!$F$8=TRUE,Inputs!$F$8="TRUE",Inputs!$F$8=1),IF(OR(Inputs!$C$27=TRUE,Inputs!$C$27="TRUE",Inputs!$C$27=1),1,0)*(Inputs!$C$51*(115*EXP(-(((Inputs!$C$6)-25)^2)/(4.5^2))+70*EXP(-(((Inputs!$C$6)+38)^2)/(7^2))*(0.55+0.45*SIN(2*PI()*((Inputs!$I$8+(((A219)+1)/2)*(Inputs!$J$8-Inputs!$I$8)))/45))+24*SIN(2*PI()*(Inputs!$C$6)/9+((Inputs!$I$8+(((A219)+1)/2)*(Inputs!$J$8-Inputs!$I$8)))/18)*EXP(-(((Inputs!$C$6)+5)^2)/(22^2))+18*SIN(2*PI()*((Inputs!$I$8+(((A219)+1)/2)*(Inputs!$J$8-Inputs!$I$8)))/70))+Inputs!$C$28*EXP(-((((Inputs!$I$8+(((A219)+1)/2)*(Inputs!$J$8-Inputs!$I$8)))-Inputs!$C$29)^2)/(2*Inputs!$C$31^2))*EXP(-(((Inputs!$C$6)-Inputs!$C$30)^2)/(2*Inputs!$C$32^2))+-Inputs!$C$33*EXP(-((((((Inputs!$I$8+(((A219)+1)/2)*(Inputs!$J$8-Inputs!$I$8)))-Inputs!$C$34)^2)+(((Inputs!$C$6)-Inputs!$C$35)^2))/(2*Inputs!$C$36^2)))+Inputs!$C$37*(0.55*SIN(2*PI()*((Inputs!$I$8+(((A219)+1)/2)*(Inputs!$J$8-Inputs!$I$8)))/Inputs!$C$39)+0.35*COS(2*PI()*(Inputs!$C$6)/Inputs!$C$40)+0.2*SIN(2*PI()*(((Inputs!$I$8+(((A219)+1)/2)*(Inputs!$J$8-Inputs!$I$8)))+(Inputs!$C$6))/(0.5*(Inputs!$C$39+Inputs!$C$40))))+Inputs!$C$38*SIN(2*PI()*((Inputs!$I$8+(((A219)+1)/2)*(Inputs!$J$8-Inputs!$I$8)))/Inputs!$C$39)*SIN(2*PI()*(Inputs!$C$6)/Inputs!$C$40)+-Inputs!$C$41*EXP(-(((Inputs!$C$6)-Inputs!$C$43)^2)/(2*Inputs!$C$44^2))*EXP(-((((Inputs!$I$8+(((A219)+1)/2)*(Inputs!$J$8-Inputs!$I$8)))-Inputs!$C$42)^2)/(2*Inputs!$C$45^2))+Inputs!$C$48*(0.7*(0.45*SIN(2*PI()*((((Inputs!$I$8+(((A219)+1)/2)*(Inputs!$J$8-Inputs!$I$8)))/Inputs!$C$49)+Inputs!$C$47*0.137))+0.35*COS(2*PI()*(((Inputs!$C$6)/Inputs!$C$50)+Inputs!$C$47*0.173))+0.2*SIN(2*PI()*((((Inputs!$I$8+(((A219)+1)/2)*(Inputs!$J$8-Inputs!$I$8)))+(Inputs!$C$6))/(0.5*(Inputs!$C$49+Inputs!$C$50))+Inputs!$C$47*0.097)))+0.3*(2*((SIN((((Inputs!$I$8+(((A219)+1)/2)*(Inputs!$J$8-Inputs!$I$8)))*12.9898+(Inputs!$C$6)*78.233+Inputs!$C$47*37.719))*43758.5453)-INT((SIN((((Inputs!$I$8+(((A219)+1)/2)*(Inputs!$J$8-Inputs!$I$8)))*12.9898+(Inputs!$C$6)*78.233+Inputs!$C$47*37.719))*43758.5453)))-1))),NA())</f>
        <v/>
      </c>
      <c r="AV219" s="9">
        <f>IF(OR(Inputs!$F$9=TRUE,Inputs!$F$9="TRUE",Inputs!$F$9=1),IF(OR(Inputs!$C$27=TRUE,Inputs!$C$27="TRUE",Inputs!$C$27=1),1,0)*(Inputs!$C$51*(115*EXP(-(((Inputs!$C$6)-25)^2)/(4.5^2))+70*EXP(-(((Inputs!$C$6)+38)^2)/(7^2))*(0.55+0.45*SIN(2*PI()*((Inputs!$I$9+(((A219)+1)/2)*(Inputs!$J$9-Inputs!$I$9)))/45))+24*SIN(2*PI()*(Inputs!$C$6)/9+((Inputs!$I$9+(((A219)+1)/2)*(Inputs!$J$9-Inputs!$I$9)))/18)*EXP(-(((Inputs!$C$6)+5)^2)/(22^2))+18*SIN(2*PI()*((Inputs!$I$9+(((A219)+1)/2)*(Inputs!$J$9-Inputs!$I$9)))/70))+Inputs!$C$28*EXP(-((((Inputs!$I$9+(((A219)+1)/2)*(Inputs!$J$9-Inputs!$I$9)))-Inputs!$C$29)^2)/(2*Inputs!$C$31^2))*EXP(-(((Inputs!$C$6)-Inputs!$C$30)^2)/(2*Inputs!$C$32^2))+-Inputs!$C$33*EXP(-((((((Inputs!$I$9+(((A219)+1)/2)*(Inputs!$J$9-Inputs!$I$9)))-Inputs!$C$34)^2)+(((Inputs!$C$6)-Inputs!$C$35)^2))/(2*Inputs!$C$36^2)))+Inputs!$C$37*(0.55*SIN(2*PI()*((Inputs!$I$9+(((A219)+1)/2)*(Inputs!$J$9-Inputs!$I$9)))/Inputs!$C$39)+0.35*COS(2*PI()*(Inputs!$C$6)/Inputs!$C$40)+0.2*SIN(2*PI()*(((Inputs!$I$9+(((A219)+1)/2)*(Inputs!$J$9-Inputs!$I$9)))+(Inputs!$C$6))/(0.5*(Inputs!$C$39+Inputs!$C$40))))+Inputs!$C$38*SIN(2*PI()*((Inputs!$I$9+(((A219)+1)/2)*(Inputs!$J$9-Inputs!$I$9)))/Inputs!$C$39)*SIN(2*PI()*(Inputs!$C$6)/Inputs!$C$40)+-Inputs!$C$41*EXP(-(((Inputs!$C$6)-Inputs!$C$43)^2)/(2*Inputs!$C$44^2))*EXP(-((((Inputs!$I$9+(((A219)+1)/2)*(Inputs!$J$9-Inputs!$I$9)))-Inputs!$C$42)^2)/(2*Inputs!$C$45^2))+Inputs!$C$48*(0.7*(0.45*SIN(2*PI()*((((Inputs!$I$9+(((A219)+1)/2)*(Inputs!$J$9-Inputs!$I$9)))/Inputs!$C$49)+Inputs!$C$47*0.137))+0.35*COS(2*PI()*(((Inputs!$C$6)/Inputs!$C$50)+Inputs!$C$47*0.173))+0.2*SIN(2*PI()*((((Inputs!$I$9+(((A219)+1)/2)*(Inputs!$J$9-Inputs!$I$9)))+(Inputs!$C$6))/(0.5*(Inputs!$C$49+Inputs!$C$50))+Inputs!$C$47*0.097)))+0.3*(2*((SIN((((Inputs!$I$9+(((A219)+1)/2)*(Inputs!$J$9-Inputs!$I$9)))*12.9898+(Inputs!$C$6)*78.233+Inputs!$C$47*37.719))*43758.5453)-INT((SIN((((Inputs!$I$9+(((A219)+1)/2)*(Inputs!$J$9-Inputs!$I$9)))*12.9898+(Inputs!$C$6)*78.233+Inputs!$C$47*37.719))*43758.5453)))-1))),NA())</f>
        <v/>
      </c>
      <c r="AW219" s="10" t="n"/>
      <c r="AX219" s="9">
        <f>A219</f>
        <v/>
      </c>
      <c r="AY219" s="9">
        <f>0</f>
        <v/>
      </c>
      <c r="AZ219" s="9">
        <f>IF(OR(Inputs!$F$6=TRUE,Inputs!$F$6="TRUE",Inputs!$F$6=1),(Inputs!$H$6+Inputs!$L$6*(((Inputs!$I$6+(((A219)+1)/2)*(Inputs!$J$6-Inputs!$I$6)))/Inputs!$K$6)^2),NA())</f>
        <v/>
      </c>
      <c r="BA219" s="9">
        <f>IF(OR(Inputs!$F$7=TRUE,Inputs!$F$7="TRUE",Inputs!$F$7=1),(Inputs!$H$7+Inputs!$L$7*(((Inputs!$I$7+(((A219)+1)/2)*(Inputs!$J$7-Inputs!$I$7)))/Inputs!$K$7)^2),NA())</f>
        <v/>
      </c>
      <c r="BB219" s="9">
        <f>IF(OR(Inputs!$F$8=TRUE,Inputs!$F$8="TRUE",Inputs!$F$8=1),(Inputs!$H$8+Inputs!$L$8*(((Inputs!$I$8+(((A219)+1)/2)*(Inputs!$J$8-Inputs!$I$8)))/Inputs!$K$8)^2),NA())</f>
        <v/>
      </c>
      <c r="BC219" s="9">
        <f>IF(OR(Inputs!$F$9=TRUE,Inputs!$F$9="TRUE",Inputs!$F$9=1),(Inputs!$H$9+Inputs!$L$9*(((Inputs!$I$9+(((A219)+1)/2)*(Inputs!$J$9-Inputs!$I$9)))/Inputs!$K$9)^2),NA())</f>
        <v/>
      </c>
      <c r="BD219" s="10" t="n"/>
      <c r="BE219" s="9">
        <f>A219</f>
        <v/>
      </c>
      <c r="BF219" s="9">
        <f>0</f>
        <v/>
      </c>
      <c r="BG219" s="9">
        <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f>
        <v/>
      </c>
      <c r="BH219" s="9">
        <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f>
        <v/>
      </c>
      <c r="BI219" s="9">
        <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f>
        <v/>
      </c>
      <c r="BJ219" s="9">
        <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f>
        <v/>
      </c>
    </row>
    <row r="220">
      <c r="A220" s="9">
        <f>ROUND(-1+218*2/240,3)</f>
        <v/>
      </c>
      <c r="B220" s="9">
        <f>IF(OR(Inputs!$F$6=TRUE,Inputs!$F$6="TRUE",Inputs!$F$6=1),(Inputs!$H$6+Inputs!$L$6*(((Inputs!$I$6+(((A220)+1)/2)*(Inputs!$J$6-Inputs!$I$6)))/Inputs!$K$6)^2),NA())</f>
        <v/>
      </c>
      <c r="C220" s="9">
        <f>IF(OR(Inputs!$F$7=TRUE,Inputs!$F$7="TRUE",Inputs!$F$7=1),(Inputs!$H$7+Inputs!$L$7*(((Inputs!$I$7+(((A220)+1)/2)*(Inputs!$J$7-Inputs!$I$7)))/Inputs!$K$7)^2),NA())</f>
        <v/>
      </c>
      <c r="D220" s="9">
        <f>IF(OR(Inputs!$F$8=TRUE,Inputs!$F$8="TRUE",Inputs!$F$8=1),(Inputs!$H$8+Inputs!$L$8*(((Inputs!$I$8+(((A220)+1)/2)*(Inputs!$J$8-Inputs!$I$8)))/Inputs!$K$8)^2),NA())</f>
        <v/>
      </c>
      <c r="E220" s="9">
        <f>IF(OR(Inputs!$F$9=TRUE,Inputs!$F$9="TRUE",Inputs!$F$9=1),(Inputs!$H$9+Inputs!$L$9*(((Inputs!$I$9+(((A220)+1)/2)*(Inputs!$J$9-Inputs!$I$9)))/Inputs!$K$9)^2),NA())</f>
        <v/>
      </c>
      <c r="F220" s="10" t="n"/>
      <c r="G220" s="9">
        <f>A220</f>
        <v/>
      </c>
      <c r="H220" s="9">
        <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f>
        <v/>
      </c>
      <c r="I220" s="9">
        <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f>
        <v/>
      </c>
      <c r="J220" s="9">
        <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f>
        <v/>
      </c>
      <c r="K220" s="9">
        <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f>
        <v/>
      </c>
      <c r="L220" s="10" t="n"/>
      <c r="M220" s="9">
        <f>A220</f>
        <v/>
      </c>
      <c r="N220" s="9">
        <f>IF(OR(Inputs!$F$6=TRUE,Inputs!$F$6="TRUE",Inputs!$F$6=1),(-2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NA())</f>
        <v/>
      </c>
      <c r="O220" s="9">
        <f>IF(OR(Inputs!$F$7=TRUE,Inputs!$F$7="TRUE",Inputs!$F$7=1),(-2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NA())</f>
        <v/>
      </c>
      <c r="P220" s="9">
        <f>IF(OR(Inputs!$F$8=TRUE,Inputs!$F$8="TRUE",Inputs!$F$8=1),(-2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NA())</f>
        <v/>
      </c>
      <c r="Q220" s="9">
        <f>IF(OR(Inputs!$F$9=TRUE,Inputs!$F$9="TRUE",Inputs!$F$9=1),(-2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NA())</f>
        <v/>
      </c>
      <c r="R220" s="10" t="n"/>
      <c r="S220" s="9">
        <f>A220</f>
        <v/>
      </c>
      <c r="T220" s="9">
        <f>(Inputs!$I$6+(((A220)+1)/2)*(Inputs!$J$6-Inputs!$I$6))</f>
        <v/>
      </c>
      <c r="U220" s="9">
        <f>(Inputs!$I$7+(((A220)+1)/2)*(Inputs!$J$7-Inputs!$I$7))</f>
        <v/>
      </c>
      <c r="V220" s="9">
        <f>(Inputs!$I$8+(((A220)+1)/2)*(Inputs!$J$8-Inputs!$I$8))</f>
        <v/>
      </c>
      <c r="W220" s="9">
        <f>(Inputs!$I$9+(((A220)+1)/2)*(Inputs!$J$9-Inputs!$I$9))</f>
        <v/>
      </c>
      <c r="X220" s="10" t="n"/>
      <c r="Y220" s="9">
        <f>A220</f>
        <v/>
      </c>
      <c r="Z220" s="9">
        <f>(Inputs!$H$6+Inputs!$L$6*(((Inputs!$I$6+(((A220)+1)/2)*(Inputs!$J$6-Inputs!$I$6)))/Inputs!$K$6)^2)</f>
        <v/>
      </c>
      <c r="AA220" s="9">
        <f>(Inputs!$H$7+Inputs!$L$7*(((Inputs!$I$7+(((A220)+1)/2)*(Inputs!$J$7-Inputs!$I$7)))/Inputs!$K$7)^2)</f>
        <v/>
      </c>
      <c r="AB220" s="9">
        <f>(Inputs!$H$8+Inputs!$L$8*(((Inputs!$I$8+(((A220)+1)/2)*(Inputs!$J$8-Inputs!$I$8)))/Inputs!$K$8)^2)</f>
        <v/>
      </c>
      <c r="AC220" s="9">
        <f>(Inputs!$H$9+Inputs!$L$9*(((Inputs!$I$9+(((A220)+1)/2)*(Inputs!$J$9-Inputs!$I$9)))/Inputs!$K$9)^2)</f>
        <v/>
      </c>
      <c r="AD220" s="10" t="n"/>
      <c r="AE220" s="9">
        <f>A220</f>
        <v/>
      </c>
      <c r="AF220" s="9">
        <f>(((SQRT((Inputs!$C$52+((Inputs!$H$6+Inputs!$L$6*(((Inputs!$I$6+(((A220)+1)/2)*(Inputs!$J$6-Inputs!$I$6)))/Inputs!$K$6)^2)))^2+Inputs!$C$52^2-2*(Inputs!$C$52+((Inputs!$H$6+Inputs!$L$6*(((Inputs!$I$6+(((A220)+1)/2)*(Inputs!$J$6-Inputs!$I$6)))/Inputs!$K$6)^2)))*Inputs!$C$52*COS(SQRT(((Inputs!$I$6+(((A220)+1)/2)*(Inputs!$J$6-Inputs!$I$6)))^2+Inputs!$C$6^2)/Inputs!$C$52)))-((Inputs!$H$6+Inputs!$L$6*(((Inputs!$I$6+(((A220)+1)/2)*(Inputs!$J$6-Inputs!$I$6)))/Inputs!$K$6)^2)))*1000/Inputs!$C$12)</f>
        <v/>
      </c>
      <c r="AG220" s="9">
        <f>(((SQRT((Inputs!$C$52+((Inputs!$H$7+Inputs!$L$7*(((Inputs!$I$7+(((A220)+1)/2)*(Inputs!$J$7-Inputs!$I$7)))/Inputs!$K$7)^2)))^2+Inputs!$C$52^2-2*(Inputs!$C$52+((Inputs!$H$7+Inputs!$L$7*(((Inputs!$I$7+(((A220)+1)/2)*(Inputs!$J$7-Inputs!$I$7)))/Inputs!$K$7)^2)))*Inputs!$C$52*COS(SQRT(((Inputs!$I$7+(((A220)+1)/2)*(Inputs!$J$7-Inputs!$I$7)))^2+Inputs!$C$6^2)/Inputs!$C$52)))-((Inputs!$H$7+Inputs!$L$7*(((Inputs!$I$7+(((A220)+1)/2)*(Inputs!$J$7-Inputs!$I$7)))/Inputs!$K$7)^2)))*1000/Inputs!$C$12)</f>
        <v/>
      </c>
      <c r="AH220" s="9">
        <f>(((SQRT((Inputs!$C$52+((Inputs!$H$8+Inputs!$L$8*(((Inputs!$I$8+(((A220)+1)/2)*(Inputs!$J$8-Inputs!$I$8)))/Inputs!$K$8)^2)))^2+Inputs!$C$52^2-2*(Inputs!$C$52+((Inputs!$H$8+Inputs!$L$8*(((Inputs!$I$8+(((A220)+1)/2)*(Inputs!$J$8-Inputs!$I$8)))/Inputs!$K$8)^2)))*Inputs!$C$52*COS(SQRT(((Inputs!$I$8+(((A220)+1)/2)*(Inputs!$J$8-Inputs!$I$8)))^2+Inputs!$C$6^2)/Inputs!$C$52)))-((Inputs!$H$8+Inputs!$L$8*(((Inputs!$I$8+(((A220)+1)/2)*(Inputs!$J$8-Inputs!$I$8)))/Inputs!$K$8)^2)))*1000/Inputs!$C$12)</f>
        <v/>
      </c>
      <c r="AI220" s="9">
        <f>(((SQRT((Inputs!$C$52+((Inputs!$H$9+Inputs!$L$9*(((Inputs!$I$9+(((A220)+1)/2)*(Inputs!$J$9-Inputs!$I$9)))/Inputs!$K$9)^2)))^2+Inputs!$C$52^2-2*(Inputs!$C$52+((Inputs!$H$9+Inputs!$L$9*(((Inputs!$I$9+(((A220)+1)/2)*(Inputs!$J$9-Inputs!$I$9)))/Inputs!$K$9)^2)))*Inputs!$C$52*COS(SQRT(((Inputs!$I$9+(((A220)+1)/2)*(Inputs!$J$9-Inputs!$I$9)))^2+Inputs!$C$6^2)/Inputs!$C$52)))-((Inputs!$H$9+Inputs!$L$9*(((Inputs!$I$9+(((A220)+1)/2)*(Inputs!$J$9-Inputs!$I$9)))/Inputs!$K$9)^2)))*1000/Inputs!$C$12)</f>
        <v/>
      </c>
      <c r="AJ220" s="10" t="n"/>
      <c r="AK220" s="9">
        <f>A220</f>
        <v/>
      </c>
      <c r="AL220" s="9">
        <f>(-2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f>
        <v/>
      </c>
      <c r="AM220" s="9">
        <f>(-2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f>
        <v/>
      </c>
      <c r="AN220" s="9">
        <f>(-2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f>
        <v/>
      </c>
      <c r="AO220" s="9">
        <f>(-2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f>
        <v/>
      </c>
      <c r="AP220" s="10" t="n"/>
      <c r="AQ220" s="9">
        <f>A220</f>
        <v/>
      </c>
      <c r="AR220" s="9">
        <f>0</f>
        <v/>
      </c>
      <c r="AS220" s="9">
        <f>IF(OR(Inputs!$F$6=TRUE,Inputs!$F$6="TRUE",Inputs!$F$6=1),IF(OR(Inputs!$C$27=TRUE,Inputs!$C$27="TRUE",Inputs!$C$27=1),1,0)*(Inputs!$C$51*(115*EXP(-(((Inputs!$C$6)-25)^2)/(4.5^2))+70*EXP(-(((Inputs!$C$6)+38)^2)/(7^2))*(0.55+0.45*SIN(2*PI()*((Inputs!$I$6+(((A220)+1)/2)*(Inputs!$J$6-Inputs!$I$6)))/45))+24*SIN(2*PI()*(Inputs!$C$6)/9+((Inputs!$I$6+(((A220)+1)/2)*(Inputs!$J$6-Inputs!$I$6)))/18)*EXP(-(((Inputs!$C$6)+5)^2)/(22^2))+18*SIN(2*PI()*((Inputs!$I$6+(((A220)+1)/2)*(Inputs!$J$6-Inputs!$I$6)))/70))+Inputs!$C$28*EXP(-((((Inputs!$I$6+(((A220)+1)/2)*(Inputs!$J$6-Inputs!$I$6)))-Inputs!$C$29)^2)/(2*Inputs!$C$31^2))*EXP(-(((Inputs!$C$6)-Inputs!$C$30)^2)/(2*Inputs!$C$32^2))+-Inputs!$C$33*EXP(-((((((Inputs!$I$6+(((A220)+1)/2)*(Inputs!$J$6-Inputs!$I$6)))-Inputs!$C$34)^2)+(((Inputs!$C$6)-Inputs!$C$35)^2))/(2*Inputs!$C$36^2)))+Inputs!$C$37*(0.55*SIN(2*PI()*((Inputs!$I$6+(((A220)+1)/2)*(Inputs!$J$6-Inputs!$I$6)))/Inputs!$C$39)+0.35*COS(2*PI()*(Inputs!$C$6)/Inputs!$C$40)+0.2*SIN(2*PI()*(((Inputs!$I$6+(((A220)+1)/2)*(Inputs!$J$6-Inputs!$I$6)))+(Inputs!$C$6))/(0.5*(Inputs!$C$39+Inputs!$C$40))))+Inputs!$C$38*SIN(2*PI()*((Inputs!$I$6+(((A220)+1)/2)*(Inputs!$J$6-Inputs!$I$6)))/Inputs!$C$39)*SIN(2*PI()*(Inputs!$C$6)/Inputs!$C$40)+-Inputs!$C$41*EXP(-(((Inputs!$C$6)-Inputs!$C$43)^2)/(2*Inputs!$C$44^2))*EXP(-((((Inputs!$I$6+(((A220)+1)/2)*(Inputs!$J$6-Inputs!$I$6)))-Inputs!$C$42)^2)/(2*Inputs!$C$45^2))+Inputs!$C$48*(0.7*(0.45*SIN(2*PI()*((((Inputs!$I$6+(((A220)+1)/2)*(Inputs!$J$6-Inputs!$I$6)))/Inputs!$C$49)+Inputs!$C$47*0.137))+0.35*COS(2*PI()*(((Inputs!$C$6)/Inputs!$C$50)+Inputs!$C$47*0.173))+0.2*SIN(2*PI()*((((Inputs!$I$6+(((A220)+1)/2)*(Inputs!$J$6-Inputs!$I$6)))+(Inputs!$C$6))/(0.5*(Inputs!$C$49+Inputs!$C$50))+Inputs!$C$47*0.097)))+0.3*(2*((SIN((((Inputs!$I$6+(((A220)+1)/2)*(Inputs!$J$6-Inputs!$I$6)))*12.9898+(Inputs!$C$6)*78.233+Inputs!$C$47*37.719))*43758.5453)-INT((SIN((((Inputs!$I$6+(((A220)+1)/2)*(Inputs!$J$6-Inputs!$I$6)))*12.9898+(Inputs!$C$6)*78.233+Inputs!$C$47*37.719))*43758.5453)))-1))),NA())</f>
        <v/>
      </c>
      <c r="AT220" s="9">
        <f>IF(OR(Inputs!$F$7=TRUE,Inputs!$F$7="TRUE",Inputs!$F$7=1),IF(OR(Inputs!$C$27=TRUE,Inputs!$C$27="TRUE",Inputs!$C$27=1),1,0)*(Inputs!$C$51*(115*EXP(-(((Inputs!$C$6)-25)^2)/(4.5^2))+70*EXP(-(((Inputs!$C$6)+38)^2)/(7^2))*(0.55+0.45*SIN(2*PI()*((Inputs!$I$7+(((A220)+1)/2)*(Inputs!$J$7-Inputs!$I$7)))/45))+24*SIN(2*PI()*(Inputs!$C$6)/9+((Inputs!$I$7+(((A220)+1)/2)*(Inputs!$J$7-Inputs!$I$7)))/18)*EXP(-(((Inputs!$C$6)+5)^2)/(22^2))+18*SIN(2*PI()*((Inputs!$I$7+(((A220)+1)/2)*(Inputs!$J$7-Inputs!$I$7)))/70))+Inputs!$C$28*EXP(-((((Inputs!$I$7+(((A220)+1)/2)*(Inputs!$J$7-Inputs!$I$7)))-Inputs!$C$29)^2)/(2*Inputs!$C$31^2))*EXP(-(((Inputs!$C$6)-Inputs!$C$30)^2)/(2*Inputs!$C$32^2))+-Inputs!$C$33*EXP(-((((((Inputs!$I$7+(((A220)+1)/2)*(Inputs!$J$7-Inputs!$I$7)))-Inputs!$C$34)^2)+(((Inputs!$C$6)-Inputs!$C$35)^2))/(2*Inputs!$C$36^2)))+Inputs!$C$37*(0.55*SIN(2*PI()*((Inputs!$I$7+(((A220)+1)/2)*(Inputs!$J$7-Inputs!$I$7)))/Inputs!$C$39)+0.35*COS(2*PI()*(Inputs!$C$6)/Inputs!$C$40)+0.2*SIN(2*PI()*(((Inputs!$I$7+(((A220)+1)/2)*(Inputs!$J$7-Inputs!$I$7)))+(Inputs!$C$6))/(0.5*(Inputs!$C$39+Inputs!$C$40))))+Inputs!$C$38*SIN(2*PI()*((Inputs!$I$7+(((A220)+1)/2)*(Inputs!$J$7-Inputs!$I$7)))/Inputs!$C$39)*SIN(2*PI()*(Inputs!$C$6)/Inputs!$C$40)+-Inputs!$C$41*EXP(-(((Inputs!$C$6)-Inputs!$C$43)^2)/(2*Inputs!$C$44^2))*EXP(-((((Inputs!$I$7+(((A220)+1)/2)*(Inputs!$J$7-Inputs!$I$7)))-Inputs!$C$42)^2)/(2*Inputs!$C$45^2))+Inputs!$C$48*(0.7*(0.45*SIN(2*PI()*((((Inputs!$I$7+(((A220)+1)/2)*(Inputs!$J$7-Inputs!$I$7)))/Inputs!$C$49)+Inputs!$C$47*0.137))+0.35*COS(2*PI()*(((Inputs!$C$6)/Inputs!$C$50)+Inputs!$C$47*0.173))+0.2*SIN(2*PI()*((((Inputs!$I$7+(((A220)+1)/2)*(Inputs!$J$7-Inputs!$I$7)))+(Inputs!$C$6))/(0.5*(Inputs!$C$49+Inputs!$C$50))+Inputs!$C$47*0.097)))+0.3*(2*((SIN((((Inputs!$I$7+(((A220)+1)/2)*(Inputs!$J$7-Inputs!$I$7)))*12.9898+(Inputs!$C$6)*78.233+Inputs!$C$47*37.719))*43758.5453)-INT((SIN((((Inputs!$I$7+(((A220)+1)/2)*(Inputs!$J$7-Inputs!$I$7)))*12.9898+(Inputs!$C$6)*78.233+Inputs!$C$47*37.719))*43758.5453)))-1))),NA())</f>
        <v/>
      </c>
      <c r="AU220" s="9">
        <f>IF(OR(Inputs!$F$8=TRUE,Inputs!$F$8="TRUE",Inputs!$F$8=1),IF(OR(Inputs!$C$27=TRUE,Inputs!$C$27="TRUE",Inputs!$C$27=1),1,0)*(Inputs!$C$51*(115*EXP(-(((Inputs!$C$6)-25)^2)/(4.5^2))+70*EXP(-(((Inputs!$C$6)+38)^2)/(7^2))*(0.55+0.45*SIN(2*PI()*((Inputs!$I$8+(((A220)+1)/2)*(Inputs!$J$8-Inputs!$I$8)))/45))+24*SIN(2*PI()*(Inputs!$C$6)/9+((Inputs!$I$8+(((A220)+1)/2)*(Inputs!$J$8-Inputs!$I$8)))/18)*EXP(-(((Inputs!$C$6)+5)^2)/(22^2))+18*SIN(2*PI()*((Inputs!$I$8+(((A220)+1)/2)*(Inputs!$J$8-Inputs!$I$8)))/70))+Inputs!$C$28*EXP(-((((Inputs!$I$8+(((A220)+1)/2)*(Inputs!$J$8-Inputs!$I$8)))-Inputs!$C$29)^2)/(2*Inputs!$C$31^2))*EXP(-(((Inputs!$C$6)-Inputs!$C$30)^2)/(2*Inputs!$C$32^2))+-Inputs!$C$33*EXP(-((((((Inputs!$I$8+(((A220)+1)/2)*(Inputs!$J$8-Inputs!$I$8)))-Inputs!$C$34)^2)+(((Inputs!$C$6)-Inputs!$C$35)^2))/(2*Inputs!$C$36^2)))+Inputs!$C$37*(0.55*SIN(2*PI()*((Inputs!$I$8+(((A220)+1)/2)*(Inputs!$J$8-Inputs!$I$8)))/Inputs!$C$39)+0.35*COS(2*PI()*(Inputs!$C$6)/Inputs!$C$40)+0.2*SIN(2*PI()*(((Inputs!$I$8+(((A220)+1)/2)*(Inputs!$J$8-Inputs!$I$8)))+(Inputs!$C$6))/(0.5*(Inputs!$C$39+Inputs!$C$40))))+Inputs!$C$38*SIN(2*PI()*((Inputs!$I$8+(((A220)+1)/2)*(Inputs!$J$8-Inputs!$I$8)))/Inputs!$C$39)*SIN(2*PI()*(Inputs!$C$6)/Inputs!$C$40)+-Inputs!$C$41*EXP(-(((Inputs!$C$6)-Inputs!$C$43)^2)/(2*Inputs!$C$44^2))*EXP(-((((Inputs!$I$8+(((A220)+1)/2)*(Inputs!$J$8-Inputs!$I$8)))-Inputs!$C$42)^2)/(2*Inputs!$C$45^2))+Inputs!$C$48*(0.7*(0.45*SIN(2*PI()*((((Inputs!$I$8+(((A220)+1)/2)*(Inputs!$J$8-Inputs!$I$8)))/Inputs!$C$49)+Inputs!$C$47*0.137))+0.35*COS(2*PI()*(((Inputs!$C$6)/Inputs!$C$50)+Inputs!$C$47*0.173))+0.2*SIN(2*PI()*((((Inputs!$I$8+(((A220)+1)/2)*(Inputs!$J$8-Inputs!$I$8)))+(Inputs!$C$6))/(0.5*(Inputs!$C$49+Inputs!$C$50))+Inputs!$C$47*0.097)))+0.3*(2*((SIN((((Inputs!$I$8+(((A220)+1)/2)*(Inputs!$J$8-Inputs!$I$8)))*12.9898+(Inputs!$C$6)*78.233+Inputs!$C$47*37.719))*43758.5453)-INT((SIN((((Inputs!$I$8+(((A220)+1)/2)*(Inputs!$J$8-Inputs!$I$8)))*12.9898+(Inputs!$C$6)*78.233+Inputs!$C$47*37.719))*43758.5453)))-1))),NA())</f>
        <v/>
      </c>
      <c r="AV220" s="9">
        <f>IF(OR(Inputs!$F$9=TRUE,Inputs!$F$9="TRUE",Inputs!$F$9=1),IF(OR(Inputs!$C$27=TRUE,Inputs!$C$27="TRUE",Inputs!$C$27=1),1,0)*(Inputs!$C$51*(115*EXP(-(((Inputs!$C$6)-25)^2)/(4.5^2))+70*EXP(-(((Inputs!$C$6)+38)^2)/(7^2))*(0.55+0.45*SIN(2*PI()*((Inputs!$I$9+(((A220)+1)/2)*(Inputs!$J$9-Inputs!$I$9)))/45))+24*SIN(2*PI()*(Inputs!$C$6)/9+((Inputs!$I$9+(((A220)+1)/2)*(Inputs!$J$9-Inputs!$I$9)))/18)*EXP(-(((Inputs!$C$6)+5)^2)/(22^2))+18*SIN(2*PI()*((Inputs!$I$9+(((A220)+1)/2)*(Inputs!$J$9-Inputs!$I$9)))/70))+Inputs!$C$28*EXP(-((((Inputs!$I$9+(((A220)+1)/2)*(Inputs!$J$9-Inputs!$I$9)))-Inputs!$C$29)^2)/(2*Inputs!$C$31^2))*EXP(-(((Inputs!$C$6)-Inputs!$C$30)^2)/(2*Inputs!$C$32^2))+-Inputs!$C$33*EXP(-((((((Inputs!$I$9+(((A220)+1)/2)*(Inputs!$J$9-Inputs!$I$9)))-Inputs!$C$34)^2)+(((Inputs!$C$6)-Inputs!$C$35)^2))/(2*Inputs!$C$36^2)))+Inputs!$C$37*(0.55*SIN(2*PI()*((Inputs!$I$9+(((A220)+1)/2)*(Inputs!$J$9-Inputs!$I$9)))/Inputs!$C$39)+0.35*COS(2*PI()*(Inputs!$C$6)/Inputs!$C$40)+0.2*SIN(2*PI()*(((Inputs!$I$9+(((A220)+1)/2)*(Inputs!$J$9-Inputs!$I$9)))+(Inputs!$C$6))/(0.5*(Inputs!$C$39+Inputs!$C$40))))+Inputs!$C$38*SIN(2*PI()*((Inputs!$I$9+(((A220)+1)/2)*(Inputs!$J$9-Inputs!$I$9)))/Inputs!$C$39)*SIN(2*PI()*(Inputs!$C$6)/Inputs!$C$40)+-Inputs!$C$41*EXP(-(((Inputs!$C$6)-Inputs!$C$43)^2)/(2*Inputs!$C$44^2))*EXP(-((((Inputs!$I$9+(((A220)+1)/2)*(Inputs!$J$9-Inputs!$I$9)))-Inputs!$C$42)^2)/(2*Inputs!$C$45^2))+Inputs!$C$48*(0.7*(0.45*SIN(2*PI()*((((Inputs!$I$9+(((A220)+1)/2)*(Inputs!$J$9-Inputs!$I$9)))/Inputs!$C$49)+Inputs!$C$47*0.137))+0.35*COS(2*PI()*(((Inputs!$C$6)/Inputs!$C$50)+Inputs!$C$47*0.173))+0.2*SIN(2*PI()*((((Inputs!$I$9+(((A220)+1)/2)*(Inputs!$J$9-Inputs!$I$9)))+(Inputs!$C$6))/(0.5*(Inputs!$C$49+Inputs!$C$50))+Inputs!$C$47*0.097)))+0.3*(2*((SIN((((Inputs!$I$9+(((A220)+1)/2)*(Inputs!$J$9-Inputs!$I$9)))*12.9898+(Inputs!$C$6)*78.233+Inputs!$C$47*37.719))*43758.5453)-INT((SIN((((Inputs!$I$9+(((A220)+1)/2)*(Inputs!$J$9-Inputs!$I$9)))*12.9898+(Inputs!$C$6)*78.233+Inputs!$C$47*37.719))*43758.5453)))-1))),NA())</f>
        <v/>
      </c>
      <c r="AW220" s="10" t="n"/>
      <c r="AX220" s="9">
        <f>A220</f>
        <v/>
      </c>
      <c r="AY220" s="9">
        <f>0</f>
        <v/>
      </c>
      <c r="AZ220" s="9">
        <f>IF(OR(Inputs!$F$6=TRUE,Inputs!$F$6="TRUE",Inputs!$F$6=1),(Inputs!$H$6+Inputs!$L$6*(((Inputs!$I$6+(((A220)+1)/2)*(Inputs!$J$6-Inputs!$I$6)))/Inputs!$K$6)^2),NA())</f>
        <v/>
      </c>
      <c r="BA220" s="9">
        <f>IF(OR(Inputs!$F$7=TRUE,Inputs!$F$7="TRUE",Inputs!$F$7=1),(Inputs!$H$7+Inputs!$L$7*(((Inputs!$I$7+(((A220)+1)/2)*(Inputs!$J$7-Inputs!$I$7)))/Inputs!$K$7)^2),NA())</f>
        <v/>
      </c>
      <c r="BB220" s="9">
        <f>IF(OR(Inputs!$F$8=TRUE,Inputs!$F$8="TRUE",Inputs!$F$8=1),(Inputs!$H$8+Inputs!$L$8*(((Inputs!$I$8+(((A220)+1)/2)*(Inputs!$J$8-Inputs!$I$8)))/Inputs!$K$8)^2),NA())</f>
        <v/>
      </c>
      <c r="BC220" s="9">
        <f>IF(OR(Inputs!$F$9=TRUE,Inputs!$F$9="TRUE",Inputs!$F$9=1),(Inputs!$H$9+Inputs!$L$9*(((Inputs!$I$9+(((A220)+1)/2)*(Inputs!$J$9-Inputs!$I$9)))/Inputs!$K$9)^2),NA())</f>
        <v/>
      </c>
      <c r="BD220" s="10" t="n"/>
      <c r="BE220" s="9">
        <f>A220</f>
        <v/>
      </c>
      <c r="BF220" s="9">
        <f>0</f>
        <v/>
      </c>
      <c r="BG220" s="9">
        <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f>
        <v/>
      </c>
      <c r="BH220" s="9">
        <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f>
        <v/>
      </c>
      <c r="BI220" s="9">
        <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f>
        <v/>
      </c>
      <c r="BJ220" s="9">
        <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f>
        <v/>
      </c>
    </row>
    <row r="221">
      <c r="A221" s="9">
        <f>ROUND(-1+219*2/240,3)</f>
        <v/>
      </c>
      <c r="B221" s="9">
        <f>IF(OR(Inputs!$F$6=TRUE,Inputs!$F$6="TRUE",Inputs!$F$6=1),(Inputs!$H$6+Inputs!$L$6*(((Inputs!$I$6+(((A221)+1)/2)*(Inputs!$J$6-Inputs!$I$6)))/Inputs!$K$6)^2),NA())</f>
        <v/>
      </c>
      <c r="C221" s="9">
        <f>IF(OR(Inputs!$F$7=TRUE,Inputs!$F$7="TRUE",Inputs!$F$7=1),(Inputs!$H$7+Inputs!$L$7*(((Inputs!$I$7+(((A221)+1)/2)*(Inputs!$J$7-Inputs!$I$7)))/Inputs!$K$7)^2),NA())</f>
        <v/>
      </c>
      <c r="D221" s="9">
        <f>IF(OR(Inputs!$F$8=TRUE,Inputs!$F$8="TRUE",Inputs!$F$8=1),(Inputs!$H$8+Inputs!$L$8*(((Inputs!$I$8+(((A221)+1)/2)*(Inputs!$J$8-Inputs!$I$8)))/Inputs!$K$8)^2),NA())</f>
        <v/>
      </c>
      <c r="E221" s="9">
        <f>IF(OR(Inputs!$F$9=TRUE,Inputs!$F$9="TRUE",Inputs!$F$9=1),(Inputs!$H$9+Inputs!$L$9*(((Inputs!$I$9+(((A221)+1)/2)*(Inputs!$J$9-Inputs!$I$9)))/Inputs!$K$9)^2),NA())</f>
        <v/>
      </c>
      <c r="F221" s="10" t="n"/>
      <c r="G221" s="9">
        <f>A221</f>
        <v/>
      </c>
      <c r="H221" s="9">
        <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f>
        <v/>
      </c>
      <c r="I221" s="9">
        <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f>
        <v/>
      </c>
      <c r="J221" s="9">
        <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f>
        <v/>
      </c>
      <c r="K221" s="9">
        <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f>
        <v/>
      </c>
      <c r="L221" s="10" t="n"/>
      <c r="M221" s="9">
        <f>A221</f>
        <v/>
      </c>
      <c r="N221" s="9">
        <f>IF(OR(Inputs!$F$6=TRUE,Inputs!$F$6="TRUE",Inputs!$F$6=1),(-2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NA())</f>
        <v/>
      </c>
      <c r="O221" s="9">
        <f>IF(OR(Inputs!$F$7=TRUE,Inputs!$F$7="TRUE",Inputs!$F$7=1),(-2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NA())</f>
        <v/>
      </c>
      <c r="P221" s="9">
        <f>IF(OR(Inputs!$F$8=TRUE,Inputs!$F$8="TRUE",Inputs!$F$8=1),(-2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NA())</f>
        <v/>
      </c>
      <c r="Q221" s="9">
        <f>IF(OR(Inputs!$F$9=TRUE,Inputs!$F$9="TRUE",Inputs!$F$9=1),(-2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NA())</f>
        <v/>
      </c>
      <c r="R221" s="10" t="n"/>
      <c r="S221" s="9">
        <f>A221</f>
        <v/>
      </c>
      <c r="T221" s="9">
        <f>(Inputs!$I$6+(((A221)+1)/2)*(Inputs!$J$6-Inputs!$I$6))</f>
        <v/>
      </c>
      <c r="U221" s="9">
        <f>(Inputs!$I$7+(((A221)+1)/2)*(Inputs!$J$7-Inputs!$I$7))</f>
        <v/>
      </c>
      <c r="V221" s="9">
        <f>(Inputs!$I$8+(((A221)+1)/2)*(Inputs!$J$8-Inputs!$I$8))</f>
        <v/>
      </c>
      <c r="W221" s="9">
        <f>(Inputs!$I$9+(((A221)+1)/2)*(Inputs!$J$9-Inputs!$I$9))</f>
        <v/>
      </c>
      <c r="X221" s="10" t="n"/>
      <c r="Y221" s="9">
        <f>A221</f>
        <v/>
      </c>
      <c r="Z221" s="9">
        <f>(Inputs!$H$6+Inputs!$L$6*(((Inputs!$I$6+(((A221)+1)/2)*(Inputs!$J$6-Inputs!$I$6)))/Inputs!$K$6)^2)</f>
        <v/>
      </c>
      <c r="AA221" s="9">
        <f>(Inputs!$H$7+Inputs!$L$7*(((Inputs!$I$7+(((A221)+1)/2)*(Inputs!$J$7-Inputs!$I$7)))/Inputs!$K$7)^2)</f>
        <v/>
      </c>
      <c r="AB221" s="9">
        <f>(Inputs!$H$8+Inputs!$L$8*(((Inputs!$I$8+(((A221)+1)/2)*(Inputs!$J$8-Inputs!$I$8)))/Inputs!$K$8)^2)</f>
        <v/>
      </c>
      <c r="AC221" s="9">
        <f>(Inputs!$H$9+Inputs!$L$9*(((Inputs!$I$9+(((A221)+1)/2)*(Inputs!$J$9-Inputs!$I$9)))/Inputs!$K$9)^2)</f>
        <v/>
      </c>
      <c r="AD221" s="10" t="n"/>
      <c r="AE221" s="9">
        <f>A221</f>
        <v/>
      </c>
      <c r="AF221" s="9">
        <f>(((SQRT((Inputs!$C$52+((Inputs!$H$6+Inputs!$L$6*(((Inputs!$I$6+(((A221)+1)/2)*(Inputs!$J$6-Inputs!$I$6)))/Inputs!$K$6)^2)))^2+Inputs!$C$52^2-2*(Inputs!$C$52+((Inputs!$H$6+Inputs!$L$6*(((Inputs!$I$6+(((A221)+1)/2)*(Inputs!$J$6-Inputs!$I$6)))/Inputs!$K$6)^2)))*Inputs!$C$52*COS(SQRT(((Inputs!$I$6+(((A221)+1)/2)*(Inputs!$J$6-Inputs!$I$6)))^2+Inputs!$C$6^2)/Inputs!$C$52)))-((Inputs!$H$6+Inputs!$L$6*(((Inputs!$I$6+(((A221)+1)/2)*(Inputs!$J$6-Inputs!$I$6)))/Inputs!$K$6)^2)))*1000/Inputs!$C$12)</f>
        <v/>
      </c>
      <c r="AG221" s="9">
        <f>(((SQRT((Inputs!$C$52+((Inputs!$H$7+Inputs!$L$7*(((Inputs!$I$7+(((A221)+1)/2)*(Inputs!$J$7-Inputs!$I$7)))/Inputs!$K$7)^2)))^2+Inputs!$C$52^2-2*(Inputs!$C$52+((Inputs!$H$7+Inputs!$L$7*(((Inputs!$I$7+(((A221)+1)/2)*(Inputs!$J$7-Inputs!$I$7)))/Inputs!$K$7)^2)))*Inputs!$C$52*COS(SQRT(((Inputs!$I$7+(((A221)+1)/2)*(Inputs!$J$7-Inputs!$I$7)))^2+Inputs!$C$6^2)/Inputs!$C$52)))-((Inputs!$H$7+Inputs!$L$7*(((Inputs!$I$7+(((A221)+1)/2)*(Inputs!$J$7-Inputs!$I$7)))/Inputs!$K$7)^2)))*1000/Inputs!$C$12)</f>
        <v/>
      </c>
      <c r="AH221" s="9">
        <f>(((SQRT((Inputs!$C$52+((Inputs!$H$8+Inputs!$L$8*(((Inputs!$I$8+(((A221)+1)/2)*(Inputs!$J$8-Inputs!$I$8)))/Inputs!$K$8)^2)))^2+Inputs!$C$52^2-2*(Inputs!$C$52+((Inputs!$H$8+Inputs!$L$8*(((Inputs!$I$8+(((A221)+1)/2)*(Inputs!$J$8-Inputs!$I$8)))/Inputs!$K$8)^2)))*Inputs!$C$52*COS(SQRT(((Inputs!$I$8+(((A221)+1)/2)*(Inputs!$J$8-Inputs!$I$8)))^2+Inputs!$C$6^2)/Inputs!$C$52)))-((Inputs!$H$8+Inputs!$L$8*(((Inputs!$I$8+(((A221)+1)/2)*(Inputs!$J$8-Inputs!$I$8)))/Inputs!$K$8)^2)))*1000/Inputs!$C$12)</f>
        <v/>
      </c>
      <c r="AI221" s="9">
        <f>(((SQRT((Inputs!$C$52+((Inputs!$H$9+Inputs!$L$9*(((Inputs!$I$9+(((A221)+1)/2)*(Inputs!$J$9-Inputs!$I$9)))/Inputs!$K$9)^2)))^2+Inputs!$C$52^2-2*(Inputs!$C$52+((Inputs!$H$9+Inputs!$L$9*(((Inputs!$I$9+(((A221)+1)/2)*(Inputs!$J$9-Inputs!$I$9)))/Inputs!$K$9)^2)))*Inputs!$C$52*COS(SQRT(((Inputs!$I$9+(((A221)+1)/2)*(Inputs!$J$9-Inputs!$I$9)))^2+Inputs!$C$6^2)/Inputs!$C$52)))-((Inputs!$H$9+Inputs!$L$9*(((Inputs!$I$9+(((A221)+1)/2)*(Inputs!$J$9-Inputs!$I$9)))/Inputs!$K$9)^2)))*1000/Inputs!$C$12)</f>
        <v/>
      </c>
      <c r="AJ221" s="10" t="n"/>
      <c r="AK221" s="9">
        <f>A221</f>
        <v/>
      </c>
      <c r="AL221" s="9">
        <f>(-2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f>
        <v/>
      </c>
      <c r="AM221" s="9">
        <f>(-2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f>
        <v/>
      </c>
      <c r="AN221" s="9">
        <f>(-2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f>
        <v/>
      </c>
      <c r="AO221" s="9">
        <f>(-2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f>
        <v/>
      </c>
      <c r="AP221" s="10" t="n"/>
      <c r="AQ221" s="9">
        <f>A221</f>
        <v/>
      </c>
      <c r="AR221" s="9">
        <f>0</f>
        <v/>
      </c>
      <c r="AS221" s="9">
        <f>IF(OR(Inputs!$F$6=TRUE,Inputs!$F$6="TRUE",Inputs!$F$6=1),IF(OR(Inputs!$C$27=TRUE,Inputs!$C$27="TRUE",Inputs!$C$27=1),1,0)*(Inputs!$C$51*(115*EXP(-(((Inputs!$C$6)-25)^2)/(4.5^2))+70*EXP(-(((Inputs!$C$6)+38)^2)/(7^2))*(0.55+0.45*SIN(2*PI()*((Inputs!$I$6+(((A221)+1)/2)*(Inputs!$J$6-Inputs!$I$6)))/45))+24*SIN(2*PI()*(Inputs!$C$6)/9+((Inputs!$I$6+(((A221)+1)/2)*(Inputs!$J$6-Inputs!$I$6)))/18)*EXP(-(((Inputs!$C$6)+5)^2)/(22^2))+18*SIN(2*PI()*((Inputs!$I$6+(((A221)+1)/2)*(Inputs!$J$6-Inputs!$I$6)))/70))+Inputs!$C$28*EXP(-((((Inputs!$I$6+(((A221)+1)/2)*(Inputs!$J$6-Inputs!$I$6)))-Inputs!$C$29)^2)/(2*Inputs!$C$31^2))*EXP(-(((Inputs!$C$6)-Inputs!$C$30)^2)/(2*Inputs!$C$32^2))+-Inputs!$C$33*EXP(-((((((Inputs!$I$6+(((A221)+1)/2)*(Inputs!$J$6-Inputs!$I$6)))-Inputs!$C$34)^2)+(((Inputs!$C$6)-Inputs!$C$35)^2))/(2*Inputs!$C$36^2)))+Inputs!$C$37*(0.55*SIN(2*PI()*((Inputs!$I$6+(((A221)+1)/2)*(Inputs!$J$6-Inputs!$I$6)))/Inputs!$C$39)+0.35*COS(2*PI()*(Inputs!$C$6)/Inputs!$C$40)+0.2*SIN(2*PI()*(((Inputs!$I$6+(((A221)+1)/2)*(Inputs!$J$6-Inputs!$I$6)))+(Inputs!$C$6))/(0.5*(Inputs!$C$39+Inputs!$C$40))))+Inputs!$C$38*SIN(2*PI()*((Inputs!$I$6+(((A221)+1)/2)*(Inputs!$J$6-Inputs!$I$6)))/Inputs!$C$39)*SIN(2*PI()*(Inputs!$C$6)/Inputs!$C$40)+-Inputs!$C$41*EXP(-(((Inputs!$C$6)-Inputs!$C$43)^2)/(2*Inputs!$C$44^2))*EXP(-((((Inputs!$I$6+(((A221)+1)/2)*(Inputs!$J$6-Inputs!$I$6)))-Inputs!$C$42)^2)/(2*Inputs!$C$45^2))+Inputs!$C$48*(0.7*(0.45*SIN(2*PI()*((((Inputs!$I$6+(((A221)+1)/2)*(Inputs!$J$6-Inputs!$I$6)))/Inputs!$C$49)+Inputs!$C$47*0.137))+0.35*COS(2*PI()*(((Inputs!$C$6)/Inputs!$C$50)+Inputs!$C$47*0.173))+0.2*SIN(2*PI()*((((Inputs!$I$6+(((A221)+1)/2)*(Inputs!$J$6-Inputs!$I$6)))+(Inputs!$C$6))/(0.5*(Inputs!$C$49+Inputs!$C$50))+Inputs!$C$47*0.097)))+0.3*(2*((SIN((((Inputs!$I$6+(((A221)+1)/2)*(Inputs!$J$6-Inputs!$I$6)))*12.9898+(Inputs!$C$6)*78.233+Inputs!$C$47*37.719))*43758.5453)-INT((SIN((((Inputs!$I$6+(((A221)+1)/2)*(Inputs!$J$6-Inputs!$I$6)))*12.9898+(Inputs!$C$6)*78.233+Inputs!$C$47*37.719))*43758.5453)))-1))),NA())</f>
        <v/>
      </c>
      <c r="AT221" s="9">
        <f>IF(OR(Inputs!$F$7=TRUE,Inputs!$F$7="TRUE",Inputs!$F$7=1),IF(OR(Inputs!$C$27=TRUE,Inputs!$C$27="TRUE",Inputs!$C$27=1),1,0)*(Inputs!$C$51*(115*EXP(-(((Inputs!$C$6)-25)^2)/(4.5^2))+70*EXP(-(((Inputs!$C$6)+38)^2)/(7^2))*(0.55+0.45*SIN(2*PI()*((Inputs!$I$7+(((A221)+1)/2)*(Inputs!$J$7-Inputs!$I$7)))/45))+24*SIN(2*PI()*(Inputs!$C$6)/9+((Inputs!$I$7+(((A221)+1)/2)*(Inputs!$J$7-Inputs!$I$7)))/18)*EXP(-(((Inputs!$C$6)+5)^2)/(22^2))+18*SIN(2*PI()*((Inputs!$I$7+(((A221)+1)/2)*(Inputs!$J$7-Inputs!$I$7)))/70))+Inputs!$C$28*EXP(-((((Inputs!$I$7+(((A221)+1)/2)*(Inputs!$J$7-Inputs!$I$7)))-Inputs!$C$29)^2)/(2*Inputs!$C$31^2))*EXP(-(((Inputs!$C$6)-Inputs!$C$30)^2)/(2*Inputs!$C$32^2))+-Inputs!$C$33*EXP(-((((((Inputs!$I$7+(((A221)+1)/2)*(Inputs!$J$7-Inputs!$I$7)))-Inputs!$C$34)^2)+(((Inputs!$C$6)-Inputs!$C$35)^2))/(2*Inputs!$C$36^2)))+Inputs!$C$37*(0.55*SIN(2*PI()*((Inputs!$I$7+(((A221)+1)/2)*(Inputs!$J$7-Inputs!$I$7)))/Inputs!$C$39)+0.35*COS(2*PI()*(Inputs!$C$6)/Inputs!$C$40)+0.2*SIN(2*PI()*(((Inputs!$I$7+(((A221)+1)/2)*(Inputs!$J$7-Inputs!$I$7)))+(Inputs!$C$6))/(0.5*(Inputs!$C$39+Inputs!$C$40))))+Inputs!$C$38*SIN(2*PI()*((Inputs!$I$7+(((A221)+1)/2)*(Inputs!$J$7-Inputs!$I$7)))/Inputs!$C$39)*SIN(2*PI()*(Inputs!$C$6)/Inputs!$C$40)+-Inputs!$C$41*EXP(-(((Inputs!$C$6)-Inputs!$C$43)^2)/(2*Inputs!$C$44^2))*EXP(-((((Inputs!$I$7+(((A221)+1)/2)*(Inputs!$J$7-Inputs!$I$7)))-Inputs!$C$42)^2)/(2*Inputs!$C$45^2))+Inputs!$C$48*(0.7*(0.45*SIN(2*PI()*((((Inputs!$I$7+(((A221)+1)/2)*(Inputs!$J$7-Inputs!$I$7)))/Inputs!$C$49)+Inputs!$C$47*0.137))+0.35*COS(2*PI()*(((Inputs!$C$6)/Inputs!$C$50)+Inputs!$C$47*0.173))+0.2*SIN(2*PI()*((((Inputs!$I$7+(((A221)+1)/2)*(Inputs!$J$7-Inputs!$I$7)))+(Inputs!$C$6))/(0.5*(Inputs!$C$49+Inputs!$C$50))+Inputs!$C$47*0.097)))+0.3*(2*((SIN((((Inputs!$I$7+(((A221)+1)/2)*(Inputs!$J$7-Inputs!$I$7)))*12.9898+(Inputs!$C$6)*78.233+Inputs!$C$47*37.719))*43758.5453)-INT((SIN((((Inputs!$I$7+(((A221)+1)/2)*(Inputs!$J$7-Inputs!$I$7)))*12.9898+(Inputs!$C$6)*78.233+Inputs!$C$47*37.719))*43758.5453)))-1))),NA())</f>
        <v/>
      </c>
      <c r="AU221" s="9">
        <f>IF(OR(Inputs!$F$8=TRUE,Inputs!$F$8="TRUE",Inputs!$F$8=1),IF(OR(Inputs!$C$27=TRUE,Inputs!$C$27="TRUE",Inputs!$C$27=1),1,0)*(Inputs!$C$51*(115*EXP(-(((Inputs!$C$6)-25)^2)/(4.5^2))+70*EXP(-(((Inputs!$C$6)+38)^2)/(7^2))*(0.55+0.45*SIN(2*PI()*((Inputs!$I$8+(((A221)+1)/2)*(Inputs!$J$8-Inputs!$I$8)))/45))+24*SIN(2*PI()*(Inputs!$C$6)/9+((Inputs!$I$8+(((A221)+1)/2)*(Inputs!$J$8-Inputs!$I$8)))/18)*EXP(-(((Inputs!$C$6)+5)^2)/(22^2))+18*SIN(2*PI()*((Inputs!$I$8+(((A221)+1)/2)*(Inputs!$J$8-Inputs!$I$8)))/70))+Inputs!$C$28*EXP(-((((Inputs!$I$8+(((A221)+1)/2)*(Inputs!$J$8-Inputs!$I$8)))-Inputs!$C$29)^2)/(2*Inputs!$C$31^2))*EXP(-(((Inputs!$C$6)-Inputs!$C$30)^2)/(2*Inputs!$C$32^2))+-Inputs!$C$33*EXP(-((((((Inputs!$I$8+(((A221)+1)/2)*(Inputs!$J$8-Inputs!$I$8)))-Inputs!$C$34)^2)+(((Inputs!$C$6)-Inputs!$C$35)^2))/(2*Inputs!$C$36^2)))+Inputs!$C$37*(0.55*SIN(2*PI()*((Inputs!$I$8+(((A221)+1)/2)*(Inputs!$J$8-Inputs!$I$8)))/Inputs!$C$39)+0.35*COS(2*PI()*(Inputs!$C$6)/Inputs!$C$40)+0.2*SIN(2*PI()*(((Inputs!$I$8+(((A221)+1)/2)*(Inputs!$J$8-Inputs!$I$8)))+(Inputs!$C$6))/(0.5*(Inputs!$C$39+Inputs!$C$40))))+Inputs!$C$38*SIN(2*PI()*((Inputs!$I$8+(((A221)+1)/2)*(Inputs!$J$8-Inputs!$I$8)))/Inputs!$C$39)*SIN(2*PI()*(Inputs!$C$6)/Inputs!$C$40)+-Inputs!$C$41*EXP(-(((Inputs!$C$6)-Inputs!$C$43)^2)/(2*Inputs!$C$44^2))*EXP(-((((Inputs!$I$8+(((A221)+1)/2)*(Inputs!$J$8-Inputs!$I$8)))-Inputs!$C$42)^2)/(2*Inputs!$C$45^2))+Inputs!$C$48*(0.7*(0.45*SIN(2*PI()*((((Inputs!$I$8+(((A221)+1)/2)*(Inputs!$J$8-Inputs!$I$8)))/Inputs!$C$49)+Inputs!$C$47*0.137))+0.35*COS(2*PI()*(((Inputs!$C$6)/Inputs!$C$50)+Inputs!$C$47*0.173))+0.2*SIN(2*PI()*((((Inputs!$I$8+(((A221)+1)/2)*(Inputs!$J$8-Inputs!$I$8)))+(Inputs!$C$6))/(0.5*(Inputs!$C$49+Inputs!$C$50))+Inputs!$C$47*0.097)))+0.3*(2*((SIN((((Inputs!$I$8+(((A221)+1)/2)*(Inputs!$J$8-Inputs!$I$8)))*12.9898+(Inputs!$C$6)*78.233+Inputs!$C$47*37.719))*43758.5453)-INT((SIN((((Inputs!$I$8+(((A221)+1)/2)*(Inputs!$J$8-Inputs!$I$8)))*12.9898+(Inputs!$C$6)*78.233+Inputs!$C$47*37.719))*43758.5453)))-1))),NA())</f>
        <v/>
      </c>
      <c r="AV221" s="9">
        <f>IF(OR(Inputs!$F$9=TRUE,Inputs!$F$9="TRUE",Inputs!$F$9=1),IF(OR(Inputs!$C$27=TRUE,Inputs!$C$27="TRUE",Inputs!$C$27=1),1,0)*(Inputs!$C$51*(115*EXP(-(((Inputs!$C$6)-25)^2)/(4.5^2))+70*EXP(-(((Inputs!$C$6)+38)^2)/(7^2))*(0.55+0.45*SIN(2*PI()*((Inputs!$I$9+(((A221)+1)/2)*(Inputs!$J$9-Inputs!$I$9)))/45))+24*SIN(2*PI()*(Inputs!$C$6)/9+((Inputs!$I$9+(((A221)+1)/2)*(Inputs!$J$9-Inputs!$I$9)))/18)*EXP(-(((Inputs!$C$6)+5)^2)/(22^2))+18*SIN(2*PI()*((Inputs!$I$9+(((A221)+1)/2)*(Inputs!$J$9-Inputs!$I$9)))/70))+Inputs!$C$28*EXP(-((((Inputs!$I$9+(((A221)+1)/2)*(Inputs!$J$9-Inputs!$I$9)))-Inputs!$C$29)^2)/(2*Inputs!$C$31^2))*EXP(-(((Inputs!$C$6)-Inputs!$C$30)^2)/(2*Inputs!$C$32^2))+-Inputs!$C$33*EXP(-((((((Inputs!$I$9+(((A221)+1)/2)*(Inputs!$J$9-Inputs!$I$9)))-Inputs!$C$34)^2)+(((Inputs!$C$6)-Inputs!$C$35)^2))/(2*Inputs!$C$36^2)))+Inputs!$C$37*(0.55*SIN(2*PI()*((Inputs!$I$9+(((A221)+1)/2)*(Inputs!$J$9-Inputs!$I$9)))/Inputs!$C$39)+0.35*COS(2*PI()*(Inputs!$C$6)/Inputs!$C$40)+0.2*SIN(2*PI()*(((Inputs!$I$9+(((A221)+1)/2)*(Inputs!$J$9-Inputs!$I$9)))+(Inputs!$C$6))/(0.5*(Inputs!$C$39+Inputs!$C$40))))+Inputs!$C$38*SIN(2*PI()*((Inputs!$I$9+(((A221)+1)/2)*(Inputs!$J$9-Inputs!$I$9)))/Inputs!$C$39)*SIN(2*PI()*(Inputs!$C$6)/Inputs!$C$40)+-Inputs!$C$41*EXP(-(((Inputs!$C$6)-Inputs!$C$43)^2)/(2*Inputs!$C$44^2))*EXP(-((((Inputs!$I$9+(((A221)+1)/2)*(Inputs!$J$9-Inputs!$I$9)))-Inputs!$C$42)^2)/(2*Inputs!$C$45^2))+Inputs!$C$48*(0.7*(0.45*SIN(2*PI()*((((Inputs!$I$9+(((A221)+1)/2)*(Inputs!$J$9-Inputs!$I$9)))/Inputs!$C$49)+Inputs!$C$47*0.137))+0.35*COS(2*PI()*(((Inputs!$C$6)/Inputs!$C$50)+Inputs!$C$47*0.173))+0.2*SIN(2*PI()*((((Inputs!$I$9+(((A221)+1)/2)*(Inputs!$J$9-Inputs!$I$9)))+(Inputs!$C$6))/(0.5*(Inputs!$C$49+Inputs!$C$50))+Inputs!$C$47*0.097)))+0.3*(2*((SIN((((Inputs!$I$9+(((A221)+1)/2)*(Inputs!$J$9-Inputs!$I$9)))*12.9898+(Inputs!$C$6)*78.233+Inputs!$C$47*37.719))*43758.5453)-INT((SIN((((Inputs!$I$9+(((A221)+1)/2)*(Inputs!$J$9-Inputs!$I$9)))*12.9898+(Inputs!$C$6)*78.233+Inputs!$C$47*37.719))*43758.5453)))-1))),NA())</f>
        <v/>
      </c>
      <c r="AW221" s="10" t="n"/>
      <c r="AX221" s="9">
        <f>A221</f>
        <v/>
      </c>
      <c r="AY221" s="9">
        <f>0</f>
        <v/>
      </c>
      <c r="AZ221" s="9">
        <f>IF(OR(Inputs!$F$6=TRUE,Inputs!$F$6="TRUE",Inputs!$F$6=1),(Inputs!$H$6+Inputs!$L$6*(((Inputs!$I$6+(((A221)+1)/2)*(Inputs!$J$6-Inputs!$I$6)))/Inputs!$K$6)^2),NA())</f>
        <v/>
      </c>
      <c r="BA221" s="9">
        <f>IF(OR(Inputs!$F$7=TRUE,Inputs!$F$7="TRUE",Inputs!$F$7=1),(Inputs!$H$7+Inputs!$L$7*(((Inputs!$I$7+(((A221)+1)/2)*(Inputs!$J$7-Inputs!$I$7)))/Inputs!$K$7)^2),NA())</f>
        <v/>
      </c>
      <c r="BB221" s="9">
        <f>IF(OR(Inputs!$F$8=TRUE,Inputs!$F$8="TRUE",Inputs!$F$8=1),(Inputs!$H$8+Inputs!$L$8*(((Inputs!$I$8+(((A221)+1)/2)*(Inputs!$J$8-Inputs!$I$8)))/Inputs!$K$8)^2),NA())</f>
        <v/>
      </c>
      <c r="BC221" s="9">
        <f>IF(OR(Inputs!$F$9=TRUE,Inputs!$F$9="TRUE",Inputs!$F$9=1),(Inputs!$H$9+Inputs!$L$9*(((Inputs!$I$9+(((A221)+1)/2)*(Inputs!$J$9-Inputs!$I$9)))/Inputs!$K$9)^2),NA())</f>
        <v/>
      </c>
      <c r="BD221" s="10" t="n"/>
      <c r="BE221" s="9">
        <f>A221</f>
        <v/>
      </c>
      <c r="BF221" s="9">
        <f>0</f>
        <v/>
      </c>
      <c r="BG221" s="9">
        <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f>
        <v/>
      </c>
      <c r="BH221" s="9">
        <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f>
        <v/>
      </c>
      <c r="BI221" s="9">
        <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f>
        <v/>
      </c>
      <c r="BJ221" s="9">
        <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f>
        <v/>
      </c>
    </row>
    <row r="222">
      <c r="A222" s="9">
        <f>ROUND(-1+220*2/240,3)</f>
        <v/>
      </c>
      <c r="B222" s="9">
        <f>IF(OR(Inputs!$F$6=TRUE,Inputs!$F$6="TRUE",Inputs!$F$6=1),(Inputs!$H$6+Inputs!$L$6*(((Inputs!$I$6+(((A222)+1)/2)*(Inputs!$J$6-Inputs!$I$6)))/Inputs!$K$6)^2),NA())</f>
        <v/>
      </c>
      <c r="C222" s="9">
        <f>IF(OR(Inputs!$F$7=TRUE,Inputs!$F$7="TRUE",Inputs!$F$7=1),(Inputs!$H$7+Inputs!$L$7*(((Inputs!$I$7+(((A222)+1)/2)*(Inputs!$J$7-Inputs!$I$7)))/Inputs!$K$7)^2),NA())</f>
        <v/>
      </c>
      <c r="D222" s="9">
        <f>IF(OR(Inputs!$F$8=TRUE,Inputs!$F$8="TRUE",Inputs!$F$8=1),(Inputs!$H$8+Inputs!$L$8*(((Inputs!$I$8+(((A222)+1)/2)*(Inputs!$J$8-Inputs!$I$8)))/Inputs!$K$8)^2),NA())</f>
        <v/>
      </c>
      <c r="E222" s="9">
        <f>IF(OR(Inputs!$F$9=TRUE,Inputs!$F$9="TRUE",Inputs!$F$9=1),(Inputs!$H$9+Inputs!$L$9*(((Inputs!$I$9+(((A222)+1)/2)*(Inputs!$J$9-Inputs!$I$9)))/Inputs!$K$9)^2),NA())</f>
        <v/>
      </c>
      <c r="F222" s="10" t="n"/>
      <c r="G222" s="9">
        <f>A222</f>
        <v/>
      </c>
      <c r="H222" s="9">
        <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f>
        <v/>
      </c>
      <c r="I222" s="9">
        <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f>
        <v/>
      </c>
      <c r="J222" s="9">
        <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f>
        <v/>
      </c>
      <c r="K222" s="9">
        <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f>
        <v/>
      </c>
      <c r="L222" s="10" t="n"/>
      <c r="M222" s="9">
        <f>A222</f>
        <v/>
      </c>
      <c r="N222" s="9">
        <f>IF(OR(Inputs!$F$6=TRUE,Inputs!$F$6="TRUE",Inputs!$F$6=1),(-2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NA())</f>
        <v/>
      </c>
      <c r="O222" s="9">
        <f>IF(OR(Inputs!$F$7=TRUE,Inputs!$F$7="TRUE",Inputs!$F$7=1),(-2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NA())</f>
        <v/>
      </c>
      <c r="P222" s="9">
        <f>IF(OR(Inputs!$F$8=TRUE,Inputs!$F$8="TRUE",Inputs!$F$8=1),(-2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NA())</f>
        <v/>
      </c>
      <c r="Q222" s="9">
        <f>IF(OR(Inputs!$F$9=TRUE,Inputs!$F$9="TRUE",Inputs!$F$9=1),(-2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NA())</f>
        <v/>
      </c>
      <c r="R222" s="10" t="n"/>
      <c r="S222" s="9">
        <f>A222</f>
        <v/>
      </c>
      <c r="T222" s="9">
        <f>(Inputs!$I$6+(((A222)+1)/2)*(Inputs!$J$6-Inputs!$I$6))</f>
        <v/>
      </c>
      <c r="U222" s="9">
        <f>(Inputs!$I$7+(((A222)+1)/2)*(Inputs!$J$7-Inputs!$I$7))</f>
        <v/>
      </c>
      <c r="V222" s="9">
        <f>(Inputs!$I$8+(((A222)+1)/2)*(Inputs!$J$8-Inputs!$I$8))</f>
        <v/>
      </c>
      <c r="W222" s="9">
        <f>(Inputs!$I$9+(((A222)+1)/2)*(Inputs!$J$9-Inputs!$I$9))</f>
        <v/>
      </c>
      <c r="X222" s="10" t="n"/>
      <c r="Y222" s="9">
        <f>A222</f>
        <v/>
      </c>
      <c r="Z222" s="9">
        <f>(Inputs!$H$6+Inputs!$L$6*(((Inputs!$I$6+(((A222)+1)/2)*(Inputs!$J$6-Inputs!$I$6)))/Inputs!$K$6)^2)</f>
        <v/>
      </c>
      <c r="AA222" s="9">
        <f>(Inputs!$H$7+Inputs!$L$7*(((Inputs!$I$7+(((A222)+1)/2)*(Inputs!$J$7-Inputs!$I$7)))/Inputs!$K$7)^2)</f>
        <v/>
      </c>
      <c r="AB222" s="9">
        <f>(Inputs!$H$8+Inputs!$L$8*(((Inputs!$I$8+(((A222)+1)/2)*(Inputs!$J$8-Inputs!$I$8)))/Inputs!$K$8)^2)</f>
        <v/>
      </c>
      <c r="AC222" s="9">
        <f>(Inputs!$H$9+Inputs!$L$9*(((Inputs!$I$9+(((A222)+1)/2)*(Inputs!$J$9-Inputs!$I$9)))/Inputs!$K$9)^2)</f>
        <v/>
      </c>
      <c r="AD222" s="10" t="n"/>
      <c r="AE222" s="9">
        <f>A222</f>
        <v/>
      </c>
      <c r="AF222" s="9">
        <f>(((SQRT((Inputs!$C$52+((Inputs!$H$6+Inputs!$L$6*(((Inputs!$I$6+(((A222)+1)/2)*(Inputs!$J$6-Inputs!$I$6)))/Inputs!$K$6)^2)))^2+Inputs!$C$52^2-2*(Inputs!$C$52+((Inputs!$H$6+Inputs!$L$6*(((Inputs!$I$6+(((A222)+1)/2)*(Inputs!$J$6-Inputs!$I$6)))/Inputs!$K$6)^2)))*Inputs!$C$52*COS(SQRT(((Inputs!$I$6+(((A222)+1)/2)*(Inputs!$J$6-Inputs!$I$6)))^2+Inputs!$C$6^2)/Inputs!$C$52)))-((Inputs!$H$6+Inputs!$L$6*(((Inputs!$I$6+(((A222)+1)/2)*(Inputs!$J$6-Inputs!$I$6)))/Inputs!$K$6)^2)))*1000/Inputs!$C$12)</f>
        <v/>
      </c>
      <c r="AG222" s="9">
        <f>(((SQRT((Inputs!$C$52+((Inputs!$H$7+Inputs!$L$7*(((Inputs!$I$7+(((A222)+1)/2)*(Inputs!$J$7-Inputs!$I$7)))/Inputs!$K$7)^2)))^2+Inputs!$C$52^2-2*(Inputs!$C$52+((Inputs!$H$7+Inputs!$L$7*(((Inputs!$I$7+(((A222)+1)/2)*(Inputs!$J$7-Inputs!$I$7)))/Inputs!$K$7)^2)))*Inputs!$C$52*COS(SQRT(((Inputs!$I$7+(((A222)+1)/2)*(Inputs!$J$7-Inputs!$I$7)))^2+Inputs!$C$6^2)/Inputs!$C$52)))-((Inputs!$H$7+Inputs!$L$7*(((Inputs!$I$7+(((A222)+1)/2)*(Inputs!$J$7-Inputs!$I$7)))/Inputs!$K$7)^2)))*1000/Inputs!$C$12)</f>
        <v/>
      </c>
      <c r="AH222" s="9">
        <f>(((SQRT((Inputs!$C$52+((Inputs!$H$8+Inputs!$L$8*(((Inputs!$I$8+(((A222)+1)/2)*(Inputs!$J$8-Inputs!$I$8)))/Inputs!$K$8)^2)))^2+Inputs!$C$52^2-2*(Inputs!$C$52+((Inputs!$H$8+Inputs!$L$8*(((Inputs!$I$8+(((A222)+1)/2)*(Inputs!$J$8-Inputs!$I$8)))/Inputs!$K$8)^2)))*Inputs!$C$52*COS(SQRT(((Inputs!$I$8+(((A222)+1)/2)*(Inputs!$J$8-Inputs!$I$8)))^2+Inputs!$C$6^2)/Inputs!$C$52)))-((Inputs!$H$8+Inputs!$L$8*(((Inputs!$I$8+(((A222)+1)/2)*(Inputs!$J$8-Inputs!$I$8)))/Inputs!$K$8)^2)))*1000/Inputs!$C$12)</f>
        <v/>
      </c>
      <c r="AI222" s="9">
        <f>(((SQRT((Inputs!$C$52+((Inputs!$H$9+Inputs!$L$9*(((Inputs!$I$9+(((A222)+1)/2)*(Inputs!$J$9-Inputs!$I$9)))/Inputs!$K$9)^2)))^2+Inputs!$C$52^2-2*(Inputs!$C$52+((Inputs!$H$9+Inputs!$L$9*(((Inputs!$I$9+(((A222)+1)/2)*(Inputs!$J$9-Inputs!$I$9)))/Inputs!$K$9)^2)))*Inputs!$C$52*COS(SQRT(((Inputs!$I$9+(((A222)+1)/2)*(Inputs!$J$9-Inputs!$I$9)))^2+Inputs!$C$6^2)/Inputs!$C$52)))-((Inputs!$H$9+Inputs!$L$9*(((Inputs!$I$9+(((A222)+1)/2)*(Inputs!$J$9-Inputs!$I$9)))/Inputs!$K$9)^2)))*1000/Inputs!$C$12)</f>
        <v/>
      </c>
      <c r="AJ222" s="10" t="n"/>
      <c r="AK222" s="9">
        <f>A222</f>
        <v/>
      </c>
      <c r="AL222" s="9">
        <f>(-2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f>
        <v/>
      </c>
      <c r="AM222" s="9">
        <f>(-2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f>
        <v/>
      </c>
      <c r="AN222" s="9">
        <f>(-2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f>
        <v/>
      </c>
      <c r="AO222" s="9">
        <f>(-2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f>
        <v/>
      </c>
      <c r="AP222" s="10" t="n"/>
      <c r="AQ222" s="9">
        <f>A222</f>
        <v/>
      </c>
      <c r="AR222" s="9">
        <f>0</f>
        <v/>
      </c>
      <c r="AS222" s="9">
        <f>IF(OR(Inputs!$F$6=TRUE,Inputs!$F$6="TRUE",Inputs!$F$6=1),IF(OR(Inputs!$C$27=TRUE,Inputs!$C$27="TRUE",Inputs!$C$27=1),1,0)*(Inputs!$C$51*(115*EXP(-(((Inputs!$C$6)-25)^2)/(4.5^2))+70*EXP(-(((Inputs!$C$6)+38)^2)/(7^2))*(0.55+0.45*SIN(2*PI()*((Inputs!$I$6+(((A222)+1)/2)*(Inputs!$J$6-Inputs!$I$6)))/45))+24*SIN(2*PI()*(Inputs!$C$6)/9+((Inputs!$I$6+(((A222)+1)/2)*(Inputs!$J$6-Inputs!$I$6)))/18)*EXP(-(((Inputs!$C$6)+5)^2)/(22^2))+18*SIN(2*PI()*((Inputs!$I$6+(((A222)+1)/2)*(Inputs!$J$6-Inputs!$I$6)))/70))+Inputs!$C$28*EXP(-((((Inputs!$I$6+(((A222)+1)/2)*(Inputs!$J$6-Inputs!$I$6)))-Inputs!$C$29)^2)/(2*Inputs!$C$31^2))*EXP(-(((Inputs!$C$6)-Inputs!$C$30)^2)/(2*Inputs!$C$32^2))+-Inputs!$C$33*EXP(-((((((Inputs!$I$6+(((A222)+1)/2)*(Inputs!$J$6-Inputs!$I$6)))-Inputs!$C$34)^2)+(((Inputs!$C$6)-Inputs!$C$35)^2))/(2*Inputs!$C$36^2)))+Inputs!$C$37*(0.55*SIN(2*PI()*((Inputs!$I$6+(((A222)+1)/2)*(Inputs!$J$6-Inputs!$I$6)))/Inputs!$C$39)+0.35*COS(2*PI()*(Inputs!$C$6)/Inputs!$C$40)+0.2*SIN(2*PI()*(((Inputs!$I$6+(((A222)+1)/2)*(Inputs!$J$6-Inputs!$I$6)))+(Inputs!$C$6))/(0.5*(Inputs!$C$39+Inputs!$C$40))))+Inputs!$C$38*SIN(2*PI()*((Inputs!$I$6+(((A222)+1)/2)*(Inputs!$J$6-Inputs!$I$6)))/Inputs!$C$39)*SIN(2*PI()*(Inputs!$C$6)/Inputs!$C$40)+-Inputs!$C$41*EXP(-(((Inputs!$C$6)-Inputs!$C$43)^2)/(2*Inputs!$C$44^2))*EXP(-((((Inputs!$I$6+(((A222)+1)/2)*(Inputs!$J$6-Inputs!$I$6)))-Inputs!$C$42)^2)/(2*Inputs!$C$45^2))+Inputs!$C$48*(0.7*(0.45*SIN(2*PI()*((((Inputs!$I$6+(((A222)+1)/2)*(Inputs!$J$6-Inputs!$I$6)))/Inputs!$C$49)+Inputs!$C$47*0.137))+0.35*COS(2*PI()*(((Inputs!$C$6)/Inputs!$C$50)+Inputs!$C$47*0.173))+0.2*SIN(2*PI()*((((Inputs!$I$6+(((A222)+1)/2)*(Inputs!$J$6-Inputs!$I$6)))+(Inputs!$C$6))/(0.5*(Inputs!$C$49+Inputs!$C$50))+Inputs!$C$47*0.097)))+0.3*(2*((SIN((((Inputs!$I$6+(((A222)+1)/2)*(Inputs!$J$6-Inputs!$I$6)))*12.9898+(Inputs!$C$6)*78.233+Inputs!$C$47*37.719))*43758.5453)-INT((SIN((((Inputs!$I$6+(((A222)+1)/2)*(Inputs!$J$6-Inputs!$I$6)))*12.9898+(Inputs!$C$6)*78.233+Inputs!$C$47*37.719))*43758.5453)))-1))),NA())</f>
        <v/>
      </c>
      <c r="AT222" s="9">
        <f>IF(OR(Inputs!$F$7=TRUE,Inputs!$F$7="TRUE",Inputs!$F$7=1),IF(OR(Inputs!$C$27=TRUE,Inputs!$C$27="TRUE",Inputs!$C$27=1),1,0)*(Inputs!$C$51*(115*EXP(-(((Inputs!$C$6)-25)^2)/(4.5^2))+70*EXP(-(((Inputs!$C$6)+38)^2)/(7^2))*(0.55+0.45*SIN(2*PI()*((Inputs!$I$7+(((A222)+1)/2)*(Inputs!$J$7-Inputs!$I$7)))/45))+24*SIN(2*PI()*(Inputs!$C$6)/9+((Inputs!$I$7+(((A222)+1)/2)*(Inputs!$J$7-Inputs!$I$7)))/18)*EXP(-(((Inputs!$C$6)+5)^2)/(22^2))+18*SIN(2*PI()*((Inputs!$I$7+(((A222)+1)/2)*(Inputs!$J$7-Inputs!$I$7)))/70))+Inputs!$C$28*EXP(-((((Inputs!$I$7+(((A222)+1)/2)*(Inputs!$J$7-Inputs!$I$7)))-Inputs!$C$29)^2)/(2*Inputs!$C$31^2))*EXP(-(((Inputs!$C$6)-Inputs!$C$30)^2)/(2*Inputs!$C$32^2))+-Inputs!$C$33*EXP(-((((((Inputs!$I$7+(((A222)+1)/2)*(Inputs!$J$7-Inputs!$I$7)))-Inputs!$C$34)^2)+(((Inputs!$C$6)-Inputs!$C$35)^2))/(2*Inputs!$C$36^2)))+Inputs!$C$37*(0.55*SIN(2*PI()*((Inputs!$I$7+(((A222)+1)/2)*(Inputs!$J$7-Inputs!$I$7)))/Inputs!$C$39)+0.35*COS(2*PI()*(Inputs!$C$6)/Inputs!$C$40)+0.2*SIN(2*PI()*(((Inputs!$I$7+(((A222)+1)/2)*(Inputs!$J$7-Inputs!$I$7)))+(Inputs!$C$6))/(0.5*(Inputs!$C$39+Inputs!$C$40))))+Inputs!$C$38*SIN(2*PI()*((Inputs!$I$7+(((A222)+1)/2)*(Inputs!$J$7-Inputs!$I$7)))/Inputs!$C$39)*SIN(2*PI()*(Inputs!$C$6)/Inputs!$C$40)+-Inputs!$C$41*EXP(-(((Inputs!$C$6)-Inputs!$C$43)^2)/(2*Inputs!$C$44^2))*EXP(-((((Inputs!$I$7+(((A222)+1)/2)*(Inputs!$J$7-Inputs!$I$7)))-Inputs!$C$42)^2)/(2*Inputs!$C$45^2))+Inputs!$C$48*(0.7*(0.45*SIN(2*PI()*((((Inputs!$I$7+(((A222)+1)/2)*(Inputs!$J$7-Inputs!$I$7)))/Inputs!$C$49)+Inputs!$C$47*0.137))+0.35*COS(2*PI()*(((Inputs!$C$6)/Inputs!$C$50)+Inputs!$C$47*0.173))+0.2*SIN(2*PI()*((((Inputs!$I$7+(((A222)+1)/2)*(Inputs!$J$7-Inputs!$I$7)))+(Inputs!$C$6))/(0.5*(Inputs!$C$49+Inputs!$C$50))+Inputs!$C$47*0.097)))+0.3*(2*((SIN((((Inputs!$I$7+(((A222)+1)/2)*(Inputs!$J$7-Inputs!$I$7)))*12.9898+(Inputs!$C$6)*78.233+Inputs!$C$47*37.719))*43758.5453)-INT((SIN((((Inputs!$I$7+(((A222)+1)/2)*(Inputs!$J$7-Inputs!$I$7)))*12.9898+(Inputs!$C$6)*78.233+Inputs!$C$47*37.719))*43758.5453)))-1))),NA())</f>
        <v/>
      </c>
      <c r="AU222" s="9">
        <f>IF(OR(Inputs!$F$8=TRUE,Inputs!$F$8="TRUE",Inputs!$F$8=1),IF(OR(Inputs!$C$27=TRUE,Inputs!$C$27="TRUE",Inputs!$C$27=1),1,0)*(Inputs!$C$51*(115*EXP(-(((Inputs!$C$6)-25)^2)/(4.5^2))+70*EXP(-(((Inputs!$C$6)+38)^2)/(7^2))*(0.55+0.45*SIN(2*PI()*((Inputs!$I$8+(((A222)+1)/2)*(Inputs!$J$8-Inputs!$I$8)))/45))+24*SIN(2*PI()*(Inputs!$C$6)/9+((Inputs!$I$8+(((A222)+1)/2)*(Inputs!$J$8-Inputs!$I$8)))/18)*EXP(-(((Inputs!$C$6)+5)^2)/(22^2))+18*SIN(2*PI()*((Inputs!$I$8+(((A222)+1)/2)*(Inputs!$J$8-Inputs!$I$8)))/70))+Inputs!$C$28*EXP(-((((Inputs!$I$8+(((A222)+1)/2)*(Inputs!$J$8-Inputs!$I$8)))-Inputs!$C$29)^2)/(2*Inputs!$C$31^2))*EXP(-(((Inputs!$C$6)-Inputs!$C$30)^2)/(2*Inputs!$C$32^2))+-Inputs!$C$33*EXP(-((((((Inputs!$I$8+(((A222)+1)/2)*(Inputs!$J$8-Inputs!$I$8)))-Inputs!$C$34)^2)+(((Inputs!$C$6)-Inputs!$C$35)^2))/(2*Inputs!$C$36^2)))+Inputs!$C$37*(0.55*SIN(2*PI()*((Inputs!$I$8+(((A222)+1)/2)*(Inputs!$J$8-Inputs!$I$8)))/Inputs!$C$39)+0.35*COS(2*PI()*(Inputs!$C$6)/Inputs!$C$40)+0.2*SIN(2*PI()*(((Inputs!$I$8+(((A222)+1)/2)*(Inputs!$J$8-Inputs!$I$8)))+(Inputs!$C$6))/(0.5*(Inputs!$C$39+Inputs!$C$40))))+Inputs!$C$38*SIN(2*PI()*((Inputs!$I$8+(((A222)+1)/2)*(Inputs!$J$8-Inputs!$I$8)))/Inputs!$C$39)*SIN(2*PI()*(Inputs!$C$6)/Inputs!$C$40)+-Inputs!$C$41*EXP(-(((Inputs!$C$6)-Inputs!$C$43)^2)/(2*Inputs!$C$44^2))*EXP(-((((Inputs!$I$8+(((A222)+1)/2)*(Inputs!$J$8-Inputs!$I$8)))-Inputs!$C$42)^2)/(2*Inputs!$C$45^2))+Inputs!$C$48*(0.7*(0.45*SIN(2*PI()*((((Inputs!$I$8+(((A222)+1)/2)*(Inputs!$J$8-Inputs!$I$8)))/Inputs!$C$49)+Inputs!$C$47*0.137))+0.35*COS(2*PI()*(((Inputs!$C$6)/Inputs!$C$50)+Inputs!$C$47*0.173))+0.2*SIN(2*PI()*((((Inputs!$I$8+(((A222)+1)/2)*(Inputs!$J$8-Inputs!$I$8)))+(Inputs!$C$6))/(0.5*(Inputs!$C$49+Inputs!$C$50))+Inputs!$C$47*0.097)))+0.3*(2*((SIN((((Inputs!$I$8+(((A222)+1)/2)*(Inputs!$J$8-Inputs!$I$8)))*12.9898+(Inputs!$C$6)*78.233+Inputs!$C$47*37.719))*43758.5453)-INT((SIN((((Inputs!$I$8+(((A222)+1)/2)*(Inputs!$J$8-Inputs!$I$8)))*12.9898+(Inputs!$C$6)*78.233+Inputs!$C$47*37.719))*43758.5453)))-1))),NA())</f>
        <v/>
      </c>
      <c r="AV222" s="9">
        <f>IF(OR(Inputs!$F$9=TRUE,Inputs!$F$9="TRUE",Inputs!$F$9=1),IF(OR(Inputs!$C$27=TRUE,Inputs!$C$27="TRUE",Inputs!$C$27=1),1,0)*(Inputs!$C$51*(115*EXP(-(((Inputs!$C$6)-25)^2)/(4.5^2))+70*EXP(-(((Inputs!$C$6)+38)^2)/(7^2))*(0.55+0.45*SIN(2*PI()*((Inputs!$I$9+(((A222)+1)/2)*(Inputs!$J$9-Inputs!$I$9)))/45))+24*SIN(2*PI()*(Inputs!$C$6)/9+((Inputs!$I$9+(((A222)+1)/2)*(Inputs!$J$9-Inputs!$I$9)))/18)*EXP(-(((Inputs!$C$6)+5)^2)/(22^2))+18*SIN(2*PI()*((Inputs!$I$9+(((A222)+1)/2)*(Inputs!$J$9-Inputs!$I$9)))/70))+Inputs!$C$28*EXP(-((((Inputs!$I$9+(((A222)+1)/2)*(Inputs!$J$9-Inputs!$I$9)))-Inputs!$C$29)^2)/(2*Inputs!$C$31^2))*EXP(-(((Inputs!$C$6)-Inputs!$C$30)^2)/(2*Inputs!$C$32^2))+-Inputs!$C$33*EXP(-((((((Inputs!$I$9+(((A222)+1)/2)*(Inputs!$J$9-Inputs!$I$9)))-Inputs!$C$34)^2)+(((Inputs!$C$6)-Inputs!$C$35)^2))/(2*Inputs!$C$36^2)))+Inputs!$C$37*(0.55*SIN(2*PI()*((Inputs!$I$9+(((A222)+1)/2)*(Inputs!$J$9-Inputs!$I$9)))/Inputs!$C$39)+0.35*COS(2*PI()*(Inputs!$C$6)/Inputs!$C$40)+0.2*SIN(2*PI()*(((Inputs!$I$9+(((A222)+1)/2)*(Inputs!$J$9-Inputs!$I$9)))+(Inputs!$C$6))/(0.5*(Inputs!$C$39+Inputs!$C$40))))+Inputs!$C$38*SIN(2*PI()*((Inputs!$I$9+(((A222)+1)/2)*(Inputs!$J$9-Inputs!$I$9)))/Inputs!$C$39)*SIN(2*PI()*(Inputs!$C$6)/Inputs!$C$40)+-Inputs!$C$41*EXP(-(((Inputs!$C$6)-Inputs!$C$43)^2)/(2*Inputs!$C$44^2))*EXP(-((((Inputs!$I$9+(((A222)+1)/2)*(Inputs!$J$9-Inputs!$I$9)))-Inputs!$C$42)^2)/(2*Inputs!$C$45^2))+Inputs!$C$48*(0.7*(0.45*SIN(2*PI()*((((Inputs!$I$9+(((A222)+1)/2)*(Inputs!$J$9-Inputs!$I$9)))/Inputs!$C$49)+Inputs!$C$47*0.137))+0.35*COS(2*PI()*(((Inputs!$C$6)/Inputs!$C$50)+Inputs!$C$47*0.173))+0.2*SIN(2*PI()*((((Inputs!$I$9+(((A222)+1)/2)*(Inputs!$J$9-Inputs!$I$9)))+(Inputs!$C$6))/(0.5*(Inputs!$C$49+Inputs!$C$50))+Inputs!$C$47*0.097)))+0.3*(2*((SIN((((Inputs!$I$9+(((A222)+1)/2)*(Inputs!$J$9-Inputs!$I$9)))*12.9898+(Inputs!$C$6)*78.233+Inputs!$C$47*37.719))*43758.5453)-INT((SIN((((Inputs!$I$9+(((A222)+1)/2)*(Inputs!$J$9-Inputs!$I$9)))*12.9898+(Inputs!$C$6)*78.233+Inputs!$C$47*37.719))*43758.5453)))-1))),NA())</f>
        <v/>
      </c>
      <c r="AW222" s="10" t="n"/>
      <c r="AX222" s="9">
        <f>A222</f>
        <v/>
      </c>
      <c r="AY222" s="9">
        <f>0</f>
        <v/>
      </c>
      <c r="AZ222" s="9">
        <f>IF(OR(Inputs!$F$6=TRUE,Inputs!$F$6="TRUE",Inputs!$F$6=1),(Inputs!$H$6+Inputs!$L$6*(((Inputs!$I$6+(((A222)+1)/2)*(Inputs!$J$6-Inputs!$I$6)))/Inputs!$K$6)^2),NA())</f>
        <v/>
      </c>
      <c r="BA222" s="9">
        <f>IF(OR(Inputs!$F$7=TRUE,Inputs!$F$7="TRUE",Inputs!$F$7=1),(Inputs!$H$7+Inputs!$L$7*(((Inputs!$I$7+(((A222)+1)/2)*(Inputs!$J$7-Inputs!$I$7)))/Inputs!$K$7)^2),NA())</f>
        <v/>
      </c>
      <c r="BB222" s="9">
        <f>IF(OR(Inputs!$F$8=TRUE,Inputs!$F$8="TRUE",Inputs!$F$8=1),(Inputs!$H$8+Inputs!$L$8*(((Inputs!$I$8+(((A222)+1)/2)*(Inputs!$J$8-Inputs!$I$8)))/Inputs!$K$8)^2),NA())</f>
        <v/>
      </c>
      <c r="BC222" s="9">
        <f>IF(OR(Inputs!$F$9=TRUE,Inputs!$F$9="TRUE",Inputs!$F$9=1),(Inputs!$H$9+Inputs!$L$9*(((Inputs!$I$9+(((A222)+1)/2)*(Inputs!$J$9-Inputs!$I$9)))/Inputs!$K$9)^2),NA())</f>
        <v/>
      </c>
      <c r="BD222" s="10" t="n"/>
      <c r="BE222" s="9">
        <f>A222</f>
        <v/>
      </c>
      <c r="BF222" s="9">
        <f>0</f>
        <v/>
      </c>
      <c r="BG222" s="9">
        <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f>
        <v/>
      </c>
      <c r="BH222" s="9">
        <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f>
        <v/>
      </c>
      <c r="BI222" s="9">
        <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f>
        <v/>
      </c>
      <c r="BJ222" s="9">
        <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f>
        <v/>
      </c>
    </row>
    <row r="223">
      <c r="A223" s="9">
        <f>ROUND(-1+221*2/240,3)</f>
        <v/>
      </c>
      <c r="B223" s="9">
        <f>IF(OR(Inputs!$F$6=TRUE,Inputs!$F$6="TRUE",Inputs!$F$6=1),(Inputs!$H$6+Inputs!$L$6*(((Inputs!$I$6+(((A223)+1)/2)*(Inputs!$J$6-Inputs!$I$6)))/Inputs!$K$6)^2),NA())</f>
        <v/>
      </c>
      <c r="C223" s="9">
        <f>IF(OR(Inputs!$F$7=TRUE,Inputs!$F$7="TRUE",Inputs!$F$7=1),(Inputs!$H$7+Inputs!$L$7*(((Inputs!$I$7+(((A223)+1)/2)*(Inputs!$J$7-Inputs!$I$7)))/Inputs!$K$7)^2),NA())</f>
        <v/>
      </c>
      <c r="D223" s="9">
        <f>IF(OR(Inputs!$F$8=TRUE,Inputs!$F$8="TRUE",Inputs!$F$8=1),(Inputs!$H$8+Inputs!$L$8*(((Inputs!$I$8+(((A223)+1)/2)*(Inputs!$J$8-Inputs!$I$8)))/Inputs!$K$8)^2),NA())</f>
        <v/>
      </c>
      <c r="E223" s="9">
        <f>IF(OR(Inputs!$F$9=TRUE,Inputs!$F$9="TRUE",Inputs!$F$9=1),(Inputs!$H$9+Inputs!$L$9*(((Inputs!$I$9+(((A223)+1)/2)*(Inputs!$J$9-Inputs!$I$9)))/Inputs!$K$9)^2),NA())</f>
        <v/>
      </c>
      <c r="F223" s="10" t="n"/>
      <c r="G223" s="9">
        <f>A223</f>
        <v/>
      </c>
      <c r="H223" s="9">
        <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f>
        <v/>
      </c>
      <c r="I223" s="9">
        <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f>
        <v/>
      </c>
      <c r="J223" s="9">
        <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f>
        <v/>
      </c>
      <c r="K223" s="9">
        <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f>
        <v/>
      </c>
      <c r="L223" s="10" t="n"/>
      <c r="M223" s="9">
        <f>A223</f>
        <v/>
      </c>
      <c r="N223" s="9">
        <f>IF(OR(Inputs!$F$6=TRUE,Inputs!$F$6="TRUE",Inputs!$F$6=1),(-2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NA())</f>
        <v/>
      </c>
      <c r="O223" s="9">
        <f>IF(OR(Inputs!$F$7=TRUE,Inputs!$F$7="TRUE",Inputs!$F$7=1),(-2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NA())</f>
        <v/>
      </c>
      <c r="P223" s="9">
        <f>IF(OR(Inputs!$F$8=TRUE,Inputs!$F$8="TRUE",Inputs!$F$8=1),(-2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NA())</f>
        <v/>
      </c>
      <c r="Q223" s="9">
        <f>IF(OR(Inputs!$F$9=TRUE,Inputs!$F$9="TRUE",Inputs!$F$9=1),(-2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NA())</f>
        <v/>
      </c>
      <c r="R223" s="10" t="n"/>
      <c r="S223" s="9">
        <f>A223</f>
        <v/>
      </c>
      <c r="T223" s="9">
        <f>(Inputs!$I$6+(((A223)+1)/2)*(Inputs!$J$6-Inputs!$I$6))</f>
        <v/>
      </c>
      <c r="U223" s="9">
        <f>(Inputs!$I$7+(((A223)+1)/2)*(Inputs!$J$7-Inputs!$I$7))</f>
        <v/>
      </c>
      <c r="V223" s="9">
        <f>(Inputs!$I$8+(((A223)+1)/2)*(Inputs!$J$8-Inputs!$I$8))</f>
        <v/>
      </c>
      <c r="W223" s="9">
        <f>(Inputs!$I$9+(((A223)+1)/2)*(Inputs!$J$9-Inputs!$I$9))</f>
        <v/>
      </c>
      <c r="X223" s="10" t="n"/>
      <c r="Y223" s="9">
        <f>A223</f>
        <v/>
      </c>
      <c r="Z223" s="9">
        <f>(Inputs!$H$6+Inputs!$L$6*(((Inputs!$I$6+(((A223)+1)/2)*(Inputs!$J$6-Inputs!$I$6)))/Inputs!$K$6)^2)</f>
        <v/>
      </c>
      <c r="AA223" s="9">
        <f>(Inputs!$H$7+Inputs!$L$7*(((Inputs!$I$7+(((A223)+1)/2)*(Inputs!$J$7-Inputs!$I$7)))/Inputs!$K$7)^2)</f>
        <v/>
      </c>
      <c r="AB223" s="9">
        <f>(Inputs!$H$8+Inputs!$L$8*(((Inputs!$I$8+(((A223)+1)/2)*(Inputs!$J$8-Inputs!$I$8)))/Inputs!$K$8)^2)</f>
        <v/>
      </c>
      <c r="AC223" s="9">
        <f>(Inputs!$H$9+Inputs!$L$9*(((Inputs!$I$9+(((A223)+1)/2)*(Inputs!$J$9-Inputs!$I$9)))/Inputs!$K$9)^2)</f>
        <v/>
      </c>
      <c r="AD223" s="10" t="n"/>
      <c r="AE223" s="9">
        <f>A223</f>
        <v/>
      </c>
      <c r="AF223" s="9">
        <f>(((SQRT((Inputs!$C$52+((Inputs!$H$6+Inputs!$L$6*(((Inputs!$I$6+(((A223)+1)/2)*(Inputs!$J$6-Inputs!$I$6)))/Inputs!$K$6)^2)))^2+Inputs!$C$52^2-2*(Inputs!$C$52+((Inputs!$H$6+Inputs!$L$6*(((Inputs!$I$6+(((A223)+1)/2)*(Inputs!$J$6-Inputs!$I$6)))/Inputs!$K$6)^2)))*Inputs!$C$52*COS(SQRT(((Inputs!$I$6+(((A223)+1)/2)*(Inputs!$J$6-Inputs!$I$6)))^2+Inputs!$C$6^2)/Inputs!$C$52)))-((Inputs!$H$6+Inputs!$L$6*(((Inputs!$I$6+(((A223)+1)/2)*(Inputs!$J$6-Inputs!$I$6)))/Inputs!$K$6)^2)))*1000/Inputs!$C$12)</f>
        <v/>
      </c>
      <c r="AG223" s="9">
        <f>(((SQRT((Inputs!$C$52+((Inputs!$H$7+Inputs!$L$7*(((Inputs!$I$7+(((A223)+1)/2)*(Inputs!$J$7-Inputs!$I$7)))/Inputs!$K$7)^2)))^2+Inputs!$C$52^2-2*(Inputs!$C$52+((Inputs!$H$7+Inputs!$L$7*(((Inputs!$I$7+(((A223)+1)/2)*(Inputs!$J$7-Inputs!$I$7)))/Inputs!$K$7)^2)))*Inputs!$C$52*COS(SQRT(((Inputs!$I$7+(((A223)+1)/2)*(Inputs!$J$7-Inputs!$I$7)))^2+Inputs!$C$6^2)/Inputs!$C$52)))-((Inputs!$H$7+Inputs!$L$7*(((Inputs!$I$7+(((A223)+1)/2)*(Inputs!$J$7-Inputs!$I$7)))/Inputs!$K$7)^2)))*1000/Inputs!$C$12)</f>
        <v/>
      </c>
      <c r="AH223" s="9">
        <f>(((SQRT((Inputs!$C$52+((Inputs!$H$8+Inputs!$L$8*(((Inputs!$I$8+(((A223)+1)/2)*(Inputs!$J$8-Inputs!$I$8)))/Inputs!$K$8)^2)))^2+Inputs!$C$52^2-2*(Inputs!$C$52+((Inputs!$H$8+Inputs!$L$8*(((Inputs!$I$8+(((A223)+1)/2)*(Inputs!$J$8-Inputs!$I$8)))/Inputs!$K$8)^2)))*Inputs!$C$52*COS(SQRT(((Inputs!$I$8+(((A223)+1)/2)*(Inputs!$J$8-Inputs!$I$8)))^2+Inputs!$C$6^2)/Inputs!$C$52)))-((Inputs!$H$8+Inputs!$L$8*(((Inputs!$I$8+(((A223)+1)/2)*(Inputs!$J$8-Inputs!$I$8)))/Inputs!$K$8)^2)))*1000/Inputs!$C$12)</f>
        <v/>
      </c>
      <c r="AI223" s="9">
        <f>(((SQRT((Inputs!$C$52+((Inputs!$H$9+Inputs!$L$9*(((Inputs!$I$9+(((A223)+1)/2)*(Inputs!$J$9-Inputs!$I$9)))/Inputs!$K$9)^2)))^2+Inputs!$C$52^2-2*(Inputs!$C$52+((Inputs!$H$9+Inputs!$L$9*(((Inputs!$I$9+(((A223)+1)/2)*(Inputs!$J$9-Inputs!$I$9)))/Inputs!$K$9)^2)))*Inputs!$C$52*COS(SQRT(((Inputs!$I$9+(((A223)+1)/2)*(Inputs!$J$9-Inputs!$I$9)))^2+Inputs!$C$6^2)/Inputs!$C$52)))-((Inputs!$H$9+Inputs!$L$9*(((Inputs!$I$9+(((A223)+1)/2)*(Inputs!$J$9-Inputs!$I$9)))/Inputs!$K$9)^2)))*1000/Inputs!$C$12)</f>
        <v/>
      </c>
      <c r="AJ223" s="10" t="n"/>
      <c r="AK223" s="9">
        <f>A223</f>
        <v/>
      </c>
      <c r="AL223" s="9">
        <f>(-2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f>
        <v/>
      </c>
      <c r="AM223" s="9">
        <f>(-2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f>
        <v/>
      </c>
      <c r="AN223" s="9">
        <f>(-2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f>
        <v/>
      </c>
      <c r="AO223" s="9">
        <f>(-2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f>
        <v/>
      </c>
      <c r="AP223" s="10" t="n"/>
      <c r="AQ223" s="9">
        <f>A223</f>
        <v/>
      </c>
      <c r="AR223" s="9">
        <f>0</f>
        <v/>
      </c>
      <c r="AS223" s="9">
        <f>IF(OR(Inputs!$F$6=TRUE,Inputs!$F$6="TRUE",Inputs!$F$6=1),IF(OR(Inputs!$C$27=TRUE,Inputs!$C$27="TRUE",Inputs!$C$27=1),1,0)*(Inputs!$C$51*(115*EXP(-(((Inputs!$C$6)-25)^2)/(4.5^2))+70*EXP(-(((Inputs!$C$6)+38)^2)/(7^2))*(0.55+0.45*SIN(2*PI()*((Inputs!$I$6+(((A223)+1)/2)*(Inputs!$J$6-Inputs!$I$6)))/45))+24*SIN(2*PI()*(Inputs!$C$6)/9+((Inputs!$I$6+(((A223)+1)/2)*(Inputs!$J$6-Inputs!$I$6)))/18)*EXP(-(((Inputs!$C$6)+5)^2)/(22^2))+18*SIN(2*PI()*((Inputs!$I$6+(((A223)+1)/2)*(Inputs!$J$6-Inputs!$I$6)))/70))+Inputs!$C$28*EXP(-((((Inputs!$I$6+(((A223)+1)/2)*(Inputs!$J$6-Inputs!$I$6)))-Inputs!$C$29)^2)/(2*Inputs!$C$31^2))*EXP(-(((Inputs!$C$6)-Inputs!$C$30)^2)/(2*Inputs!$C$32^2))+-Inputs!$C$33*EXP(-((((((Inputs!$I$6+(((A223)+1)/2)*(Inputs!$J$6-Inputs!$I$6)))-Inputs!$C$34)^2)+(((Inputs!$C$6)-Inputs!$C$35)^2))/(2*Inputs!$C$36^2)))+Inputs!$C$37*(0.55*SIN(2*PI()*((Inputs!$I$6+(((A223)+1)/2)*(Inputs!$J$6-Inputs!$I$6)))/Inputs!$C$39)+0.35*COS(2*PI()*(Inputs!$C$6)/Inputs!$C$40)+0.2*SIN(2*PI()*(((Inputs!$I$6+(((A223)+1)/2)*(Inputs!$J$6-Inputs!$I$6)))+(Inputs!$C$6))/(0.5*(Inputs!$C$39+Inputs!$C$40))))+Inputs!$C$38*SIN(2*PI()*((Inputs!$I$6+(((A223)+1)/2)*(Inputs!$J$6-Inputs!$I$6)))/Inputs!$C$39)*SIN(2*PI()*(Inputs!$C$6)/Inputs!$C$40)+-Inputs!$C$41*EXP(-(((Inputs!$C$6)-Inputs!$C$43)^2)/(2*Inputs!$C$44^2))*EXP(-((((Inputs!$I$6+(((A223)+1)/2)*(Inputs!$J$6-Inputs!$I$6)))-Inputs!$C$42)^2)/(2*Inputs!$C$45^2))+Inputs!$C$48*(0.7*(0.45*SIN(2*PI()*((((Inputs!$I$6+(((A223)+1)/2)*(Inputs!$J$6-Inputs!$I$6)))/Inputs!$C$49)+Inputs!$C$47*0.137))+0.35*COS(2*PI()*(((Inputs!$C$6)/Inputs!$C$50)+Inputs!$C$47*0.173))+0.2*SIN(2*PI()*((((Inputs!$I$6+(((A223)+1)/2)*(Inputs!$J$6-Inputs!$I$6)))+(Inputs!$C$6))/(0.5*(Inputs!$C$49+Inputs!$C$50))+Inputs!$C$47*0.097)))+0.3*(2*((SIN((((Inputs!$I$6+(((A223)+1)/2)*(Inputs!$J$6-Inputs!$I$6)))*12.9898+(Inputs!$C$6)*78.233+Inputs!$C$47*37.719))*43758.5453)-INT((SIN((((Inputs!$I$6+(((A223)+1)/2)*(Inputs!$J$6-Inputs!$I$6)))*12.9898+(Inputs!$C$6)*78.233+Inputs!$C$47*37.719))*43758.5453)))-1))),NA())</f>
        <v/>
      </c>
      <c r="AT223" s="9">
        <f>IF(OR(Inputs!$F$7=TRUE,Inputs!$F$7="TRUE",Inputs!$F$7=1),IF(OR(Inputs!$C$27=TRUE,Inputs!$C$27="TRUE",Inputs!$C$27=1),1,0)*(Inputs!$C$51*(115*EXP(-(((Inputs!$C$6)-25)^2)/(4.5^2))+70*EXP(-(((Inputs!$C$6)+38)^2)/(7^2))*(0.55+0.45*SIN(2*PI()*((Inputs!$I$7+(((A223)+1)/2)*(Inputs!$J$7-Inputs!$I$7)))/45))+24*SIN(2*PI()*(Inputs!$C$6)/9+((Inputs!$I$7+(((A223)+1)/2)*(Inputs!$J$7-Inputs!$I$7)))/18)*EXP(-(((Inputs!$C$6)+5)^2)/(22^2))+18*SIN(2*PI()*((Inputs!$I$7+(((A223)+1)/2)*(Inputs!$J$7-Inputs!$I$7)))/70))+Inputs!$C$28*EXP(-((((Inputs!$I$7+(((A223)+1)/2)*(Inputs!$J$7-Inputs!$I$7)))-Inputs!$C$29)^2)/(2*Inputs!$C$31^2))*EXP(-(((Inputs!$C$6)-Inputs!$C$30)^2)/(2*Inputs!$C$32^2))+-Inputs!$C$33*EXP(-((((((Inputs!$I$7+(((A223)+1)/2)*(Inputs!$J$7-Inputs!$I$7)))-Inputs!$C$34)^2)+(((Inputs!$C$6)-Inputs!$C$35)^2))/(2*Inputs!$C$36^2)))+Inputs!$C$37*(0.55*SIN(2*PI()*((Inputs!$I$7+(((A223)+1)/2)*(Inputs!$J$7-Inputs!$I$7)))/Inputs!$C$39)+0.35*COS(2*PI()*(Inputs!$C$6)/Inputs!$C$40)+0.2*SIN(2*PI()*(((Inputs!$I$7+(((A223)+1)/2)*(Inputs!$J$7-Inputs!$I$7)))+(Inputs!$C$6))/(0.5*(Inputs!$C$39+Inputs!$C$40))))+Inputs!$C$38*SIN(2*PI()*((Inputs!$I$7+(((A223)+1)/2)*(Inputs!$J$7-Inputs!$I$7)))/Inputs!$C$39)*SIN(2*PI()*(Inputs!$C$6)/Inputs!$C$40)+-Inputs!$C$41*EXP(-(((Inputs!$C$6)-Inputs!$C$43)^2)/(2*Inputs!$C$44^2))*EXP(-((((Inputs!$I$7+(((A223)+1)/2)*(Inputs!$J$7-Inputs!$I$7)))-Inputs!$C$42)^2)/(2*Inputs!$C$45^2))+Inputs!$C$48*(0.7*(0.45*SIN(2*PI()*((((Inputs!$I$7+(((A223)+1)/2)*(Inputs!$J$7-Inputs!$I$7)))/Inputs!$C$49)+Inputs!$C$47*0.137))+0.35*COS(2*PI()*(((Inputs!$C$6)/Inputs!$C$50)+Inputs!$C$47*0.173))+0.2*SIN(2*PI()*((((Inputs!$I$7+(((A223)+1)/2)*(Inputs!$J$7-Inputs!$I$7)))+(Inputs!$C$6))/(0.5*(Inputs!$C$49+Inputs!$C$50))+Inputs!$C$47*0.097)))+0.3*(2*((SIN((((Inputs!$I$7+(((A223)+1)/2)*(Inputs!$J$7-Inputs!$I$7)))*12.9898+(Inputs!$C$6)*78.233+Inputs!$C$47*37.719))*43758.5453)-INT((SIN((((Inputs!$I$7+(((A223)+1)/2)*(Inputs!$J$7-Inputs!$I$7)))*12.9898+(Inputs!$C$6)*78.233+Inputs!$C$47*37.719))*43758.5453)))-1))),NA())</f>
        <v/>
      </c>
      <c r="AU223" s="9">
        <f>IF(OR(Inputs!$F$8=TRUE,Inputs!$F$8="TRUE",Inputs!$F$8=1),IF(OR(Inputs!$C$27=TRUE,Inputs!$C$27="TRUE",Inputs!$C$27=1),1,0)*(Inputs!$C$51*(115*EXP(-(((Inputs!$C$6)-25)^2)/(4.5^2))+70*EXP(-(((Inputs!$C$6)+38)^2)/(7^2))*(0.55+0.45*SIN(2*PI()*((Inputs!$I$8+(((A223)+1)/2)*(Inputs!$J$8-Inputs!$I$8)))/45))+24*SIN(2*PI()*(Inputs!$C$6)/9+((Inputs!$I$8+(((A223)+1)/2)*(Inputs!$J$8-Inputs!$I$8)))/18)*EXP(-(((Inputs!$C$6)+5)^2)/(22^2))+18*SIN(2*PI()*((Inputs!$I$8+(((A223)+1)/2)*(Inputs!$J$8-Inputs!$I$8)))/70))+Inputs!$C$28*EXP(-((((Inputs!$I$8+(((A223)+1)/2)*(Inputs!$J$8-Inputs!$I$8)))-Inputs!$C$29)^2)/(2*Inputs!$C$31^2))*EXP(-(((Inputs!$C$6)-Inputs!$C$30)^2)/(2*Inputs!$C$32^2))+-Inputs!$C$33*EXP(-((((((Inputs!$I$8+(((A223)+1)/2)*(Inputs!$J$8-Inputs!$I$8)))-Inputs!$C$34)^2)+(((Inputs!$C$6)-Inputs!$C$35)^2))/(2*Inputs!$C$36^2)))+Inputs!$C$37*(0.55*SIN(2*PI()*((Inputs!$I$8+(((A223)+1)/2)*(Inputs!$J$8-Inputs!$I$8)))/Inputs!$C$39)+0.35*COS(2*PI()*(Inputs!$C$6)/Inputs!$C$40)+0.2*SIN(2*PI()*(((Inputs!$I$8+(((A223)+1)/2)*(Inputs!$J$8-Inputs!$I$8)))+(Inputs!$C$6))/(0.5*(Inputs!$C$39+Inputs!$C$40))))+Inputs!$C$38*SIN(2*PI()*((Inputs!$I$8+(((A223)+1)/2)*(Inputs!$J$8-Inputs!$I$8)))/Inputs!$C$39)*SIN(2*PI()*(Inputs!$C$6)/Inputs!$C$40)+-Inputs!$C$41*EXP(-(((Inputs!$C$6)-Inputs!$C$43)^2)/(2*Inputs!$C$44^2))*EXP(-((((Inputs!$I$8+(((A223)+1)/2)*(Inputs!$J$8-Inputs!$I$8)))-Inputs!$C$42)^2)/(2*Inputs!$C$45^2))+Inputs!$C$48*(0.7*(0.45*SIN(2*PI()*((((Inputs!$I$8+(((A223)+1)/2)*(Inputs!$J$8-Inputs!$I$8)))/Inputs!$C$49)+Inputs!$C$47*0.137))+0.35*COS(2*PI()*(((Inputs!$C$6)/Inputs!$C$50)+Inputs!$C$47*0.173))+0.2*SIN(2*PI()*((((Inputs!$I$8+(((A223)+1)/2)*(Inputs!$J$8-Inputs!$I$8)))+(Inputs!$C$6))/(0.5*(Inputs!$C$49+Inputs!$C$50))+Inputs!$C$47*0.097)))+0.3*(2*((SIN((((Inputs!$I$8+(((A223)+1)/2)*(Inputs!$J$8-Inputs!$I$8)))*12.9898+(Inputs!$C$6)*78.233+Inputs!$C$47*37.719))*43758.5453)-INT((SIN((((Inputs!$I$8+(((A223)+1)/2)*(Inputs!$J$8-Inputs!$I$8)))*12.9898+(Inputs!$C$6)*78.233+Inputs!$C$47*37.719))*43758.5453)))-1))),NA())</f>
        <v/>
      </c>
      <c r="AV223" s="9">
        <f>IF(OR(Inputs!$F$9=TRUE,Inputs!$F$9="TRUE",Inputs!$F$9=1),IF(OR(Inputs!$C$27=TRUE,Inputs!$C$27="TRUE",Inputs!$C$27=1),1,0)*(Inputs!$C$51*(115*EXP(-(((Inputs!$C$6)-25)^2)/(4.5^2))+70*EXP(-(((Inputs!$C$6)+38)^2)/(7^2))*(0.55+0.45*SIN(2*PI()*((Inputs!$I$9+(((A223)+1)/2)*(Inputs!$J$9-Inputs!$I$9)))/45))+24*SIN(2*PI()*(Inputs!$C$6)/9+((Inputs!$I$9+(((A223)+1)/2)*(Inputs!$J$9-Inputs!$I$9)))/18)*EXP(-(((Inputs!$C$6)+5)^2)/(22^2))+18*SIN(2*PI()*((Inputs!$I$9+(((A223)+1)/2)*(Inputs!$J$9-Inputs!$I$9)))/70))+Inputs!$C$28*EXP(-((((Inputs!$I$9+(((A223)+1)/2)*(Inputs!$J$9-Inputs!$I$9)))-Inputs!$C$29)^2)/(2*Inputs!$C$31^2))*EXP(-(((Inputs!$C$6)-Inputs!$C$30)^2)/(2*Inputs!$C$32^2))+-Inputs!$C$33*EXP(-((((((Inputs!$I$9+(((A223)+1)/2)*(Inputs!$J$9-Inputs!$I$9)))-Inputs!$C$34)^2)+(((Inputs!$C$6)-Inputs!$C$35)^2))/(2*Inputs!$C$36^2)))+Inputs!$C$37*(0.55*SIN(2*PI()*((Inputs!$I$9+(((A223)+1)/2)*(Inputs!$J$9-Inputs!$I$9)))/Inputs!$C$39)+0.35*COS(2*PI()*(Inputs!$C$6)/Inputs!$C$40)+0.2*SIN(2*PI()*(((Inputs!$I$9+(((A223)+1)/2)*(Inputs!$J$9-Inputs!$I$9)))+(Inputs!$C$6))/(0.5*(Inputs!$C$39+Inputs!$C$40))))+Inputs!$C$38*SIN(2*PI()*((Inputs!$I$9+(((A223)+1)/2)*(Inputs!$J$9-Inputs!$I$9)))/Inputs!$C$39)*SIN(2*PI()*(Inputs!$C$6)/Inputs!$C$40)+-Inputs!$C$41*EXP(-(((Inputs!$C$6)-Inputs!$C$43)^2)/(2*Inputs!$C$44^2))*EXP(-((((Inputs!$I$9+(((A223)+1)/2)*(Inputs!$J$9-Inputs!$I$9)))-Inputs!$C$42)^2)/(2*Inputs!$C$45^2))+Inputs!$C$48*(0.7*(0.45*SIN(2*PI()*((((Inputs!$I$9+(((A223)+1)/2)*(Inputs!$J$9-Inputs!$I$9)))/Inputs!$C$49)+Inputs!$C$47*0.137))+0.35*COS(2*PI()*(((Inputs!$C$6)/Inputs!$C$50)+Inputs!$C$47*0.173))+0.2*SIN(2*PI()*((((Inputs!$I$9+(((A223)+1)/2)*(Inputs!$J$9-Inputs!$I$9)))+(Inputs!$C$6))/(0.5*(Inputs!$C$49+Inputs!$C$50))+Inputs!$C$47*0.097)))+0.3*(2*((SIN((((Inputs!$I$9+(((A223)+1)/2)*(Inputs!$J$9-Inputs!$I$9)))*12.9898+(Inputs!$C$6)*78.233+Inputs!$C$47*37.719))*43758.5453)-INT((SIN((((Inputs!$I$9+(((A223)+1)/2)*(Inputs!$J$9-Inputs!$I$9)))*12.9898+(Inputs!$C$6)*78.233+Inputs!$C$47*37.719))*43758.5453)))-1))),NA())</f>
        <v/>
      </c>
      <c r="AW223" s="10" t="n"/>
      <c r="AX223" s="9">
        <f>A223</f>
        <v/>
      </c>
      <c r="AY223" s="9">
        <f>0</f>
        <v/>
      </c>
      <c r="AZ223" s="9">
        <f>IF(OR(Inputs!$F$6=TRUE,Inputs!$F$6="TRUE",Inputs!$F$6=1),(Inputs!$H$6+Inputs!$L$6*(((Inputs!$I$6+(((A223)+1)/2)*(Inputs!$J$6-Inputs!$I$6)))/Inputs!$K$6)^2),NA())</f>
        <v/>
      </c>
      <c r="BA223" s="9">
        <f>IF(OR(Inputs!$F$7=TRUE,Inputs!$F$7="TRUE",Inputs!$F$7=1),(Inputs!$H$7+Inputs!$L$7*(((Inputs!$I$7+(((A223)+1)/2)*(Inputs!$J$7-Inputs!$I$7)))/Inputs!$K$7)^2),NA())</f>
        <v/>
      </c>
      <c r="BB223" s="9">
        <f>IF(OR(Inputs!$F$8=TRUE,Inputs!$F$8="TRUE",Inputs!$F$8=1),(Inputs!$H$8+Inputs!$L$8*(((Inputs!$I$8+(((A223)+1)/2)*(Inputs!$J$8-Inputs!$I$8)))/Inputs!$K$8)^2),NA())</f>
        <v/>
      </c>
      <c r="BC223" s="9">
        <f>IF(OR(Inputs!$F$9=TRUE,Inputs!$F$9="TRUE",Inputs!$F$9=1),(Inputs!$H$9+Inputs!$L$9*(((Inputs!$I$9+(((A223)+1)/2)*(Inputs!$J$9-Inputs!$I$9)))/Inputs!$K$9)^2),NA())</f>
        <v/>
      </c>
      <c r="BD223" s="10" t="n"/>
      <c r="BE223" s="9">
        <f>A223</f>
        <v/>
      </c>
      <c r="BF223" s="9">
        <f>0</f>
        <v/>
      </c>
      <c r="BG223" s="9">
        <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f>
        <v/>
      </c>
      <c r="BH223" s="9">
        <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f>
        <v/>
      </c>
      <c r="BI223" s="9">
        <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f>
        <v/>
      </c>
      <c r="BJ223" s="9">
        <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f>
        <v/>
      </c>
    </row>
    <row r="224">
      <c r="A224" s="9">
        <f>ROUND(-1+222*2/240,3)</f>
        <v/>
      </c>
      <c r="B224" s="9">
        <f>IF(OR(Inputs!$F$6=TRUE,Inputs!$F$6="TRUE",Inputs!$F$6=1),(Inputs!$H$6+Inputs!$L$6*(((Inputs!$I$6+(((A224)+1)/2)*(Inputs!$J$6-Inputs!$I$6)))/Inputs!$K$6)^2),NA())</f>
        <v/>
      </c>
      <c r="C224" s="9">
        <f>IF(OR(Inputs!$F$7=TRUE,Inputs!$F$7="TRUE",Inputs!$F$7=1),(Inputs!$H$7+Inputs!$L$7*(((Inputs!$I$7+(((A224)+1)/2)*(Inputs!$J$7-Inputs!$I$7)))/Inputs!$K$7)^2),NA())</f>
        <v/>
      </c>
      <c r="D224" s="9">
        <f>IF(OR(Inputs!$F$8=TRUE,Inputs!$F$8="TRUE",Inputs!$F$8=1),(Inputs!$H$8+Inputs!$L$8*(((Inputs!$I$8+(((A224)+1)/2)*(Inputs!$J$8-Inputs!$I$8)))/Inputs!$K$8)^2),NA())</f>
        <v/>
      </c>
      <c r="E224" s="9">
        <f>IF(OR(Inputs!$F$9=TRUE,Inputs!$F$9="TRUE",Inputs!$F$9=1),(Inputs!$H$9+Inputs!$L$9*(((Inputs!$I$9+(((A224)+1)/2)*(Inputs!$J$9-Inputs!$I$9)))/Inputs!$K$9)^2),NA())</f>
        <v/>
      </c>
      <c r="F224" s="10" t="n"/>
      <c r="G224" s="9">
        <f>A224</f>
        <v/>
      </c>
      <c r="H224" s="9">
        <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f>
        <v/>
      </c>
      <c r="I224" s="9">
        <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f>
        <v/>
      </c>
      <c r="J224" s="9">
        <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f>
        <v/>
      </c>
      <c r="K224" s="9">
        <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f>
        <v/>
      </c>
      <c r="L224" s="10" t="n"/>
      <c r="M224" s="9">
        <f>A224</f>
        <v/>
      </c>
      <c r="N224" s="9">
        <f>IF(OR(Inputs!$F$6=TRUE,Inputs!$F$6="TRUE",Inputs!$F$6=1),(-2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NA())</f>
        <v/>
      </c>
      <c r="O224" s="9">
        <f>IF(OR(Inputs!$F$7=TRUE,Inputs!$F$7="TRUE",Inputs!$F$7=1),(-2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NA())</f>
        <v/>
      </c>
      <c r="P224" s="9">
        <f>IF(OR(Inputs!$F$8=TRUE,Inputs!$F$8="TRUE",Inputs!$F$8=1),(-2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NA())</f>
        <v/>
      </c>
      <c r="Q224" s="9">
        <f>IF(OR(Inputs!$F$9=TRUE,Inputs!$F$9="TRUE",Inputs!$F$9=1),(-2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NA())</f>
        <v/>
      </c>
      <c r="R224" s="10" t="n"/>
      <c r="S224" s="9">
        <f>A224</f>
        <v/>
      </c>
      <c r="T224" s="9">
        <f>(Inputs!$I$6+(((A224)+1)/2)*(Inputs!$J$6-Inputs!$I$6))</f>
        <v/>
      </c>
      <c r="U224" s="9">
        <f>(Inputs!$I$7+(((A224)+1)/2)*(Inputs!$J$7-Inputs!$I$7))</f>
        <v/>
      </c>
      <c r="V224" s="9">
        <f>(Inputs!$I$8+(((A224)+1)/2)*(Inputs!$J$8-Inputs!$I$8))</f>
        <v/>
      </c>
      <c r="W224" s="9">
        <f>(Inputs!$I$9+(((A224)+1)/2)*(Inputs!$J$9-Inputs!$I$9))</f>
        <v/>
      </c>
      <c r="X224" s="10" t="n"/>
      <c r="Y224" s="9">
        <f>A224</f>
        <v/>
      </c>
      <c r="Z224" s="9">
        <f>(Inputs!$H$6+Inputs!$L$6*(((Inputs!$I$6+(((A224)+1)/2)*(Inputs!$J$6-Inputs!$I$6)))/Inputs!$K$6)^2)</f>
        <v/>
      </c>
      <c r="AA224" s="9">
        <f>(Inputs!$H$7+Inputs!$L$7*(((Inputs!$I$7+(((A224)+1)/2)*(Inputs!$J$7-Inputs!$I$7)))/Inputs!$K$7)^2)</f>
        <v/>
      </c>
      <c r="AB224" s="9">
        <f>(Inputs!$H$8+Inputs!$L$8*(((Inputs!$I$8+(((A224)+1)/2)*(Inputs!$J$8-Inputs!$I$8)))/Inputs!$K$8)^2)</f>
        <v/>
      </c>
      <c r="AC224" s="9">
        <f>(Inputs!$H$9+Inputs!$L$9*(((Inputs!$I$9+(((A224)+1)/2)*(Inputs!$J$9-Inputs!$I$9)))/Inputs!$K$9)^2)</f>
        <v/>
      </c>
      <c r="AD224" s="10" t="n"/>
      <c r="AE224" s="9">
        <f>A224</f>
        <v/>
      </c>
      <c r="AF224" s="9">
        <f>(((SQRT((Inputs!$C$52+((Inputs!$H$6+Inputs!$L$6*(((Inputs!$I$6+(((A224)+1)/2)*(Inputs!$J$6-Inputs!$I$6)))/Inputs!$K$6)^2)))^2+Inputs!$C$52^2-2*(Inputs!$C$52+((Inputs!$H$6+Inputs!$L$6*(((Inputs!$I$6+(((A224)+1)/2)*(Inputs!$J$6-Inputs!$I$6)))/Inputs!$K$6)^2)))*Inputs!$C$52*COS(SQRT(((Inputs!$I$6+(((A224)+1)/2)*(Inputs!$J$6-Inputs!$I$6)))^2+Inputs!$C$6^2)/Inputs!$C$52)))-((Inputs!$H$6+Inputs!$L$6*(((Inputs!$I$6+(((A224)+1)/2)*(Inputs!$J$6-Inputs!$I$6)))/Inputs!$K$6)^2)))*1000/Inputs!$C$12)</f>
        <v/>
      </c>
      <c r="AG224" s="9">
        <f>(((SQRT((Inputs!$C$52+((Inputs!$H$7+Inputs!$L$7*(((Inputs!$I$7+(((A224)+1)/2)*(Inputs!$J$7-Inputs!$I$7)))/Inputs!$K$7)^2)))^2+Inputs!$C$52^2-2*(Inputs!$C$52+((Inputs!$H$7+Inputs!$L$7*(((Inputs!$I$7+(((A224)+1)/2)*(Inputs!$J$7-Inputs!$I$7)))/Inputs!$K$7)^2)))*Inputs!$C$52*COS(SQRT(((Inputs!$I$7+(((A224)+1)/2)*(Inputs!$J$7-Inputs!$I$7)))^2+Inputs!$C$6^2)/Inputs!$C$52)))-((Inputs!$H$7+Inputs!$L$7*(((Inputs!$I$7+(((A224)+1)/2)*(Inputs!$J$7-Inputs!$I$7)))/Inputs!$K$7)^2)))*1000/Inputs!$C$12)</f>
        <v/>
      </c>
      <c r="AH224" s="9">
        <f>(((SQRT((Inputs!$C$52+((Inputs!$H$8+Inputs!$L$8*(((Inputs!$I$8+(((A224)+1)/2)*(Inputs!$J$8-Inputs!$I$8)))/Inputs!$K$8)^2)))^2+Inputs!$C$52^2-2*(Inputs!$C$52+((Inputs!$H$8+Inputs!$L$8*(((Inputs!$I$8+(((A224)+1)/2)*(Inputs!$J$8-Inputs!$I$8)))/Inputs!$K$8)^2)))*Inputs!$C$52*COS(SQRT(((Inputs!$I$8+(((A224)+1)/2)*(Inputs!$J$8-Inputs!$I$8)))^2+Inputs!$C$6^2)/Inputs!$C$52)))-((Inputs!$H$8+Inputs!$L$8*(((Inputs!$I$8+(((A224)+1)/2)*(Inputs!$J$8-Inputs!$I$8)))/Inputs!$K$8)^2)))*1000/Inputs!$C$12)</f>
        <v/>
      </c>
      <c r="AI224" s="9">
        <f>(((SQRT((Inputs!$C$52+((Inputs!$H$9+Inputs!$L$9*(((Inputs!$I$9+(((A224)+1)/2)*(Inputs!$J$9-Inputs!$I$9)))/Inputs!$K$9)^2)))^2+Inputs!$C$52^2-2*(Inputs!$C$52+((Inputs!$H$9+Inputs!$L$9*(((Inputs!$I$9+(((A224)+1)/2)*(Inputs!$J$9-Inputs!$I$9)))/Inputs!$K$9)^2)))*Inputs!$C$52*COS(SQRT(((Inputs!$I$9+(((A224)+1)/2)*(Inputs!$J$9-Inputs!$I$9)))^2+Inputs!$C$6^2)/Inputs!$C$52)))-((Inputs!$H$9+Inputs!$L$9*(((Inputs!$I$9+(((A224)+1)/2)*(Inputs!$J$9-Inputs!$I$9)))/Inputs!$K$9)^2)))*1000/Inputs!$C$12)</f>
        <v/>
      </c>
      <c r="AJ224" s="10" t="n"/>
      <c r="AK224" s="9">
        <f>A224</f>
        <v/>
      </c>
      <c r="AL224" s="9">
        <f>(-2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f>
        <v/>
      </c>
      <c r="AM224" s="9">
        <f>(-2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f>
        <v/>
      </c>
      <c r="AN224" s="9">
        <f>(-2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f>
        <v/>
      </c>
      <c r="AO224" s="9">
        <f>(-2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f>
        <v/>
      </c>
      <c r="AP224" s="10" t="n"/>
      <c r="AQ224" s="9">
        <f>A224</f>
        <v/>
      </c>
      <c r="AR224" s="9">
        <f>0</f>
        <v/>
      </c>
      <c r="AS224" s="9">
        <f>IF(OR(Inputs!$F$6=TRUE,Inputs!$F$6="TRUE",Inputs!$F$6=1),IF(OR(Inputs!$C$27=TRUE,Inputs!$C$27="TRUE",Inputs!$C$27=1),1,0)*(Inputs!$C$51*(115*EXP(-(((Inputs!$C$6)-25)^2)/(4.5^2))+70*EXP(-(((Inputs!$C$6)+38)^2)/(7^2))*(0.55+0.45*SIN(2*PI()*((Inputs!$I$6+(((A224)+1)/2)*(Inputs!$J$6-Inputs!$I$6)))/45))+24*SIN(2*PI()*(Inputs!$C$6)/9+((Inputs!$I$6+(((A224)+1)/2)*(Inputs!$J$6-Inputs!$I$6)))/18)*EXP(-(((Inputs!$C$6)+5)^2)/(22^2))+18*SIN(2*PI()*((Inputs!$I$6+(((A224)+1)/2)*(Inputs!$J$6-Inputs!$I$6)))/70))+Inputs!$C$28*EXP(-((((Inputs!$I$6+(((A224)+1)/2)*(Inputs!$J$6-Inputs!$I$6)))-Inputs!$C$29)^2)/(2*Inputs!$C$31^2))*EXP(-(((Inputs!$C$6)-Inputs!$C$30)^2)/(2*Inputs!$C$32^2))+-Inputs!$C$33*EXP(-((((((Inputs!$I$6+(((A224)+1)/2)*(Inputs!$J$6-Inputs!$I$6)))-Inputs!$C$34)^2)+(((Inputs!$C$6)-Inputs!$C$35)^2))/(2*Inputs!$C$36^2)))+Inputs!$C$37*(0.55*SIN(2*PI()*((Inputs!$I$6+(((A224)+1)/2)*(Inputs!$J$6-Inputs!$I$6)))/Inputs!$C$39)+0.35*COS(2*PI()*(Inputs!$C$6)/Inputs!$C$40)+0.2*SIN(2*PI()*(((Inputs!$I$6+(((A224)+1)/2)*(Inputs!$J$6-Inputs!$I$6)))+(Inputs!$C$6))/(0.5*(Inputs!$C$39+Inputs!$C$40))))+Inputs!$C$38*SIN(2*PI()*((Inputs!$I$6+(((A224)+1)/2)*(Inputs!$J$6-Inputs!$I$6)))/Inputs!$C$39)*SIN(2*PI()*(Inputs!$C$6)/Inputs!$C$40)+-Inputs!$C$41*EXP(-(((Inputs!$C$6)-Inputs!$C$43)^2)/(2*Inputs!$C$44^2))*EXP(-((((Inputs!$I$6+(((A224)+1)/2)*(Inputs!$J$6-Inputs!$I$6)))-Inputs!$C$42)^2)/(2*Inputs!$C$45^2))+Inputs!$C$48*(0.7*(0.45*SIN(2*PI()*((((Inputs!$I$6+(((A224)+1)/2)*(Inputs!$J$6-Inputs!$I$6)))/Inputs!$C$49)+Inputs!$C$47*0.137))+0.35*COS(2*PI()*(((Inputs!$C$6)/Inputs!$C$50)+Inputs!$C$47*0.173))+0.2*SIN(2*PI()*((((Inputs!$I$6+(((A224)+1)/2)*(Inputs!$J$6-Inputs!$I$6)))+(Inputs!$C$6))/(0.5*(Inputs!$C$49+Inputs!$C$50))+Inputs!$C$47*0.097)))+0.3*(2*((SIN((((Inputs!$I$6+(((A224)+1)/2)*(Inputs!$J$6-Inputs!$I$6)))*12.9898+(Inputs!$C$6)*78.233+Inputs!$C$47*37.719))*43758.5453)-INT((SIN((((Inputs!$I$6+(((A224)+1)/2)*(Inputs!$J$6-Inputs!$I$6)))*12.9898+(Inputs!$C$6)*78.233+Inputs!$C$47*37.719))*43758.5453)))-1))),NA())</f>
        <v/>
      </c>
      <c r="AT224" s="9">
        <f>IF(OR(Inputs!$F$7=TRUE,Inputs!$F$7="TRUE",Inputs!$F$7=1),IF(OR(Inputs!$C$27=TRUE,Inputs!$C$27="TRUE",Inputs!$C$27=1),1,0)*(Inputs!$C$51*(115*EXP(-(((Inputs!$C$6)-25)^2)/(4.5^2))+70*EXP(-(((Inputs!$C$6)+38)^2)/(7^2))*(0.55+0.45*SIN(2*PI()*((Inputs!$I$7+(((A224)+1)/2)*(Inputs!$J$7-Inputs!$I$7)))/45))+24*SIN(2*PI()*(Inputs!$C$6)/9+((Inputs!$I$7+(((A224)+1)/2)*(Inputs!$J$7-Inputs!$I$7)))/18)*EXP(-(((Inputs!$C$6)+5)^2)/(22^2))+18*SIN(2*PI()*((Inputs!$I$7+(((A224)+1)/2)*(Inputs!$J$7-Inputs!$I$7)))/70))+Inputs!$C$28*EXP(-((((Inputs!$I$7+(((A224)+1)/2)*(Inputs!$J$7-Inputs!$I$7)))-Inputs!$C$29)^2)/(2*Inputs!$C$31^2))*EXP(-(((Inputs!$C$6)-Inputs!$C$30)^2)/(2*Inputs!$C$32^2))+-Inputs!$C$33*EXP(-((((((Inputs!$I$7+(((A224)+1)/2)*(Inputs!$J$7-Inputs!$I$7)))-Inputs!$C$34)^2)+(((Inputs!$C$6)-Inputs!$C$35)^2))/(2*Inputs!$C$36^2)))+Inputs!$C$37*(0.55*SIN(2*PI()*((Inputs!$I$7+(((A224)+1)/2)*(Inputs!$J$7-Inputs!$I$7)))/Inputs!$C$39)+0.35*COS(2*PI()*(Inputs!$C$6)/Inputs!$C$40)+0.2*SIN(2*PI()*(((Inputs!$I$7+(((A224)+1)/2)*(Inputs!$J$7-Inputs!$I$7)))+(Inputs!$C$6))/(0.5*(Inputs!$C$39+Inputs!$C$40))))+Inputs!$C$38*SIN(2*PI()*((Inputs!$I$7+(((A224)+1)/2)*(Inputs!$J$7-Inputs!$I$7)))/Inputs!$C$39)*SIN(2*PI()*(Inputs!$C$6)/Inputs!$C$40)+-Inputs!$C$41*EXP(-(((Inputs!$C$6)-Inputs!$C$43)^2)/(2*Inputs!$C$44^2))*EXP(-((((Inputs!$I$7+(((A224)+1)/2)*(Inputs!$J$7-Inputs!$I$7)))-Inputs!$C$42)^2)/(2*Inputs!$C$45^2))+Inputs!$C$48*(0.7*(0.45*SIN(2*PI()*((((Inputs!$I$7+(((A224)+1)/2)*(Inputs!$J$7-Inputs!$I$7)))/Inputs!$C$49)+Inputs!$C$47*0.137))+0.35*COS(2*PI()*(((Inputs!$C$6)/Inputs!$C$50)+Inputs!$C$47*0.173))+0.2*SIN(2*PI()*((((Inputs!$I$7+(((A224)+1)/2)*(Inputs!$J$7-Inputs!$I$7)))+(Inputs!$C$6))/(0.5*(Inputs!$C$49+Inputs!$C$50))+Inputs!$C$47*0.097)))+0.3*(2*((SIN((((Inputs!$I$7+(((A224)+1)/2)*(Inputs!$J$7-Inputs!$I$7)))*12.9898+(Inputs!$C$6)*78.233+Inputs!$C$47*37.719))*43758.5453)-INT((SIN((((Inputs!$I$7+(((A224)+1)/2)*(Inputs!$J$7-Inputs!$I$7)))*12.9898+(Inputs!$C$6)*78.233+Inputs!$C$47*37.719))*43758.5453)))-1))),NA())</f>
        <v/>
      </c>
      <c r="AU224" s="9">
        <f>IF(OR(Inputs!$F$8=TRUE,Inputs!$F$8="TRUE",Inputs!$F$8=1),IF(OR(Inputs!$C$27=TRUE,Inputs!$C$27="TRUE",Inputs!$C$27=1),1,0)*(Inputs!$C$51*(115*EXP(-(((Inputs!$C$6)-25)^2)/(4.5^2))+70*EXP(-(((Inputs!$C$6)+38)^2)/(7^2))*(0.55+0.45*SIN(2*PI()*((Inputs!$I$8+(((A224)+1)/2)*(Inputs!$J$8-Inputs!$I$8)))/45))+24*SIN(2*PI()*(Inputs!$C$6)/9+((Inputs!$I$8+(((A224)+1)/2)*(Inputs!$J$8-Inputs!$I$8)))/18)*EXP(-(((Inputs!$C$6)+5)^2)/(22^2))+18*SIN(2*PI()*((Inputs!$I$8+(((A224)+1)/2)*(Inputs!$J$8-Inputs!$I$8)))/70))+Inputs!$C$28*EXP(-((((Inputs!$I$8+(((A224)+1)/2)*(Inputs!$J$8-Inputs!$I$8)))-Inputs!$C$29)^2)/(2*Inputs!$C$31^2))*EXP(-(((Inputs!$C$6)-Inputs!$C$30)^2)/(2*Inputs!$C$32^2))+-Inputs!$C$33*EXP(-((((((Inputs!$I$8+(((A224)+1)/2)*(Inputs!$J$8-Inputs!$I$8)))-Inputs!$C$34)^2)+(((Inputs!$C$6)-Inputs!$C$35)^2))/(2*Inputs!$C$36^2)))+Inputs!$C$37*(0.55*SIN(2*PI()*((Inputs!$I$8+(((A224)+1)/2)*(Inputs!$J$8-Inputs!$I$8)))/Inputs!$C$39)+0.35*COS(2*PI()*(Inputs!$C$6)/Inputs!$C$40)+0.2*SIN(2*PI()*(((Inputs!$I$8+(((A224)+1)/2)*(Inputs!$J$8-Inputs!$I$8)))+(Inputs!$C$6))/(0.5*(Inputs!$C$39+Inputs!$C$40))))+Inputs!$C$38*SIN(2*PI()*((Inputs!$I$8+(((A224)+1)/2)*(Inputs!$J$8-Inputs!$I$8)))/Inputs!$C$39)*SIN(2*PI()*(Inputs!$C$6)/Inputs!$C$40)+-Inputs!$C$41*EXP(-(((Inputs!$C$6)-Inputs!$C$43)^2)/(2*Inputs!$C$44^2))*EXP(-((((Inputs!$I$8+(((A224)+1)/2)*(Inputs!$J$8-Inputs!$I$8)))-Inputs!$C$42)^2)/(2*Inputs!$C$45^2))+Inputs!$C$48*(0.7*(0.45*SIN(2*PI()*((((Inputs!$I$8+(((A224)+1)/2)*(Inputs!$J$8-Inputs!$I$8)))/Inputs!$C$49)+Inputs!$C$47*0.137))+0.35*COS(2*PI()*(((Inputs!$C$6)/Inputs!$C$50)+Inputs!$C$47*0.173))+0.2*SIN(2*PI()*((((Inputs!$I$8+(((A224)+1)/2)*(Inputs!$J$8-Inputs!$I$8)))+(Inputs!$C$6))/(0.5*(Inputs!$C$49+Inputs!$C$50))+Inputs!$C$47*0.097)))+0.3*(2*((SIN((((Inputs!$I$8+(((A224)+1)/2)*(Inputs!$J$8-Inputs!$I$8)))*12.9898+(Inputs!$C$6)*78.233+Inputs!$C$47*37.719))*43758.5453)-INT((SIN((((Inputs!$I$8+(((A224)+1)/2)*(Inputs!$J$8-Inputs!$I$8)))*12.9898+(Inputs!$C$6)*78.233+Inputs!$C$47*37.719))*43758.5453)))-1))),NA())</f>
        <v/>
      </c>
      <c r="AV224" s="9">
        <f>IF(OR(Inputs!$F$9=TRUE,Inputs!$F$9="TRUE",Inputs!$F$9=1),IF(OR(Inputs!$C$27=TRUE,Inputs!$C$27="TRUE",Inputs!$C$27=1),1,0)*(Inputs!$C$51*(115*EXP(-(((Inputs!$C$6)-25)^2)/(4.5^2))+70*EXP(-(((Inputs!$C$6)+38)^2)/(7^2))*(0.55+0.45*SIN(2*PI()*((Inputs!$I$9+(((A224)+1)/2)*(Inputs!$J$9-Inputs!$I$9)))/45))+24*SIN(2*PI()*(Inputs!$C$6)/9+((Inputs!$I$9+(((A224)+1)/2)*(Inputs!$J$9-Inputs!$I$9)))/18)*EXP(-(((Inputs!$C$6)+5)^2)/(22^2))+18*SIN(2*PI()*((Inputs!$I$9+(((A224)+1)/2)*(Inputs!$J$9-Inputs!$I$9)))/70))+Inputs!$C$28*EXP(-((((Inputs!$I$9+(((A224)+1)/2)*(Inputs!$J$9-Inputs!$I$9)))-Inputs!$C$29)^2)/(2*Inputs!$C$31^2))*EXP(-(((Inputs!$C$6)-Inputs!$C$30)^2)/(2*Inputs!$C$32^2))+-Inputs!$C$33*EXP(-((((((Inputs!$I$9+(((A224)+1)/2)*(Inputs!$J$9-Inputs!$I$9)))-Inputs!$C$34)^2)+(((Inputs!$C$6)-Inputs!$C$35)^2))/(2*Inputs!$C$36^2)))+Inputs!$C$37*(0.55*SIN(2*PI()*((Inputs!$I$9+(((A224)+1)/2)*(Inputs!$J$9-Inputs!$I$9)))/Inputs!$C$39)+0.35*COS(2*PI()*(Inputs!$C$6)/Inputs!$C$40)+0.2*SIN(2*PI()*(((Inputs!$I$9+(((A224)+1)/2)*(Inputs!$J$9-Inputs!$I$9)))+(Inputs!$C$6))/(0.5*(Inputs!$C$39+Inputs!$C$40))))+Inputs!$C$38*SIN(2*PI()*((Inputs!$I$9+(((A224)+1)/2)*(Inputs!$J$9-Inputs!$I$9)))/Inputs!$C$39)*SIN(2*PI()*(Inputs!$C$6)/Inputs!$C$40)+-Inputs!$C$41*EXP(-(((Inputs!$C$6)-Inputs!$C$43)^2)/(2*Inputs!$C$44^2))*EXP(-((((Inputs!$I$9+(((A224)+1)/2)*(Inputs!$J$9-Inputs!$I$9)))-Inputs!$C$42)^2)/(2*Inputs!$C$45^2))+Inputs!$C$48*(0.7*(0.45*SIN(2*PI()*((((Inputs!$I$9+(((A224)+1)/2)*(Inputs!$J$9-Inputs!$I$9)))/Inputs!$C$49)+Inputs!$C$47*0.137))+0.35*COS(2*PI()*(((Inputs!$C$6)/Inputs!$C$50)+Inputs!$C$47*0.173))+0.2*SIN(2*PI()*((((Inputs!$I$9+(((A224)+1)/2)*(Inputs!$J$9-Inputs!$I$9)))+(Inputs!$C$6))/(0.5*(Inputs!$C$49+Inputs!$C$50))+Inputs!$C$47*0.097)))+0.3*(2*((SIN((((Inputs!$I$9+(((A224)+1)/2)*(Inputs!$J$9-Inputs!$I$9)))*12.9898+(Inputs!$C$6)*78.233+Inputs!$C$47*37.719))*43758.5453)-INT((SIN((((Inputs!$I$9+(((A224)+1)/2)*(Inputs!$J$9-Inputs!$I$9)))*12.9898+(Inputs!$C$6)*78.233+Inputs!$C$47*37.719))*43758.5453)))-1))),NA())</f>
        <v/>
      </c>
      <c r="AW224" s="10" t="n"/>
      <c r="AX224" s="9">
        <f>A224</f>
        <v/>
      </c>
      <c r="AY224" s="9">
        <f>0</f>
        <v/>
      </c>
      <c r="AZ224" s="9">
        <f>IF(OR(Inputs!$F$6=TRUE,Inputs!$F$6="TRUE",Inputs!$F$6=1),(Inputs!$H$6+Inputs!$L$6*(((Inputs!$I$6+(((A224)+1)/2)*(Inputs!$J$6-Inputs!$I$6)))/Inputs!$K$6)^2),NA())</f>
        <v/>
      </c>
      <c r="BA224" s="9">
        <f>IF(OR(Inputs!$F$7=TRUE,Inputs!$F$7="TRUE",Inputs!$F$7=1),(Inputs!$H$7+Inputs!$L$7*(((Inputs!$I$7+(((A224)+1)/2)*(Inputs!$J$7-Inputs!$I$7)))/Inputs!$K$7)^2),NA())</f>
        <v/>
      </c>
      <c r="BB224" s="9">
        <f>IF(OR(Inputs!$F$8=TRUE,Inputs!$F$8="TRUE",Inputs!$F$8=1),(Inputs!$H$8+Inputs!$L$8*(((Inputs!$I$8+(((A224)+1)/2)*(Inputs!$J$8-Inputs!$I$8)))/Inputs!$K$8)^2),NA())</f>
        <v/>
      </c>
      <c r="BC224" s="9">
        <f>IF(OR(Inputs!$F$9=TRUE,Inputs!$F$9="TRUE",Inputs!$F$9=1),(Inputs!$H$9+Inputs!$L$9*(((Inputs!$I$9+(((A224)+1)/2)*(Inputs!$J$9-Inputs!$I$9)))/Inputs!$K$9)^2),NA())</f>
        <v/>
      </c>
      <c r="BD224" s="10" t="n"/>
      <c r="BE224" s="9">
        <f>A224</f>
        <v/>
      </c>
      <c r="BF224" s="9">
        <f>0</f>
        <v/>
      </c>
      <c r="BG224" s="9">
        <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f>
        <v/>
      </c>
      <c r="BH224" s="9">
        <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f>
        <v/>
      </c>
      <c r="BI224" s="9">
        <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f>
        <v/>
      </c>
      <c r="BJ224" s="9">
        <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f>
        <v/>
      </c>
    </row>
    <row r="225">
      <c r="A225" s="9">
        <f>ROUND(-1+223*2/240,3)</f>
        <v/>
      </c>
      <c r="B225" s="9">
        <f>IF(OR(Inputs!$F$6=TRUE,Inputs!$F$6="TRUE",Inputs!$F$6=1),(Inputs!$H$6+Inputs!$L$6*(((Inputs!$I$6+(((A225)+1)/2)*(Inputs!$J$6-Inputs!$I$6)))/Inputs!$K$6)^2),NA())</f>
        <v/>
      </c>
      <c r="C225" s="9">
        <f>IF(OR(Inputs!$F$7=TRUE,Inputs!$F$7="TRUE",Inputs!$F$7=1),(Inputs!$H$7+Inputs!$L$7*(((Inputs!$I$7+(((A225)+1)/2)*(Inputs!$J$7-Inputs!$I$7)))/Inputs!$K$7)^2),NA())</f>
        <v/>
      </c>
      <c r="D225" s="9">
        <f>IF(OR(Inputs!$F$8=TRUE,Inputs!$F$8="TRUE",Inputs!$F$8=1),(Inputs!$H$8+Inputs!$L$8*(((Inputs!$I$8+(((A225)+1)/2)*(Inputs!$J$8-Inputs!$I$8)))/Inputs!$K$8)^2),NA())</f>
        <v/>
      </c>
      <c r="E225" s="9">
        <f>IF(OR(Inputs!$F$9=TRUE,Inputs!$F$9="TRUE",Inputs!$F$9=1),(Inputs!$H$9+Inputs!$L$9*(((Inputs!$I$9+(((A225)+1)/2)*(Inputs!$J$9-Inputs!$I$9)))/Inputs!$K$9)^2),NA())</f>
        <v/>
      </c>
      <c r="F225" s="10" t="n"/>
      <c r="G225" s="9">
        <f>A225</f>
        <v/>
      </c>
      <c r="H225" s="9">
        <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f>
        <v/>
      </c>
      <c r="I225" s="9">
        <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f>
        <v/>
      </c>
      <c r="J225" s="9">
        <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f>
        <v/>
      </c>
      <c r="K225" s="9">
        <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f>
        <v/>
      </c>
      <c r="L225" s="10" t="n"/>
      <c r="M225" s="9">
        <f>A225</f>
        <v/>
      </c>
      <c r="N225" s="9">
        <f>IF(OR(Inputs!$F$6=TRUE,Inputs!$F$6="TRUE",Inputs!$F$6=1),(-2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NA())</f>
        <v/>
      </c>
      <c r="O225" s="9">
        <f>IF(OR(Inputs!$F$7=TRUE,Inputs!$F$7="TRUE",Inputs!$F$7=1),(-2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NA())</f>
        <v/>
      </c>
      <c r="P225" s="9">
        <f>IF(OR(Inputs!$F$8=TRUE,Inputs!$F$8="TRUE",Inputs!$F$8=1),(-2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NA())</f>
        <v/>
      </c>
      <c r="Q225" s="9">
        <f>IF(OR(Inputs!$F$9=TRUE,Inputs!$F$9="TRUE",Inputs!$F$9=1),(-2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NA())</f>
        <v/>
      </c>
      <c r="R225" s="10" t="n"/>
      <c r="S225" s="9">
        <f>A225</f>
        <v/>
      </c>
      <c r="T225" s="9">
        <f>(Inputs!$I$6+(((A225)+1)/2)*(Inputs!$J$6-Inputs!$I$6))</f>
        <v/>
      </c>
      <c r="U225" s="9">
        <f>(Inputs!$I$7+(((A225)+1)/2)*(Inputs!$J$7-Inputs!$I$7))</f>
        <v/>
      </c>
      <c r="V225" s="9">
        <f>(Inputs!$I$8+(((A225)+1)/2)*(Inputs!$J$8-Inputs!$I$8))</f>
        <v/>
      </c>
      <c r="W225" s="9">
        <f>(Inputs!$I$9+(((A225)+1)/2)*(Inputs!$J$9-Inputs!$I$9))</f>
        <v/>
      </c>
      <c r="X225" s="10" t="n"/>
      <c r="Y225" s="9">
        <f>A225</f>
        <v/>
      </c>
      <c r="Z225" s="9">
        <f>(Inputs!$H$6+Inputs!$L$6*(((Inputs!$I$6+(((A225)+1)/2)*(Inputs!$J$6-Inputs!$I$6)))/Inputs!$K$6)^2)</f>
        <v/>
      </c>
      <c r="AA225" s="9">
        <f>(Inputs!$H$7+Inputs!$L$7*(((Inputs!$I$7+(((A225)+1)/2)*(Inputs!$J$7-Inputs!$I$7)))/Inputs!$K$7)^2)</f>
        <v/>
      </c>
      <c r="AB225" s="9">
        <f>(Inputs!$H$8+Inputs!$L$8*(((Inputs!$I$8+(((A225)+1)/2)*(Inputs!$J$8-Inputs!$I$8)))/Inputs!$K$8)^2)</f>
        <v/>
      </c>
      <c r="AC225" s="9">
        <f>(Inputs!$H$9+Inputs!$L$9*(((Inputs!$I$9+(((A225)+1)/2)*(Inputs!$J$9-Inputs!$I$9)))/Inputs!$K$9)^2)</f>
        <v/>
      </c>
      <c r="AD225" s="10" t="n"/>
      <c r="AE225" s="9">
        <f>A225</f>
        <v/>
      </c>
      <c r="AF225" s="9">
        <f>(((SQRT((Inputs!$C$52+((Inputs!$H$6+Inputs!$L$6*(((Inputs!$I$6+(((A225)+1)/2)*(Inputs!$J$6-Inputs!$I$6)))/Inputs!$K$6)^2)))^2+Inputs!$C$52^2-2*(Inputs!$C$52+((Inputs!$H$6+Inputs!$L$6*(((Inputs!$I$6+(((A225)+1)/2)*(Inputs!$J$6-Inputs!$I$6)))/Inputs!$K$6)^2)))*Inputs!$C$52*COS(SQRT(((Inputs!$I$6+(((A225)+1)/2)*(Inputs!$J$6-Inputs!$I$6)))^2+Inputs!$C$6^2)/Inputs!$C$52)))-((Inputs!$H$6+Inputs!$L$6*(((Inputs!$I$6+(((A225)+1)/2)*(Inputs!$J$6-Inputs!$I$6)))/Inputs!$K$6)^2)))*1000/Inputs!$C$12)</f>
        <v/>
      </c>
      <c r="AG225" s="9">
        <f>(((SQRT((Inputs!$C$52+((Inputs!$H$7+Inputs!$L$7*(((Inputs!$I$7+(((A225)+1)/2)*(Inputs!$J$7-Inputs!$I$7)))/Inputs!$K$7)^2)))^2+Inputs!$C$52^2-2*(Inputs!$C$52+((Inputs!$H$7+Inputs!$L$7*(((Inputs!$I$7+(((A225)+1)/2)*(Inputs!$J$7-Inputs!$I$7)))/Inputs!$K$7)^2)))*Inputs!$C$52*COS(SQRT(((Inputs!$I$7+(((A225)+1)/2)*(Inputs!$J$7-Inputs!$I$7)))^2+Inputs!$C$6^2)/Inputs!$C$52)))-((Inputs!$H$7+Inputs!$L$7*(((Inputs!$I$7+(((A225)+1)/2)*(Inputs!$J$7-Inputs!$I$7)))/Inputs!$K$7)^2)))*1000/Inputs!$C$12)</f>
        <v/>
      </c>
      <c r="AH225" s="9">
        <f>(((SQRT((Inputs!$C$52+((Inputs!$H$8+Inputs!$L$8*(((Inputs!$I$8+(((A225)+1)/2)*(Inputs!$J$8-Inputs!$I$8)))/Inputs!$K$8)^2)))^2+Inputs!$C$52^2-2*(Inputs!$C$52+((Inputs!$H$8+Inputs!$L$8*(((Inputs!$I$8+(((A225)+1)/2)*(Inputs!$J$8-Inputs!$I$8)))/Inputs!$K$8)^2)))*Inputs!$C$52*COS(SQRT(((Inputs!$I$8+(((A225)+1)/2)*(Inputs!$J$8-Inputs!$I$8)))^2+Inputs!$C$6^2)/Inputs!$C$52)))-((Inputs!$H$8+Inputs!$L$8*(((Inputs!$I$8+(((A225)+1)/2)*(Inputs!$J$8-Inputs!$I$8)))/Inputs!$K$8)^2)))*1000/Inputs!$C$12)</f>
        <v/>
      </c>
      <c r="AI225" s="9">
        <f>(((SQRT((Inputs!$C$52+((Inputs!$H$9+Inputs!$L$9*(((Inputs!$I$9+(((A225)+1)/2)*(Inputs!$J$9-Inputs!$I$9)))/Inputs!$K$9)^2)))^2+Inputs!$C$52^2-2*(Inputs!$C$52+((Inputs!$H$9+Inputs!$L$9*(((Inputs!$I$9+(((A225)+1)/2)*(Inputs!$J$9-Inputs!$I$9)))/Inputs!$K$9)^2)))*Inputs!$C$52*COS(SQRT(((Inputs!$I$9+(((A225)+1)/2)*(Inputs!$J$9-Inputs!$I$9)))^2+Inputs!$C$6^2)/Inputs!$C$52)))-((Inputs!$H$9+Inputs!$L$9*(((Inputs!$I$9+(((A225)+1)/2)*(Inputs!$J$9-Inputs!$I$9)))/Inputs!$K$9)^2)))*1000/Inputs!$C$12)</f>
        <v/>
      </c>
      <c r="AJ225" s="10" t="n"/>
      <c r="AK225" s="9">
        <f>A225</f>
        <v/>
      </c>
      <c r="AL225" s="9">
        <f>(-2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f>
        <v/>
      </c>
      <c r="AM225" s="9">
        <f>(-2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f>
        <v/>
      </c>
      <c r="AN225" s="9">
        <f>(-2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f>
        <v/>
      </c>
      <c r="AO225" s="9">
        <f>(-2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f>
        <v/>
      </c>
      <c r="AP225" s="10" t="n"/>
      <c r="AQ225" s="9">
        <f>A225</f>
        <v/>
      </c>
      <c r="AR225" s="9">
        <f>0</f>
        <v/>
      </c>
      <c r="AS225" s="9">
        <f>IF(OR(Inputs!$F$6=TRUE,Inputs!$F$6="TRUE",Inputs!$F$6=1),IF(OR(Inputs!$C$27=TRUE,Inputs!$C$27="TRUE",Inputs!$C$27=1),1,0)*(Inputs!$C$51*(115*EXP(-(((Inputs!$C$6)-25)^2)/(4.5^2))+70*EXP(-(((Inputs!$C$6)+38)^2)/(7^2))*(0.55+0.45*SIN(2*PI()*((Inputs!$I$6+(((A225)+1)/2)*(Inputs!$J$6-Inputs!$I$6)))/45))+24*SIN(2*PI()*(Inputs!$C$6)/9+((Inputs!$I$6+(((A225)+1)/2)*(Inputs!$J$6-Inputs!$I$6)))/18)*EXP(-(((Inputs!$C$6)+5)^2)/(22^2))+18*SIN(2*PI()*((Inputs!$I$6+(((A225)+1)/2)*(Inputs!$J$6-Inputs!$I$6)))/70))+Inputs!$C$28*EXP(-((((Inputs!$I$6+(((A225)+1)/2)*(Inputs!$J$6-Inputs!$I$6)))-Inputs!$C$29)^2)/(2*Inputs!$C$31^2))*EXP(-(((Inputs!$C$6)-Inputs!$C$30)^2)/(2*Inputs!$C$32^2))+-Inputs!$C$33*EXP(-((((((Inputs!$I$6+(((A225)+1)/2)*(Inputs!$J$6-Inputs!$I$6)))-Inputs!$C$34)^2)+(((Inputs!$C$6)-Inputs!$C$35)^2))/(2*Inputs!$C$36^2)))+Inputs!$C$37*(0.55*SIN(2*PI()*((Inputs!$I$6+(((A225)+1)/2)*(Inputs!$J$6-Inputs!$I$6)))/Inputs!$C$39)+0.35*COS(2*PI()*(Inputs!$C$6)/Inputs!$C$40)+0.2*SIN(2*PI()*(((Inputs!$I$6+(((A225)+1)/2)*(Inputs!$J$6-Inputs!$I$6)))+(Inputs!$C$6))/(0.5*(Inputs!$C$39+Inputs!$C$40))))+Inputs!$C$38*SIN(2*PI()*((Inputs!$I$6+(((A225)+1)/2)*(Inputs!$J$6-Inputs!$I$6)))/Inputs!$C$39)*SIN(2*PI()*(Inputs!$C$6)/Inputs!$C$40)+-Inputs!$C$41*EXP(-(((Inputs!$C$6)-Inputs!$C$43)^2)/(2*Inputs!$C$44^2))*EXP(-((((Inputs!$I$6+(((A225)+1)/2)*(Inputs!$J$6-Inputs!$I$6)))-Inputs!$C$42)^2)/(2*Inputs!$C$45^2))+Inputs!$C$48*(0.7*(0.45*SIN(2*PI()*((((Inputs!$I$6+(((A225)+1)/2)*(Inputs!$J$6-Inputs!$I$6)))/Inputs!$C$49)+Inputs!$C$47*0.137))+0.35*COS(2*PI()*(((Inputs!$C$6)/Inputs!$C$50)+Inputs!$C$47*0.173))+0.2*SIN(2*PI()*((((Inputs!$I$6+(((A225)+1)/2)*(Inputs!$J$6-Inputs!$I$6)))+(Inputs!$C$6))/(0.5*(Inputs!$C$49+Inputs!$C$50))+Inputs!$C$47*0.097)))+0.3*(2*((SIN((((Inputs!$I$6+(((A225)+1)/2)*(Inputs!$J$6-Inputs!$I$6)))*12.9898+(Inputs!$C$6)*78.233+Inputs!$C$47*37.719))*43758.5453)-INT((SIN((((Inputs!$I$6+(((A225)+1)/2)*(Inputs!$J$6-Inputs!$I$6)))*12.9898+(Inputs!$C$6)*78.233+Inputs!$C$47*37.719))*43758.5453)))-1))),NA())</f>
        <v/>
      </c>
      <c r="AT225" s="9">
        <f>IF(OR(Inputs!$F$7=TRUE,Inputs!$F$7="TRUE",Inputs!$F$7=1),IF(OR(Inputs!$C$27=TRUE,Inputs!$C$27="TRUE",Inputs!$C$27=1),1,0)*(Inputs!$C$51*(115*EXP(-(((Inputs!$C$6)-25)^2)/(4.5^2))+70*EXP(-(((Inputs!$C$6)+38)^2)/(7^2))*(0.55+0.45*SIN(2*PI()*((Inputs!$I$7+(((A225)+1)/2)*(Inputs!$J$7-Inputs!$I$7)))/45))+24*SIN(2*PI()*(Inputs!$C$6)/9+((Inputs!$I$7+(((A225)+1)/2)*(Inputs!$J$7-Inputs!$I$7)))/18)*EXP(-(((Inputs!$C$6)+5)^2)/(22^2))+18*SIN(2*PI()*((Inputs!$I$7+(((A225)+1)/2)*(Inputs!$J$7-Inputs!$I$7)))/70))+Inputs!$C$28*EXP(-((((Inputs!$I$7+(((A225)+1)/2)*(Inputs!$J$7-Inputs!$I$7)))-Inputs!$C$29)^2)/(2*Inputs!$C$31^2))*EXP(-(((Inputs!$C$6)-Inputs!$C$30)^2)/(2*Inputs!$C$32^2))+-Inputs!$C$33*EXP(-((((((Inputs!$I$7+(((A225)+1)/2)*(Inputs!$J$7-Inputs!$I$7)))-Inputs!$C$34)^2)+(((Inputs!$C$6)-Inputs!$C$35)^2))/(2*Inputs!$C$36^2)))+Inputs!$C$37*(0.55*SIN(2*PI()*((Inputs!$I$7+(((A225)+1)/2)*(Inputs!$J$7-Inputs!$I$7)))/Inputs!$C$39)+0.35*COS(2*PI()*(Inputs!$C$6)/Inputs!$C$40)+0.2*SIN(2*PI()*(((Inputs!$I$7+(((A225)+1)/2)*(Inputs!$J$7-Inputs!$I$7)))+(Inputs!$C$6))/(0.5*(Inputs!$C$39+Inputs!$C$40))))+Inputs!$C$38*SIN(2*PI()*((Inputs!$I$7+(((A225)+1)/2)*(Inputs!$J$7-Inputs!$I$7)))/Inputs!$C$39)*SIN(2*PI()*(Inputs!$C$6)/Inputs!$C$40)+-Inputs!$C$41*EXP(-(((Inputs!$C$6)-Inputs!$C$43)^2)/(2*Inputs!$C$44^2))*EXP(-((((Inputs!$I$7+(((A225)+1)/2)*(Inputs!$J$7-Inputs!$I$7)))-Inputs!$C$42)^2)/(2*Inputs!$C$45^2))+Inputs!$C$48*(0.7*(0.45*SIN(2*PI()*((((Inputs!$I$7+(((A225)+1)/2)*(Inputs!$J$7-Inputs!$I$7)))/Inputs!$C$49)+Inputs!$C$47*0.137))+0.35*COS(2*PI()*(((Inputs!$C$6)/Inputs!$C$50)+Inputs!$C$47*0.173))+0.2*SIN(2*PI()*((((Inputs!$I$7+(((A225)+1)/2)*(Inputs!$J$7-Inputs!$I$7)))+(Inputs!$C$6))/(0.5*(Inputs!$C$49+Inputs!$C$50))+Inputs!$C$47*0.097)))+0.3*(2*((SIN((((Inputs!$I$7+(((A225)+1)/2)*(Inputs!$J$7-Inputs!$I$7)))*12.9898+(Inputs!$C$6)*78.233+Inputs!$C$47*37.719))*43758.5453)-INT((SIN((((Inputs!$I$7+(((A225)+1)/2)*(Inputs!$J$7-Inputs!$I$7)))*12.9898+(Inputs!$C$6)*78.233+Inputs!$C$47*37.719))*43758.5453)))-1))),NA())</f>
        <v/>
      </c>
      <c r="AU225" s="9">
        <f>IF(OR(Inputs!$F$8=TRUE,Inputs!$F$8="TRUE",Inputs!$F$8=1),IF(OR(Inputs!$C$27=TRUE,Inputs!$C$27="TRUE",Inputs!$C$27=1),1,0)*(Inputs!$C$51*(115*EXP(-(((Inputs!$C$6)-25)^2)/(4.5^2))+70*EXP(-(((Inputs!$C$6)+38)^2)/(7^2))*(0.55+0.45*SIN(2*PI()*((Inputs!$I$8+(((A225)+1)/2)*(Inputs!$J$8-Inputs!$I$8)))/45))+24*SIN(2*PI()*(Inputs!$C$6)/9+((Inputs!$I$8+(((A225)+1)/2)*(Inputs!$J$8-Inputs!$I$8)))/18)*EXP(-(((Inputs!$C$6)+5)^2)/(22^2))+18*SIN(2*PI()*((Inputs!$I$8+(((A225)+1)/2)*(Inputs!$J$8-Inputs!$I$8)))/70))+Inputs!$C$28*EXP(-((((Inputs!$I$8+(((A225)+1)/2)*(Inputs!$J$8-Inputs!$I$8)))-Inputs!$C$29)^2)/(2*Inputs!$C$31^2))*EXP(-(((Inputs!$C$6)-Inputs!$C$30)^2)/(2*Inputs!$C$32^2))+-Inputs!$C$33*EXP(-((((((Inputs!$I$8+(((A225)+1)/2)*(Inputs!$J$8-Inputs!$I$8)))-Inputs!$C$34)^2)+(((Inputs!$C$6)-Inputs!$C$35)^2))/(2*Inputs!$C$36^2)))+Inputs!$C$37*(0.55*SIN(2*PI()*((Inputs!$I$8+(((A225)+1)/2)*(Inputs!$J$8-Inputs!$I$8)))/Inputs!$C$39)+0.35*COS(2*PI()*(Inputs!$C$6)/Inputs!$C$40)+0.2*SIN(2*PI()*(((Inputs!$I$8+(((A225)+1)/2)*(Inputs!$J$8-Inputs!$I$8)))+(Inputs!$C$6))/(0.5*(Inputs!$C$39+Inputs!$C$40))))+Inputs!$C$38*SIN(2*PI()*((Inputs!$I$8+(((A225)+1)/2)*(Inputs!$J$8-Inputs!$I$8)))/Inputs!$C$39)*SIN(2*PI()*(Inputs!$C$6)/Inputs!$C$40)+-Inputs!$C$41*EXP(-(((Inputs!$C$6)-Inputs!$C$43)^2)/(2*Inputs!$C$44^2))*EXP(-((((Inputs!$I$8+(((A225)+1)/2)*(Inputs!$J$8-Inputs!$I$8)))-Inputs!$C$42)^2)/(2*Inputs!$C$45^2))+Inputs!$C$48*(0.7*(0.45*SIN(2*PI()*((((Inputs!$I$8+(((A225)+1)/2)*(Inputs!$J$8-Inputs!$I$8)))/Inputs!$C$49)+Inputs!$C$47*0.137))+0.35*COS(2*PI()*(((Inputs!$C$6)/Inputs!$C$50)+Inputs!$C$47*0.173))+0.2*SIN(2*PI()*((((Inputs!$I$8+(((A225)+1)/2)*(Inputs!$J$8-Inputs!$I$8)))+(Inputs!$C$6))/(0.5*(Inputs!$C$49+Inputs!$C$50))+Inputs!$C$47*0.097)))+0.3*(2*((SIN((((Inputs!$I$8+(((A225)+1)/2)*(Inputs!$J$8-Inputs!$I$8)))*12.9898+(Inputs!$C$6)*78.233+Inputs!$C$47*37.719))*43758.5453)-INT((SIN((((Inputs!$I$8+(((A225)+1)/2)*(Inputs!$J$8-Inputs!$I$8)))*12.9898+(Inputs!$C$6)*78.233+Inputs!$C$47*37.719))*43758.5453)))-1))),NA())</f>
        <v/>
      </c>
      <c r="AV225" s="9">
        <f>IF(OR(Inputs!$F$9=TRUE,Inputs!$F$9="TRUE",Inputs!$F$9=1),IF(OR(Inputs!$C$27=TRUE,Inputs!$C$27="TRUE",Inputs!$C$27=1),1,0)*(Inputs!$C$51*(115*EXP(-(((Inputs!$C$6)-25)^2)/(4.5^2))+70*EXP(-(((Inputs!$C$6)+38)^2)/(7^2))*(0.55+0.45*SIN(2*PI()*((Inputs!$I$9+(((A225)+1)/2)*(Inputs!$J$9-Inputs!$I$9)))/45))+24*SIN(2*PI()*(Inputs!$C$6)/9+((Inputs!$I$9+(((A225)+1)/2)*(Inputs!$J$9-Inputs!$I$9)))/18)*EXP(-(((Inputs!$C$6)+5)^2)/(22^2))+18*SIN(2*PI()*((Inputs!$I$9+(((A225)+1)/2)*(Inputs!$J$9-Inputs!$I$9)))/70))+Inputs!$C$28*EXP(-((((Inputs!$I$9+(((A225)+1)/2)*(Inputs!$J$9-Inputs!$I$9)))-Inputs!$C$29)^2)/(2*Inputs!$C$31^2))*EXP(-(((Inputs!$C$6)-Inputs!$C$30)^2)/(2*Inputs!$C$32^2))+-Inputs!$C$33*EXP(-((((((Inputs!$I$9+(((A225)+1)/2)*(Inputs!$J$9-Inputs!$I$9)))-Inputs!$C$34)^2)+(((Inputs!$C$6)-Inputs!$C$35)^2))/(2*Inputs!$C$36^2)))+Inputs!$C$37*(0.55*SIN(2*PI()*((Inputs!$I$9+(((A225)+1)/2)*(Inputs!$J$9-Inputs!$I$9)))/Inputs!$C$39)+0.35*COS(2*PI()*(Inputs!$C$6)/Inputs!$C$40)+0.2*SIN(2*PI()*(((Inputs!$I$9+(((A225)+1)/2)*(Inputs!$J$9-Inputs!$I$9)))+(Inputs!$C$6))/(0.5*(Inputs!$C$39+Inputs!$C$40))))+Inputs!$C$38*SIN(2*PI()*((Inputs!$I$9+(((A225)+1)/2)*(Inputs!$J$9-Inputs!$I$9)))/Inputs!$C$39)*SIN(2*PI()*(Inputs!$C$6)/Inputs!$C$40)+-Inputs!$C$41*EXP(-(((Inputs!$C$6)-Inputs!$C$43)^2)/(2*Inputs!$C$44^2))*EXP(-((((Inputs!$I$9+(((A225)+1)/2)*(Inputs!$J$9-Inputs!$I$9)))-Inputs!$C$42)^2)/(2*Inputs!$C$45^2))+Inputs!$C$48*(0.7*(0.45*SIN(2*PI()*((((Inputs!$I$9+(((A225)+1)/2)*(Inputs!$J$9-Inputs!$I$9)))/Inputs!$C$49)+Inputs!$C$47*0.137))+0.35*COS(2*PI()*(((Inputs!$C$6)/Inputs!$C$50)+Inputs!$C$47*0.173))+0.2*SIN(2*PI()*((((Inputs!$I$9+(((A225)+1)/2)*(Inputs!$J$9-Inputs!$I$9)))+(Inputs!$C$6))/(0.5*(Inputs!$C$49+Inputs!$C$50))+Inputs!$C$47*0.097)))+0.3*(2*((SIN((((Inputs!$I$9+(((A225)+1)/2)*(Inputs!$J$9-Inputs!$I$9)))*12.9898+(Inputs!$C$6)*78.233+Inputs!$C$47*37.719))*43758.5453)-INT((SIN((((Inputs!$I$9+(((A225)+1)/2)*(Inputs!$J$9-Inputs!$I$9)))*12.9898+(Inputs!$C$6)*78.233+Inputs!$C$47*37.719))*43758.5453)))-1))),NA())</f>
        <v/>
      </c>
      <c r="AW225" s="10" t="n"/>
      <c r="AX225" s="9">
        <f>A225</f>
        <v/>
      </c>
      <c r="AY225" s="9">
        <f>0</f>
        <v/>
      </c>
      <c r="AZ225" s="9">
        <f>IF(OR(Inputs!$F$6=TRUE,Inputs!$F$6="TRUE",Inputs!$F$6=1),(Inputs!$H$6+Inputs!$L$6*(((Inputs!$I$6+(((A225)+1)/2)*(Inputs!$J$6-Inputs!$I$6)))/Inputs!$K$6)^2),NA())</f>
        <v/>
      </c>
      <c r="BA225" s="9">
        <f>IF(OR(Inputs!$F$7=TRUE,Inputs!$F$7="TRUE",Inputs!$F$7=1),(Inputs!$H$7+Inputs!$L$7*(((Inputs!$I$7+(((A225)+1)/2)*(Inputs!$J$7-Inputs!$I$7)))/Inputs!$K$7)^2),NA())</f>
        <v/>
      </c>
      <c r="BB225" s="9">
        <f>IF(OR(Inputs!$F$8=TRUE,Inputs!$F$8="TRUE",Inputs!$F$8=1),(Inputs!$H$8+Inputs!$L$8*(((Inputs!$I$8+(((A225)+1)/2)*(Inputs!$J$8-Inputs!$I$8)))/Inputs!$K$8)^2),NA())</f>
        <v/>
      </c>
      <c r="BC225" s="9">
        <f>IF(OR(Inputs!$F$9=TRUE,Inputs!$F$9="TRUE",Inputs!$F$9=1),(Inputs!$H$9+Inputs!$L$9*(((Inputs!$I$9+(((A225)+1)/2)*(Inputs!$J$9-Inputs!$I$9)))/Inputs!$K$9)^2),NA())</f>
        <v/>
      </c>
      <c r="BD225" s="10" t="n"/>
      <c r="BE225" s="9">
        <f>A225</f>
        <v/>
      </c>
      <c r="BF225" s="9">
        <f>0</f>
        <v/>
      </c>
      <c r="BG225" s="9">
        <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f>
        <v/>
      </c>
      <c r="BH225" s="9">
        <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f>
        <v/>
      </c>
      <c r="BI225" s="9">
        <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f>
        <v/>
      </c>
      <c r="BJ225" s="9">
        <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f>
        <v/>
      </c>
    </row>
    <row r="226">
      <c r="A226" s="9">
        <f>ROUND(-1+224*2/240,3)</f>
        <v/>
      </c>
      <c r="B226" s="9">
        <f>IF(OR(Inputs!$F$6=TRUE,Inputs!$F$6="TRUE",Inputs!$F$6=1),(Inputs!$H$6+Inputs!$L$6*(((Inputs!$I$6+(((A226)+1)/2)*(Inputs!$J$6-Inputs!$I$6)))/Inputs!$K$6)^2),NA())</f>
        <v/>
      </c>
      <c r="C226" s="9">
        <f>IF(OR(Inputs!$F$7=TRUE,Inputs!$F$7="TRUE",Inputs!$F$7=1),(Inputs!$H$7+Inputs!$L$7*(((Inputs!$I$7+(((A226)+1)/2)*(Inputs!$J$7-Inputs!$I$7)))/Inputs!$K$7)^2),NA())</f>
        <v/>
      </c>
      <c r="D226" s="9">
        <f>IF(OR(Inputs!$F$8=TRUE,Inputs!$F$8="TRUE",Inputs!$F$8=1),(Inputs!$H$8+Inputs!$L$8*(((Inputs!$I$8+(((A226)+1)/2)*(Inputs!$J$8-Inputs!$I$8)))/Inputs!$K$8)^2),NA())</f>
        <v/>
      </c>
      <c r="E226" s="9">
        <f>IF(OR(Inputs!$F$9=TRUE,Inputs!$F$9="TRUE",Inputs!$F$9=1),(Inputs!$H$9+Inputs!$L$9*(((Inputs!$I$9+(((A226)+1)/2)*(Inputs!$J$9-Inputs!$I$9)))/Inputs!$K$9)^2),NA())</f>
        <v/>
      </c>
      <c r="F226" s="10" t="n"/>
      <c r="G226" s="9">
        <f>A226</f>
        <v/>
      </c>
      <c r="H226" s="9">
        <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f>
        <v/>
      </c>
      <c r="I226" s="9">
        <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f>
        <v/>
      </c>
      <c r="J226" s="9">
        <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f>
        <v/>
      </c>
      <c r="K226" s="9">
        <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f>
        <v/>
      </c>
      <c r="L226" s="10" t="n"/>
      <c r="M226" s="9">
        <f>A226</f>
        <v/>
      </c>
      <c r="N226" s="9">
        <f>IF(OR(Inputs!$F$6=TRUE,Inputs!$F$6="TRUE",Inputs!$F$6=1),(-2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NA())</f>
        <v/>
      </c>
      <c r="O226" s="9">
        <f>IF(OR(Inputs!$F$7=TRUE,Inputs!$F$7="TRUE",Inputs!$F$7=1),(-2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NA())</f>
        <v/>
      </c>
      <c r="P226" s="9">
        <f>IF(OR(Inputs!$F$8=TRUE,Inputs!$F$8="TRUE",Inputs!$F$8=1),(-2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NA())</f>
        <v/>
      </c>
      <c r="Q226" s="9">
        <f>IF(OR(Inputs!$F$9=TRUE,Inputs!$F$9="TRUE",Inputs!$F$9=1),(-2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NA())</f>
        <v/>
      </c>
      <c r="R226" s="10" t="n"/>
      <c r="S226" s="9">
        <f>A226</f>
        <v/>
      </c>
      <c r="T226" s="9">
        <f>(Inputs!$I$6+(((A226)+1)/2)*(Inputs!$J$6-Inputs!$I$6))</f>
        <v/>
      </c>
      <c r="U226" s="9">
        <f>(Inputs!$I$7+(((A226)+1)/2)*(Inputs!$J$7-Inputs!$I$7))</f>
        <v/>
      </c>
      <c r="V226" s="9">
        <f>(Inputs!$I$8+(((A226)+1)/2)*(Inputs!$J$8-Inputs!$I$8))</f>
        <v/>
      </c>
      <c r="W226" s="9">
        <f>(Inputs!$I$9+(((A226)+1)/2)*(Inputs!$J$9-Inputs!$I$9))</f>
        <v/>
      </c>
      <c r="X226" s="10" t="n"/>
      <c r="Y226" s="9">
        <f>A226</f>
        <v/>
      </c>
      <c r="Z226" s="9">
        <f>(Inputs!$H$6+Inputs!$L$6*(((Inputs!$I$6+(((A226)+1)/2)*(Inputs!$J$6-Inputs!$I$6)))/Inputs!$K$6)^2)</f>
        <v/>
      </c>
      <c r="AA226" s="9">
        <f>(Inputs!$H$7+Inputs!$L$7*(((Inputs!$I$7+(((A226)+1)/2)*(Inputs!$J$7-Inputs!$I$7)))/Inputs!$K$7)^2)</f>
        <v/>
      </c>
      <c r="AB226" s="9">
        <f>(Inputs!$H$8+Inputs!$L$8*(((Inputs!$I$8+(((A226)+1)/2)*(Inputs!$J$8-Inputs!$I$8)))/Inputs!$K$8)^2)</f>
        <v/>
      </c>
      <c r="AC226" s="9">
        <f>(Inputs!$H$9+Inputs!$L$9*(((Inputs!$I$9+(((A226)+1)/2)*(Inputs!$J$9-Inputs!$I$9)))/Inputs!$K$9)^2)</f>
        <v/>
      </c>
      <c r="AD226" s="10" t="n"/>
      <c r="AE226" s="9">
        <f>A226</f>
        <v/>
      </c>
      <c r="AF226" s="9">
        <f>(((SQRT((Inputs!$C$52+((Inputs!$H$6+Inputs!$L$6*(((Inputs!$I$6+(((A226)+1)/2)*(Inputs!$J$6-Inputs!$I$6)))/Inputs!$K$6)^2)))^2+Inputs!$C$52^2-2*(Inputs!$C$52+((Inputs!$H$6+Inputs!$L$6*(((Inputs!$I$6+(((A226)+1)/2)*(Inputs!$J$6-Inputs!$I$6)))/Inputs!$K$6)^2)))*Inputs!$C$52*COS(SQRT(((Inputs!$I$6+(((A226)+1)/2)*(Inputs!$J$6-Inputs!$I$6)))^2+Inputs!$C$6^2)/Inputs!$C$52)))-((Inputs!$H$6+Inputs!$L$6*(((Inputs!$I$6+(((A226)+1)/2)*(Inputs!$J$6-Inputs!$I$6)))/Inputs!$K$6)^2)))*1000/Inputs!$C$12)</f>
        <v/>
      </c>
      <c r="AG226" s="9">
        <f>(((SQRT((Inputs!$C$52+((Inputs!$H$7+Inputs!$L$7*(((Inputs!$I$7+(((A226)+1)/2)*(Inputs!$J$7-Inputs!$I$7)))/Inputs!$K$7)^2)))^2+Inputs!$C$52^2-2*(Inputs!$C$52+((Inputs!$H$7+Inputs!$L$7*(((Inputs!$I$7+(((A226)+1)/2)*(Inputs!$J$7-Inputs!$I$7)))/Inputs!$K$7)^2)))*Inputs!$C$52*COS(SQRT(((Inputs!$I$7+(((A226)+1)/2)*(Inputs!$J$7-Inputs!$I$7)))^2+Inputs!$C$6^2)/Inputs!$C$52)))-((Inputs!$H$7+Inputs!$L$7*(((Inputs!$I$7+(((A226)+1)/2)*(Inputs!$J$7-Inputs!$I$7)))/Inputs!$K$7)^2)))*1000/Inputs!$C$12)</f>
        <v/>
      </c>
      <c r="AH226" s="9">
        <f>(((SQRT((Inputs!$C$52+((Inputs!$H$8+Inputs!$L$8*(((Inputs!$I$8+(((A226)+1)/2)*(Inputs!$J$8-Inputs!$I$8)))/Inputs!$K$8)^2)))^2+Inputs!$C$52^2-2*(Inputs!$C$52+((Inputs!$H$8+Inputs!$L$8*(((Inputs!$I$8+(((A226)+1)/2)*(Inputs!$J$8-Inputs!$I$8)))/Inputs!$K$8)^2)))*Inputs!$C$52*COS(SQRT(((Inputs!$I$8+(((A226)+1)/2)*(Inputs!$J$8-Inputs!$I$8)))^2+Inputs!$C$6^2)/Inputs!$C$52)))-((Inputs!$H$8+Inputs!$L$8*(((Inputs!$I$8+(((A226)+1)/2)*(Inputs!$J$8-Inputs!$I$8)))/Inputs!$K$8)^2)))*1000/Inputs!$C$12)</f>
        <v/>
      </c>
      <c r="AI226" s="9">
        <f>(((SQRT((Inputs!$C$52+((Inputs!$H$9+Inputs!$L$9*(((Inputs!$I$9+(((A226)+1)/2)*(Inputs!$J$9-Inputs!$I$9)))/Inputs!$K$9)^2)))^2+Inputs!$C$52^2-2*(Inputs!$C$52+((Inputs!$H$9+Inputs!$L$9*(((Inputs!$I$9+(((A226)+1)/2)*(Inputs!$J$9-Inputs!$I$9)))/Inputs!$K$9)^2)))*Inputs!$C$52*COS(SQRT(((Inputs!$I$9+(((A226)+1)/2)*(Inputs!$J$9-Inputs!$I$9)))^2+Inputs!$C$6^2)/Inputs!$C$52)))-((Inputs!$H$9+Inputs!$L$9*(((Inputs!$I$9+(((A226)+1)/2)*(Inputs!$J$9-Inputs!$I$9)))/Inputs!$K$9)^2)))*1000/Inputs!$C$12)</f>
        <v/>
      </c>
      <c r="AJ226" s="10" t="n"/>
      <c r="AK226" s="9">
        <f>A226</f>
        <v/>
      </c>
      <c r="AL226" s="9">
        <f>(-2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f>
        <v/>
      </c>
      <c r="AM226" s="9">
        <f>(-2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f>
        <v/>
      </c>
      <c r="AN226" s="9">
        <f>(-2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f>
        <v/>
      </c>
      <c r="AO226" s="9">
        <f>(-2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f>
        <v/>
      </c>
      <c r="AP226" s="10" t="n"/>
      <c r="AQ226" s="9">
        <f>A226</f>
        <v/>
      </c>
      <c r="AR226" s="9">
        <f>0</f>
        <v/>
      </c>
      <c r="AS226" s="9">
        <f>IF(OR(Inputs!$F$6=TRUE,Inputs!$F$6="TRUE",Inputs!$F$6=1),IF(OR(Inputs!$C$27=TRUE,Inputs!$C$27="TRUE",Inputs!$C$27=1),1,0)*(Inputs!$C$51*(115*EXP(-(((Inputs!$C$6)-25)^2)/(4.5^2))+70*EXP(-(((Inputs!$C$6)+38)^2)/(7^2))*(0.55+0.45*SIN(2*PI()*((Inputs!$I$6+(((A226)+1)/2)*(Inputs!$J$6-Inputs!$I$6)))/45))+24*SIN(2*PI()*(Inputs!$C$6)/9+((Inputs!$I$6+(((A226)+1)/2)*(Inputs!$J$6-Inputs!$I$6)))/18)*EXP(-(((Inputs!$C$6)+5)^2)/(22^2))+18*SIN(2*PI()*((Inputs!$I$6+(((A226)+1)/2)*(Inputs!$J$6-Inputs!$I$6)))/70))+Inputs!$C$28*EXP(-((((Inputs!$I$6+(((A226)+1)/2)*(Inputs!$J$6-Inputs!$I$6)))-Inputs!$C$29)^2)/(2*Inputs!$C$31^2))*EXP(-(((Inputs!$C$6)-Inputs!$C$30)^2)/(2*Inputs!$C$32^2))+-Inputs!$C$33*EXP(-((((((Inputs!$I$6+(((A226)+1)/2)*(Inputs!$J$6-Inputs!$I$6)))-Inputs!$C$34)^2)+(((Inputs!$C$6)-Inputs!$C$35)^2))/(2*Inputs!$C$36^2)))+Inputs!$C$37*(0.55*SIN(2*PI()*((Inputs!$I$6+(((A226)+1)/2)*(Inputs!$J$6-Inputs!$I$6)))/Inputs!$C$39)+0.35*COS(2*PI()*(Inputs!$C$6)/Inputs!$C$40)+0.2*SIN(2*PI()*(((Inputs!$I$6+(((A226)+1)/2)*(Inputs!$J$6-Inputs!$I$6)))+(Inputs!$C$6))/(0.5*(Inputs!$C$39+Inputs!$C$40))))+Inputs!$C$38*SIN(2*PI()*((Inputs!$I$6+(((A226)+1)/2)*(Inputs!$J$6-Inputs!$I$6)))/Inputs!$C$39)*SIN(2*PI()*(Inputs!$C$6)/Inputs!$C$40)+-Inputs!$C$41*EXP(-(((Inputs!$C$6)-Inputs!$C$43)^2)/(2*Inputs!$C$44^2))*EXP(-((((Inputs!$I$6+(((A226)+1)/2)*(Inputs!$J$6-Inputs!$I$6)))-Inputs!$C$42)^2)/(2*Inputs!$C$45^2))+Inputs!$C$48*(0.7*(0.45*SIN(2*PI()*((((Inputs!$I$6+(((A226)+1)/2)*(Inputs!$J$6-Inputs!$I$6)))/Inputs!$C$49)+Inputs!$C$47*0.137))+0.35*COS(2*PI()*(((Inputs!$C$6)/Inputs!$C$50)+Inputs!$C$47*0.173))+0.2*SIN(2*PI()*((((Inputs!$I$6+(((A226)+1)/2)*(Inputs!$J$6-Inputs!$I$6)))+(Inputs!$C$6))/(0.5*(Inputs!$C$49+Inputs!$C$50))+Inputs!$C$47*0.097)))+0.3*(2*((SIN((((Inputs!$I$6+(((A226)+1)/2)*(Inputs!$J$6-Inputs!$I$6)))*12.9898+(Inputs!$C$6)*78.233+Inputs!$C$47*37.719))*43758.5453)-INT((SIN((((Inputs!$I$6+(((A226)+1)/2)*(Inputs!$J$6-Inputs!$I$6)))*12.9898+(Inputs!$C$6)*78.233+Inputs!$C$47*37.719))*43758.5453)))-1))),NA())</f>
        <v/>
      </c>
      <c r="AT226" s="9">
        <f>IF(OR(Inputs!$F$7=TRUE,Inputs!$F$7="TRUE",Inputs!$F$7=1),IF(OR(Inputs!$C$27=TRUE,Inputs!$C$27="TRUE",Inputs!$C$27=1),1,0)*(Inputs!$C$51*(115*EXP(-(((Inputs!$C$6)-25)^2)/(4.5^2))+70*EXP(-(((Inputs!$C$6)+38)^2)/(7^2))*(0.55+0.45*SIN(2*PI()*((Inputs!$I$7+(((A226)+1)/2)*(Inputs!$J$7-Inputs!$I$7)))/45))+24*SIN(2*PI()*(Inputs!$C$6)/9+((Inputs!$I$7+(((A226)+1)/2)*(Inputs!$J$7-Inputs!$I$7)))/18)*EXP(-(((Inputs!$C$6)+5)^2)/(22^2))+18*SIN(2*PI()*((Inputs!$I$7+(((A226)+1)/2)*(Inputs!$J$7-Inputs!$I$7)))/70))+Inputs!$C$28*EXP(-((((Inputs!$I$7+(((A226)+1)/2)*(Inputs!$J$7-Inputs!$I$7)))-Inputs!$C$29)^2)/(2*Inputs!$C$31^2))*EXP(-(((Inputs!$C$6)-Inputs!$C$30)^2)/(2*Inputs!$C$32^2))+-Inputs!$C$33*EXP(-((((((Inputs!$I$7+(((A226)+1)/2)*(Inputs!$J$7-Inputs!$I$7)))-Inputs!$C$34)^2)+(((Inputs!$C$6)-Inputs!$C$35)^2))/(2*Inputs!$C$36^2)))+Inputs!$C$37*(0.55*SIN(2*PI()*((Inputs!$I$7+(((A226)+1)/2)*(Inputs!$J$7-Inputs!$I$7)))/Inputs!$C$39)+0.35*COS(2*PI()*(Inputs!$C$6)/Inputs!$C$40)+0.2*SIN(2*PI()*(((Inputs!$I$7+(((A226)+1)/2)*(Inputs!$J$7-Inputs!$I$7)))+(Inputs!$C$6))/(0.5*(Inputs!$C$39+Inputs!$C$40))))+Inputs!$C$38*SIN(2*PI()*((Inputs!$I$7+(((A226)+1)/2)*(Inputs!$J$7-Inputs!$I$7)))/Inputs!$C$39)*SIN(2*PI()*(Inputs!$C$6)/Inputs!$C$40)+-Inputs!$C$41*EXP(-(((Inputs!$C$6)-Inputs!$C$43)^2)/(2*Inputs!$C$44^2))*EXP(-((((Inputs!$I$7+(((A226)+1)/2)*(Inputs!$J$7-Inputs!$I$7)))-Inputs!$C$42)^2)/(2*Inputs!$C$45^2))+Inputs!$C$48*(0.7*(0.45*SIN(2*PI()*((((Inputs!$I$7+(((A226)+1)/2)*(Inputs!$J$7-Inputs!$I$7)))/Inputs!$C$49)+Inputs!$C$47*0.137))+0.35*COS(2*PI()*(((Inputs!$C$6)/Inputs!$C$50)+Inputs!$C$47*0.173))+0.2*SIN(2*PI()*((((Inputs!$I$7+(((A226)+1)/2)*(Inputs!$J$7-Inputs!$I$7)))+(Inputs!$C$6))/(0.5*(Inputs!$C$49+Inputs!$C$50))+Inputs!$C$47*0.097)))+0.3*(2*((SIN((((Inputs!$I$7+(((A226)+1)/2)*(Inputs!$J$7-Inputs!$I$7)))*12.9898+(Inputs!$C$6)*78.233+Inputs!$C$47*37.719))*43758.5453)-INT((SIN((((Inputs!$I$7+(((A226)+1)/2)*(Inputs!$J$7-Inputs!$I$7)))*12.9898+(Inputs!$C$6)*78.233+Inputs!$C$47*37.719))*43758.5453)))-1))),NA())</f>
        <v/>
      </c>
      <c r="AU226" s="9">
        <f>IF(OR(Inputs!$F$8=TRUE,Inputs!$F$8="TRUE",Inputs!$F$8=1),IF(OR(Inputs!$C$27=TRUE,Inputs!$C$27="TRUE",Inputs!$C$27=1),1,0)*(Inputs!$C$51*(115*EXP(-(((Inputs!$C$6)-25)^2)/(4.5^2))+70*EXP(-(((Inputs!$C$6)+38)^2)/(7^2))*(0.55+0.45*SIN(2*PI()*((Inputs!$I$8+(((A226)+1)/2)*(Inputs!$J$8-Inputs!$I$8)))/45))+24*SIN(2*PI()*(Inputs!$C$6)/9+((Inputs!$I$8+(((A226)+1)/2)*(Inputs!$J$8-Inputs!$I$8)))/18)*EXP(-(((Inputs!$C$6)+5)^2)/(22^2))+18*SIN(2*PI()*((Inputs!$I$8+(((A226)+1)/2)*(Inputs!$J$8-Inputs!$I$8)))/70))+Inputs!$C$28*EXP(-((((Inputs!$I$8+(((A226)+1)/2)*(Inputs!$J$8-Inputs!$I$8)))-Inputs!$C$29)^2)/(2*Inputs!$C$31^2))*EXP(-(((Inputs!$C$6)-Inputs!$C$30)^2)/(2*Inputs!$C$32^2))+-Inputs!$C$33*EXP(-((((((Inputs!$I$8+(((A226)+1)/2)*(Inputs!$J$8-Inputs!$I$8)))-Inputs!$C$34)^2)+(((Inputs!$C$6)-Inputs!$C$35)^2))/(2*Inputs!$C$36^2)))+Inputs!$C$37*(0.55*SIN(2*PI()*((Inputs!$I$8+(((A226)+1)/2)*(Inputs!$J$8-Inputs!$I$8)))/Inputs!$C$39)+0.35*COS(2*PI()*(Inputs!$C$6)/Inputs!$C$40)+0.2*SIN(2*PI()*(((Inputs!$I$8+(((A226)+1)/2)*(Inputs!$J$8-Inputs!$I$8)))+(Inputs!$C$6))/(0.5*(Inputs!$C$39+Inputs!$C$40))))+Inputs!$C$38*SIN(2*PI()*((Inputs!$I$8+(((A226)+1)/2)*(Inputs!$J$8-Inputs!$I$8)))/Inputs!$C$39)*SIN(2*PI()*(Inputs!$C$6)/Inputs!$C$40)+-Inputs!$C$41*EXP(-(((Inputs!$C$6)-Inputs!$C$43)^2)/(2*Inputs!$C$44^2))*EXP(-((((Inputs!$I$8+(((A226)+1)/2)*(Inputs!$J$8-Inputs!$I$8)))-Inputs!$C$42)^2)/(2*Inputs!$C$45^2))+Inputs!$C$48*(0.7*(0.45*SIN(2*PI()*((((Inputs!$I$8+(((A226)+1)/2)*(Inputs!$J$8-Inputs!$I$8)))/Inputs!$C$49)+Inputs!$C$47*0.137))+0.35*COS(2*PI()*(((Inputs!$C$6)/Inputs!$C$50)+Inputs!$C$47*0.173))+0.2*SIN(2*PI()*((((Inputs!$I$8+(((A226)+1)/2)*(Inputs!$J$8-Inputs!$I$8)))+(Inputs!$C$6))/(0.5*(Inputs!$C$49+Inputs!$C$50))+Inputs!$C$47*0.097)))+0.3*(2*((SIN((((Inputs!$I$8+(((A226)+1)/2)*(Inputs!$J$8-Inputs!$I$8)))*12.9898+(Inputs!$C$6)*78.233+Inputs!$C$47*37.719))*43758.5453)-INT((SIN((((Inputs!$I$8+(((A226)+1)/2)*(Inputs!$J$8-Inputs!$I$8)))*12.9898+(Inputs!$C$6)*78.233+Inputs!$C$47*37.719))*43758.5453)))-1))),NA())</f>
        <v/>
      </c>
      <c r="AV226" s="9">
        <f>IF(OR(Inputs!$F$9=TRUE,Inputs!$F$9="TRUE",Inputs!$F$9=1),IF(OR(Inputs!$C$27=TRUE,Inputs!$C$27="TRUE",Inputs!$C$27=1),1,0)*(Inputs!$C$51*(115*EXP(-(((Inputs!$C$6)-25)^2)/(4.5^2))+70*EXP(-(((Inputs!$C$6)+38)^2)/(7^2))*(0.55+0.45*SIN(2*PI()*((Inputs!$I$9+(((A226)+1)/2)*(Inputs!$J$9-Inputs!$I$9)))/45))+24*SIN(2*PI()*(Inputs!$C$6)/9+((Inputs!$I$9+(((A226)+1)/2)*(Inputs!$J$9-Inputs!$I$9)))/18)*EXP(-(((Inputs!$C$6)+5)^2)/(22^2))+18*SIN(2*PI()*((Inputs!$I$9+(((A226)+1)/2)*(Inputs!$J$9-Inputs!$I$9)))/70))+Inputs!$C$28*EXP(-((((Inputs!$I$9+(((A226)+1)/2)*(Inputs!$J$9-Inputs!$I$9)))-Inputs!$C$29)^2)/(2*Inputs!$C$31^2))*EXP(-(((Inputs!$C$6)-Inputs!$C$30)^2)/(2*Inputs!$C$32^2))+-Inputs!$C$33*EXP(-((((((Inputs!$I$9+(((A226)+1)/2)*(Inputs!$J$9-Inputs!$I$9)))-Inputs!$C$34)^2)+(((Inputs!$C$6)-Inputs!$C$35)^2))/(2*Inputs!$C$36^2)))+Inputs!$C$37*(0.55*SIN(2*PI()*((Inputs!$I$9+(((A226)+1)/2)*(Inputs!$J$9-Inputs!$I$9)))/Inputs!$C$39)+0.35*COS(2*PI()*(Inputs!$C$6)/Inputs!$C$40)+0.2*SIN(2*PI()*(((Inputs!$I$9+(((A226)+1)/2)*(Inputs!$J$9-Inputs!$I$9)))+(Inputs!$C$6))/(0.5*(Inputs!$C$39+Inputs!$C$40))))+Inputs!$C$38*SIN(2*PI()*((Inputs!$I$9+(((A226)+1)/2)*(Inputs!$J$9-Inputs!$I$9)))/Inputs!$C$39)*SIN(2*PI()*(Inputs!$C$6)/Inputs!$C$40)+-Inputs!$C$41*EXP(-(((Inputs!$C$6)-Inputs!$C$43)^2)/(2*Inputs!$C$44^2))*EXP(-((((Inputs!$I$9+(((A226)+1)/2)*(Inputs!$J$9-Inputs!$I$9)))-Inputs!$C$42)^2)/(2*Inputs!$C$45^2))+Inputs!$C$48*(0.7*(0.45*SIN(2*PI()*((((Inputs!$I$9+(((A226)+1)/2)*(Inputs!$J$9-Inputs!$I$9)))/Inputs!$C$49)+Inputs!$C$47*0.137))+0.35*COS(2*PI()*(((Inputs!$C$6)/Inputs!$C$50)+Inputs!$C$47*0.173))+0.2*SIN(2*PI()*((((Inputs!$I$9+(((A226)+1)/2)*(Inputs!$J$9-Inputs!$I$9)))+(Inputs!$C$6))/(0.5*(Inputs!$C$49+Inputs!$C$50))+Inputs!$C$47*0.097)))+0.3*(2*((SIN((((Inputs!$I$9+(((A226)+1)/2)*(Inputs!$J$9-Inputs!$I$9)))*12.9898+(Inputs!$C$6)*78.233+Inputs!$C$47*37.719))*43758.5453)-INT((SIN((((Inputs!$I$9+(((A226)+1)/2)*(Inputs!$J$9-Inputs!$I$9)))*12.9898+(Inputs!$C$6)*78.233+Inputs!$C$47*37.719))*43758.5453)))-1))),NA())</f>
        <v/>
      </c>
      <c r="AW226" s="10" t="n"/>
      <c r="AX226" s="9">
        <f>A226</f>
        <v/>
      </c>
      <c r="AY226" s="9">
        <f>0</f>
        <v/>
      </c>
      <c r="AZ226" s="9">
        <f>IF(OR(Inputs!$F$6=TRUE,Inputs!$F$6="TRUE",Inputs!$F$6=1),(Inputs!$H$6+Inputs!$L$6*(((Inputs!$I$6+(((A226)+1)/2)*(Inputs!$J$6-Inputs!$I$6)))/Inputs!$K$6)^2),NA())</f>
        <v/>
      </c>
      <c r="BA226" s="9">
        <f>IF(OR(Inputs!$F$7=TRUE,Inputs!$F$7="TRUE",Inputs!$F$7=1),(Inputs!$H$7+Inputs!$L$7*(((Inputs!$I$7+(((A226)+1)/2)*(Inputs!$J$7-Inputs!$I$7)))/Inputs!$K$7)^2),NA())</f>
        <v/>
      </c>
      <c r="BB226" s="9">
        <f>IF(OR(Inputs!$F$8=TRUE,Inputs!$F$8="TRUE",Inputs!$F$8=1),(Inputs!$H$8+Inputs!$L$8*(((Inputs!$I$8+(((A226)+1)/2)*(Inputs!$J$8-Inputs!$I$8)))/Inputs!$K$8)^2),NA())</f>
        <v/>
      </c>
      <c r="BC226" s="9">
        <f>IF(OR(Inputs!$F$9=TRUE,Inputs!$F$9="TRUE",Inputs!$F$9=1),(Inputs!$H$9+Inputs!$L$9*(((Inputs!$I$9+(((A226)+1)/2)*(Inputs!$J$9-Inputs!$I$9)))/Inputs!$K$9)^2),NA())</f>
        <v/>
      </c>
      <c r="BD226" s="10" t="n"/>
      <c r="BE226" s="9">
        <f>A226</f>
        <v/>
      </c>
      <c r="BF226" s="9">
        <f>0</f>
        <v/>
      </c>
      <c r="BG226" s="9">
        <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f>
        <v/>
      </c>
      <c r="BH226" s="9">
        <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f>
        <v/>
      </c>
      <c r="BI226" s="9">
        <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f>
        <v/>
      </c>
      <c r="BJ226" s="9">
        <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f>
        <v/>
      </c>
    </row>
    <row r="227">
      <c r="A227" s="9">
        <f>ROUND(-1+225*2/240,3)</f>
        <v/>
      </c>
      <c r="B227" s="9">
        <f>IF(OR(Inputs!$F$6=TRUE,Inputs!$F$6="TRUE",Inputs!$F$6=1),(Inputs!$H$6+Inputs!$L$6*(((Inputs!$I$6+(((A227)+1)/2)*(Inputs!$J$6-Inputs!$I$6)))/Inputs!$K$6)^2),NA())</f>
        <v/>
      </c>
      <c r="C227" s="9">
        <f>IF(OR(Inputs!$F$7=TRUE,Inputs!$F$7="TRUE",Inputs!$F$7=1),(Inputs!$H$7+Inputs!$L$7*(((Inputs!$I$7+(((A227)+1)/2)*(Inputs!$J$7-Inputs!$I$7)))/Inputs!$K$7)^2),NA())</f>
        <v/>
      </c>
      <c r="D227" s="9">
        <f>IF(OR(Inputs!$F$8=TRUE,Inputs!$F$8="TRUE",Inputs!$F$8=1),(Inputs!$H$8+Inputs!$L$8*(((Inputs!$I$8+(((A227)+1)/2)*(Inputs!$J$8-Inputs!$I$8)))/Inputs!$K$8)^2),NA())</f>
        <v/>
      </c>
      <c r="E227" s="9">
        <f>IF(OR(Inputs!$F$9=TRUE,Inputs!$F$9="TRUE",Inputs!$F$9=1),(Inputs!$H$9+Inputs!$L$9*(((Inputs!$I$9+(((A227)+1)/2)*(Inputs!$J$9-Inputs!$I$9)))/Inputs!$K$9)^2),NA())</f>
        <v/>
      </c>
      <c r="F227" s="10" t="n"/>
      <c r="G227" s="9">
        <f>A227</f>
        <v/>
      </c>
      <c r="H227" s="9">
        <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f>
        <v/>
      </c>
      <c r="I227" s="9">
        <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f>
        <v/>
      </c>
      <c r="J227" s="9">
        <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f>
        <v/>
      </c>
      <c r="K227" s="9">
        <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f>
        <v/>
      </c>
      <c r="L227" s="10" t="n"/>
      <c r="M227" s="9">
        <f>A227</f>
        <v/>
      </c>
      <c r="N227" s="9">
        <f>IF(OR(Inputs!$F$6=TRUE,Inputs!$F$6="TRUE",Inputs!$F$6=1),(-2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NA())</f>
        <v/>
      </c>
      <c r="O227" s="9">
        <f>IF(OR(Inputs!$F$7=TRUE,Inputs!$F$7="TRUE",Inputs!$F$7=1),(-2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NA())</f>
        <v/>
      </c>
      <c r="P227" s="9">
        <f>IF(OR(Inputs!$F$8=TRUE,Inputs!$F$8="TRUE",Inputs!$F$8=1),(-2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NA())</f>
        <v/>
      </c>
      <c r="Q227" s="9">
        <f>IF(OR(Inputs!$F$9=TRUE,Inputs!$F$9="TRUE",Inputs!$F$9=1),(-2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NA())</f>
        <v/>
      </c>
      <c r="R227" s="10" t="n"/>
      <c r="S227" s="9">
        <f>A227</f>
        <v/>
      </c>
      <c r="T227" s="9">
        <f>(Inputs!$I$6+(((A227)+1)/2)*(Inputs!$J$6-Inputs!$I$6))</f>
        <v/>
      </c>
      <c r="U227" s="9">
        <f>(Inputs!$I$7+(((A227)+1)/2)*(Inputs!$J$7-Inputs!$I$7))</f>
        <v/>
      </c>
      <c r="V227" s="9">
        <f>(Inputs!$I$8+(((A227)+1)/2)*(Inputs!$J$8-Inputs!$I$8))</f>
        <v/>
      </c>
      <c r="W227" s="9">
        <f>(Inputs!$I$9+(((A227)+1)/2)*(Inputs!$J$9-Inputs!$I$9))</f>
        <v/>
      </c>
      <c r="X227" s="10" t="n"/>
      <c r="Y227" s="9">
        <f>A227</f>
        <v/>
      </c>
      <c r="Z227" s="9">
        <f>(Inputs!$H$6+Inputs!$L$6*(((Inputs!$I$6+(((A227)+1)/2)*(Inputs!$J$6-Inputs!$I$6)))/Inputs!$K$6)^2)</f>
        <v/>
      </c>
      <c r="AA227" s="9">
        <f>(Inputs!$H$7+Inputs!$L$7*(((Inputs!$I$7+(((A227)+1)/2)*(Inputs!$J$7-Inputs!$I$7)))/Inputs!$K$7)^2)</f>
        <v/>
      </c>
      <c r="AB227" s="9">
        <f>(Inputs!$H$8+Inputs!$L$8*(((Inputs!$I$8+(((A227)+1)/2)*(Inputs!$J$8-Inputs!$I$8)))/Inputs!$K$8)^2)</f>
        <v/>
      </c>
      <c r="AC227" s="9">
        <f>(Inputs!$H$9+Inputs!$L$9*(((Inputs!$I$9+(((A227)+1)/2)*(Inputs!$J$9-Inputs!$I$9)))/Inputs!$K$9)^2)</f>
        <v/>
      </c>
      <c r="AD227" s="10" t="n"/>
      <c r="AE227" s="9">
        <f>A227</f>
        <v/>
      </c>
      <c r="AF227" s="9">
        <f>(((SQRT((Inputs!$C$52+((Inputs!$H$6+Inputs!$L$6*(((Inputs!$I$6+(((A227)+1)/2)*(Inputs!$J$6-Inputs!$I$6)))/Inputs!$K$6)^2)))^2+Inputs!$C$52^2-2*(Inputs!$C$52+((Inputs!$H$6+Inputs!$L$6*(((Inputs!$I$6+(((A227)+1)/2)*(Inputs!$J$6-Inputs!$I$6)))/Inputs!$K$6)^2)))*Inputs!$C$52*COS(SQRT(((Inputs!$I$6+(((A227)+1)/2)*(Inputs!$J$6-Inputs!$I$6)))^2+Inputs!$C$6^2)/Inputs!$C$52)))-((Inputs!$H$6+Inputs!$L$6*(((Inputs!$I$6+(((A227)+1)/2)*(Inputs!$J$6-Inputs!$I$6)))/Inputs!$K$6)^2)))*1000/Inputs!$C$12)</f>
        <v/>
      </c>
      <c r="AG227" s="9">
        <f>(((SQRT((Inputs!$C$52+((Inputs!$H$7+Inputs!$L$7*(((Inputs!$I$7+(((A227)+1)/2)*(Inputs!$J$7-Inputs!$I$7)))/Inputs!$K$7)^2)))^2+Inputs!$C$52^2-2*(Inputs!$C$52+((Inputs!$H$7+Inputs!$L$7*(((Inputs!$I$7+(((A227)+1)/2)*(Inputs!$J$7-Inputs!$I$7)))/Inputs!$K$7)^2)))*Inputs!$C$52*COS(SQRT(((Inputs!$I$7+(((A227)+1)/2)*(Inputs!$J$7-Inputs!$I$7)))^2+Inputs!$C$6^2)/Inputs!$C$52)))-((Inputs!$H$7+Inputs!$L$7*(((Inputs!$I$7+(((A227)+1)/2)*(Inputs!$J$7-Inputs!$I$7)))/Inputs!$K$7)^2)))*1000/Inputs!$C$12)</f>
        <v/>
      </c>
      <c r="AH227" s="9">
        <f>(((SQRT((Inputs!$C$52+((Inputs!$H$8+Inputs!$L$8*(((Inputs!$I$8+(((A227)+1)/2)*(Inputs!$J$8-Inputs!$I$8)))/Inputs!$K$8)^2)))^2+Inputs!$C$52^2-2*(Inputs!$C$52+((Inputs!$H$8+Inputs!$L$8*(((Inputs!$I$8+(((A227)+1)/2)*(Inputs!$J$8-Inputs!$I$8)))/Inputs!$K$8)^2)))*Inputs!$C$52*COS(SQRT(((Inputs!$I$8+(((A227)+1)/2)*(Inputs!$J$8-Inputs!$I$8)))^2+Inputs!$C$6^2)/Inputs!$C$52)))-((Inputs!$H$8+Inputs!$L$8*(((Inputs!$I$8+(((A227)+1)/2)*(Inputs!$J$8-Inputs!$I$8)))/Inputs!$K$8)^2)))*1000/Inputs!$C$12)</f>
        <v/>
      </c>
      <c r="AI227" s="9">
        <f>(((SQRT((Inputs!$C$52+((Inputs!$H$9+Inputs!$L$9*(((Inputs!$I$9+(((A227)+1)/2)*(Inputs!$J$9-Inputs!$I$9)))/Inputs!$K$9)^2)))^2+Inputs!$C$52^2-2*(Inputs!$C$52+((Inputs!$H$9+Inputs!$L$9*(((Inputs!$I$9+(((A227)+1)/2)*(Inputs!$J$9-Inputs!$I$9)))/Inputs!$K$9)^2)))*Inputs!$C$52*COS(SQRT(((Inputs!$I$9+(((A227)+1)/2)*(Inputs!$J$9-Inputs!$I$9)))^2+Inputs!$C$6^2)/Inputs!$C$52)))-((Inputs!$H$9+Inputs!$L$9*(((Inputs!$I$9+(((A227)+1)/2)*(Inputs!$J$9-Inputs!$I$9)))/Inputs!$K$9)^2)))*1000/Inputs!$C$12)</f>
        <v/>
      </c>
      <c r="AJ227" s="10" t="n"/>
      <c r="AK227" s="9">
        <f>A227</f>
        <v/>
      </c>
      <c r="AL227" s="9">
        <f>(-2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f>
        <v/>
      </c>
      <c r="AM227" s="9">
        <f>(-2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f>
        <v/>
      </c>
      <c r="AN227" s="9">
        <f>(-2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f>
        <v/>
      </c>
      <c r="AO227" s="9">
        <f>(-2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f>
        <v/>
      </c>
      <c r="AP227" s="10" t="n"/>
      <c r="AQ227" s="9">
        <f>A227</f>
        <v/>
      </c>
      <c r="AR227" s="9">
        <f>0</f>
        <v/>
      </c>
      <c r="AS227" s="9">
        <f>IF(OR(Inputs!$F$6=TRUE,Inputs!$F$6="TRUE",Inputs!$F$6=1),IF(OR(Inputs!$C$27=TRUE,Inputs!$C$27="TRUE",Inputs!$C$27=1),1,0)*(Inputs!$C$51*(115*EXP(-(((Inputs!$C$6)-25)^2)/(4.5^2))+70*EXP(-(((Inputs!$C$6)+38)^2)/(7^2))*(0.55+0.45*SIN(2*PI()*((Inputs!$I$6+(((A227)+1)/2)*(Inputs!$J$6-Inputs!$I$6)))/45))+24*SIN(2*PI()*(Inputs!$C$6)/9+((Inputs!$I$6+(((A227)+1)/2)*(Inputs!$J$6-Inputs!$I$6)))/18)*EXP(-(((Inputs!$C$6)+5)^2)/(22^2))+18*SIN(2*PI()*((Inputs!$I$6+(((A227)+1)/2)*(Inputs!$J$6-Inputs!$I$6)))/70))+Inputs!$C$28*EXP(-((((Inputs!$I$6+(((A227)+1)/2)*(Inputs!$J$6-Inputs!$I$6)))-Inputs!$C$29)^2)/(2*Inputs!$C$31^2))*EXP(-(((Inputs!$C$6)-Inputs!$C$30)^2)/(2*Inputs!$C$32^2))+-Inputs!$C$33*EXP(-((((((Inputs!$I$6+(((A227)+1)/2)*(Inputs!$J$6-Inputs!$I$6)))-Inputs!$C$34)^2)+(((Inputs!$C$6)-Inputs!$C$35)^2))/(2*Inputs!$C$36^2)))+Inputs!$C$37*(0.55*SIN(2*PI()*((Inputs!$I$6+(((A227)+1)/2)*(Inputs!$J$6-Inputs!$I$6)))/Inputs!$C$39)+0.35*COS(2*PI()*(Inputs!$C$6)/Inputs!$C$40)+0.2*SIN(2*PI()*(((Inputs!$I$6+(((A227)+1)/2)*(Inputs!$J$6-Inputs!$I$6)))+(Inputs!$C$6))/(0.5*(Inputs!$C$39+Inputs!$C$40))))+Inputs!$C$38*SIN(2*PI()*((Inputs!$I$6+(((A227)+1)/2)*(Inputs!$J$6-Inputs!$I$6)))/Inputs!$C$39)*SIN(2*PI()*(Inputs!$C$6)/Inputs!$C$40)+-Inputs!$C$41*EXP(-(((Inputs!$C$6)-Inputs!$C$43)^2)/(2*Inputs!$C$44^2))*EXP(-((((Inputs!$I$6+(((A227)+1)/2)*(Inputs!$J$6-Inputs!$I$6)))-Inputs!$C$42)^2)/(2*Inputs!$C$45^2))+Inputs!$C$48*(0.7*(0.45*SIN(2*PI()*((((Inputs!$I$6+(((A227)+1)/2)*(Inputs!$J$6-Inputs!$I$6)))/Inputs!$C$49)+Inputs!$C$47*0.137))+0.35*COS(2*PI()*(((Inputs!$C$6)/Inputs!$C$50)+Inputs!$C$47*0.173))+0.2*SIN(2*PI()*((((Inputs!$I$6+(((A227)+1)/2)*(Inputs!$J$6-Inputs!$I$6)))+(Inputs!$C$6))/(0.5*(Inputs!$C$49+Inputs!$C$50))+Inputs!$C$47*0.097)))+0.3*(2*((SIN((((Inputs!$I$6+(((A227)+1)/2)*(Inputs!$J$6-Inputs!$I$6)))*12.9898+(Inputs!$C$6)*78.233+Inputs!$C$47*37.719))*43758.5453)-INT((SIN((((Inputs!$I$6+(((A227)+1)/2)*(Inputs!$J$6-Inputs!$I$6)))*12.9898+(Inputs!$C$6)*78.233+Inputs!$C$47*37.719))*43758.5453)))-1))),NA())</f>
        <v/>
      </c>
      <c r="AT227" s="9">
        <f>IF(OR(Inputs!$F$7=TRUE,Inputs!$F$7="TRUE",Inputs!$F$7=1),IF(OR(Inputs!$C$27=TRUE,Inputs!$C$27="TRUE",Inputs!$C$27=1),1,0)*(Inputs!$C$51*(115*EXP(-(((Inputs!$C$6)-25)^2)/(4.5^2))+70*EXP(-(((Inputs!$C$6)+38)^2)/(7^2))*(0.55+0.45*SIN(2*PI()*((Inputs!$I$7+(((A227)+1)/2)*(Inputs!$J$7-Inputs!$I$7)))/45))+24*SIN(2*PI()*(Inputs!$C$6)/9+((Inputs!$I$7+(((A227)+1)/2)*(Inputs!$J$7-Inputs!$I$7)))/18)*EXP(-(((Inputs!$C$6)+5)^2)/(22^2))+18*SIN(2*PI()*((Inputs!$I$7+(((A227)+1)/2)*(Inputs!$J$7-Inputs!$I$7)))/70))+Inputs!$C$28*EXP(-((((Inputs!$I$7+(((A227)+1)/2)*(Inputs!$J$7-Inputs!$I$7)))-Inputs!$C$29)^2)/(2*Inputs!$C$31^2))*EXP(-(((Inputs!$C$6)-Inputs!$C$30)^2)/(2*Inputs!$C$32^2))+-Inputs!$C$33*EXP(-((((((Inputs!$I$7+(((A227)+1)/2)*(Inputs!$J$7-Inputs!$I$7)))-Inputs!$C$34)^2)+(((Inputs!$C$6)-Inputs!$C$35)^2))/(2*Inputs!$C$36^2)))+Inputs!$C$37*(0.55*SIN(2*PI()*((Inputs!$I$7+(((A227)+1)/2)*(Inputs!$J$7-Inputs!$I$7)))/Inputs!$C$39)+0.35*COS(2*PI()*(Inputs!$C$6)/Inputs!$C$40)+0.2*SIN(2*PI()*(((Inputs!$I$7+(((A227)+1)/2)*(Inputs!$J$7-Inputs!$I$7)))+(Inputs!$C$6))/(0.5*(Inputs!$C$39+Inputs!$C$40))))+Inputs!$C$38*SIN(2*PI()*((Inputs!$I$7+(((A227)+1)/2)*(Inputs!$J$7-Inputs!$I$7)))/Inputs!$C$39)*SIN(2*PI()*(Inputs!$C$6)/Inputs!$C$40)+-Inputs!$C$41*EXP(-(((Inputs!$C$6)-Inputs!$C$43)^2)/(2*Inputs!$C$44^2))*EXP(-((((Inputs!$I$7+(((A227)+1)/2)*(Inputs!$J$7-Inputs!$I$7)))-Inputs!$C$42)^2)/(2*Inputs!$C$45^2))+Inputs!$C$48*(0.7*(0.45*SIN(2*PI()*((((Inputs!$I$7+(((A227)+1)/2)*(Inputs!$J$7-Inputs!$I$7)))/Inputs!$C$49)+Inputs!$C$47*0.137))+0.35*COS(2*PI()*(((Inputs!$C$6)/Inputs!$C$50)+Inputs!$C$47*0.173))+0.2*SIN(2*PI()*((((Inputs!$I$7+(((A227)+1)/2)*(Inputs!$J$7-Inputs!$I$7)))+(Inputs!$C$6))/(0.5*(Inputs!$C$49+Inputs!$C$50))+Inputs!$C$47*0.097)))+0.3*(2*((SIN((((Inputs!$I$7+(((A227)+1)/2)*(Inputs!$J$7-Inputs!$I$7)))*12.9898+(Inputs!$C$6)*78.233+Inputs!$C$47*37.719))*43758.5453)-INT((SIN((((Inputs!$I$7+(((A227)+1)/2)*(Inputs!$J$7-Inputs!$I$7)))*12.9898+(Inputs!$C$6)*78.233+Inputs!$C$47*37.719))*43758.5453)))-1))),NA())</f>
        <v/>
      </c>
      <c r="AU227" s="9">
        <f>IF(OR(Inputs!$F$8=TRUE,Inputs!$F$8="TRUE",Inputs!$F$8=1),IF(OR(Inputs!$C$27=TRUE,Inputs!$C$27="TRUE",Inputs!$C$27=1),1,0)*(Inputs!$C$51*(115*EXP(-(((Inputs!$C$6)-25)^2)/(4.5^2))+70*EXP(-(((Inputs!$C$6)+38)^2)/(7^2))*(0.55+0.45*SIN(2*PI()*((Inputs!$I$8+(((A227)+1)/2)*(Inputs!$J$8-Inputs!$I$8)))/45))+24*SIN(2*PI()*(Inputs!$C$6)/9+((Inputs!$I$8+(((A227)+1)/2)*(Inputs!$J$8-Inputs!$I$8)))/18)*EXP(-(((Inputs!$C$6)+5)^2)/(22^2))+18*SIN(2*PI()*((Inputs!$I$8+(((A227)+1)/2)*(Inputs!$J$8-Inputs!$I$8)))/70))+Inputs!$C$28*EXP(-((((Inputs!$I$8+(((A227)+1)/2)*(Inputs!$J$8-Inputs!$I$8)))-Inputs!$C$29)^2)/(2*Inputs!$C$31^2))*EXP(-(((Inputs!$C$6)-Inputs!$C$30)^2)/(2*Inputs!$C$32^2))+-Inputs!$C$33*EXP(-((((((Inputs!$I$8+(((A227)+1)/2)*(Inputs!$J$8-Inputs!$I$8)))-Inputs!$C$34)^2)+(((Inputs!$C$6)-Inputs!$C$35)^2))/(2*Inputs!$C$36^2)))+Inputs!$C$37*(0.55*SIN(2*PI()*((Inputs!$I$8+(((A227)+1)/2)*(Inputs!$J$8-Inputs!$I$8)))/Inputs!$C$39)+0.35*COS(2*PI()*(Inputs!$C$6)/Inputs!$C$40)+0.2*SIN(2*PI()*(((Inputs!$I$8+(((A227)+1)/2)*(Inputs!$J$8-Inputs!$I$8)))+(Inputs!$C$6))/(0.5*(Inputs!$C$39+Inputs!$C$40))))+Inputs!$C$38*SIN(2*PI()*((Inputs!$I$8+(((A227)+1)/2)*(Inputs!$J$8-Inputs!$I$8)))/Inputs!$C$39)*SIN(2*PI()*(Inputs!$C$6)/Inputs!$C$40)+-Inputs!$C$41*EXP(-(((Inputs!$C$6)-Inputs!$C$43)^2)/(2*Inputs!$C$44^2))*EXP(-((((Inputs!$I$8+(((A227)+1)/2)*(Inputs!$J$8-Inputs!$I$8)))-Inputs!$C$42)^2)/(2*Inputs!$C$45^2))+Inputs!$C$48*(0.7*(0.45*SIN(2*PI()*((((Inputs!$I$8+(((A227)+1)/2)*(Inputs!$J$8-Inputs!$I$8)))/Inputs!$C$49)+Inputs!$C$47*0.137))+0.35*COS(2*PI()*(((Inputs!$C$6)/Inputs!$C$50)+Inputs!$C$47*0.173))+0.2*SIN(2*PI()*((((Inputs!$I$8+(((A227)+1)/2)*(Inputs!$J$8-Inputs!$I$8)))+(Inputs!$C$6))/(0.5*(Inputs!$C$49+Inputs!$C$50))+Inputs!$C$47*0.097)))+0.3*(2*((SIN((((Inputs!$I$8+(((A227)+1)/2)*(Inputs!$J$8-Inputs!$I$8)))*12.9898+(Inputs!$C$6)*78.233+Inputs!$C$47*37.719))*43758.5453)-INT((SIN((((Inputs!$I$8+(((A227)+1)/2)*(Inputs!$J$8-Inputs!$I$8)))*12.9898+(Inputs!$C$6)*78.233+Inputs!$C$47*37.719))*43758.5453)))-1))),NA())</f>
        <v/>
      </c>
      <c r="AV227" s="9">
        <f>IF(OR(Inputs!$F$9=TRUE,Inputs!$F$9="TRUE",Inputs!$F$9=1),IF(OR(Inputs!$C$27=TRUE,Inputs!$C$27="TRUE",Inputs!$C$27=1),1,0)*(Inputs!$C$51*(115*EXP(-(((Inputs!$C$6)-25)^2)/(4.5^2))+70*EXP(-(((Inputs!$C$6)+38)^2)/(7^2))*(0.55+0.45*SIN(2*PI()*((Inputs!$I$9+(((A227)+1)/2)*(Inputs!$J$9-Inputs!$I$9)))/45))+24*SIN(2*PI()*(Inputs!$C$6)/9+((Inputs!$I$9+(((A227)+1)/2)*(Inputs!$J$9-Inputs!$I$9)))/18)*EXP(-(((Inputs!$C$6)+5)^2)/(22^2))+18*SIN(2*PI()*((Inputs!$I$9+(((A227)+1)/2)*(Inputs!$J$9-Inputs!$I$9)))/70))+Inputs!$C$28*EXP(-((((Inputs!$I$9+(((A227)+1)/2)*(Inputs!$J$9-Inputs!$I$9)))-Inputs!$C$29)^2)/(2*Inputs!$C$31^2))*EXP(-(((Inputs!$C$6)-Inputs!$C$30)^2)/(2*Inputs!$C$32^2))+-Inputs!$C$33*EXP(-((((((Inputs!$I$9+(((A227)+1)/2)*(Inputs!$J$9-Inputs!$I$9)))-Inputs!$C$34)^2)+(((Inputs!$C$6)-Inputs!$C$35)^2))/(2*Inputs!$C$36^2)))+Inputs!$C$37*(0.55*SIN(2*PI()*((Inputs!$I$9+(((A227)+1)/2)*(Inputs!$J$9-Inputs!$I$9)))/Inputs!$C$39)+0.35*COS(2*PI()*(Inputs!$C$6)/Inputs!$C$40)+0.2*SIN(2*PI()*(((Inputs!$I$9+(((A227)+1)/2)*(Inputs!$J$9-Inputs!$I$9)))+(Inputs!$C$6))/(0.5*(Inputs!$C$39+Inputs!$C$40))))+Inputs!$C$38*SIN(2*PI()*((Inputs!$I$9+(((A227)+1)/2)*(Inputs!$J$9-Inputs!$I$9)))/Inputs!$C$39)*SIN(2*PI()*(Inputs!$C$6)/Inputs!$C$40)+-Inputs!$C$41*EXP(-(((Inputs!$C$6)-Inputs!$C$43)^2)/(2*Inputs!$C$44^2))*EXP(-((((Inputs!$I$9+(((A227)+1)/2)*(Inputs!$J$9-Inputs!$I$9)))-Inputs!$C$42)^2)/(2*Inputs!$C$45^2))+Inputs!$C$48*(0.7*(0.45*SIN(2*PI()*((((Inputs!$I$9+(((A227)+1)/2)*(Inputs!$J$9-Inputs!$I$9)))/Inputs!$C$49)+Inputs!$C$47*0.137))+0.35*COS(2*PI()*(((Inputs!$C$6)/Inputs!$C$50)+Inputs!$C$47*0.173))+0.2*SIN(2*PI()*((((Inputs!$I$9+(((A227)+1)/2)*(Inputs!$J$9-Inputs!$I$9)))+(Inputs!$C$6))/(0.5*(Inputs!$C$49+Inputs!$C$50))+Inputs!$C$47*0.097)))+0.3*(2*((SIN((((Inputs!$I$9+(((A227)+1)/2)*(Inputs!$J$9-Inputs!$I$9)))*12.9898+(Inputs!$C$6)*78.233+Inputs!$C$47*37.719))*43758.5453)-INT((SIN((((Inputs!$I$9+(((A227)+1)/2)*(Inputs!$J$9-Inputs!$I$9)))*12.9898+(Inputs!$C$6)*78.233+Inputs!$C$47*37.719))*43758.5453)))-1))),NA())</f>
        <v/>
      </c>
      <c r="AW227" s="10" t="n"/>
      <c r="AX227" s="9">
        <f>A227</f>
        <v/>
      </c>
      <c r="AY227" s="9">
        <f>0</f>
        <v/>
      </c>
      <c r="AZ227" s="9">
        <f>IF(OR(Inputs!$F$6=TRUE,Inputs!$F$6="TRUE",Inputs!$F$6=1),(Inputs!$H$6+Inputs!$L$6*(((Inputs!$I$6+(((A227)+1)/2)*(Inputs!$J$6-Inputs!$I$6)))/Inputs!$K$6)^2),NA())</f>
        <v/>
      </c>
      <c r="BA227" s="9">
        <f>IF(OR(Inputs!$F$7=TRUE,Inputs!$F$7="TRUE",Inputs!$F$7=1),(Inputs!$H$7+Inputs!$L$7*(((Inputs!$I$7+(((A227)+1)/2)*(Inputs!$J$7-Inputs!$I$7)))/Inputs!$K$7)^2),NA())</f>
        <v/>
      </c>
      <c r="BB227" s="9">
        <f>IF(OR(Inputs!$F$8=TRUE,Inputs!$F$8="TRUE",Inputs!$F$8=1),(Inputs!$H$8+Inputs!$L$8*(((Inputs!$I$8+(((A227)+1)/2)*(Inputs!$J$8-Inputs!$I$8)))/Inputs!$K$8)^2),NA())</f>
        <v/>
      </c>
      <c r="BC227" s="9">
        <f>IF(OR(Inputs!$F$9=TRUE,Inputs!$F$9="TRUE",Inputs!$F$9=1),(Inputs!$H$9+Inputs!$L$9*(((Inputs!$I$9+(((A227)+1)/2)*(Inputs!$J$9-Inputs!$I$9)))/Inputs!$K$9)^2),NA())</f>
        <v/>
      </c>
      <c r="BD227" s="10" t="n"/>
      <c r="BE227" s="9">
        <f>A227</f>
        <v/>
      </c>
      <c r="BF227" s="9">
        <f>0</f>
        <v/>
      </c>
      <c r="BG227" s="9">
        <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f>
        <v/>
      </c>
      <c r="BH227" s="9">
        <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f>
        <v/>
      </c>
      <c r="BI227" s="9">
        <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f>
        <v/>
      </c>
      <c r="BJ227" s="9">
        <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f>
        <v/>
      </c>
    </row>
    <row r="228">
      <c r="A228" s="9">
        <f>ROUND(-1+226*2/240,3)</f>
        <v/>
      </c>
      <c r="B228" s="9">
        <f>IF(OR(Inputs!$F$6=TRUE,Inputs!$F$6="TRUE",Inputs!$F$6=1),(Inputs!$H$6+Inputs!$L$6*(((Inputs!$I$6+(((A228)+1)/2)*(Inputs!$J$6-Inputs!$I$6)))/Inputs!$K$6)^2),NA())</f>
        <v/>
      </c>
      <c r="C228" s="9">
        <f>IF(OR(Inputs!$F$7=TRUE,Inputs!$F$7="TRUE",Inputs!$F$7=1),(Inputs!$H$7+Inputs!$L$7*(((Inputs!$I$7+(((A228)+1)/2)*(Inputs!$J$7-Inputs!$I$7)))/Inputs!$K$7)^2),NA())</f>
        <v/>
      </c>
      <c r="D228" s="9">
        <f>IF(OR(Inputs!$F$8=TRUE,Inputs!$F$8="TRUE",Inputs!$F$8=1),(Inputs!$H$8+Inputs!$L$8*(((Inputs!$I$8+(((A228)+1)/2)*(Inputs!$J$8-Inputs!$I$8)))/Inputs!$K$8)^2),NA())</f>
        <v/>
      </c>
      <c r="E228" s="9">
        <f>IF(OR(Inputs!$F$9=TRUE,Inputs!$F$9="TRUE",Inputs!$F$9=1),(Inputs!$H$9+Inputs!$L$9*(((Inputs!$I$9+(((A228)+1)/2)*(Inputs!$J$9-Inputs!$I$9)))/Inputs!$K$9)^2),NA())</f>
        <v/>
      </c>
      <c r="F228" s="10" t="n"/>
      <c r="G228" s="9">
        <f>A228</f>
        <v/>
      </c>
      <c r="H228" s="9">
        <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f>
        <v/>
      </c>
      <c r="I228" s="9">
        <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f>
        <v/>
      </c>
      <c r="J228" s="9">
        <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f>
        <v/>
      </c>
      <c r="K228" s="9">
        <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f>
        <v/>
      </c>
      <c r="L228" s="10" t="n"/>
      <c r="M228" s="9">
        <f>A228</f>
        <v/>
      </c>
      <c r="N228" s="9">
        <f>IF(OR(Inputs!$F$6=TRUE,Inputs!$F$6="TRUE",Inputs!$F$6=1),(-2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NA())</f>
        <v/>
      </c>
      <c r="O228" s="9">
        <f>IF(OR(Inputs!$F$7=TRUE,Inputs!$F$7="TRUE",Inputs!$F$7=1),(-2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NA())</f>
        <v/>
      </c>
      <c r="P228" s="9">
        <f>IF(OR(Inputs!$F$8=TRUE,Inputs!$F$8="TRUE",Inputs!$F$8=1),(-2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NA())</f>
        <v/>
      </c>
      <c r="Q228" s="9">
        <f>IF(OR(Inputs!$F$9=TRUE,Inputs!$F$9="TRUE",Inputs!$F$9=1),(-2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NA())</f>
        <v/>
      </c>
      <c r="R228" s="10" t="n"/>
      <c r="S228" s="9">
        <f>A228</f>
        <v/>
      </c>
      <c r="T228" s="9">
        <f>(Inputs!$I$6+(((A228)+1)/2)*(Inputs!$J$6-Inputs!$I$6))</f>
        <v/>
      </c>
      <c r="U228" s="9">
        <f>(Inputs!$I$7+(((A228)+1)/2)*(Inputs!$J$7-Inputs!$I$7))</f>
        <v/>
      </c>
      <c r="V228" s="9">
        <f>(Inputs!$I$8+(((A228)+1)/2)*(Inputs!$J$8-Inputs!$I$8))</f>
        <v/>
      </c>
      <c r="W228" s="9">
        <f>(Inputs!$I$9+(((A228)+1)/2)*(Inputs!$J$9-Inputs!$I$9))</f>
        <v/>
      </c>
      <c r="X228" s="10" t="n"/>
      <c r="Y228" s="9">
        <f>A228</f>
        <v/>
      </c>
      <c r="Z228" s="9">
        <f>(Inputs!$H$6+Inputs!$L$6*(((Inputs!$I$6+(((A228)+1)/2)*(Inputs!$J$6-Inputs!$I$6)))/Inputs!$K$6)^2)</f>
        <v/>
      </c>
      <c r="AA228" s="9">
        <f>(Inputs!$H$7+Inputs!$L$7*(((Inputs!$I$7+(((A228)+1)/2)*(Inputs!$J$7-Inputs!$I$7)))/Inputs!$K$7)^2)</f>
        <v/>
      </c>
      <c r="AB228" s="9">
        <f>(Inputs!$H$8+Inputs!$L$8*(((Inputs!$I$8+(((A228)+1)/2)*(Inputs!$J$8-Inputs!$I$8)))/Inputs!$K$8)^2)</f>
        <v/>
      </c>
      <c r="AC228" s="9">
        <f>(Inputs!$H$9+Inputs!$L$9*(((Inputs!$I$9+(((A228)+1)/2)*(Inputs!$J$9-Inputs!$I$9)))/Inputs!$K$9)^2)</f>
        <v/>
      </c>
      <c r="AD228" s="10" t="n"/>
      <c r="AE228" s="9">
        <f>A228</f>
        <v/>
      </c>
      <c r="AF228" s="9">
        <f>(((SQRT((Inputs!$C$52+((Inputs!$H$6+Inputs!$L$6*(((Inputs!$I$6+(((A228)+1)/2)*(Inputs!$J$6-Inputs!$I$6)))/Inputs!$K$6)^2)))^2+Inputs!$C$52^2-2*(Inputs!$C$52+((Inputs!$H$6+Inputs!$L$6*(((Inputs!$I$6+(((A228)+1)/2)*(Inputs!$J$6-Inputs!$I$6)))/Inputs!$K$6)^2)))*Inputs!$C$52*COS(SQRT(((Inputs!$I$6+(((A228)+1)/2)*(Inputs!$J$6-Inputs!$I$6)))^2+Inputs!$C$6^2)/Inputs!$C$52)))-((Inputs!$H$6+Inputs!$L$6*(((Inputs!$I$6+(((A228)+1)/2)*(Inputs!$J$6-Inputs!$I$6)))/Inputs!$K$6)^2)))*1000/Inputs!$C$12)</f>
        <v/>
      </c>
      <c r="AG228" s="9">
        <f>(((SQRT((Inputs!$C$52+((Inputs!$H$7+Inputs!$L$7*(((Inputs!$I$7+(((A228)+1)/2)*(Inputs!$J$7-Inputs!$I$7)))/Inputs!$K$7)^2)))^2+Inputs!$C$52^2-2*(Inputs!$C$52+((Inputs!$H$7+Inputs!$L$7*(((Inputs!$I$7+(((A228)+1)/2)*(Inputs!$J$7-Inputs!$I$7)))/Inputs!$K$7)^2)))*Inputs!$C$52*COS(SQRT(((Inputs!$I$7+(((A228)+1)/2)*(Inputs!$J$7-Inputs!$I$7)))^2+Inputs!$C$6^2)/Inputs!$C$52)))-((Inputs!$H$7+Inputs!$L$7*(((Inputs!$I$7+(((A228)+1)/2)*(Inputs!$J$7-Inputs!$I$7)))/Inputs!$K$7)^2)))*1000/Inputs!$C$12)</f>
        <v/>
      </c>
      <c r="AH228" s="9">
        <f>(((SQRT((Inputs!$C$52+((Inputs!$H$8+Inputs!$L$8*(((Inputs!$I$8+(((A228)+1)/2)*(Inputs!$J$8-Inputs!$I$8)))/Inputs!$K$8)^2)))^2+Inputs!$C$52^2-2*(Inputs!$C$52+((Inputs!$H$8+Inputs!$L$8*(((Inputs!$I$8+(((A228)+1)/2)*(Inputs!$J$8-Inputs!$I$8)))/Inputs!$K$8)^2)))*Inputs!$C$52*COS(SQRT(((Inputs!$I$8+(((A228)+1)/2)*(Inputs!$J$8-Inputs!$I$8)))^2+Inputs!$C$6^2)/Inputs!$C$52)))-((Inputs!$H$8+Inputs!$L$8*(((Inputs!$I$8+(((A228)+1)/2)*(Inputs!$J$8-Inputs!$I$8)))/Inputs!$K$8)^2)))*1000/Inputs!$C$12)</f>
        <v/>
      </c>
      <c r="AI228" s="9">
        <f>(((SQRT((Inputs!$C$52+((Inputs!$H$9+Inputs!$L$9*(((Inputs!$I$9+(((A228)+1)/2)*(Inputs!$J$9-Inputs!$I$9)))/Inputs!$K$9)^2)))^2+Inputs!$C$52^2-2*(Inputs!$C$52+((Inputs!$H$9+Inputs!$L$9*(((Inputs!$I$9+(((A228)+1)/2)*(Inputs!$J$9-Inputs!$I$9)))/Inputs!$K$9)^2)))*Inputs!$C$52*COS(SQRT(((Inputs!$I$9+(((A228)+1)/2)*(Inputs!$J$9-Inputs!$I$9)))^2+Inputs!$C$6^2)/Inputs!$C$52)))-((Inputs!$H$9+Inputs!$L$9*(((Inputs!$I$9+(((A228)+1)/2)*(Inputs!$J$9-Inputs!$I$9)))/Inputs!$K$9)^2)))*1000/Inputs!$C$12)</f>
        <v/>
      </c>
      <c r="AJ228" s="10" t="n"/>
      <c r="AK228" s="9">
        <f>A228</f>
        <v/>
      </c>
      <c r="AL228" s="9">
        <f>(-2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f>
        <v/>
      </c>
      <c r="AM228" s="9">
        <f>(-2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f>
        <v/>
      </c>
      <c r="AN228" s="9">
        <f>(-2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f>
        <v/>
      </c>
      <c r="AO228" s="9">
        <f>(-2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f>
        <v/>
      </c>
      <c r="AP228" s="10" t="n"/>
      <c r="AQ228" s="9">
        <f>A228</f>
        <v/>
      </c>
      <c r="AR228" s="9">
        <f>0</f>
        <v/>
      </c>
      <c r="AS228" s="9">
        <f>IF(OR(Inputs!$F$6=TRUE,Inputs!$F$6="TRUE",Inputs!$F$6=1),IF(OR(Inputs!$C$27=TRUE,Inputs!$C$27="TRUE",Inputs!$C$27=1),1,0)*(Inputs!$C$51*(115*EXP(-(((Inputs!$C$6)-25)^2)/(4.5^2))+70*EXP(-(((Inputs!$C$6)+38)^2)/(7^2))*(0.55+0.45*SIN(2*PI()*((Inputs!$I$6+(((A228)+1)/2)*(Inputs!$J$6-Inputs!$I$6)))/45))+24*SIN(2*PI()*(Inputs!$C$6)/9+((Inputs!$I$6+(((A228)+1)/2)*(Inputs!$J$6-Inputs!$I$6)))/18)*EXP(-(((Inputs!$C$6)+5)^2)/(22^2))+18*SIN(2*PI()*((Inputs!$I$6+(((A228)+1)/2)*(Inputs!$J$6-Inputs!$I$6)))/70))+Inputs!$C$28*EXP(-((((Inputs!$I$6+(((A228)+1)/2)*(Inputs!$J$6-Inputs!$I$6)))-Inputs!$C$29)^2)/(2*Inputs!$C$31^2))*EXP(-(((Inputs!$C$6)-Inputs!$C$30)^2)/(2*Inputs!$C$32^2))+-Inputs!$C$33*EXP(-((((((Inputs!$I$6+(((A228)+1)/2)*(Inputs!$J$6-Inputs!$I$6)))-Inputs!$C$34)^2)+(((Inputs!$C$6)-Inputs!$C$35)^2))/(2*Inputs!$C$36^2)))+Inputs!$C$37*(0.55*SIN(2*PI()*((Inputs!$I$6+(((A228)+1)/2)*(Inputs!$J$6-Inputs!$I$6)))/Inputs!$C$39)+0.35*COS(2*PI()*(Inputs!$C$6)/Inputs!$C$40)+0.2*SIN(2*PI()*(((Inputs!$I$6+(((A228)+1)/2)*(Inputs!$J$6-Inputs!$I$6)))+(Inputs!$C$6))/(0.5*(Inputs!$C$39+Inputs!$C$40))))+Inputs!$C$38*SIN(2*PI()*((Inputs!$I$6+(((A228)+1)/2)*(Inputs!$J$6-Inputs!$I$6)))/Inputs!$C$39)*SIN(2*PI()*(Inputs!$C$6)/Inputs!$C$40)+-Inputs!$C$41*EXP(-(((Inputs!$C$6)-Inputs!$C$43)^2)/(2*Inputs!$C$44^2))*EXP(-((((Inputs!$I$6+(((A228)+1)/2)*(Inputs!$J$6-Inputs!$I$6)))-Inputs!$C$42)^2)/(2*Inputs!$C$45^2))+Inputs!$C$48*(0.7*(0.45*SIN(2*PI()*((((Inputs!$I$6+(((A228)+1)/2)*(Inputs!$J$6-Inputs!$I$6)))/Inputs!$C$49)+Inputs!$C$47*0.137))+0.35*COS(2*PI()*(((Inputs!$C$6)/Inputs!$C$50)+Inputs!$C$47*0.173))+0.2*SIN(2*PI()*((((Inputs!$I$6+(((A228)+1)/2)*(Inputs!$J$6-Inputs!$I$6)))+(Inputs!$C$6))/(0.5*(Inputs!$C$49+Inputs!$C$50))+Inputs!$C$47*0.097)))+0.3*(2*((SIN((((Inputs!$I$6+(((A228)+1)/2)*(Inputs!$J$6-Inputs!$I$6)))*12.9898+(Inputs!$C$6)*78.233+Inputs!$C$47*37.719))*43758.5453)-INT((SIN((((Inputs!$I$6+(((A228)+1)/2)*(Inputs!$J$6-Inputs!$I$6)))*12.9898+(Inputs!$C$6)*78.233+Inputs!$C$47*37.719))*43758.5453)))-1))),NA())</f>
        <v/>
      </c>
      <c r="AT228" s="9">
        <f>IF(OR(Inputs!$F$7=TRUE,Inputs!$F$7="TRUE",Inputs!$F$7=1),IF(OR(Inputs!$C$27=TRUE,Inputs!$C$27="TRUE",Inputs!$C$27=1),1,0)*(Inputs!$C$51*(115*EXP(-(((Inputs!$C$6)-25)^2)/(4.5^2))+70*EXP(-(((Inputs!$C$6)+38)^2)/(7^2))*(0.55+0.45*SIN(2*PI()*((Inputs!$I$7+(((A228)+1)/2)*(Inputs!$J$7-Inputs!$I$7)))/45))+24*SIN(2*PI()*(Inputs!$C$6)/9+((Inputs!$I$7+(((A228)+1)/2)*(Inputs!$J$7-Inputs!$I$7)))/18)*EXP(-(((Inputs!$C$6)+5)^2)/(22^2))+18*SIN(2*PI()*((Inputs!$I$7+(((A228)+1)/2)*(Inputs!$J$7-Inputs!$I$7)))/70))+Inputs!$C$28*EXP(-((((Inputs!$I$7+(((A228)+1)/2)*(Inputs!$J$7-Inputs!$I$7)))-Inputs!$C$29)^2)/(2*Inputs!$C$31^2))*EXP(-(((Inputs!$C$6)-Inputs!$C$30)^2)/(2*Inputs!$C$32^2))+-Inputs!$C$33*EXP(-((((((Inputs!$I$7+(((A228)+1)/2)*(Inputs!$J$7-Inputs!$I$7)))-Inputs!$C$34)^2)+(((Inputs!$C$6)-Inputs!$C$35)^2))/(2*Inputs!$C$36^2)))+Inputs!$C$37*(0.55*SIN(2*PI()*((Inputs!$I$7+(((A228)+1)/2)*(Inputs!$J$7-Inputs!$I$7)))/Inputs!$C$39)+0.35*COS(2*PI()*(Inputs!$C$6)/Inputs!$C$40)+0.2*SIN(2*PI()*(((Inputs!$I$7+(((A228)+1)/2)*(Inputs!$J$7-Inputs!$I$7)))+(Inputs!$C$6))/(0.5*(Inputs!$C$39+Inputs!$C$40))))+Inputs!$C$38*SIN(2*PI()*((Inputs!$I$7+(((A228)+1)/2)*(Inputs!$J$7-Inputs!$I$7)))/Inputs!$C$39)*SIN(2*PI()*(Inputs!$C$6)/Inputs!$C$40)+-Inputs!$C$41*EXP(-(((Inputs!$C$6)-Inputs!$C$43)^2)/(2*Inputs!$C$44^2))*EXP(-((((Inputs!$I$7+(((A228)+1)/2)*(Inputs!$J$7-Inputs!$I$7)))-Inputs!$C$42)^2)/(2*Inputs!$C$45^2))+Inputs!$C$48*(0.7*(0.45*SIN(2*PI()*((((Inputs!$I$7+(((A228)+1)/2)*(Inputs!$J$7-Inputs!$I$7)))/Inputs!$C$49)+Inputs!$C$47*0.137))+0.35*COS(2*PI()*(((Inputs!$C$6)/Inputs!$C$50)+Inputs!$C$47*0.173))+0.2*SIN(2*PI()*((((Inputs!$I$7+(((A228)+1)/2)*(Inputs!$J$7-Inputs!$I$7)))+(Inputs!$C$6))/(0.5*(Inputs!$C$49+Inputs!$C$50))+Inputs!$C$47*0.097)))+0.3*(2*((SIN((((Inputs!$I$7+(((A228)+1)/2)*(Inputs!$J$7-Inputs!$I$7)))*12.9898+(Inputs!$C$6)*78.233+Inputs!$C$47*37.719))*43758.5453)-INT((SIN((((Inputs!$I$7+(((A228)+1)/2)*(Inputs!$J$7-Inputs!$I$7)))*12.9898+(Inputs!$C$6)*78.233+Inputs!$C$47*37.719))*43758.5453)))-1))),NA())</f>
        <v/>
      </c>
      <c r="AU228" s="9">
        <f>IF(OR(Inputs!$F$8=TRUE,Inputs!$F$8="TRUE",Inputs!$F$8=1),IF(OR(Inputs!$C$27=TRUE,Inputs!$C$27="TRUE",Inputs!$C$27=1),1,0)*(Inputs!$C$51*(115*EXP(-(((Inputs!$C$6)-25)^2)/(4.5^2))+70*EXP(-(((Inputs!$C$6)+38)^2)/(7^2))*(0.55+0.45*SIN(2*PI()*((Inputs!$I$8+(((A228)+1)/2)*(Inputs!$J$8-Inputs!$I$8)))/45))+24*SIN(2*PI()*(Inputs!$C$6)/9+((Inputs!$I$8+(((A228)+1)/2)*(Inputs!$J$8-Inputs!$I$8)))/18)*EXP(-(((Inputs!$C$6)+5)^2)/(22^2))+18*SIN(2*PI()*((Inputs!$I$8+(((A228)+1)/2)*(Inputs!$J$8-Inputs!$I$8)))/70))+Inputs!$C$28*EXP(-((((Inputs!$I$8+(((A228)+1)/2)*(Inputs!$J$8-Inputs!$I$8)))-Inputs!$C$29)^2)/(2*Inputs!$C$31^2))*EXP(-(((Inputs!$C$6)-Inputs!$C$30)^2)/(2*Inputs!$C$32^2))+-Inputs!$C$33*EXP(-((((((Inputs!$I$8+(((A228)+1)/2)*(Inputs!$J$8-Inputs!$I$8)))-Inputs!$C$34)^2)+(((Inputs!$C$6)-Inputs!$C$35)^2))/(2*Inputs!$C$36^2)))+Inputs!$C$37*(0.55*SIN(2*PI()*((Inputs!$I$8+(((A228)+1)/2)*(Inputs!$J$8-Inputs!$I$8)))/Inputs!$C$39)+0.35*COS(2*PI()*(Inputs!$C$6)/Inputs!$C$40)+0.2*SIN(2*PI()*(((Inputs!$I$8+(((A228)+1)/2)*(Inputs!$J$8-Inputs!$I$8)))+(Inputs!$C$6))/(0.5*(Inputs!$C$39+Inputs!$C$40))))+Inputs!$C$38*SIN(2*PI()*((Inputs!$I$8+(((A228)+1)/2)*(Inputs!$J$8-Inputs!$I$8)))/Inputs!$C$39)*SIN(2*PI()*(Inputs!$C$6)/Inputs!$C$40)+-Inputs!$C$41*EXP(-(((Inputs!$C$6)-Inputs!$C$43)^2)/(2*Inputs!$C$44^2))*EXP(-((((Inputs!$I$8+(((A228)+1)/2)*(Inputs!$J$8-Inputs!$I$8)))-Inputs!$C$42)^2)/(2*Inputs!$C$45^2))+Inputs!$C$48*(0.7*(0.45*SIN(2*PI()*((((Inputs!$I$8+(((A228)+1)/2)*(Inputs!$J$8-Inputs!$I$8)))/Inputs!$C$49)+Inputs!$C$47*0.137))+0.35*COS(2*PI()*(((Inputs!$C$6)/Inputs!$C$50)+Inputs!$C$47*0.173))+0.2*SIN(2*PI()*((((Inputs!$I$8+(((A228)+1)/2)*(Inputs!$J$8-Inputs!$I$8)))+(Inputs!$C$6))/(0.5*(Inputs!$C$49+Inputs!$C$50))+Inputs!$C$47*0.097)))+0.3*(2*((SIN((((Inputs!$I$8+(((A228)+1)/2)*(Inputs!$J$8-Inputs!$I$8)))*12.9898+(Inputs!$C$6)*78.233+Inputs!$C$47*37.719))*43758.5453)-INT((SIN((((Inputs!$I$8+(((A228)+1)/2)*(Inputs!$J$8-Inputs!$I$8)))*12.9898+(Inputs!$C$6)*78.233+Inputs!$C$47*37.719))*43758.5453)))-1))),NA())</f>
        <v/>
      </c>
      <c r="AV228" s="9">
        <f>IF(OR(Inputs!$F$9=TRUE,Inputs!$F$9="TRUE",Inputs!$F$9=1),IF(OR(Inputs!$C$27=TRUE,Inputs!$C$27="TRUE",Inputs!$C$27=1),1,0)*(Inputs!$C$51*(115*EXP(-(((Inputs!$C$6)-25)^2)/(4.5^2))+70*EXP(-(((Inputs!$C$6)+38)^2)/(7^2))*(0.55+0.45*SIN(2*PI()*((Inputs!$I$9+(((A228)+1)/2)*(Inputs!$J$9-Inputs!$I$9)))/45))+24*SIN(2*PI()*(Inputs!$C$6)/9+((Inputs!$I$9+(((A228)+1)/2)*(Inputs!$J$9-Inputs!$I$9)))/18)*EXP(-(((Inputs!$C$6)+5)^2)/(22^2))+18*SIN(2*PI()*((Inputs!$I$9+(((A228)+1)/2)*(Inputs!$J$9-Inputs!$I$9)))/70))+Inputs!$C$28*EXP(-((((Inputs!$I$9+(((A228)+1)/2)*(Inputs!$J$9-Inputs!$I$9)))-Inputs!$C$29)^2)/(2*Inputs!$C$31^2))*EXP(-(((Inputs!$C$6)-Inputs!$C$30)^2)/(2*Inputs!$C$32^2))+-Inputs!$C$33*EXP(-((((((Inputs!$I$9+(((A228)+1)/2)*(Inputs!$J$9-Inputs!$I$9)))-Inputs!$C$34)^2)+(((Inputs!$C$6)-Inputs!$C$35)^2))/(2*Inputs!$C$36^2)))+Inputs!$C$37*(0.55*SIN(2*PI()*((Inputs!$I$9+(((A228)+1)/2)*(Inputs!$J$9-Inputs!$I$9)))/Inputs!$C$39)+0.35*COS(2*PI()*(Inputs!$C$6)/Inputs!$C$40)+0.2*SIN(2*PI()*(((Inputs!$I$9+(((A228)+1)/2)*(Inputs!$J$9-Inputs!$I$9)))+(Inputs!$C$6))/(0.5*(Inputs!$C$39+Inputs!$C$40))))+Inputs!$C$38*SIN(2*PI()*((Inputs!$I$9+(((A228)+1)/2)*(Inputs!$J$9-Inputs!$I$9)))/Inputs!$C$39)*SIN(2*PI()*(Inputs!$C$6)/Inputs!$C$40)+-Inputs!$C$41*EXP(-(((Inputs!$C$6)-Inputs!$C$43)^2)/(2*Inputs!$C$44^2))*EXP(-((((Inputs!$I$9+(((A228)+1)/2)*(Inputs!$J$9-Inputs!$I$9)))-Inputs!$C$42)^2)/(2*Inputs!$C$45^2))+Inputs!$C$48*(0.7*(0.45*SIN(2*PI()*((((Inputs!$I$9+(((A228)+1)/2)*(Inputs!$J$9-Inputs!$I$9)))/Inputs!$C$49)+Inputs!$C$47*0.137))+0.35*COS(2*PI()*(((Inputs!$C$6)/Inputs!$C$50)+Inputs!$C$47*0.173))+0.2*SIN(2*PI()*((((Inputs!$I$9+(((A228)+1)/2)*(Inputs!$J$9-Inputs!$I$9)))+(Inputs!$C$6))/(0.5*(Inputs!$C$49+Inputs!$C$50))+Inputs!$C$47*0.097)))+0.3*(2*((SIN((((Inputs!$I$9+(((A228)+1)/2)*(Inputs!$J$9-Inputs!$I$9)))*12.9898+(Inputs!$C$6)*78.233+Inputs!$C$47*37.719))*43758.5453)-INT((SIN((((Inputs!$I$9+(((A228)+1)/2)*(Inputs!$J$9-Inputs!$I$9)))*12.9898+(Inputs!$C$6)*78.233+Inputs!$C$47*37.719))*43758.5453)))-1))),NA())</f>
        <v/>
      </c>
      <c r="AW228" s="10" t="n"/>
      <c r="AX228" s="9">
        <f>A228</f>
        <v/>
      </c>
      <c r="AY228" s="9">
        <f>0</f>
        <v/>
      </c>
      <c r="AZ228" s="9">
        <f>IF(OR(Inputs!$F$6=TRUE,Inputs!$F$6="TRUE",Inputs!$F$6=1),(Inputs!$H$6+Inputs!$L$6*(((Inputs!$I$6+(((A228)+1)/2)*(Inputs!$J$6-Inputs!$I$6)))/Inputs!$K$6)^2),NA())</f>
        <v/>
      </c>
      <c r="BA228" s="9">
        <f>IF(OR(Inputs!$F$7=TRUE,Inputs!$F$7="TRUE",Inputs!$F$7=1),(Inputs!$H$7+Inputs!$L$7*(((Inputs!$I$7+(((A228)+1)/2)*(Inputs!$J$7-Inputs!$I$7)))/Inputs!$K$7)^2),NA())</f>
        <v/>
      </c>
      <c r="BB228" s="9">
        <f>IF(OR(Inputs!$F$8=TRUE,Inputs!$F$8="TRUE",Inputs!$F$8=1),(Inputs!$H$8+Inputs!$L$8*(((Inputs!$I$8+(((A228)+1)/2)*(Inputs!$J$8-Inputs!$I$8)))/Inputs!$K$8)^2),NA())</f>
        <v/>
      </c>
      <c r="BC228" s="9">
        <f>IF(OR(Inputs!$F$9=TRUE,Inputs!$F$9="TRUE",Inputs!$F$9=1),(Inputs!$H$9+Inputs!$L$9*(((Inputs!$I$9+(((A228)+1)/2)*(Inputs!$J$9-Inputs!$I$9)))/Inputs!$K$9)^2),NA())</f>
        <v/>
      </c>
      <c r="BD228" s="10" t="n"/>
      <c r="BE228" s="9">
        <f>A228</f>
        <v/>
      </c>
      <c r="BF228" s="9">
        <f>0</f>
        <v/>
      </c>
      <c r="BG228" s="9">
        <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f>
        <v/>
      </c>
      <c r="BH228" s="9">
        <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f>
        <v/>
      </c>
      <c r="BI228" s="9">
        <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f>
        <v/>
      </c>
      <c r="BJ228" s="9">
        <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f>
        <v/>
      </c>
    </row>
    <row r="229">
      <c r="A229" s="9">
        <f>ROUND(-1+227*2/240,3)</f>
        <v/>
      </c>
      <c r="B229" s="9">
        <f>IF(OR(Inputs!$F$6=TRUE,Inputs!$F$6="TRUE",Inputs!$F$6=1),(Inputs!$H$6+Inputs!$L$6*(((Inputs!$I$6+(((A229)+1)/2)*(Inputs!$J$6-Inputs!$I$6)))/Inputs!$K$6)^2),NA())</f>
        <v/>
      </c>
      <c r="C229" s="9">
        <f>IF(OR(Inputs!$F$7=TRUE,Inputs!$F$7="TRUE",Inputs!$F$7=1),(Inputs!$H$7+Inputs!$L$7*(((Inputs!$I$7+(((A229)+1)/2)*(Inputs!$J$7-Inputs!$I$7)))/Inputs!$K$7)^2),NA())</f>
        <v/>
      </c>
      <c r="D229" s="9">
        <f>IF(OR(Inputs!$F$8=TRUE,Inputs!$F$8="TRUE",Inputs!$F$8=1),(Inputs!$H$8+Inputs!$L$8*(((Inputs!$I$8+(((A229)+1)/2)*(Inputs!$J$8-Inputs!$I$8)))/Inputs!$K$8)^2),NA())</f>
        <v/>
      </c>
      <c r="E229" s="9">
        <f>IF(OR(Inputs!$F$9=TRUE,Inputs!$F$9="TRUE",Inputs!$F$9=1),(Inputs!$H$9+Inputs!$L$9*(((Inputs!$I$9+(((A229)+1)/2)*(Inputs!$J$9-Inputs!$I$9)))/Inputs!$K$9)^2),NA())</f>
        <v/>
      </c>
      <c r="F229" s="10" t="n"/>
      <c r="G229" s="9">
        <f>A229</f>
        <v/>
      </c>
      <c r="H229" s="9">
        <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f>
        <v/>
      </c>
      <c r="I229" s="9">
        <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f>
        <v/>
      </c>
      <c r="J229" s="9">
        <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f>
        <v/>
      </c>
      <c r="K229" s="9">
        <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f>
        <v/>
      </c>
      <c r="L229" s="10" t="n"/>
      <c r="M229" s="9">
        <f>A229</f>
        <v/>
      </c>
      <c r="N229" s="9">
        <f>IF(OR(Inputs!$F$6=TRUE,Inputs!$F$6="TRUE",Inputs!$F$6=1),(-2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NA())</f>
        <v/>
      </c>
      <c r="O229" s="9">
        <f>IF(OR(Inputs!$F$7=TRUE,Inputs!$F$7="TRUE",Inputs!$F$7=1),(-2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NA())</f>
        <v/>
      </c>
      <c r="P229" s="9">
        <f>IF(OR(Inputs!$F$8=TRUE,Inputs!$F$8="TRUE",Inputs!$F$8=1),(-2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NA())</f>
        <v/>
      </c>
      <c r="Q229" s="9">
        <f>IF(OR(Inputs!$F$9=TRUE,Inputs!$F$9="TRUE",Inputs!$F$9=1),(-2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NA())</f>
        <v/>
      </c>
      <c r="R229" s="10" t="n"/>
      <c r="S229" s="9">
        <f>A229</f>
        <v/>
      </c>
      <c r="T229" s="9">
        <f>(Inputs!$I$6+(((A229)+1)/2)*(Inputs!$J$6-Inputs!$I$6))</f>
        <v/>
      </c>
      <c r="U229" s="9">
        <f>(Inputs!$I$7+(((A229)+1)/2)*(Inputs!$J$7-Inputs!$I$7))</f>
        <v/>
      </c>
      <c r="V229" s="9">
        <f>(Inputs!$I$8+(((A229)+1)/2)*(Inputs!$J$8-Inputs!$I$8))</f>
        <v/>
      </c>
      <c r="W229" s="9">
        <f>(Inputs!$I$9+(((A229)+1)/2)*(Inputs!$J$9-Inputs!$I$9))</f>
        <v/>
      </c>
      <c r="X229" s="10" t="n"/>
      <c r="Y229" s="9">
        <f>A229</f>
        <v/>
      </c>
      <c r="Z229" s="9">
        <f>(Inputs!$H$6+Inputs!$L$6*(((Inputs!$I$6+(((A229)+1)/2)*(Inputs!$J$6-Inputs!$I$6)))/Inputs!$K$6)^2)</f>
        <v/>
      </c>
      <c r="AA229" s="9">
        <f>(Inputs!$H$7+Inputs!$L$7*(((Inputs!$I$7+(((A229)+1)/2)*(Inputs!$J$7-Inputs!$I$7)))/Inputs!$K$7)^2)</f>
        <v/>
      </c>
      <c r="AB229" s="9">
        <f>(Inputs!$H$8+Inputs!$L$8*(((Inputs!$I$8+(((A229)+1)/2)*(Inputs!$J$8-Inputs!$I$8)))/Inputs!$K$8)^2)</f>
        <v/>
      </c>
      <c r="AC229" s="9">
        <f>(Inputs!$H$9+Inputs!$L$9*(((Inputs!$I$9+(((A229)+1)/2)*(Inputs!$J$9-Inputs!$I$9)))/Inputs!$K$9)^2)</f>
        <v/>
      </c>
      <c r="AD229" s="10" t="n"/>
      <c r="AE229" s="9">
        <f>A229</f>
        <v/>
      </c>
      <c r="AF229" s="9">
        <f>(((SQRT((Inputs!$C$52+((Inputs!$H$6+Inputs!$L$6*(((Inputs!$I$6+(((A229)+1)/2)*(Inputs!$J$6-Inputs!$I$6)))/Inputs!$K$6)^2)))^2+Inputs!$C$52^2-2*(Inputs!$C$52+((Inputs!$H$6+Inputs!$L$6*(((Inputs!$I$6+(((A229)+1)/2)*(Inputs!$J$6-Inputs!$I$6)))/Inputs!$K$6)^2)))*Inputs!$C$52*COS(SQRT(((Inputs!$I$6+(((A229)+1)/2)*(Inputs!$J$6-Inputs!$I$6)))^2+Inputs!$C$6^2)/Inputs!$C$52)))-((Inputs!$H$6+Inputs!$L$6*(((Inputs!$I$6+(((A229)+1)/2)*(Inputs!$J$6-Inputs!$I$6)))/Inputs!$K$6)^2)))*1000/Inputs!$C$12)</f>
        <v/>
      </c>
      <c r="AG229" s="9">
        <f>(((SQRT((Inputs!$C$52+((Inputs!$H$7+Inputs!$L$7*(((Inputs!$I$7+(((A229)+1)/2)*(Inputs!$J$7-Inputs!$I$7)))/Inputs!$K$7)^2)))^2+Inputs!$C$52^2-2*(Inputs!$C$52+((Inputs!$H$7+Inputs!$L$7*(((Inputs!$I$7+(((A229)+1)/2)*(Inputs!$J$7-Inputs!$I$7)))/Inputs!$K$7)^2)))*Inputs!$C$52*COS(SQRT(((Inputs!$I$7+(((A229)+1)/2)*(Inputs!$J$7-Inputs!$I$7)))^2+Inputs!$C$6^2)/Inputs!$C$52)))-((Inputs!$H$7+Inputs!$L$7*(((Inputs!$I$7+(((A229)+1)/2)*(Inputs!$J$7-Inputs!$I$7)))/Inputs!$K$7)^2)))*1000/Inputs!$C$12)</f>
        <v/>
      </c>
      <c r="AH229" s="9">
        <f>(((SQRT((Inputs!$C$52+((Inputs!$H$8+Inputs!$L$8*(((Inputs!$I$8+(((A229)+1)/2)*(Inputs!$J$8-Inputs!$I$8)))/Inputs!$K$8)^2)))^2+Inputs!$C$52^2-2*(Inputs!$C$52+((Inputs!$H$8+Inputs!$L$8*(((Inputs!$I$8+(((A229)+1)/2)*(Inputs!$J$8-Inputs!$I$8)))/Inputs!$K$8)^2)))*Inputs!$C$52*COS(SQRT(((Inputs!$I$8+(((A229)+1)/2)*(Inputs!$J$8-Inputs!$I$8)))^2+Inputs!$C$6^2)/Inputs!$C$52)))-((Inputs!$H$8+Inputs!$L$8*(((Inputs!$I$8+(((A229)+1)/2)*(Inputs!$J$8-Inputs!$I$8)))/Inputs!$K$8)^2)))*1000/Inputs!$C$12)</f>
        <v/>
      </c>
      <c r="AI229" s="9">
        <f>(((SQRT((Inputs!$C$52+((Inputs!$H$9+Inputs!$L$9*(((Inputs!$I$9+(((A229)+1)/2)*(Inputs!$J$9-Inputs!$I$9)))/Inputs!$K$9)^2)))^2+Inputs!$C$52^2-2*(Inputs!$C$52+((Inputs!$H$9+Inputs!$L$9*(((Inputs!$I$9+(((A229)+1)/2)*(Inputs!$J$9-Inputs!$I$9)))/Inputs!$K$9)^2)))*Inputs!$C$52*COS(SQRT(((Inputs!$I$9+(((A229)+1)/2)*(Inputs!$J$9-Inputs!$I$9)))^2+Inputs!$C$6^2)/Inputs!$C$52)))-((Inputs!$H$9+Inputs!$L$9*(((Inputs!$I$9+(((A229)+1)/2)*(Inputs!$J$9-Inputs!$I$9)))/Inputs!$K$9)^2)))*1000/Inputs!$C$12)</f>
        <v/>
      </c>
      <c r="AJ229" s="10" t="n"/>
      <c r="AK229" s="9">
        <f>A229</f>
        <v/>
      </c>
      <c r="AL229" s="9">
        <f>(-2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f>
        <v/>
      </c>
      <c r="AM229" s="9">
        <f>(-2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f>
        <v/>
      </c>
      <c r="AN229" s="9">
        <f>(-2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f>
        <v/>
      </c>
      <c r="AO229" s="9">
        <f>(-2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f>
        <v/>
      </c>
      <c r="AP229" s="10" t="n"/>
      <c r="AQ229" s="9">
        <f>A229</f>
        <v/>
      </c>
      <c r="AR229" s="9">
        <f>0</f>
        <v/>
      </c>
      <c r="AS229" s="9">
        <f>IF(OR(Inputs!$F$6=TRUE,Inputs!$F$6="TRUE",Inputs!$F$6=1),IF(OR(Inputs!$C$27=TRUE,Inputs!$C$27="TRUE",Inputs!$C$27=1),1,0)*(Inputs!$C$51*(115*EXP(-(((Inputs!$C$6)-25)^2)/(4.5^2))+70*EXP(-(((Inputs!$C$6)+38)^2)/(7^2))*(0.55+0.45*SIN(2*PI()*((Inputs!$I$6+(((A229)+1)/2)*(Inputs!$J$6-Inputs!$I$6)))/45))+24*SIN(2*PI()*(Inputs!$C$6)/9+((Inputs!$I$6+(((A229)+1)/2)*(Inputs!$J$6-Inputs!$I$6)))/18)*EXP(-(((Inputs!$C$6)+5)^2)/(22^2))+18*SIN(2*PI()*((Inputs!$I$6+(((A229)+1)/2)*(Inputs!$J$6-Inputs!$I$6)))/70))+Inputs!$C$28*EXP(-((((Inputs!$I$6+(((A229)+1)/2)*(Inputs!$J$6-Inputs!$I$6)))-Inputs!$C$29)^2)/(2*Inputs!$C$31^2))*EXP(-(((Inputs!$C$6)-Inputs!$C$30)^2)/(2*Inputs!$C$32^2))+-Inputs!$C$33*EXP(-((((((Inputs!$I$6+(((A229)+1)/2)*(Inputs!$J$6-Inputs!$I$6)))-Inputs!$C$34)^2)+(((Inputs!$C$6)-Inputs!$C$35)^2))/(2*Inputs!$C$36^2)))+Inputs!$C$37*(0.55*SIN(2*PI()*((Inputs!$I$6+(((A229)+1)/2)*(Inputs!$J$6-Inputs!$I$6)))/Inputs!$C$39)+0.35*COS(2*PI()*(Inputs!$C$6)/Inputs!$C$40)+0.2*SIN(2*PI()*(((Inputs!$I$6+(((A229)+1)/2)*(Inputs!$J$6-Inputs!$I$6)))+(Inputs!$C$6))/(0.5*(Inputs!$C$39+Inputs!$C$40))))+Inputs!$C$38*SIN(2*PI()*((Inputs!$I$6+(((A229)+1)/2)*(Inputs!$J$6-Inputs!$I$6)))/Inputs!$C$39)*SIN(2*PI()*(Inputs!$C$6)/Inputs!$C$40)+-Inputs!$C$41*EXP(-(((Inputs!$C$6)-Inputs!$C$43)^2)/(2*Inputs!$C$44^2))*EXP(-((((Inputs!$I$6+(((A229)+1)/2)*(Inputs!$J$6-Inputs!$I$6)))-Inputs!$C$42)^2)/(2*Inputs!$C$45^2))+Inputs!$C$48*(0.7*(0.45*SIN(2*PI()*((((Inputs!$I$6+(((A229)+1)/2)*(Inputs!$J$6-Inputs!$I$6)))/Inputs!$C$49)+Inputs!$C$47*0.137))+0.35*COS(2*PI()*(((Inputs!$C$6)/Inputs!$C$50)+Inputs!$C$47*0.173))+0.2*SIN(2*PI()*((((Inputs!$I$6+(((A229)+1)/2)*(Inputs!$J$6-Inputs!$I$6)))+(Inputs!$C$6))/(0.5*(Inputs!$C$49+Inputs!$C$50))+Inputs!$C$47*0.097)))+0.3*(2*((SIN((((Inputs!$I$6+(((A229)+1)/2)*(Inputs!$J$6-Inputs!$I$6)))*12.9898+(Inputs!$C$6)*78.233+Inputs!$C$47*37.719))*43758.5453)-INT((SIN((((Inputs!$I$6+(((A229)+1)/2)*(Inputs!$J$6-Inputs!$I$6)))*12.9898+(Inputs!$C$6)*78.233+Inputs!$C$47*37.719))*43758.5453)))-1))),NA())</f>
        <v/>
      </c>
      <c r="AT229" s="9">
        <f>IF(OR(Inputs!$F$7=TRUE,Inputs!$F$7="TRUE",Inputs!$F$7=1),IF(OR(Inputs!$C$27=TRUE,Inputs!$C$27="TRUE",Inputs!$C$27=1),1,0)*(Inputs!$C$51*(115*EXP(-(((Inputs!$C$6)-25)^2)/(4.5^2))+70*EXP(-(((Inputs!$C$6)+38)^2)/(7^2))*(0.55+0.45*SIN(2*PI()*((Inputs!$I$7+(((A229)+1)/2)*(Inputs!$J$7-Inputs!$I$7)))/45))+24*SIN(2*PI()*(Inputs!$C$6)/9+((Inputs!$I$7+(((A229)+1)/2)*(Inputs!$J$7-Inputs!$I$7)))/18)*EXP(-(((Inputs!$C$6)+5)^2)/(22^2))+18*SIN(2*PI()*((Inputs!$I$7+(((A229)+1)/2)*(Inputs!$J$7-Inputs!$I$7)))/70))+Inputs!$C$28*EXP(-((((Inputs!$I$7+(((A229)+1)/2)*(Inputs!$J$7-Inputs!$I$7)))-Inputs!$C$29)^2)/(2*Inputs!$C$31^2))*EXP(-(((Inputs!$C$6)-Inputs!$C$30)^2)/(2*Inputs!$C$32^2))+-Inputs!$C$33*EXP(-((((((Inputs!$I$7+(((A229)+1)/2)*(Inputs!$J$7-Inputs!$I$7)))-Inputs!$C$34)^2)+(((Inputs!$C$6)-Inputs!$C$35)^2))/(2*Inputs!$C$36^2)))+Inputs!$C$37*(0.55*SIN(2*PI()*((Inputs!$I$7+(((A229)+1)/2)*(Inputs!$J$7-Inputs!$I$7)))/Inputs!$C$39)+0.35*COS(2*PI()*(Inputs!$C$6)/Inputs!$C$40)+0.2*SIN(2*PI()*(((Inputs!$I$7+(((A229)+1)/2)*(Inputs!$J$7-Inputs!$I$7)))+(Inputs!$C$6))/(0.5*(Inputs!$C$39+Inputs!$C$40))))+Inputs!$C$38*SIN(2*PI()*((Inputs!$I$7+(((A229)+1)/2)*(Inputs!$J$7-Inputs!$I$7)))/Inputs!$C$39)*SIN(2*PI()*(Inputs!$C$6)/Inputs!$C$40)+-Inputs!$C$41*EXP(-(((Inputs!$C$6)-Inputs!$C$43)^2)/(2*Inputs!$C$44^2))*EXP(-((((Inputs!$I$7+(((A229)+1)/2)*(Inputs!$J$7-Inputs!$I$7)))-Inputs!$C$42)^2)/(2*Inputs!$C$45^2))+Inputs!$C$48*(0.7*(0.45*SIN(2*PI()*((((Inputs!$I$7+(((A229)+1)/2)*(Inputs!$J$7-Inputs!$I$7)))/Inputs!$C$49)+Inputs!$C$47*0.137))+0.35*COS(2*PI()*(((Inputs!$C$6)/Inputs!$C$50)+Inputs!$C$47*0.173))+0.2*SIN(2*PI()*((((Inputs!$I$7+(((A229)+1)/2)*(Inputs!$J$7-Inputs!$I$7)))+(Inputs!$C$6))/(0.5*(Inputs!$C$49+Inputs!$C$50))+Inputs!$C$47*0.097)))+0.3*(2*((SIN((((Inputs!$I$7+(((A229)+1)/2)*(Inputs!$J$7-Inputs!$I$7)))*12.9898+(Inputs!$C$6)*78.233+Inputs!$C$47*37.719))*43758.5453)-INT((SIN((((Inputs!$I$7+(((A229)+1)/2)*(Inputs!$J$7-Inputs!$I$7)))*12.9898+(Inputs!$C$6)*78.233+Inputs!$C$47*37.719))*43758.5453)))-1))),NA())</f>
        <v/>
      </c>
      <c r="AU229" s="9">
        <f>IF(OR(Inputs!$F$8=TRUE,Inputs!$F$8="TRUE",Inputs!$F$8=1),IF(OR(Inputs!$C$27=TRUE,Inputs!$C$27="TRUE",Inputs!$C$27=1),1,0)*(Inputs!$C$51*(115*EXP(-(((Inputs!$C$6)-25)^2)/(4.5^2))+70*EXP(-(((Inputs!$C$6)+38)^2)/(7^2))*(0.55+0.45*SIN(2*PI()*((Inputs!$I$8+(((A229)+1)/2)*(Inputs!$J$8-Inputs!$I$8)))/45))+24*SIN(2*PI()*(Inputs!$C$6)/9+((Inputs!$I$8+(((A229)+1)/2)*(Inputs!$J$8-Inputs!$I$8)))/18)*EXP(-(((Inputs!$C$6)+5)^2)/(22^2))+18*SIN(2*PI()*((Inputs!$I$8+(((A229)+1)/2)*(Inputs!$J$8-Inputs!$I$8)))/70))+Inputs!$C$28*EXP(-((((Inputs!$I$8+(((A229)+1)/2)*(Inputs!$J$8-Inputs!$I$8)))-Inputs!$C$29)^2)/(2*Inputs!$C$31^2))*EXP(-(((Inputs!$C$6)-Inputs!$C$30)^2)/(2*Inputs!$C$32^2))+-Inputs!$C$33*EXP(-((((((Inputs!$I$8+(((A229)+1)/2)*(Inputs!$J$8-Inputs!$I$8)))-Inputs!$C$34)^2)+(((Inputs!$C$6)-Inputs!$C$35)^2))/(2*Inputs!$C$36^2)))+Inputs!$C$37*(0.55*SIN(2*PI()*((Inputs!$I$8+(((A229)+1)/2)*(Inputs!$J$8-Inputs!$I$8)))/Inputs!$C$39)+0.35*COS(2*PI()*(Inputs!$C$6)/Inputs!$C$40)+0.2*SIN(2*PI()*(((Inputs!$I$8+(((A229)+1)/2)*(Inputs!$J$8-Inputs!$I$8)))+(Inputs!$C$6))/(0.5*(Inputs!$C$39+Inputs!$C$40))))+Inputs!$C$38*SIN(2*PI()*((Inputs!$I$8+(((A229)+1)/2)*(Inputs!$J$8-Inputs!$I$8)))/Inputs!$C$39)*SIN(2*PI()*(Inputs!$C$6)/Inputs!$C$40)+-Inputs!$C$41*EXP(-(((Inputs!$C$6)-Inputs!$C$43)^2)/(2*Inputs!$C$44^2))*EXP(-((((Inputs!$I$8+(((A229)+1)/2)*(Inputs!$J$8-Inputs!$I$8)))-Inputs!$C$42)^2)/(2*Inputs!$C$45^2))+Inputs!$C$48*(0.7*(0.45*SIN(2*PI()*((((Inputs!$I$8+(((A229)+1)/2)*(Inputs!$J$8-Inputs!$I$8)))/Inputs!$C$49)+Inputs!$C$47*0.137))+0.35*COS(2*PI()*(((Inputs!$C$6)/Inputs!$C$50)+Inputs!$C$47*0.173))+0.2*SIN(2*PI()*((((Inputs!$I$8+(((A229)+1)/2)*(Inputs!$J$8-Inputs!$I$8)))+(Inputs!$C$6))/(0.5*(Inputs!$C$49+Inputs!$C$50))+Inputs!$C$47*0.097)))+0.3*(2*((SIN((((Inputs!$I$8+(((A229)+1)/2)*(Inputs!$J$8-Inputs!$I$8)))*12.9898+(Inputs!$C$6)*78.233+Inputs!$C$47*37.719))*43758.5453)-INT((SIN((((Inputs!$I$8+(((A229)+1)/2)*(Inputs!$J$8-Inputs!$I$8)))*12.9898+(Inputs!$C$6)*78.233+Inputs!$C$47*37.719))*43758.5453)))-1))),NA())</f>
        <v/>
      </c>
      <c r="AV229" s="9">
        <f>IF(OR(Inputs!$F$9=TRUE,Inputs!$F$9="TRUE",Inputs!$F$9=1),IF(OR(Inputs!$C$27=TRUE,Inputs!$C$27="TRUE",Inputs!$C$27=1),1,0)*(Inputs!$C$51*(115*EXP(-(((Inputs!$C$6)-25)^2)/(4.5^2))+70*EXP(-(((Inputs!$C$6)+38)^2)/(7^2))*(0.55+0.45*SIN(2*PI()*((Inputs!$I$9+(((A229)+1)/2)*(Inputs!$J$9-Inputs!$I$9)))/45))+24*SIN(2*PI()*(Inputs!$C$6)/9+((Inputs!$I$9+(((A229)+1)/2)*(Inputs!$J$9-Inputs!$I$9)))/18)*EXP(-(((Inputs!$C$6)+5)^2)/(22^2))+18*SIN(2*PI()*((Inputs!$I$9+(((A229)+1)/2)*(Inputs!$J$9-Inputs!$I$9)))/70))+Inputs!$C$28*EXP(-((((Inputs!$I$9+(((A229)+1)/2)*(Inputs!$J$9-Inputs!$I$9)))-Inputs!$C$29)^2)/(2*Inputs!$C$31^2))*EXP(-(((Inputs!$C$6)-Inputs!$C$30)^2)/(2*Inputs!$C$32^2))+-Inputs!$C$33*EXP(-((((((Inputs!$I$9+(((A229)+1)/2)*(Inputs!$J$9-Inputs!$I$9)))-Inputs!$C$34)^2)+(((Inputs!$C$6)-Inputs!$C$35)^2))/(2*Inputs!$C$36^2)))+Inputs!$C$37*(0.55*SIN(2*PI()*((Inputs!$I$9+(((A229)+1)/2)*(Inputs!$J$9-Inputs!$I$9)))/Inputs!$C$39)+0.35*COS(2*PI()*(Inputs!$C$6)/Inputs!$C$40)+0.2*SIN(2*PI()*(((Inputs!$I$9+(((A229)+1)/2)*(Inputs!$J$9-Inputs!$I$9)))+(Inputs!$C$6))/(0.5*(Inputs!$C$39+Inputs!$C$40))))+Inputs!$C$38*SIN(2*PI()*((Inputs!$I$9+(((A229)+1)/2)*(Inputs!$J$9-Inputs!$I$9)))/Inputs!$C$39)*SIN(2*PI()*(Inputs!$C$6)/Inputs!$C$40)+-Inputs!$C$41*EXP(-(((Inputs!$C$6)-Inputs!$C$43)^2)/(2*Inputs!$C$44^2))*EXP(-((((Inputs!$I$9+(((A229)+1)/2)*(Inputs!$J$9-Inputs!$I$9)))-Inputs!$C$42)^2)/(2*Inputs!$C$45^2))+Inputs!$C$48*(0.7*(0.45*SIN(2*PI()*((((Inputs!$I$9+(((A229)+1)/2)*(Inputs!$J$9-Inputs!$I$9)))/Inputs!$C$49)+Inputs!$C$47*0.137))+0.35*COS(2*PI()*(((Inputs!$C$6)/Inputs!$C$50)+Inputs!$C$47*0.173))+0.2*SIN(2*PI()*((((Inputs!$I$9+(((A229)+1)/2)*(Inputs!$J$9-Inputs!$I$9)))+(Inputs!$C$6))/(0.5*(Inputs!$C$49+Inputs!$C$50))+Inputs!$C$47*0.097)))+0.3*(2*((SIN((((Inputs!$I$9+(((A229)+1)/2)*(Inputs!$J$9-Inputs!$I$9)))*12.9898+(Inputs!$C$6)*78.233+Inputs!$C$47*37.719))*43758.5453)-INT((SIN((((Inputs!$I$9+(((A229)+1)/2)*(Inputs!$J$9-Inputs!$I$9)))*12.9898+(Inputs!$C$6)*78.233+Inputs!$C$47*37.719))*43758.5453)))-1))),NA())</f>
        <v/>
      </c>
      <c r="AW229" s="10" t="n"/>
      <c r="AX229" s="9">
        <f>A229</f>
        <v/>
      </c>
      <c r="AY229" s="9">
        <f>0</f>
        <v/>
      </c>
      <c r="AZ229" s="9">
        <f>IF(OR(Inputs!$F$6=TRUE,Inputs!$F$6="TRUE",Inputs!$F$6=1),(Inputs!$H$6+Inputs!$L$6*(((Inputs!$I$6+(((A229)+1)/2)*(Inputs!$J$6-Inputs!$I$6)))/Inputs!$K$6)^2),NA())</f>
        <v/>
      </c>
      <c r="BA229" s="9">
        <f>IF(OR(Inputs!$F$7=TRUE,Inputs!$F$7="TRUE",Inputs!$F$7=1),(Inputs!$H$7+Inputs!$L$7*(((Inputs!$I$7+(((A229)+1)/2)*(Inputs!$J$7-Inputs!$I$7)))/Inputs!$K$7)^2),NA())</f>
        <v/>
      </c>
      <c r="BB229" s="9">
        <f>IF(OR(Inputs!$F$8=TRUE,Inputs!$F$8="TRUE",Inputs!$F$8=1),(Inputs!$H$8+Inputs!$L$8*(((Inputs!$I$8+(((A229)+1)/2)*(Inputs!$J$8-Inputs!$I$8)))/Inputs!$K$8)^2),NA())</f>
        <v/>
      </c>
      <c r="BC229" s="9">
        <f>IF(OR(Inputs!$F$9=TRUE,Inputs!$F$9="TRUE",Inputs!$F$9=1),(Inputs!$H$9+Inputs!$L$9*(((Inputs!$I$9+(((A229)+1)/2)*(Inputs!$J$9-Inputs!$I$9)))/Inputs!$K$9)^2),NA())</f>
        <v/>
      </c>
      <c r="BD229" s="10" t="n"/>
      <c r="BE229" s="9">
        <f>A229</f>
        <v/>
      </c>
      <c r="BF229" s="9">
        <f>0</f>
        <v/>
      </c>
      <c r="BG229" s="9">
        <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f>
        <v/>
      </c>
      <c r="BH229" s="9">
        <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f>
        <v/>
      </c>
      <c r="BI229" s="9">
        <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f>
        <v/>
      </c>
      <c r="BJ229" s="9">
        <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f>
        <v/>
      </c>
    </row>
    <row r="230">
      <c r="A230" s="9">
        <f>ROUND(-1+228*2/240,3)</f>
        <v/>
      </c>
      <c r="B230" s="9">
        <f>IF(OR(Inputs!$F$6=TRUE,Inputs!$F$6="TRUE",Inputs!$F$6=1),(Inputs!$H$6+Inputs!$L$6*(((Inputs!$I$6+(((A230)+1)/2)*(Inputs!$J$6-Inputs!$I$6)))/Inputs!$K$6)^2),NA())</f>
        <v/>
      </c>
      <c r="C230" s="9">
        <f>IF(OR(Inputs!$F$7=TRUE,Inputs!$F$7="TRUE",Inputs!$F$7=1),(Inputs!$H$7+Inputs!$L$7*(((Inputs!$I$7+(((A230)+1)/2)*(Inputs!$J$7-Inputs!$I$7)))/Inputs!$K$7)^2),NA())</f>
        <v/>
      </c>
      <c r="D230" s="9">
        <f>IF(OR(Inputs!$F$8=TRUE,Inputs!$F$8="TRUE",Inputs!$F$8=1),(Inputs!$H$8+Inputs!$L$8*(((Inputs!$I$8+(((A230)+1)/2)*(Inputs!$J$8-Inputs!$I$8)))/Inputs!$K$8)^2),NA())</f>
        <v/>
      </c>
      <c r="E230" s="9">
        <f>IF(OR(Inputs!$F$9=TRUE,Inputs!$F$9="TRUE",Inputs!$F$9=1),(Inputs!$H$9+Inputs!$L$9*(((Inputs!$I$9+(((A230)+1)/2)*(Inputs!$J$9-Inputs!$I$9)))/Inputs!$K$9)^2),NA())</f>
        <v/>
      </c>
      <c r="F230" s="10" t="n"/>
      <c r="G230" s="9">
        <f>A230</f>
        <v/>
      </c>
      <c r="H230" s="9">
        <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f>
        <v/>
      </c>
      <c r="I230" s="9">
        <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f>
        <v/>
      </c>
      <c r="J230" s="9">
        <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f>
        <v/>
      </c>
      <c r="K230" s="9">
        <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f>
        <v/>
      </c>
      <c r="L230" s="10" t="n"/>
      <c r="M230" s="9">
        <f>A230</f>
        <v/>
      </c>
      <c r="N230" s="9">
        <f>IF(OR(Inputs!$F$6=TRUE,Inputs!$F$6="TRUE",Inputs!$F$6=1),(-2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NA())</f>
        <v/>
      </c>
      <c r="O230" s="9">
        <f>IF(OR(Inputs!$F$7=TRUE,Inputs!$F$7="TRUE",Inputs!$F$7=1),(-2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NA())</f>
        <v/>
      </c>
      <c r="P230" s="9">
        <f>IF(OR(Inputs!$F$8=TRUE,Inputs!$F$8="TRUE",Inputs!$F$8=1),(-2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NA())</f>
        <v/>
      </c>
      <c r="Q230" s="9">
        <f>IF(OR(Inputs!$F$9=TRUE,Inputs!$F$9="TRUE",Inputs!$F$9=1),(-2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NA())</f>
        <v/>
      </c>
      <c r="R230" s="10" t="n"/>
      <c r="S230" s="9">
        <f>A230</f>
        <v/>
      </c>
      <c r="T230" s="9">
        <f>(Inputs!$I$6+(((A230)+1)/2)*(Inputs!$J$6-Inputs!$I$6))</f>
        <v/>
      </c>
      <c r="U230" s="9">
        <f>(Inputs!$I$7+(((A230)+1)/2)*(Inputs!$J$7-Inputs!$I$7))</f>
        <v/>
      </c>
      <c r="V230" s="9">
        <f>(Inputs!$I$8+(((A230)+1)/2)*(Inputs!$J$8-Inputs!$I$8))</f>
        <v/>
      </c>
      <c r="W230" s="9">
        <f>(Inputs!$I$9+(((A230)+1)/2)*(Inputs!$J$9-Inputs!$I$9))</f>
        <v/>
      </c>
      <c r="X230" s="10" t="n"/>
      <c r="Y230" s="9">
        <f>A230</f>
        <v/>
      </c>
      <c r="Z230" s="9">
        <f>(Inputs!$H$6+Inputs!$L$6*(((Inputs!$I$6+(((A230)+1)/2)*(Inputs!$J$6-Inputs!$I$6)))/Inputs!$K$6)^2)</f>
        <v/>
      </c>
      <c r="AA230" s="9">
        <f>(Inputs!$H$7+Inputs!$L$7*(((Inputs!$I$7+(((A230)+1)/2)*(Inputs!$J$7-Inputs!$I$7)))/Inputs!$K$7)^2)</f>
        <v/>
      </c>
      <c r="AB230" s="9">
        <f>(Inputs!$H$8+Inputs!$L$8*(((Inputs!$I$8+(((A230)+1)/2)*(Inputs!$J$8-Inputs!$I$8)))/Inputs!$K$8)^2)</f>
        <v/>
      </c>
      <c r="AC230" s="9">
        <f>(Inputs!$H$9+Inputs!$L$9*(((Inputs!$I$9+(((A230)+1)/2)*(Inputs!$J$9-Inputs!$I$9)))/Inputs!$K$9)^2)</f>
        <v/>
      </c>
      <c r="AD230" s="10" t="n"/>
      <c r="AE230" s="9">
        <f>A230</f>
        <v/>
      </c>
      <c r="AF230" s="9">
        <f>(((SQRT((Inputs!$C$52+((Inputs!$H$6+Inputs!$L$6*(((Inputs!$I$6+(((A230)+1)/2)*(Inputs!$J$6-Inputs!$I$6)))/Inputs!$K$6)^2)))^2+Inputs!$C$52^2-2*(Inputs!$C$52+((Inputs!$H$6+Inputs!$L$6*(((Inputs!$I$6+(((A230)+1)/2)*(Inputs!$J$6-Inputs!$I$6)))/Inputs!$K$6)^2)))*Inputs!$C$52*COS(SQRT(((Inputs!$I$6+(((A230)+1)/2)*(Inputs!$J$6-Inputs!$I$6)))^2+Inputs!$C$6^2)/Inputs!$C$52)))-((Inputs!$H$6+Inputs!$L$6*(((Inputs!$I$6+(((A230)+1)/2)*(Inputs!$J$6-Inputs!$I$6)))/Inputs!$K$6)^2)))*1000/Inputs!$C$12)</f>
        <v/>
      </c>
      <c r="AG230" s="9">
        <f>(((SQRT((Inputs!$C$52+((Inputs!$H$7+Inputs!$L$7*(((Inputs!$I$7+(((A230)+1)/2)*(Inputs!$J$7-Inputs!$I$7)))/Inputs!$K$7)^2)))^2+Inputs!$C$52^2-2*(Inputs!$C$52+((Inputs!$H$7+Inputs!$L$7*(((Inputs!$I$7+(((A230)+1)/2)*(Inputs!$J$7-Inputs!$I$7)))/Inputs!$K$7)^2)))*Inputs!$C$52*COS(SQRT(((Inputs!$I$7+(((A230)+1)/2)*(Inputs!$J$7-Inputs!$I$7)))^2+Inputs!$C$6^2)/Inputs!$C$52)))-((Inputs!$H$7+Inputs!$L$7*(((Inputs!$I$7+(((A230)+1)/2)*(Inputs!$J$7-Inputs!$I$7)))/Inputs!$K$7)^2)))*1000/Inputs!$C$12)</f>
        <v/>
      </c>
      <c r="AH230" s="9">
        <f>(((SQRT((Inputs!$C$52+((Inputs!$H$8+Inputs!$L$8*(((Inputs!$I$8+(((A230)+1)/2)*(Inputs!$J$8-Inputs!$I$8)))/Inputs!$K$8)^2)))^2+Inputs!$C$52^2-2*(Inputs!$C$52+((Inputs!$H$8+Inputs!$L$8*(((Inputs!$I$8+(((A230)+1)/2)*(Inputs!$J$8-Inputs!$I$8)))/Inputs!$K$8)^2)))*Inputs!$C$52*COS(SQRT(((Inputs!$I$8+(((A230)+1)/2)*(Inputs!$J$8-Inputs!$I$8)))^2+Inputs!$C$6^2)/Inputs!$C$52)))-((Inputs!$H$8+Inputs!$L$8*(((Inputs!$I$8+(((A230)+1)/2)*(Inputs!$J$8-Inputs!$I$8)))/Inputs!$K$8)^2)))*1000/Inputs!$C$12)</f>
        <v/>
      </c>
      <c r="AI230" s="9">
        <f>(((SQRT((Inputs!$C$52+((Inputs!$H$9+Inputs!$L$9*(((Inputs!$I$9+(((A230)+1)/2)*(Inputs!$J$9-Inputs!$I$9)))/Inputs!$K$9)^2)))^2+Inputs!$C$52^2-2*(Inputs!$C$52+((Inputs!$H$9+Inputs!$L$9*(((Inputs!$I$9+(((A230)+1)/2)*(Inputs!$J$9-Inputs!$I$9)))/Inputs!$K$9)^2)))*Inputs!$C$52*COS(SQRT(((Inputs!$I$9+(((A230)+1)/2)*(Inputs!$J$9-Inputs!$I$9)))^2+Inputs!$C$6^2)/Inputs!$C$52)))-((Inputs!$H$9+Inputs!$L$9*(((Inputs!$I$9+(((A230)+1)/2)*(Inputs!$J$9-Inputs!$I$9)))/Inputs!$K$9)^2)))*1000/Inputs!$C$12)</f>
        <v/>
      </c>
      <c r="AJ230" s="10" t="n"/>
      <c r="AK230" s="9">
        <f>A230</f>
        <v/>
      </c>
      <c r="AL230" s="9">
        <f>(-2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f>
        <v/>
      </c>
      <c r="AM230" s="9">
        <f>(-2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f>
        <v/>
      </c>
      <c r="AN230" s="9">
        <f>(-2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f>
        <v/>
      </c>
      <c r="AO230" s="9">
        <f>(-2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f>
        <v/>
      </c>
      <c r="AP230" s="10" t="n"/>
      <c r="AQ230" s="9">
        <f>A230</f>
        <v/>
      </c>
      <c r="AR230" s="9">
        <f>0</f>
        <v/>
      </c>
      <c r="AS230" s="9">
        <f>IF(OR(Inputs!$F$6=TRUE,Inputs!$F$6="TRUE",Inputs!$F$6=1),IF(OR(Inputs!$C$27=TRUE,Inputs!$C$27="TRUE",Inputs!$C$27=1),1,0)*(Inputs!$C$51*(115*EXP(-(((Inputs!$C$6)-25)^2)/(4.5^2))+70*EXP(-(((Inputs!$C$6)+38)^2)/(7^2))*(0.55+0.45*SIN(2*PI()*((Inputs!$I$6+(((A230)+1)/2)*(Inputs!$J$6-Inputs!$I$6)))/45))+24*SIN(2*PI()*(Inputs!$C$6)/9+((Inputs!$I$6+(((A230)+1)/2)*(Inputs!$J$6-Inputs!$I$6)))/18)*EXP(-(((Inputs!$C$6)+5)^2)/(22^2))+18*SIN(2*PI()*((Inputs!$I$6+(((A230)+1)/2)*(Inputs!$J$6-Inputs!$I$6)))/70))+Inputs!$C$28*EXP(-((((Inputs!$I$6+(((A230)+1)/2)*(Inputs!$J$6-Inputs!$I$6)))-Inputs!$C$29)^2)/(2*Inputs!$C$31^2))*EXP(-(((Inputs!$C$6)-Inputs!$C$30)^2)/(2*Inputs!$C$32^2))+-Inputs!$C$33*EXP(-((((((Inputs!$I$6+(((A230)+1)/2)*(Inputs!$J$6-Inputs!$I$6)))-Inputs!$C$34)^2)+(((Inputs!$C$6)-Inputs!$C$35)^2))/(2*Inputs!$C$36^2)))+Inputs!$C$37*(0.55*SIN(2*PI()*((Inputs!$I$6+(((A230)+1)/2)*(Inputs!$J$6-Inputs!$I$6)))/Inputs!$C$39)+0.35*COS(2*PI()*(Inputs!$C$6)/Inputs!$C$40)+0.2*SIN(2*PI()*(((Inputs!$I$6+(((A230)+1)/2)*(Inputs!$J$6-Inputs!$I$6)))+(Inputs!$C$6))/(0.5*(Inputs!$C$39+Inputs!$C$40))))+Inputs!$C$38*SIN(2*PI()*((Inputs!$I$6+(((A230)+1)/2)*(Inputs!$J$6-Inputs!$I$6)))/Inputs!$C$39)*SIN(2*PI()*(Inputs!$C$6)/Inputs!$C$40)+-Inputs!$C$41*EXP(-(((Inputs!$C$6)-Inputs!$C$43)^2)/(2*Inputs!$C$44^2))*EXP(-((((Inputs!$I$6+(((A230)+1)/2)*(Inputs!$J$6-Inputs!$I$6)))-Inputs!$C$42)^2)/(2*Inputs!$C$45^2))+Inputs!$C$48*(0.7*(0.45*SIN(2*PI()*((((Inputs!$I$6+(((A230)+1)/2)*(Inputs!$J$6-Inputs!$I$6)))/Inputs!$C$49)+Inputs!$C$47*0.137))+0.35*COS(2*PI()*(((Inputs!$C$6)/Inputs!$C$50)+Inputs!$C$47*0.173))+0.2*SIN(2*PI()*((((Inputs!$I$6+(((A230)+1)/2)*(Inputs!$J$6-Inputs!$I$6)))+(Inputs!$C$6))/(0.5*(Inputs!$C$49+Inputs!$C$50))+Inputs!$C$47*0.097)))+0.3*(2*((SIN((((Inputs!$I$6+(((A230)+1)/2)*(Inputs!$J$6-Inputs!$I$6)))*12.9898+(Inputs!$C$6)*78.233+Inputs!$C$47*37.719))*43758.5453)-INT((SIN((((Inputs!$I$6+(((A230)+1)/2)*(Inputs!$J$6-Inputs!$I$6)))*12.9898+(Inputs!$C$6)*78.233+Inputs!$C$47*37.719))*43758.5453)))-1))),NA())</f>
        <v/>
      </c>
      <c r="AT230" s="9">
        <f>IF(OR(Inputs!$F$7=TRUE,Inputs!$F$7="TRUE",Inputs!$F$7=1),IF(OR(Inputs!$C$27=TRUE,Inputs!$C$27="TRUE",Inputs!$C$27=1),1,0)*(Inputs!$C$51*(115*EXP(-(((Inputs!$C$6)-25)^2)/(4.5^2))+70*EXP(-(((Inputs!$C$6)+38)^2)/(7^2))*(0.55+0.45*SIN(2*PI()*((Inputs!$I$7+(((A230)+1)/2)*(Inputs!$J$7-Inputs!$I$7)))/45))+24*SIN(2*PI()*(Inputs!$C$6)/9+((Inputs!$I$7+(((A230)+1)/2)*(Inputs!$J$7-Inputs!$I$7)))/18)*EXP(-(((Inputs!$C$6)+5)^2)/(22^2))+18*SIN(2*PI()*((Inputs!$I$7+(((A230)+1)/2)*(Inputs!$J$7-Inputs!$I$7)))/70))+Inputs!$C$28*EXP(-((((Inputs!$I$7+(((A230)+1)/2)*(Inputs!$J$7-Inputs!$I$7)))-Inputs!$C$29)^2)/(2*Inputs!$C$31^2))*EXP(-(((Inputs!$C$6)-Inputs!$C$30)^2)/(2*Inputs!$C$32^2))+-Inputs!$C$33*EXP(-((((((Inputs!$I$7+(((A230)+1)/2)*(Inputs!$J$7-Inputs!$I$7)))-Inputs!$C$34)^2)+(((Inputs!$C$6)-Inputs!$C$35)^2))/(2*Inputs!$C$36^2)))+Inputs!$C$37*(0.55*SIN(2*PI()*((Inputs!$I$7+(((A230)+1)/2)*(Inputs!$J$7-Inputs!$I$7)))/Inputs!$C$39)+0.35*COS(2*PI()*(Inputs!$C$6)/Inputs!$C$40)+0.2*SIN(2*PI()*(((Inputs!$I$7+(((A230)+1)/2)*(Inputs!$J$7-Inputs!$I$7)))+(Inputs!$C$6))/(0.5*(Inputs!$C$39+Inputs!$C$40))))+Inputs!$C$38*SIN(2*PI()*((Inputs!$I$7+(((A230)+1)/2)*(Inputs!$J$7-Inputs!$I$7)))/Inputs!$C$39)*SIN(2*PI()*(Inputs!$C$6)/Inputs!$C$40)+-Inputs!$C$41*EXP(-(((Inputs!$C$6)-Inputs!$C$43)^2)/(2*Inputs!$C$44^2))*EXP(-((((Inputs!$I$7+(((A230)+1)/2)*(Inputs!$J$7-Inputs!$I$7)))-Inputs!$C$42)^2)/(2*Inputs!$C$45^2))+Inputs!$C$48*(0.7*(0.45*SIN(2*PI()*((((Inputs!$I$7+(((A230)+1)/2)*(Inputs!$J$7-Inputs!$I$7)))/Inputs!$C$49)+Inputs!$C$47*0.137))+0.35*COS(2*PI()*(((Inputs!$C$6)/Inputs!$C$50)+Inputs!$C$47*0.173))+0.2*SIN(2*PI()*((((Inputs!$I$7+(((A230)+1)/2)*(Inputs!$J$7-Inputs!$I$7)))+(Inputs!$C$6))/(0.5*(Inputs!$C$49+Inputs!$C$50))+Inputs!$C$47*0.097)))+0.3*(2*((SIN((((Inputs!$I$7+(((A230)+1)/2)*(Inputs!$J$7-Inputs!$I$7)))*12.9898+(Inputs!$C$6)*78.233+Inputs!$C$47*37.719))*43758.5453)-INT((SIN((((Inputs!$I$7+(((A230)+1)/2)*(Inputs!$J$7-Inputs!$I$7)))*12.9898+(Inputs!$C$6)*78.233+Inputs!$C$47*37.719))*43758.5453)))-1))),NA())</f>
        <v/>
      </c>
      <c r="AU230" s="9">
        <f>IF(OR(Inputs!$F$8=TRUE,Inputs!$F$8="TRUE",Inputs!$F$8=1),IF(OR(Inputs!$C$27=TRUE,Inputs!$C$27="TRUE",Inputs!$C$27=1),1,0)*(Inputs!$C$51*(115*EXP(-(((Inputs!$C$6)-25)^2)/(4.5^2))+70*EXP(-(((Inputs!$C$6)+38)^2)/(7^2))*(0.55+0.45*SIN(2*PI()*((Inputs!$I$8+(((A230)+1)/2)*(Inputs!$J$8-Inputs!$I$8)))/45))+24*SIN(2*PI()*(Inputs!$C$6)/9+((Inputs!$I$8+(((A230)+1)/2)*(Inputs!$J$8-Inputs!$I$8)))/18)*EXP(-(((Inputs!$C$6)+5)^2)/(22^2))+18*SIN(2*PI()*((Inputs!$I$8+(((A230)+1)/2)*(Inputs!$J$8-Inputs!$I$8)))/70))+Inputs!$C$28*EXP(-((((Inputs!$I$8+(((A230)+1)/2)*(Inputs!$J$8-Inputs!$I$8)))-Inputs!$C$29)^2)/(2*Inputs!$C$31^2))*EXP(-(((Inputs!$C$6)-Inputs!$C$30)^2)/(2*Inputs!$C$32^2))+-Inputs!$C$33*EXP(-((((((Inputs!$I$8+(((A230)+1)/2)*(Inputs!$J$8-Inputs!$I$8)))-Inputs!$C$34)^2)+(((Inputs!$C$6)-Inputs!$C$35)^2))/(2*Inputs!$C$36^2)))+Inputs!$C$37*(0.55*SIN(2*PI()*((Inputs!$I$8+(((A230)+1)/2)*(Inputs!$J$8-Inputs!$I$8)))/Inputs!$C$39)+0.35*COS(2*PI()*(Inputs!$C$6)/Inputs!$C$40)+0.2*SIN(2*PI()*(((Inputs!$I$8+(((A230)+1)/2)*(Inputs!$J$8-Inputs!$I$8)))+(Inputs!$C$6))/(0.5*(Inputs!$C$39+Inputs!$C$40))))+Inputs!$C$38*SIN(2*PI()*((Inputs!$I$8+(((A230)+1)/2)*(Inputs!$J$8-Inputs!$I$8)))/Inputs!$C$39)*SIN(2*PI()*(Inputs!$C$6)/Inputs!$C$40)+-Inputs!$C$41*EXP(-(((Inputs!$C$6)-Inputs!$C$43)^2)/(2*Inputs!$C$44^2))*EXP(-((((Inputs!$I$8+(((A230)+1)/2)*(Inputs!$J$8-Inputs!$I$8)))-Inputs!$C$42)^2)/(2*Inputs!$C$45^2))+Inputs!$C$48*(0.7*(0.45*SIN(2*PI()*((((Inputs!$I$8+(((A230)+1)/2)*(Inputs!$J$8-Inputs!$I$8)))/Inputs!$C$49)+Inputs!$C$47*0.137))+0.35*COS(2*PI()*(((Inputs!$C$6)/Inputs!$C$50)+Inputs!$C$47*0.173))+0.2*SIN(2*PI()*((((Inputs!$I$8+(((A230)+1)/2)*(Inputs!$J$8-Inputs!$I$8)))+(Inputs!$C$6))/(0.5*(Inputs!$C$49+Inputs!$C$50))+Inputs!$C$47*0.097)))+0.3*(2*((SIN((((Inputs!$I$8+(((A230)+1)/2)*(Inputs!$J$8-Inputs!$I$8)))*12.9898+(Inputs!$C$6)*78.233+Inputs!$C$47*37.719))*43758.5453)-INT((SIN((((Inputs!$I$8+(((A230)+1)/2)*(Inputs!$J$8-Inputs!$I$8)))*12.9898+(Inputs!$C$6)*78.233+Inputs!$C$47*37.719))*43758.5453)))-1))),NA())</f>
        <v/>
      </c>
      <c r="AV230" s="9">
        <f>IF(OR(Inputs!$F$9=TRUE,Inputs!$F$9="TRUE",Inputs!$F$9=1),IF(OR(Inputs!$C$27=TRUE,Inputs!$C$27="TRUE",Inputs!$C$27=1),1,0)*(Inputs!$C$51*(115*EXP(-(((Inputs!$C$6)-25)^2)/(4.5^2))+70*EXP(-(((Inputs!$C$6)+38)^2)/(7^2))*(0.55+0.45*SIN(2*PI()*((Inputs!$I$9+(((A230)+1)/2)*(Inputs!$J$9-Inputs!$I$9)))/45))+24*SIN(2*PI()*(Inputs!$C$6)/9+((Inputs!$I$9+(((A230)+1)/2)*(Inputs!$J$9-Inputs!$I$9)))/18)*EXP(-(((Inputs!$C$6)+5)^2)/(22^2))+18*SIN(2*PI()*((Inputs!$I$9+(((A230)+1)/2)*(Inputs!$J$9-Inputs!$I$9)))/70))+Inputs!$C$28*EXP(-((((Inputs!$I$9+(((A230)+1)/2)*(Inputs!$J$9-Inputs!$I$9)))-Inputs!$C$29)^2)/(2*Inputs!$C$31^2))*EXP(-(((Inputs!$C$6)-Inputs!$C$30)^2)/(2*Inputs!$C$32^2))+-Inputs!$C$33*EXP(-((((((Inputs!$I$9+(((A230)+1)/2)*(Inputs!$J$9-Inputs!$I$9)))-Inputs!$C$34)^2)+(((Inputs!$C$6)-Inputs!$C$35)^2))/(2*Inputs!$C$36^2)))+Inputs!$C$37*(0.55*SIN(2*PI()*((Inputs!$I$9+(((A230)+1)/2)*(Inputs!$J$9-Inputs!$I$9)))/Inputs!$C$39)+0.35*COS(2*PI()*(Inputs!$C$6)/Inputs!$C$40)+0.2*SIN(2*PI()*(((Inputs!$I$9+(((A230)+1)/2)*(Inputs!$J$9-Inputs!$I$9)))+(Inputs!$C$6))/(0.5*(Inputs!$C$39+Inputs!$C$40))))+Inputs!$C$38*SIN(2*PI()*((Inputs!$I$9+(((A230)+1)/2)*(Inputs!$J$9-Inputs!$I$9)))/Inputs!$C$39)*SIN(2*PI()*(Inputs!$C$6)/Inputs!$C$40)+-Inputs!$C$41*EXP(-(((Inputs!$C$6)-Inputs!$C$43)^2)/(2*Inputs!$C$44^2))*EXP(-((((Inputs!$I$9+(((A230)+1)/2)*(Inputs!$J$9-Inputs!$I$9)))-Inputs!$C$42)^2)/(2*Inputs!$C$45^2))+Inputs!$C$48*(0.7*(0.45*SIN(2*PI()*((((Inputs!$I$9+(((A230)+1)/2)*(Inputs!$J$9-Inputs!$I$9)))/Inputs!$C$49)+Inputs!$C$47*0.137))+0.35*COS(2*PI()*(((Inputs!$C$6)/Inputs!$C$50)+Inputs!$C$47*0.173))+0.2*SIN(2*PI()*((((Inputs!$I$9+(((A230)+1)/2)*(Inputs!$J$9-Inputs!$I$9)))+(Inputs!$C$6))/(0.5*(Inputs!$C$49+Inputs!$C$50))+Inputs!$C$47*0.097)))+0.3*(2*((SIN((((Inputs!$I$9+(((A230)+1)/2)*(Inputs!$J$9-Inputs!$I$9)))*12.9898+(Inputs!$C$6)*78.233+Inputs!$C$47*37.719))*43758.5453)-INT((SIN((((Inputs!$I$9+(((A230)+1)/2)*(Inputs!$J$9-Inputs!$I$9)))*12.9898+(Inputs!$C$6)*78.233+Inputs!$C$47*37.719))*43758.5453)))-1))),NA())</f>
        <v/>
      </c>
      <c r="AW230" s="10" t="n"/>
      <c r="AX230" s="9">
        <f>A230</f>
        <v/>
      </c>
      <c r="AY230" s="9">
        <f>0</f>
        <v/>
      </c>
      <c r="AZ230" s="9">
        <f>IF(OR(Inputs!$F$6=TRUE,Inputs!$F$6="TRUE",Inputs!$F$6=1),(Inputs!$H$6+Inputs!$L$6*(((Inputs!$I$6+(((A230)+1)/2)*(Inputs!$J$6-Inputs!$I$6)))/Inputs!$K$6)^2),NA())</f>
        <v/>
      </c>
      <c r="BA230" s="9">
        <f>IF(OR(Inputs!$F$7=TRUE,Inputs!$F$7="TRUE",Inputs!$F$7=1),(Inputs!$H$7+Inputs!$L$7*(((Inputs!$I$7+(((A230)+1)/2)*(Inputs!$J$7-Inputs!$I$7)))/Inputs!$K$7)^2),NA())</f>
        <v/>
      </c>
      <c r="BB230" s="9">
        <f>IF(OR(Inputs!$F$8=TRUE,Inputs!$F$8="TRUE",Inputs!$F$8=1),(Inputs!$H$8+Inputs!$L$8*(((Inputs!$I$8+(((A230)+1)/2)*(Inputs!$J$8-Inputs!$I$8)))/Inputs!$K$8)^2),NA())</f>
        <v/>
      </c>
      <c r="BC230" s="9">
        <f>IF(OR(Inputs!$F$9=TRUE,Inputs!$F$9="TRUE",Inputs!$F$9=1),(Inputs!$H$9+Inputs!$L$9*(((Inputs!$I$9+(((A230)+1)/2)*(Inputs!$J$9-Inputs!$I$9)))/Inputs!$K$9)^2),NA())</f>
        <v/>
      </c>
      <c r="BD230" s="10" t="n"/>
      <c r="BE230" s="9">
        <f>A230</f>
        <v/>
      </c>
      <c r="BF230" s="9">
        <f>0</f>
        <v/>
      </c>
      <c r="BG230" s="9">
        <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f>
        <v/>
      </c>
      <c r="BH230" s="9">
        <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f>
        <v/>
      </c>
      <c r="BI230" s="9">
        <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f>
        <v/>
      </c>
      <c r="BJ230" s="9">
        <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f>
        <v/>
      </c>
    </row>
    <row r="231">
      <c r="A231" s="9">
        <f>ROUND(-1+229*2/240,3)</f>
        <v/>
      </c>
      <c r="B231" s="9">
        <f>IF(OR(Inputs!$F$6=TRUE,Inputs!$F$6="TRUE",Inputs!$F$6=1),(Inputs!$H$6+Inputs!$L$6*(((Inputs!$I$6+(((A231)+1)/2)*(Inputs!$J$6-Inputs!$I$6)))/Inputs!$K$6)^2),NA())</f>
        <v/>
      </c>
      <c r="C231" s="9">
        <f>IF(OR(Inputs!$F$7=TRUE,Inputs!$F$7="TRUE",Inputs!$F$7=1),(Inputs!$H$7+Inputs!$L$7*(((Inputs!$I$7+(((A231)+1)/2)*(Inputs!$J$7-Inputs!$I$7)))/Inputs!$K$7)^2),NA())</f>
        <v/>
      </c>
      <c r="D231" s="9">
        <f>IF(OR(Inputs!$F$8=TRUE,Inputs!$F$8="TRUE",Inputs!$F$8=1),(Inputs!$H$8+Inputs!$L$8*(((Inputs!$I$8+(((A231)+1)/2)*(Inputs!$J$8-Inputs!$I$8)))/Inputs!$K$8)^2),NA())</f>
        <v/>
      </c>
      <c r="E231" s="9">
        <f>IF(OR(Inputs!$F$9=TRUE,Inputs!$F$9="TRUE",Inputs!$F$9=1),(Inputs!$H$9+Inputs!$L$9*(((Inputs!$I$9+(((A231)+1)/2)*(Inputs!$J$9-Inputs!$I$9)))/Inputs!$K$9)^2),NA())</f>
        <v/>
      </c>
      <c r="F231" s="10" t="n"/>
      <c r="G231" s="9">
        <f>A231</f>
        <v/>
      </c>
      <c r="H231" s="9">
        <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f>
        <v/>
      </c>
      <c r="I231" s="9">
        <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f>
        <v/>
      </c>
      <c r="J231" s="9">
        <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f>
        <v/>
      </c>
      <c r="K231" s="9">
        <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f>
        <v/>
      </c>
      <c r="L231" s="10" t="n"/>
      <c r="M231" s="9">
        <f>A231</f>
        <v/>
      </c>
      <c r="N231" s="9">
        <f>IF(OR(Inputs!$F$6=TRUE,Inputs!$F$6="TRUE",Inputs!$F$6=1),(-2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NA())</f>
        <v/>
      </c>
      <c r="O231" s="9">
        <f>IF(OR(Inputs!$F$7=TRUE,Inputs!$F$7="TRUE",Inputs!$F$7=1),(-2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NA())</f>
        <v/>
      </c>
      <c r="P231" s="9">
        <f>IF(OR(Inputs!$F$8=TRUE,Inputs!$F$8="TRUE",Inputs!$F$8=1),(-2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NA())</f>
        <v/>
      </c>
      <c r="Q231" s="9">
        <f>IF(OR(Inputs!$F$9=TRUE,Inputs!$F$9="TRUE",Inputs!$F$9=1),(-2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NA())</f>
        <v/>
      </c>
      <c r="R231" s="10" t="n"/>
      <c r="S231" s="9">
        <f>A231</f>
        <v/>
      </c>
      <c r="T231" s="9">
        <f>(Inputs!$I$6+(((A231)+1)/2)*(Inputs!$J$6-Inputs!$I$6))</f>
        <v/>
      </c>
      <c r="U231" s="9">
        <f>(Inputs!$I$7+(((A231)+1)/2)*(Inputs!$J$7-Inputs!$I$7))</f>
        <v/>
      </c>
      <c r="V231" s="9">
        <f>(Inputs!$I$8+(((A231)+1)/2)*(Inputs!$J$8-Inputs!$I$8))</f>
        <v/>
      </c>
      <c r="W231" s="9">
        <f>(Inputs!$I$9+(((A231)+1)/2)*(Inputs!$J$9-Inputs!$I$9))</f>
        <v/>
      </c>
      <c r="X231" s="10" t="n"/>
      <c r="Y231" s="9">
        <f>A231</f>
        <v/>
      </c>
      <c r="Z231" s="9">
        <f>(Inputs!$H$6+Inputs!$L$6*(((Inputs!$I$6+(((A231)+1)/2)*(Inputs!$J$6-Inputs!$I$6)))/Inputs!$K$6)^2)</f>
        <v/>
      </c>
      <c r="AA231" s="9">
        <f>(Inputs!$H$7+Inputs!$L$7*(((Inputs!$I$7+(((A231)+1)/2)*(Inputs!$J$7-Inputs!$I$7)))/Inputs!$K$7)^2)</f>
        <v/>
      </c>
      <c r="AB231" s="9">
        <f>(Inputs!$H$8+Inputs!$L$8*(((Inputs!$I$8+(((A231)+1)/2)*(Inputs!$J$8-Inputs!$I$8)))/Inputs!$K$8)^2)</f>
        <v/>
      </c>
      <c r="AC231" s="9">
        <f>(Inputs!$H$9+Inputs!$L$9*(((Inputs!$I$9+(((A231)+1)/2)*(Inputs!$J$9-Inputs!$I$9)))/Inputs!$K$9)^2)</f>
        <v/>
      </c>
      <c r="AD231" s="10" t="n"/>
      <c r="AE231" s="9">
        <f>A231</f>
        <v/>
      </c>
      <c r="AF231" s="9">
        <f>(((SQRT((Inputs!$C$52+((Inputs!$H$6+Inputs!$L$6*(((Inputs!$I$6+(((A231)+1)/2)*(Inputs!$J$6-Inputs!$I$6)))/Inputs!$K$6)^2)))^2+Inputs!$C$52^2-2*(Inputs!$C$52+((Inputs!$H$6+Inputs!$L$6*(((Inputs!$I$6+(((A231)+1)/2)*(Inputs!$J$6-Inputs!$I$6)))/Inputs!$K$6)^2)))*Inputs!$C$52*COS(SQRT(((Inputs!$I$6+(((A231)+1)/2)*(Inputs!$J$6-Inputs!$I$6)))^2+Inputs!$C$6^2)/Inputs!$C$52)))-((Inputs!$H$6+Inputs!$L$6*(((Inputs!$I$6+(((A231)+1)/2)*(Inputs!$J$6-Inputs!$I$6)))/Inputs!$K$6)^2)))*1000/Inputs!$C$12)</f>
        <v/>
      </c>
      <c r="AG231" s="9">
        <f>(((SQRT((Inputs!$C$52+((Inputs!$H$7+Inputs!$L$7*(((Inputs!$I$7+(((A231)+1)/2)*(Inputs!$J$7-Inputs!$I$7)))/Inputs!$K$7)^2)))^2+Inputs!$C$52^2-2*(Inputs!$C$52+((Inputs!$H$7+Inputs!$L$7*(((Inputs!$I$7+(((A231)+1)/2)*(Inputs!$J$7-Inputs!$I$7)))/Inputs!$K$7)^2)))*Inputs!$C$52*COS(SQRT(((Inputs!$I$7+(((A231)+1)/2)*(Inputs!$J$7-Inputs!$I$7)))^2+Inputs!$C$6^2)/Inputs!$C$52)))-((Inputs!$H$7+Inputs!$L$7*(((Inputs!$I$7+(((A231)+1)/2)*(Inputs!$J$7-Inputs!$I$7)))/Inputs!$K$7)^2)))*1000/Inputs!$C$12)</f>
        <v/>
      </c>
      <c r="AH231" s="9">
        <f>(((SQRT((Inputs!$C$52+((Inputs!$H$8+Inputs!$L$8*(((Inputs!$I$8+(((A231)+1)/2)*(Inputs!$J$8-Inputs!$I$8)))/Inputs!$K$8)^2)))^2+Inputs!$C$52^2-2*(Inputs!$C$52+((Inputs!$H$8+Inputs!$L$8*(((Inputs!$I$8+(((A231)+1)/2)*(Inputs!$J$8-Inputs!$I$8)))/Inputs!$K$8)^2)))*Inputs!$C$52*COS(SQRT(((Inputs!$I$8+(((A231)+1)/2)*(Inputs!$J$8-Inputs!$I$8)))^2+Inputs!$C$6^2)/Inputs!$C$52)))-((Inputs!$H$8+Inputs!$L$8*(((Inputs!$I$8+(((A231)+1)/2)*(Inputs!$J$8-Inputs!$I$8)))/Inputs!$K$8)^2)))*1000/Inputs!$C$12)</f>
        <v/>
      </c>
      <c r="AI231" s="9">
        <f>(((SQRT((Inputs!$C$52+((Inputs!$H$9+Inputs!$L$9*(((Inputs!$I$9+(((A231)+1)/2)*(Inputs!$J$9-Inputs!$I$9)))/Inputs!$K$9)^2)))^2+Inputs!$C$52^2-2*(Inputs!$C$52+((Inputs!$H$9+Inputs!$L$9*(((Inputs!$I$9+(((A231)+1)/2)*(Inputs!$J$9-Inputs!$I$9)))/Inputs!$K$9)^2)))*Inputs!$C$52*COS(SQRT(((Inputs!$I$9+(((A231)+1)/2)*(Inputs!$J$9-Inputs!$I$9)))^2+Inputs!$C$6^2)/Inputs!$C$52)))-((Inputs!$H$9+Inputs!$L$9*(((Inputs!$I$9+(((A231)+1)/2)*(Inputs!$J$9-Inputs!$I$9)))/Inputs!$K$9)^2)))*1000/Inputs!$C$12)</f>
        <v/>
      </c>
      <c r="AJ231" s="10" t="n"/>
      <c r="AK231" s="9">
        <f>A231</f>
        <v/>
      </c>
      <c r="AL231" s="9">
        <f>(-2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f>
        <v/>
      </c>
      <c r="AM231" s="9">
        <f>(-2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f>
        <v/>
      </c>
      <c r="AN231" s="9">
        <f>(-2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f>
        <v/>
      </c>
      <c r="AO231" s="9">
        <f>(-2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f>
        <v/>
      </c>
      <c r="AP231" s="10" t="n"/>
      <c r="AQ231" s="9">
        <f>A231</f>
        <v/>
      </c>
      <c r="AR231" s="9">
        <f>0</f>
        <v/>
      </c>
      <c r="AS231" s="9">
        <f>IF(OR(Inputs!$F$6=TRUE,Inputs!$F$6="TRUE",Inputs!$F$6=1),IF(OR(Inputs!$C$27=TRUE,Inputs!$C$27="TRUE",Inputs!$C$27=1),1,0)*(Inputs!$C$51*(115*EXP(-(((Inputs!$C$6)-25)^2)/(4.5^2))+70*EXP(-(((Inputs!$C$6)+38)^2)/(7^2))*(0.55+0.45*SIN(2*PI()*((Inputs!$I$6+(((A231)+1)/2)*(Inputs!$J$6-Inputs!$I$6)))/45))+24*SIN(2*PI()*(Inputs!$C$6)/9+((Inputs!$I$6+(((A231)+1)/2)*(Inputs!$J$6-Inputs!$I$6)))/18)*EXP(-(((Inputs!$C$6)+5)^2)/(22^2))+18*SIN(2*PI()*((Inputs!$I$6+(((A231)+1)/2)*(Inputs!$J$6-Inputs!$I$6)))/70))+Inputs!$C$28*EXP(-((((Inputs!$I$6+(((A231)+1)/2)*(Inputs!$J$6-Inputs!$I$6)))-Inputs!$C$29)^2)/(2*Inputs!$C$31^2))*EXP(-(((Inputs!$C$6)-Inputs!$C$30)^2)/(2*Inputs!$C$32^2))+-Inputs!$C$33*EXP(-((((((Inputs!$I$6+(((A231)+1)/2)*(Inputs!$J$6-Inputs!$I$6)))-Inputs!$C$34)^2)+(((Inputs!$C$6)-Inputs!$C$35)^2))/(2*Inputs!$C$36^2)))+Inputs!$C$37*(0.55*SIN(2*PI()*((Inputs!$I$6+(((A231)+1)/2)*(Inputs!$J$6-Inputs!$I$6)))/Inputs!$C$39)+0.35*COS(2*PI()*(Inputs!$C$6)/Inputs!$C$40)+0.2*SIN(2*PI()*(((Inputs!$I$6+(((A231)+1)/2)*(Inputs!$J$6-Inputs!$I$6)))+(Inputs!$C$6))/(0.5*(Inputs!$C$39+Inputs!$C$40))))+Inputs!$C$38*SIN(2*PI()*((Inputs!$I$6+(((A231)+1)/2)*(Inputs!$J$6-Inputs!$I$6)))/Inputs!$C$39)*SIN(2*PI()*(Inputs!$C$6)/Inputs!$C$40)+-Inputs!$C$41*EXP(-(((Inputs!$C$6)-Inputs!$C$43)^2)/(2*Inputs!$C$44^2))*EXP(-((((Inputs!$I$6+(((A231)+1)/2)*(Inputs!$J$6-Inputs!$I$6)))-Inputs!$C$42)^2)/(2*Inputs!$C$45^2))+Inputs!$C$48*(0.7*(0.45*SIN(2*PI()*((((Inputs!$I$6+(((A231)+1)/2)*(Inputs!$J$6-Inputs!$I$6)))/Inputs!$C$49)+Inputs!$C$47*0.137))+0.35*COS(2*PI()*(((Inputs!$C$6)/Inputs!$C$50)+Inputs!$C$47*0.173))+0.2*SIN(2*PI()*((((Inputs!$I$6+(((A231)+1)/2)*(Inputs!$J$6-Inputs!$I$6)))+(Inputs!$C$6))/(0.5*(Inputs!$C$49+Inputs!$C$50))+Inputs!$C$47*0.097)))+0.3*(2*((SIN((((Inputs!$I$6+(((A231)+1)/2)*(Inputs!$J$6-Inputs!$I$6)))*12.9898+(Inputs!$C$6)*78.233+Inputs!$C$47*37.719))*43758.5453)-INT((SIN((((Inputs!$I$6+(((A231)+1)/2)*(Inputs!$J$6-Inputs!$I$6)))*12.9898+(Inputs!$C$6)*78.233+Inputs!$C$47*37.719))*43758.5453)))-1))),NA())</f>
        <v/>
      </c>
      <c r="AT231" s="9">
        <f>IF(OR(Inputs!$F$7=TRUE,Inputs!$F$7="TRUE",Inputs!$F$7=1),IF(OR(Inputs!$C$27=TRUE,Inputs!$C$27="TRUE",Inputs!$C$27=1),1,0)*(Inputs!$C$51*(115*EXP(-(((Inputs!$C$6)-25)^2)/(4.5^2))+70*EXP(-(((Inputs!$C$6)+38)^2)/(7^2))*(0.55+0.45*SIN(2*PI()*((Inputs!$I$7+(((A231)+1)/2)*(Inputs!$J$7-Inputs!$I$7)))/45))+24*SIN(2*PI()*(Inputs!$C$6)/9+((Inputs!$I$7+(((A231)+1)/2)*(Inputs!$J$7-Inputs!$I$7)))/18)*EXP(-(((Inputs!$C$6)+5)^2)/(22^2))+18*SIN(2*PI()*((Inputs!$I$7+(((A231)+1)/2)*(Inputs!$J$7-Inputs!$I$7)))/70))+Inputs!$C$28*EXP(-((((Inputs!$I$7+(((A231)+1)/2)*(Inputs!$J$7-Inputs!$I$7)))-Inputs!$C$29)^2)/(2*Inputs!$C$31^2))*EXP(-(((Inputs!$C$6)-Inputs!$C$30)^2)/(2*Inputs!$C$32^2))+-Inputs!$C$33*EXP(-((((((Inputs!$I$7+(((A231)+1)/2)*(Inputs!$J$7-Inputs!$I$7)))-Inputs!$C$34)^2)+(((Inputs!$C$6)-Inputs!$C$35)^2))/(2*Inputs!$C$36^2)))+Inputs!$C$37*(0.55*SIN(2*PI()*((Inputs!$I$7+(((A231)+1)/2)*(Inputs!$J$7-Inputs!$I$7)))/Inputs!$C$39)+0.35*COS(2*PI()*(Inputs!$C$6)/Inputs!$C$40)+0.2*SIN(2*PI()*(((Inputs!$I$7+(((A231)+1)/2)*(Inputs!$J$7-Inputs!$I$7)))+(Inputs!$C$6))/(0.5*(Inputs!$C$39+Inputs!$C$40))))+Inputs!$C$38*SIN(2*PI()*((Inputs!$I$7+(((A231)+1)/2)*(Inputs!$J$7-Inputs!$I$7)))/Inputs!$C$39)*SIN(2*PI()*(Inputs!$C$6)/Inputs!$C$40)+-Inputs!$C$41*EXP(-(((Inputs!$C$6)-Inputs!$C$43)^2)/(2*Inputs!$C$44^2))*EXP(-((((Inputs!$I$7+(((A231)+1)/2)*(Inputs!$J$7-Inputs!$I$7)))-Inputs!$C$42)^2)/(2*Inputs!$C$45^2))+Inputs!$C$48*(0.7*(0.45*SIN(2*PI()*((((Inputs!$I$7+(((A231)+1)/2)*(Inputs!$J$7-Inputs!$I$7)))/Inputs!$C$49)+Inputs!$C$47*0.137))+0.35*COS(2*PI()*(((Inputs!$C$6)/Inputs!$C$50)+Inputs!$C$47*0.173))+0.2*SIN(2*PI()*((((Inputs!$I$7+(((A231)+1)/2)*(Inputs!$J$7-Inputs!$I$7)))+(Inputs!$C$6))/(0.5*(Inputs!$C$49+Inputs!$C$50))+Inputs!$C$47*0.097)))+0.3*(2*((SIN((((Inputs!$I$7+(((A231)+1)/2)*(Inputs!$J$7-Inputs!$I$7)))*12.9898+(Inputs!$C$6)*78.233+Inputs!$C$47*37.719))*43758.5453)-INT((SIN((((Inputs!$I$7+(((A231)+1)/2)*(Inputs!$J$7-Inputs!$I$7)))*12.9898+(Inputs!$C$6)*78.233+Inputs!$C$47*37.719))*43758.5453)))-1))),NA())</f>
        <v/>
      </c>
      <c r="AU231" s="9">
        <f>IF(OR(Inputs!$F$8=TRUE,Inputs!$F$8="TRUE",Inputs!$F$8=1),IF(OR(Inputs!$C$27=TRUE,Inputs!$C$27="TRUE",Inputs!$C$27=1),1,0)*(Inputs!$C$51*(115*EXP(-(((Inputs!$C$6)-25)^2)/(4.5^2))+70*EXP(-(((Inputs!$C$6)+38)^2)/(7^2))*(0.55+0.45*SIN(2*PI()*((Inputs!$I$8+(((A231)+1)/2)*(Inputs!$J$8-Inputs!$I$8)))/45))+24*SIN(2*PI()*(Inputs!$C$6)/9+((Inputs!$I$8+(((A231)+1)/2)*(Inputs!$J$8-Inputs!$I$8)))/18)*EXP(-(((Inputs!$C$6)+5)^2)/(22^2))+18*SIN(2*PI()*((Inputs!$I$8+(((A231)+1)/2)*(Inputs!$J$8-Inputs!$I$8)))/70))+Inputs!$C$28*EXP(-((((Inputs!$I$8+(((A231)+1)/2)*(Inputs!$J$8-Inputs!$I$8)))-Inputs!$C$29)^2)/(2*Inputs!$C$31^2))*EXP(-(((Inputs!$C$6)-Inputs!$C$30)^2)/(2*Inputs!$C$32^2))+-Inputs!$C$33*EXP(-((((((Inputs!$I$8+(((A231)+1)/2)*(Inputs!$J$8-Inputs!$I$8)))-Inputs!$C$34)^2)+(((Inputs!$C$6)-Inputs!$C$35)^2))/(2*Inputs!$C$36^2)))+Inputs!$C$37*(0.55*SIN(2*PI()*((Inputs!$I$8+(((A231)+1)/2)*(Inputs!$J$8-Inputs!$I$8)))/Inputs!$C$39)+0.35*COS(2*PI()*(Inputs!$C$6)/Inputs!$C$40)+0.2*SIN(2*PI()*(((Inputs!$I$8+(((A231)+1)/2)*(Inputs!$J$8-Inputs!$I$8)))+(Inputs!$C$6))/(0.5*(Inputs!$C$39+Inputs!$C$40))))+Inputs!$C$38*SIN(2*PI()*((Inputs!$I$8+(((A231)+1)/2)*(Inputs!$J$8-Inputs!$I$8)))/Inputs!$C$39)*SIN(2*PI()*(Inputs!$C$6)/Inputs!$C$40)+-Inputs!$C$41*EXP(-(((Inputs!$C$6)-Inputs!$C$43)^2)/(2*Inputs!$C$44^2))*EXP(-((((Inputs!$I$8+(((A231)+1)/2)*(Inputs!$J$8-Inputs!$I$8)))-Inputs!$C$42)^2)/(2*Inputs!$C$45^2))+Inputs!$C$48*(0.7*(0.45*SIN(2*PI()*((((Inputs!$I$8+(((A231)+1)/2)*(Inputs!$J$8-Inputs!$I$8)))/Inputs!$C$49)+Inputs!$C$47*0.137))+0.35*COS(2*PI()*(((Inputs!$C$6)/Inputs!$C$50)+Inputs!$C$47*0.173))+0.2*SIN(2*PI()*((((Inputs!$I$8+(((A231)+1)/2)*(Inputs!$J$8-Inputs!$I$8)))+(Inputs!$C$6))/(0.5*(Inputs!$C$49+Inputs!$C$50))+Inputs!$C$47*0.097)))+0.3*(2*((SIN((((Inputs!$I$8+(((A231)+1)/2)*(Inputs!$J$8-Inputs!$I$8)))*12.9898+(Inputs!$C$6)*78.233+Inputs!$C$47*37.719))*43758.5453)-INT((SIN((((Inputs!$I$8+(((A231)+1)/2)*(Inputs!$J$8-Inputs!$I$8)))*12.9898+(Inputs!$C$6)*78.233+Inputs!$C$47*37.719))*43758.5453)))-1))),NA())</f>
        <v/>
      </c>
      <c r="AV231" s="9">
        <f>IF(OR(Inputs!$F$9=TRUE,Inputs!$F$9="TRUE",Inputs!$F$9=1),IF(OR(Inputs!$C$27=TRUE,Inputs!$C$27="TRUE",Inputs!$C$27=1),1,0)*(Inputs!$C$51*(115*EXP(-(((Inputs!$C$6)-25)^2)/(4.5^2))+70*EXP(-(((Inputs!$C$6)+38)^2)/(7^2))*(0.55+0.45*SIN(2*PI()*((Inputs!$I$9+(((A231)+1)/2)*(Inputs!$J$9-Inputs!$I$9)))/45))+24*SIN(2*PI()*(Inputs!$C$6)/9+((Inputs!$I$9+(((A231)+1)/2)*(Inputs!$J$9-Inputs!$I$9)))/18)*EXP(-(((Inputs!$C$6)+5)^2)/(22^2))+18*SIN(2*PI()*((Inputs!$I$9+(((A231)+1)/2)*(Inputs!$J$9-Inputs!$I$9)))/70))+Inputs!$C$28*EXP(-((((Inputs!$I$9+(((A231)+1)/2)*(Inputs!$J$9-Inputs!$I$9)))-Inputs!$C$29)^2)/(2*Inputs!$C$31^2))*EXP(-(((Inputs!$C$6)-Inputs!$C$30)^2)/(2*Inputs!$C$32^2))+-Inputs!$C$33*EXP(-((((((Inputs!$I$9+(((A231)+1)/2)*(Inputs!$J$9-Inputs!$I$9)))-Inputs!$C$34)^2)+(((Inputs!$C$6)-Inputs!$C$35)^2))/(2*Inputs!$C$36^2)))+Inputs!$C$37*(0.55*SIN(2*PI()*((Inputs!$I$9+(((A231)+1)/2)*(Inputs!$J$9-Inputs!$I$9)))/Inputs!$C$39)+0.35*COS(2*PI()*(Inputs!$C$6)/Inputs!$C$40)+0.2*SIN(2*PI()*(((Inputs!$I$9+(((A231)+1)/2)*(Inputs!$J$9-Inputs!$I$9)))+(Inputs!$C$6))/(0.5*(Inputs!$C$39+Inputs!$C$40))))+Inputs!$C$38*SIN(2*PI()*((Inputs!$I$9+(((A231)+1)/2)*(Inputs!$J$9-Inputs!$I$9)))/Inputs!$C$39)*SIN(2*PI()*(Inputs!$C$6)/Inputs!$C$40)+-Inputs!$C$41*EXP(-(((Inputs!$C$6)-Inputs!$C$43)^2)/(2*Inputs!$C$44^2))*EXP(-((((Inputs!$I$9+(((A231)+1)/2)*(Inputs!$J$9-Inputs!$I$9)))-Inputs!$C$42)^2)/(2*Inputs!$C$45^2))+Inputs!$C$48*(0.7*(0.45*SIN(2*PI()*((((Inputs!$I$9+(((A231)+1)/2)*(Inputs!$J$9-Inputs!$I$9)))/Inputs!$C$49)+Inputs!$C$47*0.137))+0.35*COS(2*PI()*(((Inputs!$C$6)/Inputs!$C$50)+Inputs!$C$47*0.173))+0.2*SIN(2*PI()*((((Inputs!$I$9+(((A231)+1)/2)*(Inputs!$J$9-Inputs!$I$9)))+(Inputs!$C$6))/(0.5*(Inputs!$C$49+Inputs!$C$50))+Inputs!$C$47*0.097)))+0.3*(2*((SIN((((Inputs!$I$9+(((A231)+1)/2)*(Inputs!$J$9-Inputs!$I$9)))*12.9898+(Inputs!$C$6)*78.233+Inputs!$C$47*37.719))*43758.5453)-INT((SIN((((Inputs!$I$9+(((A231)+1)/2)*(Inputs!$J$9-Inputs!$I$9)))*12.9898+(Inputs!$C$6)*78.233+Inputs!$C$47*37.719))*43758.5453)))-1))),NA())</f>
        <v/>
      </c>
      <c r="AW231" s="10" t="n"/>
      <c r="AX231" s="9">
        <f>A231</f>
        <v/>
      </c>
      <c r="AY231" s="9">
        <f>0</f>
        <v/>
      </c>
      <c r="AZ231" s="9">
        <f>IF(OR(Inputs!$F$6=TRUE,Inputs!$F$6="TRUE",Inputs!$F$6=1),(Inputs!$H$6+Inputs!$L$6*(((Inputs!$I$6+(((A231)+1)/2)*(Inputs!$J$6-Inputs!$I$6)))/Inputs!$K$6)^2),NA())</f>
        <v/>
      </c>
      <c r="BA231" s="9">
        <f>IF(OR(Inputs!$F$7=TRUE,Inputs!$F$7="TRUE",Inputs!$F$7=1),(Inputs!$H$7+Inputs!$L$7*(((Inputs!$I$7+(((A231)+1)/2)*(Inputs!$J$7-Inputs!$I$7)))/Inputs!$K$7)^2),NA())</f>
        <v/>
      </c>
      <c r="BB231" s="9">
        <f>IF(OR(Inputs!$F$8=TRUE,Inputs!$F$8="TRUE",Inputs!$F$8=1),(Inputs!$H$8+Inputs!$L$8*(((Inputs!$I$8+(((A231)+1)/2)*(Inputs!$J$8-Inputs!$I$8)))/Inputs!$K$8)^2),NA())</f>
        <v/>
      </c>
      <c r="BC231" s="9">
        <f>IF(OR(Inputs!$F$9=TRUE,Inputs!$F$9="TRUE",Inputs!$F$9=1),(Inputs!$H$9+Inputs!$L$9*(((Inputs!$I$9+(((A231)+1)/2)*(Inputs!$J$9-Inputs!$I$9)))/Inputs!$K$9)^2),NA())</f>
        <v/>
      </c>
      <c r="BD231" s="10" t="n"/>
      <c r="BE231" s="9">
        <f>A231</f>
        <v/>
      </c>
      <c r="BF231" s="9">
        <f>0</f>
        <v/>
      </c>
      <c r="BG231" s="9">
        <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f>
        <v/>
      </c>
      <c r="BH231" s="9">
        <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f>
        <v/>
      </c>
      <c r="BI231" s="9">
        <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f>
        <v/>
      </c>
      <c r="BJ231" s="9">
        <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f>
        <v/>
      </c>
    </row>
    <row r="232">
      <c r="A232" s="9">
        <f>ROUND(-1+230*2/240,3)</f>
        <v/>
      </c>
      <c r="B232" s="9">
        <f>IF(OR(Inputs!$F$6=TRUE,Inputs!$F$6="TRUE",Inputs!$F$6=1),(Inputs!$H$6+Inputs!$L$6*(((Inputs!$I$6+(((A232)+1)/2)*(Inputs!$J$6-Inputs!$I$6)))/Inputs!$K$6)^2),NA())</f>
        <v/>
      </c>
      <c r="C232" s="9">
        <f>IF(OR(Inputs!$F$7=TRUE,Inputs!$F$7="TRUE",Inputs!$F$7=1),(Inputs!$H$7+Inputs!$L$7*(((Inputs!$I$7+(((A232)+1)/2)*(Inputs!$J$7-Inputs!$I$7)))/Inputs!$K$7)^2),NA())</f>
        <v/>
      </c>
      <c r="D232" s="9">
        <f>IF(OR(Inputs!$F$8=TRUE,Inputs!$F$8="TRUE",Inputs!$F$8=1),(Inputs!$H$8+Inputs!$L$8*(((Inputs!$I$8+(((A232)+1)/2)*(Inputs!$J$8-Inputs!$I$8)))/Inputs!$K$8)^2),NA())</f>
        <v/>
      </c>
      <c r="E232" s="9">
        <f>IF(OR(Inputs!$F$9=TRUE,Inputs!$F$9="TRUE",Inputs!$F$9=1),(Inputs!$H$9+Inputs!$L$9*(((Inputs!$I$9+(((A232)+1)/2)*(Inputs!$J$9-Inputs!$I$9)))/Inputs!$K$9)^2),NA())</f>
        <v/>
      </c>
      <c r="F232" s="10" t="n"/>
      <c r="G232" s="9">
        <f>A232</f>
        <v/>
      </c>
      <c r="H232" s="9">
        <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f>
        <v/>
      </c>
      <c r="I232" s="9">
        <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f>
        <v/>
      </c>
      <c r="J232" s="9">
        <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f>
        <v/>
      </c>
      <c r="K232" s="9">
        <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f>
        <v/>
      </c>
      <c r="L232" s="10" t="n"/>
      <c r="M232" s="9">
        <f>A232</f>
        <v/>
      </c>
      <c r="N232" s="9">
        <f>IF(OR(Inputs!$F$6=TRUE,Inputs!$F$6="TRUE",Inputs!$F$6=1),(-2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NA())</f>
        <v/>
      </c>
      <c r="O232" s="9">
        <f>IF(OR(Inputs!$F$7=TRUE,Inputs!$F$7="TRUE",Inputs!$F$7=1),(-2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NA())</f>
        <v/>
      </c>
      <c r="P232" s="9">
        <f>IF(OR(Inputs!$F$8=TRUE,Inputs!$F$8="TRUE",Inputs!$F$8=1),(-2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NA())</f>
        <v/>
      </c>
      <c r="Q232" s="9">
        <f>IF(OR(Inputs!$F$9=TRUE,Inputs!$F$9="TRUE",Inputs!$F$9=1),(-2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NA())</f>
        <v/>
      </c>
      <c r="R232" s="10" t="n"/>
      <c r="S232" s="9">
        <f>A232</f>
        <v/>
      </c>
      <c r="T232" s="9">
        <f>(Inputs!$I$6+(((A232)+1)/2)*(Inputs!$J$6-Inputs!$I$6))</f>
        <v/>
      </c>
      <c r="U232" s="9">
        <f>(Inputs!$I$7+(((A232)+1)/2)*(Inputs!$J$7-Inputs!$I$7))</f>
        <v/>
      </c>
      <c r="V232" s="9">
        <f>(Inputs!$I$8+(((A232)+1)/2)*(Inputs!$J$8-Inputs!$I$8))</f>
        <v/>
      </c>
      <c r="W232" s="9">
        <f>(Inputs!$I$9+(((A232)+1)/2)*(Inputs!$J$9-Inputs!$I$9))</f>
        <v/>
      </c>
      <c r="X232" s="10" t="n"/>
      <c r="Y232" s="9">
        <f>A232</f>
        <v/>
      </c>
      <c r="Z232" s="9">
        <f>(Inputs!$H$6+Inputs!$L$6*(((Inputs!$I$6+(((A232)+1)/2)*(Inputs!$J$6-Inputs!$I$6)))/Inputs!$K$6)^2)</f>
        <v/>
      </c>
      <c r="AA232" s="9">
        <f>(Inputs!$H$7+Inputs!$L$7*(((Inputs!$I$7+(((A232)+1)/2)*(Inputs!$J$7-Inputs!$I$7)))/Inputs!$K$7)^2)</f>
        <v/>
      </c>
      <c r="AB232" s="9">
        <f>(Inputs!$H$8+Inputs!$L$8*(((Inputs!$I$8+(((A232)+1)/2)*(Inputs!$J$8-Inputs!$I$8)))/Inputs!$K$8)^2)</f>
        <v/>
      </c>
      <c r="AC232" s="9">
        <f>(Inputs!$H$9+Inputs!$L$9*(((Inputs!$I$9+(((A232)+1)/2)*(Inputs!$J$9-Inputs!$I$9)))/Inputs!$K$9)^2)</f>
        <v/>
      </c>
      <c r="AD232" s="10" t="n"/>
      <c r="AE232" s="9">
        <f>A232</f>
        <v/>
      </c>
      <c r="AF232" s="9">
        <f>(((SQRT((Inputs!$C$52+((Inputs!$H$6+Inputs!$L$6*(((Inputs!$I$6+(((A232)+1)/2)*(Inputs!$J$6-Inputs!$I$6)))/Inputs!$K$6)^2)))^2+Inputs!$C$52^2-2*(Inputs!$C$52+((Inputs!$H$6+Inputs!$L$6*(((Inputs!$I$6+(((A232)+1)/2)*(Inputs!$J$6-Inputs!$I$6)))/Inputs!$K$6)^2)))*Inputs!$C$52*COS(SQRT(((Inputs!$I$6+(((A232)+1)/2)*(Inputs!$J$6-Inputs!$I$6)))^2+Inputs!$C$6^2)/Inputs!$C$52)))-((Inputs!$H$6+Inputs!$L$6*(((Inputs!$I$6+(((A232)+1)/2)*(Inputs!$J$6-Inputs!$I$6)))/Inputs!$K$6)^2)))*1000/Inputs!$C$12)</f>
        <v/>
      </c>
      <c r="AG232" s="9">
        <f>(((SQRT((Inputs!$C$52+((Inputs!$H$7+Inputs!$L$7*(((Inputs!$I$7+(((A232)+1)/2)*(Inputs!$J$7-Inputs!$I$7)))/Inputs!$K$7)^2)))^2+Inputs!$C$52^2-2*(Inputs!$C$52+((Inputs!$H$7+Inputs!$L$7*(((Inputs!$I$7+(((A232)+1)/2)*(Inputs!$J$7-Inputs!$I$7)))/Inputs!$K$7)^2)))*Inputs!$C$52*COS(SQRT(((Inputs!$I$7+(((A232)+1)/2)*(Inputs!$J$7-Inputs!$I$7)))^2+Inputs!$C$6^2)/Inputs!$C$52)))-((Inputs!$H$7+Inputs!$L$7*(((Inputs!$I$7+(((A232)+1)/2)*(Inputs!$J$7-Inputs!$I$7)))/Inputs!$K$7)^2)))*1000/Inputs!$C$12)</f>
        <v/>
      </c>
      <c r="AH232" s="9">
        <f>(((SQRT((Inputs!$C$52+((Inputs!$H$8+Inputs!$L$8*(((Inputs!$I$8+(((A232)+1)/2)*(Inputs!$J$8-Inputs!$I$8)))/Inputs!$K$8)^2)))^2+Inputs!$C$52^2-2*(Inputs!$C$52+((Inputs!$H$8+Inputs!$L$8*(((Inputs!$I$8+(((A232)+1)/2)*(Inputs!$J$8-Inputs!$I$8)))/Inputs!$K$8)^2)))*Inputs!$C$52*COS(SQRT(((Inputs!$I$8+(((A232)+1)/2)*(Inputs!$J$8-Inputs!$I$8)))^2+Inputs!$C$6^2)/Inputs!$C$52)))-((Inputs!$H$8+Inputs!$L$8*(((Inputs!$I$8+(((A232)+1)/2)*(Inputs!$J$8-Inputs!$I$8)))/Inputs!$K$8)^2)))*1000/Inputs!$C$12)</f>
        <v/>
      </c>
      <c r="AI232" s="9">
        <f>(((SQRT((Inputs!$C$52+((Inputs!$H$9+Inputs!$L$9*(((Inputs!$I$9+(((A232)+1)/2)*(Inputs!$J$9-Inputs!$I$9)))/Inputs!$K$9)^2)))^2+Inputs!$C$52^2-2*(Inputs!$C$52+((Inputs!$H$9+Inputs!$L$9*(((Inputs!$I$9+(((A232)+1)/2)*(Inputs!$J$9-Inputs!$I$9)))/Inputs!$K$9)^2)))*Inputs!$C$52*COS(SQRT(((Inputs!$I$9+(((A232)+1)/2)*(Inputs!$J$9-Inputs!$I$9)))^2+Inputs!$C$6^2)/Inputs!$C$52)))-((Inputs!$H$9+Inputs!$L$9*(((Inputs!$I$9+(((A232)+1)/2)*(Inputs!$J$9-Inputs!$I$9)))/Inputs!$K$9)^2)))*1000/Inputs!$C$12)</f>
        <v/>
      </c>
      <c r="AJ232" s="10" t="n"/>
      <c r="AK232" s="9">
        <f>A232</f>
        <v/>
      </c>
      <c r="AL232" s="9">
        <f>(-2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f>
        <v/>
      </c>
      <c r="AM232" s="9">
        <f>(-2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f>
        <v/>
      </c>
      <c r="AN232" s="9">
        <f>(-2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f>
        <v/>
      </c>
      <c r="AO232" s="9">
        <f>(-2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f>
        <v/>
      </c>
      <c r="AP232" s="10" t="n"/>
      <c r="AQ232" s="9">
        <f>A232</f>
        <v/>
      </c>
      <c r="AR232" s="9">
        <f>0</f>
        <v/>
      </c>
      <c r="AS232" s="9">
        <f>IF(OR(Inputs!$F$6=TRUE,Inputs!$F$6="TRUE",Inputs!$F$6=1),IF(OR(Inputs!$C$27=TRUE,Inputs!$C$27="TRUE",Inputs!$C$27=1),1,0)*(Inputs!$C$51*(115*EXP(-(((Inputs!$C$6)-25)^2)/(4.5^2))+70*EXP(-(((Inputs!$C$6)+38)^2)/(7^2))*(0.55+0.45*SIN(2*PI()*((Inputs!$I$6+(((A232)+1)/2)*(Inputs!$J$6-Inputs!$I$6)))/45))+24*SIN(2*PI()*(Inputs!$C$6)/9+((Inputs!$I$6+(((A232)+1)/2)*(Inputs!$J$6-Inputs!$I$6)))/18)*EXP(-(((Inputs!$C$6)+5)^2)/(22^2))+18*SIN(2*PI()*((Inputs!$I$6+(((A232)+1)/2)*(Inputs!$J$6-Inputs!$I$6)))/70))+Inputs!$C$28*EXP(-((((Inputs!$I$6+(((A232)+1)/2)*(Inputs!$J$6-Inputs!$I$6)))-Inputs!$C$29)^2)/(2*Inputs!$C$31^2))*EXP(-(((Inputs!$C$6)-Inputs!$C$30)^2)/(2*Inputs!$C$32^2))+-Inputs!$C$33*EXP(-((((((Inputs!$I$6+(((A232)+1)/2)*(Inputs!$J$6-Inputs!$I$6)))-Inputs!$C$34)^2)+(((Inputs!$C$6)-Inputs!$C$35)^2))/(2*Inputs!$C$36^2)))+Inputs!$C$37*(0.55*SIN(2*PI()*((Inputs!$I$6+(((A232)+1)/2)*(Inputs!$J$6-Inputs!$I$6)))/Inputs!$C$39)+0.35*COS(2*PI()*(Inputs!$C$6)/Inputs!$C$40)+0.2*SIN(2*PI()*(((Inputs!$I$6+(((A232)+1)/2)*(Inputs!$J$6-Inputs!$I$6)))+(Inputs!$C$6))/(0.5*(Inputs!$C$39+Inputs!$C$40))))+Inputs!$C$38*SIN(2*PI()*((Inputs!$I$6+(((A232)+1)/2)*(Inputs!$J$6-Inputs!$I$6)))/Inputs!$C$39)*SIN(2*PI()*(Inputs!$C$6)/Inputs!$C$40)+-Inputs!$C$41*EXP(-(((Inputs!$C$6)-Inputs!$C$43)^2)/(2*Inputs!$C$44^2))*EXP(-((((Inputs!$I$6+(((A232)+1)/2)*(Inputs!$J$6-Inputs!$I$6)))-Inputs!$C$42)^2)/(2*Inputs!$C$45^2))+Inputs!$C$48*(0.7*(0.45*SIN(2*PI()*((((Inputs!$I$6+(((A232)+1)/2)*(Inputs!$J$6-Inputs!$I$6)))/Inputs!$C$49)+Inputs!$C$47*0.137))+0.35*COS(2*PI()*(((Inputs!$C$6)/Inputs!$C$50)+Inputs!$C$47*0.173))+0.2*SIN(2*PI()*((((Inputs!$I$6+(((A232)+1)/2)*(Inputs!$J$6-Inputs!$I$6)))+(Inputs!$C$6))/(0.5*(Inputs!$C$49+Inputs!$C$50))+Inputs!$C$47*0.097)))+0.3*(2*((SIN((((Inputs!$I$6+(((A232)+1)/2)*(Inputs!$J$6-Inputs!$I$6)))*12.9898+(Inputs!$C$6)*78.233+Inputs!$C$47*37.719))*43758.5453)-INT((SIN((((Inputs!$I$6+(((A232)+1)/2)*(Inputs!$J$6-Inputs!$I$6)))*12.9898+(Inputs!$C$6)*78.233+Inputs!$C$47*37.719))*43758.5453)))-1))),NA())</f>
        <v/>
      </c>
      <c r="AT232" s="9">
        <f>IF(OR(Inputs!$F$7=TRUE,Inputs!$F$7="TRUE",Inputs!$F$7=1),IF(OR(Inputs!$C$27=TRUE,Inputs!$C$27="TRUE",Inputs!$C$27=1),1,0)*(Inputs!$C$51*(115*EXP(-(((Inputs!$C$6)-25)^2)/(4.5^2))+70*EXP(-(((Inputs!$C$6)+38)^2)/(7^2))*(0.55+0.45*SIN(2*PI()*((Inputs!$I$7+(((A232)+1)/2)*(Inputs!$J$7-Inputs!$I$7)))/45))+24*SIN(2*PI()*(Inputs!$C$6)/9+((Inputs!$I$7+(((A232)+1)/2)*(Inputs!$J$7-Inputs!$I$7)))/18)*EXP(-(((Inputs!$C$6)+5)^2)/(22^2))+18*SIN(2*PI()*((Inputs!$I$7+(((A232)+1)/2)*(Inputs!$J$7-Inputs!$I$7)))/70))+Inputs!$C$28*EXP(-((((Inputs!$I$7+(((A232)+1)/2)*(Inputs!$J$7-Inputs!$I$7)))-Inputs!$C$29)^2)/(2*Inputs!$C$31^2))*EXP(-(((Inputs!$C$6)-Inputs!$C$30)^2)/(2*Inputs!$C$32^2))+-Inputs!$C$33*EXP(-((((((Inputs!$I$7+(((A232)+1)/2)*(Inputs!$J$7-Inputs!$I$7)))-Inputs!$C$34)^2)+(((Inputs!$C$6)-Inputs!$C$35)^2))/(2*Inputs!$C$36^2)))+Inputs!$C$37*(0.55*SIN(2*PI()*((Inputs!$I$7+(((A232)+1)/2)*(Inputs!$J$7-Inputs!$I$7)))/Inputs!$C$39)+0.35*COS(2*PI()*(Inputs!$C$6)/Inputs!$C$40)+0.2*SIN(2*PI()*(((Inputs!$I$7+(((A232)+1)/2)*(Inputs!$J$7-Inputs!$I$7)))+(Inputs!$C$6))/(0.5*(Inputs!$C$39+Inputs!$C$40))))+Inputs!$C$38*SIN(2*PI()*((Inputs!$I$7+(((A232)+1)/2)*(Inputs!$J$7-Inputs!$I$7)))/Inputs!$C$39)*SIN(2*PI()*(Inputs!$C$6)/Inputs!$C$40)+-Inputs!$C$41*EXP(-(((Inputs!$C$6)-Inputs!$C$43)^2)/(2*Inputs!$C$44^2))*EXP(-((((Inputs!$I$7+(((A232)+1)/2)*(Inputs!$J$7-Inputs!$I$7)))-Inputs!$C$42)^2)/(2*Inputs!$C$45^2))+Inputs!$C$48*(0.7*(0.45*SIN(2*PI()*((((Inputs!$I$7+(((A232)+1)/2)*(Inputs!$J$7-Inputs!$I$7)))/Inputs!$C$49)+Inputs!$C$47*0.137))+0.35*COS(2*PI()*(((Inputs!$C$6)/Inputs!$C$50)+Inputs!$C$47*0.173))+0.2*SIN(2*PI()*((((Inputs!$I$7+(((A232)+1)/2)*(Inputs!$J$7-Inputs!$I$7)))+(Inputs!$C$6))/(0.5*(Inputs!$C$49+Inputs!$C$50))+Inputs!$C$47*0.097)))+0.3*(2*((SIN((((Inputs!$I$7+(((A232)+1)/2)*(Inputs!$J$7-Inputs!$I$7)))*12.9898+(Inputs!$C$6)*78.233+Inputs!$C$47*37.719))*43758.5453)-INT((SIN((((Inputs!$I$7+(((A232)+1)/2)*(Inputs!$J$7-Inputs!$I$7)))*12.9898+(Inputs!$C$6)*78.233+Inputs!$C$47*37.719))*43758.5453)))-1))),NA())</f>
        <v/>
      </c>
      <c r="AU232" s="9">
        <f>IF(OR(Inputs!$F$8=TRUE,Inputs!$F$8="TRUE",Inputs!$F$8=1),IF(OR(Inputs!$C$27=TRUE,Inputs!$C$27="TRUE",Inputs!$C$27=1),1,0)*(Inputs!$C$51*(115*EXP(-(((Inputs!$C$6)-25)^2)/(4.5^2))+70*EXP(-(((Inputs!$C$6)+38)^2)/(7^2))*(0.55+0.45*SIN(2*PI()*((Inputs!$I$8+(((A232)+1)/2)*(Inputs!$J$8-Inputs!$I$8)))/45))+24*SIN(2*PI()*(Inputs!$C$6)/9+((Inputs!$I$8+(((A232)+1)/2)*(Inputs!$J$8-Inputs!$I$8)))/18)*EXP(-(((Inputs!$C$6)+5)^2)/(22^2))+18*SIN(2*PI()*((Inputs!$I$8+(((A232)+1)/2)*(Inputs!$J$8-Inputs!$I$8)))/70))+Inputs!$C$28*EXP(-((((Inputs!$I$8+(((A232)+1)/2)*(Inputs!$J$8-Inputs!$I$8)))-Inputs!$C$29)^2)/(2*Inputs!$C$31^2))*EXP(-(((Inputs!$C$6)-Inputs!$C$30)^2)/(2*Inputs!$C$32^2))+-Inputs!$C$33*EXP(-((((((Inputs!$I$8+(((A232)+1)/2)*(Inputs!$J$8-Inputs!$I$8)))-Inputs!$C$34)^2)+(((Inputs!$C$6)-Inputs!$C$35)^2))/(2*Inputs!$C$36^2)))+Inputs!$C$37*(0.55*SIN(2*PI()*((Inputs!$I$8+(((A232)+1)/2)*(Inputs!$J$8-Inputs!$I$8)))/Inputs!$C$39)+0.35*COS(2*PI()*(Inputs!$C$6)/Inputs!$C$40)+0.2*SIN(2*PI()*(((Inputs!$I$8+(((A232)+1)/2)*(Inputs!$J$8-Inputs!$I$8)))+(Inputs!$C$6))/(0.5*(Inputs!$C$39+Inputs!$C$40))))+Inputs!$C$38*SIN(2*PI()*((Inputs!$I$8+(((A232)+1)/2)*(Inputs!$J$8-Inputs!$I$8)))/Inputs!$C$39)*SIN(2*PI()*(Inputs!$C$6)/Inputs!$C$40)+-Inputs!$C$41*EXP(-(((Inputs!$C$6)-Inputs!$C$43)^2)/(2*Inputs!$C$44^2))*EXP(-((((Inputs!$I$8+(((A232)+1)/2)*(Inputs!$J$8-Inputs!$I$8)))-Inputs!$C$42)^2)/(2*Inputs!$C$45^2))+Inputs!$C$48*(0.7*(0.45*SIN(2*PI()*((((Inputs!$I$8+(((A232)+1)/2)*(Inputs!$J$8-Inputs!$I$8)))/Inputs!$C$49)+Inputs!$C$47*0.137))+0.35*COS(2*PI()*(((Inputs!$C$6)/Inputs!$C$50)+Inputs!$C$47*0.173))+0.2*SIN(2*PI()*((((Inputs!$I$8+(((A232)+1)/2)*(Inputs!$J$8-Inputs!$I$8)))+(Inputs!$C$6))/(0.5*(Inputs!$C$49+Inputs!$C$50))+Inputs!$C$47*0.097)))+0.3*(2*((SIN((((Inputs!$I$8+(((A232)+1)/2)*(Inputs!$J$8-Inputs!$I$8)))*12.9898+(Inputs!$C$6)*78.233+Inputs!$C$47*37.719))*43758.5453)-INT((SIN((((Inputs!$I$8+(((A232)+1)/2)*(Inputs!$J$8-Inputs!$I$8)))*12.9898+(Inputs!$C$6)*78.233+Inputs!$C$47*37.719))*43758.5453)))-1))),NA())</f>
        <v/>
      </c>
      <c r="AV232" s="9">
        <f>IF(OR(Inputs!$F$9=TRUE,Inputs!$F$9="TRUE",Inputs!$F$9=1),IF(OR(Inputs!$C$27=TRUE,Inputs!$C$27="TRUE",Inputs!$C$27=1),1,0)*(Inputs!$C$51*(115*EXP(-(((Inputs!$C$6)-25)^2)/(4.5^2))+70*EXP(-(((Inputs!$C$6)+38)^2)/(7^2))*(0.55+0.45*SIN(2*PI()*((Inputs!$I$9+(((A232)+1)/2)*(Inputs!$J$9-Inputs!$I$9)))/45))+24*SIN(2*PI()*(Inputs!$C$6)/9+((Inputs!$I$9+(((A232)+1)/2)*(Inputs!$J$9-Inputs!$I$9)))/18)*EXP(-(((Inputs!$C$6)+5)^2)/(22^2))+18*SIN(2*PI()*((Inputs!$I$9+(((A232)+1)/2)*(Inputs!$J$9-Inputs!$I$9)))/70))+Inputs!$C$28*EXP(-((((Inputs!$I$9+(((A232)+1)/2)*(Inputs!$J$9-Inputs!$I$9)))-Inputs!$C$29)^2)/(2*Inputs!$C$31^2))*EXP(-(((Inputs!$C$6)-Inputs!$C$30)^2)/(2*Inputs!$C$32^2))+-Inputs!$C$33*EXP(-((((((Inputs!$I$9+(((A232)+1)/2)*(Inputs!$J$9-Inputs!$I$9)))-Inputs!$C$34)^2)+(((Inputs!$C$6)-Inputs!$C$35)^2))/(2*Inputs!$C$36^2)))+Inputs!$C$37*(0.55*SIN(2*PI()*((Inputs!$I$9+(((A232)+1)/2)*(Inputs!$J$9-Inputs!$I$9)))/Inputs!$C$39)+0.35*COS(2*PI()*(Inputs!$C$6)/Inputs!$C$40)+0.2*SIN(2*PI()*(((Inputs!$I$9+(((A232)+1)/2)*(Inputs!$J$9-Inputs!$I$9)))+(Inputs!$C$6))/(0.5*(Inputs!$C$39+Inputs!$C$40))))+Inputs!$C$38*SIN(2*PI()*((Inputs!$I$9+(((A232)+1)/2)*(Inputs!$J$9-Inputs!$I$9)))/Inputs!$C$39)*SIN(2*PI()*(Inputs!$C$6)/Inputs!$C$40)+-Inputs!$C$41*EXP(-(((Inputs!$C$6)-Inputs!$C$43)^2)/(2*Inputs!$C$44^2))*EXP(-((((Inputs!$I$9+(((A232)+1)/2)*(Inputs!$J$9-Inputs!$I$9)))-Inputs!$C$42)^2)/(2*Inputs!$C$45^2))+Inputs!$C$48*(0.7*(0.45*SIN(2*PI()*((((Inputs!$I$9+(((A232)+1)/2)*(Inputs!$J$9-Inputs!$I$9)))/Inputs!$C$49)+Inputs!$C$47*0.137))+0.35*COS(2*PI()*(((Inputs!$C$6)/Inputs!$C$50)+Inputs!$C$47*0.173))+0.2*SIN(2*PI()*((((Inputs!$I$9+(((A232)+1)/2)*(Inputs!$J$9-Inputs!$I$9)))+(Inputs!$C$6))/(0.5*(Inputs!$C$49+Inputs!$C$50))+Inputs!$C$47*0.097)))+0.3*(2*((SIN((((Inputs!$I$9+(((A232)+1)/2)*(Inputs!$J$9-Inputs!$I$9)))*12.9898+(Inputs!$C$6)*78.233+Inputs!$C$47*37.719))*43758.5453)-INT((SIN((((Inputs!$I$9+(((A232)+1)/2)*(Inputs!$J$9-Inputs!$I$9)))*12.9898+(Inputs!$C$6)*78.233+Inputs!$C$47*37.719))*43758.5453)))-1))),NA())</f>
        <v/>
      </c>
      <c r="AW232" s="10" t="n"/>
      <c r="AX232" s="9">
        <f>A232</f>
        <v/>
      </c>
      <c r="AY232" s="9">
        <f>0</f>
        <v/>
      </c>
      <c r="AZ232" s="9">
        <f>IF(OR(Inputs!$F$6=TRUE,Inputs!$F$6="TRUE",Inputs!$F$6=1),(Inputs!$H$6+Inputs!$L$6*(((Inputs!$I$6+(((A232)+1)/2)*(Inputs!$J$6-Inputs!$I$6)))/Inputs!$K$6)^2),NA())</f>
        <v/>
      </c>
      <c r="BA232" s="9">
        <f>IF(OR(Inputs!$F$7=TRUE,Inputs!$F$7="TRUE",Inputs!$F$7=1),(Inputs!$H$7+Inputs!$L$7*(((Inputs!$I$7+(((A232)+1)/2)*(Inputs!$J$7-Inputs!$I$7)))/Inputs!$K$7)^2),NA())</f>
        <v/>
      </c>
      <c r="BB232" s="9">
        <f>IF(OR(Inputs!$F$8=TRUE,Inputs!$F$8="TRUE",Inputs!$F$8=1),(Inputs!$H$8+Inputs!$L$8*(((Inputs!$I$8+(((A232)+1)/2)*(Inputs!$J$8-Inputs!$I$8)))/Inputs!$K$8)^2),NA())</f>
        <v/>
      </c>
      <c r="BC232" s="9">
        <f>IF(OR(Inputs!$F$9=TRUE,Inputs!$F$9="TRUE",Inputs!$F$9=1),(Inputs!$H$9+Inputs!$L$9*(((Inputs!$I$9+(((A232)+1)/2)*(Inputs!$J$9-Inputs!$I$9)))/Inputs!$K$9)^2),NA())</f>
        <v/>
      </c>
      <c r="BD232" s="10" t="n"/>
      <c r="BE232" s="9">
        <f>A232</f>
        <v/>
      </c>
      <c r="BF232" s="9">
        <f>0</f>
        <v/>
      </c>
      <c r="BG232" s="9">
        <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f>
        <v/>
      </c>
      <c r="BH232" s="9">
        <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f>
        <v/>
      </c>
      <c r="BI232" s="9">
        <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f>
        <v/>
      </c>
      <c r="BJ232" s="9">
        <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f>
        <v/>
      </c>
    </row>
    <row r="233">
      <c r="A233" s="9">
        <f>ROUND(-1+231*2/240,3)</f>
        <v/>
      </c>
      <c r="B233" s="9">
        <f>IF(OR(Inputs!$F$6=TRUE,Inputs!$F$6="TRUE",Inputs!$F$6=1),(Inputs!$H$6+Inputs!$L$6*(((Inputs!$I$6+(((A233)+1)/2)*(Inputs!$J$6-Inputs!$I$6)))/Inputs!$K$6)^2),NA())</f>
        <v/>
      </c>
      <c r="C233" s="9">
        <f>IF(OR(Inputs!$F$7=TRUE,Inputs!$F$7="TRUE",Inputs!$F$7=1),(Inputs!$H$7+Inputs!$L$7*(((Inputs!$I$7+(((A233)+1)/2)*(Inputs!$J$7-Inputs!$I$7)))/Inputs!$K$7)^2),NA())</f>
        <v/>
      </c>
      <c r="D233" s="9">
        <f>IF(OR(Inputs!$F$8=TRUE,Inputs!$F$8="TRUE",Inputs!$F$8=1),(Inputs!$H$8+Inputs!$L$8*(((Inputs!$I$8+(((A233)+1)/2)*(Inputs!$J$8-Inputs!$I$8)))/Inputs!$K$8)^2),NA())</f>
        <v/>
      </c>
      <c r="E233" s="9">
        <f>IF(OR(Inputs!$F$9=TRUE,Inputs!$F$9="TRUE",Inputs!$F$9=1),(Inputs!$H$9+Inputs!$L$9*(((Inputs!$I$9+(((A233)+1)/2)*(Inputs!$J$9-Inputs!$I$9)))/Inputs!$K$9)^2),NA())</f>
        <v/>
      </c>
      <c r="F233" s="10" t="n"/>
      <c r="G233" s="9">
        <f>A233</f>
        <v/>
      </c>
      <c r="H233" s="9">
        <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f>
        <v/>
      </c>
      <c r="I233" s="9">
        <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f>
        <v/>
      </c>
      <c r="J233" s="9">
        <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f>
        <v/>
      </c>
      <c r="K233" s="9">
        <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f>
        <v/>
      </c>
      <c r="L233" s="10" t="n"/>
      <c r="M233" s="9">
        <f>A233</f>
        <v/>
      </c>
      <c r="N233" s="9">
        <f>IF(OR(Inputs!$F$6=TRUE,Inputs!$F$6="TRUE",Inputs!$F$6=1),(-2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NA())</f>
        <v/>
      </c>
      <c r="O233" s="9">
        <f>IF(OR(Inputs!$F$7=TRUE,Inputs!$F$7="TRUE",Inputs!$F$7=1),(-2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NA())</f>
        <v/>
      </c>
      <c r="P233" s="9">
        <f>IF(OR(Inputs!$F$8=TRUE,Inputs!$F$8="TRUE",Inputs!$F$8=1),(-2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NA())</f>
        <v/>
      </c>
      <c r="Q233" s="9">
        <f>IF(OR(Inputs!$F$9=TRUE,Inputs!$F$9="TRUE",Inputs!$F$9=1),(-2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NA())</f>
        <v/>
      </c>
      <c r="R233" s="10" t="n"/>
      <c r="S233" s="9">
        <f>A233</f>
        <v/>
      </c>
      <c r="T233" s="9">
        <f>(Inputs!$I$6+(((A233)+1)/2)*(Inputs!$J$6-Inputs!$I$6))</f>
        <v/>
      </c>
      <c r="U233" s="9">
        <f>(Inputs!$I$7+(((A233)+1)/2)*(Inputs!$J$7-Inputs!$I$7))</f>
        <v/>
      </c>
      <c r="V233" s="9">
        <f>(Inputs!$I$8+(((A233)+1)/2)*(Inputs!$J$8-Inputs!$I$8))</f>
        <v/>
      </c>
      <c r="W233" s="9">
        <f>(Inputs!$I$9+(((A233)+1)/2)*(Inputs!$J$9-Inputs!$I$9))</f>
        <v/>
      </c>
      <c r="X233" s="10" t="n"/>
      <c r="Y233" s="9">
        <f>A233</f>
        <v/>
      </c>
      <c r="Z233" s="9">
        <f>(Inputs!$H$6+Inputs!$L$6*(((Inputs!$I$6+(((A233)+1)/2)*(Inputs!$J$6-Inputs!$I$6)))/Inputs!$K$6)^2)</f>
        <v/>
      </c>
      <c r="AA233" s="9">
        <f>(Inputs!$H$7+Inputs!$L$7*(((Inputs!$I$7+(((A233)+1)/2)*(Inputs!$J$7-Inputs!$I$7)))/Inputs!$K$7)^2)</f>
        <v/>
      </c>
      <c r="AB233" s="9">
        <f>(Inputs!$H$8+Inputs!$L$8*(((Inputs!$I$8+(((A233)+1)/2)*(Inputs!$J$8-Inputs!$I$8)))/Inputs!$K$8)^2)</f>
        <v/>
      </c>
      <c r="AC233" s="9">
        <f>(Inputs!$H$9+Inputs!$L$9*(((Inputs!$I$9+(((A233)+1)/2)*(Inputs!$J$9-Inputs!$I$9)))/Inputs!$K$9)^2)</f>
        <v/>
      </c>
      <c r="AD233" s="10" t="n"/>
      <c r="AE233" s="9">
        <f>A233</f>
        <v/>
      </c>
      <c r="AF233" s="9">
        <f>(((SQRT((Inputs!$C$52+((Inputs!$H$6+Inputs!$L$6*(((Inputs!$I$6+(((A233)+1)/2)*(Inputs!$J$6-Inputs!$I$6)))/Inputs!$K$6)^2)))^2+Inputs!$C$52^2-2*(Inputs!$C$52+((Inputs!$H$6+Inputs!$L$6*(((Inputs!$I$6+(((A233)+1)/2)*(Inputs!$J$6-Inputs!$I$6)))/Inputs!$K$6)^2)))*Inputs!$C$52*COS(SQRT(((Inputs!$I$6+(((A233)+1)/2)*(Inputs!$J$6-Inputs!$I$6)))^2+Inputs!$C$6^2)/Inputs!$C$52)))-((Inputs!$H$6+Inputs!$L$6*(((Inputs!$I$6+(((A233)+1)/2)*(Inputs!$J$6-Inputs!$I$6)))/Inputs!$K$6)^2)))*1000/Inputs!$C$12)</f>
        <v/>
      </c>
      <c r="AG233" s="9">
        <f>(((SQRT((Inputs!$C$52+((Inputs!$H$7+Inputs!$L$7*(((Inputs!$I$7+(((A233)+1)/2)*(Inputs!$J$7-Inputs!$I$7)))/Inputs!$K$7)^2)))^2+Inputs!$C$52^2-2*(Inputs!$C$52+((Inputs!$H$7+Inputs!$L$7*(((Inputs!$I$7+(((A233)+1)/2)*(Inputs!$J$7-Inputs!$I$7)))/Inputs!$K$7)^2)))*Inputs!$C$52*COS(SQRT(((Inputs!$I$7+(((A233)+1)/2)*(Inputs!$J$7-Inputs!$I$7)))^2+Inputs!$C$6^2)/Inputs!$C$52)))-((Inputs!$H$7+Inputs!$L$7*(((Inputs!$I$7+(((A233)+1)/2)*(Inputs!$J$7-Inputs!$I$7)))/Inputs!$K$7)^2)))*1000/Inputs!$C$12)</f>
        <v/>
      </c>
      <c r="AH233" s="9">
        <f>(((SQRT((Inputs!$C$52+((Inputs!$H$8+Inputs!$L$8*(((Inputs!$I$8+(((A233)+1)/2)*(Inputs!$J$8-Inputs!$I$8)))/Inputs!$K$8)^2)))^2+Inputs!$C$52^2-2*(Inputs!$C$52+((Inputs!$H$8+Inputs!$L$8*(((Inputs!$I$8+(((A233)+1)/2)*(Inputs!$J$8-Inputs!$I$8)))/Inputs!$K$8)^2)))*Inputs!$C$52*COS(SQRT(((Inputs!$I$8+(((A233)+1)/2)*(Inputs!$J$8-Inputs!$I$8)))^2+Inputs!$C$6^2)/Inputs!$C$52)))-((Inputs!$H$8+Inputs!$L$8*(((Inputs!$I$8+(((A233)+1)/2)*(Inputs!$J$8-Inputs!$I$8)))/Inputs!$K$8)^2)))*1000/Inputs!$C$12)</f>
        <v/>
      </c>
      <c r="AI233" s="9">
        <f>(((SQRT((Inputs!$C$52+((Inputs!$H$9+Inputs!$L$9*(((Inputs!$I$9+(((A233)+1)/2)*(Inputs!$J$9-Inputs!$I$9)))/Inputs!$K$9)^2)))^2+Inputs!$C$52^2-2*(Inputs!$C$52+((Inputs!$H$9+Inputs!$L$9*(((Inputs!$I$9+(((A233)+1)/2)*(Inputs!$J$9-Inputs!$I$9)))/Inputs!$K$9)^2)))*Inputs!$C$52*COS(SQRT(((Inputs!$I$9+(((A233)+1)/2)*(Inputs!$J$9-Inputs!$I$9)))^2+Inputs!$C$6^2)/Inputs!$C$52)))-((Inputs!$H$9+Inputs!$L$9*(((Inputs!$I$9+(((A233)+1)/2)*(Inputs!$J$9-Inputs!$I$9)))/Inputs!$K$9)^2)))*1000/Inputs!$C$12)</f>
        <v/>
      </c>
      <c r="AJ233" s="10" t="n"/>
      <c r="AK233" s="9">
        <f>A233</f>
        <v/>
      </c>
      <c r="AL233" s="9">
        <f>(-2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f>
        <v/>
      </c>
      <c r="AM233" s="9">
        <f>(-2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f>
        <v/>
      </c>
      <c r="AN233" s="9">
        <f>(-2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f>
        <v/>
      </c>
      <c r="AO233" s="9">
        <f>(-2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f>
        <v/>
      </c>
      <c r="AP233" s="10" t="n"/>
      <c r="AQ233" s="9">
        <f>A233</f>
        <v/>
      </c>
      <c r="AR233" s="9">
        <f>0</f>
        <v/>
      </c>
      <c r="AS233" s="9">
        <f>IF(OR(Inputs!$F$6=TRUE,Inputs!$F$6="TRUE",Inputs!$F$6=1),IF(OR(Inputs!$C$27=TRUE,Inputs!$C$27="TRUE",Inputs!$C$27=1),1,0)*(Inputs!$C$51*(115*EXP(-(((Inputs!$C$6)-25)^2)/(4.5^2))+70*EXP(-(((Inputs!$C$6)+38)^2)/(7^2))*(0.55+0.45*SIN(2*PI()*((Inputs!$I$6+(((A233)+1)/2)*(Inputs!$J$6-Inputs!$I$6)))/45))+24*SIN(2*PI()*(Inputs!$C$6)/9+((Inputs!$I$6+(((A233)+1)/2)*(Inputs!$J$6-Inputs!$I$6)))/18)*EXP(-(((Inputs!$C$6)+5)^2)/(22^2))+18*SIN(2*PI()*((Inputs!$I$6+(((A233)+1)/2)*(Inputs!$J$6-Inputs!$I$6)))/70))+Inputs!$C$28*EXP(-((((Inputs!$I$6+(((A233)+1)/2)*(Inputs!$J$6-Inputs!$I$6)))-Inputs!$C$29)^2)/(2*Inputs!$C$31^2))*EXP(-(((Inputs!$C$6)-Inputs!$C$30)^2)/(2*Inputs!$C$32^2))+-Inputs!$C$33*EXP(-((((((Inputs!$I$6+(((A233)+1)/2)*(Inputs!$J$6-Inputs!$I$6)))-Inputs!$C$34)^2)+(((Inputs!$C$6)-Inputs!$C$35)^2))/(2*Inputs!$C$36^2)))+Inputs!$C$37*(0.55*SIN(2*PI()*((Inputs!$I$6+(((A233)+1)/2)*(Inputs!$J$6-Inputs!$I$6)))/Inputs!$C$39)+0.35*COS(2*PI()*(Inputs!$C$6)/Inputs!$C$40)+0.2*SIN(2*PI()*(((Inputs!$I$6+(((A233)+1)/2)*(Inputs!$J$6-Inputs!$I$6)))+(Inputs!$C$6))/(0.5*(Inputs!$C$39+Inputs!$C$40))))+Inputs!$C$38*SIN(2*PI()*((Inputs!$I$6+(((A233)+1)/2)*(Inputs!$J$6-Inputs!$I$6)))/Inputs!$C$39)*SIN(2*PI()*(Inputs!$C$6)/Inputs!$C$40)+-Inputs!$C$41*EXP(-(((Inputs!$C$6)-Inputs!$C$43)^2)/(2*Inputs!$C$44^2))*EXP(-((((Inputs!$I$6+(((A233)+1)/2)*(Inputs!$J$6-Inputs!$I$6)))-Inputs!$C$42)^2)/(2*Inputs!$C$45^2))+Inputs!$C$48*(0.7*(0.45*SIN(2*PI()*((((Inputs!$I$6+(((A233)+1)/2)*(Inputs!$J$6-Inputs!$I$6)))/Inputs!$C$49)+Inputs!$C$47*0.137))+0.35*COS(2*PI()*(((Inputs!$C$6)/Inputs!$C$50)+Inputs!$C$47*0.173))+0.2*SIN(2*PI()*((((Inputs!$I$6+(((A233)+1)/2)*(Inputs!$J$6-Inputs!$I$6)))+(Inputs!$C$6))/(0.5*(Inputs!$C$49+Inputs!$C$50))+Inputs!$C$47*0.097)))+0.3*(2*((SIN((((Inputs!$I$6+(((A233)+1)/2)*(Inputs!$J$6-Inputs!$I$6)))*12.9898+(Inputs!$C$6)*78.233+Inputs!$C$47*37.719))*43758.5453)-INT((SIN((((Inputs!$I$6+(((A233)+1)/2)*(Inputs!$J$6-Inputs!$I$6)))*12.9898+(Inputs!$C$6)*78.233+Inputs!$C$47*37.719))*43758.5453)))-1))),NA())</f>
        <v/>
      </c>
      <c r="AT233" s="9">
        <f>IF(OR(Inputs!$F$7=TRUE,Inputs!$F$7="TRUE",Inputs!$F$7=1),IF(OR(Inputs!$C$27=TRUE,Inputs!$C$27="TRUE",Inputs!$C$27=1),1,0)*(Inputs!$C$51*(115*EXP(-(((Inputs!$C$6)-25)^2)/(4.5^2))+70*EXP(-(((Inputs!$C$6)+38)^2)/(7^2))*(0.55+0.45*SIN(2*PI()*((Inputs!$I$7+(((A233)+1)/2)*(Inputs!$J$7-Inputs!$I$7)))/45))+24*SIN(2*PI()*(Inputs!$C$6)/9+((Inputs!$I$7+(((A233)+1)/2)*(Inputs!$J$7-Inputs!$I$7)))/18)*EXP(-(((Inputs!$C$6)+5)^2)/(22^2))+18*SIN(2*PI()*((Inputs!$I$7+(((A233)+1)/2)*(Inputs!$J$7-Inputs!$I$7)))/70))+Inputs!$C$28*EXP(-((((Inputs!$I$7+(((A233)+1)/2)*(Inputs!$J$7-Inputs!$I$7)))-Inputs!$C$29)^2)/(2*Inputs!$C$31^2))*EXP(-(((Inputs!$C$6)-Inputs!$C$30)^2)/(2*Inputs!$C$32^2))+-Inputs!$C$33*EXP(-((((((Inputs!$I$7+(((A233)+1)/2)*(Inputs!$J$7-Inputs!$I$7)))-Inputs!$C$34)^2)+(((Inputs!$C$6)-Inputs!$C$35)^2))/(2*Inputs!$C$36^2)))+Inputs!$C$37*(0.55*SIN(2*PI()*((Inputs!$I$7+(((A233)+1)/2)*(Inputs!$J$7-Inputs!$I$7)))/Inputs!$C$39)+0.35*COS(2*PI()*(Inputs!$C$6)/Inputs!$C$40)+0.2*SIN(2*PI()*(((Inputs!$I$7+(((A233)+1)/2)*(Inputs!$J$7-Inputs!$I$7)))+(Inputs!$C$6))/(0.5*(Inputs!$C$39+Inputs!$C$40))))+Inputs!$C$38*SIN(2*PI()*((Inputs!$I$7+(((A233)+1)/2)*(Inputs!$J$7-Inputs!$I$7)))/Inputs!$C$39)*SIN(2*PI()*(Inputs!$C$6)/Inputs!$C$40)+-Inputs!$C$41*EXP(-(((Inputs!$C$6)-Inputs!$C$43)^2)/(2*Inputs!$C$44^2))*EXP(-((((Inputs!$I$7+(((A233)+1)/2)*(Inputs!$J$7-Inputs!$I$7)))-Inputs!$C$42)^2)/(2*Inputs!$C$45^2))+Inputs!$C$48*(0.7*(0.45*SIN(2*PI()*((((Inputs!$I$7+(((A233)+1)/2)*(Inputs!$J$7-Inputs!$I$7)))/Inputs!$C$49)+Inputs!$C$47*0.137))+0.35*COS(2*PI()*(((Inputs!$C$6)/Inputs!$C$50)+Inputs!$C$47*0.173))+0.2*SIN(2*PI()*((((Inputs!$I$7+(((A233)+1)/2)*(Inputs!$J$7-Inputs!$I$7)))+(Inputs!$C$6))/(0.5*(Inputs!$C$49+Inputs!$C$50))+Inputs!$C$47*0.097)))+0.3*(2*((SIN((((Inputs!$I$7+(((A233)+1)/2)*(Inputs!$J$7-Inputs!$I$7)))*12.9898+(Inputs!$C$6)*78.233+Inputs!$C$47*37.719))*43758.5453)-INT((SIN((((Inputs!$I$7+(((A233)+1)/2)*(Inputs!$J$7-Inputs!$I$7)))*12.9898+(Inputs!$C$6)*78.233+Inputs!$C$47*37.719))*43758.5453)))-1))),NA())</f>
        <v/>
      </c>
      <c r="AU233" s="9">
        <f>IF(OR(Inputs!$F$8=TRUE,Inputs!$F$8="TRUE",Inputs!$F$8=1),IF(OR(Inputs!$C$27=TRUE,Inputs!$C$27="TRUE",Inputs!$C$27=1),1,0)*(Inputs!$C$51*(115*EXP(-(((Inputs!$C$6)-25)^2)/(4.5^2))+70*EXP(-(((Inputs!$C$6)+38)^2)/(7^2))*(0.55+0.45*SIN(2*PI()*((Inputs!$I$8+(((A233)+1)/2)*(Inputs!$J$8-Inputs!$I$8)))/45))+24*SIN(2*PI()*(Inputs!$C$6)/9+((Inputs!$I$8+(((A233)+1)/2)*(Inputs!$J$8-Inputs!$I$8)))/18)*EXP(-(((Inputs!$C$6)+5)^2)/(22^2))+18*SIN(2*PI()*((Inputs!$I$8+(((A233)+1)/2)*(Inputs!$J$8-Inputs!$I$8)))/70))+Inputs!$C$28*EXP(-((((Inputs!$I$8+(((A233)+1)/2)*(Inputs!$J$8-Inputs!$I$8)))-Inputs!$C$29)^2)/(2*Inputs!$C$31^2))*EXP(-(((Inputs!$C$6)-Inputs!$C$30)^2)/(2*Inputs!$C$32^2))+-Inputs!$C$33*EXP(-((((((Inputs!$I$8+(((A233)+1)/2)*(Inputs!$J$8-Inputs!$I$8)))-Inputs!$C$34)^2)+(((Inputs!$C$6)-Inputs!$C$35)^2))/(2*Inputs!$C$36^2)))+Inputs!$C$37*(0.55*SIN(2*PI()*((Inputs!$I$8+(((A233)+1)/2)*(Inputs!$J$8-Inputs!$I$8)))/Inputs!$C$39)+0.35*COS(2*PI()*(Inputs!$C$6)/Inputs!$C$40)+0.2*SIN(2*PI()*(((Inputs!$I$8+(((A233)+1)/2)*(Inputs!$J$8-Inputs!$I$8)))+(Inputs!$C$6))/(0.5*(Inputs!$C$39+Inputs!$C$40))))+Inputs!$C$38*SIN(2*PI()*((Inputs!$I$8+(((A233)+1)/2)*(Inputs!$J$8-Inputs!$I$8)))/Inputs!$C$39)*SIN(2*PI()*(Inputs!$C$6)/Inputs!$C$40)+-Inputs!$C$41*EXP(-(((Inputs!$C$6)-Inputs!$C$43)^2)/(2*Inputs!$C$44^2))*EXP(-((((Inputs!$I$8+(((A233)+1)/2)*(Inputs!$J$8-Inputs!$I$8)))-Inputs!$C$42)^2)/(2*Inputs!$C$45^2))+Inputs!$C$48*(0.7*(0.45*SIN(2*PI()*((((Inputs!$I$8+(((A233)+1)/2)*(Inputs!$J$8-Inputs!$I$8)))/Inputs!$C$49)+Inputs!$C$47*0.137))+0.35*COS(2*PI()*(((Inputs!$C$6)/Inputs!$C$50)+Inputs!$C$47*0.173))+0.2*SIN(2*PI()*((((Inputs!$I$8+(((A233)+1)/2)*(Inputs!$J$8-Inputs!$I$8)))+(Inputs!$C$6))/(0.5*(Inputs!$C$49+Inputs!$C$50))+Inputs!$C$47*0.097)))+0.3*(2*((SIN((((Inputs!$I$8+(((A233)+1)/2)*(Inputs!$J$8-Inputs!$I$8)))*12.9898+(Inputs!$C$6)*78.233+Inputs!$C$47*37.719))*43758.5453)-INT((SIN((((Inputs!$I$8+(((A233)+1)/2)*(Inputs!$J$8-Inputs!$I$8)))*12.9898+(Inputs!$C$6)*78.233+Inputs!$C$47*37.719))*43758.5453)))-1))),NA())</f>
        <v/>
      </c>
      <c r="AV233" s="9">
        <f>IF(OR(Inputs!$F$9=TRUE,Inputs!$F$9="TRUE",Inputs!$F$9=1),IF(OR(Inputs!$C$27=TRUE,Inputs!$C$27="TRUE",Inputs!$C$27=1),1,0)*(Inputs!$C$51*(115*EXP(-(((Inputs!$C$6)-25)^2)/(4.5^2))+70*EXP(-(((Inputs!$C$6)+38)^2)/(7^2))*(0.55+0.45*SIN(2*PI()*((Inputs!$I$9+(((A233)+1)/2)*(Inputs!$J$9-Inputs!$I$9)))/45))+24*SIN(2*PI()*(Inputs!$C$6)/9+((Inputs!$I$9+(((A233)+1)/2)*(Inputs!$J$9-Inputs!$I$9)))/18)*EXP(-(((Inputs!$C$6)+5)^2)/(22^2))+18*SIN(2*PI()*((Inputs!$I$9+(((A233)+1)/2)*(Inputs!$J$9-Inputs!$I$9)))/70))+Inputs!$C$28*EXP(-((((Inputs!$I$9+(((A233)+1)/2)*(Inputs!$J$9-Inputs!$I$9)))-Inputs!$C$29)^2)/(2*Inputs!$C$31^2))*EXP(-(((Inputs!$C$6)-Inputs!$C$30)^2)/(2*Inputs!$C$32^2))+-Inputs!$C$33*EXP(-((((((Inputs!$I$9+(((A233)+1)/2)*(Inputs!$J$9-Inputs!$I$9)))-Inputs!$C$34)^2)+(((Inputs!$C$6)-Inputs!$C$35)^2))/(2*Inputs!$C$36^2)))+Inputs!$C$37*(0.55*SIN(2*PI()*((Inputs!$I$9+(((A233)+1)/2)*(Inputs!$J$9-Inputs!$I$9)))/Inputs!$C$39)+0.35*COS(2*PI()*(Inputs!$C$6)/Inputs!$C$40)+0.2*SIN(2*PI()*(((Inputs!$I$9+(((A233)+1)/2)*(Inputs!$J$9-Inputs!$I$9)))+(Inputs!$C$6))/(0.5*(Inputs!$C$39+Inputs!$C$40))))+Inputs!$C$38*SIN(2*PI()*((Inputs!$I$9+(((A233)+1)/2)*(Inputs!$J$9-Inputs!$I$9)))/Inputs!$C$39)*SIN(2*PI()*(Inputs!$C$6)/Inputs!$C$40)+-Inputs!$C$41*EXP(-(((Inputs!$C$6)-Inputs!$C$43)^2)/(2*Inputs!$C$44^2))*EXP(-((((Inputs!$I$9+(((A233)+1)/2)*(Inputs!$J$9-Inputs!$I$9)))-Inputs!$C$42)^2)/(2*Inputs!$C$45^2))+Inputs!$C$48*(0.7*(0.45*SIN(2*PI()*((((Inputs!$I$9+(((A233)+1)/2)*(Inputs!$J$9-Inputs!$I$9)))/Inputs!$C$49)+Inputs!$C$47*0.137))+0.35*COS(2*PI()*(((Inputs!$C$6)/Inputs!$C$50)+Inputs!$C$47*0.173))+0.2*SIN(2*PI()*((((Inputs!$I$9+(((A233)+1)/2)*(Inputs!$J$9-Inputs!$I$9)))+(Inputs!$C$6))/(0.5*(Inputs!$C$49+Inputs!$C$50))+Inputs!$C$47*0.097)))+0.3*(2*((SIN((((Inputs!$I$9+(((A233)+1)/2)*(Inputs!$J$9-Inputs!$I$9)))*12.9898+(Inputs!$C$6)*78.233+Inputs!$C$47*37.719))*43758.5453)-INT((SIN((((Inputs!$I$9+(((A233)+1)/2)*(Inputs!$J$9-Inputs!$I$9)))*12.9898+(Inputs!$C$6)*78.233+Inputs!$C$47*37.719))*43758.5453)))-1))),NA())</f>
        <v/>
      </c>
      <c r="AW233" s="10" t="n"/>
      <c r="AX233" s="9">
        <f>A233</f>
        <v/>
      </c>
      <c r="AY233" s="9">
        <f>0</f>
        <v/>
      </c>
      <c r="AZ233" s="9">
        <f>IF(OR(Inputs!$F$6=TRUE,Inputs!$F$6="TRUE",Inputs!$F$6=1),(Inputs!$H$6+Inputs!$L$6*(((Inputs!$I$6+(((A233)+1)/2)*(Inputs!$J$6-Inputs!$I$6)))/Inputs!$K$6)^2),NA())</f>
        <v/>
      </c>
      <c r="BA233" s="9">
        <f>IF(OR(Inputs!$F$7=TRUE,Inputs!$F$7="TRUE",Inputs!$F$7=1),(Inputs!$H$7+Inputs!$L$7*(((Inputs!$I$7+(((A233)+1)/2)*(Inputs!$J$7-Inputs!$I$7)))/Inputs!$K$7)^2),NA())</f>
        <v/>
      </c>
      <c r="BB233" s="9">
        <f>IF(OR(Inputs!$F$8=TRUE,Inputs!$F$8="TRUE",Inputs!$F$8=1),(Inputs!$H$8+Inputs!$L$8*(((Inputs!$I$8+(((A233)+1)/2)*(Inputs!$J$8-Inputs!$I$8)))/Inputs!$K$8)^2),NA())</f>
        <v/>
      </c>
      <c r="BC233" s="9">
        <f>IF(OR(Inputs!$F$9=TRUE,Inputs!$F$9="TRUE",Inputs!$F$9=1),(Inputs!$H$9+Inputs!$L$9*(((Inputs!$I$9+(((A233)+1)/2)*(Inputs!$J$9-Inputs!$I$9)))/Inputs!$K$9)^2),NA())</f>
        <v/>
      </c>
      <c r="BD233" s="10" t="n"/>
      <c r="BE233" s="9">
        <f>A233</f>
        <v/>
      </c>
      <c r="BF233" s="9">
        <f>0</f>
        <v/>
      </c>
      <c r="BG233" s="9">
        <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f>
        <v/>
      </c>
      <c r="BH233" s="9">
        <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f>
        <v/>
      </c>
      <c r="BI233" s="9">
        <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f>
        <v/>
      </c>
      <c r="BJ233" s="9">
        <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f>
        <v/>
      </c>
    </row>
    <row r="234">
      <c r="A234" s="9">
        <f>ROUND(-1+232*2/240,3)</f>
        <v/>
      </c>
      <c r="B234" s="9">
        <f>IF(OR(Inputs!$F$6=TRUE,Inputs!$F$6="TRUE",Inputs!$F$6=1),(Inputs!$H$6+Inputs!$L$6*(((Inputs!$I$6+(((A234)+1)/2)*(Inputs!$J$6-Inputs!$I$6)))/Inputs!$K$6)^2),NA())</f>
        <v/>
      </c>
      <c r="C234" s="9">
        <f>IF(OR(Inputs!$F$7=TRUE,Inputs!$F$7="TRUE",Inputs!$F$7=1),(Inputs!$H$7+Inputs!$L$7*(((Inputs!$I$7+(((A234)+1)/2)*(Inputs!$J$7-Inputs!$I$7)))/Inputs!$K$7)^2),NA())</f>
        <v/>
      </c>
      <c r="D234" s="9">
        <f>IF(OR(Inputs!$F$8=TRUE,Inputs!$F$8="TRUE",Inputs!$F$8=1),(Inputs!$H$8+Inputs!$L$8*(((Inputs!$I$8+(((A234)+1)/2)*(Inputs!$J$8-Inputs!$I$8)))/Inputs!$K$8)^2),NA())</f>
        <v/>
      </c>
      <c r="E234" s="9">
        <f>IF(OR(Inputs!$F$9=TRUE,Inputs!$F$9="TRUE",Inputs!$F$9=1),(Inputs!$H$9+Inputs!$L$9*(((Inputs!$I$9+(((A234)+1)/2)*(Inputs!$J$9-Inputs!$I$9)))/Inputs!$K$9)^2),NA())</f>
        <v/>
      </c>
      <c r="F234" s="10" t="n"/>
      <c r="G234" s="9">
        <f>A234</f>
        <v/>
      </c>
      <c r="H234" s="9">
        <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f>
        <v/>
      </c>
      <c r="I234" s="9">
        <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f>
        <v/>
      </c>
      <c r="J234" s="9">
        <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f>
        <v/>
      </c>
      <c r="K234" s="9">
        <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f>
        <v/>
      </c>
      <c r="L234" s="10" t="n"/>
      <c r="M234" s="9">
        <f>A234</f>
        <v/>
      </c>
      <c r="N234" s="9">
        <f>IF(OR(Inputs!$F$6=TRUE,Inputs!$F$6="TRUE",Inputs!$F$6=1),(-2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NA())</f>
        <v/>
      </c>
      <c r="O234" s="9">
        <f>IF(OR(Inputs!$F$7=TRUE,Inputs!$F$7="TRUE",Inputs!$F$7=1),(-2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NA())</f>
        <v/>
      </c>
      <c r="P234" s="9">
        <f>IF(OR(Inputs!$F$8=TRUE,Inputs!$F$8="TRUE",Inputs!$F$8=1),(-2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NA())</f>
        <v/>
      </c>
      <c r="Q234" s="9">
        <f>IF(OR(Inputs!$F$9=TRUE,Inputs!$F$9="TRUE",Inputs!$F$9=1),(-2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NA())</f>
        <v/>
      </c>
      <c r="R234" s="10" t="n"/>
      <c r="S234" s="9">
        <f>A234</f>
        <v/>
      </c>
      <c r="T234" s="9">
        <f>(Inputs!$I$6+(((A234)+1)/2)*(Inputs!$J$6-Inputs!$I$6))</f>
        <v/>
      </c>
      <c r="U234" s="9">
        <f>(Inputs!$I$7+(((A234)+1)/2)*(Inputs!$J$7-Inputs!$I$7))</f>
        <v/>
      </c>
      <c r="V234" s="9">
        <f>(Inputs!$I$8+(((A234)+1)/2)*(Inputs!$J$8-Inputs!$I$8))</f>
        <v/>
      </c>
      <c r="W234" s="9">
        <f>(Inputs!$I$9+(((A234)+1)/2)*(Inputs!$J$9-Inputs!$I$9))</f>
        <v/>
      </c>
      <c r="X234" s="10" t="n"/>
      <c r="Y234" s="9">
        <f>A234</f>
        <v/>
      </c>
      <c r="Z234" s="9">
        <f>(Inputs!$H$6+Inputs!$L$6*(((Inputs!$I$6+(((A234)+1)/2)*(Inputs!$J$6-Inputs!$I$6)))/Inputs!$K$6)^2)</f>
        <v/>
      </c>
      <c r="AA234" s="9">
        <f>(Inputs!$H$7+Inputs!$L$7*(((Inputs!$I$7+(((A234)+1)/2)*(Inputs!$J$7-Inputs!$I$7)))/Inputs!$K$7)^2)</f>
        <v/>
      </c>
      <c r="AB234" s="9">
        <f>(Inputs!$H$8+Inputs!$L$8*(((Inputs!$I$8+(((A234)+1)/2)*(Inputs!$J$8-Inputs!$I$8)))/Inputs!$K$8)^2)</f>
        <v/>
      </c>
      <c r="AC234" s="9">
        <f>(Inputs!$H$9+Inputs!$L$9*(((Inputs!$I$9+(((A234)+1)/2)*(Inputs!$J$9-Inputs!$I$9)))/Inputs!$K$9)^2)</f>
        <v/>
      </c>
      <c r="AD234" s="10" t="n"/>
      <c r="AE234" s="9">
        <f>A234</f>
        <v/>
      </c>
      <c r="AF234" s="9">
        <f>(((SQRT((Inputs!$C$52+((Inputs!$H$6+Inputs!$L$6*(((Inputs!$I$6+(((A234)+1)/2)*(Inputs!$J$6-Inputs!$I$6)))/Inputs!$K$6)^2)))^2+Inputs!$C$52^2-2*(Inputs!$C$52+((Inputs!$H$6+Inputs!$L$6*(((Inputs!$I$6+(((A234)+1)/2)*(Inputs!$J$6-Inputs!$I$6)))/Inputs!$K$6)^2)))*Inputs!$C$52*COS(SQRT(((Inputs!$I$6+(((A234)+1)/2)*(Inputs!$J$6-Inputs!$I$6)))^2+Inputs!$C$6^2)/Inputs!$C$52)))-((Inputs!$H$6+Inputs!$L$6*(((Inputs!$I$6+(((A234)+1)/2)*(Inputs!$J$6-Inputs!$I$6)))/Inputs!$K$6)^2)))*1000/Inputs!$C$12)</f>
        <v/>
      </c>
      <c r="AG234" s="9">
        <f>(((SQRT((Inputs!$C$52+((Inputs!$H$7+Inputs!$L$7*(((Inputs!$I$7+(((A234)+1)/2)*(Inputs!$J$7-Inputs!$I$7)))/Inputs!$K$7)^2)))^2+Inputs!$C$52^2-2*(Inputs!$C$52+((Inputs!$H$7+Inputs!$L$7*(((Inputs!$I$7+(((A234)+1)/2)*(Inputs!$J$7-Inputs!$I$7)))/Inputs!$K$7)^2)))*Inputs!$C$52*COS(SQRT(((Inputs!$I$7+(((A234)+1)/2)*(Inputs!$J$7-Inputs!$I$7)))^2+Inputs!$C$6^2)/Inputs!$C$52)))-((Inputs!$H$7+Inputs!$L$7*(((Inputs!$I$7+(((A234)+1)/2)*(Inputs!$J$7-Inputs!$I$7)))/Inputs!$K$7)^2)))*1000/Inputs!$C$12)</f>
        <v/>
      </c>
      <c r="AH234" s="9">
        <f>(((SQRT((Inputs!$C$52+((Inputs!$H$8+Inputs!$L$8*(((Inputs!$I$8+(((A234)+1)/2)*(Inputs!$J$8-Inputs!$I$8)))/Inputs!$K$8)^2)))^2+Inputs!$C$52^2-2*(Inputs!$C$52+((Inputs!$H$8+Inputs!$L$8*(((Inputs!$I$8+(((A234)+1)/2)*(Inputs!$J$8-Inputs!$I$8)))/Inputs!$K$8)^2)))*Inputs!$C$52*COS(SQRT(((Inputs!$I$8+(((A234)+1)/2)*(Inputs!$J$8-Inputs!$I$8)))^2+Inputs!$C$6^2)/Inputs!$C$52)))-((Inputs!$H$8+Inputs!$L$8*(((Inputs!$I$8+(((A234)+1)/2)*(Inputs!$J$8-Inputs!$I$8)))/Inputs!$K$8)^2)))*1000/Inputs!$C$12)</f>
        <v/>
      </c>
      <c r="AI234" s="9">
        <f>(((SQRT((Inputs!$C$52+((Inputs!$H$9+Inputs!$L$9*(((Inputs!$I$9+(((A234)+1)/2)*(Inputs!$J$9-Inputs!$I$9)))/Inputs!$K$9)^2)))^2+Inputs!$C$52^2-2*(Inputs!$C$52+((Inputs!$H$9+Inputs!$L$9*(((Inputs!$I$9+(((A234)+1)/2)*(Inputs!$J$9-Inputs!$I$9)))/Inputs!$K$9)^2)))*Inputs!$C$52*COS(SQRT(((Inputs!$I$9+(((A234)+1)/2)*(Inputs!$J$9-Inputs!$I$9)))^2+Inputs!$C$6^2)/Inputs!$C$52)))-((Inputs!$H$9+Inputs!$L$9*(((Inputs!$I$9+(((A234)+1)/2)*(Inputs!$J$9-Inputs!$I$9)))/Inputs!$K$9)^2)))*1000/Inputs!$C$12)</f>
        <v/>
      </c>
      <c r="AJ234" s="10" t="n"/>
      <c r="AK234" s="9">
        <f>A234</f>
        <v/>
      </c>
      <c r="AL234" s="9">
        <f>(-2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f>
        <v/>
      </c>
      <c r="AM234" s="9">
        <f>(-2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f>
        <v/>
      </c>
      <c r="AN234" s="9">
        <f>(-2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f>
        <v/>
      </c>
      <c r="AO234" s="9">
        <f>(-2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f>
        <v/>
      </c>
      <c r="AP234" s="10" t="n"/>
      <c r="AQ234" s="9">
        <f>A234</f>
        <v/>
      </c>
      <c r="AR234" s="9">
        <f>0</f>
        <v/>
      </c>
      <c r="AS234" s="9">
        <f>IF(OR(Inputs!$F$6=TRUE,Inputs!$F$6="TRUE",Inputs!$F$6=1),IF(OR(Inputs!$C$27=TRUE,Inputs!$C$27="TRUE",Inputs!$C$27=1),1,0)*(Inputs!$C$51*(115*EXP(-(((Inputs!$C$6)-25)^2)/(4.5^2))+70*EXP(-(((Inputs!$C$6)+38)^2)/(7^2))*(0.55+0.45*SIN(2*PI()*((Inputs!$I$6+(((A234)+1)/2)*(Inputs!$J$6-Inputs!$I$6)))/45))+24*SIN(2*PI()*(Inputs!$C$6)/9+((Inputs!$I$6+(((A234)+1)/2)*(Inputs!$J$6-Inputs!$I$6)))/18)*EXP(-(((Inputs!$C$6)+5)^2)/(22^2))+18*SIN(2*PI()*((Inputs!$I$6+(((A234)+1)/2)*(Inputs!$J$6-Inputs!$I$6)))/70))+Inputs!$C$28*EXP(-((((Inputs!$I$6+(((A234)+1)/2)*(Inputs!$J$6-Inputs!$I$6)))-Inputs!$C$29)^2)/(2*Inputs!$C$31^2))*EXP(-(((Inputs!$C$6)-Inputs!$C$30)^2)/(2*Inputs!$C$32^2))+-Inputs!$C$33*EXP(-((((((Inputs!$I$6+(((A234)+1)/2)*(Inputs!$J$6-Inputs!$I$6)))-Inputs!$C$34)^2)+(((Inputs!$C$6)-Inputs!$C$35)^2))/(2*Inputs!$C$36^2)))+Inputs!$C$37*(0.55*SIN(2*PI()*((Inputs!$I$6+(((A234)+1)/2)*(Inputs!$J$6-Inputs!$I$6)))/Inputs!$C$39)+0.35*COS(2*PI()*(Inputs!$C$6)/Inputs!$C$40)+0.2*SIN(2*PI()*(((Inputs!$I$6+(((A234)+1)/2)*(Inputs!$J$6-Inputs!$I$6)))+(Inputs!$C$6))/(0.5*(Inputs!$C$39+Inputs!$C$40))))+Inputs!$C$38*SIN(2*PI()*((Inputs!$I$6+(((A234)+1)/2)*(Inputs!$J$6-Inputs!$I$6)))/Inputs!$C$39)*SIN(2*PI()*(Inputs!$C$6)/Inputs!$C$40)+-Inputs!$C$41*EXP(-(((Inputs!$C$6)-Inputs!$C$43)^2)/(2*Inputs!$C$44^2))*EXP(-((((Inputs!$I$6+(((A234)+1)/2)*(Inputs!$J$6-Inputs!$I$6)))-Inputs!$C$42)^2)/(2*Inputs!$C$45^2))+Inputs!$C$48*(0.7*(0.45*SIN(2*PI()*((((Inputs!$I$6+(((A234)+1)/2)*(Inputs!$J$6-Inputs!$I$6)))/Inputs!$C$49)+Inputs!$C$47*0.137))+0.35*COS(2*PI()*(((Inputs!$C$6)/Inputs!$C$50)+Inputs!$C$47*0.173))+0.2*SIN(2*PI()*((((Inputs!$I$6+(((A234)+1)/2)*(Inputs!$J$6-Inputs!$I$6)))+(Inputs!$C$6))/(0.5*(Inputs!$C$49+Inputs!$C$50))+Inputs!$C$47*0.097)))+0.3*(2*((SIN((((Inputs!$I$6+(((A234)+1)/2)*(Inputs!$J$6-Inputs!$I$6)))*12.9898+(Inputs!$C$6)*78.233+Inputs!$C$47*37.719))*43758.5453)-INT((SIN((((Inputs!$I$6+(((A234)+1)/2)*(Inputs!$J$6-Inputs!$I$6)))*12.9898+(Inputs!$C$6)*78.233+Inputs!$C$47*37.719))*43758.5453)))-1))),NA())</f>
        <v/>
      </c>
      <c r="AT234" s="9">
        <f>IF(OR(Inputs!$F$7=TRUE,Inputs!$F$7="TRUE",Inputs!$F$7=1),IF(OR(Inputs!$C$27=TRUE,Inputs!$C$27="TRUE",Inputs!$C$27=1),1,0)*(Inputs!$C$51*(115*EXP(-(((Inputs!$C$6)-25)^2)/(4.5^2))+70*EXP(-(((Inputs!$C$6)+38)^2)/(7^2))*(0.55+0.45*SIN(2*PI()*((Inputs!$I$7+(((A234)+1)/2)*(Inputs!$J$7-Inputs!$I$7)))/45))+24*SIN(2*PI()*(Inputs!$C$6)/9+((Inputs!$I$7+(((A234)+1)/2)*(Inputs!$J$7-Inputs!$I$7)))/18)*EXP(-(((Inputs!$C$6)+5)^2)/(22^2))+18*SIN(2*PI()*((Inputs!$I$7+(((A234)+1)/2)*(Inputs!$J$7-Inputs!$I$7)))/70))+Inputs!$C$28*EXP(-((((Inputs!$I$7+(((A234)+1)/2)*(Inputs!$J$7-Inputs!$I$7)))-Inputs!$C$29)^2)/(2*Inputs!$C$31^2))*EXP(-(((Inputs!$C$6)-Inputs!$C$30)^2)/(2*Inputs!$C$32^2))+-Inputs!$C$33*EXP(-((((((Inputs!$I$7+(((A234)+1)/2)*(Inputs!$J$7-Inputs!$I$7)))-Inputs!$C$34)^2)+(((Inputs!$C$6)-Inputs!$C$35)^2))/(2*Inputs!$C$36^2)))+Inputs!$C$37*(0.55*SIN(2*PI()*((Inputs!$I$7+(((A234)+1)/2)*(Inputs!$J$7-Inputs!$I$7)))/Inputs!$C$39)+0.35*COS(2*PI()*(Inputs!$C$6)/Inputs!$C$40)+0.2*SIN(2*PI()*(((Inputs!$I$7+(((A234)+1)/2)*(Inputs!$J$7-Inputs!$I$7)))+(Inputs!$C$6))/(0.5*(Inputs!$C$39+Inputs!$C$40))))+Inputs!$C$38*SIN(2*PI()*((Inputs!$I$7+(((A234)+1)/2)*(Inputs!$J$7-Inputs!$I$7)))/Inputs!$C$39)*SIN(2*PI()*(Inputs!$C$6)/Inputs!$C$40)+-Inputs!$C$41*EXP(-(((Inputs!$C$6)-Inputs!$C$43)^2)/(2*Inputs!$C$44^2))*EXP(-((((Inputs!$I$7+(((A234)+1)/2)*(Inputs!$J$7-Inputs!$I$7)))-Inputs!$C$42)^2)/(2*Inputs!$C$45^2))+Inputs!$C$48*(0.7*(0.45*SIN(2*PI()*((((Inputs!$I$7+(((A234)+1)/2)*(Inputs!$J$7-Inputs!$I$7)))/Inputs!$C$49)+Inputs!$C$47*0.137))+0.35*COS(2*PI()*(((Inputs!$C$6)/Inputs!$C$50)+Inputs!$C$47*0.173))+0.2*SIN(2*PI()*((((Inputs!$I$7+(((A234)+1)/2)*(Inputs!$J$7-Inputs!$I$7)))+(Inputs!$C$6))/(0.5*(Inputs!$C$49+Inputs!$C$50))+Inputs!$C$47*0.097)))+0.3*(2*((SIN((((Inputs!$I$7+(((A234)+1)/2)*(Inputs!$J$7-Inputs!$I$7)))*12.9898+(Inputs!$C$6)*78.233+Inputs!$C$47*37.719))*43758.5453)-INT((SIN((((Inputs!$I$7+(((A234)+1)/2)*(Inputs!$J$7-Inputs!$I$7)))*12.9898+(Inputs!$C$6)*78.233+Inputs!$C$47*37.719))*43758.5453)))-1))),NA())</f>
        <v/>
      </c>
      <c r="AU234" s="9">
        <f>IF(OR(Inputs!$F$8=TRUE,Inputs!$F$8="TRUE",Inputs!$F$8=1),IF(OR(Inputs!$C$27=TRUE,Inputs!$C$27="TRUE",Inputs!$C$27=1),1,0)*(Inputs!$C$51*(115*EXP(-(((Inputs!$C$6)-25)^2)/(4.5^2))+70*EXP(-(((Inputs!$C$6)+38)^2)/(7^2))*(0.55+0.45*SIN(2*PI()*((Inputs!$I$8+(((A234)+1)/2)*(Inputs!$J$8-Inputs!$I$8)))/45))+24*SIN(2*PI()*(Inputs!$C$6)/9+((Inputs!$I$8+(((A234)+1)/2)*(Inputs!$J$8-Inputs!$I$8)))/18)*EXP(-(((Inputs!$C$6)+5)^2)/(22^2))+18*SIN(2*PI()*((Inputs!$I$8+(((A234)+1)/2)*(Inputs!$J$8-Inputs!$I$8)))/70))+Inputs!$C$28*EXP(-((((Inputs!$I$8+(((A234)+1)/2)*(Inputs!$J$8-Inputs!$I$8)))-Inputs!$C$29)^2)/(2*Inputs!$C$31^2))*EXP(-(((Inputs!$C$6)-Inputs!$C$30)^2)/(2*Inputs!$C$32^2))+-Inputs!$C$33*EXP(-((((((Inputs!$I$8+(((A234)+1)/2)*(Inputs!$J$8-Inputs!$I$8)))-Inputs!$C$34)^2)+(((Inputs!$C$6)-Inputs!$C$35)^2))/(2*Inputs!$C$36^2)))+Inputs!$C$37*(0.55*SIN(2*PI()*((Inputs!$I$8+(((A234)+1)/2)*(Inputs!$J$8-Inputs!$I$8)))/Inputs!$C$39)+0.35*COS(2*PI()*(Inputs!$C$6)/Inputs!$C$40)+0.2*SIN(2*PI()*(((Inputs!$I$8+(((A234)+1)/2)*(Inputs!$J$8-Inputs!$I$8)))+(Inputs!$C$6))/(0.5*(Inputs!$C$39+Inputs!$C$40))))+Inputs!$C$38*SIN(2*PI()*((Inputs!$I$8+(((A234)+1)/2)*(Inputs!$J$8-Inputs!$I$8)))/Inputs!$C$39)*SIN(2*PI()*(Inputs!$C$6)/Inputs!$C$40)+-Inputs!$C$41*EXP(-(((Inputs!$C$6)-Inputs!$C$43)^2)/(2*Inputs!$C$44^2))*EXP(-((((Inputs!$I$8+(((A234)+1)/2)*(Inputs!$J$8-Inputs!$I$8)))-Inputs!$C$42)^2)/(2*Inputs!$C$45^2))+Inputs!$C$48*(0.7*(0.45*SIN(2*PI()*((((Inputs!$I$8+(((A234)+1)/2)*(Inputs!$J$8-Inputs!$I$8)))/Inputs!$C$49)+Inputs!$C$47*0.137))+0.35*COS(2*PI()*(((Inputs!$C$6)/Inputs!$C$50)+Inputs!$C$47*0.173))+0.2*SIN(2*PI()*((((Inputs!$I$8+(((A234)+1)/2)*(Inputs!$J$8-Inputs!$I$8)))+(Inputs!$C$6))/(0.5*(Inputs!$C$49+Inputs!$C$50))+Inputs!$C$47*0.097)))+0.3*(2*((SIN((((Inputs!$I$8+(((A234)+1)/2)*(Inputs!$J$8-Inputs!$I$8)))*12.9898+(Inputs!$C$6)*78.233+Inputs!$C$47*37.719))*43758.5453)-INT((SIN((((Inputs!$I$8+(((A234)+1)/2)*(Inputs!$J$8-Inputs!$I$8)))*12.9898+(Inputs!$C$6)*78.233+Inputs!$C$47*37.719))*43758.5453)))-1))),NA())</f>
        <v/>
      </c>
      <c r="AV234" s="9">
        <f>IF(OR(Inputs!$F$9=TRUE,Inputs!$F$9="TRUE",Inputs!$F$9=1),IF(OR(Inputs!$C$27=TRUE,Inputs!$C$27="TRUE",Inputs!$C$27=1),1,0)*(Inputs!$C$51*(115*EXP(-(((Inputs!$C$6)-25)^2)/(4.5^2))+70*EXP(-(((Inputs!$C$6)+38)^2)/(7^2))*(0.55+0.45*SIN(2*PI()*((Inputs!$I$9+(((A234)+1)/2)*(Inputs!$J$9-Inputs!$I$9)))/45))+24*SIN(2*PI()*(Inputs!$C$6)/9+((Inputs!$I$9+(((A234)+1)/2)*(Inputs!$J$9-Inputs!$I$9)))/18)*EXP(-(((Inputs!$C$6)+5)^2)/(22^2))+18*SIN(2*PI()*((Inputs!$I$9+(((A234)+1)/2)*(Inputs!$J$9-Inputs!$I$9)))/70))+Inputs!$C$28*EXP(-((((Inputs!$I$9+(((A234)+1)/2)*(Inputs!$J$9-Inputs!$I$9)))-Inputs!$C$29)^2)/(2*Inputs!$C$31^2))*EXP(-(((Inputs!$C$6)-Inputs!$C$30)^2)/(2*Inputs!$C$32^2))+-Inputs!$C$33*EXP(-((((((Inputs!$I$9+(((A234)+1)/2)*(Inputs!$J$9-Inputs!$I$9)))-Inputs!$C$34)^2)+(((Inputs!$C$6)-Inputs!$C$35)^2))/(2*Inputs!$C$36^2)))+Inputs!$C$37*(0.55*SIN(2*PI()*((Inputs!$I$9+(((A234)+1)/2)*(Inputs!$J$9-Inputs!$I$9)))/Inputs!$C$39)+0.35*COS(2*PI()*(Inputs!$C$6)/Inputs!$C$40)+0.2*SIN(2*PI()*(((Inputs!$I$9+(((A234)+1)/2)*(Inputs!$J$9-Inputs!$I$9)))+(Inputs!$C$6))/(0.5*(Inputs!$C$39+Inputs!$C$40))))+Inputs!$C$38*SIN(2*PI()*((Inputs!$I$9+(((A234)+1)/2)*(Inputs!$J$9-Inputs!$I$9)))/Inputs!$C$39)*SIN(2*PI()*(Inputs!$C$6)/Inputs!$C$40)+-Inputs!$C$41*EXP(-(((Inputs!$C$6)-Inputs!$C$43)^2)/(2*Inputs!$C$44^2))*EXP(-((((Inputs!$I$9+(((A234)+1)/2)*(Inputs!$J$9-Inputs!$I$9)))-Inputs!$C$42)^2)/(2*Inputs!$C$45^2))+Inputs!$C$48*(0.7*(0.45*SIN(2*PI()*((((Inputs!$I$9+(((A234)+1)/2)*(Inputs!$J$9-Inputs!$I$9)))/Inputs!$C$49)+Inputs!$C$47*0.137))+0.35*COS(2*PI()*(((Inputs!$C$6)/Inputs!$C$50)+Inputs!$C$47*0.173))+0.2*SIN(2*PI()*((((Inputs!$I$9+(((A234)+1)/2)*(Inputs!$J$9-Inputs!$I$9)))+(Inputs!$C$6))/(0.5*(Inputs!$C$49+Inputs!$C$50))+Inputs!$C$47*0.097)))+0.3*(2*((SIN((((Inputs!$I$9+(((A234)+1)/2)*(Inputs!$J$9-Inputs!$I$9)))*12.9898+(Inputs!$C$6)*78.233+Inputs!$C$47*37.719))*43758.5453)-INT((SIN((((Inputs!$I$9+(((A234)+1)/2)*(Inputs!$J$9-Inputs!$I$9)))*12.9898+(Inputs!$C$6)*78.233+Inputs!$C$47*37.719))*43758.5453)))-1))),NA())</f>
        <v/>
      </c>
      <c r="AW234" s="10" t="n"/>
      <c r="AX234" s="9">
        <f>A234</f>
        <v/>
      </c>
      <c r="AY234" s="9">
        <f>0</f>
        <v/>
      </c>
      <c r="AZ234" s="9">
        <f>IF(OR(Inputs!$F$6=TRUE,Inputs!$F$6="TRUE",Inputs!$F$6=1),(Inputs!$H$6+Inputs!$L$6*(((Inputs!$I$6+(((A234)+1)/2)*(Inputs!$J$6-Inputs!$I$6)))/Inputs!$K$6)^2),NA())</f>
        <v/>
      </c>
      <c r="BA234" s="9">
        <f>IF(OR(Inputs!$F$7=TRUE,Inputs!$F$7="TRUE",Inputs!$F$7=1),(Inputs!$H$7+Inputs!$L$7*(((Inputs!$I$7+(((A234)+1)/2)*(Inputs!$J$7-Inputs!$I$7)))/Inputs!$K$7)^2),NA())</f>
        <v/>
      </c>
      <c r="BB234" s="9">
        <f>IF(OR(Inputs!$F$8=TRUE,Inputs!$F$8="TRUE",Inputs!$F$8=1),(Inputs!$H$8+Inputs!$L$8*(((Inputs!$I$8+(((A234)+1)/2)*(Inputs!$J$8-Inputs!$I$8)))/Inputs!$K$8)^2),NA())</f>
        <v/>
      </c>
      <c r="BC234" s="9">
        <f>IF(OR(Inputs!$F$9=TRUE,Inputs!$F$9="TRUE",Inputs!$F$9=1),(Inputs!$H$9+Inputs!$L$9*(((Inputs!$I$9+(((A234)+1)/2)*(Inputs!$J$9-Inputs!$I$9)))/Inputs!$K$9)^2),NA())</f>
        <v/>
      </c>
      <c r="BD234" s="10" t="n"/>
      <c r="BE234" s="9">
        <f>A234</f>
        <v/>
      </c>
      <c r="BF234" s="9">
        <f>0</f>
        <v/>
      </c>
      <c r="BG234" s="9">
        <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f>
        <v/>
      </c>
      <c r="BH234" s="9">
        <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f>
        <v/>
      </c>
      <c r="BI234" s="9">
        <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f>
        <v/>
      </c>
      <c r="BJ234" s="9">
        <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f>
        <v/>
      </c>
    </row>
    <row r="235">
      <c r="A235" s="9">
        <f>ROUND(-1+233*2/240,3)</f>
        <v/>
      </c>
      <c r="B235" s="9">
        <f>IF(OR(Inputs!$F$6=TRUE,Inputs!$F$6="TRUE",Inputs!$F$6=1),(Inputs!$H$6+Inputs!$L$6*(((Inputs!$I$6+(((A235)+1)/2)*(Inputs!$J$6-Inputs!$I$6)))/Inputs!$K$6)^2),NA())</f>
        <v/>
      </c>
      <c r="C235" s="9">
        <f>IF(OR(Inputs!$F$7=TRUE,Inputs!$F$7="TRUE",Inputs!$F$7=1),(Inputs!$H$7+Inputs!$L$7*(((Inputs!$I$7+(((A235)+1)/2)*(Inputs!$J$7-Inputs!$I$7)))/Inputs!$K$7)^2),NA())</f>
        <v/>
      </c>
      <c r="D235" s="9">
        <f>IF(OR(Inputs!$F$8=TRUE,Inputs!$F$8="TRUE",Inputs!$F$8=1),(Inputs!$H$8+Inputs!$L$8*(((Inputs!$I$8+(((A235)+1)/2)*(Inputs!$J$8-Inputs!$I$8)))/Inputs!$K$8)^2),NA())</f>
        <v/>
      </c>
      <c r="E235" s="9">
        <f>IF(OR(Inputs!$F$9=TRUE,Inputs!$F$9="TRUE",Inputs!$F$9=1),(Inputs!$H$9+Inputs!$L$9*(((Inputs!$I$9+(((A235)+1)/2)*(Inputs!$J$9-Inputs!$I$9)))/Inputs!$K$9)^2),NA())</f>
        <v/>
      </c>
      <c r="F235" s="10" t="n"/>
      <c r="G235" s="9">
        <f>A235</f>
        <v/>
      </c>
      <c r="H235" s="9">
        <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f>
        <v/>
      </c>
      <c r="I235" s="9">
        <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f>
        <v/>
      </c>
      <c r="J235" s="9">
        <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f>
        <v/>
      </c>
      <c r="K235" s="9">
        <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f>
        <v/>
      </c>
      <c r="L235" s="10" t="n"/>
      <c r="M235" s="9">
        <f>A235</f>
        <v/>
      </c>
      <c r="N235" s="9">
        <f>IF(OR(Inputs!$F$6=TRUE,Inputs!$F$6="TRUE",Inputs!$F$6=1),(-2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NA())</f>
        <v/>
      </c>
      <c r="O235" s="9">
        <f>IF(OR(Inputs!$F$7=TRUE,Inputs!$F$7="TRUE",Inputs!$F$7=1),(-2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NA())</f>
        <v/>
      </c>
      <c r="P235" s="9">
        <f>IF(OR(Inputs!$F$8=TRUE,Inputs!$F$8="TRUE",Inputs!$F$8=1),(-2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NA())</f>
        <v/>
      </c>
      <c r="Q235" s="9">
        <f>IF(OR(Inputs!$F$9=TRUE,Inputs!$F$9="TRUE",Inputs!$F$9=1),(-2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NA())</f>
        <v/>
      </c>
      <c r="R235" s="10" t="n"/>
      <c r="S235" s="9">
        <f>A235</f>
        <v/>
      </c>
      <c r="T235" s="9">
        <f>(Inputs!$I$6+(((A235)+1)/2)*(Inputs!$J$6-Inputs!$I$6))</f>
        <v/>
      </c>
      <c r="U235" s="9">
        <f>(Inputs!$I$7+(((A235)+1)/2)*(Inputs!$J$7-Inputs!$I$7))</f>
        <v/>
      </c>
      <c r="V235" s="9">
        <f>(Inputs!$I$8+(((A235)+1)/2)*(Inputs!$J$8-Inputs!$I$8))</f>
        <v/>
      </c>
      <c r="W235" s="9">
        <f>(Inputs!$I$9+(((A235)+1)/2)*(Inputs!$J$9-Inputs!$I$9))</f>
        <v/>
      </c>
      <c r="X235" s="10" t="n"/>
      <c r="Y235" s="9">
        <f>A235</f>
        <v/>
      </c>
      <c r="Z235" s="9">
        <f>(Inputs!$H$6+Inputs!$L$6*(((Inputs!$I$6+(((A235)+1)/2)*(Inputs!$J$6-Inputs!$I$6)))/Inputs!$K$6)^2)</f>
        <v/>
      </c>
      <c r="AA235" s="9">
        <f>(Inputs!$H$7+Inputs!$L$7*(((Inputs!$I$7+(((A235)+1)/2)*(Inputs!$J$7-Inputs!$I$7)))/Inputs!$K$7)^2)</f>
        <v/>
      </c>
      <c r="AB235" s="9">
        <f>(Inputs!$H$8+Inputs!$L$8*(((Inputs!$I$8+(((A235)+1)/2)*(Inputs!$J$8-Inputs!$I$8)))/Inputs!$K$8)^2)</f>
        <v/>
      </c>
      <c r="AC235" s="9">
        <f>(Inputs!$H$9+Inputs!$L$9*(((Inputs!$I$9+(((A235)+1)/2)*(Inputs!$J$9-Inputs!$I$9)))/Inputs!$K$9)^2)</f>
        <v/>
      </c>
      <c r="AD235" s="10" t="n"/>
      <c r="AE235" s="9">
        <f>A235</f>
        <v/>
      </c>
      <c r="AF235" s="9">
        <f>(((SQRT((Inputs!$C$52+((Inputs!$H$6+Inputs!$L$6*(((Inputs!$I$6+(((A235)+1)/2)*(Inputs!$J$6-Inputs!$I$6)))/Inputs!$K$6)^2)))^2+Inputs!$C$52^2-2*(Inputs!$C$52+((Inputs!$H$6+Inputs!$L$6*(((Inputs!$I$6+(((A235)+1)/2)*(Inputs!$J$6-Inputs!$I$6)))/Inputs!$K$6)^2)))*Inputs!$C$52*COS(SQRT(((Inputs!$I$6+(((A235)+1)/2)*(Inputs!$J$6-Inputs!$I$6)))^2+Inputs!$C$6^2)/Inputs!$C$52)))-((Inputs!$H$6+Inputs!$L$6*(((Inputs!$I$6+(((A235)+1)/2)*(Inputs!$J$6-Inputs!$I$6)))/Inputs!$K$6)^2)))*1000/Inputs!$C$12)</f>
        <v/>
      </c>
      <c r="AG235" s="9">
        <f>(((SQRT((Inputs!$C$52+((Inputs!$H$7+Inputs!$L$7*(((Inputs!$I$7+(((A235)+1)/2)*(Inputs!$J$7-Inputs!$I$7)))/Inputs!$K$7)^2)))^2+Inputs!$C$52^2-2*(Inputs!$C$52+((Inputs!$H$7+Inputs!$L$7*(((Inputs!$I$7+(((A235)+1)/2)*(Inputs!$J$7-Inputs!$I$7)))/Inputs!$K$7)^2)))*Inputs!$C$52*COS(SQRT(((Inputs!$I$7+(((A235)+1)/2)*(Inputs!$J$7-Inputs!$I$7)))^2+Inputs!$C$6^2)/Inputs!$C$52)))-((Inputs!$H$7+Inputs!$L$7*(((Inputs!$I$7+(((A235)+1)/2)*(Inputs!$J$7-Inputs!$I$7)))/Inputs!$K$7)^2)))*1000/Inputs!$C$12)</f>
        <v/>
      </c>
      <c r="AH235" s="9">
        <f>(((SQRT((Inputs!$C$52+((Inputs!$H$8+Inputs!$L$8*(((Inputs!$I$8+(((A235)+1)/2)*(Inputs!$J$8-Inputs!$I$8)))/Inputs!$K$8)^2)))^2+Inputs!$C$52^2-2*(Inputs!$C$52+((Inputs!$H$8+Inputs!$L$8*(((Inputs!$I$8+(((A235)+1)/2)*(Inputs!$J$8-Inputs!$I$8)))/Inputs!$K$8)^2)))*Inputs!$C$52*COS(SQRT(((Inputs!$I$8+(((A235)+1)/2)*(Inputs!$J$8-Inputs!$I$8)))^2+Inputs!$C$6^2)/Inputs!$C$52)))-((Inputs!$H$8+Inputs!$L$8*(((Inputs!$I$8+(((A235)+1)/2)*(Inputs!$J$8-Inputs!$I$8)))/Inputs!$K$8)^2)))*1000/Inputs!$C$12)</f>
        <v/>
      </c>
      <c r="AI235" s="9">
        <f>(((SQRT((Inputs!$C$52+((Inputs!$H$9+Inputs!$L$9*(((Inputs!$I$9+(((A235)+1)/2)*(Inputs!$J$9-Inputs!$I$9)))/Inputs!$K$9)^2)))^2+Inputs!$C$52^2-2*(Inputs!$C$52+((Inputs!$H$9+Inputs!$L$9*(((Inputs!$I$9+(((A235)+1)/2)*(Inputs!$J$9-Inputs!$I$9)))/Inputs!$K$9)^2)))*Inputs!$C$52*COS(SQRT(((Inputs!$I$9+(((A235)+1)/2)*(Inputs!$J$9-Inputs!$I$9)))^2+Inputs!$C$6^2)/Inputs!$C$52)))-((Inputs!$H$9+Inputs!$L$9*(((Inputs!$I$9+(((A235)+1)/2)*(Inputs!$J$9-Inputs!$I$9)))/Inputs!$K$9)^2)))*1000/Inputs!$C$12)</f>
        <v/>
      </c>
      <c r="AJ235" s="10" t="n"/>
      <c r="AK235" s="9">
        <f>A235</f>
        <v/>
      </c>
      <c r="AL235" s="9">
        <f>(-2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f>
        <v/>
      </c>
      <c r="AM235" s="9">
        <f>(-2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f>
        <v/>
      </c>
      <c r="AN235" s="9">
        <f>(-2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f>
        <v/>
      </c>
      <c r="AO235" s="9">
        <f>(-2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f>
        <v/>
      </c>
      <c r="AP235" s="10" t="n"/>
      <c r="AQ235" s="9">
        <f>A235</f>
        <v/>
      </c>
      <c r="AR235" s="9">
        <f>0</f>
        <v/>
      </c>
      <c r="AS235" s="9">
        <f>IF(OR(Inputs!$F$6=TRUE,Inputs!$F$6="TRUE",Inputs!$F$6=1),IF(OR(Inputs!$C$27=TRUE,Inputs!$C$27="TRUE",Inputs!$C$27=1),1,0)*(Inputs!$C$51*(115*EXP(-(((Inputs!$C$6)-25)^2)/(4.5^2))+70*EXP(-(((Inputs!$C$6)+38)^2)/(7^2))*(0.55+0.45*SIN(2*PI()*((Inputs!$I$6+(((A235)+1)/2)*(Inputs!$J$6-Inputs!$I$6)))/45))+24*SIN(2*PI()*(Inputs!$C$6)/9+((Inputs!$I$6+(((A235)+1)/2)*(Inputs!$J$6-Inputs!$I$6)))/18)*EXP(-(((Inputs!$C$6)+5)^2)/(22^2))+18*SIN(2*PI()*((Inputs!$I$6+(((A235)+1)/2)*(Inputs!$J$6-Inputs!$I$6)))/70))+Inputs!$C$28*EXP(-((((Inputs!$I$6+(((A235)+1)/2)*(Inputs!$J$6-Inputs!$I$6)))-Inputs!$C$29)^2)/(2*Inputs!$C$31^2))*EXP(-(((Inputs!$C$6)-Inputs!$C$30)^2)/(2*Inputs!$C$32^2))+-Inputs!$C$33*EXP(-((((((Inputs!$I$6+(((A235)+1)/2)*(Inputs!$J$6-Inputs!$I$6)))-Inputs!$C$34)^2)+(((Inputs!$C$6)-Inputs!$C$35)^2))/(2*Inputs!$C$36^2)))+Inputs!$C$37*(0.55*SIN(2*PI()*((Inputs!$I$6+(((A235)+1)/2)*(Inputs!$J$6-Inputs!$I$6)))/Inputs!$C$39)+0.35*COS(2*PI()*(Inputs!$C$6)/Inputs!$C$40)+0.2*SIN(2*PI()*(((Inputs!$I$6+(((A235)+1)/2)*(Inputs!$J$6-Inputs!$I$6)))+(Inputs!$C$6))/(0.5*(Inputs!$C$39+Inputs!$C$40))))+Inputs!$C$38*SIN(2*PI()*((Inputs!$I$6+(((A235)+1)/2)*(Inputs!$J$6-Inputs!$I$6)))/Inputs!$C$39)*SIN(2*PI()*(Inputs!$C$6)/Inputs!$C$40)+-Inputs!$C$41*EXP(-(((Inputs!$C$6)-Inputs!$C$43)^2)/(2*Inputs!$C$44^2))*EXP(-((((Inputs!$I$6+(((A235)+1)/2)*(Inputs!$J$6-Inputs!$I$6)))-Inputs!$C$42)^2)/(2*Inputs!$C$45^2))+Inputs!$C$48*(0.7*(0.45*SIN(2*PI()*((((Inputs!$I$6+(((A235)+1)/2)*(Inputs!$J$6-Inputs!$I$6)))/Inputs!$C$49)+Inputs!$C$47*0.137))+0.35*COS(2*PI()*(((Inputs!$C$6)/Inputs!$C$50)+Inputs!$C$47*0.173))+0.2*SIN(2*PI()*((((Inputs!$I$6+(((A235)+1)/2)*(Inputs!$J$6-Inputs!$I$6)))+(Inputs!$C$6))/(0.5*(Inputs!$C$49+Inputs!$C$50))+Inputs!$C$47*0.097)))+0.3*(2*((SIN((((Inputs!$I$6+(((A235)+1)/2)*(Inputs!$J$6-Inputs!$I$6)))*12.9898+(Inputs!$C$6)*78.233+Inputs!$C$47*37.719))*43758.5453)-INT((SIN((((Inputs!$I$6+(((A235)+1)/2)*(Inputs!$J$6-Inputs!$I$6)))*12.9898+(Inputs!$C$6)*78.233+Inputs!$C$47*37.719))*43758.5453)))-1))),NA())</f>
        <v/>
      </c>
      <c r="AT235" s="9">
        <f>IF(OR(Inputs!$F$7=TRUE,Inputs!$F$7="TRUE",Inputs!$F$7=1),IF(OR(Inputs!$C$27=TRUE,Inputs!$C$27="TRUE",Inputs!$C$27=1),1,0)*(Inputs!$C$51*(115*EXP(-(((Inputs!$C$6)-25)^2)/(4.5^2))+70*EXP(-(((Inputs!$C$6)+38)^2)/(7^2))*(0.55+0.45*SIN(2*PI()*((Inputs!$I$7+(((A235)+1)/2)*(Inputs!$J$7-Inputs!$I$7)))/45))+24*SIN(2*PI()*(Inputs!$C$6)/9+((Inputs!$I$7+(((A235)+1)/2)*(Inputs!$J$7-Inputs!$I$7)))/18)*EXP(-(((Inputs!$C$6)+5)^2)/(22^2))+18*SIN(2*PI()*((Inputs!$I$7+(((A235)+1)/2)*(Inputs!$J$7-Inputs!$I$7)))/70))+Inputs!$C$28*EXP(-((((Inputs!$I$7+(((A235)+1)/2)*(Inputs!$J$7-Inputs!$I$7)))-Inputs!$C$29)^2)/(2*Inputs!$C$31^2))*EXP(-(((Inputs!$C$6)-Inputs!$C$30)^2)/(2*Inputs!$C$32^2))+-Inputs!$C$33*EXP(-((((((Inputs!$I$7+(((A235)+1)/2)*(Inputs!$J$7-Inputs!$I$7)))-Inputs!$C$34)^2)+(((Inputs!$C$6)-Inputs!$C$35)^2))/(2*Inputs!$C$36^2)))+Inputs!$C$37*(0.55*SIN(2*PI()*((Inputs!$I$7+(((A235)+1)/2)*(Inputs!$J$7-Inputs!$I$7)))/Inputs!$C$39)+0.35*COS(2*PI()*(Inputs!$C$6)/Inputs!$C$40)+0.2*SIN(2*PI()*(((Inputs!$I$7+(((A235)+1)/2)*(Inputs!$J$7-Inputs!$I$7)))+(Inputs!$C$6))/(0.5*(Inputs!$C$39+Inputs!$C$40))))+Inputs!$C$38*SIN(2*PI()*((Inputs!$I$7+(((A235)+1)/2)*(Inputs!$J$7-Inputs!$I$7)))/Inputs!$C$39)*SIN(2*PI()*(Inputs!$C$6)/Inputs!$C$40)+-Inputs!$C$41*EXP(-(((Inputs!$C$6)-Inputs!$C$43)^2)/(2*Inputs!$C$44^2))*EXP(-((((Inputs!$I$7+(((A235)+1)/2)*(Inputs!$J$7-Inputs!$I$7)))-Inputs!$C$42)^2)/(2*Inputs!$C$45^2))+Inputs!$C$48*(0.7*(0.45*SIN(2*PI()*((((Inputs!$I$7+(((A235)+1)/2)*(Inputs!$J$7-Inputs!$I$7)))/Inputs!$C$49)+Inputs!$C$47*0.137))+0.35*COS(2*PI()*(((Inputs!$C$6)/Inputs!$C$50)+Inputs!$C$47*0.173))+0.2*SIN(2*PI()*((((Inputs!$I$7+(((A235)+1)/2)*(Inputs!$J$7-Inputs!$I$7)))+(Inputs!$C$6))/(0.5*(Inputs!$C$49+Inputs!$C$50))+Inputs!$C$47*0.097)))+0.3*(2*((SIN((((Inputs!$I$7+(((A235)+1)/2)*(Inputs!$J$7-Inputs!$I$7)))*12.9898+(Inputs!$C$6)*78.233+Inputs!$C$47*37.719))*43758.5453)-INT((SIN((((Inputs!$I$7+(((A235)+1)/2)*(Inputs!$J$7-Inputs!$I$7)))*12.9898+(Inputs!$C$6)*78.233+Inputs!$C$47*37.719))*43758.5453)))-1))),NA())</f>
        <v/>
      </c>
      <c r="AU235" s="9">
        <f>IF(OR(Inputs!$F$8=TRUE,Inputs!$F$8="TRUE",Inputs!$F$8=1),IF(OR(Inputs!$C$27=TRUE,Inputs!$C$27="TRUE",Inputs!$C$27=1),1,0)*(Inputs!$C$51*(115*EXP(-(((Inputs!$C$6)-25)^2)/(4.5^2))+70*EXP(-(((Inputs!$C$6)+38)^2)/(7^2))*(0.55+0.45*SIN(2*PI()*((Inputs!$I$8+(((A235)+1)/2)*(Inputs!$J$8-Inputs!$I$8)))/45))+24*SIN(2*PI()*(Inputs!$C$6)/9+((Inputs!$I$8+(((A235)+1)/2)*(Inputs!$J$8-Inputs!$I$8)))/18)*EXP(-(((Inputs!$C$6)+5)^2)/(22^2))+18*SIN(2*PI()*((Inputs!$I$8+(((A235)+1)/2)*(Inputs!$J$8-Inputs!$I$8)))/70))+Inputs!$C$28*EXP(-((((Inputs!$I$8+(((A235)+1)/2)*(Inputs!$J$8-Inputs!$I$8)))-Inputs!$C$29)^2)/(2*Inputs!$C$31^2))*EXP(-(((Inputs!$C$6)-Inputs!$C$30)^2)/(2*Inputs!$C$32^2))+-Inputs!$C$33*EXP(-((((((Inputs!$I$8+(((A235)+1)/2)*(Inputs!$J$8-Inputs!$I$8)))-Inputs!$C$34)^2)+(((Inputs!$C$6)-Inputs!$C$35)^2))/(2*Inputs!$C$36^2)))+Inputs!$C$37*(0.55*SIN(2*PI()*((Inputs!$I$8+(((A235)+1)/2)*(Inputs!$J$8-Inputs!$I$8)))/Inputs!$C$39)+0.35*COS(2*PI()*(Inputs!$C$6)/Inputs!$C$40)+0.2*SIN(2*PI()*(((Inputs!$I$8+(((A235)+1)/2)*(Inputs!$J$8-Inputs!$I$8)))+(Inputs!$C$6))/(0.5*(Inputs!$C$39+Inputs!$C$40))))+Inputs!$C$38*SIN(2*PI()*((Inputs!$I$8+(((A235)+1)/2)*(Inputs!$J$8-Inputs!$I$8)))/Inputs!$C$39)*SIN(2*PI()*(Inputs!$C$6)/Inputs!$C$40)+-Inputs!$C$41*EXP(-(((Inputs!$C$6)-Inputs!$C$43)^2)/(2*Inputs!$C$44^2))*EXP(-((((Inputs!$I$8+(((A235)+1)/2)*(Inputs!$J$8-Inputs!$I$8)))-Inputs!$C$42)^2)/(2*Inputs!$C$45^2))+Inputs!$C$48*(0.7*(0.45*SIN(2*PI()*((((Inputs!$I$8+(((A235)+1)/2)*(Inputs!$J$8-Inputs!$I$8)))/Inputs!$C$49)+Inputs!$C$47*0.137))+0.35*COS(2*PI()*(((Inputs!$C$6)/Inputs!$C$50)+Inputs!$C$47*0.173))+0.2*SIN(2*PI()*((((Inputs!$I$8+(((A235)+1)/2)*(Inputs!$J$8-Inputs!$I$8)))+(Inputs!$C$6))/(0.5*(Inputs!$C$49+Inputs!$C$50))+Inputs!$C$47*0.097)))+0.3*(2*((SIN((((Inputs!$I$8+(((A235)+1)/2)*(Inputs!$J$8-Inputs!$I$8)))*12.9898+(Inputs!$C$6)*78.233+Inputs!$C$47*37.719))*43758.5453)-INT((SIN((((Inputs!$I$8+(((A235)+1)/2)*(Inputs!$J$8-Inputs!$I$8)))*12.9898+(Inputs!$C$6)*78.233+Inputs!$C$47*37.719))*43758.5453)))-1))),NA())</f>
        <v/>
      </c>
      <c r="AV235" s="9">
        <f>IF(OR(Inputs!$F$9=TRUE,Inputs!$F$9="TRUE",Inputs!$F$9=1),IF(OR(Inputs!$C$27=TRUE,Inputs!$C$27="TRUE",Inputs!$C$27=1),1,0)*(Inputs!$C$51*(115*EXP(-(((Inputs!$C$6)-25)^2)/(4.5^2))+70*EXP(-(((Inputs!$C$6)+38)^2)/(7^2))*(0.55+0.45*SIN(2*PI()*((Inputs!$I$9+(((A235)+1)/2)*(Inputs!$J$9-Inputs!$I$9)))/45))+24*SIN(2*PI()*(Inputs!$C$6)/9+((Inputs!$I$9+(((A235)+1)/2)*(Inputs!$J$9-Inputs!$I$9)))/18)*EXP(-(((Inputs!$C$6)+5)^2)/(22^2))+18*SIN(2*PI()*((Inputs!$I$9+(((A235)+1)/2)*(Inputs!$J$9-Inputs!$I$9)))/70))+Inputs!$C$28*EXP(-((((Inputs!$I$9+(((A235)+1)/2)*(Inputs!$J$9-Inputs!$I$9)))-Inputs!$C$29)^2)/(2*Inputs!$C$31^2))*EXP(-(((Inputs!$C$6)-Inputs!$C$30)^2)/(2*Inputs!$C$32^2))+-Inputs!$C$33*EXP(-((((((Inputs!$I$9+(((A235)+1)/2)*(Inputs!$J$9-Inputs!$I$9)))-Inputs!$C$34)^2)+(((Inputs!$C$6)-Inputs!$C$35)^2))/(2*Inputs!$C$36^2)))+Inputs!$C$37*(0.55*SIN(2*PI()*((Inputs!$I$9+(((A235)+1)/2)*(Inputs!$J$9-Inputs!$I$9)))/Inputs!$C$39)+0.35*COS(2*PI()*(Inputs!$C$6)/Inputs!$C$40)+0.2*SIN(2*PI()*(((Inputs!$I$9+(((A235)+1)/2)*(Inputs!$J$9-Inputs!$I$9)))+(Inputs!$C$6))/(0.5*(Inputs!$C$39+Inputs!$C$40))))+Inputs!$C$38*SIN(2*PI()*((Inputs!$I$9+(((A235)+1)/2)*(Inputs!$J$9-Inputs!$I$9)))/Inputs!$C$39)*SIN(2*PI()*(Inputs!$C$6)/Inputs!$C$40)+-Inputs!$C$41*EXP(-(((Inputs!$C$6)-Inputs!$C$43)^2)/(2*Inputs!$C$44^2))*EXP(-((((Inputs!$I$9+(((A235)+1)/2)*(Inputs!$J$9-Inputs!$I$9)))-Inputs!$C$42)^2)/(2*Inputs!$C$45^2))+Inputs!$C$48*(0.7*(0.45*SIN(2*PI()*((((Inputs!$I$9+(((A235)+1)/2)*(Inputs!$J$9-Inputs!$I$9)))/Inputs!$C$49)+Inputs!$C$47*0.137))+0.35*COS(2*PI()*(((Inputs!$C$6)/Inputs!$C$50)+Inputs!$C$47*0.173))+0.2*SIN(2*PI()*((((Inputs!$I$9+(((A235)+1)/2)*(Inputs!$J$9-Inputs!$I$9)))+(Inputs!$C$6))/(0.5*(Inputs!$C$49+Inputs!$C$50))+Inputs!$C$47*0.097)))+0.3*(2*((SIN((((Inputs!$I$9+(((A235)+1)/2)*(Inputs!$J$9-Inputs!$I$9)))*12.9898+(Inputs!$C$6)*78.233+Inputs!$C$47*37.719))*43758.5453)-INT((SIN((((Inputs!$I$9+(((A235)+1)/2)*(Inputs!$J$9-Inputs!$I$9)))*12.9898+(Inputs!$C$6)*78.233+Inputs!$C$47*37.719))*43758.5453)))-1))),NA())</f>
        <v/>
      </c>
      <c r="AW235" s="10" t="n"/>
      <c r="AX235" s="9">
        <f>A235</f>
        <v/>
      </c>
      <c r="AY235" s="9">
        <f>0</f>
        <v/>
      </c>
      <c r="AZ235" s="9">
        <f>IF(OR(Inputs!$F$6=TRUE,Inputs!$F$6="TRUE",Inputs!$F$6=1),(Inputs!$H$6+Inputs!$L$6*(((Inputs!$I$6+(((A235)+1)/2)*(Inputs!$J$6-Inputs!$I$6)))/Inputs!$K$6)^2),NA())</f>
        <v/>
      </c>
      <c r="BA235" s="9">
        <f>IF(OR(Inputs!$F$7=TRUE,Inputs!$F$7="TRUE",Inputs!$F$7=1),(Inputs!$H$7+Inputs!$L$7*(((Inputs!$I$7+(((A235)+1)/2)*(Inputs!$J$7-Inputs!$I$7)))/Inputs!$K$7)^2),NA())</f>
        <v/>
      </c>
      <c r="BB235" s="9">
        <f>IF(OR(Inputs!$F$8=TRUE,Inputs!$F$8="TRUE",Inputs!$F$8=1),(Inputs!$H$8+Inputs!$L$8*(((Inputs!$I$8+(((A235)+1)/2)*(Inputs!$J$8-Inputs!$I$8)))/Inputs!$K$8)^2),NA())</f>
        <v/>
      </c>
      <c r="BC235" s="9">
        <f>IF(OR(Inputs!$F$9=TRUE,Inputs!$F$9="TRUE",Inputs!$F$9=1),(Inputs!$H$9+Inputs!$L$9*(((Inputs!$I$9+(((A235)+1)/2)*(Inputs!$J$9-Inputs!$I$9)))/Inputs!$K$9)^2),NA())</f>
        <v/>
      </c>
      <c r="BD235" s="10" t="n"/>
      <c r="BE235" s="9">
        <f>A235</f>
        <v/>
      </c>
      <c r="BF235" s="9">
        <f>0</f>
        <v/>
      </c>
      <c r="BG235" s="9">
        <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f>
        <v/>
      </c>
      <c r="BH235" s="9">
        <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f>
        <v/>
      </c>
      <c r="BI235" s="9">
        <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f>
        <v/>
      </c>
      <c r="BJ235" s="9">
        <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f>
        <v/>
      </c>
    </row>
    <row r="236">
      <c r="A236" s="9">
        <f>ROUND(-1+234*2/240,3)</f>
        <v/>
      </c>
      <c r="B236" s="9">
        <f>IF(OR(Inputs!$F$6=TRUE,Inputs!$F$6="TRUE",Inputs!$F$6=1),(Inputs!$H$6+Inputs!$L$6*(((Inputs!$I$6+(((A236)+1)/2)*(Inputs!$J$6-Inputs!$I$6)))/Inputs!$K$6)^2),NA())</f>
        <v/>
      </c>
      <c r="C236" s="9">
        <f>IF(OR(Inputs!$F$7=TRUE,Inputs!$F$7="TRUE",Inputs!$F$7=1),(Inputs!$H$7+Inputs!$L$7*(((Inputs!$I$7+(((A236)+1)/2)*(Inputs!$J$7-Inputs!$I$7)))/Inputs!$K$7)^2),NA())</f>
        <v/>
      </c>
      <c r="D236" s="9">
        <f>IF(OR(Inputs!$F$8=TRUE,Inputs!$F$8="TRUE",Inputs!$F$8=1),(Inputs!$H$8+Inputs!$L$8*(((Inputs!$I$8+(((A236)+1)/2)*(Inputs!$J$8-Inputs!$I$8)))/Inputs!$K$8)^2),NA())</f>
        <v/>
      </c>
      <c r="E236" s="9">
        <f>IF(OR(Inputs!$F$9=TRUE,Inputs!$F$9="TRUE",Inputs!$F$9=1),(Inputs!$H$9+Inputs!$L$9*(((Inputs!$I$9+(((A236)+1)/2)*(Inputs!$J$9-Inputs!$I$9)))/Inputs!$K$9)^2),NA())</f>
        <v/>
      </c>
      <c r="F236" s="10" t="n"/>
      <c r="G236" s="9">
        <f>A236</f>
        <v/>
      </c>
      <c r="H236" s="9">
        <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f>
        <v/>
      </c>
      <c r="I236" s="9">
        <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f>
        <v/>
      </c>
      <c r="J236" s="9">
        <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f>
        <v/>
      </c>
      <c r="K236" s="9">
        <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f>
        <v/>
      </c>
      <c r="L236" s="10" t="n"/>
      <c r="M236" s="9">
        <f>A236</f>
        <v/>
      </c>
      <c r="N236" s="9">
        <f>IF(OR(Inputs!$F$6=TRUE,Inputs!$F$6="TRUE",Inputs!$F$6=1),(-2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NA())</f>
        <v/>
      </c>
      <c r="O236" s="9">
        <f>IF(OR(Inputs!$F$7=TRUE,Inputs!$F$7="TRUE",Inputs!$F$7=1),(-2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NA())</f>
        <v/>
      </c>
      <c r="P236" s="9">
        <f>IF(OR(Inputs!$F$8=TRUE,Inputs!$F$8="TRUE",Inputs!$F$8=1),(-2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NA())</f>
        <v/>
      </c>
      <c r="Q236" s="9">
        <f>IF(OR(Inputs!$F$9=TRUE,Inputs!$F$9="TRUE",Inputs!$F$9=1),(-2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NA())</f>
        <v/>
      </c>
      <c r="R236" s="10" t="n"/>
      <c r="S236" s="9">
        <f>A236</f>
        <v/>
      </c>
      <c r="T236" s="9">
        <f>(Inputs!$I$6+(((A236)+1)/2)*(Inputs!$J$6-Inputs!$I$6))</f>
        <v/>
      </c>
      <c r="U236" s="9">
        <f>(Inputs!$I$7+(((A236)+1)/2)*(Inputs!$J$7-Inputs!$I$7))</f>
        <v/>
      </c>
      <c r="V236" s="9">
        <f>(Inputs!$I$8+(((A236)+1)/2)*(Inputs!$J$8-Inputs!$I$8))</f>
        <v/>
      </c>
      <c r="W236" s="9">
        <f>(Inputs!$I$9+(((A236)+1)/2)*(Inputs!$J$9-Inputs!$I$9))</f>
        <v/>
      </c>
      <c r="X236" s="10" t="n"/>
      <c r="Y236" s="9">
        <f>A236</f>
        <v/>
      </c>
      <c r="Z236" s="9">
        <f>(Inputs!$H$6+Inputs!$L$6*(((Inputs!$I$6+(((A236)+1)/2)*(Inputs!$J$6-Inputs!$I$6)))/Inputs!$K$6)^2)</f>
        <v/>
      </c>
      <c r="AA236" s="9">
        <f>(Inputs!$H$7+Inputs!$L$7*(((Inputs!$I$7+(((A236)+1)/2)*(Inputs!$J$7-Inputs!$I$7)))/Inputs!$K$7)^2)</f>
        <v/>
      </c>
      <c r="AB236" s="9">
        <f>(Inputs!$H$8+Inputs!$L$8*(((Inputs!$I$8+(((A236)+1)/2)*(Inputs!$J$8-Inputs!$I$8)))/Inputs!$K$8)^2)</f>
        <v/>
      </c>
      <c r="AC236" s="9">
        <f>(Inputs!$H$9+Inputs!$L$9*(((Inputs!$I$9+(((A236)+1)/2)*(Inputs!$J$9-Inputs!$I$9)))/Inputs!$K$9)^2)</f>
        <v/>
      </c>
      <c r="AD236" s="10" t="n"/>
      <c r="AE236" s="9">
        <f>A236</f>
        <v/>
      </c>
      <c r="AF236" s="9">
        <f>(((SQRT((Inputs!$C$52+((Inputs!$H$6+Inputs!$L$6*(((Inputs!$I$6+(((A236)+1)/2)*(Inputs!$J$6-Inputs!$I$6)))/Inputs!$K$6)^2)))^2+Inputs!$C$52^2-2*(Inputs!$C$52+((Inputs!$H$6+Inputs!$L$6*(((Inputs!$I$6+(((A236)+1)/2)*(Inputs!$J$6-Inputs!$I$6)))/Inputs!$K$6)^2)))*Inputs!$C$52*COS(SQRT(((Inputs!$I$6+(((A236)+1)/2)*(Inputs!$J$6-Inputs!$I$6)))^2+Inputs!$C$6^2)/Inputs!$C$52)))-((Inputs!$H$6+Inputs!$L$6*(((Inputs!$I$6+(((A236)+1)/2)*(Inputs!$J$6-Inputs!$I$6)))/Inputs!$K$6)^2)))*1000/Inputs!$C$12)</f>
        <v/>
      </c>
      <c r="AG236" s="9">
        <f>(((SQRT((Inputs!$C$52+((Inputs!$H$7+Inputs!$L$7*(((Inputs!$I$7+(((A236)+1)/2)*(Inputs!$J$7-Inputs!$I$7)))/Inputs!$K$7)^2)))^2+Inputs!$C$52^2-2*(Inputs!$C$52+((Inputs!$H$7+Inputs!$L$7*(((Inputs!$I$7+(((A236)+1)/2)*(Inputs!$J$7-Inputs!$I$7)))/Inputs!$K$7)^2)))*Inputs!$C$52*COS(SQRT(((Inputs!$I$7+(((A236)+1)/2)*(Inputs!$J$7-Inputs!$I$7)))^2+Inputs!$C$6^2)/Inputs!$C$52)))-((Inputs!$H$7+Inputs!$L$7*(((Inputs!$I$7+(((A236)+1)/2)*(Inputs!$J$7-Inputs!$I$7)))/Inputs!$K$7)^2)))*1000/Inputs!$C$12)</f>
        <v/>
      </c>
      <c r="AH236" s="9">
        <f>(((SQRT((Inputs!$C$52+((Inputs!$H$8+Inputs!$L$8*(((Inputs!$I$8+(((A236)+1)/2)*(Inputs!$J$8-Inputs!$I$8)))/Inputs!$K$8)^2)))^2+Inputs!$C$52^2-2*(Inputs!$C$52+((Inputs!$H$8+Inputs!$L$8*(((Inputs!$I$8+(((A236)+1)/2)*(Inputs!$J$8-Inputs!$I$8)))/Inputs!$K$8)^2)))*Inputs!$C$52*COS(SQRT(((Inputs!$I$8+(((A236)+1)/2)*(Inputs!$J$8-Inputs!$I$8)))^2+Inputs!$C$6^2)/Inputs!$C$52)))-((Inputs!$H$8+Inputs!$L$8*(((Inputs!$I$8+(((A236)+1)/2)*(Inputs!$J$8-Inputs!$I$8)))/Inputs!$K$8)^2)))*1000/Inputs!$C$12)</f>
        <v/>
      </c>
      <c r="AI236" s="9">
        <f>(((SQRT((Inputs!$C$52+((Inputs!$H$9+Inputs!$L$9*(((Inputs!$I$9+(((A236)+1)/2)*(Inputs!$J$9-Inputs!$I$9)))/Inputs!$K$9)^2)))^2+Inputs!$C$52^2-2*(Inputs!$C$52+((Inputs!$H$9+Inputs!$L$9*(((Inputs!$I$9+(((A236)+1)/2)*(Inputs!$J$9-Inputs!$I$9)))/Inputs!$K$9)^2)))*Inputs!$C$52*COS(SQRT(((Inputs!$I$9+(((A236)+1)/2)*(Inputs!$J$9-Inputs!$I$9)))^2+Inputs!$C$6^2)/Inputs!$C$52)))-((Inputs!$H$9+Inputs!$L$9*(((Inputs!$I$9+(((A236)+1)/2)*(Inputs!$J$9-Inputs!$I$9)))/Inputs!$K$9)^2)))*1000/Inputs!$C$12)</f>
        <v/>
      </c>
      <c r="AJ236" s="10" t="n"/>
      <c r="AK236" s="9">
        <f>A236</f>
        <v/>
      </c>
      <c r="AL236" s="9">
        <f>(-2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f>
        <v/>
      </c>
      <c r="AM236" s="9">
        <f>(-2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f>
        <v/>
      </c>
      <c r="AN236" s="9">
        <f>(-2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f>
        <v/>
      </c>
      <c r="AO236" s="9">
        <f>(-2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f>
        <v/>
      </c>
      <c r="AP236" s="10" t="n"/>
      <c r="AQ236" s="9">
        <f>A236</f>
        <v/>
      </c>
      <c r="AR236" s="9">
        <f>0</f>
        <v/>
      </c>
      <c r="AS236" s="9">
        <f>IF(OR(Inputs!$F$6=TRUE,Inputs!$F$6="TRUE",Inputs!$F$6=1),IF(OR(Inputs!$C$27=TRUE,Inputs!$C$27="TRUE",Inputs!$C$27=1),1,0)*(Inputs!$C$51*(115*EXP(-(((Inputs!$C$6)-25)^2)/(4.5^2))+70*EXP(-(((Inputs!$C$6)+38)^2)/(7^2))*(0.55+0.45*SIN(2*PI()*((Inputs!$I$6+(((A236)+1)/2)*(Inputs!$J$6-Inputs!$I$6)))/45))+24*SIN(2*PI()*(Inputs!$C$6)/9+((Inputs!$I$6+(((A236)+1)/2)*(Inputs!$J$6-Inputs!$I$6)))/18)*EXP(-(((Inputs!$C$6)+5)^2)/(22^2))+18*SIN(2*PI()*((Inputs!$I$6+(((A236)+1)/2)*(Inputs!$J$6-Inputs!$I$6)))/70))+Inputs!$C$28*EXP(-((((Inputs!$I$6+(((A236)+1)/2)*(Inputs!$J$6-Inputs!$I$6)))-Inputs!$C$29)^2)/(2*Inputs!$C$31^2))*EXP(-(((Inputs!$C$6)-Inputs!$C$30)^2)/(2*Inputs!$C$32^2))+-Inputs!$C$33*EXP(-((((((Inputs!$I$6+(((A236)+1)/2)*(Inputs!$J$6-Inputs!$I$6)))-Inputs!$C$34)^2)+(((Inputs!$C$6)-Inputs!$C$35)^2))/(2*Inputs!$C$36^2)))+Inputs!$C$37*(0.55*SIN(2*PI()*((Inputs!$I$6+(((A236)+1)/2)*(Inputs!$J$6-Inputs!$I$6)))/Inputs!$C$39)+0.35*COS(2*PI()*(Inputs!$C$6)/Inputs!$C$40)+0.2*SIN(2*PI()*(((Inputs!$I$6+(((A236)+1)/2)*(Inputs!$J$6-Inputs!$I$6)))+(Inputs!$C$6))/(0.5*(Inputs!$C$39+Inputs!$C$40))))+Inputs!$C$38*SIN(2*PI()*((Inputs!$I$6+(((A236)+1)/2)*(Inputs!$J$6-Inputs!$I$6)))/Inputs!$C$39)*SIN(2*PI()*(Inputs!$C$6)/Inputs!$C$40)+-Inputs!$C$41*EXP(-(((Inputs!$C$6)-Inputs!$C$43)^2)/(2*Inputs!$C$44^2))*EXP(-((((Inputs!$I$6+(((A236)+1)/2)*(Inputs!$J$6-Inputs!$I$6)))-Inputs!$C$42)^2)/(2*Inputs!$C$45^2))+Inputs!$C$48*(0.7*(0.45*SIN(2*PI()*((((Inputs!$I$6+(((A236)+1)/2)*(Inputs!$J$6-Inputs!$I$6)))/Inputs!$C$49)+Inputs!$C$47*0.137))+0.35*COS(2*PI()*(((Inputs!$C$6)/Inputs!$C$50)+Inputs!$C$47*0.173))+0.2*SIN(2*PI()*((((Inputs!$I$6+(((A236)+1)/2)*(Inputs!$J$6-Inputs!$I$6)))+(Inputs!$C$6))/(0.5*(Inputs!$C$49+Inputs!$C$50))+Inputs!$C$47*0.097)))+0.3*(2*((SIN((((Inputs!$I$6+(((A236)+1)/2)*(Inputs!$J$6-Inputs!$I$6)))*12.9898+(Inputs!$C$6)*78.233+Inputs!$C$47*37.719))*43758.5453)-INT((SIN((((Inputs!$I$6+(((A236)+1)/2)*(Inputs!$J$6-Inputs!$I$6)))*12.9898+(Inputs!$C$6)*78.233+Inputs!$C$47*37.719))*43758.5453)))-1))),NA())</f>
        <v/>
      </c>
      <c r="AT236" s="9">
        <f>IF(OR(Inputs!$F$7=TRUE,Inputs!$F$7="TRUE",Inputs!$F$7=1),IF(OR(Inputs!$C$27=TRUE,Inputs!$C$27="TRUE",Inputs!$C$27=1),1,0)*(Inputs!$C$51*(115*EXP(-(((Inputs!$C$6)-25)^2)/(4.5^2))+70*EXP(-(((Inputs!$C$6)+38)^2)/(7^2))*(0.55+0.45*SIN(2*PI()*((Inputs!$I$7+(((A236)+1)/2)*(Inputs!$J$7-Inputs!$I$7)))/45))+24*SIN(2*PI()*(Inputs!$C$6)/9+((Inputs!$I$7+(((A236)+1)/2)*(Inputs!$J$7-Inputs!$I$7)))/18)*EXP(-(((Inputs!$C$6)+5)^2)/(22^2))+18*SIN(2*PI()*((Inputs!$I$7+(((A236)+1)/2)*(Inputs!$J$7-Inputs!$I$7)))/70))+Inputs!$C$28*EXP(-((((Inputs!$I$7+(((A236)+1)/2)*(Inputs!$J$7-Inputs!$I$7)))-Inputs!$C$29)^2)/(2*Inputs!$C$31^2))*EXP(-(((Inputs!$C$6)-Inputs!$C$30)^2)/(2*Inputs!$C$32^2))+-Inputs!$C$33*EXP(-((((((Inputs!$I$7+(((A236)+1)/2)*(Inputs!$J$7-Inputs!$I$7)))-Inputs!$C$34)^2)+(((Inputs!$C$6)-Inputs!$C$35)^2))/(2*Inputs!$C$36^2)))+Inputs!$C$37*(0.55*SIN(2*PI()*((Inputs!$I$7+(((A236)+1)/2)*(Inputs!$J$7-Inputs!$I$7)))/Inputs!$C$39)+0.35*COS(2*PI()*(Inputs!$C$6)/Inputs!$C$40)+0.2*SIN(2*PI()*(((Inputs!$I$7+(((A236)+1)/2)*(Inputs!$J$7-Inputs!$I$7)))+(Inputs!$C$6))/(0.5*(Inputs!$C$39+Inputs!$C$40))))+Inputs!$C$38*SIN(2*PI()*((Inputs!$I$7+(((A236)+1)/2)*(Inputs!$J$7-Inputs!$I$7)))/Inputs!$C$39)*SIN(2*PI()*(Inputs!$C$6)/Inputs!$C$40)+-Inputs!$C$41*EXP(-(((Inputs!$C$6)-Inputs!$C$43)^2)/(2*Inputs!$C$44^2))*EXP(-((((Inputs!$I$7+(((A236)+1)/2)*(Inputs!$J$7-Inputs!$I$7)))-Inputs!$C$42)^2)/(2*Inputs!$C$45^2))+Inputs!$C$48*(0.7*(0.45*SIN(2*PI()*((((Inputs!$I$7+(((A236)+1)/2)*(Inputs!$J$7-Inputs!$I$7)))/Inputs!$C$49)+Inputs!$C$47*0.137))+0.35*COS(2*PI()*(((Inputs!$C$6)/Inputs!$C$50)+Inputs!$C$47*0.173))+0.2*SIN(2*PI()*((((Inputs!$I$7+(((A236)+1)/2)*(Inputs!$J$7-Inputs!$I$7)))+(Inputs!$C$6))/(0.5*(Inputs!$C$49+Inputs!$C$50))+Inputs!$C$47*0.097)))+0.3*(2*((SIN((((Inputs!$I$7+(((A236)+1)/2)*(Inputs!$J$7-Inputs!$I$7)))*12.9898+(Inputs!$C$6)*78.233+Inputs!$C$47*37.719))*43758.5453)-INT((SIN((((Inputs!$I$7+(((A236)+1)/2)*(Inputs!$J$7-Inputs!$I$7)))*12.9898+(Inputs!$C$6)*78.233+Inputs!$C$47*37.719))*43758.5453)))-1))),NA())</f>
        <v/>
      </c>
      <c r="AU236" s="9">
        <f>IF(OR(Inputs!$F$8=TRUE,Inputs!$F$8="TRUE",Inputs!$F$8=1),IF(OR(Inputs!$C$27=TRUE,Inputs!$C$27="TRUE",Inputs!$C$27=1),1,0)*(Inputs!$C$51*(115*EXP(-(((Inputs!$C$6)-25)^2)/(4.5^2))+70*EXP(-(((Inputs!$C$6)+38)^2)/(7^2))*(0.55+0.45*SIN(2*PI()*((Inputs!$I$8+(((A236)+1)/2)*(Inputs!$J$8-Inputs!$I$8)))/45))+24*SIN(2*PI()*(Inputs!$C$6)/9+((Inputs!$I$8+(((A236)+1)/2)*(Inputs!$J$8-Inputs!$I$8)))/18)*EXP(-(((Inputs!$C$6)+5)^2)/(22^2))+18*SIN(2*PI()*((Inputs!$I$8+(((A236)+1)/2)*(Inputs!$J$8-Inputs!$I$8)))/70))+Inputs!$C$28*EXP(-((((Inputs!$I$8+(((A236)+1)/2)*(Inputs!$J$8-Inputs!$I$8)))-Inputs!$C$29)^2)/(2*Inputs!$C$31^2))*EXP(-(((Inputs!$C$6)-Inputs!$C$30)^2)/(2*Inputs!$C$32^2))+-Inputs!$C$33*EXP(-((((((Inputs!$I$8+(((A236)+1)/2)*(Inputs!$J$8-Inputs!$I$8)))-Inputs!$C$34)^2)+(((Inputs!$C$6)-Inputs!$C$35)^2))/(2*Inputs!$C$36^2)))+Inputs!$C$37*(0.55*SIN(2*PI()*((Inputs!$I$8+(((A236)+1)/2)*(Inputs!$J$8-Inputs!$I$8)))/Inputs!$C$39)+0.35*COS(2*PI()*(Inputs!$C$6)/Inputs!$C$40)+0.2*SIN(2*PI()*(((Inputs!$I$8+(((A236)+1)/2)*(Inputs!$J$8-Inputs!$I$8)))+(Inputs!$C$6))/(0.5*(Inputs!$C$39+Inputs!$C$40))))+Inputs!$C$38*SIN(2*PI()*((Inputs!$I$8+(((A236)+1)/2)*(Inputs!$J$8-Inputs!$I$8)))/Inputs!$C$39)*SIN(2*PI()*(Inputs!$C$6)/Inputs!$C$40)+-Inputs!$C$41*EXP(-(((Inputs!$C$6)-Inputs!$C$43)^2)/(2*Inputs!$C$44^2))*EXP(-((((Inputs!$I$8+(((A236)+1)/2)*(Inputs!$J$8-Inputs!$I$8)))-Inputs!$C$42)^2)/(2*Inputs!$C$45^2))+Inputs!$C$48*(0.7*(0.45*SIN(2*PI()*((((Inputs!$I$8+(((A236)+1)/2)*(Inputs!$J$8-Inputs!$I$8)))/Inputs!$C$49)+Inputs!$C$47*0.137))+0.35*COS(2*PI()*(((Inputs!$C$6)/Inputs!$C$50)+Inputs!$C$47*0.173))+0.2*SIN(2*PI()*((((Inputs!$I$8+(((A236)+1)/2)*(Inputs!$J$8-Inputs!$I$8)))+(Inputs!$C$6))/(0.5*(Inputs!$C$49+Inputs!$C$50))+Inputs!$C$47*0.097)))+0.3*(2*((SIN((((Inputs!$I$8+(((A236)+1)/2)*(Inputs!$J$8-Inputs!$I$8)))*12.9898+(Inputs!$C$6)*78.233+Inputs!$C$47*37.719))*43758.5453)-INT((SIN((((Inputs!$I$8+(((A236)+1)/2)*(Inputs!$J$8-Inputs!$I$8)))*12.9898+(Inputs!$C$6)*78.233+Inputs!$C$47*37.719))*43758.5453)))-1))),NA())</f>
        <v/>
      </c>
      <c r="AV236" s="9">
        <f>IF(OR(Inputs!$F$9=TRUE,Inputs!$F$9="TRUE",Inputs!$F$9=1),IF(OR(Inputs!$C$27=TRUE,Inputs!$C$27="TRUE",Inputs!$C$27=1),1,0)*(Inputs!$C$51*(115*EXP(-(((Inputs!$C$6)-25)^2)/(4.5^2))+70*EXP(-(((Inputs!$C$6)+38)^2)/(7^2))*(0.55+0.45*SIN(2*PI()*((Inputs!$I$9+(((A236)+1)/2)*(Inputs!$J$9-Inputs!$I$9)))/45))+24*SIN(2*PI()*(Inputs!$C$6)/9+((Inputs!$I$9+(((A236)+1)/2)*(Inputs!$J$9-Inputs!$I$9)))/18)*EXP(-(((Inputs!$C$6)+5)^2)/(22^2))+18*SIN(2*PI()*((Inputs!$I$9+(((A236)+1)/2)*(Inputs!$J$9-Inputs!$I$9)))/70))+Inputs!$C$28*EXP(-((((Inputs!$I$9+(((A236)+1)/2)*(Inputs!$J$9-Inputs!$I$9)))-Inputs!$C$29)^2)/(2*Inputs!$C$31^2))*EXP(-(((Inputs!$C$6)-Inputs!$C$30)^2)/(2*Inputs!$C$32^2))+-Inputs!$C$33*EXP(-((((((Inputs!$I$9+(((A236)+1)/2)*(Inputs!$J$9-Inputs!$I$9)))-Inputs!$C$34)^2)+(((Inputs!$C$6)-Inputs!$C$35)^2))/(2*Inputs!$C$36^2)))+Inputs!$C$37*(0.55*SIN(2*PI()*((Inputs!$I$9+(((A236)+1)/2)*(Inputs!$J$9-Inputs!$I$9)))/Inputs!$C$39)+0.35*COS(2*PI()*(Inputs!$C$6)/Inputs!$C$40)+0.2*SIN(2*PI()*(((Inputs!$I$9+(((A236)+1)/2)*(Inputs!$J$9-Inputs!$I$9)))+(Inputs!$C$6))/(0.5*(Inputs!$C$39+Inputs!$C$40))))+Inputs!$C$38*SIN(2*PI()*((Inputs!$I$9+(((A236)+1)/2)*(Inputs!$J$9-Inputs!$I$9)))/Inputs!$C$39)*SIN(2*PI()*(Inputs!$C$6)/Inputs!$C$40)+-Inputs!$C$41*EXP(-(((Inputs!$C$6)-Inputs!$C$43)^2)/(2*Inputs!$C$44^2))*EXP(-((((Inputs!$I$9+(((A236)+1)/2)*(Inputs!$J$9-Inputs!$I$9)))-Inputs!$C$42)^2)/(2*Inputs!$C$45^2))+Inputs!$C$48*(0.7*(0.45*SIN(2*PI()*((((Inputs!$I$9+(((A236)+1)/2)*(Inputs!$J$9-Inputs!$I$9)))/Inputs!$C$49)+Inputs!$C$47*0.137))+0.35*COS(2*PI()*(((Inputs!$C$6)/Inputs!$C$50)+Inputs!$C$47*0.173))+0.2*SIN(2*PI()*((((Inputs!$I$9+(((A236)+1)/2)*(Inputs!$J$9-Inputs!$I$9)))+(Inputs!$C$6))/(0.5*(Inputs!$C$49+Inputs!$C$50))+Inputs!$C$47*0.097)))+0.3*(2*((SIN((((Inputs!$I$9+(((A236)+1)/2)*(Inputs!$J$9-Inputs!$I$9)))*12.9898+(Inputs!$C$6)*78.233+Inputs!$C$47*37.719))*43758.5453)-INT((SIN((((Inputs!$I$9+(((A236)+1)/2)*(Inputs!$J$9-Inputs!$I$9)))*12.9898+(Inputs!$C$6)*78.233+Inputs!$C$47*37.719))*43758.5453)))-1))),NA())</f>
        <v/>
      </c>
      <c r="AW236" s="10" t="n"/>
      <c r="AX236" s="9">
        <f>A236</f>
        <v/>
      </c>
      <c r="AY236" s="9">
        <f>0</f>
        <v/>
      </c>
      <c r="AZ236" s="9">
        <f>IF(OR(Inputs!$F$6=TRUE,Inputs!$F$6="TRUE",Inputs!$F$6=1),(Inputs!$H$6+Inputs!$L$6*(((Inputs!$I$6+(((A236)+1)/2)*(Inputs!$J$6-Inputs!$I$6)))/Inputs!$K$6)^2),NA())</f>
        <v/>
      </c>
      <c r="BA236" s="9">
        <f>IF(OR(Inputs!$F$7=TRUE,Inputs!$F$7="TRUE",Inputs!$F$7=1),(Inputs!$H$7+Inputs!$L$7*(((Inputs!$I$7+(((A236)+1)/2)*(Inputs!$J$7-Inputs!$I$7)))/Inputs!$K$7)^2),NA())</f>
        <v/>
      </c>
      <c r="BB236" s="9">
        <f>IF(OR(Inputs!$F$8=TRUE,Inputs!$F$8="TRUE",Inputs!$F$8=1),(Inputs!$H$8+Inputs!$L$8*(((Inputs!$I$8+(((A236)+1)/2)*(Inputs!$J$8-Inputs!$I$8)))/Inputs!$K$8)^2),NA())</f>
        <v/>
      </c>
      <c r="BC236" s="9">
        <f>IF(OR(Inputs!$F$9=TRUE,Inputs!$F$9="TRUE",Inputs!$F$9=1),(Inputs!$H$9+Inputs!$L$9*(((Inputs!$I$9+(((A236)+1)/2)*(Inputs!$J$9-Inputs!$I$9)))/Inputs!$K$9)^2),NA())</f>
        <v/>
      </c>
      <c r="BD236" s="10" t="n"/>
      <c r="BE236" s="9">
        <f>A236</f>
        <v/>
      </c>
      <c r="BF236" s="9">
        <f>0</f>
        <v/>
      </c>
      <c r="BG236" s="9">
        <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f>
        <v/>
      </c>
      <c r="BH236" s="9">
        <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f>
        <v/>
      </c>
      <c r="BI236" s="9">
        <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f>
        <v/>
      </c>
      <c r="BJ236" s="9">
        <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f>
        <v/>
      </c>
    </row>
    <row r="237">
      <c r="A237" s="9">
        <f>ROUND(-1+235*2/240,3)</f>
        <v/>
      </c>
      <c r="B237" s="9">
        <f>IF(OR(Inputs!$F$6=TRUE,Inputs!$F$6="TRUE",Inputs!$F$6=1),(Inputs!$H$6+Inputs!$L$6*(((Inputs!$I$6+(((A237)+1)/2)*(Inputs!$J$6-Inputs!$I$6)))/Inputs!$K$6)^2),NA())</f>
        <v/>
      </c>
      <c r="C237" s="9">
        <f>IF(OR(Inputs!$F$7=TRUE,Inputs!$F$7="TRUE",Inputs!$F$7=1),(Inputs!$H$7+Inputs!$L$7*(((Inputs!$I$7+(((A237)+1)/2)*(Inputs!$J$7-Inputs!$I$7)))/Inputs!$K$7)^2),NA())</f>
        <v/>
      </c>
      <c r="D237" s="9">
        <f>IF(OR(Inputs!$F$8=TRUE,Inputs!$F$8="TRUE",Inputs!$F$8=1),(Inputs!$H$8+Inputs!$L$8*(((Inputs!$I$8+(((A237)+1)/2)*(Inputs!$J$8-Inputs!$I$8)))/Inputs!$K$8)^2),NA())</f>
        <v/>
      </c>
      <c r="E237" s="9">
        <f>IF(OR(Inputs!$F$9=TRUE,Inputs!$F$9="TRUE",Inputs!$F$9=1),(Inputs!$H$9+Inputs!$L$9*(((Inputs!$I$9+(((A237)+1)/2)*(Inputs!$J$9-Inputs!$I$9)))/Inputs!$K$9)^2),NA())</f>
        <v/>
      </c>
      <c r="F237" s="10" t="n"/>
      <c r="G237" s="9">
        <f>A237</f>
        <v/>
      </c>
      <c r="H237" s="9">
        <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f>
        <v/>
      </c>
      <c r="I237" s="9">
        <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f>
        <v/>
      </c>
      <c r="J237" s="9">
        <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f>
        <v/>
      </c>
      <c r="K237" s="9">
        <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f>
        <v/>
      </c>
      <c r="L237" s="10" t="n"/>
      <c r="M237" s="9">
        <f>A237</f>
        <v/>
      </c>
      <c r="N237" s="9">
        <f>IF(OR(Inputs!$F$6=TRUE,Inputs!$F$6="TRUE",Inputs!$F$6=1),(-2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NA())</f>
        <v/>
      </c>
      <c r="O237" s="9">
        <f>IF(OR(Inputs!$F$7=TRUE,Inputs!$F$7="TRUE",Inputs!$F$7=1),(-2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NA())</f>
        <v/>
      </c>
      <c r="P237" s="9">
        <f>IF(OR(Inputs!$F$8=TRUE,Inputs!$F$8="TRUE",Inputs!$F$8=1),(-2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NA())</f>
        <v/>
      </c>
      <c r="Q237" s="9">
        <f>IF(OR(Inputs!$F$9=TRUE,Inputs!$F$9="TRUE",Inputs!$F$9=1),(-2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NA())</f>
        <v/>
      </c>
      <c r="R237" s="10" t="n"/>
      <c r="S237" s="9">
        <f>A237</f>
        <v/>
      </c>
      <c r="T237" s="9">
        <f>(Inputs!$I$6+(((A237)+1)/2)*(Inputs!$J$6-Inputs!$I$6))</f>
        <v/>
      </c>
      <c r="U237" s="9">
        <f>(Inputs!$I$7+(((A237)+1)/2)*(Inputs!$J$7-Inputs!$I$7))</f>
        <v/>
      </c>
      <c r="V237" s="9">
        <f>(Inputs!$I$8+(((A237)+1)/2)*(Inputs!$J$8-Inputs!$I$8))</f>
        <v/>
      </c>
      <c r="W237" s="9">
        <f>(Inputs!$I$9+(((A237)+1)/2)*(Inputs!$J$9-Inputs!$I$9))</f>
        <v/>
      </c>
      <c r="X237" s="10" t="n"/>
      <c r="Y237" s="9">
        <f>A237</f>
        <v/>
      </c>
      <c r="Z237" s="9">
        <f>(Inputs!$H$6+Inputs!$L$6*(((Inputs!$I$6+(((A237)+1)/2)*(Inputs!$J$6-Inputs!$I$6)))/Inputs!$K$6)^2)</f>
        <v/>
      </c>
      <c r="AA237" s="9">
        <f>(Inputs!$H$7+Inputs!$L$7*(((Inputs!$I$7+(((A237)+1)/2)*(Inputs!$J$7-Inputs!$I$7)))/Inputs!$K$7)^2)</f>
        <v/>
      </c>
      <c r="AB237" s="9">
        <f>(Inputs!$H$8+Inputs!$L$8*(((Inputs!$I$8+(((A237)+1)/2)*(Inputs!$J$8-Inputs!$I$8)))/Inputs!$K$8)^2)</f>
        <v/>
      </c>
      <c r="AC237" s="9">
        <f>(Inputs!$H$9+Inputs!$L$9*(((Inputs!$I$9+(((A237)+1)/2)*(Inputs!$J$9-Inputs!$I$9)))/Inputs!$K$9)^2)</f>
        <v/>
      </c>
      <c r="AD237" s="10" t="n"/>
      <c r="AE237" s="9">
        <f>A237</f>
        <v/>
      </c>
      <c r="AF237" s="9">
        <f>(((SQRT((Inputs!$C$52+((Inputs!$H$6+Inputs!$L$6*(((Inputs!$I$6+(((A237)+1)/2)*(Inputs!$J$6-Inputs!$I$6)))/Inputs!$K$6)^2)))^2+Inputs!$C$52^2-2*(Inputs!$C$52+((Inputs!$H$6+Inputs!$L$6*(((Inputs!$I$6+(((A237)+1)/2)*(Inputs!$J$6-Inputs!$I$6)))/Inputs!$K$6)^2)))*Inputs!$C$52*COS(SQRT(((Inputs!$I$6+(((A237)+1)/2)*(Inputs!$J$6-Inputs!$I$6)))^2+Inputs!$C$6^2)/Inputs!$C$52)))-((Inputs!$H$6+Inputs!$L$6*(((Inputs!$I$6+(((A237)+1)/2)*(Inputs!$J$6-Inputs!$I$6)))/Inputs!$K$6)^2)))*1000/Inputs!$C$12)</f>
        <v/>
      </c>
      <c r="AG237" s="9">
        <f>(((SQRT((Inputs!$C$52+((Inputs!$H$7+Inputs!$L$7*(((Inputs!$I$7+(((A237)+1)/2)*(Inputs!$J$7-Inputs!$I$7)))/Inputs!$K$7)^2)))^2+Inputs!$C$52^2-2*(Inputs!$C$52+((Inputs!$H$7+Inputs!$L$7*(((Inputs!$I$7+(((A237)+1)/2)*(Inputs!$J$7-Inputs!$I$7)))/Inputs!$K$7)^2)))*Inputs!$C$52*COS(SQRT(((Inputs!$I$7+(((A237)+1)/2)*(Inputs!$J$7-Inputs!$I$7)))^2+Inputs!$C$6^2)/Inputs!$C$52)))-((Inputs!$H$7+Inputs!$L$7*(((Inputs!$I$7+(((A237)+1)/2)*(Inputs!$J$7-Inputs!$I$7)))/Inputs!$K$7)^2)))*1000/Inputs!$C$12)</f>
        <v/>
      </c>
      <c r="AH237" s="9">
        <f>(((SQRT((Inputs!$C$52+((Inputs!$H$8+Inputs!$L$8*(((Inputs!$I$8+(((A237)+1)/2)*(Inputs!$J$8-Inputs!$I$8)))/Inputs!$K$8)^2)))^2+Inputs!$C$52^2-2*(Inputs!$C$52+((Inputs!$H$8+Inputs!$L$8*(((Inputs!$I$8+(((A237)+1)/2)*(Inputs!$J$8-Inputs!$I$8)))/Inputs!$K$8)^2)))*Inputs!$C$52*COS(SQRT(((Inputs!$I$8+(((A237)+1)/2)*(Inputs!$J$8-Inputs!$I$8)))^2+Inputs!$C$6^2)/Inputs!$C$52)))-((Inputs!$H$8+Inputs!$L$8*(((Inputs!$I$8+(((A237)+1)/2)*(Inputs!$J$8-Inputs!$I$8)))/Inputs!$K$8)^2)))*1000/Inputs!$C$12)</f>
        <v/>
      </c>
      <c r="AI237" s="9">
        <f>(((SQRT((Inputs!$C$52+((Inputs!$H$9+Inputs!$L$9*(((Inputs!$I$9+(((A237)+1)/2)*(Inputs!$J$9-Inputs!$I$9)))/Inputs!$K$9)^2)))^2+Inputs!$C$52^2-2*(Inputs!$C$52+((Inputs!$H$9+Inputs!$L$9*(((Inputs!$I$9+(((A237)+1)/2)*(Inputs!$J$9-Inputs!$I$9)))/Inputs!$K$9)^2)))*Inputs!$C$52*COS(SQRT(((Inputs!$I$9+(((A237)+1)/2)*(Inputs!$J$9-Inputs!$I$9)))^2+Inputs!$C$6^2)/Inputs!$C$52)))-((Inputs!$H$9+Inputs!$L$9*(((Inputs!$I$9+(((A237)+1)/2)*(Inputs!$J$9-Inputs!$I$9)))/Inputs!$K$9)^2)))*1000/Inputs!$C$12)</f>
        <v/>
      </c>
      <c r="AJ237" s="10" t="n"/>
      <c r="AK237" s="9">
        <f>A237</f>
        <v/>
      </c>
      <c r="AL237" s="9">
        <f>(-2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f>
        <v/>
      </c>
      <c r="AM237" s="9">
        <f>(-2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f>
        <v/>
      </c>
      <c r="AN237" s="9">
        <f>(-2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f>
        <v/>
      </c>
      <c r="AO237" s="9">
        <f>(-2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f>
        <v/>
      </c>
      <c r="AP237" s="10" t="n"/>
      <c r="AQ237" s="9">
        <f>A237</f>
        <v/>
      </c>
      <c r="AR237" s="9">
        <f>0</f>
        <v/>
      </c>
      <c r="AS237" s="9">
        <f>IF(OR(Inputs!$F$6=TRUE,Inputs!$F$6="TRUE",Inputs!$F$6=1),IF(OR(Inputs!$C$27=TRUE,Inputs!$C$27="TRUE",Inputs!$C$27=1),1,0)*(Inputs!$C$51*(115*EXP(-(((Inputs!$C$6)-25)^2)/(4.5^2))+70*EXP(-(((Inputs!$C$6)+38)^2)/(7^2))*(0.55+0.45*SIN(2*PI()*((Inputs!$I$6+(((A237)+1)/2)*(Inputs!$J$6-Inputs!$I$6)))/45))+24*SIN(2*PI()*(Inputs!$C$6)/9+((Inputs!$I$6+(((A237)+1)/2)*(Inputs!$J$6-Inputs!$I$6)))/18)*EXP(-(((Inputs!$C$6)+5)^2)/(22^2))+18*SIN(2*PI()*((Inputs!$I$6+(((A237)+1)/2)*(Inputs!$J$6-Inputs!$I$6)))/70))+Inputs!$C$28*EXP(-((((Inputs!$I$6+(((A237)+1)/2)*(Inputs!$J$6-Inputs!$I$6)))-Inputs!$C$29)^2)/(2*Inputs!$C$31^2))*EXP(-(((Inputs!$C$6)-Inputs!$C$30)^2)/(2*Inputs!$C$32^2))+-Inputs!$C$33*EXP(-((((((Inputs!$I$6+(((A237)+1)/2)*(Inputs!$J$6-Inputs!$I$6)))-Inputs!$C$34)^2)+(((Inputs!$C$6)-Inputs!$C$35)^2))/(2*Inputs!$C$36^2)))+Inputs!$C$37*(0.55*SIN(2*PI()*((Inputs!$I$6+(((A237)+1)/2)*(Inputs!$J$6-Inputs!$I$6)))/Inputs!$C$39)+0.35*COS(2*PI()*(Inputs!$C$6)/Inputs!$C$40)+0.2*SIN(2*PI()*(((Inputs!$I$6+(((A237)+1)/2)*(Inputs!$J$6-Inputs!$I$6)))+(Inputs!$C$6))/(0.5*(Inputs!$C$39+Inputs!$C$40))))+Inputs!$C$38*SIN(2*PI()*((Inputs!$I$6+(((A237)+1)/2)*(Inputs!$J$6-Inputs!$I$6)))/Inputs!$C$39)*SIN(2*PI()*(Inputs!$C$6)/Inputs!$C$40)+-Inputs!$C$41*EXP(-(((Inputs!$C$6)-Inputs!$C$43)^2)/(2*Inputs!$C$44^2))*EXP(-((((Inputs!$I$6+(((A237)+1)/2)*(Inputs!$J$6-Inputs!$I$6)))-Inputs!$C$42)^2)/(2*Inputs!$C$45^2))+Inputs!$C$48*(0.7*(0.45*SIN(2*PI()*((((Inputs!$I$6+(((A237)+1)/2)*(Inputs!$J$6-Inputs!$I$6)))/Inputs!$C$49)+Inputs!$C$47*0.137))+0.35*COS(2*PI()*(((Inputs!$C$6)/Inputs!$C$50)+Inputs!$C$47*0.173))+0.2*SIN(2*PI()*((((Inputs!$I$6+(((A237)+1)/2)*(Inputs!$J$6-Inputs!$I$6)))+(Inputs!$C$6))/(0.5*(Inputs!$C$49+Inputs!$C$50))+Inputs!$C$47*0.097)))+0.3*(2*((SIN((((Inputs!$I$6+(((A237)+1)/2)*(Inputs!$J$6-Inputs!$I$6)))*12.9898+(Inputs!$C$6)*78.233+Inputs!$C$47*37.719))*43758.5453)-INT((SIN((((Inputs!$I$6+(((A237)+1)/2)*(Inputs!$J$6-Inputs!$I$6)))*12.9898+(Inputs!$C$6)*78.233+Inputs!$C$47*37.719))*43758.5453)))-1))),NA())</f>
        <v/>
      </c>
      <c r="AT237" s="9">
        <f>IF(OR(Inputs!$F$7=TRUE,Inputs!$F$7="TRUE",Inputs!$F$7=1),IF(OR(Inputs!$C$27=TRUE,Inputs!$C$27="TRUE",Inputs!$C$27=1),1,0)*(Inputs!$C$51*(115*EXP(-(((Inputs!$C$6)-25)^2)/(4.5^2))+70*EXP(-(((Inputs!$C$6)+38)^2)/(7^2))*(0.55+0.45*SIN(2*PI()*((Inputs!$I$7+(((A237)+1)/2)*(Inputs!$J$7-Inputs!$I$7)))/45))+24*SIN(2*PI()*(Inputs!$C$6)/9+((Inputs!$I$7+(((A237)+1)/2)*(Inputs!$J$7-Inputs!$I$7)))/18)*EXP(-(((Inputs!$C$6)+5)^2)/(22^2))+18*SIN(2*PI()*((Inputs!$I$7+(((A237)+1)/2)*(Inputs!$J$7-Inputs!$I$7)))/70))+Inputs!$C$28*EXP(-((((Inputs!$I$7+(((A237)+1)/2)*(Inputs!$J$7-Inputs!$I$7)))-Inputs!$C$29)^2)/(2*Inputs!$C$31^2))*EXP(-(((Inputs!$C$6)-Inputs!$C$30)^2)/(2*Inputs!$C$32^2))+-Inputs!$C$33*EXP(-((((((Inputs!$I$7+(((A237)+1)/2)*(Inputs!$J$7-Inputs!$I$7)))-Inputs!$C$34)^2)+(((Inputs!$C$6)-Inputs!$C$35)^2))/(2*Inputs!$C$36^2)))+Inputs!$C$37*(0.55*SIN(2*PI()*((Inputs!$I$7+(((A237)+1)/2)*(Inputs!$J$7-Inputs!$I$7)))/Inputs!$C$39)+0.35*COS(2*PI()*(Inputs!$C$6)/Inputs!$C$40)+0.2*SIN(2*PI()*(((Inputs!$I$7+(((A237)+1)/2)*(Inputs!$J$7-Inputs!$I$7)))+(Inputs!$C$6))/(0.5*(Inputs!$C$39+Inputs!$C$40))))+Inputs!$C$38*SIN(2*PI()*((Inputs!$I$7+(((A237)+1)/2)*(Inputs!$J$7-Inputs!$I$7)))/Inputs!$C$39)*SIN(2*PI()*(Inputs!$C$6)/Inputs!$C$40)+-Inputs!$C$41*EXP(-(((Inputs!$C$6)-Inputs!$C$43)^2)/(2*Inputs!$C$44^2))*EXP(-((((Inputs!$I$7+(((A237)+1)/2)*(Inputs!$J$7-Inputs!$I$7)))-Inputs!$C$42)^2)/(2*Inputs!$C$45^2))+Inputs!$C$48*(0.7*(0.45*SIN(2*PI()*((((Inputs!$I$7+(((A237)+1)/2)*(Inputs!$J$7-Inputs!$I$7)))/Inputs!$C$49)+Inputs!$C$47*0.137))+0.35*COS(2*PI()*(((Inputs!$C$6)/Inputs!$C$50)+Inputs!$C$47*0.173))+0.2*SIN(2*PI()*((((Inputs!$I$7+(((A237)+1)/2)*(Inputs!$J$7-Inputs!$I$7)))+(Inputs!$C$6))/(0.5*(Inputs!$C$49+Inputs!$C$50))+Inputs!$C$47*0.097)))+0.3*(2*((SIN((((Inputs!$I$7+(((A237)+1)/2)*(Inputs!$J$7-Inputs!$I$7)))*12.9898+(Inputs!$C$6)*78.233+Inputs!$C$47*37.719))*43758.5453)-INT((SIN((((Inputs!$I$7+(((A237)+1)/2)*(Inputs!$J$7-Inputs!$I$7)))*12.9898+(Inputs!$C$6)*78.233+Inputs!$C$47*37.719))*43758.5453)))-1))),NA())</f>
        <v/>
      </c>
      <c r="AU237" s="9">
        <f>IF(OR(Inputs!$F$8=TRUE,Inputs!$F$8="TRUE",Inputs!$F$8=1),IF(OR(Inputs!$C$27=TRUE,Inputs!$C$27="TRUE",Inputs!$C$27=1),1,0)*(Inputs!$C$51*(115*EXP(-(((Inputs!$C$6)-25)^2)/(4.5^2))+70*EXP(-(((Inputs!$C$6)+38)^2)/(7^2))*(0.55+0.45*SIN(2*PI()*((Inputs!$I$8+(((A237)+1)/2)*(Inputs!$J$8-Inputs!$I$8)))/45))+24*SIN(2*PI()*(Inputs!$C$6)/9+((Inputs!$I$8+(((A237)+1)/2)*(Inputs!$J$8-Inputs!$I$8)))/18)*EXP(-(((Inputs!$C$6)+5)^2)/(22^2))+18*SIN(2*PI()*((Inputs!$I$8+(((A237)+1)/2)*(Inputs!$J$8-Inputs!$I$8)))/70))+Inputs!$C$28*EXP(-((((Inputs!$I$8+(((A237)+1)/2)*(Inputs!$J$8-Inputs!$I$8)))-Inputs!$C$29)^2)/(2*Inputs!$C$31^2))*EXP(-(((Inputs!$C$6)-Inputs!$C$30)^2)/(2*Inputs!$C$32^2))+-Inputs!$C$33*EXP(-((((((Inputs!$I$8+(((A237)+1)/2)*(Inputs!$J$8-Inputs!$I$8)))-Inputs!$C$34)^2)+(((Inputs!$C$6)-Inputs!$C$35)^2))/(2*Inputs!$C$36^2)))+Inputs!$C$37*(0.55*SIN(2*PI()*((Inputs!$I$8+(((A237)+1)/2)*(Inputs!$J$8-Inputs!$I$8)))/Inputs!$C$39)+0.35*COS(2*PI()*(Inputs!$C$6)/Inputs!$C$40)+0.2*SIN(2*PI()*(((Inputs!$I$8+(((A237)+1)/2)*(Inputs!$J$8-Inputs!$I$8)))+(Inputs!$C$6))/(0.5*(Inputs!$C$39+Inputs!$C$40))))+Inputs!$C$38*SIN(2*PI()*((Inputs!$I$8+(((A237)+1)/2)*(Inputs!$J$8-Inputs!$I$8)))/Inputs!$C$39)*SIN(2*PI()*(Inputs!$C$6)/Inputs!$C$40)+-Inputs!$C$41*EXP(-(((Inputs!$C$6)-Inputs!$C$43)^2)/(2*Inputs!$C$44^2))*EXP(-((((Inputs!$I$8+(((A237)+1)/2)*(Inputs!$J$8-Inputs!$I$8)))-Inputs!$C$42)^2)/(2*Inputs!$C$45^2))+Inputs!$C$48*(0.7*(0.45*SIN(2*PI()*((((Inputs!$I$8+(((A237)+1)/2)*(Inputs!$J$8-Inputs!$I$8)))/Inputs!$C$49)+Inputs!$C$47*0.137))+0.35*COS(2*PI()*(((Inputs!$C$6)/Inputs!$C$50)+Inputs!$C$47*0.173))+0.2*SIN(2*PI()*((((Inputs!$I$8+(((A237)+1)/2)*(Inputs!$J$8-Inputs!$I$8)))+(Inputs!$C$6))/(0.5*(Inputs!$C$49+Inputs!$C$50))+Inputs!$C$47*0.097)))+0.3*(2*((SIN((((Inputs!$I$8+(((A237)+1)/2)*(Inputs!$J$8-Inputs!$I$8)))*12.9898+(Inputs!$C$6)*78.233+Inputs!$C$47*37.719))*43758.5453)-INT((SIN((((Inputs!$I$8+(((A237)+1)/2)*(Inputs!$J$8-Inputs!$I$8)))*12.9898+(Inputs!$C$6)*78.233+Inputs!$C$47*37.719))*43758.5453)))-1))),NA())</f>
        <v/>
      </c>
      <c r="AV237" s="9">
        <f>IF(OR(Inputs!$F$9=TRUE,Inputs!$F$9="TRUE",Inputs!$F$9=1),IF(OR(Inputs!$C$27=TRUE,Inputs!$C$27="TRUE",Inputs!$C$27=1),1,0)*(Inputs!$C$51*(115*EXP(-(((Inputs!$C$6)-25)^2)/(4.5^2))+70*EXP(-(((Inputs!$C$6)+38)^2)/(7^2))*(0.55+0.45*SIN(2*PI()*((Inputs!$I$9+(((A237)+1)/2)*(Inputs!$J$9-Inputs!$I$9)))/45))+24*SIN(2*PI()*(Inputs!$C$6)/9+((Inputs!$I$9+(((A237)+1)/2)*(Inputs!$J$9-Inputs!$I$9)))/18)*EXP(-(((Inputs!$C$6)+5)^2)/(22^2))+18*SIN(2*PI()*((Inputs!$I$9+(((A237)+1)/2)*(Inputs!$J$9-Inputs!$I$9)))/70))+Inputs!$C$28*EXP(-((((Inputs!$I$9+(((A237)+1)/2)*(Inputs!$J$9-Inputs!$I$9)))-Inputs!$C$29)^2)/(2*Inputs!$C$31^2))*EXP(-(((Inputs!$C$6)-Inputs!$C$30)^2)/(2*Inputs!$C$32^2))+-Inputs!$C$33*EXP(-((((((Inputs!$I$9+(((A237)+1)/2)*(Inputs!$J$9-Inputs!$I$9)))-Inputs!$C$34)^2)+(((Inputs!$C$6)-Inputs!$C$35)^2))/(2*Inputs!$C$36^2)))+Inputs!$C$37*(0.55*SIN(2*PI()*((Inputs!$I$9+(((A237)+1)/2)*(Inputs!$J$9-Inputs!$I$9)))/Inputs!$C$39)+0.35*COS(2*PI()*(Inputs!$C$6)/Inputs!$C$40)+0.2*SIN(2*PI()*(((Inputs!$I$9+(((A237)+1)/2)*(Inputs!$J$9-Inputs!$I$9)))+(Inputs!$C$6))/(0.5*(Inputs!$C$39+Inputs!$C$40))))+Inputs!$C$38*SIN(2*PI()*((Inputs!$I$9+(((A237)+1)/2)*(Inputs!$J$9-Inputs!$I$9)))/Inputs!$C$39)*SIN(2*PI()*(Inputs!$C$6)/Inputs!$C$40)+-Inputs!$C$41*EXP(-(((Inputs!$C$6)-Inputs!$C$43)^2)/(2*Inputs!$C$44^2))*EXP(-((((Inputs!$I$9+(((A237)+1)/2)*(Inputs!$J$9-Inputs!$I$9)))-Inputs!$C$42)^2)/(2*Inputs!$C$45^2))+Inputs!$C$48*(0.7*(0.45*SIN(2*PI()*((((Inputs!$I$9+(((A237)+1)/2)*(Inputs!$J$9-Inputs!$I$9)))/Inputs!$C$49)+Inputs!$C$47*0.137))+0.35*COS(2*PI()*(((Inputs!$C$6)/Inputs!$C$50)+Inputs!$C$47*0.173))+0.2*SIN(2*PI()*((((Inputs!$I$9+(((A237)+1)/2)*(Inputs!$J$9-Inputs!$I$9)))+(Inputs!$C$6))/(0.5*(Inputs!$C$49+Inputs!$C$50))+Inputs!$C$47*0.097)))+0.3*(2*((SIN((((Inputs!$I$9+(((A237)+1)/2)*(Inputs!$J$9-Inputs!$I$9)))*12.9898+(Inputs!$C$6)*78.233+Inputs!$C$47*37.719))*43758.5453)-INT((SIN((((Inputs!$I$9+(((A237)+1)/2)*(Inputs!$J$9-Inputs!$I$9)))*12.9898+(Inputs!$C$6)*78.233+Inputs!$C$47*37.719))*43758.5453)))-1))),NA())</f>
        <v/>
      </c>
      <c r="AW237" s="10" t="n"/>
      <c r="AX237" s="9">
        <f>A237</f>
        <v/>
      </c>
      <c r="AY237" s="9">
        <f>0</f>
        <v/>
      </c>
      <c r="AZ237" s="9">
        <f>IF(OR(Inputs!$F$6=TRUE,Inputs!$F$6="TRUE",Inputs!$F$6=1),(Inputs!$H$6+Inputs!$L$6*(((Inputs!$I$6+(((A237)+1)/2)*(Inputs!$J$6-Inputs!$I$6)))/Inputs!$K$6)^2),NA())</f>
        <v/>
      </c>
      <c r="BA237" s="9">
        <f>IF(OR(Inputs!$F$7=TRUE,Inputs!$F$7="TRUE",Inputs!$F$7=1),(Inputs!$H$7+Inputs!$L$7*(((Inputs!$I$7+(((A237)+1)/2)*(Inputs!$J$7-Inputs!$I$7)))/Inputs!$K$7)^2),NA())</f>
        <v/>
      </c>
      <c r="BB237" s="9">
        <f>IF(OR(Inputs!$F$8=TRUE,Inputs!$F$8="TRUE",Inputs!$F$8=1),(Inputs!$H$8+Inputs!$L$8*(((Inputs!$I$8+(((A237)+1)/2)*(Inputs!$J$8-Inputs!$I$8)))/Inputs!$K$8)^2),NA())</f>
        <v/>
      </c>
      <c r="BC237" s="9">
        <f>IF(OR(Inputs!$F$9=TRUE,Inputs!$F$9="TRUE",Inputs!$F$9=1),(Inputs!$H$9+Inputs!$L$9*(((Inputs!$I$9+(((A237)+1)/2)*(Inputs!$J$9-Inputs!$I$9)))/Inputs!$K$9)^2),NA())</f>
        <v/>
      </c>
      <c r="BD237" s="10" t="n"/>
      <c r="BE237" s="9">
        <f>A237</f>
        <v/>
      </c>
      <c r="BF237" s="9">
        <f>0</f>
        <v/>
      </c>
      <c r="BG237" s="9">
        <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f>
        <v/>
      </c>
      <c r="BH237" s="9">
        <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f>
        <v/>
      </c>
      <c r="BI237" s="9">
        <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f>
        <v/>
      </c>
      <c r="BJ237" s="9">
        <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f>
        <v/>
      </c>
    </row>
    <row r="238">
      <c r="A238" s="9">
        <f>ROUND(-1+236*2/240,3)</f>
        <v/>
      </c>
      <c r="B238" s="9">
        <f>IF(OR(Inputs!$F$6=TRUE,Inputs!$F$6="TRUE",Inputs!$F$6=1),(Inputs!$H$6+Inputs!$L$6*(((Inputs!$I$6+(((A238)+1)/2)*(Inputs!$J$6-Inputs!$I$6)))/Inputs!$K$6)^2),NA())</f>
        <v/>
      </c>
      <c r="C238" s="9">
        <f>IF(OR(Inputs!$F$7=TRUE,Inputs!$F$7="TRUE",Inputs!$F$7=1),(Inputs!$H$7+Inputs!$L$7*(((Inputs!$I$7+(((A238)+1)/2)*(Inputs!$J$7-Inputs!$I$7)))/Inputs!$K$7)^2),NA())</f>
        <v/>
      </c>
      <c r="D238" s="9">
        <f>IF(OR(Inputs!$F$8=TRUE,Inputs!$F$8="TRUE",Inputs!$F$8=1),(Inputs!$H$8+Inputs!$L$8*(((Inputs!$I$8+(((A238)+1)/2)*(Inputs!$J$8-Inputs!$I$8)))/Inputs!$K$8)^2),NA())</f>
        <v/>
      </c>
      <c r="E238" s="9">
        <f>IF(OR(Inputs!$F$9=TRUE,Inputs!$F$9="TRUE",Inputs!$F$9=1),(Inputs!$H$9+Inputs!$L$9*(((Inputs!$I$9+(((A238)+1)/2)*(Inputs!$J$9-Inputs!$I$9)))/Inputs!$K$9)^2),NA())</f>
        <v/>
      </c>
      <c r="F238" s="10" t="n"/>
      <c r="G238" s="9">
        <f>A238</f>
        <v/>
      </c>
      <c r="H238" s="9">
        <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f>
        <v/>
      </c>
      <c r="I238" s="9">
        <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f>
        <v/>
      </c>
      <c r="J238" s="9">
        <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f>
        <v/>
      </c>
      <c r="K238" s="9">
        <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f>
        <v/>
      </c>
      <c r="L238" s="10" t="n"/>
      <c r="M238" s="9">
        <f>A238</f>
        <v/>
      </c>
      <c r="N238" s="9">
        <f>IF(OR(Inputs!$F$6=TRUE,Inputs!$F$6="TRUE",Inputs!$F$6=1),(-2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NA())</f>
        <v/>
      </c>
      <c r="O238" s="9">
        <f>IF(OR(Inputs!$F$7=TRUE,Inputs!$F$7="TRUE",Inputs!$F$7=1),(-2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NA())</f>
        <v/>
      </c>
      <c r="P238" s="9">
        <f>IF(OR(Inputs!$F$8=TRUE,Inputs!$F$8="TRUE",Inputs!$F$8=1),(-2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NA())</f>
        <v/>
      </c>
      <c r="Q238" s="9">
        <f>IF(OR(Inputs!$F$9=TRUE,Inputs!$F$9="TRUE",Inputs!$F$9=1),(-2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NA())</f>
        <v/>
      </c>
      <c r="R238" s="10" t="n"/>
      <c r="S238" s="9">
        <f>A238</f>
        <v/>
      </c>
      <c r="T238" s="9">
        <f>(Inputs!$I$6+(((A238)+1)/2)*(Inputs!$J$6-Inputs!$I$6))</f>
        <v/>
      </c>
      <c r="U238" s="9">
        <f>(Inputs!$I$7+(((A238)+1)/2)*(Inputs!$J$7-Inputs!$I$7))</f>
        <v/>
      </c>
      <c r="V238" s="9">
        <f>(Inputs!$I$8+(((A238)+1)/2)*(Inputs!$J$8-Inputs!$I$8))</f>
        <v/>
      </c>
      <c r="W238" s="9">
        <f>(Inputs!$I$9+(((A238)+1)/2)*(Inputs!$J$9-Inputs!$I$9))</f>
        <v/>
      </c>
      <c r="X238" s="10" t="n"/>
      <c r="Y238" s="9">
        <f>A238</f>
        <v/>
      </c>
      <c r="Z238" s="9">
        <f>(Inputs!$H$6+Inputs!$L$6*(((Inputs!$I$6+(((A238)+1)/2)*(Inputs!$J$6-Inputs!$I$6)))/Inputs!$K$6)^2)</f>
        <v/>
      </c>
      <c r="AA238" s="9">
        <f>(Inputs!$H$7+Inputs!$L$7*(((Inputs!$I$7+(((A238)+1)/2)*(Inputs!$J$7-Inputs!$I$7)))/Inputs!$K$7)^2)</f>
        <v/>
      </c>
      <c r="AB238" s="9">
        <f>(Inputs!$H$8+Inputs!$L$8*(((Inputs!$I$8+(((A238)+1)/2)*(Inputs!$J$8-Inputs!$I$8)))/Inputs!$K$8)^2)</f>
        <v/>
      </c>
      <c r="AC238" s="9">
        <f>(Inputs!$H$9+Inputs!$L$9*(((Inputs!$I$9+(((A238)+1)/2)*(Inputs!$J$9-Inputs!$I$9)))/Inputs!$K$9)^2)</f>
        <v/>
      </c>
      <c r="AD238" s="10" t="n"/>
      <c r="AE238" s="9">
        <f>A238</f>
        <v/>
      </c>
      <c r="AF238" s="9">
        <f>(((SQRT((Inputs!$C$52+((Inputs!$H$6+Inputs!$L$6*(((Inputs!$I$6+(((A238)+1)/2)*(Inputs!$J$6-Inputs!$I$6)))/Inputs!$K$6)^2)))^2+Inputs!$C$52^2-2*(Inputs!$C$52+((Inputs!$H$6+Inputs!$L$6*(((Inputs!$I$6+(((A238)+1)/2)*(Inputs!$J$6-Inputs!$I$6)))/Inputs!$K$6)^2)))*Inputs!$C$52*COS(SQRT(((Inputs!$I$6+(((A238)+1)/2)*(Inputs!$J$6-Inputs!$I$6)))^2+Inputs!$C$6^2)/Inputs!$C$52)))-((Inputs!$H$6+Inputs!$L$6*(((Inputs!$I$6+(((A238)+1)/2)*(Inputs!$J$6-Inputs!$I$6)))/Inputs!$K$6)^2)))*1000/Inputs!$C$12)</f>
        <v/>
      </c>
      <c r="AG238" s="9">
        <f>(((SQRT((Inputs!$C$52+((Inputs!$H$7+Inputs!$L$7*(((Inputs!$I$7+(((A238)+1)/2)*(Inputs!$J$7-Inputs!$I$7)))/Inputs!$K$7)^2)))^2+Inputs!$C$52^2-2*(Inputs!$C$52+((Inputs!$H$7+Inputs!$L$7*(((Inputs!$I$7+(((A238)+1)/2)*(Inputs!$J$7-Inputs!$I$7)))/Inputs!$K$7)^2)))*Inputs!$C$52*COS(SQRT(((Inputs!$I$7+(((A238)+1)/2)*(Inputs!$J$7-Inputs!$I$7)))^2+Inputs!$C$6^2)/Inputs!$C$52)))-((Inputs!$H$7+Inputs!$L$7*(((Inputs!$I$7+(((A238)+1)/2)*(Inputs!$J$7-Inputs!$I$7)))/Inputs!$K$7)^2)))*1000/Inputs!$C$12)</f>
        <v/>
      </c>
      <c r="AH238" s="9">
        <f>(((SQRT((Inputs!$C$52+((Inputs!$H$8+Inputs!$L$8*(((Inputs!$I$8+(((A238)+1)/2)*(Inputs!$J$8-Inputs!$I$8)))/Inputs!$K$8)^2)))^2+Inputs!$C$52^2-2*(Inputs!$C$52+((Inputs!$H$8+Inputs!$L$8*(((Inputs!$I$8+(((A238)+1)/2)*(Inputs!$J$8-Inputs!$I$8)))/Inputs!$K$8)^2)))*Inputs!$C$52*COS(SQRT(((Inputs!$I$8+(((A238)+1)/2)*(Inputs!$J$8-Inputs!$I$8)))^2+Inputs!$C$6^2)/Inputs!$C$52)))-((Inputs!$H$8+Inputs!$L$8*(((Inputs!$I$8+(((A238)+1)/2)*(Inputs!$J$8-Inputs!$I$8)))/Inputs!$K$8)^2)))*1000/Inputs!$C$12)</f>
        <v/>
      </c>
      <c r="AI238" s="9">
        <f>(((SQRT((Inputs!$C$52+((Inputs!$H$9+Inputs!$L$9*(((Inputs!$I$9+(((A238)+1)/2)*(Inputs!$J$9-Inputs!$I$9)))/Inputs!$K$9)^2)))^2+Inputs!$C$52^2-2*(Inputs!$C$52+((Inputs!$H$9+Inputs!$L$9*(((Inputs!$I$9+(((A238)+1)/2)*(Inputs!$J$9-Inputs!$I$9)))/Inputs!$K$9)^2)))*Inputs!$C$52*COS(SQRT(((Inputs!$I$9+(((A238)+1)/2)*(Inputs!$J$9-Inputs!$I$9)))^2+Inputs!$C$6^2)/Inputs!$C$52)))-((Inputs!$H$9+Inputs!$L$9*(((Inputs!$I$9+(((A238)+1)/2)*(Inputs!$J$9-Inputs!$I$9)))/Inputs!$K$9)^2)))*1000/Inputs!$C$12)</f>
        <v/>
      </c>
      <c r="AJ238" s="10" t="n"/>
      <c r="AK238" s="9">
        <f>A238</f>
        <v/>
      </c>
      <c r="AL238" s="9">
        <f>(-2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f>
        <v/>
      </c>
      <c r="AM238" s="9">
        <f>(-2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f>
        <v/>
      </c>
      <c r="AN238" s="9">
        <f>(-2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f>
        <v/>
      </c>
      <c r="AO238" s="9">
        <f>(-2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f>
        <v/>
      </c>
      <c r="AP238" s="10" t="n"/>
      <c r="AQ238" s="9">
        <f>A238</f>
        <v/>
      </c>
      <c r="AR238" s="9">
        <f>0</f>
        <v/>
      </c>
      <c r="AS238" s="9">
        <f>IF(OR(Inputs!$F$6=TRUE,Inputs!$F$6="TRUE",Inputs!$F$6=1),IF(OR(Inputs!$C$27=TRUE,Inputs!$C$27="TRUE",Inputs!$C$27=1),1,0)*(Inputs!$C$51*(115*EXP(-(((Inputs!$C$6)-25)^2)/(4.5^2))+70*EXP(-(((Inputs!$C$6)+38)^2)/(7^2))*(0.55+0.45*SIN(2*PI()*((Inputs!$I$6+(((A238)+1)/2)*(Inputs!$J$6-Inputs!$I$6)))/45))+24*SIN(2*PI()*(Inputs!$C$6)/9+((Inputs!$I$6+(((A238)+1)/2)*(Inputs!$J$6-Inputs!$I$6)))/18)*EXP(-(((Inputs!$C$6)+5)^2)/(22^2))+18*SIN(2*PI()*((Inputs!$I$6+(((A238)+1)/2)*(Inputs!$J$6-Inputs!$I$6)))/70))+Inputs!$C$28*EXP(-((((Inputs!$I$6+(((A238)+1)/2)*(Inputs!$J$6-Inputs!$I$6)))-Inputs!$C$29)^2)/(2*Inputs!$C$31^2))*EXP(-(((Inputs!$C$6)-Inputs!$C$30)^2)/(2*Inputs!$C$32^2))+-Inputs!$C$33*EXP(-((((((Inputs!$I$6+(((A238)+1)/2)*(Inputs!$J$6-Inputs!$I$6)))-Inputs!$C$34)^2)+(((Inputs!$C$6)-Inputs!$C$35)^2))/(2*Inputs!$C$36^2)))+Inputs!$C$37*(0.55*SIN(2*PI()*((Inputs!$I$6+(((A238)+1)/2)*(Inputs!$J$6-Inputs!$I$6)))/Inputs!$C$39)+0.35*COS(2*PI()*(Inputs!$C$6)/Inputs!$C$40)+0.2*SIN(2*PI()*(((Inputs!$I$6+(((A238)+1)/2)*(Inputs!$J$6-Inputs!$I$6)))+(Inputs!$C$6))/(0.5*(Inputs!$C$39+Inputs!$C$40))))+Inputs!$C$38*SIN(2*PI()*((Inputs!$I$6+(((A238)+1)/2)*(Inputs!$J$6-Inputs!$I$6)))/Inputs!$C$39)*SIN(2*PI()*(Inputs!$C$6)/Inputs!$C$40)+-Inputs!$C$41*EXP(-(((Inputs!$C$6)-Inputs!$C$43)^2)/(2*Inputs!$C$44^2))*EXP(-((((Inputs!$I$6+(((A238)+1)/2)*(Inputs!$J$6-Inputs!$I$6)))-Inputs!$C$42)^2)/(2*Inputs!$C$45^2))+Inputs!$C$48*(0.7*(0.45*SIN(2*PI()*((((Inputs!$I$6+(((A238)+1)/2)*(Inputs!$J$6-Inputs!$I$6)))/Inputs!$C$49)+Inputs!$C$47*0.137))+0.35*COS(2*PI()*(((Inputs!$C$6)/Inputs!$C$50)+Inputs!$C$47*0.173))+0.2*SIN(2*PI()*((((Inputs!$I$6+(((A238)+1)/2)*(Inputs!$J$6-Inputs!$I$6)))+(Inputs!$C$6))/(0.5*(Inputs!$C$49+Inputs!$C$50))+Inputs!$C$47*0.097)))+0.3*(2*((SIN((((Inputs!$I$6+(((A238)+1)/2)*(Inputs!$J$6-Inputs!$I$6)))*12.9898+(Inputs!$C$6)*78.233+Inputs!$C$47*37.719))*43758.5453)-INT((SIN((((Inputs!$I$6+(((A238)+1)/2)*(Inputs!$J$6-Inputs!$I$6)))*12.9898+(Inputs!$C$6)*78.233+Inputs!$C$47*37.719))*43758.5453)))-1))),NA())</f>
        <v/>
      </c>
      <c r="AT238" s="9">
        <f>IF(OR(Inputs!$F$7=TRUE,Inputs!$F$7="TRUE",Inputs!$F$7=1),IF(OR(Inputs!$C$27=TRUE,Inputs!$C$27="TRUE",Inputs!$C$27=1),1,0)*(Inputs!$C$51*(115*EXP(-(((Inputs!$C$6)-25)^2)/(4.5^2))+70*EXP(-(((Inputs!$C$6)+38)^2)/(7^2))*(0.55+0.45*SIN(2*PI()*((Inputs!$I$7+(((A238)+1)/2)*(Inputs!$J$7-Inputs!$I$7)))/45))+24*SIN(2*PI()*(Inputs!$C$6)/9+((Inputs!$I$7+(((A238)+1)/2)*(Inputs!$J$7-Inputs!$I$7)))/18)*EXP(-(((Inputs!$C$6)+5)^2)/(22^2))+18*SIN(2*PI()*((Inputs!$I$7+(((A238)+1)/2)*(Inputs!$J$7-Inputs!$I$7)))/70))+Inputs!$C$28*EXP(-((((Inputs!$I$7+(((A238)+1)/2)*(Inputs!$J$7-Inputs!$I$7)))-Inputs!$C$29)^2)/(2*Inputs!$C$31^2))*EXP(-(((Inputs!$C$6)-Inputs!$C$30)^2)/(2*Inputs!$C$32^2))+-Inputs!$C$33*EXP(-((((((Inputs!$I$7+(((A238)+1)/2)*(Inputs!$J$7-Inputs!$I$7)))-Inputs!$C$34)^2)+(((Inputs!$C$6)-Inputs!$C$35)^2))/(2*Inputs!$C$36^2)))+Inputs!$C$37*(0.55*SIN(2*PI()*((Inputs!$I$7+(((A238)+1)/2)*(Inputs!$J$7-Inputs!$I$7)))/Inputs!$C$39)+0.35*COS(2*PI()*(Inputs!$C$6)/Inputs!$C$40)+0.2*SIN(2*PI()*(((Inputs!$I$7+(((A238)+1)/2)*(Inputs!$J$7-Inputs!$I$7)))+(Inputs!$C$6))/(0.5*(Inputs!$C$39+Inputs!$C$40))))+Inputs!$C$38*SIN(2*PI()*((Inputs!$I$7+(((A238)+1)/2)*(Inputs!$J$7-Inputs!$I$7)))/Inputs!$C$39)*SIN(2*PI()*(Inputs!$C$6)/Inputs!$C$40)+-Inputs!$C$41*EXP(-(((Inputs!$C$6)-Inputs!$C$43)^2)/(2*Inputs!$C$44^2))*EXP(-((((Inputs!$I$7+(((A238)+1)/2)*(Inputs!$J$7-Inputs!$I$7)))-Inputs!$C$42)^2)/(2*Inputs!$C$45^2))+Inputs!$C$48*(0.7*(0.45*SIN(2*PI()*((((Inputs!$I$7+(((A238)+1)/2)*(Inputs!$J$7-Inputs!$I$7)))/Inputs!$C$49)+Inputs!$C$47*0.137))+0.35*COS(2*PI()*(((Inputs!$C$6)/Inputs!$C$50)+Inputs!$C$47*0.173))+0.2*SIN(2*PI()*((((Inputs!$I$7+(((A238)+1)/2)*(Inputs!$J$7-Inputs!$I$7)))+(Inputs!$C$6))/(0.5*(Inputs!$C$49+Inputs!$C$50))+Inputs!$C$47*0.097)))+0.3*(2*((SIN((((Inputs!$I$7+(((A238)+1)/2)*(Inputs!$J$7-Inputs!$I$7)))*12.9898+(Inputs!$C$6)*78.233+Inputs!$C$47*37.719))*43758.5453)-INT((SIN((((Inputs!$I$7+(((A238)+1)/2)*(Inputs!$J$7-Inputs!$I$7)))*12.9898+(Inputs!$C$6)*78.233+Inputs!$C$47*37.719))*43758.5453)))-1))),NA())</f>
        <v/>
      </c>
      <c r="AU238" s="9">
        <f>IF(OR(Inputs!$F$8=TRUE,Inputs!$F$8="TRUE",Inputs!$F$8=1),IF(OR(Inputs!$C$27=TRUE,Inputs!$C$27="TRUE",Inputs!$C$27=1),1,0)*(Inputs!$C$51*(115*EXP(-(((Inputs!$C$6)-25)^2)/(4.5^2))+70*EXP(-(((Inputs!$C$6)+38)^2)/(7^2))*(0.55+0.45*SIN(2*PI()*((Inputs!$I$8+(((A238)+1)/2)*(Inputs!$J$8-Inputs!$I$8)))/45))+24*SIN(2*PI()*(Inputs!$C$6)/9+((Inputs!$I$8+(((A238)+1)/2)*(Inputs!$J$8-Inputs!$I$8)))/18)*EXP(-(((Inputs!$C$6)+5)^2)/(22^2))+18*SIN(2*PI()*((Inputs!$I$8+(((A238)+1)/2)*(Inputs!$J$8-Inputs!$I$8)))/70))+Inputs!$C$28*EXP(-((((Inputs!$I$8+(((A238)+1)/2)*(Inputs!$J$8-Inputs!$I$8)))-Inputs!$C$29)^2)/(2*Inputs!$C$31^2))*EXP(-(((Inputs!$C$6)-Inputs!$C$30)^2)/(2*Inputs!$C$32^2))+-Inputs!$C$33*EXP(-((((((Inputs!$I$8+(((A238)+1)/2)*(Inputs!$J$8-Inputs!$I$8)))-Inputs!$C$34)^2)+(((Inputs!$C$6)-Inputs!$C$35)^2))/(2*Inputs!$C$36^2)))+Inputs!$C$37*(0.55*SIN(2*PI()*((Inputs!$I$8+(((A238)+1)/2)*(Inputs!$J$8-Inputs!$I$8)))/Inputs!$C$39)+0.35*COS(2*PI()*(Inputs!$C$6)/Inputs!$C$40)+0.2*SIN(2*PI()*(((Inputs!$I$8+(((A238)+1)/2)*(Inputs!$J$8-Inputs!$I$8)))+(Inputs!$C$6))/(0.5*(Inputs!$C$39+Inputs!$C$40))))+Inputs!$C$38*SIN(2*PI()*((Inputs!$I$8+(((A238)+1)/2)*(Inputs!$J$8-Inputs!$I$8)))/Inputs!$C$39)*SIN(2*PI()*(Inputs!$C$6)/Inputs!$C$40)+-Inputs!$C$41*EXP(-(((Inputs!$C$6)-Inputs!$C$43)^2)/(2*Inputs!$C$44^2))*EXP(-((((Inputs!$I$8+(((A238)+1)/2)*(Inputs!$J$8-Inputs!$I$8)))-Inputs!$C$42)^2)/(2*Inputs!$C$45^2))+Inputs!$C$48*(0.7*(0.45*SIN(2*PI()*((((Inputs!$I$8+(((A238)+1)/2)*(Inputs!$J$8-Inputs!$I$8)))/Inputs!$C$49)+Inputs!$C$47*0.137))+0.35*COS(2*PI()*(((Inputs!$C$6)/Inputs!$C$50)+Inputs!$C$47*0.173))+0.2*SIN(2*PI()*((((Inputs!$I$8+(((A238)+1)/2)*(Inputs!$J$8-Inputs!$I$8)))+(Inputs!$C$6))/(0.5*(Inputs!$C$49+Inputs!$C$50))+Inputs!$C$47*0.097)))+0.3*(2*((SIN((((Inputs!$I$8+(((A238)+1)/2)*(Inputs!$J$8-Inputs!$I$8)))*12.9898+(Inputs!$C$6)*78.233+Inputs!$C$47*37.719))*43758.5453)-INT((SIN((((Inputs!$I$8+(((A238)+1)/2)*(Inputs!$J$8-Inputs!$I$8)))*12.9898+(Inputs!$C$6)*78.233+Inputs!$C$47*37.719))*43758.5453)))-1))),NA())</f>
        <v/>
      </c>
      <c r="AV238" s="9">
        <f>IF(OR(Inputs!$F$9=TRUE,Inputs!$F$9="TRUE",Inputs!$F$9=1),IF(OR(Inputs!$C$27=TRUE,Inputs!$C$27="TRUE",Inputs!$C$27=1),1,0)*(Inputs!$C$51*(115*EXP(-(((Inputs!$C$6)-25)^2)/(4.5^2))+70*EXP(-(((Inputs!$C$6)+38)^2)/(7^2))*(0.55+0.45*SIN(2*PI()*((Inputs!$I$9+(((A238)+1)/2)*(Inputs!$J$9-Inputs!$I$9)))/45))+24*SIN(2*PI()*(Inputs!$C$6)/9+((Inputs!$I$9+(((A238)+1)/2)*(Inputs!$J$9-Inputs!$I$9)))/18)*EXP(-(((Inputs!$C$6)+5)^2)/(22^2))+18*SIN(2*PI()*((Inputs!$I$9+(((A238)+1)/2)*(Inputs!$J$9-Inputs!$I$9)))/70))+Inputs!$C$28*EXP(-((((Inputs!$I$9+(((A238)+1)/2)*(Inputs!$J$9-Inputs!$I$9)))-Inputs!$C$29)^2)/(2*Inputs!$C$31^2))*EXP(-(((Inputs!$C$6)-Inputs!$C$30)^2)/(2*Inputs!$C$32^2))+-Inputs!$C$33*EXP(-((((((Inputs!$I$9+(((A238)+1)/2)*(Inputs!$J$9-Inputs!$I$9)))-Inputs!$C$34)^2)+(((Inputs!$C$6)-Inputs!$C$35)^2))/(2*Inputs!$C$36^2)))+Inputs!$C$37*(0.55*SIN(2*PI()*((Inputs!$I$9+(((A238)+1)/2)*(Inputs!$J$9-Inputs!$I$9)))/Inputs!$C$39)+0.35*COS(2*PI()*(Inputs!$C$6)/Inputs!$C$40)+0.2*SIN(2*PI()*(((Inputs!$I$9+(((A238)+1)/2)*(Inputs!$J$9-Inputs!$I$9)))+(Inputs!$C$6))/(0.5*(Inputs!$C$39+Inputs!$C$40))))+Inputs!$C$38*SIN(2*PI()*((Inputs!$I$9+(((A238)+1)/2)*(Inputs!$J$9-Inputs!$I$9)))/Inputs!$C$39)*SIN(2*PI()*(Inputs!$C$6)/Inputs!$C$40)+-Inputs!$C$41*EXP(-(((Inputs!$C$6)-Inputs!$C$43)^2)/(2*Inputs!$C$44^2))*EXP(-((((Inputs!$I$9+(((A238)+1)/2)*(Inputs!$J$9-Inputs!$I$9)))-Inputs!$C$42)^2)/(2*Inputs!$C$45^2))+Inputs!$C$48*(0.7*(0.45*SIN(2*PI()*((((Inputs!$I$9+(((A238)+1)/2)*(Inputs!$J$9-Inputs!$I$9)))/Inputs!$C$49)+Inputs!$C$47*0.137))+0.35*COS(2*PI()*(((Inputs!$C$6)/Inputs!$C$50)+Inputs!$C$47*0.173))+0.2*SIN(2*PI()*((((Inputs!$I$9+(((A238)+1)/2)*(Inputs!$J$9-Inputs!$I$9)))+(Inputs!$C$6))/(0.5*(Inputs!$C$49+Inputs!$C$50))+Inputs!$C$47*0.097)))+0.3*(2*((SIN((((Inputs!$I$9+(((A238)+1)/2)*(Inputs!$J$9-Inputs!$I$9)))*12.9898+(Inputs!$C$6)*78.233+Inputs!$C$47*37.719))*43758.5453)-INT((SIN((((Inputs!$I$9+(((A238)+1)/2)*(Inputs!$J$9-Inputs!$I$9)))*12.9898+(Inputs!$C$6)*78.233+Inputs!$C$47*37.719))*43758.5453)))-1))),NA())</f>
        <v/>
      </c>
      <c r="AW238" s="10" t="n"/>
      <c r="AX238" s="9">
        <f>A238</f>
        <v/>
      </c>
      <c r="AY238" s="9">
        <f>0</f>
        <v/>
      </c>
      <c r="AZ238" s="9">
        <f>IF(OR(Inputs!$F$6=TRUE,Inputs!$F$6="TRUE",Inputs!$F$6=1),(Inputs!$H$6+Inputs!$L$6*(((Inputs!$I$6+(((A238)+1)/2)*(Inputs!$J$6-Inputs!$I$6)))/Inputs!$K$6)^2),NA())</f>
        <v/>
      </c>
      <c r="BA238" s="9">
        <f>IF(OR(Inputs!$F$7=TRUE,Inputs!$F$7="TRUE",Inputs!$F$7=1),(Inputs!$H$7+Inputs!$L$7*(((Inputs!$I$7+(((A238)+1)/2)*(Inputs!$J$7-Inputs!$I$7)))/Inputs!$K$7)^2),NA())</f>
        <v/>
      </c>
      <c r="BB238" s="9">
        <f>IF(OR(Inputs!$F$8=TRUE,Inputs!$F$8="TRUE",Inputs!$F$8=1),(Inputs!$H$8+Inputs!$L$8*(((Inputs!$I$8+(((A238)+1)/2)*(Inputs!$J$8-Inputs!$I$8)))/Inputs!$K$8)^2),NA())</f>
        <v/>
      </c>
      <c r="BC238" s="9">
        <f>IF(OR(Inputs!$F$9=TRUE,Inputs!$F$9="TRUE",Inputs!$F$9=1),(Inputs!$H$9+Inputs!$L$9*(((Inputs!$I$9+(((A238)+1)/2)*(Inputs!$J$9-Inputs!$I$9)))/Inputs!$K$9)^2),NA())</f>
        <v/>
      </c>
      <c r="BD238" s="10" t="n"/>
      <c r="BE238" s="9">
        <f>A238</f>
        <v/>
      </c>
      <c r="BF238" s="9">
        <f>0</f>
        <v/>
      </c>
      <c r="BG238" s="9">
        <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f>
        <v/>
      </c>
      <c r="BH238" s="9">
        <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f>
        <v/>
      </c>
      <c r="BI238" s="9">
        <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f>
        <v/>
      </c>
      <c r="BJ238" s="9">
        <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f>
        <v/>
      </c>
    </row>
    <row r="239">
      <c r="A239" s="9">
        <f>ROUND(-1+237*2/240,3)</f>
        <v/>
      </c>
      <c r="B239" s="9">
        <f>IF(OR(Inputs!$F$6=TRUE,Inputs!$F$6="TRUE",Inputs!$F$6=1),(Inputs!$H$6+Inputs!$L$6*(((Inputs!$I$6+(((A239)+1)/2)*(Inputs!$J$6-Inputs!$I$6)))/Inputs!$K$6)^2),NA())</f>
        <v/>
      </c>
      <c r="C239" s="9">
        <f>IF(OR(Inputs!$F$7=TRUE,Inputs!$F$7="TRUE",Inputs!$F$7=1),(Inputs!$H$7+Inputs!$L$7*(((Inputs!$I$7+(((A239)+1)/2)*(Inputs!$J$7-Inputs!$I$7)))/Inputs!$K$7)^2),NA())</f>
        <v/>
      </c>
      <c r="D239" s="9">
        <f>IF(OR(Inputs!$F$8=TRUE,Inputs!$F$8="TRUE",Inputs!$F$8=1),(Inputs!$H$8+Inputs!$L$8*(((Inputs!$I$8+(((A239)+1)/2)*(Inputs!$J$8-Inputs!$I$8)))/Inputs!$K$8)^2),NA())</f>
        <v/>
      </c>
      <c r="E239" s="9">
        <f>IF(OR(Inputs!$F$9=TRUE,Inputs!$F$9="TRUE",Inputs!$F$9=1),(Inputs!$H$9+Inputs!$L$9*(((Inputs!$I$9+(((A239)+1)/2)*(Inputs!$J$9-Inputs!$I$9)))/Inputs!$K$9)^2),NA())</f>
        <v/>
      </c>
      <c r="F239" s="10" t="n"/>
      <c r="G239" s="9">
        <f>A239</f>
        <v/>
      </c>
      <c r="H239" s="9">
        <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f>
        <v/>
      </c>
      <c r="I239" s="9">
        <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f>
        <v/>
      </c>
      <c r="J239" s="9">
        <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f>
        <v/>
      </c>
      <c r="K239" s="9">
        <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f>
        <v/>
      </c>
      <c r="L239" s="10" t="n"/>
      <c r="M239" s="9">
        <f>A239</f>
        <v/>
      </c>
      <c r="N239" s="9">
        <f>IF(OR(Inputs!$F$6=TRUE,Inputs!$F$6="TRUE",Inputs!$F$6=1),(-2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NA())</f>
        <v/>
      </c>
      <c r="O239" s="9">
        <f>IF(OR(Inputs!$F$7=TRUE,Inputs!$F$7="TRUE",Inputs!$F$7=1),(-2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NA())</f>
        <v/>
      </c>
      <c r="P239" s="9">
        <f>IF(OR(Inputs!$F$8=TRUE,Inputs!$F$8="TRUE",Inputs!$F$8=1),(-2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NA())</f>
        <v/>
      </c>
      <c r="Q239" s="9">
        <f>IF(OR(Inputs!$F$9=TRUE,Inputs!$F$9="TRUE",Inputs!$F$9=1),(-2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NA())</f>
        <v/>
      </c>
      <c r="R239" s="10" t="n"/>
      <c r="S239" s="9">
        <f>A239</f>
        <v/>
      </c>
      <c r="T239" s="9">
        <f>(Inputs!$I$6+(((A239)+1)/2)*(Inputs!$J$6-Inputs!$I$6))</f>
        <v/>
      </c>
      <c r="U239" s="9">
        <f>(Inputs!$I$7+(((A239)+1)/2)*(Inputs!$J$7-Inputs!$I$7))</f>
        <v/>
      </c>
      <c r="V239" s="9">
        <f>(Inputs!$I$8+(((A239)+1)/2)*(Inputs!$J$8-Inputs!$I$8))</f>
        <v/>
      </c>
      <c r="W239" s="9">
        <f>(Inputs!$I$9+(((A239)+1)/2)*(Inputs!$J$9-Inputs!$I$9))</f>
        <v/>
      </c>
      <c r="X239" s="10" t="n"/>
      <c r="Y239" s="9">
        <f>A239</f>
        <v/>
      </c>
      <c r="Z239" s="9">
        <f>(Inputs!$H$6+Inputs!$L$6*(((Inputs!$I$6+(((A239)+1)/2)*(Inputs!$J$6-Inputs!$I$6)))/Inputs!$K$6)^2)</f>
        <v/>
      </c>
      <c r="AA239" s="9">
        <f>(Inputs!$H$7+Inputs!$L$7*(((Inputs!$I$7+(((A239)+1)/2)*(Inputs!$J$7-Inputs!$I$7)))/Inputs!$K$7)^2)</f>
        <v/>
      </c>
      <c r="AB239" s="9">
        <f>(Inputs!$H$8+Inputs!$L$8*(((Inputs!$I$8+(((A239)+1)/2)*(Inputs!$J$8-Inputs!$I$8)))/Inputs!$K$8)^2)</f>
        <v/>
      </c>
      <c r="AC239" s="9">
        <f>(Inputs!$H$9+Inputs!$L$9*(((Inputs!$I$9+(((A239)+1)/2)*(Inputs!$J$9-Inputs!$I$9)))/Inputs!$K$9)^2)</f>
        <v/>
      </c>
      <c r="AD239" s="10" t="n"/>
      <c r="AE239" s="9">
        <f>A239</f>
        <v/>
      </c>
      <c r="AF239" s="9">
        <f>(((SQRT((Inputs!$C$52+((Inputs!$H$6+Inputs!$L$6*(((Inputs!$I$6+(((A239)+1)/2)*(Inputs!$J$6-Inputs!$I$6)))/Inputs!$K$6)^2)))^2+Inputs!$C$52^2-2*(Inputs!$C$52+((Inputs!$H$6+Inputs!$L$6*(((Inputs!$I$6+(((A239)+1)/2)*(Inputs!$J$6-Inputs!$I$6)))/Inputs!$K$6)^2)))*Inputs!$C$52*COS(SQRT(((Inputs!$I$6+(((A239)+1)/2)*(Inputs!$J$6-Inputs!$I$6)))^2+Inputs!$C$6^2)/Inputs!$C$52)))-((Inputs!$H$6+Inputs!$L$6*(((Inputs!$I$6+(((A239)+1)/2)*(Inputs!$J$6-Inputs!$I$6)))/Inputs!$K$6)^2)))*1000/Inputs!$C$12)</f>
        <v/>
      </c>
      <c r="AG239" s="9">
        <f>(((SQRT((Inputs!$C$52+((Inputs!$H$7+Inputs!$L$7*(((Inputs!$I$7+(((A239)+1)/2)*(Inputs!$J$7-Inputs!$I$7)))/Inputs!$K$7)^2)))^2+Inputs!$C$52^2-2*(Inputs!$C$52+((Inputs!$H$7+Inputs!$L$7*(((Inputs!$I$7+(((A239)+1)/2)*(Inputs!$J$7-Inputs!$I$7)))/Inputs!$K$7)^2)))*Inputs!$C$52*COS(SQRT(((Inputs!$I$7+(((A239)+1)/2)*(Inputs!$J$7-Inputs!$I$7)))^2+Inputs!$C$6^2)/Inputs!$C$52)))-((Inputs!$H$7+Inputs!$L$7*(((Inputs!$I$7+(((A239)+1)/2)*(Inputs!$J$7-Inputs!$I$7)))/Inputs!$K$7)^2)))*1000/Inputs!$C$12)</f>
        <v/>
      </c>
      <c r="AH239" s="9">
        <f>(((SQRT((Inputs!$C$52+((Inputs!$H$8+Inputs!$L$8*(((Inputs!$I$8+(((A239)+1)/2)*(Inputs!$J$8-Inputs!$I$8)))/Inputs!$K$8)^2)))^2+Inputs!$C$52^2-2*(Inputs!$C$52+((Inputs!$H$8+Inputs!$L$8*(((Inputs!$I$8+(((A239)+1)/2)*(Inputs!$J$8-Inputs!$I$8)))/Inputs!$K$8)^2)))*Inputs!$C$52*COS(SQRT(((Inputs!$I$8+(((A239)+1)/2)*(Inputs!$J$8-Inputs!$I$8)))^2+Inputs!$C$6^2)/Inputs!$C$52)))-((Inputs!$H$8+Inputs!$L$8*(((Inputs!$I$8+(((A239)+1)/2)*(Inputs!$J$8-Inputs!$I$8)))/Inputs!$K$8)^2)))*1000/Inputs!$C$12)</f>
        <v/>
      </c>
      <c r="AI239" s="9">
        <f>(((SQRT((Inputs!$C$52+((Inputs!$H$9+Inputs!$L$9*(((Inputs!$I$9+(((A239)+1)/2)*(Inputs!$J$9-Inputs!$I$9)))/Inputs!$K$9)^2)))^2+Inputs!$C$52^2-2*(Inputs!$C$52+((Inputs!$H$9+Inputs!$L$9*(((Inputs!$I$9+(((A239)+1)/2)*(Inputs!$J$9-Inputs!$I$9)))/Inputs!$K$9)^2)))*Inputs!$C$52*COS(SQRT(((Inputs!$I$9+(((A239)+1)/2)*(Inputs!$J$9-Inputs!$I$9)))^2+Inputs!$C$6^2)/Inputs!$C$52)))-((Inputs!$H$9+Inputs!$L$9*(((Inputs!$I$9+(((A239)+1)/2)*(Inputs!$J$9-Inputs!$I$9)))/Inputs!$K$9)^2)))*1000/Inputs!$C$12)</f>
        <v/>
      </c>
      <c r="AJ239" s="10" t="n"/>
      <c r="AK239" s="9">
        <f>A239</f>
        <v/>
      </c>
      <c r="AL239" s="9">
        <f>(-2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f>
        <v/>
      </c>
      <c r="AM239" s="9">
        <f>(-2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f>
        <v/>
      </c>
      <c r="AN239" s="9">
        <f>(-2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f>
        <v/>
      </c>
      <c r="AO239" s="9">
        <f>(-2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f>
        <v/>
      </c>
      <c r="AP239" s="10" t="n"/>
      <c r="AQ239" s="9">
        <f>A239</f>
        <v/>
      </c>
      <c r="AR239" s="9">
        <f>0</f>
        <v/>
      </c>
      <c r="AS239" s="9">
        <f>IF(OR(Inputs!$F$6=TRUE,Inputs!$F$6="TRUE",Inputs!$F$6=1),IF(OR(Inputs!$C$27=TRUE,Inputs!$C$27="TRUE",Inputs!$C$27=1),1,0)*(Inputs!$C$51*(115*EXP(-(((Inputs!$C$6)-25)^2)/(4.5^2))+70*EXP(-(((Inputs!$C$6)+38)^2)/(7^2))*(0.55+0.45*SIN(2*PI()*((Inputs!$I$6+(((A239)+1)/2)*(Inputs!$J$6-Inputs!$I$6)))/45))+24*SIN(2*PI()*(Inputs!$C$6)/9+((Inputs!$I$6+(((A239)+1)/2)*(Inputs!$J$6-Inputs!$I$6)))/18)*EXP(-(((Inputs!$C$6)+5)^2)/(22^2))+18*SIN(2*PI()*((Inputs!$I$6+(((A239)+1)/2)*(Inputs!$J$6-Inputs!$I$6)))/70))+Inputs!$C$28*EXP(-((((Inputs!$I$6+(((A239)+1)/2)*(Inputs!$J$6-Inputs!$I$6)))-Inputs!$C$29)^2)/(2*Inputs!$C$31^2))*EXP(-(((Inputs!$C$6)-Inputs!$C$30)^2)/(2*Inputs!$C$32^2))+-Inputs!$C$33*EXP(-((((((Inputs!$I$6+(((A239)+1)/2)*(Inputs!$J$6-Inputs!$I$6)))-Inputs!$C$34)^2)+(((Inputs!$C$6)-Inputs!$C$35)^2))/(2*Inputs!$C$36^2)))+Inputs!$C$37*(0.55*SIN(2*PI()*((Inputs!$I$6+(((A239)+1)/2)*(Inputs!$J$6-Inputs!$I$6)))/Inputs!$C$39)+0.35*COS(2*PI()*(Inputs!$C$6)/Inputs!$C$40)+0.2*SIN(2*PI()*(((Inputs!$I$6+(((A239)+1)/2)*(Inputs!$J$6-Inputs!$I$6)))+(Inputs!$C$6))/(0.5*(Inputs!$C$39+Inputs!$C$40))))+Inputs!$C$38*SIN(2*PI()*((Inputs!$I$6+(((A239)+1)/2)*(Inputs!$J$6-Inputs!$I$6)))/Inputs!$C$39)*SIN(2*PI()*(Inputs!$C$6)/Inputs!$C$40)+-Inputs!$C$41*EXP(-(((Inputs!$C$6)-Inputs!$C$43)^2)/(2*Inputs!$C$44^2))*EXP(-((((Inputs!$I$6+(((A239)+1)/2)*(Inputs!$J$6-Inputs!$I$6)))-Inputs!$C$42)^2)/(2*Inputs!$C$45^2))+Inputs!$C$48*(0.7*(0.45*SIN(2*PI()*((((Inputs!$I$6+(((A239)+1)/2)*(Inputs!$J$6-Inputs!$I$6)))/Inputs!$C$49)+Inputs!$C$47*0.137))+0.35*COS(2*PI()*(((Inputs!$C$6)/Inputs!$C$50)+Inputs!$C$47*0.173))+0.2*SIN(2*PI()*((((Inputs!$I$6+(((A239)+1)/2)*(Inputs!$J$6-Inputs!$I$6)))+(Inputs!$C$6))/(0.5*(Inputs!$C$49+Inputs!$C$50))+Inputs!$C$47*0.097)))+0.3*(2*((SIN((((Inputs!$I$6+(((A239)+1)/2)*(Inputs!$J$6-Inputs!$I$6)))*12.9898+(Inputs!$C$6)*78.233+Inputs!$C$47*37.719))*43758.5453)-INT((SIN((((Inputs!$I$6+(((A239)+1)/2)*(Inputs!$J$6-Inputs!$I$6)))*12.9898+(Inputs!$C$6)*78.233+Inputs!$C$47*37.719))*43758.5453)))-1))),NA())</f>
        <v/>
      </c>
      <c r="AT239" s="9">
        <f>IF(OR(Inputs!$F$7=TRUE,Inputs!$F$7="TRUE",Inputs!$F$7=1),IF(OR(Inputs!$C$27=TRUE,Inputs!$C$27="TRUE",Inputs!$C$27=1),1,0)*(Inputs!$C$51*(115*EXP(-(((Inputs!$C$6)-25)^2)/(4.5^2))+70*EXP(-(((Inputs!$C$6)+38)^2)/(7^2))*(0.55+0.45*SIN(2*PI()*((Inputs!$I$7+(((A239)+1)/2)*(Inputs!$J$7-Inputs!$I$7)))/45))+24*SIN(2*PI()*(Inputs!$C$6)/9+((Inputs!$I$7+(((A239)+1)/2)*(Inputs!$J$7-Inputs!$I$7)))/18)*EXP(-(((Inputs!$C$6)+5)^2)/(22^2))+18*SIN(2*PI()*((Inputs!$I$7+(((A239)+1)/2)*(Inputs!$J$7-Inputs!$I$7)))/70))+Inputs!$C$28*EXP(-((((Inputs!$I$7+(((A239)+1)/2)*(Inputs!$J$7-Inputs!$I$7)))-Inputs!$C$29)^2)/(2*Inputs!$C$31^2))*EXP(-(((Inputs!$C$6)-Inputs!$C$30)^2)/(2*Inputs!$C$32^2))+-Inputs!$C$33*EXP(-((((((Inputs!$I$7+(((A239)+1)/2)*(Inputs!$J$7-Inputs!$I$7)))-Inputs!$C$34)^2)+(((Inputs!$C$6)-Inputs!$C$35)^2))/(2*Inputs!$C$36^2)))+Inputs!$C$37*(0.55*SIN(2*PI()*((Inputs!$I$7+(((A239)+1)/2)*(Inputs!$J$7-Inputs!$I$7)))/Inputs!$C$39)+0.35*COS(2*PI()*(Inputs!$C$6)/Inputs!$C$40)+0.2*SIN(2*PI()*(((Inputs!$I$7+(((A239)+1)/2)*(Inputs!$J$7-Inputs!$I$7)))+(Inputs!$C$6))/(0.5*(Inputs!$C$39+Inputs!$C$40))))+Inputs!$C$38*SIN(2*PI()*((Inputs!$I$7+(((A239)+1)/2)*(Inputs!$J$7-Inputs!$I$7)))/Inputs!$C$39)*SIN(2*PI()*(Inputs!$C$6)/Inputs!$C$40)+-Inputs!$C$41*EXP(-(((Inputs!$C$6)-Inputs!$C$43)^2)/(2*Inputs!$C$44^2))*EXP(-((((Inputs!$I$7+(((A239)+1)/2)*(Inputs!$J$7-Inputs!$I$7)))-Inputs!$C$42)^2)/(2*Inputs!$C$45^2))+Inputs!$C$48*(0.7*(0.45*SIN(2*PI()*((((Inputs!$I$7+(((A239)+1)/2)*(Inputs!$J$7-Inputs!$I$7)))/Inputs!$C$49)+Inputs!$C$47*0.137))+0.35*COS(2*PI()*(((Inputs!$C$6)/Inputs!$C$50)+Inputs!$C$47*0.173))+0.2*SIN(2*PI()*((((Inputs!$I$7+(((A239)+1)/2)*(Inputs!$J$7-Inputs!$I$7)))+(Inputs!$C$6))/(0.5*(Inputs!$C$49+Inputs!$C$50))+Inputs!$C$47*0.097)))+0.3*(2*((SIN((((Inputs!$I$7+(((A239)+1)/2)*(Inputs!$J$7-Inputs!$I$7)))*12.9898+(Inputs!$C$6)*78.233+Inputs!$C$47*37.719))*43758.5453)-INT((SIN((((Inputs!$I$7+(((A239)+1)/2)*(Inputs!$J$7-Inputs!$I$7)))*12.9898+(Inputs!$C$6)*78.233+Inputs!$C$47*37.719))*43758.5453)))-1))),NA())</f>
        <v/>
      </c>
      <c r="AU239" s="9">
        <f>IF(OR(Inputs!$F$8=TRUE,Inputs!$F$8="TRUE",Inputs!$F$8=1),IF(OR(Inputs!$C$27=TRUE,Inputs!$C$27="TRUE",Inputs!$C$27=1),1,0)*(Inputs!$C$51*(115*EXP(-(((Inputs!$C$6)-25)^2)/(4.5^2))+70*EXP(-(((Inputs!$C$6)+38)^2)/(7^2))*(0.55+0.45*SIN(2*PI()*((Inputs!$I$8+(((A239)+1)/2)*(Inputs!$J$8-Inputs!$I$8)))/45))+24*SIN(2*PI()*(Inputs!$C$6)/9+((Inputs!$I$8+(((A239)+1)/2)*(Inputs!$J$8-Inputs!$I$8)))/18)*EXP(-(((Inputs!$C$6)+5)^2)/(22^2))+18*SIN(2*PI()*((Inputs!$I$8+(((A239)+1)/2)*(Inputs!$J$8-Inputs!$I$8)))/70))+Inputs!$C$28*EXP(-((((Inputs!$I$8+(((A239)+1)/2)*(Inputs!$J$8-Inputs!$I$8)))-Inputs!$C$29)^2)/(2*Inputs!$C$31^2))*EXP(-(((Inputs!$C$6)-Inputs!$C$30)^2)/(2*Inputs!$C$32^2))+-Inputs!$C$33*EXP(-((((((Inputs!$I$8+(((A239)+1)/2)*(Inputs!$J$8-Inputs!$I$8)))-Inputs!$C$34)^2)+(((Inputs!$C$6)-Inputs!$C$35)^2))/(2*Inputs!$C$36^2)))+Inputs!$C$37*(0.55*SIN(2*PI()*((Inputs!$I$8+(((A239)+1)/2)*(Inputs!$J$8-Inputs!$I$8)))/Inputs!$C$39)+0.35*COS(2*PI()*(Inputs!$C$6)/Inputs!$C$40)+0.2*SIN(2*PI()*(((Inputs!$I$8+(((A239)+1)/2)*(Inputs!$J$8-Inputs!$I$8)))+(Inputs!$C$6))/(0.5*(Inputs!$C$39+Inputs!$C$40))))+Inputs!$C$38*SIN(2*PI()*((Inputs!$I$8+(((A239)+1)/2)*(Inputs!$J$8-Inputs!$I$8)))/Inputs!$C$39)*SIN(2*PI()*(Inputs!$C$6)/Inputs!$C$40)+-Inputs!$C$41*EXP(-(((Inputs!$C$6)-Inputs!$C$43)^2)/(2*Inputs!$C$44^2))*EXP(-((((Inputs!$I$8+(((A239)+1)/2)*(Inputs!$J$8-Inputs!$I$8)))-Inputs!$C$42)^2)/(2*Inputs!$C$45^2))+Inputs!$C$48*(0.7*(0.45*SIN(2*PI()*((((Inputs!$I$8+(((A239)+1)/2)*(Inputs!$J$8-Inputs!$I$8)))/Inputs!$C$49)+Inputs!$C$47*0.137))+0.35*COS(2*PI()*(((Inputs!$C$6)/Inputs!$C$50)+Inputs!$C$47*0.173))+0.2*SIN(2*PI()*((((Inputs!$I$8+(((A239)+1)/2)*(Inputs!$J$8-Inputs!$I$8)))+(Inputs!$C$6))/(0.5*(Inputs!$C$49+Inputs!$C$50))+Inputs!$C$47*0.097)))+0.3*(2*((SIN((((Inputs!$I$8+(((A239)+1)/2)*(Inputs!$J$8-Inputs!$I$8)))*12.9898+(Inputs!$C$6)*78.233+Inputs!$C$47*37.719))*43758.5453)-INT((SIN((((Inputs!$I$8+(((A239)+1)/2)*(Inputs!$J$8-Inputs!$I$8)))*12.9898+(Inputs!$C$6)*78.233+Inputs!$C$47*37.719))*43758.5453)))-1))),NA())</f>
        <v/>
      </c>
      <c r="AV239" s="9">
        <f>IF(OR(Inputs!$F$9=TRUE,Inputs!$F$9="TRUE",Inputs!$F$9=1),IF(OR(Inputs!$C$27=TRUE,Inputs!$C$27="TRUE",Inputs!$C$27=1),1,0)*(Inputs!$C$51*(115*EXP(-(((Inputs!$C$6)-25)^2)/(4.5^2))+70*EXP(-(((Inputs!$C$6)+38)^2)/(7^2))*(0.55+0.45*SIN(2*PI()*((Inputs!$I$9+(((A239)+1)/2)*(Inputs!$J$9-Inputs!$I$9)))/45))+24*SIN(2*PI()*(Inputs!$C$6)/9+((Inputs!$I$9+(((A239)+1)/2)*(Inputs!$J$9-Inputs!$I$9)))/18)*EXP(-(((Inputs!$C$6)+5)^2)/(22^2))+18*SIN(2*PI()*((Inputs!$I$9+(((A239)+1)/2)*(Inputs!$J$9-Inputs!$I$9)))/70))+Inputs!$C$28*EXP(-((((Inputs!$I$9+(((A239)+1)/2)*(Inputs!$J$9-Inputs!$I$9)))-Inputs!$C$29)^2)/(2*Inputs!$C$31^2))*EXP(-(((Inputs!$C$6)-Inputs!$C$30)^2)/(2*Inputs!$C$32^2))+-Inputs!$C$33*EXP(-((((((Inputs!$I$9+(((A239)+1)/2)*(Inputs!$J$9-Inputs!$I$9)))-Inputs!$C$34)^2)+(((Inputs!$C$6)-Inputs!$C$35)^2))/(2*Inputs!$C$36^2)))+Inputs!$C$37*(0.55*SIN(2*PI()*((Inputs!$I$9+(((A239)+1)/2)*(Inputs!$J$9-Inputs!$I$9)))/Inputs!$C$39)+0.35*COS(2*PI()*(Inputs!$C$6)/Inputs!$C$40)+0.2*SIN(2*PI()*(((Inputs!$I$9+(((A239)+1)/2)*(Inputs!$J$9-Inputs!$I$9)))+(Inputs!$C$6))/(0.5*(Inputs!$C$39+Inputs!$C$40))))+Inputs!$C$38*SIN(2*PI()*((Inputs!$I$9+(((A239)+1)/2)*(Inputs!$J$9-Inputs!$I$9)))/Inputs!$C$39)*SIN(2*PI()*(Inputs!$C$6)/Inputs!$C$40)+-Inputs!$C$41*EXP(-(((Inputs!$C$6)-Inputs!$C$43)^2)/(2*Inputs!$C$44^2))*EXP(-((((Inputs!$I$9+(((A239)+1)/2)*(Inputs!$J$9-Inputs!$I$9)))-Inputs!$C$42)^2)/(2*Inputs!$C$45^2))+Inputs!$C$48*(0.7*(0.45*SIN(2*PI()*((((Inputs!$I$9+(((A239)+1)/2)*(Inputs!$J$9-Inputs!$I$9)))/Inputs!$C$49)+Inputs!$C$47*0.137))+0.35*COS(2*PI()*(((Inputs!$C$6)/Inputs!$C$50)+Inputs!$C$47*0.173))+0.2*SIN(2*PI()*((((Inputs!$I$9+(((A239)+1)/2)*(Inputs!$J$9-Inputs!$I$9)))+(Inputs!$C$6))/(0.5*(Inputs!$C$49+Inputs!$C$50))+Inputs!$C$47*0.097)))+0.3*(2*((SIN((((Inputs!$I$9+(((A239)+1)/2)*(Inputs!$J$9-Inputs!$I$9)))*12.9898+(Inputs!$C$6)*78.233+Inputs!$C$47*37.719))*43758.5453)-INT((SIN((((Inputs!$I$9+(((A239)+1)/2)*(Inputs!$J$9-Inputs!$I$9)))*12.9898+(Inputs!$C$6)*78.233+Inputs!$C$47*37.719))*43758.5453)))-1))),NA())</f>
        <v/>
      </c>
      <c r="AW239" s="10" t="n"/>
      <c r="AX239" s="9">
        <f>A239</f>
        <v/>
      </c>
      <c r="AY239" s="9">
        <f>0</f>
        <v/>
      </c>
      <c r="AZ239" s="9">
        <f>IF(OR(Inputs!$F$6=TRUE,Inputs!$F$6="TRUE",Inputs!$F$6=1),(Inputs!$H$6+Inputs!$L$6*(((Inputs!$I$6+(((A239)+1)/2)*(Inputs!$J$6-Inputs!$I$6)))/Inputs!$K$6)^2),NA())</f>
        <v/>
      </c>
      <c r="BA239" s="9">
        <f>IF(OR(Inputs!$F$7=TRUE,Inputs!$F$7="TRUE",Inputs!$F$7=1),(Inputs!$H$7+Inputs!$L$7*(((Inputs!$I$7+(((A239)+1)/2)*(Inputs!$J$7-Inputs!$I$7)))/Inputs!$K$7)^2),NA())</f>
        <v/>
      </c>
      <c r="BB239" s="9">
        <f>IF(OR(Inputs!$F$8=TRUE,Inputs!$F$8="TRUE",Inputs!$F$8=1),(Inputs!$H$8+Inputs!$L$8*(((Inputs!$I$8+(((A239)+1)/2)*(Inputs!$J$8-Inputs!$I$8)))/Inputs!$K$8)^2),NA())</f>
        <v/>
      </c>
      <c r="BC239" s="9">
        <f>IF(OR(Inputs!$F$9=TRUE,Inputs!$F$9="TRUE",Inputs!$F$9=1),(Inputs!$H$9+Inputs!$L$9*(((Inputs!$I$9+(((A239)+1)/2)*(Inputs!$J$9-Inputs!$I$9)))/Inputs!$K$9)^2),NA())</f>
        <v/>
      </c>
      <c r="BD239" s="10" t="n"/>
      <c r="BE239" s="9">
        <f>A239</f>
        <v/>
      </c>
      <c r="BF239" s="9">
        <f>0</f>
        <v/>
      </c>
      <c r="BG239" s="9">
        <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f>
        <v/>
      </c>
      <c r="BH239" s="9">
        <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f>
        <v/>
      </c>
      <c r="BI239" s="9">
        <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f>
        <v/>
      </c>
      <c r="BJ239" s="9">
        <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f>
        <v/>
      </c>
    </row>
    <row r="240">
      <c r="A240" s="9">
        <f>ROUND(-1+238*2/240,3)</f>
        <v/>
      </c>
      <c r="B240" s="9">
        <f>IF(OR(Inputs!$F$6=TRUE,Inputs!$F$6="TRUE",Inputs!$F$6=1),(Inputs!$H$6+Inputs!$L$6*(((Inputs!$I$6+(((A240)+1)/2)*(Inputs!$J$6-Inputs!$I$6)))/Inputs!$K$6)^2),NA())</f>
        <v/>
      </c>
      <c r="C240" s="9">
        <f>IF(OR(Inputs!$F$7=TRUE,Inputs!$F$7="TRUE",Inputs!$F$7=1),(Inputs!$H$7+Inputs!$L$7*(((Inputs!$I$7+(((A240)+1)/2)*(Inputs!$J$7-Inputs!$I$7)))/Inputs!$K$7)^2),NA())</f>
        <v/>
      </c>
      <c r="D240" s="9">
        <f>IF(OR(Inputs!$F$8=TRUE,Inputs!$F$8="TRUE",Inputs!$F$8=1),(Inputs!$H$8+Inputs!$L$8*(((Inputs!$I$8+(((A240)+1)/2)*(Inputs!$J$8-Inputs!$I$8)))/Inputs!$K$8)^2),NA())</f>
        <v/>
      </c>
      <c r="E240" s="9">
        <f>IF(OR(Inputs!$F$9=TRUE,Inputs!$F$9="TRUE",Inputs!$F$9=1),(Inputs!$H$9+Inputs!$L$9*(((Inputs!$I$9+(((A240)+1)/2)*(Inputs!$J$9-Inputs!$I$9)))/Inputs!$K$9)^2),NA())</f>
        <v/>
      </c>
      <c r="F240" s="10" t="n"/>
      <c r="G240" s="9">
        <f>A240</f>
        <v/>
      </c>
      <c r="H240" s="9">
        <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f>
        <v/>
      </c>
      <c r="I240" s="9">
        <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f>
        <v/>
      </c>
      <c r="J240" s="9">
        <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f>
        <v/>
      </c>
      <c r="K240" s="9">
        <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f>
        <v/>
      </c>
      <c r="L240" s="10" t="n"/>
      <c r="M240" s="9">
        <f>A240</f>
        <v/>
      </c>
      <c r="N240" s="9">
        <f>IF(OR(Inputs!$F$6=TRUE,Inputs!$F$6="TRUE",Inputs!$F$6=1),(-2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NA())</f>
        <v/>
      </c>
      <c r="O240" s="9">
        <f>IF(OR(Inputs!$F$7=TRUE,Inputs!$F$7="TRUE",Inputs!$F$7=1),(-2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NA())</f>
        <v/>
      </c>
      <c r="P240" s="9">
        <f>IF(OR(Inputs!$F$8=TRUE,Inputs!$F$8="TRUE",Inputs!$F$8=1),(-2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NA())</f>
        <v/>
      </c>
      <c r="Q240" s="9">
        <f>IF(OR(Inputs!$F$9=TRUE,Inputs!$F$9="TRUE",Inputs!$F$9=1),(-2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NA())</f>
        <v/>
      </c>
      <c r="R240" s="10" t="n"/>
      <c r="S240" s="9">
        <f>A240</f>
        <v/>
      </c>
      <c r="T240" s="9">
        <f>(Inputs!$I$6+(((A240)+1)/2)*(Inputs!$J$6-Inputs!$I$6))</f>
        <v/>
      </c>
      <c r="U240" s="9">
        <f>(Inputs!$I$7+(((A240)+1)/2)*(Inputs!$J$7-Inputs!$I$7))</f>
        <v/>
      </c>
      <c r="V240" s="9">
        <f>(Inputs!$I$8+(((A240)+1)/2)*(Inputs!$J$8-Inputs!$I$8))</f>
        <v/>
      </c>
      <c r="W240" s="9">
        <f>(Inputs!$I$9+(((A240)+1)/2)*(Inputs!$J$9-Inputs!$I$9))</f>
        <v/>
      </c>
      <c r="X240" s="10" t="n"/>
      <c r="Y240" s="9">
        <f>A240</f>
        <v/>
      </c>
      <c r="Z240" s="9">
        <f>(Inputs!$H$6+Inputs!$L$6*(((Inputs!$I$6+(((A240)+1)/2)*(Inputs!$J$6-Inputs!$I$6)))/Inputs!$K$6)^2)</f>
        <v/>
      </c>
      <c r="AA240" s="9">
        <f>(Inputs!$H$7+Inputs!$L$7*(((Inputs!$I$7+(((A240)+1)/2)*(Inputs!$J$7-Inputs!$I$7)))/Inputs!$K$7)^2)</f>
        <v/>
      </c>
      <c r="AB240" s="9">
        <f>(Inputs!$H$8+Inputs!$L$8*(((Inputs!$I$8+(((A240)+1)/2)*(Inputs!$J$8-Inputs!$I$8)))/Inputs!$K$8)^2)</f>
        <v/>
      </c>
      <c r="AC240" s="9">
        <f>(Inputs!$H$9+Inputs!$L$9*(((Inputs!$I$9+(((A240)+1)/2)*(Inputs!$J$9-Inputs!$I$9)))/Inputs!$K$9)^2)</f>
        <v/>
      </c>
      <c r="AD240" s="10" t="n"/>
      <c r="AE240" s="9">
        <f>A240</f>
        <v/>
      </c>
      <c r="AF240" s="9">
        <f>(((SQRT((Inputs!$C$52+((Inputs!$H$6+Inputs!$L$6*(((Inputs!$I$6+(((A240)+1)/2)*(Inputs!$J$6-Inputs!$I$6)))/Inputs!$K$6)^2)))^2+Inputs!$C$52^2-2*(Inputs!$C$52+((Inputs!$H$6+Inputs!$L$6*(((Inputs!$I$6+(((A240)+1)/2)*(Inputs!$J$6-Inputs!$I$6)))/Inputs!$K$6)^2)))*Inputs!$C$52*COS(SQRT(((Inputs!$I$6+(((A240)+1)/2)*(Inputs!$J$6-Inputs!$I$6)))^2+Inputs!$C$6^2)/Inputs!$C$52)))-((Inputs!$H$6+Inputs!$L$6*(((Inputs!$I$6+(((A240)+1)/2)*(Inputs!$J$6-Inputs!$I$6)))/Inputs!$K$6)^2)))*1000/Inputs!$C$12)</f>
        <v/>
      </c>
      <c r="AG240" s="9">
        <f>(((SQRT((Inputs!$C$52+((Inputs!$H$7+Inputs!$L$7*(((Inputs!$I$7+(((A240)+1)/2)*(Inputs!$J$7-Inputs!$I$7)))/Inputs!$K$7)^2)))^2+Inputs!$C$52^2-2*(Inputs!$C$52+((Inputs!$H$7+Inputs!$L$7*(((Inputs!$I$7+(((A240)+1)/2)*(Inputs!$J$7-Inputs!$I$7)))/Inputs!$K$7)^2)))*Inputs!$C$52*COS(SQRT(((Inputs!$I$7+(((A240)+1)/2)*(Inputs!$J$7-Inputs!$I$7)))^2+Inputs!$C$6^2)/Inputs!$C$52)))-((Inputs!$H$7+Inputs!$L$7*(((Inputs!$I$7+(((A240)+1)/2)*(Inputs!$J$7-Inputs!$I$7)))/Inputs!$K$7)^2)))*1000/Inputs!$C$12)</f>
        <v/>
      </c>
      <c r="AH240" s="9">
        <f>(((SQRT((Inputs!$C$52+((Inputs!$H$8+Inputs!$L$8*(((Inputs!$I$8+(((A240)+1)/2)*(Inputs!$J$8-Inputs!$I$8)))/Inputs!$K$8)^2)))^2+Inputs!$C$52^2-2*(Inputs!$C$52+((Inputs!$H$8+Inputs!$L$8*(((Inputs!$I$8+(((A240)+1)/2)*(Inputs!$J$8-Inputs!$I$8)))/Inputs!$K$8)^2)))*Inputs!$C$52*COS(SQRT(((Inputs!$I$8+(((A240)+1)/2)*(Inputs!$J$8-Inputs!$I$8)))^2+Inputs!$C$6^2)/Inputs!$C$52)))-((Inputs!$H$8+Inputs!$L$8*(((Inputs!$I$8+(((A240)+1)/2)*(Inputs!$J$8-Inputs!$I$8)))/Inputs!$K$8)^2)))*1000/Inputs!$C$12)</f>
        <v/>
      </c>
      <c r="AI240" s="9">
        <f>(((SQRT((Inputs!$C$52+((Inputs!$H$9+Inputs!$L$9*(((Inputs!$I$9+(((A240)+1)/2)*(Inputs!$J$9-Inputs!$I$9)))/Inputs!$K$9)^2)))^2+Inputs!$C$52^2-2*(Inputs!$C$52+((Inputs!$H$9+Inputs!$L$9*(((Inputs!$I$9+(((A240)+1)/2)*(Inputs!$J$9-Inputs!$I$9)))/Inputs!$K$9)^2)))*Inputs!$C$52*COS(SQRT(((Inputs!$I$9+(((A240)+1)/2)*(Inputs!$J$9-Inputs!$I$9)))^2+Inputs!$C$6^2)/Inputs!$C$52)))-((Inputs!$H$9+Inputs!$L$9*(((Inputs!$I$9+(((A240)+1)/2)*(Inputs!$J$9-Inputs!$I$9)))/Inputs!$K$9)^2)))*1000/Inputs!$C$12)</f>
        <v/>
      </c>
      <c r="AJ240" s="10" t="n"/>
      <c r="AK240" s="9">
        <f>A240</f>
        <v/>
      </c>
      <c r="AL240" s="9">
        <f>(-2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f>
        <v/>
      </c>
      <c r="AM240" s="9">
        <f>(-2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f>
        <v/>
      </c>
      <c r="AN240" s="9">
        <f>(-2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f>
        <v/>
      </c>
      <c r="AO240" s="9">
        <f>(-2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f>
        <v/>
      </c>
      <c r="AP240" s="10" t="n"/>
      <c r="AQ240" s="9">
        <f>A240</f>
        <v/>
      </c>
      <c r="AR240" s="9">
        <f>0</f>
        <v/>
      </c>
      <c r="AS240" s="9">
        <f>IF(OR(Inputs!$F$6=TRUE,Inputs!$F$6="TRUE",Inputs!$F$6=1),IF(OR(Inputs!$C$27=TRUE,Inputs!$C$27="TRUE",Inputs!$C$27=1),1,0)*(Inputs!$C$51*(115*EXP(-(((Inputs!$C$6)-25)^2)/(4.5^2))+70*EXP(-(((Inputs!$C$6)+38)^2)/(7^2))*(0.55+0.45*SIN(2*PI()*((Inputs!$I$6+(((A240)+1)/2)*(Inputs!$J$6-Inputs!$I$6)))/45))+24*SIN(2*PI()*(Inputs!$C$6)/9+((Inputs!$I$6+(((A240)+1)/2)*(Inputs!$J$6-Inputs!$I$6)))/18)*EXP(-(((Inputs!$C$6)+5)^2)/(22^2))+18*SIN(2*PI()*((Inputs!$I$6+(((A240)+1)/2)*(Inputs!$J$6-Inputs!$I$6)))/70))+Inputs!$C$28*EXP(-((((Inputs!$I$6+(((A240)+1)/2)*(Inputs!$J$6-Inputs!$I$6)))-Inputs!$C$29)^2)/(2*Inputs!$C$31^2))*EXP(-(((Inputs!$C$6)-Inputs!$C$30)^2)/(2*Inputs!$C$32^2))+-Inputs!$C$33*EXP(-((((((Inputs!$I$6+(((A240)+1)/2)*(Inputs!$J$6-Inputs!$I$6)))-Inputs!$C$34)^2)+(((Inputs!$C$6)-Inputs!$C$35)^2))/(2*Inputs!$C$36^2)))+Inputs!$C$37*(0.55*SIN(2*PI()*((Inputs!$I$6+(((A240)+1)/2)*(Inputs!$J$6-Inputs!$I$6)))/Inputs!$C$39)+0.35*COS(2*PI()*(Inputs!$C$6)/Inputs!$C$40)+0.2*SIN(2*PI()*(((Inputs!$I$6+(((A240)+1)/2)*(Inputs!$J$6-Inputs!$I$6)))+(Inputs!$C$6))/(0.5*(Inputs!$C$39+Inputs!$C$40))))+Inputs!$C$38*SIN(2*PI()*((Inputs!$I$6+(((A240)+1)/2)*(Inputs!$J$6-Inputs!$I$6)))/Inputs!$C$39)*SIN(2*PI()*(Inputs!$C$6)/Inputs!$C$40)+-Inputs!$C$41*EXP(-(((Inputs!$C$6)-Inputs!$C$43)^2)/(2*Inputs!$C$44^2))*EXP(-((((Inputs!$I$6+(((A240)+1)/2)*(Inputs!$J$6-Inputs!$I$6)))-Inputs!$C$42)^2)/(2*Inputs!$C$45^2))+Inputs!$C$48*(0.7*(0.45*SIN(2*PI()*((((Inputs!$I$6+(((A240)+1)/2)*(Inputs!$J$6-Inputs!$I$6)))/Inputs!$C$49)+Inputs!$C$47*0.137))+0.35*COS(2*PI()*(((Inputs!$C$6)/Inputs!$C$50)+Inputs!$C$47*0.173))+0.2*SIN(2*PI()*((((Inputs!$I$6+(((A240)+1)/2)*(Inputs!$J$6-Inputs!$I$6)))+(Inputs!$C$6))/(0.5*(Inputs!$C$49+Inputs!$C$50))+Inputs!$C$47*0.097)))+0.3*(2*((SIN((((Inputs!$I$6+(((A240)+1)/2)*(Inputs!$J$6-Inputs!$I$6)))*12.9898+(Inputs!$C$6)*78.233+Inputs!$C$47*37.719))*43758.5453)-INT((SIN((((Inputs!$I$6+(((A240)+1)/2)*(Inputs!$J$6-Inputs!$I$6)))*12.9898+(Inputs!$C$6)*78.233+Inputs!$C$47*37.719))*43758.5453)))-1))),NA())</f>
        <v/>
      </c>
      <c r="AT240" s="9">
        <f>IF(OR(Inputs!$F$7=TRUE,Inputs!$F$7="TRUE",Inputs!$F$7=1),IF(OR(Inputs!$C$27=TRUE,Inputs!$C$27="TRUE",Inputs!$C$27=1),1,0)*(Inputs!$C$51*(115*EXP(-(((Inputs!$C$6)-25)^2)/(4.5^2))+70*EXP(-(((Inputs!$C$6)+38)^2)/(7^2))*(0.55+0.45*SIN(2*PI()*((Inputs!$I$7+(((A240)+1)/2)*(Inputs!$J$7-Inputs!$I$7)))/45))+24*SIN(2*PI()*(Inputs!$C$6)/9+((Inputs!$I$7+(((A240)+1)/2)*(Inputs!$J$7-Inputs!$I$7)))/18)*EXP(-(((Inputs!$C$6)+5)^2)/(22^2))+18*SIN(2*PI()*((Inputs!$I$7+(((A240)+1)/2)*(Inputs!$J$7-Inputs!$I$7)))/70))+Inputs!$C$28*EXP(-((((Inputs!$I$7+(((A240)+1)/2)*(Inputs!$J$7-Inputs!$I$7)))-Inputs!$C$29)^2)/(2*Inputs!$C$31^2))*EXP(-(((Inputs!$C$6)-Inputs!$C$30)^2)/(2*Inputs!$C$32^2))+-Inputs!$C$33*EXP(-((((((Inputs!$I$7+(((A240)+1)/2)*(Inputs!$J$7-Inputs!$I$7)))-Inputs!$C$34)^2)+(((Inputs!$C$6)-Inputs!$C$35)^2))/(2*Inputs!$C$36^2)))+Inputs!$C$37*(0.55*SIN(2*PI()*((Inputs!$I$7+(((A240)+1)/2)*(Inputs!$J$7-Inputs!$I$7)))/Inputs!$C$39)+0.35*COS(2*PI()*(Inputs!$C$6)/Inputs!$C$40)+0.2*SIN(2*PI()*(((Inputs!$I$7+(((A240)+1)/2)*(Inputs!$J$7-Inputs!$I$7)))+(Inputs!$C$6))/(0.5*(Inputs!$C$39+Inputs!$C$40))))+Inputs!$C$38*SIN(2*PI()*((Inputs!$I$7+(((A240)+1)/2)*(Inputs!$J$7-Inputs!$I$7)))/Inputs!$C$39)*SIN(2*PI()*(Inputs!$C$6)/Inputs!$C$40)+-Inputs!$C$41*EXP(-(((Inputs!$C$6)-Inputs!$C$43)^2)/(2*Inputs!$C$44^2))*EXP(-((((Inputs!$I$7+(((A240)+1)/2)*(Inputs!$J$7-Inputs!$I$7)))-Inputs!$C$42)^2)/(2*Inputs!$C$45^2))+Inputs!$C$48*(0.7*(0.45*SIN(2*PI()*((((Inputs!$I$7+(((A240)+1)/2)*(Inputs!$J$7-Inputs!$I$7)))/Inputs!$C$49)+Inputs!$C$47*0.137))+0.35*COS(2*PI()*(((Inputs!$C$6)/Inputs!$C$50)+Inputs!$C$47*0.173))+0.2*SIN(2*PI()*((((Inputs!$I$7+(((A240)+1)/2)*(Inputs!$J$7-Inputs!$I$7)))+(Inputs!$C$6))/(0.5*(Inputs!$C$49+Inputs!$C$50))+Inputs!$C$47*0.097)))+0.3*(2*((SIN((((Inputs!$I$7+(((A240)+1)/2)*(Inputs!$J$7-Inputs!$I$7)))*12.9898+(Inputs!$C$6)*78.233+Inputs!$C$47*37.719))*43758.5453)-INT((SIN((((Inputs!$I$7+(((A240)+1)/2)*(Inputs!$J$7-Inputs!$I$7)))*12.9898+(Inputs!$C$6)*78.233+Inputs!$C$47*37.719))*43758.5453)))-1))),NA())</f>
        <v/>
      </c>
      <c r="AU240" s="9">
        <f>IF(OR(Inputs!$F$8=TRUE,Inputs!$F$8="TRUE",Inputs!$F$8=1),IF(OR(Inputs!$C$27=TRUE,Inputs!$C$27="TRUE",Inputs!$C$27=1),1,0)*(Inputs!$C$51*(115*EXP(-(((Inputs!$C$6)-25)^2)/(4.5^2))+70*EXP(-(((Inputs!$C$6)+38)^2)/(7^2))*(0.55+0.45*SIN(2*PI()*((Inputs!$I$8+(((A240)+1)/2)*(Inputs!$J$8-Inputs!$I$8)))/45))+24*SIN(2*PI()*(Inputs!$C$6)/9+((Inputs!$I$8+(((A240)+1)/2)*(Inputs!$J$8-Inputs!$I$8)))/18)*EXP(-(((Inputs!$C$6)+5)^2)/(22^2))+18*SIN(2*PI()*((Inputs!$I$8+(((A240)+1)/2)*(Inputs!$J$8-Inputs!$I$8)))/70))+Inputs!$C$28*EXP(-((((Inputs!$I$8+(((A240)+1)/2)*(Inputs!$J$8-Inputs!$I$8)))-Inputs!$C$29)^2)/(2*Inputs!$C$31^2))*EXP(-(((Inputs!$C$6)-Inputs!$C$30)^2)/(2*Inputs!$C$32^2))+-Inputs!$C$33*EXP(-((((((Inputs!$I$8+(((A240)+1)/2)*(Inputs!$J$8-Inputs!$I$8)))-Inputs!$C$34)^2)+(((Inputs!$C$6)-Inputs!$C$35)^2))/(2*Inputs!$C$36^2)))+Inputs!$C$37*(0.55*SIN(2*PI()*((Inputs!$I$8+(((A240)+1)/2)*(Inputs!$J$8-Inputs!$I$8)))/Inputs!$C$39)+0.35*COS(2*PI()*(Inputs!$C$6)/Inputs!$C$40)+0.2*SIN(2*PI()*(((Inputs!$I$8+(((A240)+1)/2)*(Inputs!$J$8-Inputs!$I$8)))+(Inputs!$C$6))/(0.5*(Inputs!$C$39+Inputs!$C$40))))+Inputs!$C$38*SIN(2*PI()*((Inputs!$I$8+(((A240)+1)/2)*(Inputs!$J$8-Inputs!$I$8)))/Inputs!$C$39)*SIN(2*PI()*(Inputs!$C$6)/Inputs!$C$40)+-Inputs!$C$41*EXP(-(((Inputs!$C$6)-Inputs!$C$43)^2)/(2*Inputs!$C$44^2))*EXP(-((((Inputs!$I$8+(((A240)+1)/2)*(Inputs!$J$8-Inputs!$I$8)))-Inputs!$C$42)^2)/(2*Inputs!$C$45^2))+Inputs!$C$48*(0.7*(0.45*SIN(2*PI()*((((Inputs!$I$8+(((A240)+1)/2)*(Inputs!$J$8-Inputs!$I$8)))/Inputs!$C$49)+Inputs!$C$47*0.137))+0.35*COS(2*PI()*(((Inputs!$C$6)/Inputs!$C$50)+Inputs!$C$47*0.173))+0.2*SIN(2*PI()*((((Inputs!$I$8+(((A240)+1)/2)*(Inputs!$J$8-Inputs!$I$8)))+(Inputs!$C$6))/(0.5*(Inputs!$C$49+Inputs!$C$50))+Inputs!$C$47*0.097)))+0.3*(2*((SIN((((Inputs!$I$8+(((A240)+1)/2)*(Inputs!$J$8-Inputs!$I$8)))*12.9898+(Inputs!$C$6)*78.233+Inputs!$C$47*37.719))*43758.5453)-INT((SIN((((Inputs!$I$8+(((A240)+1)/2)*(Inputs!$J$8-Inputs!$I$8)))*12.9898+(Inputs!$C$6)*78.233+Inputs!$C$47*37.719))*43758.5453)))-1))),NA())</f>
        <v/>
      </c>
      <c r="AV240" s="9">
        <f>IF(OR(Inputs!$F$9=TRUE,Inputs!$F$9="TRUE",Inputs!$F$9=1),IF(OR(Inputs!$C$27=TRUE,Inputs!$C$27="TRUE",Inputs!$C$27=1),1,0)*(Inputs!$C$51*(115*EXP(-(((Inputs!$C$6)-25)^2)/(4.5^2))+70*EXP(-(((Inputs!$C$6)+38)^2)/(7^2))*(0.55+0.45*SIN(2*PI()*((Inputs!$I$9+(((A240)+1)/2)*(Inputs!$J$9-Inputs!$I$9)))/45))+24*SIN(2*PI()*(Inputs!$C$6)/9+((Inputs!$I$9+(((A240)+1)/2)*(Inputs!$J$9-Inputs!$I$9)))/18)*EXP(-(((Inputs!$C$6)+5)^2)/(22^2))+18*SIN(2*PI()*((Inputs!$I$9+(((A240)+1)/2)*(Inputs!$J$9-Inputs!$I$9)))/70))+Inputs!$C$28*EXP(-((((Inputs!$I$9+(((A240)+1)/2)*(Inputs!$J$9-Inputs!$I$9)))-Inputs!$C$29)^2)/(2*Inputs!$C$31^2))*EXP(-(((Inputs!$C$6)-Inputs!$C$30)^2)/(2*Inputs!$C$32^2))+-Inputs!$C$33*EXP(-((((((Inputs!$I$9+(((A240)+1)/2)*(Inputs!$J$9-Inputs!$I$9)))-Inputs!$C$34)^2)+(((Inputs!$C$6)-Inputs!$C$35)^2))/(2*Inputs!$C$36^2)))+Inputs!$C$37*(0.55*SIN(2*PI()*((Inputs!$I$9+(((A240)+1)/2)*(Inputs!$J$9-Inputs!$I$9)))/Inputs!$C$39)+0.35*COS(2*PI()*(Inputs!$C$6)/Inputs!$C$40)+0.2*SIN(2*PI()*(((Inputs!$I$9+(((A240)+1)/2)*(Inputs!$J$9-Inputs!$I$9)))+(Inputs!$C$6))/(0.5*(Inputs!$C$39+Inputs!$C$40))))+Inputs!$C$38*SIN(2*PI()*((Inputs!$I$9+(((A240)+1)/2)*(Inputs!$J$9-Inputs!$I$9)))/Inputs!$C$39)*SIN(2*PI()*(Inputs!$C$6)/Inputs!$C$40)+-Inputs!$C$41*EXP(-(((Inputs!$C$6)-Inputs!$C$43)^2)/(2*Inputs!$C$44^2))*EXP(-((((Inputs!$I$9+(((A240)+1)/2)*(Inputs!$J$9-Inputs!$I$9)))-Inputs!$C$42)^2)/(2*Inputs!$C$45^2))+Inputs!$C$48*(0.7*(0.45*SIN(2*PI()*((((Inputs!$I$9+(((A240)+1)/2)*(Inputs!$J$9-Inputs!$I$9)))/Inputs!$C$49)+Inputs!$C$47*0.137))+0.35*COS(2*PI()*(((Inputs!$C$6)/Inputs!$C$50)+Inputs!$C$47*0.173))+0.2*SIN(2*PI()*((((Inputs!$I$9+(((A240)+1)/2)*(Inputs!$J$9-Inputs!$I$9)))+(Inputs!$C$6))/(0.5*(Inputs!$C$49+Inputs!$C$50))+Inputs!$C$47*0.097)))+0.3*(2*((SIN((((Inputs!$I$9+(((A240)+1)/2)*(Inputs!$J$9-Inputs!$I$9)))*12.9898+(Inputs!$C$6)*78.233+Inputs!$C$47*37.719))*43758.5453)-INT((SIN((((Inputs!$I$9+(((A240)+1)/2)*(Inputs!$J$9-Inputs!$I$9)))*12.9898+(Inputs!$C$6)*78.233+Inputs!$C$47*37.719))*43758.5453)))-1))),NA())</f>
        <v/>
      </c>
      <c r="AW240" s="10" t="n"/>
      <c r="AX240" s="9">
        <f>A240</f>
        <v/>
      </c>
      <c r="AY240" s="9">
        <f>0</f>
        <v/>
      </c>
      <c r="AZ240" s="9">
        <f>IF(OR(Inputs!$F$6=TRUE,Inputs!$F$6="TRUE",Inputs!$F$6=1),(Inputs!$H$6+Inputs!$L$6*(((Inputs!$I$6+(((A240)+1)/2)*(Inputs!$J$6-Inputs!$I$6)))/Inputs!$K$6)^2),NA())</f>
        <v/>
      </c>
      <c r="BA240" s="9">
        <f>IF(OR(Inputs!$F$7=TRUE,Inputs!$F$7="TRUE",Inputs!$F$7=1),(Inputs!$H$7+Inputs!$L$7*(((Inputs!$I$7+(((A240)+1)/2)*(Inputs!$J$7-Inputs!$I$7)))/Inputs!$K$7)^2),NA())</f>
        <v/>
      </c>
      <c r="BB240" s="9">
        <f>IF(OR(Inputs!$F$8=TRUE,Inputs!$F$8="TRUE",Inputs!$F$8=1),(Inputs!$H$8+Inputs!$L$8*(((Inputs!$I$8+(((A240)+1)/2)*(Inputs!$J$8-Inputs!$I$8)))/Inputs!$K$8)^2),NA())</f>
        <v/>
      </c>
      <c r="BC240" s="9">
        <f>IF(OR(Inputs!$F$9=TRUE,Inputs!$F$9="TRUE",Inputs!$F$9=1),(Inputs!$H$9+Inputs!$L$9*(((Inputs!$I$9+(((A240)+1)/2)*(Inputs!$J$9-Inputs!$I$9)))/Inputs!$K$9)^2),NA())</f>
        <v/>
      </c>
      <c r="BD240" s="10" t="n"/>
      <c r="BE240" s="9">
        <f>A240</f>
        <v/>
      </c>
      <c r="BF240" s="9">
        <f>0</f>
        <v/>
      </c>
      <c r="BG240" s="9">
        <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f>
        <v/>
      </c>
      <c r="BH240" s="9">
        <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f>
        <v/>
      </c>
      <c r="BI240" s="9">
        <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f>
        <v/>
      </c>
      <c r="BJ240" s="9">
        <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f>
        <v/>
      </c>
    </row>
    <row r="241">
      <c r="A241" s="9">
        <f>ROUND(-1+239*2/240,3)</f>
        <v/>
      </c>
      <c r="B241" s="9">
        <f>IF(OR(Inputs!$F$6=TRUE,Inputs!$F$6="TRUE",Inputs!$F$6=1),(Inputs!$H$6+Inputs!$L$6*(((Inputs!$I$6+(((A241)+1)/2)*(Inputs!$J$6-Inputs!$I$6)))/Inputs!$K$6)^2),NA())</f>
        <v/>
      </c>
      <c r="C241" s="9">
        <f>IF(OR(Inputs!$F$7=TRUE,Inputs!$F$7="TRUE",Inputs!$F$7=1),(Inputs!$H$7+Inputs!$L$7*(((Inputs!$I$7+(((A241)+1)/2)*(Inputs!$J$7-Inputs!$I$7)))/Inputs!$K$7)^2),NA())</f>
        <v/>
      </c>
      <c r="D241" s="9">
        <f>IF(OR(Inputs!$F$8=TRUE,Inputs!$F$8="TRUE",Inputs!$F$8=1),(Inputs!$H$8+Inputs!$L$8*(((Inputs!$I$8+(((A241)+1)/2)*(Inputs!$J$8-Inputs!$I$8)))/Inputs!$K$8)^2),NA())</f>
        <v/>
      </c>
      <c r="E241" s="9">
        <f>IF(OR(Inputs!$F$9=TRUE,Inputs!$F$9="TRUE",Inputs!$F$9=1),(Inputs!$H$9+Inputs!$L$9*(((Inputs!$I$9+(((A241)+1)/2)*(Inputs!$J$9-Inputs!$I$9)))/Inputs!$K$9)^2),NA())</f>
        <v/>
      </c>
      <c r="F241" s="10" t="n"/>
      <c r="G241" s="9">
        <f>A241</f>
        <v/>
      </c>
      <c r="H241" s="9">
        <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f>
        <v/>
      </c>
      <c r="I241" s="9">
        <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f>
        <v/>
      </c>
      <c r="J241" s="9">
        <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f>
        <v/>
      </c>
      <c r="K241" s="9">
        <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f>
        <v/>
      </c>
      <c r="L241" s="10" t="n"/>
      <c r="M241" s="9">
        <f>A241</f>
        <v/>
      </c>
      <c r="N241" s="9">
        <f>IF(OR(Inputs!$F$6=TRUE,Inputs!$F$6="TRUE",Inputs!$F$6=1),(-2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NA())</f>
        <v/>
      </c>
      <c r="O241" s="9">
        <f>IF(OR(Inputs!$F$7=TRUE,Inputs!$F$7="TRUE",Inputs!$F$7=1),(-2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NA())</f>
        <v/>
      </c>
      <c r="P241" s="9">
        <f>IF(OR(Inputs!$F$8=TRUE,Inputs!$F$8="TRUE",Inputs!$F$8=1),(-2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NA())</f>
        <v/>
      </c>
      <c r="Q241" s="9">
        <f>IF(OR(Inputs!$F$9=TRUE,Inputs!$F$9="TRUE",Inputs!$F$9=1),(-2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NA())</f>
        <v/>
      </c>
      <c r="R241" s="10" t="n"/>
      <c r="S241" s="9">
        <f>A241</f>
        <v/>
      </c>
      <c r="T241" s="9">
        <f>(Inputs!$I$6+(((A241)+1)/2)*(Inputs!$J$6-Inputs!$I$6))</f>
        <v/>
      </c>
      <c r="U241" s="9">
        <f>(Inputs!$I$7+(((A241)+1)/2)*(Inputs!$J$7-Inputs!$I$7))</f>
        <v/>
      </c>
      <c r="V241" s="9">
        <f>(Inputs!$I$8+(((A241)+1)/2)*(Inputs!$J$8-Inputs!$I$8))</f>
        <v/>
      </c>
      <c r="W241" s="9">
        <f>(Inputs!$I$9+(((A241)+1)/2)*(Inputs!$J$9-Inputs!$I$9))</f>
        <v/>
      </c>
      <c r="X241" s="10" t="n"/>
      <c r="Y241" s="9">
        <f>A241</f>
        <v/>
      </c>
      <c r="Z241" s="9">
        <f>(Inputs!$H$6+Inputs!$L$6*(((Inputs!$I$6+(((A241)+1)/2)*(Inputs!$J$6-Inputs!$I$6)))/Inputs!$K$6)^2)</f>
        <v/>
      </c>
      <c r="AA241" s="9">
        <f>(Inputs!$H$7+Inputs!$L$7*(((Inputs!$I$7+(((A241)+1)/2)*(Inputs!$J$7-Inputs!$I$7)))/Inputs!$K$7)^2)</f>
        <v/>
      </c>
      <c r="AB241" s="9">
        <f>(Inputs!$H$8+Inputs!$L$8*(((Inputs!$I$8+(((A241)+1)/2)*(Inputs!$J$8-Inputs!$I$8)))/Inputs!$K$8)^2)</f>
        <v/>
      </c>
      <c r="AC241" s="9">
        <f>(Inputs!$H$9+Inputs!$L$9*(((Inputs!$I$9+(((A241)+1)/2)*(Inputs!$J$9-Inputs!$I$9)))/Inputs!$K$9)^2)</f>
        <v/>
      </c>
      <c r="AD241" s="10" t="n"/>
      <c r="AE241" s="9">
        <f>A241</f>
        <v/>
      </c>
      <c r="AF241" s="9">
        <f>(((SQRT((Inputs!$C$52+((Inputs!$H$6+Inputs!$L$6*(((Inputs!$I$6+(((A241)+1)/2)*(Inputs!$J$6-Inputs!$I$6)))/Inputs!$K$6)^2)))^2+Inputs!$C$52^2-2*(Inputs!$C$52+((Inputs!$H$6+Inputs!$L$6*(((Inputs!$I$6+(((A241)+1)/2)*(Inputs!$J$6-Inputs!$I$6)))/Inputs!$K$6)^2)))*Inputs!$C$52*COS(SQRT(((Inputs!$I$6+(((A241)+1)/2)*(Inputs!$J$6-Inputs!$I$6)))^2+Inputs!$C$6^2)/Inputs!$C$52)))-((Inputs!$H$6+Inputs!$L$6*(((Inputs!$I$6+(((A241)+1)/2)*(Inputs!$J$6-Inputs!$I$6)))/Inputs!$K$6)^2)))*1000/Inputs!$C$12)</f>
        <v/>
      </c>
      <c r="AG241" s="9">
        <f>(((SQRT((Inputs!$C$52+((Inputs!$H$7+Inputs!$L$7*(((Inputs!$I$7+(((A241)+1)/2)*(Inputs!$J$7-Inputs!$I$7)))/Inputs!$K$7)^2)))^2+Inputs!$C$52^2-2*(Inputs!$C$52+((Inputs!$H$7+Inputs!$L$7*(((Inputs!$I$7+(((A241)+1)/2)*(Inputs!$J$7-Inputs!$I$7)))/Inputs!$K$7)^2)))*Inputs!$C$52*COS(SQRT(((Inputs!$I$7+(((A241)+1)/2)*(Inputs!$J$7-Inputs!$I$7)))^2+Inputs!$C$6^2)/Inputs!$C$52)))-((Inputs!$H$7+Inputs!$L$7*(((Inputs!$I$7+(((A241)+1)/2)*(Inputs!$J$7-Inputs!$I$7)))/Inputs!$K$7)^2)))*1000/Inputs!$C$12)</f>
        <v/>
      </c>
      <c r="AH241" s="9">
        <f>(((SQRT((Inputs!$C$52+((Inputs!$H$8+Inputs!$L$8*(((Inputs!$I$8+(((A241)+1)/2)*(Inputs!$J$8-Inputs!$I$8)))/Inputs!$K$8)^2)))^2+Inputs!$C$52^2-2*(Inputs!$C$52+((Inputs!$H$8+Inputs!$L$8*(((Inputs!$I$8+(((A241)+1)/2)*(Inputs!$J$8-Inputs!$I$8)))/Inputs!$K$8)^2)))*Inputs!$C$52*COS(SQRT(((Inputs!$I$8+(((A241)+1)/2)*(Inputs!$J$8-Inputs!$I$8)))^2+Inputs!$C$6^2)/Inputs!$C$52)))-((Inputs!$H$8+Inputs!$L$8*(((Inputs!$I$8+(((A241)+1)/2)*(Inputs!$J$8-Inputs!$I$8)))/Inputs!$K$8)^2)))*1000/Inputs!$C$12)</f>
        <v/>
      </c>
      <c r="AI241" s="9">
        <f>(((SQRT((Inputs!$C$52+((Inputs!$H$9+Inputs!$L$9*(((Inputs!$I$9+(((A241)+1)/2)*(Inputs!$J$9-Inputs!$I$9)))/Inputs!$K$9)^2)))^2+Inputs!$C$52^2-2*(Inputs!$C$52+((Inputs!$H$9+Inputs!$L$9*(((Inputs!$I$9+(((A241)+1)/2)*(Inputs!$J$9-Inputs!$I$9)))/Inputs!$K$9)^2)))*Inputs!$C$52*COS(SQRT(((Inputs!$I$9+(((A241)+1)/2)*(Inputs!$J$9-Inputs!$I$9)))^2+Inputs!$C$6^2)/Inputs!$C$52)))-((Inputs!$H$9+Inputs!$L$9*(((Inputs!$I$9+(((A241)+1)/2)*(Inputs!$J$9-Inputs!$I$9)))/Inputs!$K$9)^2)))*1000/Inputs!$C$12)</f>
        <v/>
      </c>
      <c r="AJ241" s="10" t="n"/>
      <c r="AK241" s="9">
        <f>A241</f>
        <v/>
      </c>
      <c r="AL241" s="9">
        <f>(-2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f>
        <v/>
      </c>
      <c r="AM241" s="9">
        <f>(-2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f>
        <v/>
      </c>
      <c r="AN241" s="9">
        <f>(-2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f>
        <v/>
      </c>
      <c r="AO241" s="9">
        <f>(-2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f>
        <v/>
      </c>
      <c r="AP241" s="10" t="n"/>
      <c r="AQ241" s="9">
        <f>A241</f>
        <v/>
      </c>
      <c r="AR241" s="9">
        <f>0</f>
        <v/>
      </c>
      <c r="AS241" s="9">
        <f>IF(OR(Inputs!$F$6=TRUE,Inputs!$F$6="TRUE",Inputs!$F$6=1),IF(OR(Inputs!$C$27=TRUE,Inputs!$C$27="TRUE",Inputs!$C$27=1),1,0)*(Inputs!$C$51*(115*EXP(-(((Inputs!$C$6)-25)^2)/(4.5^2))+70*EXP(-(((Inputs!$C$6)+38)^2)/(7^2))*(0.55+0.45*SIN(2*PI()*((Inputs!$I$6+(((A241)+1)/2)*(Inputs!$J$6-Inputs!$I$6)))/45))+24*SIN(2*PI()*(Inputs!$C$6)/9+((Inputs!$I$6+(((A241)+1)/2)*(Inputs!$J$6-Inputs!$I$6)))/18)*EXP(-(((Inputs!$C$6)+5)^2)/(22^2))+18*SIN(2*PI()*((Inputs!$I$6+(((A241)+1)/2)*(Inputs!$J$6-Inputs!$I$6)))/70))+Inputs!$C$28*EXP(-((((Inputs!$I$6+(((A241)+1)/2)*(Inputs!$J$6-Inputs!$I$6)))-Inputs!$C$29)^2)/(2*Inputs!$C$31^2))*EXP(-(((Inputs!$C$6)-Inputs!$C$30)^2)/(2*Inputs!$C$32^2))+-Inputs!$C$33*EXP(-((((((Inputs!$I$6+(((A241)+1)/2)*(Inputs!$J$6-Inputs!$I$6)))-Inputs!$C$34)^2)+(((Inputs!$C$6)-Inputs!$C$35)^2))/(2*Inputs!$C$36^2)))+Inputs!$C$37*(0.55*SIN(2*PI()*((Inputs!$I$6+(((A241)+1)/2)*(Inputs!$J$6-Inputs!$I$6)))/Inputs!$C$39)+0.35*COS(2*PI()*(Inputs!$C$6)/Inputs!$C$40)+0.2*SIN(2*PI()*(((Inputs!$I$6+(((A241)+1)/2)*(Inputs!$J$6-Inputs!$I$6)))+(Inputs!$C$6))/(0.5*(Inputs!$C$39+Inputs!$C$40))))+Inputs!$C$38*SIN(2*PI()*((Inputs!$I$6+(((A241)+1)/2)*(Inputs!$J$6-Inputs!$I$6)))/Inputs!$C$39)*SIN(2*PI()*(Inputs!$C$6)/Inputs!$C$40)+-Inputs!$C$41*EXP(-(((Inputs!$C$6)-Inputs!$C$43)^2)/(2*Inputs!$C$44^2))*EXP(-((((Inputs!$I$6+(((A241)+1)/2)*(Inputs!$J$6-Inputs!$I$6)))-Inputs!$C$42)^2)/(2*Inputs!$C$45^2))+Inputs!$C$48*(0.7*(0.45*SIN(2*PI()*((((Inputs!$I$6+(((A241)+1)/2)*(Inputs!$J$6-Inputs!$I$6)))/Inputs!$C$49)+Inputs!$C$47*0.137))+0.35*COS(2*PI()*(((Inputs!$C$6)/Inputs!$C$50)+Inputs!$C$47*0.173))+0.2*SIN(2*PI()*((((Inputs!$I$6+(((A241)+1)/2)*(Inputs!$J$6-Inputs!$I$6)))+(Inputs!$C$6))/(0.5*(Inputs!$C$49+Inputs!$C$50))+Inputs!$C$47*0.097)))+0.3*(2*((SIN((((Inputs!$I$6+(((A241)+1)/2)*(Inputs!$J$6-Inputs!$I$6)))*12.9898+(Inputs!$C$6)*78.233+Inputs!$C$47*37.719))*43758.5453)-INT((SIN((((Inputs!$I$6+(((A241)+1)/2)*(Inputs!$J$6-Inputs!$I$6)))*12.9898+(Inputs!$C$6)*78.233+Inputs!$C$47*37.719))*43758.5453)))-1))),NA())</f>
        <v/>
      </c>
      <c r="AT241" s="9">
        <f>IF(OR(Inputs!$F$7=TRUE,Inputs!$F$7="TRUE",Inputs!$F$7=1),IF(OR(Inputs!$C$27=TRUE,Inputs!$C$27="TRUE",Inputs!$C$27=1),1,0)*(Inputs!$C$51*(115*EXP(-(((Inputs!$C$6)-25)^2)/(4.5^2))+70*EXP(-(((Inputs!$C$6)+38)^2)/(7^2))*(0.55+0.45*SIN(2*PI()*((Inputs!$I$7+(((A241)+1)/2)*(Inputs!$J$7-Inputs!$I$7)))/45))+24*SIN(2*PI()*(Inputs!$C$6)/9+((Inputs!$I$7+(((A241)+1)/2)*(Inputs!$J$7-Inputs!$I$7)))/18)*EXP(-(((Inputs!$C$6)+5)^2)/(22^2))+18*SIN(2*PI()*((Inputs!$I$7+(((A241)+1)/2)*(Inputs!$J$7-Inputs!$I$7)))/70))+Inputs!$C$28*EXP(-((((Inputs!$I$7+(((A241)+1)/2)*(Inputs!$J$7-Inputs!$I$7)))-Inputs!$C$29)^2)/(2*Inputs!$C$31^2))*EXP(-(((Inputs!$C$6)-Inputs!$C$30)^2)/(2*Inputs!$C$32^2))+-Inputs!$C$33*EXP(-((((((Inputs!$I$7+(((A241)+1)/2)*(Inputs!$J$7-Inputs!$I$7)))-Inputs!$C$34)^2)+(((Inputs!$C$6)-Inputs!$C$35)^2))/(2*Inputs!$C$36^2)))+Inputs!$C$37*(0.55*SIN(2*PI()*((Inputs!$I$7+(((A241)+1)/2)*(Inputs!$J$7-Inputs!$I$7)))/Inputs!$C$39)+0.35*COS(2*PI()*(Inputs!$C$6)/Inputs!$C$40)+0.2*SIN(2*PI()*(((Inputs!$I$7+(((A241)+1)/2)*(Inputs!$J$7-Inputs!$I$7)))+(Inputs!$C$6))/(0.5*(Inputs!$C$39+Inputs!$C$40))))+Inputs!$C$38*SIN(2*PI()*((Inputs!$I$7+(((A241)+1)/2)*(Inputs!$J$7-Inputs!$I$7)))/Inputs!$C$39)*SIN(2*PI()*(Inputs!$C$6)/Inputs!$C$40)+-Inputs!$C$41*EXP(-(((Inputs!$C$6)-Inputs!$C$43)^2)/(2*Inputs!$C$44^2))*EXP(-((((Inputs!$I$7+(((A241)+1)/2)*(Inputs!$J$7-Inputs!$I$7)))-Inputs!$C$42)^2)/(2*Inputs!$C$45^2))+Inputs!$C$48*(0.7*(0.45*SIN(2*PI()*((((Inputs!$I$7+(((A241)+1)/2)*(Inputs!$J$7-Inputs!$I$7)))/Inputs!$C$49)+Inputs!$C$47*0.137))+0.35*COS(2*PI()*(((Inputs!$C$6)/Inputs!$C$50)+Inputs!$C$47*0.173))+0.2*SIN(2*PI()*((((Inputs!$I$7+(((A241)+1)/2)*(Inputs!$J$7-Inputs!$I$7)))+(Inputs!$C$6))/(0.5*(Inputs!$C$49+Inputs!$C$50))+Inputs!$C$47*0.097)))+0.3*(2*((SIN((((Inputs!$I$7+(((A241)+1)/2)*(Inputs!$J$7-Inputs!$I$7)))*12.9898+(Inputs!$C$6)*78.233+Inputs!$C$47*37.719))*43758.5453)-INT((SIN((((Inputs!$I$7+(((A241)+1)/2)*(Inputs!$J$7-Inputs!$I$7)))*12.9898+(Inputs!$C$6)*78.233+Inputs!$C$47*37.719))*43758.5453)))-1))),NA())</f>
        <v/>
      </c>
      <c r="AU241" s="9">
        <f>IF(OR(Inputs!$F$8=TRUE,Inputs!$F$8="TRUE",Inputs!$F$8=1),IF(OR(Inputs!$C$27=TRUE,Inputs!$C$27="TRUE",Inputs!$C$27=1),1,0)*(Inputs!$C$51*(115*EXP(-(((Inputs!$C$6)-25)^2)/(4.5^2))+70*EXP(-(((Inputs!$C$6)+38)^2)/(7^2))*(0.55+0.45*SIN(2*PI()*((Inputs!$I$8+(((A241)+1)/2)*(Inputs!$J$8-Inputs!$I$8)))/45))+24*SIN(2*PI()*(Inputs!$C$6)/9+((Inputs!$I$8+(((A241)+1)/2)*(Inputs!$J$8-Inputs!$I$8)))/18)*EXP(-(((Inputs!$C$6)+5)^2)/(22^2))+18*SIN(2*PI()*((Inputs!$I$8+(((A241)+1)/2)*(Inputs!$J$8-Inputs!$I$8)))/70))+Inputs!$C$28*EXP(-((((Inputs!$I$8+(((A241)+1)/2)*(Inputs!$J$8-Inputs!$I$8)))-Inputs!$C$29)^2)/(2*Inputs!$C$31^2))*EXP(-(((Inputs!$C$6)-Inputs!$C$30)^2)/(2*Inputs!$C$32^2))+-Inputs!$C$33*EXP(-((((((Inputs!$I$8+(((A241)+1)/2)*(Inputs!$J$8-Inputs!$I$8)))-Inputs!$C$34)^2)+(((Inputs!$C$6)-Inputs!$C$35)^2))/(2*Inputs!$C$36^2)))+Inputs!$C$37*(0.55*SIN(2*PI()*((Inputs!$I$8+(((A241)+1)/2)*(Inputs!$J$8-Inputs!$I$8)))/Inputs!$C$39)+0.35*COS(2*PI()*(Inputs!$C$6)/Inputs!$C$40)+0.2*SIN(2*PI()*(((Inputs!$I$8+(((A241)+1)/2)*(Inputs!$J$8-Inputs!$I$8)))+(Inputs!$C$6))/(0.5*(Inputs!$C$39+Inputs!$C$40))))+Inputs!$C$38*SIN(2*PI()*((Inputs!$I$8+(((A241)+1)/2)*(Inputs!$J$8-Inputs!$I$8)))/Inputs!$C$39)*SIN(2*PI()*(Inputs!$C$6)/Inputs!$C$40)+-Inputs!$C$41*EXP(-(((Inputs!$C$6)-Inputs!$C$43)^2)/(2*Inputs!$C$44^2))*EXP(-((((Inputs!$I$8+(((A241)+1)/2)*(Inputs!$J$8-Inputs!$I$8)))-Inputs!$C$42)^2)/(2*Inputs!$C$45^2))+Inputs!$C$48*(0.7*(0.45*SIN(2*PI()*((((Inputs!$I$8+(((A241)+1)/2)*(Inputs!$J$8-Inputs!$I$8)))/Inputs!$C$49)+Inputs!$C$47*0.137))+0.35*COS(2*PI()*(((Inputs!$C$6)/Inputs!$C$50)+Inputs!$C$47*0.173))+0.2*SIN(2*PI()*((((Inputs!$I$8+(((A241)+1)/2)*(Inputs!$J$8-Inputs!$I$8)))+(Inputs!$C$6))/(0.5*(Inputs!$C$49+Inputs!$C$50))+Inputs!$C$47*0.097)))+0.3*(2*((SIN((((Inputs!$I$8+(((A241)+1)/2)*(Inputs!$J$8-Inputs!$I$8)))*12.9898+(Inputs!$C$6)*78.233+Inputs!$C$47*37.719))*43758.5453)-INT((SIN((((Inputs!$I$8+(((A241)+1)/2)*(Inputs!$J$8-Inputs!$I$8)))*12.9898+(Inputs!$C$6)*78.233+Inputs!$C$47*37.719))*43758.5453)))-1))),NA())</f>
        <v/>
      </c>
      <c r="AV241" s="9">
        <f>IF(OR(Inputs!$F$9=TRUE,Inputs!$F$9="TRUE",Inputs!$F$9=1),IF(OR(Inputs!$C$27=TRUE,Inputs!$C$27="TRUE",Inputs!$C$27=1),1,0)*(Inputs!$C$51*(115*EXP(-(((Inputs!$C$6)-25)^2)/(4.5^2))+70*EXP(-(((Inputs!$C$6)+38)^2)/(7^2))*(0.55+0.45*SIN(2*PI()*((Inputs!$I$9+(((A241)+1)/2)*(Inputs!$J$9-Inputs!$I$9)))/45))+24*SIN(2*PI()*(Inputs!$C$6)/9+((Inputs!$I$9+(((A241)+1)/2)*(Inputs!$J$9-Inputs!$I$9)))/18)*EXP(-(((Inputs!$C$6)+5)^2)/(22^2))+18*SIN(2*PI()*((Inputs!$I$9+(((A241)+1)/2)*(Inputs!$J$9-Inputs!$I$9)))/70))+Inputs!$C$28*EXP(-((((Inputs!$I$9+(((A241)+1)/2)*(Inputs!$J$9-Inputs!$I$9)))-Inputs!$C$29)^2)/(2*Inputs!$C$31^2))*EXP(-(((Inputs!$C$6)-Inputs!$C$30)^2)/(2*Inputs!$C$32^2))+-Inputs!$C$33*EXP(-((((((Inputs!$I$9+(((A241)+1)/2)*(Inputs!$J$9-Inputs!$I$9)))-Inputs!$C$34)^2)+(((Inputs!$C$6)-Inputs!$C$35)^2))/(2*Inputs!$C$36^2)))+Inputs!$C$37*(0.55*SIN(2*PI()*((Inputs!$I$9+(((A241)+1)/2)*(Inputs!$J$9-Inputs!$I$9)))/Inputs!$C$39)+0.35*COS(2*PI()*(Inputs!$C$6)/Inputs!$C$40)+0.2*SIN(2*PI()*(((Inputs!$I$9+(((A241)+1)/2)*(Inputs!$J$9-Inputs!$I$9)))+(Inputs!$C$6))/(0.5*(Inputs!$C$39+Inputs!$C$40))))+Inputs!$C$38*SIN(2*PI()*((Inputs!$I$9+(((A241)+1)/2)*(Inputs!$J$9-Inputs!$I$9)))/Inputs!$C$39)*SIN(2*PI()*(Inputs!$C$6)/Inputs!$C$40)+-Inputs!$C$41*EXP(-(((Inputs!$C$6)-Inputs!$C$43)^2)/(2*Inputs!$C$44^2))*EXP(-((((Inputs!$I$9+(((A241)+1)/2)*(Inputs!$J$9-Inputs!$I$9)))-Inputs!$C$42)^2)/(2*Inputs!$C$45^2))+Inputs!$C$48*(0.7*(0.45*SIN(2*PI()*((((Inputs!$I$9+(((A241)+1)/2)*(Inputs!$J$9-Inputs!$I$9)))/Inputs!$C$49)+Inputs!$C$47*0.137))+0.35*COS(2*PI()*(((Inputs!$C$6)/Inputs!$C$50)+Inputs!$C$47*0.173))+0.2*SIN(2*PI()*((((Inputs!$I$9+(((A241)+1)/2)*(Inputs!$J$9-Inputs!$I$9)))+(Inputs!$C$6))/(0.5*(Inputs!$C$49+Inputs!$C$50))+Inputs!$C$47*0.097)))+0.3*(2*((SIN((((Inputs!$I$9+(((A241)+1)/2)*(Inputs!$J$9-Inputs!$I$9)))*12.9898+(Inputs!$C$6)*78.233+Inputs!$C$47*37.719))*43758.5453)-INT((SIN((((Inputs!$I$9+(((A241)+1)/2)*(Inputs!$J$9-Inputs!$I$9)))*12.9898+(Inputs!$C$6)*78.233+Inputs!$C$47*37.719))*43758.5453)))-1))),NA())</f>
        <v/>
      </c>
      <c r="AW241" s="10" t="n"/>
      <c r="AX241" s="9">
        <f>A241</f>
        <v/>
      </c>
      <c r="AY241" s="9">
        <f>0</f>
        <v/>
      </c>
      <c r="AZ241" s="9">
        <f>IF(OR(Inputs!$F$6=TRUE,Inputs!$F$6="TRUE",Inputs!$F$6=1),(Inputs!$H$6+Inputs!$L$6*(((Inputs!$I$6+(((A241)+1)/2)*(Inputs!$J$6-Inputs!$I$6)))/Inputs!$K$6)^2),NA())</f>
        <v/>
      </c>
      <c r="BA241" s="9">
        <f>IF(OR(Inputs!$F$7=TRUE,Inputs!$F$7="TRUE",Inputs!$F$7=1),(Inputs!$H$7+Inputs!$L$7*(((Inputs!$I$7+(((A241)+1)/2)*(Inputs!$J$7-Inputs!$I$7)))/Inputs!$K$7)^2),NA())</f>
        <v/>
      </c>
      <c r="BB241" s="9">
        <f>IF(OR(Inputs!$F$8=TRUE,Inputs!$F$8="TRUE",Inputs!$F$8=1),(Inputs!$H$8+Inputs!$L$8*(((Inputs!$I$8+(((A241)+1)/2)*(Inputs!$J$8-Inputs!$I$8)))/Inputs!$K$8)^2),NA())</f>
        <v/>
      </c>
      <c r="BC241" s="9">
        <f>IF(OR(Inputs!$F$9=TRUE,Inputs!$F$9="TRUE",Inputs!$F$9=1),(Inputs!$H$9+Inputs!$L$9*(((Inputs!$I$9+(((A241)+1)/2)*(Inputs!$J$9-Inputs!$I$9)))/Inputs!$K$9)^2),NA())</f>
        <v/>
      </c>
      <c r="BD241" s="10" t="n"/>
      <c r="BE241" s="9">
        <f>A241</f>
        <v/>
      </c>
      <c r="BF241" s="9">
        <f>0</f>
        <v/>
      </c>
      <c r="BG241" s="9">
        <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f>
        <v/>
      </c>
      <c r="BH241" s="9">
        <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f>
        <v/>
      </c>
      <c r="BI241" s="9">
        <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f>
        <v/>
      </c>
      <c r="BJ241" s="9">
        <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f>
        <v/>
      </c>
    </row>
    <row r="242">
      <c r="A242" s="9">
        <f>ROUND(-1+240*2/240,3)</f>
        <v/>
      </c>
      <c r="B242" s="9">
        <f>IF(OR(Inputs!$F$6=TRUE,Inputs!$F$6="TRUE",Inputs!$F$6=1),(Inputs!$H$6+Inputs!$L$6*(((Inputs!$I$6+(((A242)+1)/2)*(Inputs!$J$6-Inputs!$I$6)))/Inputs!$K$6)^2),NA())</f>
        <v/>
      </c>
      <c r="C242" s="9">
        <f>IF(OR(Inputs!$F$7=TRUE,Inputs!$F$7="TRUE",Inputs!$F$7=1),(Inputs!$H$7+Inputs!$L$7*(((Inputs!$I$7+(((A242)+1)/2)*(Inputs!$J$7-Inputs!$I$7)))/Inputs!$K$7)^2),NA())</f>
        <v/>
      </c>
      <c r="D242" s="9">
        <f>IF(OR(Inputs!$F$8=TRUE,Inputs!$F$8="TRUE",Inputs!$F$8=1),(Inputs!$H$8+Inputs!$L$8*(((Inputs!$I$8+(((A242)+1)/2)*(Inputs!$J$8-Inputs!$I$8)))/Inputs!$K$8)^2),NA())</f>
        <v/>
      </c>
      <c r="E242" s="9">
        <f>IF(OR(Inputs!$F$9=TRUE,Inputs!$F$9="TRUE",Inputs!$F$9=1),(Inputs!$H$9+Inputs!$L$9*(((Inputs!$I$9+(((A242)+1)/2)*(Inputs!$J$9-Inputs!$I$9)))/Inputs!$K$9)^2),NA())</f>
        <v/>
      </c>
      <c r="F242" s="10" t="n"/>
      <c r="G242" s="9">
        <f>A242</f>
        <v/>
      </c>
      <c r="H242" s="9">
        <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f>
        <v/>
      </c>
      <c r="I242" s="9">
        <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f>
        <v/>
      </c>
      <c r="J242" s="9">
        <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f>
        <v/>
      </c>
      <c r="K242" s="9">
        <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f>
        <v/>
      </c>
      <c r="L242" s="10" t="n"/>
      <c r="M242" s="9">
        <f>A242</f>
        <v/>
      </c>
      <c r="N242" s="9">
        <f>IF(OR(Inputs!$F$6=TRUE,Inputs!$F$6="TRUE",Inputs!$F$6=1),(-2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NA())</f>
        <v/>
      </c>
      <c r="O242" s="9">
        <f>IF(OR(Inputs!$F$7=TRUE,Inputs!$F$7="TRUE",Inputs!$F$7=1),(-2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NA())</f>
        <v/>
      </c>
      <c r="P242" s="9">
        <f>IF(OR(Inputs!$F$8=TRUE,Inputs!$F$8="TRUE",Inputs!$F$8=1),(-2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NA())</f>
        <v/>
      </c>
      <c r="Q242" s="9">
        <f>IF(OR(Inputs!$F$9=TRUE,Inputs!$F$9="TRUE",Inputs!$F$9=1),(-2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NA())</f>
        <v/>
      </c>
      <c r="R242" s="10" t="n"/>
      <c r="S242" s="9">
        <f>A242</f>
        <v/>
      </c>
      <c r="T242" s="9">
        <f>(Inputs!$I$6+(((A242)+1)/2)*(Inputs!$J$6-Inputs!$I$6))</f>
        <v/>
      </c>
      <c r="U242" s="9">
        <f>(Inputs!$I$7+(((A242)+1)/2)*(Inputs!$J$7-Inputs!$I$7))</f>
        <v/>
      </c>
      <c r="V242" s="9">
        <f>(Inputs!$I$8+(((A242)+1)/2)*(Inputs!$J$8-Inputs!$I$8))</f>
        <v/>
      </c>
      <c r="W242" s="9">
        <f>(Inputs!$I$9+(((A242)+1)/2)*(Inputs!$J$9-Inputs!$I$9))</f>
        <v/>
      </c>
      <c r="X242" s="10" t="n"/>
      <c r="Y242" s="9">
        <f>A242</f>
        <v/>
      </c>
      <c r="Z242" s="9">
        <f>(Inputs!$H$6+Inputs!$L$6*(((Inputs!$I$6+(((A242)+1)/2)*(Inputs!$J$6-Inputs!$I$6)))/Inputs!$K$6)^2)</f>
        <v/>
      </c>
      <c r="AA242" s="9">
        <f>(Inputs!$H$7+Inputs!$L$7*(((Inputs!$I$7+(((A242)+1)/2)*(Inputs!$J$7-Inputs!$I$7)))/Inputs!$K$7)^2)</f>
        <v/>
      </c>
      <c r="AB242" s="9">
        <f>(Inputs!$H$8+Inputs!$L$8*(((Inputs!$I$8+(((A242)+1)/2)*(Inputs!$J$8-Inputs!$I$8)))/Inputs!$K$8)^2)</f>
        <v/>
      </c>
      <c r="AC242" s="9">
        <f>(Inputs!$H$9+Inputs!$L$9*(((Inputs!$I$9+(((A242)+1)/2)*(Inputs!$J$9-Inputs!$I$9)))/Inputs!$K$9)^2)</f>
        <v/>
      </c>
      <c r="AD242" s="10" t="n"/>
      <c r="AE242" s="9">
        <f>A242</f>
        <v/>
      </c>
      <c r="AF242" s="9">
        <f>(((SQRT((Inputs!$C$52+((Inputs!$H$6+Inputs!$L$6*(((Inputs!$I$6+(((A242)+1)/2)*(Inputs!$J$6-Inputs!$I$6)))/Inputs!$K$6)^2)))^2+Inputs!$C$52^2-2*(Inputs!$C$52+((Inputs!$H$6+Inputs!$L$6*(((Inputs!$I$6+(((A242)+1)/2)*(Inputs!$J$6-Inputs!$I$6)))/Inputs!$K$6)^2)))*Inputs!$C$52*COS(SQRT(((Inputs!$I$6+(((A242)+1)/2)*(Inputs!$J$6-Inputs!$I$6)))^2+Inputs!$C$6^2)/Inputs!$C$52)))-((Inputs!$H$6+Inputs!$L$6*(((Inputs!$I$6+(((A242)+1)/2)*(Inputs!$J$6-Inputs!$I$6)))/Inputs!$K$6)^2)))*1000/Inputs!$C$12)</f>
        <v/>
      </c>
      <c r="AG242" s="9">
        <f>(((SQRT((Inputs!$C$52+((Inputs!$H$7+Inputs!$L$7*(((Inputs!$I$7+(((A242)+1)/2)*(Inputs!$J$7-Inputs!$I$7)))/Inputs!$K$7)^2)))^2+Inputs!$C$52^2-2*(Inputs!$C$52+((Inputs!$H$7+Inputs!$L$7*(((Inputs!$I$7+(((A242)+1)/2)*(Inputs!$J$7-Inputs!$I$7)))/Inputs!$K$7)^2)))*Inputs!$C$52*COS(SQRT(((Inputs!$I$7+(((A242)+1)/2)*(Inputs!$J$7-Inputs!$I$7)))^2+Inputs!$C$6^2)/Inputs!$C$52)))-((Inputs!$H$7+Inputs!$L$7*(((Inputs!$I$7+(((A242)+1)/2)*(Inputs!$J$7-Inputs!$I$7)))/Inputs!$K$7)^2)))*1000/Inputs!$C$12)</f>
        <v/>
      </c>
      <c r="AH242" s="9">
        <f>(((SQRT((Inputs!$C$52+((Inputs!$H$8+Inputs!$L$8*(((Inputs!$I$8+(((A242)+1)/2)*(Inputs!$J$8-Inputs!$I$8)))/Inputs!$K$8)^2)))^2+Inputs!$C$52^2-2*(Inputs!$C$52+((Inputs!$H$8+Inputs!$L$8*(((Inputs!$I$8+(((A242)+1)/2)*(Inputs!$J$8-Inputs!$I$8)))/Inputs!$K$8)^2)))*Inputs!$C$52*COS(SQRT(((Inputs!$I$8+(((A242)+1)/2)*(Inputs!$J$8-Inputs!$I$8)))^2+Inputs!$C$6^2)/Inputs!$C$52)))-((Inputs!$H$8+Inputs!$L$8*(((Inputs!$I$8+(((A242)+1)/2)*(Inputs!$J$8-Inputs!$I$8)))/Inputs!$K$8)^2)))*1000/Inputs!$C$12)</f>
        <v/>
      </c>
      <c r="AI242" s="9">
        <f>(((SQRT((Inputs!$C$52+((Inputs!$H$9+Inputs!$L$9*(((Inputs!$I$9+(((A242)+1)/2)*(Inputs!$J$9-Inputs!$I$9)))/Inputs!$K$9)^2)))^2+Inputs!$C$52^2-2*(Inputs!$C$52+((Inputs!$H$9+Inputs!$L$9*(((Inputs!$I$9+(((A242)+1)/2)*(Inputs!$J$9-Inputs!$I$9)))/Inputs!$K$9)^2)))*Inputs!$C$52*COS(SQRT(((Inputs!$I$9+(((A242)+1)/2)*(Inputs!$J$9-Inputs!$I$9)))^2+Inputs!$C$6^2)/Inputs!$C$52)))-((Inputs!$H$9+Inputs!$L$9*(((Inputs!$I$9+(((A242)+1)/2)*(Inputs!$J$9-Inputs!$I$9)))/Inputs!$K$9)^2)))*1000/Inputs!$C$12)</f>
        <v/>
      </c>
      <c r="AJ242" s="10" t="n"/>
      <c r="AK242" s="9">
        <f>A242</f>
        <v/>
      </c>
      <c r="AL242" s="9">
        <f>(-2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f>
        <v/>
      </c>
      <c r="AM242" s="9">
        <f>(-2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f>
        <v/>
      </c>
      <c r="AN242" s="9">
        <f>(-2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f>
        <v/>
      </c>
      <c r="AO242" s="9">
        <f>(-2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f>
        <v/>
      </c>
      <c r="AP242" s="10" t="n"/>
      <c r="AQ242" s="9">
        <f>A242</f>
        <v/>
      </c>
      <c r="AR242" s="9">
        <f>0</f>
        <v/>
      </c>
      <c r="AS242" s="9">
        <f>IF(OR(Inputs!$F$6=TRUE,Inputs!$F$6="TRUE",Inputs!$F$6=1),IF(OR(Inputs!$C$27=TRUE,Inputs!$C$27="TRUE",Inputs!$C$27=1),1,0)*(Inputs!$C$51*(115*EXP(-(((Inputs!$C$6)-25)^2)/(4.5^2))+70*EXP(-(((Inputs!$C$6)+38)^2)/(7^2))*(0.55+0.45*SIN(2*PI()*((Inputs!$I$6+(((A242)+1)/2)*(Inputs!$J$6-Inputs!$I$6)))/45))+24*SIN(2*PI()*(Inputs!$C$6)/9+((Inputs!$I$6+(((A242)+1)/2)*(Inputs!$J$6-Inputs!$I$6)))/18)*EXP(-(((Inputs!$C$6)+5)^2)/(22^2))+18*SIN(2*PI()*((Inputs!$I$6+(((A242)+1)/2)*(Inputs!$J$6-Inputs!$I$6)))/70))+Inputs!$C$28*EXP(-((((Inputs!$I$6+(((A242)+1)/2)*(Inputs!$J$6-Inputs!$I$6)))-Inputs!$C$29)^2)/(2*Inputs!$C$31^2))*EXP(-(((Inputs!$C$6)-Inputs!$C$30)^2)/(2*Inputs!$C$32^2))+-Inputs!$C$33*EXP(-((((((Inputs!$I$6+(((A242)+1)/2)*(Inputs!$J$6-Inputs!$I$6)))-Inputs!$C$34)^2)+(((Inputs!$C$6)-Inputs!$C$35)^2))/(2*Inputs!$C$36^2)))+Inputs!$C$37*(0.55*SIN(2*PI()*((Inputs!$I$6+(((A242)+1)/2)*(Inputs!$J$6-Inputs!$I$6)))/Inputs!$C$39)+0.35*COS(2*PI()*(Inputs!$C$6)/Inputs!$C$40)+0.2*SIN(2*PI()*(((Inputs!$I$6+(((A242)+1)/2)*(Inputs!$J$6-Inputs!$I$6)))+(Inputs!$C$6))/(0.5*(Inputs!$C$39+Inputs!$C$40))))+Inputs!$C$38*SIN(2*PI()*((Inputs!$I$6+(((A242)+1)/2)*(Inputs!$J$6-Inputs!$I$6)))/Inputs!$C$39)*SIN(2*PI()*(Inputs!$C$6)/Inputs!$C$40)+-Inputs!$C$41*EXP(-(((Inputs!$C$6)-Inputs!$C$43)^2)/(2*Inputs!$C$44^2))*EXP(-((((Inputs!$I$6+(((A242)+1)/2)*(Inputs!$J$6-Inputs!$I$6)))-Inputs!$C$42)^2)/(2*Inputs!$C$45^2))+Inputs!$C$48*(0.7*(0.45*SIN(2*PI()*((((Inputs!$I$6+(((A242)+1)/2)*(Inputs!$J$6-Inputs!$I$6)))/Inputs!$C$49)+Inputs!$C$47*0.137))+0.35*COS(2*PI()*(((Inputs!$C$6)/Inputs!$C$50)+Inputs!$C$47*0.173))+0.2*SIN(2*PI()*((((Inputs!$I$6+(((A242)+1)/2)*(Inputs!$J$6-Inputs!$I$6)))+(Inputs!$C$6))/(0.5*(Inputs!$C$49+Inputs!$C$50))+Inputs!$C$47*0.097)))+0.3*(2*((SIN((((Inputs!$I$6+(((A242)+1)/2)*(Inputs!$J$6-Inputs!$I$6)))*12.9898+(Inputs!$C$6)*78.233+Inputs!$C$47*37.719))*43758.5453)-INT((SIN((((Inputs!$I$6+(((A242)+1)/2)*(Inputs!$J$6-Inputs!$I$6)))*12.9898+(Inputs!$C$6)*78.233+Inputs!$C$47*37.719))*43758.5453)))-1))),NA())</f>
        <v/>
      </c>
      <c r="AT242" s="9">
        <f>IF(OR(Inputs!$F$7=TRUE,Inputs!$F$7="TRUE",Inputs!$F$7=1),IF(OR(Inputs!$C$27=TRUE,Inputs!$C$27="TRUE",Inputs!$C$27=1),1,0)*(Inputs!$C$51*(115*EXP(-(((Inputs!$C$6)-25)^2)/(4.5^2))+70*EXP(-(((Inputs!$C$6)+38)^2)/(7^2))*(0.55+0.45*SIN(2*PI()*((Inputs!$I$7+(((A242)+1)/2)*(Inputs!$J$7-Inputs!$I$7)))/45))+24*SIN(2*PI()*(Inputs!$C$6)/9+((Inputs!$I$7+(((A242)+1)/2)*(Inputs!$J$7-Inputs!$I$7)))/18)*EXP(-(((Inputs!$C$6)+5)^2)/(22^2))+18*SIN(2*PI()*((Inputs!$I$7+(((A242)+1)/2)*(Inputs!$J$7-Inputs!$I$7)))/70))+Inputs!$C$28*EXP(-((((Inputs!$I$7+(((A242)+1)/2)*(Inputs!$J$7-Inputs!$I$7)))-Inputs!$C$29)^2)/(2*Inputs!$C$31^2))*EXP(-(((Inputs!$C$6)-Inputs!$C$30)^2)/(2*Inputs!$C$32^2))+-Inputs!$C$33*EXP(-((((((Inputs!$I$7+(((A242)+1)/2)*(Inputs!$J$7-Inputs!$I$7)))-Inputs!$C$34)^2)+(((Inputs!$C$6)-Inputs!$C$35)^2))/(2*Inputs!$C$36^2)))+Inputs!$C$37*(0.55*SIN(2*PI()*((Inputs!$I$7+(((A242)+1)/2)*(Inputs!$J$7-Inputs!$I$7)))/Inputs!$C$39)+0.35*COS(2*PI()*(Inputs!$C$6)/Inputs!$C$40)+0.2*SIN(2*PI()*(((Inputs!$I$7+(((A242)+1)/2)*(Inputs!$J$7-Inputs!$I$7)))+(Inputs!$C$6))/(0.5*(Inputs!$C$39+Inputs!$C$40))))+Inputs!$C$38*SIN(2*PI()*((Inputs!$I$7+(((A242)+1)/2)*(Inputs!$J$7-Inputs!$I$7)))/Inputs!$C$39)*SIN(2*PI()*(Inputs!$C$6)/Inputs!$C$40)+-Inputs!$C$41*EXP(-(((Inputs!$C$6)-Inputs!$C$43)^2)/(2*Inputs!$C$44^2))*EXP(-((((Inputs!$I$7+(((A242)+1)/2)*(Inputs!$J$7-Inputs!$I$7)))-Inputs!$C$42)^2)/(2*Inputs!$C$45^2))+Inputs!$C$48*(0.7*(0.45*SIN(2*PI()*((((Inputs!$I$7+(((A242)+1)/2)*(Inputs!$J$7-Inputs!$I$7)))/Inputs!$C$49)+Inputs!$C$47*0.137))+0.35*COS(2*PI()*(((Inputs!$C$6)/Inputs!$C$50)+Inputs!$C$47*0.173))+0.2*SIN(2*PI()*((((Inputs!$I$7+(((A242)+1)/2)*(Inputs!$J$7-Inputs!$I$7)))+(Inputs!$C$6))/(0.5*(Inputs!$C$49+Inputs!$C$50))+Inputs!$C$47*0.097)))+0.3*(2*((SIN((((Inputs!$I$7+(((A242)+1)/2)*(Inputs!$J$7-Inputs!$I$7)))*12.9898+(Inputs!$C$6)*78.233+Inputs!$C$47*37.719))*43758.5453)-INT((SIN((((Inputs!$I$7+(((A242)+1)/2)*(Inputs!$J$7-Inputs!$I$7)))*12.9898+(Inputs!$C$6)*78.233+Inputs!$C$47*37.719))*43758.5453)))-1))),NA())</f>
        <v/>
      </c>
      <c r="AU242" s="9">
        <f>IF(OR(Inputs!$F$8=TRUE,Inputs!$F$8="TRUE",Inputs!$F$8=1),IF(OR(Inputs!$C$27=TRUE,Inputs!$C$27="TRUE",Inputs!$C$27=1),1,0)*(Inputs!$C$51*(115*EXP(-(((Inputs!$C$6)-25)^2)/(4.5^2))+70*EXP(-(((Inputs!$C$6)+38)^2)/(7^2))*(0.55+0.45*SIN(2*PI()*((Inputs!$I$8+(((A242)+1)/2)*(Inputs!$J$8-Inputs!$I$8)))/45))+24*SIN(2*PI()*(Inputs!$C$6)/9+((Inputs!$I$8+(((A242)+1)/2)*(Inputs!$J$8-Inputs!$I$8)))/18)*EXP(-(((Inputs!$C$6)+5)^2)/(22^2))+18*SIN(2*PI()*((Inputs!$I$8+(((A242)+1)/2)*(Inputs!$J$8-Inputs!$I$8)))/70))+Inputs!$C$28*EXP(-((((Inputs!$I$8+(((A242)+1)/2)*(Inputs!$J$8-Inputs!$I$8)))-Inputs!$C$29)^2)/(2*Inputs!$C$31^2))*EXP(-(((Inputs!$C$6)-Inputs!$C$30)^2)/(2*Inputs!$C$32^2))+-Inputs!$C$33*EXP(-((((((Inputs!$I$8+(((A242)+1)/2)*(Inputs!$J$8-Inputs!$I$8)))-Inputs!$C$34)^2)+(((Inputs!$C$6)-Inputs!$C$35)^2))/(2*Inputs!$C$36^2)))+Inputs!$C$37*(0.55*SIN(2*PI()*((Inputs!$I$8+(((A242)+1)/2)*(Inputs!$J$8-Inputs!$I$8)))/Inputs!$C$39)+0.35*COS(2*PI()*(Inputs!$C$6)/Inputs!$C$40)+0.2*SIN(2*PI()*(((Inputs!$I$8+(((A242)+1)/2)*(Inputs!$J$8-Inputs!$I$8)))+(Inputs!$C$6))/(0.5*(Inputs!$C$39+Inputs!$C$40))))+Inputs!$C$38*SIN(2*PI()*((Inputs!$I$8+(((A242)+1)/2)*(Inputs!$J$8-Inputs!$I$8)))/Inputs!$C$39)*SIN(2*PI()*(Inputs!$C$6)/Inputs!$C$40)+-Inputs!$C$41*EXP(-(((Inputs!$C$6)-Inputs!$C$43)^2)/(2*Inputs!$C$44^2))*EXP(-((((Inputs!$I$8+(((A242)+1)/2)*(Inputs!$J$8-Inputs!$I$8)))-Inputs!$C$42)^2)/(2*Inputs!$C$45^2))+Inputs!$C$48*(0.7*(0.45*SIN(2*PI()*((((Inputs!$I$8+(((A242)+1)/2)*(Inputs!$J$8-Inputs!$I$8)))/Inputs!$C$49)+Inputs!$C$47*0.137))+0.35*COS(2*PI()*(((Inputs!$C$6)/Inputs!$C$50)+Inputs!$C$47*0.173))+0.2*SIN(2*PI()*((((Inputs!$I$8+(((A242)+1)/2)*(Inputs!$J$8-Inputs!$I$8)))+(Inputs!$C$6))/(0.5*(Inputs!$C$49+Inputs!$C$50))+Inputs!$C$47*0.097)))+0.3*(2*((SIN((((Inputs!$I$8+(((A242)+1)/2)*(Inputs!$J$8-Inputs!$I$8)))*12.9898+(Inputs!$C$6)*78.233+Inputs!$C$47*37.719))*43758.5453)-INT((SIN((((Inputs!$I$8+(((A242)+1)/2)*(Inputs!$J$8-Inputs!$I$8)))*12.9898+(Inputs!$C$6)*78.233+Inputs!$C$47*37.719))*43758.5453)))-1))),NA())</f>
        <v/>
      </c>
      <c r="AV242" s="9">
        <f>IF(OR(Inputs!$F$9=TRUE,Inputs!$F$9="TRUE",Inputs!$F$9=1),IF(OR(Inputs!$C$27=TRUE,Inputs!$C$27="TRUE",Inputs!$C$27=1),1,0)*(Inputs!$C$51*(115*EXP(-(((Inputs!$C$6)-25)^2)/(4.5^2))+70*EXP(-(((Inputs!$C$6)+38)^2)/(7^2))*(0.55+0.45*SIN(2*PI()*((Inputs!$I$9+(((A242)+1)/2)*(Inputs!$J$9-Inputs!$I$9)))/45))+24*SIN(2*PI()*(Inputs!$C$6)/9+((Inputs!$I$9+(((A242)+1)/2)*(Inputs!$J$9-Inputs!$I$9)))/18)*EXP(-(((Inputs!$C$6)+5)^2)/(22^2))+18*SIN(2*PI()*((Inputs!$I$9+(((A242)+1)/2)*(Inputs!$J$9-Inputs!$I$9)))/70))+Inputs!$C$28*EXP(-((((Inputs!$I$9+(((A242)+1)/2)*(Inputs!$J$9-Inputs!$I$9)))-Inputs!$C$29)^2)/(2*Inputs!$C$31^2))*EXP(-(((Inputs!$C$6)-Inputs!$C$30)^2)/(2*Inputs!$C$32^2))+-Inputs!$C$33*EXP(-((((((Inputs!$I$9+(((A242)+1)/2)*(Inputs!$J$9-Inputs!$I$9)))-Inputs!$C$34)^2)+(((Inputs!$C$6)-Inputs!$C$35)^2))/(2*Inputs!$C$36^2)))+Inputs!$C$37*(0.55*SIN(2*PI()*((Inputs!$I$9+(((A242)+1)/2)*(Inputs!$J$9-Inputs!$I$9)))/Inputs!$C$39)+0.35*COS(2*PI()*(Inputs!$C$6)/Inputs!$C$40)+0.2*SIN(2*PI()*(((Inputs!$I$9+(((A242)+1)/2)*(Inputs!$J$9-Inputs!$I$9)))+(Inputs!$C$6))/(0.5*(Inputs!$C$39+Inputs!$C$40))))+Inputs!$C$38*SIN(2*PI()*((Inputs!$I$9+(((A242)+1)/2)*(Inputs!$J$9-Inputs!$I$9)))/Inputs!$C$39)*SIN(2*PI()*(Inputs!$C$6)/Inputs!$C$40)+-Inputs!$C$41*EXP(-(((Inputs!$C$6)-Inputs!$C$43)^2)/(2*Inputs!$C$44^2))*EXP(-((((Inputs!$I$9+(((A242)+1)/2)*(Inputs!$J$9-Inputs!$I$9)))-Inputs!$C$42)^2)/(2*Inputs!$C$45^2))+Inputs!$C$48*(0.7*(0.45*SIN(2*PI()*((((Inputs!$I$9+(((A242)+1)/2)*(Inputs!$J$9-Inputs!$I$9)))/Inputs!$C$49)+Inputs!$C$47*0.137))+0.35*COS(2*PI()*(((Inputs!$C$6)/Inputs!$C$50)+Inputs!$C$47*0.173))+0.2*SIN(2*PI()*((((Inputs!$I$9+(((A242)+1)/2)*(Inputs!$J$9-Inputs!$I$9)))+(Inputs!$C$6))/(0.5*(Inputs!$C$49+Inputs!$C$50))+Inputs!$C$47*0.097)))+0.3*(2*((SIN((((Inputs!$I$9+(((A242)+1)/2)*(Inputs!$J$9-Inputs!$I$9)))*12.9898+(Inputs!$C$6)*78.233+Inputs!$C$47*37.719))*43758.5453)-INT((SIN((((Inputs!$I$9+(((A242)+1)/2)*(Inputs!$J$9-Inputs!$I$9)))*12.9898+(Inputs!$C$6)*78.233+Inputs!$C$47*37.719))*43758.5453)))-1))),NA())</f>
        <v/>
      </c>
      <c r="AW242" s="10" t="n"/>
      <c r="AX242" s="9">
        <f>A242</f>
        <v/>
      </c>
      <c r="AY242" s="9">
        <f>0</f>
        <v/>
      </c>
      <c r="AZ242" s="9">
        <f>IF(OR(Inputs!$F$6=TRUE,Inputs!$F$6="TRUE",Inputs!$F$6=1),(Inputs!$H$6+Inputs!$L$6*(((Inputs!$I$6+(((A242)+1)/2)*(Inputs!$J$6-Inputs!$I$6)))/Inputs!$K$6)^2),NA())</f>
        <v/>
      </c>
      <c r="BA242" s="9">
        <f>IF(OR(Inputs!$F$7=TRUE,Inputs!$F$7="TRUE",Inputs!$F$7=1),(Inputs!$H$7+Inputs!$L$7*(((Inputs!$I$7+(((A242)+1)/2)*(Inputs!$J$7-Inputs!$I$7)))/Inputs!$K$7)^2),NA())</f>
        <v/>
      </c>
      <c r="BB242" s="9">
        <f>IF(OR(Inputs!$F$8=TRUE,Inputs!$F$8="TRUE",Inputs!$F$8=1),(Inputs!$H$8+Inputs!$L$8*(((Inputs!$I$8+(((A242)+1)/2)*(Inputs!$J$8-Inputs!$I$8)))/Inputs!$K$8)^2),NA())</f>
        <v/>
      </c>
      <c r="BC242" s="9">
        <f>IF(OR(Inputs!$F$9=TRUE,Inputs!$F$9="TRUE",Inputs!$F$9=1),(Inputs!$H$9+Inputs!$L$9*(((Inputs!$I$9+(((A242)+1)/2)*(Inputs!$J$9-Inputs!$I$9)))/Inputs!$K$9)^2),NA())</f>
        <v/>
      </c>
      <c r="BD242" s="10" t="n"/>
      <c r="BE242" s="9">
        <f>A242</f>
        <v/>
      </c>
      <c r="BF242" s="9">
        <f>0</f>
        <v/>
      </c>
      <c r="BG242" s="9">
        <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f>
        <v/>
      </c>
      <c r="BH242" s="9">
        <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f>
        <v/>
      </c>
      <c r="BI242" s="9">
        <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f>
        <v/>
      </c>
      <c r="BJ242" s="9">
        <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F6"/>
  <sheetViews>
    <sheetView showGridLines="0" workbookViewId="0">
      <selection activeCell="A1" sqref="A1"/>
    </sheetView>
  </sheetViews>
  <sheetFormatPr baseColWidth="8" defaultRowHeight="13.5"/>
  <cols>
    <col width="12" customWidth="1" min="1" max="1"/>
    <col width="18" customWidth="1" min="2" max="2"/>
    <col width="22" customWidth="1" min="3" max="4"/>
    <col width="20" customWidth="1" min="5" max="5"/>
    <col width="30" customWidth="1" min="6" max="6"/>
  </cols>
  <sheetData>
    <row r="1" ht="21" customHeight="1">
      <c r="A1" s="23" t="inlineStr">
        <is>
          <t>PRF and Pulse Timing Results</t>
        </is>
      </c>
    </row>
    <row r="3">
      <c r="A3" s="2" t="inlineStr">
        <is>
          <t>PRF (Hz)</t>
        </is>
      </c>
      <c r="B3" s="2" t="inlineStr">
        <is>
          <t>Pulse interval (ms)</t>
        </is>
      </c>
      <c r="C3" s="2" t="inlineStr">
        <is>
          <t>Along-track spacing (m)</t>
        </is>
      </c>
      <c r="D3" s="2" t="inlineStr">
        <is>
          <t>Unambiguous range (km)</t>
        </is>
      </c>
      <c r="E3" s="2" t="inlineStr">
        <is>
          <t>Pulses in air at z0</t>
        </is>
      </c>
      <c r="F3" s="2" t="inlineStr">
        <is>
          <t>Doppler sampling status</t>
        </is>
      </c>
    </row>
    <row r="4">
      <c r="A4" s="9">
        <f>Inputs!$C$18</f>
        <v/>
      </c>
      <c r="B4" s="9">
        <f>1000/A4</f>
        <v/>
      </c>
      <c r="C4" s="9">
        <f>Inputs!$C$11*1000/A4</f>
        <v/>
      </c>
      <c r="D4" s="9">
        <f>Inputs!$C$21/(2*A4)/1000</f>
        <v/>
      </c>
      <c r="E4" s="9">
        <f>A4*(2*Inputs!$C$5*1000/Inputs!$C$21)</f>
        <v/>
      </c>
      <c r="F4" s="1">
        <f>IF(A4&gt;=Dashboard!$B$16,"OK for modeled topo VHF Doppler","Below simple Doppler floor")</f>
        <v/>
      </c>
    </row>
    <row r="5">
      <c r="A5" s="9">
        <f>Inputs!$C$19</f>
        <v/>
      </c>
      <c r="B5" s="9">
        <f>1000/A5</f>
        <v/>
      </c>
      <c r="C5" s="9">
        <f>Inputs!$C$11*1000/A5</f>
        <v/>
      </c>
      <c r="D5" s="9">
        <f>Inputs!$C$21/(2*A5)/1000</f>
        <v/>
      </c>
      <c r="E5" s="9">
        <f>A5*(2*Inputs!$C$5*1000/Inputs!$C$21)</f>
        <v/>
      </c>
      <c r="F5" s="1">
        <f>IF(A5&gt;=Dashboard!$B$16,"OK for modeled topo VHF Doppler","Below simple Doppler floor")</f>
        <v/>
      </c>
    </row>
    <row r="6">
      <c r="A6" s="9">
        <f>Inputs!$C$20</f>
        <v/>
      </c>
      <c r="B6" s="9">
        <f>1000/A6</f>
        <v/>
      </c>
      <c r="C6" s="9">
        <f>Inputs!$C$11*1000/A6</f>
        <v/>
      </c>
      <c r="D6" s="9">
        <f>Inputs!$C$21/(2*A6)/1000</f>
        <v/>
      </c>
      <c r="E6" s="9">
        <f>A6*(2*Inputs!$C$5*1000/Inputs!$C$21)</f>
        <v/>
      </c>
      <c r="F6" s="1">
        <f>IF(A6&gt;=Dashboard!$B$16,"OK for modeled topo VHF Doppler","Below simple Doppler floor")</f>
        <v/>
      </c>
    </row>
  </sheetData>
  <mergeCells count="1">
    <mergeCell ref="A1:F1"/>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D32"/>
  <sheetViews>
    <sheetView showGridLines="0" workbookViewId="0">
      <selection activeCell="A1" sqref="A1"/>
    </sheetView>
  </sheetViews>
  <sheetFormatPr baseColWidth="8" defaultRowHeight="13.5"/>
  <cols>
    <col width="45" customWidth="1" min="1" max="1"/>
    <col width="55" customWidth="1" min="2" max="2"/>
    <col width="36" customWidth="1" min="3" max="3"/>
    <col width="24" customWidth="1" min="4" max="4"/>
  </cols>
  <sheetData>
    <row r="1" ht="21" customHeight="1">
      <c r="A1" s="23" t="inlineStr">
        <is>
          <t>Formula Guide</t>
        </is>
      </c>
    </row>
    <row r="3">
      <c r="A3" s="2" t="inlineStr">
        <is>
          <t>Formula</t>
        </is>
      </c>
      <c r="B3" s="2" t="inlineStr">
        <is>
          <t>Meaning</t>
        </is>
      </c>
      <c r="C3" s="2" t="inlineStr">
        <is>
          <t>Inputs used</t>
        </is>
      </c>
      <c r="D3" s="2" t="inlineStr">
        <is>
          <t>Output produced</t>
        </is>
      </c>
    </row>
    <row r="4">
      <c r="A4" s="1" t="inlineStr">
        <is>
          <t>z(x) = z0 + Delta_z_edge*(x/x_edge)^2</t>
        </is>
      </c>
      <c r="B4" s="1" t="inlineStr">
        <is>
          <t>Parabolic altitude path.</t>
        </is>
      </c>
      <c r="C4" s="1" t="inlineStr">
        <is>
          <t>z0, Delta_z_edge, x, x_edge</t>
        </is>
      </c>
      <c r="D4" s="1" t="inlineStr">
        <is>
          <t>altitude z</t>
        </is>
      </c>
    </row>
    <row r="5" ht="26.25" customHeight="1">
      <c r="A5" s="1" t="inlineStr">
        <is>
          <t>Paper pass scenario = paper altitude/length values inserted into z(x)</t>
        </is>
      </c>
      <c r="B5" s="1" t="inlineStr">
        <is>
          <t>The paper gives altitude ranges and groundtrack lengths; this workbook converts them into comparable parabolic cases.</t>
        </is>
      </c>
      <c r="C5" s="1" t="inlineStr">
        <is>
          <t>Inputs F6:N9</t>
        </is>
      </c>
      <c r="D5" s="1" t="inlineStr">
        <is>
          <t>scenario overlays</t>
        </is>
      </c>
    </row>
    <row r="6" ht="26.25" customHeight="1">
      <c r="A6" s="1" t="inlineStr">
        <is>
          <t>scenario_show = TRUE/FALSE</t>
        </is>
      </c>
      <c r="B6" s="1" t="inlineStr">
        <is>
          <t>Controls whether a scenario line appears in the paper-pass charts. The summary table still calculates all scenarios.</t>
        </is>
      </c>
      <c r="C6" s="1" t="inlineStr">
        <is>
          <t>Inputs F6:F9</t>
        </is>
      </c>
      <c r="D6" s="1" t="inlineStr">
        <is>
          <t>visible chart series</t>
        </is>
      </c>
    </row>
    <row r="7">
      <c r="A7" s="1" t="inlineStr">
        <is>
          <t>theta = sqrt(x^2 + y^2) / R_e</t>
        </is>
      </c>
      <c r="B7" s="1" t="inlineStr">
        <is>
          <t>Angular surface separation on Europa.</t>
        </is>
      </c>
      <c r="C7" s="1" t="inlineStr">
        <is>
          <t>x, y, Europa radius</t>
        </is>
      </c>
      <c r="D7" s="1" t="inlineStr">
        <is>
          <t>central angle</t>
        </is>
      </c>
    </row>
    <row r="8">
      <c r="A8" s="1" t="inlineStr">
        <is>
          <t>R_off = sqrt((R_e+z)^2 + R_e^2 - 2*(R_e+z)*R_e*cos(theta))</t>
        </is>
      </c>
      <c r="B8" s="1" t="inlineStr">
        <is>
          <t>Curvature-corrected slant range from spacecraft to flat surface target.</t>
        </is>
      </c>
      <c r="C8" s="1" t="inlineStr">
        <is>
          <t>x, y, z, R_e</t>
        </is>
      </c>
      <c r="D8" s="1" t="inlineStr">
        <is>
          <t>off-nadir range</t>
        </is>
      </c>
    </row>
    <row r="9">
      <c r="A9" s="1" t="inlineStr">
        <is>
          <t>R_nadir = z</t>
        </is>
      </c>
      <c r="B9" s="1" t="inlineStr">
        <is>
          <t>Range to target directly below platform.</t>
        </is>
      </c>
      <c r="C9" s="1" t="inlineStr">
        <is>
          <t>z</t>
        </is>
      </c>
      <c r="D9" s="1" t="inlineStr">
        <is>
          <t>nadir range</t>
        </is>
      </c>
    </row>
    <row r="10">
      <c r="A10" s="1" t="inlineStr">
        <is>
          <t>Delta_R = R_off - R_nadir</t>
        </is>
      </c>
      <c r="B10" s="1" t="inlineStr">
        <is>
          <t>Extra one-way path from side offset.</t>
        </is>
      </c>
      <c r="C10" s="1" t="inlineStr">
        <is>
          <t>R_off, R_nadir</t>
        </is>
      </c>
      <c r="D10" s="1" t="inlineStr">
        <is>
          <t>extra range</t>
        </is>
      </c>
    </row>
    <row r="11">
      <c r="A11" s="1" t="inlineStr">
        <is>
          <t>d_app = Delta_R / n</t>
        </is>
      </c>
      <c r="B11" s="1" t="inlineStr">
        <is>
          <t>Maps extra range onto apparent in-ice depth.</t>
        </is>
      </c>
      <c r="C11" s="1" t="inlineStr">
        <is>
          <t>Delta_R, n</t>
        </is>
      </c>
      <c r="D11" s="1" t="inlineStr">
        <is>
          <t>apparent depth</t>
        </is>
      </c>
    </row>
    <row r="12">
      <c r="A12" s="1" t="inlineStr">
        <is>
          <t>Delta_t = 2*Delta_R/c</t>
        </is>
      </c>
      <c r="B12" s="1" t="inlineStr">
        <is>
          <t>Two-way extra echo delay.</t>
        </is>
      </c>
      <c r="C12" s="1" t="inlineStr">
        <is>
          <t>Delta_R, c</t>
        </is>
      </c>
      <c r="D12" s="1" t="inlineStr">
        <is>
          <t>extra delay</t>
        </is>
      </c>
    </row>
    <row r="13">
      <c r="A13" s="1" t="inlineStr">
        <is>
          <t>theta = atan(horizontal/z)</t>
        </is>
      </c>
      <c r="B13" s="1" t="inlineStr">
        <is>
          <t>Look angle away from nadir.</t>
        </is>
      </c>
      <c r="C13" s="1" t="inlineStr">
        <is>
          <t>x, y, z</t>
        </is>
      </c>
      <c r="D13" s="1" t="inlineStr">
        <is>
          <t>look angle</t>
        </is>
      </c>
    </row>
    <row r="14">
      <c r="A14" s="1" t="inlineStr">
        <is>
          <t>phi = (2*pi/lambda)*b*sin(theta)</t>
        </is>
      </c>
      <c r="B14" s="1" t="inlineStr">
        <is>
          <t>Interferometric phase for VHF baseline.</t>
        </is>
      </c>
      <c r="C14" s="1" t="inlineStr">
        <is>
          <t>lambda, b, theta</t>
        </is>
      </c>
      <c r="D14" s="1" t="inlineStr">
        <is>
          <t>phase</t>
        </is>
      </c>
    </row>
    <row r="15">
      <c r="A15" s="1" t="inlineStr">
        <is>
          <t>P_rel = (R_nadir/R_off)^4</t>
        </is>
      </c>
      <c r="B15" s="1" t="inlineStr">
        <is>
          <t>Simple geometry-only two-way range-power ratio.</t>
        </is>
      </c>
      <c r="C15" s="1" t="inlineStr">
        <is>
          <t>R_nadir, R_off</t>
        </is>
      </c>
      <c r="D15" s="1" t="inlineStr">
        <is>
          <t>relative power</t>
        </is>
      </c>
    </row>
    <row r="16">
      <c r="A16" s="1" t="inlineStr">
        <is>
          <t>dz/dx = 2*a*x</t>
        </is>
      </c>
      <c r="B16" s="1" t="inlineStr">
        <is>
          <t>Slope of parabolic altitude path.</t>
        </is>
      </c>
      <c r="C16" s="1" t="inlineStr">
        <is>
          <t>a, x</t>
        </is>
      </c>
      <c r="D16" s="1" t="inlineStr">
        <is>
          <t>vertical slope</t>
        </is>
      </c>
    </row>
    <row r="17">
      <c r="A17" s="1" t="inlineStr">
        <is>
          <t>dz/dt = dz/dx * v</t>
        </is>
      </c>
      <c r="B17" s="1" t="inlineStr">
        <is>
          <t>Vertical speed caused by moving along the parabola.</t>
        </is>
      </c>
      <c r="C17" s="1" t="inlineStr">
        <is>
          <t>dz/dx, v</t>
        </is>
      </c>
      <c r="D17" s="1" t="inlineStr">
        <is>
          <t>vertical speed</t>
        </is>
      </c>
    </row>
    <row r="18">
      <c r="A18" s="1" t="inlineStr">
        <is>
          <t>dR/dt = (x*v + z*dz/dt)/R</t>
        </is>
      </c>
      <c r="B18" s="1" t="inlineStr">
        <is>
          <t>Range rate from chain rule.</t>
        </is>
      </c>
      <c r="C18" s="1" t="inlineStr">
        <is>
          <t>x, v, z, dz/dt, R</t>
        </is>
      </c>
      <c r="D18" s="1" t="inlineStr">
        <is>
          <t>range rate</t>
        </is>
      </c>
    </row>
    <row r="19">
      <c r="A19" s="1" t="inlineStr">
        <is>
          <t>f_D = -2*(dR/dt)/lambda</t>
        </is>
      </c>
      <c r="B19" s="1" t="inlineStr">
        <is>
          <t>Two-way Doppler shift.</t>
        </is>
      </c>
      <c r="C19" s="1" t="inlineStr">
        <is>
          <t>range rate, lambda</t>
        </is>
      </c>
      <c r="D19" s="1" t="inlineStr">
        <is>
          <t>Doppler</t>
        </is>
      </c>
    </row>
    <row r="20">
      <c r="A20" s="1" t="inlineStr">
        <is>
          <t>PRF_min = 2*max(abs(f_D))</t>
        </is>
      </c>
      <c r="B20" s="1" t="inlineStr">
        <is>
          <t>Simple Doppler sampling floor.</t>
        </is>
      </c>
      <c r="C20" s="1" t="inlineStr">
        <is>
          <t>Doppler</t>
        </is>
      </c>
      <c r="D20" s="1" t="inlineStr">
        <is>
          <t>minimum PRF</t>
        </is>
      </c>
    </row>
    <row r="21" ht="26.25" customHeight="1">
      <c r="A21" s="1" t="inlineStr">
        <is>
          <t>h_project = S_dem*(ridge + scallop + chaos + along_bulge)</t>
        </is>
      </c>
      <c r="B21" s="1" t="inlineStr">
        <is>
          <t>Project synthetic DEM-style terrain from reason_common.py, rewritten in Excel formulas.</t>
        </is>
      </c>
      <c r="C21" s="1" t="inlineStr">
        <is>
          <t>S_dem, x, y</t>
        </is>
      </c>
      <c r="D21" s="1" t="inlineStr">
        <is>
          <t>baseline representative surface</t>
        </is>
      </c>
    </row>
    <row r="22" ht="26.25" customHeight="1">
      <c r="A22" s="1" t="inlineStr">
        <is>
          <t>h_seeded = A_seeded*(smooth waves + deterministic hash)</t>
        </is>
      </c>
      <c r="B22" s="1" t="inlineStr">
        <is>
          <t>Seed-controlled random-looking terrain. Same seed repeats the same surface; changing the seed changes the surface.</t>
        </is>
      </c>
      <c r="C22" s="1" t="inlineStr">
        <is>
          <t>terrain_seed, A_seeded, L_seed_x, L_seed_y</t>
        </is>
      </c>
      <c r="D22" s="1" t="inlineStr">
        <is>
          <t>dynamic terrain variation</t>
        </is>
      </c>
    </row>
    <row r="23" ht="26.25" customHeight="1">
      <c r="A23" s="1" t="inlineStr">
        <is>
          <t>h_total = h_project + h_ridge + h_crater + h_chaos + h_rough + h_trough + h_seeded</t>
        </is>
      </c>
      <c r="B23" s="1" t="inlineStr">
        <is>
          <t>Representative Europa topography model.</t>
        </is>
      </c>
      <c r="C23" s="1" t="inlineStr">
        <is>
          <t>topography controls and seed controls</t>
        </is>
      </c>
      <c r="D23" s="1" t="inlineStr">
        <is>
          <t>surface height</t>
        </is>
      </c>
    </row>
    <row r="24">
      <c r="A24" s="1" t="inlineStr">
        <is>
          <t>h_ridge = A*exp(-(x-x0)^2/(2*sx^2))*exp(-(y-y0)^2/(2*sy^2))</t>
        </is>
      </c>
      <c r="B24" s="1" t="inlineStr">
        <is>
          <t>Raised ridge / band feature.</t>
        </is>
      </c>
      <c r="C24" s="1" t="inlineStr">
        <is>
          <t>ridge height, center, length, width</t>
        </is>
      </c>
      <c r="D24" s="1" t="inlineStr">
        <is>
          <t>ridge height</t>
        </is>
      </c>
    </row>
    <row r="25">
      <c r="A25" s="1" t="inlineStr">
        <is>
          <t>h_crater = -D*exp(-((x-x0)^2+(y-y0)^2)/(2*sigma^2))</t>
        </is>
      </c>
      <c r="B25" s="1" t="inlineStr">
        <is>
          <t>Depression or crater-like low area.</t>
        </is>
      </c>
      <c r="C25" s="1" t="inlineStr">
        <is>
          <t>crater depth, center, width</t>
        </is>
      </c>
      <c r="D25" s="1" t="inlineStr">
        <is>
          <t>depression height</t>
        </is>
      </c>
    </row>
    <row r="26">
      <c r="A26" s="1" t="inlineStr">
        <is>
          <t>h_rough = A*sin(2*pi*x/Lx)*sin(2*pi*y/Ly)</t>
        </is>
      </c>
      <c r="B26" s="1" t="inlineStr">
        <is>
          <t>Fine roughness variation.</t>
        </is>
      </c>
      <c r="C26" s="1" t="inlineStr">
        <is>
          <t>roughness amplitude and wavelength</t>
        </is>
      </c>
      <c r="D26" s="1" t="inlineStr">
        <is>
          <t>roughness height</t>
        </is>
      </c>
    </row>
    <row r="27" ht="26.25" customHeight="1">
      <c r="A27" s="1" t="inlineStr">
        <is>
          <t>R_off_topo = sqrt((R_e+z)^2 + (R_e+h_target/1000)^2 - 2*(R_e+z)*(R_e+h_target/1000)*cos(theta))</t>
        </is>
      </c>
      <c r="B27" s="1" t="inlineStr">
        <is>
          <t>Curvature-corrected slant range to the topographic target.</t>
        </is>
      </c>
      <c r="C27" s="1" t="inlineStr">
        <is>
          <t>x, y, z, h_target, R_e</t>
        </is>
      </c>
      <c r="D27" s="1" t="inlineStr">
        <is>
          <t>topographic range</t>
        </is>
      </c>
    </row>
    <row r="28">
      <c r="A28" s="1" t="inlineStr">
        <is>
          <t>R_nadir_topo = z - h_nadir/1000</t>
        </is>
      </c>
      <c r="B28" s="1" t="inlineStr">
        <is>
          <t>Nadir range after local surface elevation is included.</t>
        </is>
      </c>
      <c r="C28" s="1" t="inlineStr">
        <is>
          <t>z, nadir height</t>
        </is>
      </c>
      <c r="D28" s="1" t="inlineStr">
        <is>
          <t>topographic nadir range</t>
        </is>
      </c>
    </row>
    <row r="29">
      <c r="A29" s="1" t="inlineStr">
        <is>
          <t>d_app_topo = (R_off_topo - R_nadir_topo)/n</t>
        </is>
      </c>
      <c r="B29" s="1" t="inlineStr">
        <is>
          <t>Topography-adjusted apparent depth.</t>
        </is>
      </c>
      <c r="C29" s="1" t="inlineStr">
        <is>
          <t>topographic ranges, n</t>
        </is>
      </c>
      <c r="D29" s="1" t="inlineStr">
        <is>
          <t>apparent depth with topography</t>
        </is>
      </c>
    </row>
    <row r="30" ht="26.25" customHeight="1">
      <c r="A30" s="1" t="inlineStr">
        <is>
          <t>surface_signal = h_target - h_nadir</t>
        </is>
      </c>
      <c r="B30" s="1" t="inlineStr">
        <is>
          <t>The original modeled surface/topography difference between the target path and nadir path.</t>
        </is>
      </c>
      <c r="C30" s="1" t="inlineStr">
        <is>
          <t>h_target, h_nadir</t>
        </is>
      </c>
      <c r="D30" s="1" t="inlineStr">
        <is>
          <t>true surface signal</t>
        </is>
      </c>
    </row>
    <row r="31" ht="26.25" customHeight="1">
      <c r="A31" s="1" t="inlineStr">
        <is>
          <t>apparent_surface_height = -n*(d_app_topo - d_app_flat)</t>
        </is>
      </c>
      <c r="B31" s="1" t="inlineStr">
        <is>
          <t>Converts the topography-caused apparent-depth change back into surface-height-equivalent meters for comparison with h_target and h_nadir.</t>
        </is>
      </c>
      <c r="C31" s="1" t="inlineStr">
        <is>
          <t>d_app_topo, d_app_flat, n</t>
        </is>
      </c>
      <c r="D31" s="1" t="inlineStr">
        <is>
          <t>radar apparent surface height</t>
        </is>
      </c>
    </row>
    <row r="32" ht="26.25" customHeight="1">
      <c r="A32" s="1" t="inlineStr">
        <is>
          <t>constant-altitude shift</t>
        </is>
      </c>
      <c r="B32" s="1" t="inlineStr">
        <is>
          <t>Same topography shift calculation, but with z held constant at z0 instead of using the parabola.</t>
        </is>
      </c>
      <c r="C32" s="1" t="inlineStr">
        <is>
          <t>z0, h_target, h_nadir</t>
        </is>
      </c>
      <c r="D32" s="1" t="inlineStr">
        <is>
          <t>path-motion comparison</t>
        </is>
      </c>
    </row>
  </sheetData>
  <mergeCells count="1">
    <mergeCell ref="A1:D1"/>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19"/>
  <sheetViews>
    <sheetView showGridLines="0" workbookViewId="0">
      <selection activeCell="A1" sqref="A1"/>
    </sheetView>
  </sheetViews>
  <sheetFormatPr baseColWidth="8" defaultRowHeight="13.5"/>
  <cols>
    <col width="24" customWidth="1" min="1" max="1"/>
    <col width="74" customWidth="1" min="2" max="2"/>
    <col width="44" customWidth="1" min="3" max="3"/>
    <col width="40" customWidth="1" min="4" max="4"/>
    <col width="48" customWidth="1" min="5" max="5"/>
  </cols>
  <sheetData>
    <row r="1" ht="21" customHeight="1">
      <c r="A1" s="23" t="inlineStr">
        <is>
          <t>Topography Formula Explanation</t>
        </is>
      </c>
    </row>
    <row r="2" ht="13.9" customHeight="1">
      <c r="A2" s="24" t="inlineStr">
        <is>
          <t>This sheet explains the representative Europa topography model used when Inputs!C27 is TRUE. It is not a real imported DEM; it combines the project's synthetic DEM-style terrain with a seed-controlled random terrain term for testing multiple possible surfaces.</t>
        </is>
      </c>
    </row>
    <row r="4">
      <c r="A4" s="2" t="inlineStr">
        <is>
          <t>Piece</t>
        </is>
      </c>
      <c r="B4" s="2" t="inlineStr">
        <is>
          <t>Formula</t>
        </is>
      </c>
      <c r="C4" s="2" t="inlineStr">
        <is>
          <t>What it represents</t>
        </is>
      </c>
      <c r="D4" s="2" t="inlineStr">
        <is>
          <t>Changeable inputs</t>
        </is>
      </c>
      <c r="E4" s="2" t="inlineStr">
        <is>
          <t>Effect on radar output</t>
        </is>
      </c>
    </row>
    <row r="5">
      <c r="A5" s="1" t="inlineStr">
        <is>
          <t>Checkbox / toggle</t>
        </is>
      </c>
      <c r="B5" s="12" t="inlineStr">
        <is>
          <t>topography_factor = IF(OR(Inputs!C27=TRUE, Inputs!C27="TRUE", Inputs!C27=1), 1, 0)</t>
        </is>
      </c>
      <c r="C5" s="1" t="inlineStr">
        <is>
          <t>Turns all terrain terms on or off.</t>
        </is>
      </c>
      <c r="D5" s="1" t="inlineStr">
        <is>
          <t>Inputs!C27</t>
        </is>
      </c>
      <c r="E5" s="1" t="inlineStr">
        <is>
          <t>TRUE includes terrain height; FALSE makes all h(x,y) terms equal 0.</t>
        </is>
      </c>
    </row>
    <row r="6" ht="39.4" customHeight="1">
      <c r="A6" s="1" t="inlineStr">
        <is>
          <t>Project DEM-style surface</t>
        </is>
      </c>
      <c r="B6" s="12" t="inlineStr">
        <is>
          <t>h_project = S_dem*(115*EXP(-((y-25)^2)/(4.5^2)) + 70*EXP(-((y+38)^2)/(7^2))*(0.55+0.45*SIN(2*PI()*x/45)) + 24*SIN(2*PI()*y/9+x/18)*EXP(-((y+5)^2)/(22^2)) + 18*SIN(2*PI()*x/70))</t>
        </is>
      </c>
      <c r="C6" s="1" t="inlineStr">
        <is>
          <t>The same style as the existing local make_synthetic_dem model: an off-nadir ridge, scalloped terrain, chaos-like variation, and along-track bulge.</t>
        </is>
      </c>
      <c r="D6" s="1" t="inlineStr">
        <is>
          <t>S_dem, x, y</t>
        </is>
      </c>
      <c r="E6" s="1" t="inlineStr">
        <is>
          <t>Provides a repeatable baseline terrain pattern based on the existing project model.</t>
        </is>
      </c>
    </row>
    <row r="7" ht="39.4" customHeight="1">
      <c r="A7" s="1" t="inlineStr">
        <is>
          <t>Seeded dynamic terrain</t>
        </is>
      </c>
      <c r="B7" s="12" t="inlineStr">
        <is>
          <t>h_seeded = A_seeded*(0.70*smooth_seeded_waves + 0.30*deterministic_hash(x,y,seed))</t>
        </is>
      </c>
      <c r="C7" s="1" t="inlineStr">
        <is>
          <t>A random-looking but repeatable terrain term. It avoids volatile RAND(), so the graph stays stable until the seed is changed.</t>
        </is>
      </c>
      <c r="D7" s="1" t="inlineStr">
        <is>
          <t>terrain_seed, A_seeded, L_seed_x, L_seed_y</t>
        </is>
      </c>
      <c r="E7" s="1" t="inlineStr">
        <is>
          <t>Changing the seed tests a different possible topographic case.</t>
        </is>
      </c>
    </row>
    <row r="8" ht="26.25" customHeight="1">
      <c r="A8" s="1" t="inlineStr">
        <is>
          <t>Raised ridge</t>
        </is>
      </c>
      <c r="B8" s="12" t="inlineStr">
        <is>
          <t>h_ridge = A_ridge*EXP(-((x-ridge_x0)^2)/(2*ridge_sigma_x^2))*EXP(-((y-ridge_y0)^2)/(2*ridge_sigma_y^2))</t>
        </is>
      </c>
      <c r="C8" s="1" t="inlineStr">
        <is>
          <t>A long, narrow positive-height ridge or band, similar to a simplified Europa lineament/ridge.</t>
        </is>
      </c>
      <c r="D8" s="1" t="inlineStr">
        <is>
          <t>A_ridge, ridge_x0, ridge_y0, ridge_sigma_x, ridge_sigma_y</t>
        </is>
      </c>
      <c r="E8" s="1" t="inlineStr">
        <is>
          <t>A raised target usually shortens the target range and can pull apparent depth upward/shallower.</t>
        </is>
      </c>
    </row>
    <row r="9" ht="26.25" customHeight="1">
      <c r="A9" s="1" t="inlineStr">
        <is>
          <t>Crater/depression</t>
        </is>
      </c>
      <c r="B9" s="12" t="inlineStr">
        <is>
          <t>h_crater = -D_crater*EXP(-(((x-crater_x0)^2+(y-crater_y0)^2)/(2*crater_sigma^2)))</t>
        </is>
      </c>
      <c r="C9" s="1" t="inlineStr">
        <is>
          <t>A negative-height circular depression.</t>
        </is>
      </c>
      <c r="D9" s="1" t="inlineStr">
        <is>
          <t>D_crater, crater_x0, crater_y0, crater_sigma</t>
        </is>
      </c>
      <c r="E9" s="1" t="inlineStr">
        <is>
          <t>A depression usually lengthens the target range and can push apparent depth deeper.</t>
        </is>
      </c>
    </row>
    <row r="10" ht="26.25" customHeight="1">
      <c r="A10" s="1" t="inlineStr">
        <is>
          <t>Chaos terrain</t>
        </is>
      </c>
      <c r="B10" s="12" t="inlineStr">
        <is>
          <t>h_chaos = A_chaos*(0.55*SIN(2*PI()*x/Lx)+0.35*COS(2*PI()*y/Ly)+0.2*SIN(2*PI()*(x+y)/(0.5*(Lx+Ly))))</t>
        </is>
      </c>
      <c r="C10" s="1" t="inlineStr">
        <is>
          <t>A mixed wave term that gives irregular terrain instead of a single smooth hill.</t>
        </is>
      </c>
      <c r="D10" s="1" t="inlineStr">
        <is>
          <t>A_chaos, Lx, Ly</t>
        </is>
      </c>
      <c r="E10" s="1" t="inlineStr">
        <is>
          <t>Adds broad, uneven changes to terrain height along the pass.</t>
        </is>
      </c>
    </row>
    <row r="11" ht="26.25" customHeight="1">
      <c r="A11" s="1" t="inlineStr">
        <is>
          <t>Fine roughness</t>
        </is>
      </c>
      <c r="B11" s="12" t="inlineStr">
        <is>
          <t>h_rough = A_rough*SIN(2*PI()*x/Lx)*SIN(2*PI()*y/Ly)</t>
        </is>
      </c>
      <c r="C11" s="1" t="inlineStr">
        <is>
          <t>Smaller oscillating roughness on top of the larger terrain terms.</t>
        </is>
      </c>
      <c r="D11" s="1" t="inlineStr">
        <is>
          <t>A_rough, Lx, Ly</t>
        </is>
      </c>
      <c r="E11" s="1" t="inlineStr">
        <is>
          <t>Creates smaller-scale wiggles in topography-adjusted range/depth.</t>
        </is>
      </c>
    </row>
    <row r="12" ht="26.25" customHeight="1">
      <c r="A12" s="1" t="inlineStr">
        <is>
          <t>Trough/fracture</t>
        </is>
      </c>
      <c r="B12" s="12" t="inlineStr">
        <is>
          <t>h_trough = -D_trough*EXP(-((y-trough_y0)^2)/(2*trough_sigma_y^2))*EXP(-((x-trough_x0)^2)/(2*trough_sigma_x^2))</t>
        </is>
      </c>
      <c r="C12" s="1" t="inlineStr">
        <is>
          <t>A long negative-height trough or fracture-like feature.</t>
        </is>
      </c>
      <c r="D12" s="1" t="inlineStr">
        <is>
          <t>D_trough, trough_x0, trough_y0, trough_sigma_y, trough_sigma_x</t>
        </is>
      </c>
      <c r="E12" s="1" t="inlineStr">
        <is>
          <t>Can create a localized deeper apparent-depth shift.</t>
        </is>
      </c>
    </row>
    <row r="13" ht="26.25" customHeight="1">
      <c r="A13" s="1" t="inlineStr">
        <is>
          <t>Total surface height</t>
        </is>
      </c>
      <c r="B13" s="12" t="inlineStr">
        <is>
          <t>h_total(x,y) = topography_factor*(h_project + h_ridge + h_crater + h_chaos + h_rough + h_trough + h_seeded)</t>
        </is>
      </c>
      <c r="C13" s="1" t="inlineStr">
        <is>
          <t>The combined representative terrain surface used by the model.</t>
        </is>
      </c>
      <c r="D13" s="1" t="inlineStr">
        <is>
          <t>All topography and seed controls</t>
        </is>
      </c>
      <c r="E13" s="1" t="inlineStr">
        <is>
          <t>This is the terrain height used in the range equations.</t>
        </is>
      </c>
    </row>
    <row r="14">
      <c r="A14" s="1" t="inlineStr">
        <is>
          <t>Nadir topographic height</t>
        </is>
      </c>
      <c r="B14" s="12" t="inlineStr">
        <is>
          <t>h_nadir = h_total(x, 0)</t>
        </is>
      </c>
      <c r="C14" s="1" t="inlineStr">
        <is>
          <t>Surface height directly below the spacecraft path.</t>
        </is>
      </c>
      <c r="D14" s="1" t="inlineStr">
        <is>
          <t>x plus all topography controls</t>
        </is>
      </c>
      <c r="E14" s="1" t="inlineStr">
        <is>
          <t>Changes the reference/nadir range.</t>
        </is>
      </c>
    </row>
    <row r="15">
      <c r="A15" s="1" t="inlineStr">
        <is>
          <t>Target topographic height</t>
        </is>
      </c>
      <c r="B15" s="12" t="inlineStr">
        <is>
          <t>h_target = h_total(x, y)</t>
        </is>
      </c>
      <c r="C15" s="1" t="inlineStr">
        <is>
          <t>Surface height at the side-offset target path.</t>
        </is>
      </c>
      <c r="D15" s="1" t="inlineStr">
        <is>
          <t>x, y plus all topography controls</t>
        </is>
      </c>
      <c r="E15" s="1" t="inlineStr">
        <is>
          <t>Changes the off-nadir slant range.</t>
        </is>
      </c>
    </row>
    <row r="16">
      <c r="A16" s="1" t="inlineStr">
        <is>
          <t>Topographic nadir range</t>
        </is>
      </c>
      <c r="B16" s="12" t="inlineStr">
        <is>
          <t>R_nadir_topo = z(x) - h_nadir/1000</t>
        </is>
      </c>
      <c r="C16" s="1" t="inlineStr">
        <is>
          <t>Distance from spacecraft to the raised/lowered nadir surface.</t>
        </is>
      </c>
      <c r="D16" s="1" t="inlineStr">
        <is>
          <t>z(x), h_nadir</t>
        </is>
      </c>
      <c r="E16" s="1" t="inlineStr">
        <is>
          <t>Raised nadir terrain shortens the reference range.</t>
        </is>
      </c>
    </row>
    <row r="17" ht="26.25" customHeight="1">
      <c r="A17" s="1" t="inlineStr">
        <is>
          <t>Topographic off-nadir range</t>
        </is>
      </c>
      <c r="B17" s="12" t="inlineStr">
        <is>
          <t>theta = SQRT(x^2+y^2)/R_e; R_off_topo = SQRT((R_e+z)^2+(R_e+h_target/1000)^2-2*(R_e+z)*(R_e+h_target/1000)*COS(theta))</t>
        </is>
      </c>
      <c r="C17" s="1" t="inlineStr">
        <is>
          <t>Curvature-corrected slant range to the side-offset target after terrain height is included.</t>
        </is>
      </c>
      <c r="D17" s="1" t="inlineStr">
        <is>
          <t>x, y, z(x), h_target, R_e</t>
        </is>
      </c>
      <c r="E17" s="1" t="inlineStr">
        <is>
          <t>Raised target terrain changes the spherical slant range.</t>
        </is>
      </c>
    </row>
    <row r="18" ht="26.25" customHeight="1">
      <c r="A18" s="1" t="inlineStr">
        <is>
          <t>Topographic apparent depth</t>
        </is>
      </c>
      <c r="B18" s="12" t="inlineStr">
        <is>
          <t>d_app_topo = (R_off_topo - R_nadir_topo)*1000/n</t>
        </is>
      </c>
      <c r="C18" s="1" t="inlineStr">
        <is>
          <t>The apparent depth after topography changes both reference and target ranges.</t>
        </is>
      </c>
      <c r="D18" s="1" t="inlineStr">
        <is>
          <t>R_off_topo, R_nadir_topo, n</t>
        </is>
      </c>
      <c r="E18" s="1" t="inlineStr">
        <is>
          <t>This is the main output compared against flat apparent depth.</t>
        </is>
      </c>
    </row>
    <row r="19" ht="26.25" customHeight="1">
      <c r="A19" s="1" t="inlineStr">
        <is>
          <t>Topography depth difference</t>
        </is>
      </c>
      <c r="B19" s="12" t="inlineStr">
        <is>
          <t>depth_change = d_app_topo - d_app_flat</t>
        </is>
      </c>
      <c r="C19" s="1" t="inlineStr">
        <is>
          <t>How much terrain changes the apparent-depth result.</t>
        </is>
      </c>
      <c r="D19" s="1" t="inlineStr">
        <is>
          <t>d_app_topo, d_app_flat</t>
        </is>
      </c>
      <c r="E19" s="1" t="inlineStr">
        <is>
          <t>Negative means topography makes the echo appear shallower; positive means deeper.</t>
        </is>
      </c>
    </row>
  </sheetData>
  <mergeCells count="2">
    <mergeCell ref="A2:E2"/>
    <mergeCell ref="A1:E1"/>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C27"/>
  <sheetViews>
    <sheetView showGridLines="0" workbookViewId="0">
      <selection activeCell="A1" sqref="A1"/>
    </sheetView>
  </sheetViews>
  <sheetFormatPr baseColWidth="8" defaultRowHeight="13.5"/>
  <cols>
    <col width="34" customWidth="1" min="1" max="1"/>
    <col width="28" customWidth="1" min="2" max="2"/>
    <col width="56" customWidth="1" min="3" max="3"/>
  </cols>
  <sheetData>
    <row r="1" ht="21" customHeight="1">
      <c r="A1" s="23" t="inlineStr">
        <is>
          <t>Workbook Checks</t>
        </is>
      </c>
    </row>
    <row r="3">
      <c r="A3" s="2" t="inlineStr">
        <is>
          <t>Check</t>
        </is>
      </c>
      <c r="B3" s="2" t="inlineStr">
        <is>
          <t>Status</t>
        </is>
      </c>
      <c r="C3" s="2" t="inlineStr">
        <is>
          <t>Formula</t>
        </is>
      </c>
    </row>
    <row r="4">
      <c r="A4" s="1" t="inlineStr">
        <is>
          <t>x_min &lt; x_max</t>
        </is>
      </c>
      <c r="B4" s="1">
        <f>IF(Inputs!C7&lt;Inputs!C8,"OK","Fix x_min/x_max")</f>
        <v/>
      </c>
      <c r="C4" s="1" t="inlineStr">
        <is>
          <t>Inputs!C7 must be less than Inputs!C8</t>
        </is>
      </c>
    </row>
    <row r="5">
      <c r="A5" s="1" t="inlineStr">
        <is>
          <t>z0 positive</t>
        </is>
      </c>
      <c r="B5" s="1">
        <f>IF(Inputs!C5&gt;0,"OK","Fix z0")</f>
        <v/>
      </c>
      <c r="C5" s="1" t="inlineStr">
        <is>
          <t>Closest altitude must be positive</t>
        </is>
      </c>
    </row>
    <row r="6">
      <c r="A6" s="1" t="inlineStr">
        <is>
          <t>x_edge positive</t>
        </is>
      </c>
      <c r="B6" s="1">
        <f>IF(Inputs!C10&gt;0,"OK","Fix x_edge")</f>
        <v/>
      </c>
      <c r="C6" s="1" t="inlineStr">
        <is>
          <t>Parabola edge must be positive</t>
        </is>
      </c>
    </row>
    <row r="7">
      <c r="A7" s="1" t="inlineStr">
        <is>
          <t>ice refractive index positive</t>
        </is>
      </c>
      <c r="B7" s="1">
        <f>IF(Inputs!C12&gt;0,"OK","Fix n")</f>
        <v/>
      </c>
      <c r="C7" s="1" t="inlineStr">
        <is>
          <t>n must be positive</t>
        </is>
      </c>
    </row>
    <row r="8">
      <c r="A8" s="1" t="inlineStr">
        <is>
          <t>wavelengths positive</t>
        </is>
      </c>
      <c r="B8" s="1">
        <f>IF(AND(Inputs!C13&gt;0,Inputs!C14&gt;0),"OK","Fix wavelengths")</f>
        <v/>
      </c>
      <c r="C8" s="1" t="inlineStr">
        <is>
          <t>HF and VHF wavelengths must be positive</t>
        </is>
      </c>
    </row>
    <row r="9">
      <c r="A9" s="1" t="inlineStr">
        <is>
          <t>baseline positive</t>
        </is>
      </c>
      <c r="B9" s="1">
        <f>IF(Inputs!C15&gt;0,"OK","Fix baseline")</f>
        <v/>
      </c>
      <c r="C9" s="1" t="inlineStr">
        <is>
          <t>Interferometry baseline must be positive</t>
        </is>
      </c>
    </row>
    <row r="10">
      <c r="A10" s="1" t="inlineStr">
        <is>
          <t>topography toggle valid</t>
        </is>
      </c>
      <c r="B10" s="1">
        <f>IF(OR(Inputs!C27=TRUE,Inputs!C27=FALSE,Inputs!C27="TRUE",Inputs!C27="FALSE",Inputs!C27=1,Inputs!C27=0),"OK","Fix topography toggle")</f>
        <v/>
      </c>
      <c r="C10" s="1" t="inlineStr">
        <is>
          <t>Inputs!C27 must be TRUE or FALSE</t>
        </is>
      </c>
    </row>
    <row r="11">
      <c r="A11" s="1" t="inlineStr">
        <is>
          <t>topography widths positive</t>
        </is>
      </c>
      <c r="B11" s="1">
        <f>IF(AND(Inputs!C31&gt;0,Inputs!C32&gt;0,Inputs!C36&gt;0,Inputs!C39&gt;0,Inputs!C40&gt;0,Inputs!C44&gt;0,Inputs!C45&gt;0),"OK","Fix topography width")</f>
        <v/>
      </c>
      <c r="C11" s="1" t="inlineStr">
        <is>
          <t>Terrain sigma/width/wavelength values must be positive</t>
        </is>
      </c>
    </row>
    <row r="12">
      <c r="A12" s="1" t="inlineStr">
        <is>
          <t>terrain uncertainty nonnegative</t>
        </is>
      </c>
      <c r="B12" s="1">
        <f>IF(Inputs!C46&gt;=0,"OK","Fix terrain uncertainty")</f>
        <v/>
      </c>
      <c r="C12" s="1" t="inlineStr">
        <is>
          <t>Representative vertical uncertainty should be &gt;= 0</t>
        </is>
      </c>
    </row>
    <row r="13">
      <c r="A13" s="1" t="inlineStr">
        <is>
          <t>seeded terrain scales positive</t>
        </is>
      </c>
      <c r="B13" s="1">
        <f>IF(AND(Inputs!C49&gt;0,Inputs!C50&gt;0),"OK","Fix seeded terrain scale")</f>
        <v/>
      </c>
      <c r="C13" s="1" t="inlineStr">
        <is>
          <t>Seeded random terrain scales must be positive</t>
        </is>
      </c>
    </row>
    <row r="14">
      <c r="A14" s="1" t="inlineStr">
        <is>
          <t>seeded random amplitude nonnegative</t>
        </is>
      </c>
      <c r="B14" s="1">
        <f>IF(Inputs!C48&gt;=0,"OK","Fix seeded amplitude")</f>
        <v/>
      </c>
      <c r="C14" s="1" t="inlineStr">
        <is>
          <t>Seeded random terrain amplitude should be &gt;= 0</t>
        </is>
      </c>
    </row>
    <row r="15">
      <c r="A15" s="1" t="inlineStr">
        <is>
          <t>project DEM scale nonnegative</t>
        </is>
      </c>
      <c r="B15" s="1">
        <f>IF(Inputs!C51&gt;=0,"OK","Fix DEM scale")</f>
        <v/>
      </c>
      <c r="C15" s="1" t="inlineStr">
        <is>
          <t>Existing DEM-style scale should be &gt;= 0</t>
        </is>
      </c>
    </row>
    <row r="16">
      <c r="A16" s="1" t="inlineStr">
        <is>
          <t>Europa radius positive</t>
        </is>
      </c>
      <c r="B16" s="1">
        <f>IF(Inputs!C52&gt;0,"OK","Fix Europa radius")</f>
        <v/>
      </c>
      <c r="C16" s="1" t="inlineStr">
        <is>
          <t>Europa radius must be positive for spherical geometry</t>
        </is>
      </c>
    </row>
    <row r="17">
      <c r="A17" s="1" t="inlineStr">
        <is>
          <t>scenario toggles valid</t>
        </is>
      </c>
      <c r="B17" s="1">
        <f>IF(AND(OR(Inputs!F6=TRUE,Inputs!F6=FALSE,Inputs!F6="TRUE",Inputs!F6="FALSE",Inputs!F6=1,Inputs!F6=0),OR(Inputs!F7=TRUE,Inputs!F7=FALSE,Inputs!F7="TRUE",Inputs!F7="FALSE",Inputs!F7=1,Inputs!F7=0),OR(Inputs!F8=TRUE,Inputs!F8=FALSE,Inputs!F8="TRUE",Inputs!F8="FALSE",Inputs!F8=1,Inputs!F8=0),OR(Inputs!F9=TRUE,Inputs!F9=FALSE,Inputs!F9="TRUE",Inputs!F9="FALSE",Inputs!F9=1,Inputs!F9=0)),"OK","Fix scenario toggles")</f>
        <v/>
      </c>
      <c r="C17" s="1" t="inlineStr">
        <is>
          <t>Inputs!F6:F9 must be TRUE or FALSE</t>
        </is>
      </c>
    </row>
    <row r="18">
      <c r="A18" s="1" t="inlineStr">
        <is>
          <t>scenario lengths positive</t>
        </is>
      </c>
      <c r="B18" s="1">
        <f>IF(AND(Inputs!I6&lt;Inputs!J6,Inputs!K6&gt;0,Inputs!I7&lt;Inputs!J7,Inputs!K7&gt;0,Inputs!I8&lt;Inputs!J8,Inputs!K8&gt;0,Inputs!I9&lt;Inputs!J9,Inputs!K9&gt;0),"OK","Fix scenario length")</f>
        <v/>
      </c>
      <c r="C18" s="1" t="inlineStr">
        <is>
          <t>Each scenario must have x_min &lt; x_max and x_edge &gt; 0</t>
        </is>
      </c>
    </row>
    <row r="19">
      <c r="A19" s="1" t="inlineStr">
        <is>
          <t>PRF high vs simple PRF floor</t>
        </is>
      </c>
      <c r="B19" s="1">
        <f>IF(Inputs!C20&gt;=Dashboard!B16,"OK","High PRF below simple floor")</f>
        <v/>
      </c>
      <c r="C19" s="1" t="inlineStr">
        <is>
          <t>PRF_3 should exceed Dashboard topo minimum PRF for the default check</t>
        </is>
      </c>
    </row>
    <row r="20">
      <c r="A20" s="1" t="inlineStr">
        <is>
          <t>model rows available</t>
        </is>
      </c>
      <c r="B20" s="1">
        <f>IF(COUNTA(Model_Data!A2:A242)=241,"OK","Missing rows")</f>
        <v/>
      </c>
      <c r="C20" s="1" t="inlineStr">
        <is>
          <t>Model_Data contains 241 plotted positions</t>
        </is>
      </c>
    </row>
    <row r="21">
      <c r="A21" s="1" t="inlineStr">
        <is>
          <t>chart off-nadir surface link</t>
        </is>
      </c>
      <c r="B21" s="1">
        <f>IF(Chart_Data!L122=Model_Data!Y122,"OK","Fix off-nadir chart link")</f>
        <v/>
      </c>
      <c r="C21" s="1" t="inlineStr">
        <is>
          <t>Chart_Data off-nadir surface line must reference Model_Data h_target</t>
        </is>
      </c>
    </row>
    <row r="22">
      <c r="A22" s="1" t="inlineStr">
        <is>
          <t>chart nadir surface link</t>
        </is>
      </c>
      <c r="B22" s="1">
        <f>IF(Chart_Data!M122=Model_Data!X122,"OK","Fix nadir chart link")</f>
        <v/>
      </c>
      <c r="C22" s="1" t="inlineStr">
        <is>
          <t>Chart_Data nadir surface line must reference Model_Data h_nadir</t>
        </is>
      </c>
    </row>
    <row r="23">
      <c r="A23" s="1" t="inlineStr">
        <is>
          <t>chart apparent-height conversion</t>
        </is>
      </c>
      <c r="B23" s="1">
        <f>IF(ABS(Chart_Data!N122+Model_Data!AI122*Inputs!C12)&lt;0.001,"OK","Fix apparent-height conversion")</f>
        <v/>
      </c>
      <c r="C23" s="1" t="inlineStr">
        <is>
          <t>Chart apparent surface height must equal -n*(topo depth - flat depth)</t>
        </is>
      </c>
    </row>
    <row r="25" ht="13.9" customHeight="1">
      <c r="A25" s="31" t="inlineStr">
        <is>
          <t>Chart/graph communication checks</t>
        </is>
      </c>
      <c r="B25" s="31" t="n"/>
      <c r="C25" s="31" t="n"/>
    </row>
    <row r="26" ht="27" customHeight="1">
      <c r="A26" s="16" t="inlineStr">
        <is>
          <t>Baseline legends</t>
        </is>
      </c>
      <c r="B26" s="33" t="inlineStr">
        <is>
          <t>OK</t>
        </is>
      </c>
      <c r="C26" s="33" t="inlineStr">
        <is>
          <t>Reference floor and zero-depth baselines are renamed/styled as neutral references, not scenario outputs.</t>
        </is>
      </c>
    </row>
    <row r="27" ht="27" customHeight="1">
      <c r="A27" s="16" t="inlineStr">
        <is>
          <t>Graph explanations</t>
        </is>
      </c>
      <c r="B27" s="33" t="inlineStr">
        <is>
          <t>OK</t>
        </is>
      </c>
      <c r="C27" s="33" t="inlineStr">
        <is>
          <t>Dashboard rows 65-71 and Graph_Guide explain every chart and its source range.</t>
        </is>
      </c>
    </row>
  </sheetData>
  <mergeCells count="1">
    <mergeCell ref="A1:C1"/>
  </mergeCells>
  <conditionalFormatting sqref="B4:B23">
    <cfRule type="containsText" priority="1" operator="containsText" dxfId="1" text="OK"/>
    <cfRule type="notContainsText" priority="2" operator="notContains" dxfId="0" text="OK"/>
  </conditionalFormatting>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G20"/>
  <sheetViews>
    <sheetView showGridLines="0" workbookViewId="0">
      <selection activeCell="A1" sqref="A1"/>
    </sheetView>
  </sheetViews>
  <sheetFormatPr baseColWidth="8" defaultRowHeight="13.5"/>
  <cols>
    <col width="25.625" customWidth="1" min="1" max="1"/>
    <col width="45" customWidth="1" min="2" max="2"/>
    <col width="35" customWidth="1" min="3" max="3"/>
    <col width="31.25" customWidth="1" min="4" max="4"/>
    <col width="22.5" customWidth="1" min="5" max="5"/>
    <col width="45" customWidth="1" min="6" max="6"/>
    <col width="22.5" customWidth="1" min="7" max="7"/>
  </cols>
  <sheetData>
    <row r="1" ht="22.5" customHeight="1">
      <c r="A1" s="35" t="inlineStr">
        <is>
          <t>Graph Guide and Formula Audit</t>
        </is>
      </c>
    </row>
    <row r="2" ht="25.5" customHeight="1">
      <c r="A2" s="45" t="inlineStr">
        <is>
          <t>Grey baseline lines are references only. For the motion-only chart, flat ground means terrain height is zero; the curved blue line is the radar reading caused by the satellite's parabolic path and changing slant range, not a curved ground surface.</t>
        </is>
      </c>
      <c r="B2" s="43" t="n"/>
      <c r="C2" s="43" t="n"/>
      <c r="D2" s="43" t="n"/>
      <c r="E2" s="43" t="n"/>
      <c r="F2" s="43" t="n"/>
      <c r="G2" s="44" t="n"/>
    </row>
    <row r="3" ht="31.5" customHeight="1">
      <c r="A3" s="17" t="n"/>
      <c r="B3" s="17" t="n"/>
      <c r="C3" s="17" t="n"/>
      <c r="D3" s="17" t="n"/>
      <c r="E3" s="17" t="n"/>
      <c r="F3" s="17" t="n"/>
      <c r="G3" s="17" t="n"/>
    </row>
    <row r="4" ht="31.5" customHeight="1">
      <c r="A4" s="22" t="inlineStr">
        <is>
          <t>Graph</t>
        </is>
      </c>
      <c r="B4" s="22" t="inlineStr">
        <is>
          <t>What it shows</t>
        </is>
      </c>
      <c r="C4" s="22" t="inlineStr">
        <is>
          <t>Why it matters</t>
        </is>
      </c>
      <c r="D4" s="22" t="inlineStr">
        <is>
          <t>How to read the baseline</t>
        </is>
      </c>
      <c r="E4" s="22" t="inlineStr">
        <is>
          <t>Source range</t>
        </is>
      </c>
      <c r="F4" s="22" t="inlineStr">
        <is>
          <t>Formula basis</t>
        </is>
      </c>
      <c r="G4" s="22" t="inlineStr">
        <is>
          <t>Audit status</t>
        </is>
      </c>
    </row>
    <row r="5" ht="43.5" customHeight="1">
      <c r="A5" s="18" t="inlineStr">
        <is>
          <t>Apparent Depth: Motion vs Topography</t>
        </is>
      </c>
      <c r="B5" s="19" t="inlineStr">
        <is>
          <t>Compares the zero-depth nadir reference, a constant-altitude off-nadir reading, the parabolic flat-surface reading, and the parabolic topography-adjusted reading across x.</t>
        </is>
      </c>
      <c r="C5" s="19" t="inlineStr">
        <is>
          <t>Separates spacecraft motion effects from terrain effects in the radar apparent-depth output.</t>
        </is>
      </c>
      <c r="D5" s="19" t="inlineStr">
        <is>
          <t>The grey zero-depth line is just the nadir reference. It is not a floor/topography result.</t>
        </is>
      </c>
      <c r="E5" s="19" t="inlineStr">
        <is>
          <t>Chart_Data!A:E</t>
        </is>
      </c>
      <c r="F5" s="19" t="inlineStr">
        <is>
          <t>apparent_depth = (R_off - R_nadir)*1000/n; topo version uses h_nadir and h_target.</t>
        </is>
      </c>
      <c r="G5" s="19" t="inlineStr">
        <is>
          <t>Linked to Checks!B21:B23</t>
        </is>
      </c>
    </row>
    <row r="6" ht="43.5" customHeight="1">
      <c r="A6" s="18" t="inlineStr">
        <is>
          <t>Surface Height: Generated Reference Floor, Target, and Nadir</t>
        </is>
      </c>
      <c r="B6" s="19" t="inlineStr">
        <is>
          <t>Plots the generated topography used as the reference floor, the side-looking target path, and the terrain directly below the spacecraft.</t>
        </is>
      </c>
      <c r="C6" s="19" t="inlineStr">
        <is>
          <t>Shows the terrain terms that feed the topography-adjusted range equations; the satellite travel path in this model is curved/parabolic, not flat.</t>
        </is>
      </c>
      <c r="D6" s="19" t="inlineStr">
        <is>
          <t>The grey reference floor now follows the generated off-nadir topography instead of a 0 m flat floor. Orange/green remain the target and nadir terrain profiles.</t>
        </is>
      </c>
      <c r="E6" s="19" t="inlineStr">
        <is>
          <t>Chart_Data!G:J</t>
        </is>
      </c>
      <c r="F6" s="19" t="inlineStr">
        <is>
          <t>h_total(x,y) = h_project + ridge + crater + chaos + roughness + trough + seeded terrain.</t>
        </is>
      </c>
      <c r="G6" s="19" t="inlineStr">
        <is>
          <t>Inputs validated in Checks!B10:B16</t>
        </is>
      </c>
    </row>
    <row r="7" ht="43.5" customHeight="1">
      <c r="A7" s="18" t="inlineStr">
        <is>
          <t>Doppler: Flat Geometry vs Topography</t>
        </is>
      </c>
      <c r="B7" s="19" t="inlineStr">
        <is>
          <t>Compares VHF/HF Doppler shifts with flat geometry and with topography-adjusted geometry.</t>
        </is>
      </c>
      <c r="C7" s="19" t="inlineStr">
        <is>
          <t>Shows the PRF pressure caused by maximum modeled range-rate magnitude.</t>
        </is>
      </c>
      <c r="D7" s="19" t="inlineStr">
        <is>
          <t>Zero Hz is the sign-change reference around closest approach.</t>
        </is>
      </c>
      <c r="E7" s="19" t="inlineStr">
        <is>
          <t>Chart_Data!P:T</t>
        </is>
      </c>
      <c r="F7" s="19" t="inlineStr">
        <is>
          <t>doppler = -2*range_rate/lambda; range_rate is from adjacent slant-range samples.</t>
        </is>
      </c>
      <c r="G7" s="19" t="inlineStr">
        <is>
          <t>PRF check in Checks!B19</t>
        </is>
      </c>
    </row>
    <row r="8" ht="43.5" customHeight="1">
      <c r="A8" s="18" t="inlineStr">
        <is>
          <t>Flat Ground Reading: Constant vs Parabolic Satellite Path</t>
        </is>
      </c>
      <c r="B8" s="19" t="inlineStr">
        <is>
          <t>This is not a ground-height chart. It calculates the apparent radar depth/readout to flat ground while changing only the satellite path geometry.</t>
        </is>
      </c>
      <c r="C8" s="19" t="inlineStr">
        <is>
          <t>Shows that a flat surface can still produce a curved radar reading because the satellite altitude and off-nadir slant range change along track.</t>
        </is>
      </c>
      <c r="D8" s="19" t="inlineStr">
        <is>
          <t>The grey zero-depth line is only the nadir reference. The blue curve is flat ground plus parabolic satellite motion, not a parabolic ground surface.</t>
        </is>
      </c>
      <c r="E8" s="19" t="inlineStr">
        <is>
          <t>Chart_Data!Y:AB</t>
        </is>
      </c>
      <c r="F8" s="19" t="inlineStr">
        <is>
          <t>Ground height is held at h=0. The reading is (R_off - R_nadir)*1000/n; blue uses z(x)=z0+Delta_z_edge*(x/x_edge)^2.</t>
        </is>
      </c>
      <c r="G8" s="19" t="inlineStr">
        <is>
          <t>Core inputs validated in Checks!B4:B9</t>
        </is>
      </c>
    </row>
    <row r="9" ht="43.5" customHeight="1">
      <c r="A9" s="18" t="inlineStr">
        <is>
          <t>Scenario Off-Nadir Surface Height</t>
        </is>
      </c>
      <c r="B9" s="19" t="inlineStr">
        <is>
          <t>Plots the expected off-nadir surface height for each checked pass case on a normalized pass axis.</t>
        </is>
      </c>
      <c r="C9" s="19" t="inlineStr">
        <is>
          <t>Shows how the same terrain model is sampled under each scenario overlay.</t>
        </is>
      </c>
      <c r="D9" s="19" t="inlineStr">
        <is>
          <t>The grey reference floor is 0 m, not a selected scenario.</t>
        </is>
      </c>
      <c r="E9" s="19" t="inlineStr">
        <is>
          <t>Scenario_Data!AQ:AV</t>
        </is>
      </c>
      <c r="F9" s="19" t="inlineStr">
        <is>
          <t>Uses scenario x mapping plus h_total(x,y), gated by Inputs!F6:F9 and Inputs!C27.</t>
        </is>
      </c>
      <c r="G9" s="19" t="inlineStr">
        <is>
          <t>Scenario checks in Checks!B17:B18</t>
        </is>
      </c>
    </row>
    <row r="10" ht="43.5" customHeight="1">
      <c r="A10" s="18" t="inlineStr">
        <is>
          <t>Scenario Apparent-Depth Outcomes</t>
        </is>
      </c>
      <c r="B10" s="19" t="inlineStr">
        <is>
          <t>Compares apparent-depth outcomes for the checked custom and paper-derived pass cases.</t>
        </is>
      </c>
      <c r="C10" s="19" t="inlineStr">
        <is>
          <t>Shows why long, low-altitude passes can dominate apparent-depth scale.</t>
        </is>
      </c>
      <c r="D10" s="19" t="inlineStr">
        <is>
          <t>The grey zero-depth reference is not a model run.</t>
        </is>
      </c>
      <c r="E10" s="19" t="inlineStr">
        <is>
          <t>Scenario_Data!BE:BJ</t>
        </is>
      </c>
      <c r="F10" s="19" t="inlineStr">
        <is>
          <t>Scenario apparent_depth = (R_off - R_nadir)*1000/n using each scenario z(x).</t>
        </is>
      </c>
      <c r="G10" s="19" t="inlineStr">
        <is>
          <t>Scenario checks in Checks!B17:B18</t>
        </is>
      </c>
    </row>
    <row r="11" ht="43.5" customHeight="1">
      <c r="A11" s="18" t="inlineStr">
        <is>
          <t>Scenario Altitude Profiles</t>
        </is>
      </c>
      <c r="B11" s="19" t="inlineStr">
        <is>
          <t>Plots altitude versus normalized pass position for the checked custom and paper-derived pass cases.</t>
        </is>
      </c>
      <c r="C11" s="19" t="inlineStr">
        <is>
          <t>Shows the parabolic path assumptions used to convert the paper constraints into comparable runs.</t>
        </is>
      </c>
      <c r="D11" s="19" t="inlineStr">
        <is>
          <t>The grey surface floor is 0 km and is not a spacecraft trajectory.</t>
        </is>
      </c>
      <c r="E11" s="19" t="inlineStr">
        <is>
          <t>Scenario_Data!AX:BC</t>
        </is>
      </c>
      <c r="F11" s="19" t="inlineStr">
        <is>
          <t>z(x) = z0 + Delta_z_edge*(x/x_edge)^2.</t>
        </is>
      </c>
      <c r="G11" s="19" t="inlineStr">
        <is>
          <t>Scenario checks in Checks!B17:B18</t>
        </is>
      </c>
    </row>
    <row r="12" ht="31.5" customHeight="1">
      <c r="A12" s="17" t="n"/>
      <c r="B12" s="17" t="n"/>
      <c r="C12" s="17" t="n"/>
      <c r="D12" s="17" t="n"/>
      <c r="E12" s="17" t="n"/>
      <c r="F12" s="17" t="n"/>
      <c r="G12" s="17" t="n"/>
    </row>
    <row r="13" ht="31.5" customHeight="1">
      <c r="A13" s="35" t="inlineStr">
        <is>
          <t>Formula Audit Summary</t>
        </is>
      </c>
    </row>
    <row r="14" ht="31.5" customHeight="1">
      <c r="A14" s="22" t="inlineStr">
        <is>
          <t>Audit item</t>
        </is>
      </c>
      <c r="B14" s="22" t="inlineStr">
        <is>
          <t>Live result</t>
        </is>
      </c>
      <c r="C14" s="22" t="inlineStr">
        <is>
          <t>Unit</t>
        </is>
      </c>
      <c r="D14" s="22" t="inlineStr">
        <is>
          <t>Formula / source</t>
        </is>
      </c>
      <c r="E14" s="22" t="inlineStr">
        <is>
          <t>Why it matters</t>
        </is>
      </c>
      <c r="F14" s="17" t="n"/>
      <c r="G14" s="17" t="n"/>
    </row>
    <row r="15" ht="40.5" customHeight="1">
      <c r="A15" s="18" t="inlineStr">
        <is>
          <t>Workbook checks</t>
        </is>
      </c>
      <c r="B15" s="20">
        <f>IF(COUNTIF(Checks!B4:B23,"OK")=ROWS(Checks!B4:B23),"OK","Review Checks")</f>
        <v/>
      </c>
      <c r="C15" s="19" t="n"/>
      <c r="D15" s="19" t="inlineStr">
        <is>
          <t>=IF(COUNTIF(Checks!B4:B23,"OK")=ROWS(Checks!B4:B23),"OK","Review Checks")</t>
        </is>
      </c>
      <c r="E15" s="19" t="inlineStr">
        <is>
          <t>Confirms input bounds, chart helper links, and apparent-height conversion checks.</t>
        </is>
      </c>
      <c r="F15" s="17" t="n"/>
      <c r="G15" s="17" t="n"/>
    </row>
    <row r="16" ht="40.5" customHeight="1">
      <c r="A16" s="18" t="inlineStr">
        <is>
          <t>Flat apparent depth at mid-pass</t>
        </is>
      </c>
      <c r="B16" s="21">
        <f>Dashboard!B7</f>
        <v/>
      </c>
      <c r="C16" s="19" t="inlineStr">
        <is>
          <t>m</t>
        </is>
      </c>
      <c r="D16" s="19" t="inlineStr">
        <is>
          <t>=Dashboard!B7</t>
        </is>
      </c>
      <c r="E16" s="19" t="inlineStr">
        <is>
          <t>Expected flat-surface radar apparent depth before topography is applied.</t>
        </is>
      </c>
      <c r="F16" s="17" t="n"/>
      <c r="G16" s="17" t="n"/>
    </row>
    <row r="17" ht="40.5" customHeight="1">
      <c r="A17" s="18" t="inlineStr">
        <is>
          <t>Topography-adjusted apparent depth at mid-pass</t>
        </is>
      </c>
      <c r="B17" s="21">
        <f>Dashboard!B8</f>
        <v/>
      </c>
      <c r="C17" s="19" t="inlineStr">
        <is>
          <t>m</t>
        </is>
      </c>
      <c r="D17" s="19" t="inlineStr">
        <is>
          <t>=Dashboard!B8</t>
        </is>
      </c>
      <c r="E17" s="19" t="inlineStr">
        <is>
          <t>Same geometry after terrain height changes the nadir and target ranges.</t>
        </is>
      </c>
      <c r="F17" s="17" t="n"/>
      <c r="G17" s="17" t="n"/>
    </row>
    <row r="18" ht="40.5" customHeight="1">
      <c r="A18" s="18" t="inlineStr">
        <is>
          <t>Depth change from topography</t>
        </is>
      </c>
      <c r="B18" s="21">
        <f>Dashboard!B9</f>
        <v/>
      </c>
      <c r="C18" s="19" t="inlineStr">
        <is>
          <t>m</t>
        </is>
      </c>
      <c r="D18" s="19" t="inlineStr">
        <is>
          <t>=Dashboard!B9</t>
        </is>
      </c>
      <c r="E18" s="19" t="inlineStr">
        <is>
          <t>Topo apparent depth minus flat apparent depth; negative means the echo appears shallower.</t>
        </is>
      </c>
      <c r="F18" s="17" t="n"/>
      <c r="G18" s="17" t="n"/>
    </row>
    <row r="19" ht="40.5" customHeight="1">
      <c r="A19" s="18" t="inlineStr">
        <is>
          <t>Simple minimum PRF with topo</t>
        </is>
      </c>
      <c r="B19" s="21">
        <f>Dashboard!B16</f>
        <v/>
      </c>
      <c r="C19" s="19" t="inlineStr">
        <is>
          <t>Hz</t>
        </is>
      </c>
      <c r="D19" s="19" t="inlineStr">
        <is>
          <t>=Dashboard!B16</t>
        </is>
      </c>
      <c r="E19" s="19" t="inlineStr">
        <is>
          <t>Twice max absolute topography-adjusted VHF Doppler.</t>
        </is>
      </c>
      <c r="F19" s="17" t="n"/>
      <c r="G19" s="17" t="n"/>
    </row>
    <row r="20" ht="40.5" customHeight="1">
      <c r="A20" s="18" t="inlineStr">
        <is>
          <t>Chart baseline treatment</t>
        </is>
      </c>
      <c r="B20" s="20" t="inlineStr">
        <is>
          <t>OK</t>
        </is>
      </c>
      <c r="C20" s="19" t="n"/>
      <c r="D20" s="19" t="inlineStr">
        <is>
          <t>Baselines renamed and styled neutral grey.</t>
        </is>
      </c>
      <c r="E20" s="19" t="inlineStr">
        <is>
          <t>Prevents reference floors from reading like orange model output lines.</t>
        </is>
      </c>
      <c r="F20" s="17" t="n"/>
      <c r="G20" s="17" t="n"/>
    </row>
  </sheetData>
  <mergeCells count="3">
    <mergeCell ref="A13:G13"/>
    <mergeCell ref="A2:G2"/>
    <mergeCell ref="A1:G1"/>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W1465"/>
  <sheetViews>
    <sheetView workbookViewId="0">
      <selection activeCell="A1" sqref="A1"/>
    </sheetView>
  </sheetViews>
  <sheetFormatPr baseColWidth="8" defaultRowHeight="13.5"/>
  <sheetData>
    <row r="1">
      <c r="A1" t="inlineStr">
        <is>
          <t>Terrain x (km)</t>
        </is>
      </c>
      <c r="B1" t="inlineStr">
        <is>
          <t>Total radar elevation error (m)</t>
        </is>
      </c>
      <c r="D1" t="inlineStr">
        <is>
          <t>Surface x (km)</t>
        </is>
      </c>
      <c r="E1" t="inlineStr">
        <is>
          <t>Reference floor = generated topography (m)</t>
        </is>
      </c>
      <c r="F1" t="inlineStr">
        <is>
          <t>Off-nadir target terrain (m)</t>
        </is>
      </c>
      <c r="G1" t="inlineStr">
        <is>
          <t>Nadir terrain (m)</t>
        </is>
      </c>
      <c r="I1" t="inlineStr">
        <is>
          <t>Normalized pass position</t>
        </is>
      </c>
      <c r="J1" t="inlineStr">
        <is>
          <t>Custom parabolic, 400 km height, 120-km pass</t>
        </is>
      </c>
      <c r="K1" t="inlineStr">
        <is>
          <t>Paper parabolic low-altitude, 35 km height, 800-km pass</t>
        </is>
      </c>
      <c r="L1" t="inlineStr">
        <is>
          <t>Paper parabolic ice-ocean, 35 km height, 1600-km pass</t>
        </is>
      </c>
      <c r="M1" t="inlineStr">
        <is>
          <t>Operating parabolic, 25 km height, 1600-km pass</t>
        </is>
      </c>
      <c r="O1" t="inlineStr">
        <is>
          <t>Nadir no-topo x - Custom parabolic, 400 km height, 120-km pass</t>
        </is>
      </c>
      <c r="P1" t="inlineStr">
        <is>
          <t>Nadir no-topo delay us - Custom parabolic, 400 km height, 120-km pass</t>
        </is>
      </c>
      <c r="Q1" t="inlineStr">
        <is>
          <t>Nadir no-topo x - Paper parabolic low-altitude, 35 km height, 800-km pass</t>
        </is>
      </c>
      <c r="R1" t="inlineStr">
        <is>
          <t>Nadir no-topo delay us - Paper parabolic low-altitude, 35 km height, 800-km pass</t>
        </is>
      </c>
      <c r="S1" t="inlineStr">
        <is>
          <t>Nadir no-topo x - Paper parabolic ice-ocean, 35 km height, 1600-km pass</t>
        </is>
      </c>
      <c r="T1" t="inlineStr">
        <is>
          <t>Nadir no-topo delay us - Paper parabolic ice-ocean, 35 km height, 1600-km pass</t>
        </is>
      </c>
      <c r="U1" t="inlineStr">
        <is>
          <t>Nadir no-topo x - Operating parabolic, 25 km height, 1600-km pass</t>
        </is>
      </c>
      <c r="V1" t="inlineStr">
        <is>
          <t>Nadir no-topo delay us - Operating parabolic, 25 km height, 1600-km pass</t>
        </is>
      </c>
      <c r="X1" t="inlineStr">
        <is>
          <t>Nadir topo x - Custom parabolic, 400 km height, 120-km pass</t>
        </is>
      </c>
      <c r="Y1" t="inlineStr">
        <is>
          <t>Nadir topo delay us - Custom parabolic, 400 km height, 120-km pass</t>
        </is>
      </c>
      <c r="Z1" t="inlineStr">
        <is>
          <t>Nadir topo x - Paper parabolic low-altitude, 35 km height, 800-km pass</t>
        </is>
      </c>
      <c r="AA1" t="inlineStr">
        <is>
          <t>Nadir topo delay us - Paper parabolic low-altitude, 35 km height, 800-km pass</t>
        </is>
      </c>
      <c r="AB1" t="inlineStr">
        <is>
          <t>Nadir topo x - Paper parabolic ice-ocean, 35 km height, 1600-km pass</t>
        </is>
      </c>
      <c r="AC1" t="inlineStr">
        <is>
          <t>Nadir topo delay us - Paper parabolic ice-ocean, 35 km height, 1600-km pass</t>
        </is>
      </c>
      <c r="AD1" t="inlineStr">
        <is>
          <t>Nadir topo x - Operating parabolic, 25 km height, 1600-km pass</t>
        </is>
      </c>
      <c r="AE1" t="inlineStr">
        <is>
          <t>Nadir topo delay us - Operating parabolic, 25 km height, 1600-km pass</t>
        </is>
      </c>
      <c r="AG1" t="inlineStr">
        <is>
          <t>Off-nadir no-topo x - Custom parabolic, 400 km height, 120-km pass</t>
        </is>
      </c>
      <c r="AH1" t="inlineStr">
        <is>
          <t>Off-nadir no-topo delay us - Custom parabolic, 400 km height, 120-km pass</t>
        </is>
      </c>
      <c r="AI1" t="inlineStr">
        <is>
          <t>Off-nadir no-topo x - Paper parabolic low-altitude, 35 km height, 800-km pass</t>
        </is>
      </c>
      <c r="AJ1" t="inlineStr">
        <is>
          <t>Off-nadir no-topo delay us - Paper parabolic low-altitude, 35 km height, 800-km pass</t>
        </is>
      </c>
      <c r="AK1" t="inlineStr">
        <is>
          <t>Off-nadir no-topo x - Paper parabolic ice-ocean, 35 km height, 1600-km pass</t>
        </is>
      </c>
      <c r="AL1" t="inlineStr">
        <is>
          <t>Off-nadir no-topo delay us - Paper parabolic ice-ocean, 35 km height, 1600-km pass</t>
        </is>
      </c>
      <c r="AM1" t="inlineStr">
        <is>
          <t>Off-nadir no-topo x - Operating parabolic, 25 km height, 1600-km pass</t>
        </is>
      </c>
      <c r="AN1" t="inlineStr">
        <is>
          <t>Off-nadir no-topo delay us - Operating parabolic, 25 km height, 1600-km pass</t>
        </is>
      </c>
      <c r="AP1" t="inlineStr">
        <is>
          <t>Off-nadir topo x - Custom parabolic, 400 km height, 120-km pass</t>
        </is>
      </c>
      <c r="AQ1" t="inlineStr">
        <is>
          <t>Off-nadir topo delay us - Custom parabolic, 400 km height, 120-km pass</t>
        </is>
      </c>
      <c r="AR1" t="inlineStr">
        <is>
          <t>Off-nadir topo x - Paper parabolic low-altitude, 35 km height, 800-km pass</t>
        </is>
      </c>
      <c r="AS1" t="inlineStr">
        <is>
          <t>Off-nadir topo delay us - Paper parabolic low-altitude, 35 km height, 800-km pass</t>
        </is>
      </c>
      <c r="AT1" t="inlineStr">
        <is>
          <t>Off-nadir topo x - Paper parabolic ice-ocean, 35 km height, 1600-km pass</t>
        </is>
      </c>
      <c r="AU1" t="inlineStr">
        <is>
          <t>Off-nadir topo delay us - Paper parabolic ice-ocean, 35 km height, 1600-km pass</t>
        </is>
      </c>
      <c r="AV1" t="inlineStr">
        <is>
          <t>Off-nadir topo x - Operating parabolic, 25 km height, 1600-km pass</t>
        </is>
      </c>
      <c r="AW1" t="inlineStr">
        <is>
          <t>Off-nadir topo delay us - Operating parabolic, 25 km height, 1600-km pass</t>
        </is>
      </c>
    </row>
    <row r="2">
      <c r="A2">
        <f>Chart_Data!K2</f>
        <v/>
      </c>
      <c r="B2">
        <f>Chart_Data!N2-Chart_Data!L2</f>
        <v/>
      </c>
      <c r="D2">
        <f>Chart_Data!G2</f>
        <v/>
      </c>
      <c r="E2">
        <f>Chart_Data!H2</f>
        <v/>
      </c>
      <c r="F2">
        <f>Chart_Data!I2</f>
        <v/>
      </c>
      <c r="G2">
        <f>Chart_Data!J2</f>
        <v/>
      </c>
      <c r="I2">
        <f>Scenario_Data!A2</f>
        <v/>
      </c>
      <c r="J2">
        <f>Scenario_Data!H2-(((SQRT((Inputs!$C$52+(Inputs!$H$6))^2+Inputs!$C$52^2-2*(Inputs!$C$52+(Inputs!$H$6))*Inputs!$C$52*COS(SQRT((Scenario_Data!T2)^2+Inputs!$C$6^2)/Inputs!$C$52)))-(Inputs!$H$6))*1000/Inputs!$C$12)</f>
        <v/>
      </c>
      <c r="K2">
        <f>Scenario_Data!I2-(((SQRT((Inputs!$C$52+(Inputs!$H$7))^2+Inputs!$C$52^2-2*(Inputs!$C$52+(Inputs!$H$7))*Inputs!$C$52*COS(SQRT((Scenario_Data!U2)^2+Inputs!$C$6^2)/Inputs!$C$52)))-(Inputs!$H$7))*1000/Inputs!$C$12)</f>
        <v/>
      </c>
      <c r="L2">
        <f>Scenario_Data!J2-(((SQRT((Inputs!$C$52+(Inputs!$H$8))^2+Inputs!$C$52^2-2*(Inputs!$C$52+(Inputs!$H$8))*Inputs!$C$52*COS(SQRT((Scenario_Data!V2)^2+Inputs!$C$6^2)/Inputs!$C$52)))-(Inputs!$H$8))*1000/Inputs!$C$12)</f>
        <v/>
      </c>
      <c r="M2">
        <f>Scenario_Data!K2-(((SQRT((Inputs!$C$52+(Inputs!$H$9))^2+Inputs!$C$52^2-2*(Inputs!$C$52+(Inputs!$H$9))*Inputs!$C$52*COS(SQRT((Scenario_Data!W2)^2+Inputs!$C$6^2)/Inputs!$C$52)))-(Inputs!$H$9))*1000/Inputs!$C$12)</f>
        <v/>
      </c>
      <c r="O2">
        <f>Scenario_Data!T2</f>
        <v/>
      </c>
      <c r="P2">
        <f>2*(Scenario_Data!B2*1000)/Inputs!$C$21*1000000</f>
        <v/>
      </c>
      <c r="Q2">
        <f>Scenario_Data!U2</f>
        <v/>
      </c>
      <c r="R2">
        <f>2*(Scenario_Data!C2*1000)/Inputs!$C$21*1000000</f>
        <v/>
      </c>
      <c r="S2">
        <f>Scenario_Data!V2</f>
        <v/>
      </c>
      <c r="T2">
        <f>2*(Scenario_Data!D2*1000)/Inputs!$C$21*1000000</f>
        <v/>
      </c>
      <c r="U2">
        <f>Scenario_Data!W2</f>
        <v/>
      </c>
      <c r="V2">
        <f>2*(Scenario_Data!E2*1000)/Inputs!$C$21*1000000</f>
        <v/>
      </c>
      <c r="X2">
        <f>Scenario_Data!T2</f>
        <v/>
      </c>
      <c r="Y2">
        <f>2*((Scenario_Data!B2*1000)-(IF(OR(Inputs!$C$27=TRUE,Inputs!$C$27="TRUE",Inputs!$C$27=1),1,0)*(Inputs!$C$51*(115*EXP(-(((0)-25)^2)/(4.5^2))+70*EXP(-(((0)+38)^2)/(7^2))*(0.55+0.45*SIN(2*PI()*(Scenario_Data!T2)/45))+24*SIN(2*PI()*(0)/9+(Scenario_Data!T2)/18)*EXP(-(((0)+5)^2)/(22^2))+18*SIN(2*PI()*(Scenario_Data!T2)/70))+Inputs!$C$28*EXP(-(((Scenario_Data!T2)-Inputs!$C$29)^2)/(2*Inputs!$C$31^2))*EXP(-(((0)-Inputs!$C$30)^2)/(2*Inputs!$C$32^2))+-Inputs!$C$33*EXP(-(((((Scenario_Data!T2)-Inputs!$C$34)^2)+(((0)-Inputs!$C$35)^2))/(2*Inputs!$C$36^2)))+Inputs!$C$37*(0.55*SIN(2*PI()*(Scenario_Data!T2)/Inputs!$C$39)+0.35*COS(2*PI()*(0)/Inputs!$C$40)+0.2*SIN(2*PI()*((Scenario_Data!T2)+(0))/(0.5*(Inputs!$C$39+Inputs!$C$40))))+Inputs!$C$38*SIN(2*PI()*(Scenario_Data!T2)/Inputs!$C$39)*SIN(2*PI()*(0)/Inputs!$C$40)+-Inputs!$C$41*EXP(-(((0)-Inputs!$C$43)^2)/(2*Inputs!$C$44^2))*EXP(-(((Scenario_Data!T2)-Inputs!$C$42)^2)/(2*Inputs!$C$45^2))+Inputs!$C$48*(0.7*(0.45*SIN(2*PI()*(((Scenario_Data!T2)/Inputs!$C$49)+Inputs!$C$47*0.137))+0.35*COS(2*PI()*(((0)/Inputs!$C$50)+Inputs!$C$47*0.173))+0.2*SIN(2*PI()*((((Scenario_Data!T2)+(0))/(0.5*(Inputs!$C$49+Inputs!$C$50)))+Inputs!$C$47*0.097)))+0.3*(2*((SIN(((Scenario_Data!T2)*12.9898+(0)*78.233+Inputs!$C$47*37.719))*43758.5453)-INT((SIN(((Scenario_Data!T2)*12.9898+(0)*78.233+Inputs!$C$47*37.719))*43758.5453)))-1)))))/Inputs!$C$21*1000000</f>
        <v/>
      </c>
      <c r="Z2">
        <f>Scenario_Data!U2</f>
        <v/>
      </c>
      <c r="AA2">
        <f>2*((Scenario_Data!C2*1000)-(IF(OR(Inputs!$C$27=TRUE,Inputs!$C$27="TRUE",Inputs!$C$27=1),1,0)*(Inputs!$C$51*(115*EXP(-(((0)-25)^2)/(4.5^2))+70*EXP(-(((0)+38)^2)/(7^2))*(0.55+0.45*SIN(2*PI()*(Scenario_Data!U2)/45))+24*SIN(2*PI()*(0)/9+(Scenario_Data!U2)/18)*EXP(-(((0)+5)^2)/(22^2))+18*SIN(2*PI()*(Scenario_Data!U2)/70))+Inputs!$C$28*EXP(-(((Scenario_Data!U2)-Inputs!$C$29)^2)/(2*Inputs!$C$31^2))*EXP(-(((0)-Inputs!$C$30)^2)/(2*Inputs!$C$32^2))+-Inputs!$C$33*EXP(-(((((Scenario_Data!U2)-Inputs!$C$34)^2)+(((0)-Inputs!$C$35)^2))/(2*Inputs!$C$36^2)))+Inputs!$C$37*(0.55*SIN(2*PI()*(Scenario_Data!U2)/Inputs!$C$39)+0.35*COS(2*PI()*(0)/Inputs!$C$40)+0.2*SIN(2*PI()*((Scenario_Data!U2)+(0))/(0.5*(Inputs!$C$39+Inputs!$C$40))))+Inputs!$C$38*SIN(2*PI()*(Scenario_Data!U2)/Inputs!$C$39)*SIN(2*PI()*(0)/Inputs!$C$40)+-Inputs!$C$41*EXP(-(((0)-Inputs!$C$43)^2)/(2*Inputs!$C$44^2))*EXP(-(((Scenario_Data!U2)-Inputs!$C$42)^2)/(2*Inputs!$C$45^2))+Inputs!$C$48*(0.7*(0.45*SIN(2*PI()*(((Scenario_Data!U2)/Inputs!$C$49)+Inputs!$C$47*0.137))+0.35*COS(2*PI()*(((0)/Inputs!$C$50)+Inputs!$C$47*0.173))+0.2*SIN(2*PI()*((((Scenario_Data!U2)+(0))/(0.5*(Inputs!$C$49+Inputs!$C$50)))+Inputs!$C$47*0.097)))+0.3*(2*((SIN(((Scenario_Data!U2)*12.9898+(0)*78.233+Inputs!$C$47*37.719))*43758.5453)-INT((SIN(((Scenario_Data!U2)*12.9898+(0)*78.233+Inputs!$C$47*37.719))*43758.5453)))-1)))))/Inputs!$C$21*1000000</f>
        <v/>
      </c>
      <c r="AB2">
        <f>Scenario_Data!V2</f>
        <v/>
      </c>
      <c r="AC2">
        <f>2*((Scenario_Data!D2*1000)-(IF(OR(Inputs!$C$27=TRUE,Inputs!$C$27="TRUE",Inputs!$C$27=1),1,0)*(Inputs!$C$51*(115*EXP(-(((0)-25)^2)/(4.5^2))+70*EXP(-(((0)+38)^2)/(7^2))*(0.55+0.45*SIN(2*PI()*(Scenario_Data!V2)/45))+24*SIN(2*PI()*(0)/9+(Scenario_Data!V2)/18)*EXP(-(((0)+5)^2)/(22^2))+18*SIN(2*PI()*(Scenario_Data!V2)/70))+Inputs!$C$28*EXP(-(((Scenario_Data!V2)-Inputs!$C$29)^2)/(2*Inputs!$C$31^2))*EXP(-(((0)-Inputs!$C$30)^2)/(2*Inputs!$C$32^2))+-Inputs!$C$33*EXP(-(((((Scenario_Data!V2)-Inputs!$C$34)^2)+(((0)-Inputs!$C$35)^2))/(2*Inputs!$C$36^2)))+Inputs!$C$37*(0.55*SIN(2*PI()*(Scenario_Data!V2)/Inputs!$C$39)+0.35*COS(2*PI()*(0)/Inputs!$C$40)+0.2*SIN(2*PI()*((Scenario_Data!V2)+(0))/(0.5*(Inputs!$C$39+Inputs!$C$40))))+Inputs!$C$38*SIN(2*PI()*(Scenario_Data!V2)/Inputs!$C$39)*SIN(2*PI()*(0)/Inputs!$C$40)+-Inputs!$C$41*EXP(-(((0)-Inputs!$C$43)^2)/(2*Inputs!$C$44^2))*EXP(-(((Scenario_Data!V2)-Inputs!$C$42)^2)/(2*Inputs!$C$45^2))+Inputs!$C$48*(0.7*(0.45*SIN(2*PI()*(((Scenario_Data!V2)/Inputs!$C$49)+Inputs!$C$47*0.137))+0.35*COS(2*PI()*(((0)/Inputs!$C$50)+Inputs!$C$47*0.173))+0.2*SIN(2*PI()*((((Scenario_Data!V2)+(0))/(0.5*(Inputs!$C$49+Inputs!$C$50)))+Inputs!$C$47*0.097)))+0.3*(2*((SIN(((Scenario_Data!V2)*12.9898+(0)*78.233+Inputs!$C$47*37.719))*43758.5453)-INT((SIN(((Scenario_Data!V2)*12.9898+(0)*78.233+Inputs!$C$47*37.719))*43758.5453)))-1)))))/Inputs!$C$21*1000000</f>
        <v/>
      </c>
      <c r="AD2">
        <f>Scenario_Data!W2</f>
        <v/>
      </c>
      <c r="AE2">
        <f>2*((Scenario_Data!E2*1000)-(IF(OR(Inputs!$C$27=TRUE,Inputs!$C$27="TRUE",Inputs!$C$27=1),1,0)*(Inputs!$C$51*(115*EXP(-(((0)-25)^2)/(4.5^2))+70*EXP(-(((0)+38)^2)/(7^2))*(0.55+0.45*SIN(2*PI()*(Scenario_Data!W2)/45))+24*SIN(2*PI()*(0)/9+(Scenario_Data!W2)/18)*EXP(-(((0)+5)^2)/(22^2))+18*SIN(2*PI()*(Scenario_Data!W2)/70))+Inputs!$C$28*EXP(-(((Scenario_Data!W2)-Inputs!$C$29)^2)/(2*Inputs!$C$31^2))*EXP(-(((0)-Inputs!$C$30)^2)/(2*Inputs!$C$32^2))+-Inputs!$C$33*EXP(-(((((Scenario_Data!W2)-Inputs!$C$34)^2)+(((0)-Inputs!$C$35)^2))/(2*Inputs!$C$36^2)))+Inputs!$C$37*(0.55*SIN(2*PI()*(Scenario_Data!W2)/Inputs!$C$39)+0.35*COS(2*PI()*(0)/Inputs!$C$40)+0.2*SIN(2*PI()*((Scenario_Data!W2)+(0))/(0.5*(Inputs!$C$39+Inputs!$C$40))))+Inputs!$C$38*SIN(2*PI()*(Scenario_Data!W2)/Inputs!$C$39)*SIN(2*PI()*(0)/Inputs!$C$40)+-Inputs!$C$41*EXP(-(((0)-Inputs!$C$43)^2)/(2*Inputs!$C$44^2))*EXP(-(((Scenario_Data!W2)-Inputs!$C$42)^2)/(2*Inputs!$C$45^2))+Inputs!$C$48*(0.7*(0.45*SIN(2*PI()*(((Scenario_Data!W2)/Inputs!$C$49)+Inputs!$C$47*0.137))+0.35*COS(2*PI()*(((0)/Inputs!$C$50)+Inputs!$C$47*0.173))+0.2*SIN(2*PI()*((((Scenario_Data!W2)+(0))/(0.5*(Inputs!$C$49+Inputs!$C$50)))+Inputs!$C$47*0.097)))+0.3*(2*((SIN(((Scenario_Data!W2)*12.9898+(0)*78.233+Inputs!$C$47*37.719))*43758.5453)-INT((SIN(((Scenario_Data!W2)*12.9898+(0)*78.233+Inputs!$C$47*37.719))*43758.5453)))-1)))))/Inputs!$C$21*1000000</f>
        <v/>
      </c>
      <c r="AG2">
        <f>Scenario_Data!T2</f>
        <v/>
      </c>
      <c r="AH2">
        <f>2*(SQRT((Inputs!$C$52+(Scenario_Data!B2))^2+Inputs!$C$52^2-2*(Inputs!$C$52+(Scenario_Data!B2))*Inputs!$C$52*COS(SQRT((Scenario_Data!T2)^2+Inputs!$C$6^2)/Inputs!$C$52))*1000)/Inputs!$C$21*1000000</f>
        <v/>
      </c>
      <c r="AI2">
        <f>Scenario_Data!U2</f>
        <v/>
      </c>
      <c r="AJ2">
        <f>2*(SQRT((Inputs!$C$52+(Scenario_Data!C2))^2+Inputs!$C$52^2-2*(Inputs!$C$52+(Scenario_Data!C2))*Inputs!$C$52*COS(SQRT((Scenario_Data!U2)^2+Inputs!$C$6^2)/Inputs!$C$52))*1000)/Inputs!$C$21*1000000</f>
        <v/>
      </c>
      <c r="AK2">
        <f>Scenario_Data!V2</f>
        <v/>
      </c>
      <c r="AL2">
        <f>2*(SQRT((Inputs!$C$52+(Scenario_Data!D2))^2+Inputs!$C$52^2-2*(Inputs!$C$52+(Scenario_Data!D2))*Inputs!$C$52*COS(SQRT((Scenario_Data!V2)^2+Inputs!$C$6^2)/Inputs!$C$52))*1000)/Inputs!$C$21*1000000</f>
        <v/>
      </c>
      <c r="AM2">
        <f>Scenario_Data!W2</f>
        <v/>
      </c>
      <c r="AN2">
        <f>2*(SQRT((Inputs!$C$52+(Scenario_Data!E2))^2+Inputs!$C$52^2-2*(Inputs!$C$52+(Scenario_Data!E2))*Inputs!$C$52*COS(SQRT((Scenario_Data!W2)^2+Inputs!$C$6^2)/Inputs!$C$52))*1000)/Inputs!$C$21*1000000</f>
        <v/>
      </c>
      <c r="AP2">
        <f>Scenario_Data!T2</f>
        <v/>
      </c>
      <c r="AQ2">
        <f>2*(SQRT((Inputs!$C$52+(Scenario_Data!B2))^2+(Inputs!$C$52+((IF(OR(Inputs!$C$27=TRUE,Inputs!$C$27="TRUE",Inputs!$C$27=1),1,0)*(Inputs!$C$51*(115*EXP(-(((Inputs!$C$6)-25)^2)/(4.5^2))+70*EXP(-(((Inputs!$C$6)+38)^2)/(7^2))*(0.55+0.45*SIN(2*PI()*(Scenario_Data!T2)/45))+24*SIN(2*PI()*(Inputs!$C$6)/9+(Scenario_Data!T2)/18)*EXP(-(((Inputs!$C$6)+5)^2)/(22^2))+18*SIN(2*PI()*(Scenario_Data!T2)/70))+Inputs!$C$28*EXP(-(((Scenario_Data!T2)-Inputs!$C$29)^2)/(2*Inputs!$C$31^2))*EXP(-(((Inputs!$C$6)-Inputs!$C$30)^2)/(2*Inputs!$C$32^2))+-Inputs!$C$33*EXP(-(((((Scenario_Data!T2)-Inputs!$C$34)^2)+(((Inputs!$C$6)-Inputs!$C$35)^2))/(2*Inputs!$C$36^2)))+Inputs!$C$37*(0.55*SIN(2*PI()*(Scenario_Data!T2)/Inputs!$C$39)+0.35*COS(2*PI()*(Inputs!$C$6)/Inputs!$C$40)+0.2*SIN(2*PI()*((Scenario_Data!T2)+(Inputs!$C$6))/(0.5*(Inputs!$C$39+Inputs!$C$40))))+Inputs!$C$38*SIN(2*PI()*(Scenario_Data!T2)/Inputs!$C$39)*SIN(2*PI()*(Inputs!$C$6)/Inputs!$C$40)+-Inputs!$C$41*EXP(-(((Inputs!$C$6)-Inputs!$C$43)^2)/(2*Inputs!$C$44^2))*EXP(-(((Scenario_Data!T2)-Inputs!$C$42)^2)/(2*Inputs!$C$45^2))+Inputs!$C$48*(0.7*(0.45*SIN(2*PI()*(((Scenario_Data!T2)/Inputs!$C$49)+Inputs!$C$47*0.137))+0.35*COS(2*PI()*(((Inputs!$C$6)/Inputs!$C$50)+Inputs!$C$47*0.173))+0.2*SIN(2*PI()*((((Scenario_Data!T2)+(Inputs!$C$6))/(0.5*(Inputs!$C$49+Inputs!$C$50)))+Inputs!$C$47*0.097)))+0.3*(2*((SIN(((Scenario_Data!T2)*12.9898+(Inputs!$C$6)*78.233+Inputs!$C$47*37.719))*43758.5453)-INT((SIN(((Scenario_Data!T2)*12.9898+(Inputs!$C$6)*78.233+Inputs!$C$47*37.719))*43758.5453)))-1))))/1000))^2-2*(Inputs!$C$52+(Scenario_Data!B2))*(Inputs!$C$52+((IF(OR(Inputs!$C$27=TRUE,Inputs!$C$27="TRUE",Inputs!$C$27=1),1,0)*(Inputs!$C$51*(115*EXP(-(((Inputs!$C$6)-25)^2)/(4.5^2))+70*EXP(-(((Inputs!$C$6)+38)^2)/(7^2))*(0.55+0.45*SIN(2*PI()*(Scenario_Data!T2)/45))+24*SIN(2*PI()*(Inputs!$C$6)/9+(Scenario_Data!T2)/18)*EXP(-(((Inputs!$C$6)+5)^2)/(22^2))+18*SIN(2*PI()*(Scenario_Data!T2)/70))+Inputs!$C$28*EXP(-(((Scenario_Data!T2)-Inputs!$C$29)^2)/(2*Inputs!$C$31^2))*EXP(-(((Inputs!$C$6)-Inputs!$C$30)^2)/(2*Inputs!$C$32^2))+-Inputs!$C$33*EXP(-(((((Scenario_Data!T2)-Inputs!$C$34)^2)+(((Inputs!$C$6)-Inputs!$C$35)^2))/(2*Inputs!$C$36^2)))+Inputs!$C$37*(0.55*SIN(2*PI()*(Scenario_Data!T2)/Inputs!$C$39)+0.35*COS(2*PI()*(Inputs!$C$6)/Inputs!$C$40)+0.2*SIN(2*PI()*((Scenario_Data!T2)+(Inputs!$C$6))/(0.5*(Inputs!$C$39+Inputs!$C$40))))+Inputs!$C$38*SIN(2*PI()*(Scenario_Data!T2)/Inputs!$C$39)*SIN(2*PI()*(Inputs!$C$6)/Inputs!$C$40)+-Inputs!$C$41*EXP(-(((Inputs!$C$6)-Inputs!$C$43)^2)/(2*Inputs!$C$44^2))*EXP(-(((Scenario_Data!T2)-Inputs!$C$42)^2)/(2*Inputs!$C$45^2))+Inputs!$C$48*(0.7*(0.45*SIN(2*PI()*(((Scenario_Data!T2)/Inputs!$C$49)+Inputs!$C$47*0.137))+0.35*COS(2*PI()*(((Inputs!$C$6)/Inputs!$C$50)+Inputs!$C$47*0.173))+0.2*SIN(2*PI()*((((Scenario_Data!T2)+(Inputs!$C$6))/(0.5*(Inputs!$C$49+Inputs!$C$50)))+Inputs!$C$47*0.097)))+0.3*(2*((SIN(((Scenario_Data!T2)*12.9898+(Inputs!$C$6)*78.233+Inputs!$C$47*37.719))*43758.5453)-INT((SIN(((Scenario_Data!T2)*12.9898+(Inputs!$C$6)*78.233+Inputs!$C$47*37.719))*43758.5453)))-1))))/1000))*COS(SQRT((Scenario_Data!T2)^2+Inputs!$C$6^2)/Inputs!$C$52))*1000)/Inputs!$C$21*1000000</f>
        <v/>
      </c>
      <c r="AR2">
        <f>Scenario_Data!U2</f>
        <v/>
      </c>
      <c r="AS2">
        <f>2*(SQRT((Inputs!$C$52+(Scenario_Data!C2))^2+(Inputs!$C$52+((IF(OR(Inputs!$C$27=TRUE,Inputs!$C$27="TRUE",Inputs!$C$27=1),1,0)*(Inputs!$C$51*(115*EXP(-(((Inputs!$C$6)-25)^2)/(4.5^2))+70*EXP(-(((Inputs!$C$6)+38)^2)/(7^2))*(0.55+0.45*SIN(2*PI()*(Scenario_Data!U2)/45))+24*SIN(2*PI()*(Inputs!$C$6)/9+(Scenario_Data!U2)/18)*EXP(-(((Inputs!$C$6)+5)^2)/(22^2))+18*SIN(2*PI()*(Scenario_Data!U2)/70))+Inputs!$C$28*EXP(-(((Scenario_Data!U2)-Inputs!$C$29)^2)/(2*Inputs!$C$31^2))*EXP(-(((Inputs!$C$6)-Inputs!$C$30)^2)/(2*Inputs!$C$32^2))+-Inputs!$C$33*EXP(-(((((Scenario_Data!U2)-Inputs!$C$34)^2)+(((Inputs!$C$6)-Inputs!$C$35)^2))/(2*Inputs!$C$36^2)))+Inputs!$C$37*(0.55*SIN(2*PI()*(Scenario_Data!U2)/Inputs!$C$39)+0.35*COS(2*PI()*(Inputs!$C$6)/Inputs!$C$40)+0.2*SIN(2*PI()*((Scenario_Data!U2)+(Inputs!$C$6))/(0.5*(Inputs!$C$39+Inputs!$C$40))))+Inputs!$C$38*SIN(2*PI()*(Scenario_Data!U2)/Inputs!$C$39)*SIN(2*PI()*(Inputs!$C$6)/Inputs!$C$40)+-Inputs!$C$41*EXP(-(((Inputs!$C$6)-Inputs!$C$43)^2)/(2*Inputs!$C$44^2))*EXP(-(((Scenario_Data!U2)-Inputs!$C$42)^2)/(2*Inputs!$C$45^2))+Inputs!$C$48*(0.7*(0.45*SIN(2*PI()*(((Scenario_Data!U2)/Inputs!$C$49)+Inputs!$C$47*0.137))+0.35*COS(2*PI()*(((Inputs!$C$6)/Inputs!$C$50)+Inputs!$C$47*0.173))+0.2*SIN(2*PI()*((((Scenario_Data!U2)+(Inputs!$C$6))/(0.5*(Inputs!$C$49+Inputs!$C$50)))+Inputs!$C$47*0.097)))+0.3*(2*((SIN(((Scenario_Data!U2)*12.9898+(Inputs!$C$6)*78.233+Inputs!$C$47*37.719))*43758.5453)-INT((SIN(((Scenario_Data!U2)*12.9898+(Inputs!$C$6)*78.233+Inputs!$C$47*37.719))*43758.5453)))-1))))/1000))^2-2*(Inputs!$C$52+(Scenario_Data!C2))*(Inputs!$C$52+((IF(OR(Inputs!$C$27=TRUE,Inputs!$C$27="TRUE",Inputs!$C$27=1),1,0)*(Inputs!$C$51*(115*EXP(-(((Inputs!$C$6)-25)^2)/(4.5^2))+70*EXP(-(((Inputs!$C$6)+38)^2)/(7^2))*(0.55+0.45*SIN(2*PI()*(Scenario_Data!U2)/45))+24*SIN(2*PI()*(Inputs!$C$6)/9+(Scenario_Data!U2)/18)*EXP(-(((Inputs!$C$6)+5)^2)/(22^2))+18*SIN(2*PI()*(Scenario_Data!U2)/70))+Inputs!$C$28*EXP(-(((Scenario_Data!U2)-Inputs!$C$29)^2)/(2*Inputs!$C$31^2))*EXP(-(((Inputs!$C$6)-Inputs!$C$30)^2)/(2*Inputs!$C$32^2))+-Inputs!$C$33*EXP(-(((((Scenario_Data!U2)-Inputs!$C$34)^2)+(((Inputs!$C$6)-Inputs!$C$35)^2))/(2*Inputs!$C$36^2)))+Inputs!$C$37*(0.55*SIN(2*PI()*(Scenario_Data!U2)/Inputs!$C$39)+0.35*COS(2*PI()*(Inputs!$C$6)/Inputs!$C$40)+0.2*SIN(2*PI()*((Scenario_Data!U2)+(Inputs!$C$6))/(0.5*(Inputs!$C$39+Inputs!$C$40))))+Inputs!$C$38*SIN(2*PI()*(Scenario_Data!U2)/Inputs!$C$39)*SIN(2*PI()*(Inputs!$C$6)/Inputs!$C$40)+-Inputs!$C$41*EXP(-(((Inputs!$C$6)-Inputs!$C$43)^2)/(2*Inputs!$C$44^2))*EXP(-(((Scenario_Data!U2)-Inputs!$C$42)^2)/(2*Inputs!$C$45^2))+Inputs!$C$48*(0.7*(0.45*SIN(2*PI()*(((Scenario_Data!U2)/Inputs!$C$49)+Inputs!$C$47*0.137))+0.35*COS(2*PI()*(((Inputs!$C$6)/Inputs!$C$50)+Inputs!$C$47*0.173))+0.2*SIN(2*PI()*((((Scenario_Data!U2)+(Inputs!$C$6))/(0.5*(Inputs!$C$49+Inputs!$C$50)))+Inputs!$C$47*0.097)))+0.3*(2*((SIN(((Scenario_Data!U2)*12.9898+(Inputs!$C$6)*78.233+Inputs!$C$47*37.719))*43758.5453)-INT((SIN(((Scenario_Data!U2)*12.9898+(Inputs!$C$6)*78.233+Inputs!$C$47*37.719))*43758.5453)))-1))))/1000))*COS(SQRT((Scenario_Data!U2)^2+Inputs!$C$6^2)/Inputs!$C$52))*1000)/Inputs!$C$21*1000000</f>
        <v/>
      </c>
      <c r="AT2">
        <f>Scenario_Data!V2</f>
        <v/>
      </c>
      <c r="AU2">
        <f>2*(SQRT((Inputs!$C$52+(Scenario_Data!D2))^2+(Inputs!$C$52+((IF(OR(Inputs!$C$27=TRUE,Inputs!$C$27="TRUE",Inputs!$C$27=1),1,0)*(Inputs!$C$51*(115*EXP(-(((Inputs!$C$6)-25)^2)/(4.5^2))+70*EXP(-(((Inputs!$C$6)+38)^2)/(7^2))*(0.55+0.45*SIN(2*PI()*(Scenario_Data!V2)/45))+24*SIN(2*PI()*(Inputs!$C$6)/9+(Scenario_Data!V2)/18)*EXP(-(((Inputs!$C$6)+5)^2)/(22^2))+18*SIN(2*PI()*(Scenario_Data!V2)/70))+Inputs!$C$28*EXP(-(((Scenario_Data!V2)-Inputs!$C$29)^2)/(2*Inputs!$C$31^2))*EXP(-(((Inputs!$C$6)-Inputs!$C$30)^2)/(2*Inputs!$C$32^2))+-Inputs!$C$33*EXP(-(((((Scenario_Data!V2)-Inputs!$C$34)^2)+(((Inputs!$C$6)-Inputs!$C$35)^2))/(2*Inputs!$C$36^2)))+Inputs!$C$37*(0.55*SIN(2*PI()*(Scenario_Data!V2)/Inputs!$C$39)+0.35*COS(2*PI()*(Inputs!$C$6)/Inputs!$C$40)+0.2*SIN(2*PI()*((Scenario_Data!V2)+(Inputs!$C$6))/(0.5*(Inputs!$C$39+Inputs!$C$40))))+Inputs!$C$38*SIN(2*PI()*(Scenario_Data!V2)/Inputs!$C$39)*SIN(2*PI()*(Inputs!$C$6)/Inputs!$C$40)+-Inputs!$C$41*EXP(-(((Inputs!$C$6)-Inputs!$C$43)^2)/(2*Inputs!$C$44^2))*EXP(-(((Scenario_Data!V2)-Inputs!$C$42)^2)/(2*Inputs!$C$45^2))+Inputs!$C$48*(0.7*(0.45*SIN(2*PI()*(((Scenario_Data!V2)/Inputs!$C$49)+Inputs!$C$47*0.137))+0.35*COS(2*PI()*(((Inputs!$C$6)/Inputs!$C$50)+Inputs!$C$47*0.173))+0.2*SIN(2*PI()*((((Scenario_Data!V2)+(Inputs!$C$6))/(0.5*(Inputs!$C$49+Inputs!$C$50)))+Inputs!$C$47*0.097)))+0.3*(2*((SIN(((Scenario_Data!V2)*12.9898+(Inputs!$C$6)*78.233+Inputs!$C$47*37.719))*43758.5453)-INT((SIN(((Scenario_Data!V2)*12.9898+(Inputs!$C$6)*78.233+Inputs!$C$47*37.719))*43758.5453)))-1))))/1000))^2-2*(Inputs!$C$52+(Scenario_Data!D2))*(Inputs!$C$52+((IF(OR(Inputs!$C$27=TRUE,Inputs!$C$27="TRUE",Inputs!$C$27=1),1,0)*(Inputs!$C$51*(115*EXP(-(((Inputs!$C$6)-25)^2)/(4.5^2))+70*EXP(-(((Inputs!$C$6)+38)^2)/(7^2))*(0.55+0.45*SIN(2*PI()*(Scenario_Data!V2)/45))+24*SIN(2*PI()*(Inputs!$C$6)/9+(Scenario_Data!V2)/18)*EXP(-(((Inputs!$C$6)+5)^2)/(22^2))+18*SIN(2*PI()*(Scenario_Data!V2)/70))+Inputs!$C$28*EXP(-(((Scenario_Data!V2)-Inputs!$C$29)^2)/(2*Inputs!$C$31^2))*EXP(-(((Inputs!$C$6)-Inputs!$C$30)^2)/(2*Inputs!$C$32^2))+-Inputs!$C$33*EXP(-(((((Scenario_Data!V2)-Inputs!$C$34)^2)+(((Inputs!$C$6)-Inputs!$C$35)^2))/(2*Inputs!$C$36^2)))+Inputs!$C$37*(0.55*SIN(2*PI()*(Scenario_Data!V2)/Inputs!$C$39)+0.35*COS(2*PI()*(Inputs!$C$6)/Inputs!$C$40)+0.2*SIN(2*PI()*((Scenario_Data!V2)+(Inputs!$C$6))/(0.5*(Inputs!$C$39+Inputs!$C$40))))+Inputs!$C$38*SIN(2*PI()*(Scenario_Data!V2)/Inputs!$C$39)*SIN(2*PI()*(Inputs!$C$6)/Inputs!$C$40)+-Inputs!$C$41*EXP(-(((Inputs!$C$6)-Inputs!$C$43)^2)/(2*Inputs!$C$44^2))*EXP(-(((Scenario_Data!V2)-Inputs!$C$42)^2)/(2*Inputs!$C$45^2))+Inputs!$C$48*(0.7*(0.45*SIN(2*PI()*(((Scenario_Data!V2)/Inputs!$C$49)+Inputs!$C$47*0.137))+0.35*COS(2*PI()*(((Inputs!$C$6)/Inputs!$C$50)+Inputs!$C$47*0.173))+0.2*SIN(2*PI()*((((Scenario_Data!V2)+(Inputs!$C$6))/(0.5*(Inputs!$C$49+Inputs!$C$50)))+Inputs!$C$47*0.097)))+0.3*(2*((SIN(((Scenario_Data!V2)*12.9898+(Inputs!$C$6)*78.233+Inputs!$C$47*37.719))*43758.5453)-INT((SIN(((Scenario_Data!V2)*12.9898+(Inputs!$C$6)*78.233+Inputs!$C$47*37.719))*43758.5453)))-1))))/1000))*COS(SQRT((Scenario_Data!V2)^2+Inputs!$C$6^2)/Inputs!$C$52))*1000)/Inputs!$C$21*1000000</f>
        <v/>
      </c>
      <c r="AV2">
        <f>Scenario_Data!W2</f>
        <v/>
      </c>
      <c r="AW2">
        <f>2*(SQRT((Inputs!$C$52+(Scenario_Data!E2))^2+(Inputs!$C$52+((IF(OR(Inputs!$C$27=TRUE,Inputs!$C$27="TRUE",Inputs!$C$27=1),1,0)*(Inputs!$C$51*(115*EXP(-(((Inputs!$C$6)-25)^2)/(4.5^2))+70*EXP(-(((Inputs!$C$6)+38)^2)/(7^2))*(0.55+0.45*SIN(2*PI()*(Scenario_Data!W2)/45))+24*SIN(2*PI()*(Inputs!$C$6)/9+(Scenario_Data!W2)/18)*EXP(-(((Inputs!$C$6)+5)^2)/(22^2))+18*SIN(2*PI()*(Scenario_Data!W2)/70))+Inputs!$C$28*EXP(-(((Scenario_Data!W2)-Inputs!$C$29)^2)/(2*Inputs!$C$31^2))*EXP(-(((Inputs!$C$6)-Inputs!$C$30)^2)/(2*Inputs!$C$32^2))+-Inputs!$C$33*EXP(-(((((Scenario_Data!W2)-Inputs!$C$34)^2)+(((Inputs!$C$6)-Inputs!$C$35)^2))/(2*Inputs!$C$36^2)))+Inputs!$C$37*(0.55*SIN(2*PI()*(Scenario_Data!W2)/Inputs!$C$39)+0.35*COS(2*PI()*(Inputs!$C$6)/Inputs!$C$40)+0.2*SIN(2*PI()*((Scenario_Data!W2)+(Inputs!$C$6))/(0.5*(Inputs!$C$39+Inputs!$C$40))))+Inputs!$C$38*SIN(2*PI()*(Scenario_Data!W2)/Inputs!$C$39)*SIN(2*PI()*(Inputs!$C$6)/Inputs!$C$40)+-Inputs!$C$41*EXP(-(((Inputs!$C$6)-Inputs!$C$43)^2)/(2*Inputs!$C$44^2))*EXP(-(((Scenario_Data!W2)-Inputs!$C$42)^2)/(2*Inputs!$C$45^2))+Inputs!$C$48*(0.7*(0.45*SIN(2*PI()*(((Scenario_Data!W2)/Inputs!$C$49)+Inputs!$C$47*0.137))+0.35*COS(2*PI()*(((Inputs!$C$6)/Inputs!$C$50)+Inputs!$C$47*0.173))+0.2*SIN(2*PI()*((((Scenario_Data!W2)+(Inputs!$C$6))/(0.5*(Inputs!$C$49+Inputs!$C$50)))+Inputs!$C$47*0.097)))+0.3*(2*((SIN(((Scenario_Data!W2)*12.9898+(Inputs!$C$6)*78.233+Inputs!$C$47*37.719))*43758.5453)-INT((SIN(((Scenario_Data!W2)*12.9898+(Inputs!$C$6)*78.233+Inputs!$C$47*37.719))*43758.5453)))-1))))/1000))^2-2*(Inputs!$C$52+(Scenario_Data!E2))*(Inputs!$C$52+((IF(OR(Inputs!$C$27=TRUE,Inputs!$C$27="TRUE",Inputs!$C$27=1),1,0)*(Inputs!$C$51*(115*EXP(-(((Inputs!$C$6)-25)^2)/(4.5^2))+70*EXP(-(((Inputs!$C$6)+38)^2)/(7^2))*(0.55+0.45*SIN(2*PI()*(Scenario_Data!W2)/45))+24*SIN(2*PI()*(Inputs!$C$6)/9+(Scenario_Data!W2)/18)*EXP(-(((Inputs!$C$6)+5)^2)/(22^2))+18*SIN(2*PI()*(Scenario_Data!W2)/70))+Inputs!$C$28*EXP(-(((Scenario_Data!W2)-Inputs!$C$29)^2)/(2*Inputs!$C$31^2))*EXP(-(((Inputs!$C$6)-Inputs!$C$30)^2)/(2*Inputs!$C$32^2))+-Inputs!$C$33*EXP(-(((((Scenario_Data!W2)-Inputs!$C$34)^2)+(((Inputs!$C$6)-Inputs!$C$35)^2))/(2*Inputs!$C$36^2)))+Inputs!$C$37*(0.55*SIN(2*PI()*(Scenario_Data!W2)/Inputs!$C$39)+0.35*COS(2*PI()*(Inputs!$C$6)/Inputs!$C$40)+0.2*SIN(2*PI()*((Scenario_Data!W2)+(Inputs!$C$6))/(0.5*(Inputs!$C$39+Inputs!$C$40))))+Inputs!$C$38*SIN(2*PI()*(Scenario_Data!W2)/Inputs!$C$39)*SIN(2*PI()*(Inputs!$C$6)/Inputs!$C$40)+-Inputs!$C$41*EXP(-(((Inputs!$C$6)-Inputs!$C$43)^2)/(2*Inputs!$C$44^2))*EXP(-(((Scenario_Data!W2)-Inputs!$C$42)^2)/(2*Inputs!$C$45^2))+Inputs!$C$48*(0.7*(0.45*SIN(2*PI()*(((Scenario_Data!W2)/Inputs!$C$49)+Inputs!$C$47*0.137))+0.35*COS(2*PI()*(((Inputs!$C$6)/Inputs!$C$50)+Inputs!$C$47*0.173))+0.2*SIN(2*PI()*((((Scenario_Data!W2)+(Inputs!$C$6))/(0.5*(Inputs!$C$49+Inputs!$C$50)))+Inputs!$C$47*0.097)))+0.3*(2*((SIN(((Scenario_Data!W2)*12.9898+(Inputs!$C$6)*78.233+Inputs!$C$47*37.719))*43758.5453)-INT((SIN(((Scenario_Data!W2)*12.9898+(Inputs!$C$6)*78.233+Inputs!$C$47*37.719))*43758.5453)))-1))))/1000))*COS(SQRT((Scenario_Data!W2)^2+Inputs!$C$6^2)/Inputs!$C$52))*1000)/Inputs!$C$21*1000000</f>
        <v/>
      </c>
    </row>
    <row r="3">
      <c r="A3">
        <f>Chart_Data!K3</f>
        <v/>
      </c>
      <c r="B3">
        <f>Chart_Data!N3-Chart_Data!L3</f>
        <v/>
      </c>
      <c r="D3">
        <f>Chart_Data!G3</f>
        <v/>
      </c>
      <c r="E3">
        <f>Chart_Data!H3</f>
        <v/>
      </c>
      <c r="F3">
        <f>Chart_Data!I3</f>
        <v/>
      </c>
      <c r="G3">
        <f>Chart_Data!J3</f>
        <v/>
      </c>
      <c r="I3">
        <f>Scenario_Data!A3</f>
        <v/>
      </c>
      <c r="J3">
        <f>Scenario_Data!H3-(((SQRT((Inputs!$C$52+(Inputs!$H$6))^2+Inputs!$C$52^2-2*(Inputs!$C$52+(Inputs!$H$6))*Inputs!$C$52*COS(SQRT((Scenario_Data!T3)^2+Inputs!$C$6^2)/Inputs!$C$52)))-(Inputs!$H$6))*1000/Inputs!$C$12)</f>
        <v/>
      </c>
      <c r="K3">
        <f>Scenario_Data!I3-(((SQRT((Inputs!$C$52+(Inputs!$H$7))^2+Inputs!$C$52^2-2*(Inputs!$C$52+(Inputs!$H$7))*Inputs!$C$52*COS(SQRT((Scenario_Data!U3)^2+Inputs!$C$6^2)/Inputs!$C$52)))-(Inputs!$H$7))*1000/Inputs!$C$12)</f>
        <v/>
      </c>
      <c r="L3">
        <f>Scenario_Data!J3-(((SQRT((Inputs!$C$52+(Inputs!$H$8))^2+Inputs!$C$52^2-2*(Inputs!$C$52+(Inputs!$H$8))*Inputs!$C$52*COS(SQRT((Scenario_Data!V3)^2+Inputs!$C$6^2)/Inputs!$C$52)))-(Inputs!$H$8))*1000/Inputs!$C$12)</f>
        <v/>
      </c>
      <c r="M3">
        <f>Scenario_Data!K3-(((SQRT((Inputs!$C$52+(Inputs!$H$9))^2+Inputs!$C$52^2-2*(Inputs!$C$52+(Inputs!$H$9))*Inputs!$C$52*COS(SQRT((Scenario_Data!W3)^2+Inputs!$C$6^2)/Inputs!$C$52)))-(Inputs!$H$9))*1000/Inputs!$C$12)</f>
        <v/>
      </c>
      <c r="O3">
        <f>Scenario_Data!T3</f>
        <v/>
      </c>
      <c r="P3">
        <f>2*(Scenario_Data!B3*1000)/Inputs!$C$21*1000000</f>
        <v/>
      </c>
      <c r="Q3">
        <f>Scenario_Data!U3</f>
        <v/>
      </c>
      <c r="R3">
        <f>2*(Scenario_Data!C3*1000)/Inputs!$C$21*1000000</f>
        <v/>
      </c>
      <c r="S3">
        <f>Scenario_Data!V3</f>
        <v/>
      </c>
      <c r="T3">
        <f>2*(Scenario_Data!D3*1000)/Inputs!$C$21*1000000</f>
        <v/>
      </c>
      <c r="U3">
        <f>Scenario_Data!W3</f>
        <v/>
      </c>
      <c r="V3">
        <f>2*(Scenario_Data!E3*1000)/Inputs!$C$21*1000000</f>
        <v/>
      </c>
      <c r="X3">
        <f>Scenario_Data!T3</f>
        <v/>
      </c>
      <c r="Y3">
        <f>2*((Scenario_Data!B3*1000)-(IF(OR(Inputs!$C$27=TRUE,Inputs!$C$27="TRUE",Inputs!$C$27=1),1,0)*(Inputs!$C$51*(115*EXP(-(((0)-25)^2)/(4.5^2))+70*EXP(-(((0)+38)^2)/(7^2))*(0.55+0.45*SIN(2*PI()*(Scenario_Data!T3)/45))+24*SIN(2*PI()*(0)/9+(Scenario_Data!T3)/18)*EXP(-(((0)+5)^2)/(22^2))+18*SIN(2*PI()*(Scenario_Data!T3)/70))+Inputs!$C$28*EXP(-(((Scenario_Data!T3)-Inputs!$C$29)^2)/(2*Inputs!$C$31^2))*EXP(-(((0)-Inputs!$C$30)^2)/(2*Inputs!$C$32^2))+-Inputs!$C$33*EXP(-(((((Scenario_Data!T3)-Inputs!$C$34)^2)+(((0)-Inputs!$C$35)^2))/(2*Inputs!$C$36^2)))+Inputs!$C$37*(0.55*SIN(2*PI()*(Scenario_Data!T3)/Inputs!$C$39)+0.35*COS(2*PI()*(0)/Inputs!$C$40)+0.2*SIN(2*PI()*((Scenario_Data!T3)+(0))/(0.5*(Inputs!$C$39+Inputs!$C$40))))+Inputs!$C$38*SIN(2*PI()*(Scenario_Data!T3)/Inputs!$C$39)*SIN(2*PI()*(0)/Inputs!$C$40)+-Inputs!$C$41*EXP(-(((0)-Inputs!$C$43)^2)/(2*Inputs!$C$44^2))*EXP(-(((Scenario_Data!T3)-Inputs!$C$42)^2)/(2*Inputs!$C$45^2))+Inputs!$C$48*(0.7*(0.45*SIN(2*PI()*(((Scenario_Data!T3)/Inputs!$C$49)+Inputs!$C$47*0.137))+0.35*COS(2*PI()*(((0)/Inputs!$C$50)+Inputs!$C$47*0.173))+0.2*SIN(2*PI()*((((Scenario_Data!T3)+(0))/(0.5*(Inputs!$C$49+Inputs!$C$50)))+Inputs!$C$47*0.097)))+0.3*(2*((SIN(((Scenario_Data!T3)*12.9898+(0)*78.233+Inputs!$C$47*37.719))*43758.5453)-INT((SIN(((Scenario_Data!T3)*12.9898+(0)*78.233+Inputs!$C$47*37.719))*43758.5453)))-1)))))/Inputs!$C$21*1000000</f>
        <v/>
      </c>
      <c r="Z3">
        <f>Scenario_Data!U3</f>
        <v/>
      </c>
      <c r="AA3">
        <f>2*((Scenario_Data!C3*1000)-(IF(OR(Inputs!$C$27=TRUE,Inputs!$C$27="TRUE",Inputs!$C$27=1),1,0)*(Inputs!$C$51*(115*EXP(-(((0)-25)^2)/(4.5^2))+70*EXP(-(((0)+38)^2)/(7^2))*(0.55+0.45*SIN(2*PI()*(Scenario_Data!U3)/45))+24*SIN(2*PI()*(0)/9+(Scenario_Data!U3)/18)*EXP(-(((0)+5)^2)/(22^2))+18*SIN(2*PI()*(Scenario_Data!U3)/70))+Inputs!$C$28*EXP(-(((Scenario_Data!U3)-Inputs!$C$29)^2)/(2*Inputs!$C$31^2))*EXP(-(((0)-Inputs!$C$30)^2)/(2*Inputs!$C$32^2))+-Inputs!$C$33*EXP(-(((((Scenario_Data!U3)-Inputs!$C$34)^2)+(((0)-Inputs!$C$35)^2))/(2*Inputs!$C$36^2)))+Inputs!$C$37*(0.55*SIN(2*PI()*(Scenario_Data!U3)/Inputs!$C$39)+0.35*COS(2*PI()*(0)/Inputs!$C$40)+0.2*SIN(2*PI()*((Scenario_Data!U3)+(0))/(0.5*(Inputs!$C$39+Inputs!$C$40))))+Inputs!$C$38*SIN(2*PI()*(Scenario_Data!U3)/Inputs!$C$39)*SIN(2*PI()*(0)/Inputs!$C$40)+-Inputs!$C$41*EXP(-(((0)-Inputs!$C$43)^2)/(2*Inputs!$C$44^2))*EXP(-(((Scenario_Data!U3)-Inputs!$C$42)^2)/(2*Inputs!$C$45^2))+Inputs!$C$48*(0.7*(0.45*SIN(2*PI()*(((Scenario_Data!U3)/Inputs!$C$49)+Inputs!$C$47*0.137))+0.35*COS(2*PI()*(((0)/Inputs!$C$50)+Inputs!$C$47*0.173))+0.2*SIN(2*PI()*((((Scenario_Data!U3)+(0))/(0.5*(Inputs!$C$49+Inputs!$C$50)))+Inputs!$C$47*0.097)))+0.3*(2*((SIN(((Scenario_Data!U3)*12.9898+(0)*78.233+Inputs!$C$47*37.719))*43758.5453)-INT((SIN(((Scenario_Data!U3)*12.9898+(0)*78.233+Inputs!$C$47*37.719))*43758.5453)))-1)))))/Inputs!$C$21*1000000</f>
        <v/>
      </c>
      <c r="AB3">
        <f>Scenario_Data!V3</f>
        <v/>
      </c>
      <c r="AC3">
        <f>2*((Scenario_Data!D3*1000)-(IF(OR(Inputs!$C$27=TRUE,Inputs!$C$27="TRUE",Inputs!$C$27=1),1,0)*(Inputs!$C$51*(115*EXP(-(((0)-25)^2)/(4.5^2))+70*EXP(-(((0)+38)^2)/(7^2))*(0.55+0.45*SIN(2*PI()*(Scenario_Data!V3)/45))+24*SIN(2*PI()*(0)/9+(Scenario_Data!V3)/18)*EXP(-(((0)+5)^2)/(22^2))+18*SIN(2*PI()*(Scenario_Data!V3)/70))+Inputs!$C$28*EXP(-(((Scenario_Data!V3)-Inputs!$C$29)^2)/(2*Inputs!$C$31^2))*EXP(-(((0)-Inputs!$C$30)^2)/(2*Inputs!$C$32^2))+-Inputs!$C$33*EXP(-(((((Scenario_Data!V3)-Inputs!$C$34)^2)+(((0)-Inputs!$C$35)^2))/(2*Inputs!$C$36^2)))+Inputs!$C$37*(0.55*SIN(2*PI()*(Scenario_Data!V3)/Inputs!$C$39)+0.35*COS(2*PI()*(0)/Inputs!$C$40)+0.2*SIN(2*PI()*((Scenario_Data!V3)+(0))/(0.5*(Inputs!$C$39+Inputs!$C$40))))+Inputs!$C$38*SIN(2*PI()*(Scenario_Data!V3)/Inputs!$C$39)*SIN(2*PI()*(0)/Inputs!$C$40)+-Inputs!$C$41*EXP(-(((0)-Inputs!$C$43)^2)/(2*Inputs!$C$44^2))*EXP(-(((Scenario_Data!V3)-Inputs!$C$42)^2)/(2*Inputs!$C$45^2))+Inputs!$C$48*(0.7*(0.45*SIN(2*PI()*(((Scenario_Data!V3)/Inputs!$C$49)+Inputs!$C$47*0.137))+0.35*COS(2*PI()*(((0)/Inputs!$C$50)+Inputs!$C$47*0.173))+0.2*SIN(2*PI()*((((Scenario_Data!V3)+(0))/(0.5*(Inputs!$C$49+Inputs!$C$50)))+Inputs!$C$47*0.097)))+0.3*(2*((SIN(((Scenario_Data!V3)*12.9898+(0)*78.233+Inputs!$C$47*37.719))*43758.5453)-INT((SIN(((Scenario_Data!V3)*12.9898+(0)*78.233+Inputs!$C$47*37.719))*43758.5453)))-1)))))/Inputs!$C$21*1000000</f>
        <v/>
      </c>
      <c r="AD3">
        <f>Scenario_Data!W3</f>
        <v/>
      </c>
      <c r="AE3">
        <f>2*((Scenario_Data!E3*1000)-(IF(OR(Inputs!$C$27=TRUE,Inputs!$C$27="TRUE",Inputs!$C$27=1),1,0)*(Inputs!$C$51*(115*EXP(-(((0)-25)^2)/(4.5^2))+70*EXP(-(((0)+38)^2)/(7^2))*(0.55+0.45*SIN(2*PI()*(Scenario_Data!W3)/45))+24*SIN(2*PI()*(0)/9+(Scenario_Data!W3)/18)*EXP(-(((0)+5)^2)/(22^2))+18*SIN(2*PI()*(Scenario_Data!W3)/70))+Inputs!$C$28*EXP(-(((Scenario_Data!W3)-Inputs!$C$29)^2)/(2*Inputs!$C$31^2))*EXP(-(((0)-Inputs!$C$30)^2)/(2*Inputs!$C$32^2))+-Inputs!$C$33*EXP(-(((((Scenario_Data!W3)-Inputs!$C$34)^2)+(((0)-Inputs!$C$35)^2))/(2*Inputs!$C$36^2)))+Inputs!$C$37*(0.55*SIN(2*PI()*(Scenario_Data!W3)/Inputs!$C$39)+0.35*COS(2*PI()*(0)/Inputs!$C$40)+0.2*SIN(2*PI()*((Scenario_Data!W3)+(0))/(0.5*(Inputs!$C$39+Inputs!$C$40))))+Inputs!$C$38*SIN(2*PI()*(Scenario_Data!W3)/Inputs!$C$39)*SIN(2*PI()*(0)/Inputs!$C$40)+-Inputs!$C$41*EXP(-(((0)-Inputs!$C$43)^2)/(2*Inputs!$C$44^2))*EXP(-(((Scenario_Data!W3)-Inputs!$C$42)^2)/(2*Inputs!$C$45^2))+Inputs!$C$48*(0.7*(0.45*SIN(2*PI()*(((Scenario_Data!W3)/Inputs!$C$49)+Inputs!$C$47*0.137))+0.35*COS(2*PI()*(((0)/Inputs!$C$50)+Inputs!$C$47*0.173))+0.2*SIN(2*PI()*((((Scenario_Data!W3)+(0))/(0.5*(Inputs!$C$49+Inputs!$C$50)))+Inputs!$C$47*0.097)))+0.3*(2*((SIN(((Scenario_Data!W3)*12.9898+(0)*78.233+Inputs!$C$47*37.719))*43758.5453)-INT((SIN(((Scenario_Data!W3)*12.9898+(0)*78.233+Inputs!$C$47*37.719))*43758.5453)))-1)))))/Inputs!$C$21*1000000</f>
        <v/>
      </c>
      <c r="AG3">
        <f>Scenario_Data!T3</f>
        <v/>
      </c>
      <c r="AH3">
        <f>2*(SQRT((Inputs!$C$52+(Scenario_Data!B3))^2+Inputs!$C$52^2-2*(Inputs!$C$52+(Scenario_Data!B3))*Inputs!$C$52*COS(SQRT((Scenario_Data!T3)^2+Inputs!$C$6^2)/Inputs!$C$52))*1000)/Inputs!$C$21*1000000</f>
        <v/>
      </c>
      <c r="AI3">
        <f>Scenario_Data!U3</f>
        <v/>
      </c>
      <c r="AJ3">
        <f>2*(SQRT((Inputs!$C$52+(Scenario_Data!C3))^2+Inputs!$C$52^2-2*(Inputs!$C$52+(Scenario_Data!C3))*Inputs!$C$52*COS(SQRT((Scenario_Data!U3)^2+Inputs!$C$6^2)/Inputs!$C$52))*1000)/Inputs!$C$21*1000000</f>
        <v/>
      </c>
      <c r="AK3">
        <f>Scenario_Data!V3</f>
        <v/>
      </c>
      <c r="AL3">
        <f>2*(SQRT((Inputs!$C$52+(Scenario_Data!D3))^2+Inputs!$C$52^2-2*(Inputs!$C$52+(Scenario_Data!D3))*Inputs!$C$52*COS(SQRT((Scenario_Data!V3)^2+Inputs!$C$6^2)/Inputs!$C$52))*1000)/Inputs!$C$21*1000000</f>
        <v/>
      </c>
      <c r="AM3">
        <f>Scenario_Data!W3</f>
        <v/>
      </c>
      <c r="AN3">
        <f>2*(SQRT((Inputs!$C$52+(Scenario_Data!E3))^2+Inputs!$C$52^2-2*(Inputs!$C$52+(Scenario_Data!E3))*Inputs!$C$52*COS(SQRT((Scenario_Data!W3)^2+Inputs!$C$6^2)/Inputs!$C$52))*1000)/Inputs!$C$21*1000000</f>
        <v/>
      </c>
      <c r="AP3">
        <f>Scenario_Data!T3</f>
        <v/>
      </c>
      <c r="AQ3">
        <f>2*(SQRT((Inputs!$C$52+(Scenario_Data!B3))^2+(Inputs!$C$52+((IF(OR(Inputs!$C$27=TRUE,Inputs!$C$27="TRUE",Inputs!$C$27=1),1,0)*(Inputs!$C$51*(115*EXP(-(((Inputs!$C$6)-25)^2)/(4.5^2))+70*EXP(-(((Inputs!$C$6)+38)^2)/(7^2))*(0.55+0.45*SIN(2*PI()*(Scenario_Data!T3)/45))+24*SIN(2*PI()*(Inputs!$C$6)/9+(Scenario_Data!T3)/18)*EXP(-(((Inputs!$C$6)+5)^2)/(22^2))+18*SIN(2*PI()*(Scenario_Data!T3)/70))+Inputs!$C$28*EXP(-(((Scenario_Data!T3)-Inputs!$C$29)^2)/(2*Inputs!$C$31^2))*EXP(-(((Inputs!$C$6)-Inputs!$C$30)^2)/(2*Inputs!$C$32^2))+-Inputs!$C$33*EXP(-(((((Scenario_Data!T3)-Inputs!$C$34)^2)+(((Inputs!$C$6)-Inputs!$C$35)^2))/(2*Inputs!$C$36^2)))+Inputs!$C$37*(0.55*SIN(2*PI()*(Scenario_Data!T3)/Inputs!$C$39)+0.35*COS(2*PI()*(Inputs!$C$6)/Inputs!$C$40)+0.2*SIN(2*PI()*((Scenario_Data!T3)+(Inputs!$C$6))/(0.5*(Inputs!$C$39+Inputs!$C$40))))+Inputs!$C$38*SIN(2*PI()*(Scenario_Data!T3)/Inputs!$C$39)*SIN(2*PI()*(Inputs!$C$6)/Inputs!$C$40)+-Inputs!$C$41*EXP(-(((Inputs!$C$6)-Inputs!$C$43)^2)/(2*Inputs!$C$44^2))*EXP(-(((Scenario_Data!T3)-Inputs!$C$42)^2)/(2*Inputs!$C$45^2))+Inputs!$C$48*(0.7*(0.45*SIN(2*PI()*(((Scenario_Data!T3)/Inputs!$C$49)+Inputs!$C$47*0.137))+0.35*COS(2*PI()*(((Inputs!$C$6)/Inputs!$C$50)+Inputs!$C$47*0.173))+0.2*SIN(2*PI()*((((Scenario_Data!T3)+(Inputs!$C$6))/(0.5*(Inputs!$C$49+Inputs!$C$50)))+Inputs!$C$47*0.097)))+0.3*(2*((SIN(((Scenario_Data!T3)*12.9898+(Inputs!$C$6)*78.233+Inputs!$C$47*37.719))*43758.5453)-INT((SIN(((Scenario_Data!T3)*12.9898+(Inputs!$C$6)*78.233+Inputs!$C$47*37.719))*43758.5453)))-1))))/1000))^2-2*(Inputs!$C$52+(Scenario_Data!B3))*(Inputs!$C$52+((IF(OR(Inputs!$C$27=TRUE,Inputs!$C$27="TRUE",Inputs!$C$27=1),1,0)*(Inputs!$C$51*(115*EXP(-(((Inputs!$C$6)-25)^2)/(4.5^2))+70*EXP(-(((Inputs!$C$6)+38)^2)/(7^2))*(0.55+0.45*SIN(2*PI()*(Scenario_Data!T3)/45))+24*SIN(2*PI()*(Inputs!$C$6)/9+(Scenario_Data!T3)/18)*EXP(-(((Inputs!$C$6)+5)^2)/(22^2))+18*SIN(2*PI()*(Scenario_Data!T3)/70))+Inputs!$C$28*EXP(-(((Scenario_Data!T3)-Inputs!$C$29)^2)/(2*Inputs!$C$31^2))*EXP(-(((Inputs!$C$6)-Inputs!$C$30)^2)/(2*Inputs!$C$32^2))+-Inputs!$C$33*EXP(-(((((Scenario_Data!T3)-Inputs!$C$34)^2)+(((Inputs!$C$6)-Inputs!$C$35)^2))/(2*Inputs!$C$36^2)))+Inputs!$C$37*(0.55*SIN(2*PI()*(Scenario_Data!T3)/Inputs!$C$39)+0.35*COS(2*PI()*(Inputs!$C$6)/Inputs!$C$40)+0.2*SIN(2*PI()*((Scenario_Data!T3)+(Inputs!$C$6))/(0.5*(Inputs!$C$39+Inputs!$C$40))))+Inputs!$C$38*SIN(2*PI()*(Scenario_Data!T3)/Inputs!$C$39)*SIN(2*PI()*(Inputs!$C$6)/Inputs!$C$40)+-Inputs!$C$41*EXP(-(((Inputs!$C$6)-Inputs!$C$43)^2)/(2*Inputs!$C$44^2))*EXP(-(((Scenario_Data!T3)-Inputs!$C$42)^2)/(2*Inputs!$C$45^2))+Inputs!$C$48*(0.7*(0.45*SIN(2*PI()*(((Scenario_Data!T3)/Inputs!$C$49)+Inputs!$C$47*0.137))+0.35*COS(2*PI()*(((Inputs!$C$6)/Inputs!$C$50)+Inputs!$C$47*0.173))+0.2*SIN(2*PI()*((((Scenario_Data!T3)+(Inputs!$C$6))/(0.5*(Inputs!$C$49+Inputs!$C$50)))+Inputs!$C$47*0.097)))+0.3*(2*((SIN(((Scenario_Data!T3)*12.9898+(Inputs!$C$6)*78.233+Inputs!$C$47*37.719))*43758.5453)-INT((SIN(((Scenario_Data!T3)*12.9898+(Inputs!$C$6)*78.233+Inputs!$C$47*37.719))*43758.5453)))-1))))/1000))*COS(SQRT((Scenario_Data!T3)^2+Inputs!$C$6^2)/Inputs!$C$52))*1000)/Inputs!$C$21*1000000</f>
        <v/>
      </c>
      <c r="AR3">
        <f>Scenario_Data!U3</f>
        <v/>
      </c>
      <c r="AS3">
        <f>2*(SQRT((Inputs!$C$52+(Scenario_Data!C3))^2+(Inputs!$C$52+((IF(OR(Inputs!$C$27=TRUE,Inputs!$C$27="TRUE",Inputs!$C$27=1),1,0)*(Inputs!$C$51*(115*EXP(-(((Inputs!$C$6)-25)^2)/(4.5^2))+70*EXP(-(((Inputs!$C$6)+38)^2)/(7^2))*(0.55+0.45*SIN(2*PI()*(Scenario_Data!U3)/45))+24*SIN(2*PI()*(Inputs!$C$6)/9+(Scenario_Data!U3)/18)*EXP(-(((Inputs!$C$6)+5)^2)/(22^2))+18*SIN(2*PI()*(Scenario_Data!U3)/70))+Inputs!$C$28*EXP(-(((Scenario_Data!U3)-Inputs!$C$29)^2)/(2*Inputs!$C$31^2))*EXP(-(((Inputs!$C$6)-Inputs!$C$30)^2)/(2*Inputs!$C$32^2))+-Inputs!$C$33*EXP(-(((((Scenario_Data!U3)-Inputs!$C$34)^2)+(((Inputs!$C$6)-Inputs!$C$35)^2))/(2*Inputs!$C$36^2)))+Inputs!$C$37*(0.55*SIN(2*PI()*(Scenario_Data!U3)/Inputs!$C$39)+0.35*COS(2*PI()*(Inputs!$C$6)/Inputs!$C$40)+0.2*SIN(2*PI()*((Scenario_Data!U3)+(Inputs!$C$6))/(0.5*(Inputs!$C$39+Inputs!$C$40))))+Inputs!$C$38*SIN(2*PI()*(Scenario_Data!U3)/Inputs!$C$39)*SIN(2*PI()*(Inputs!$C$6)/Inputs!$C$40)+-Inputs!$C$41*EXP(-(((Inputs!$C$6)-Inputs!$C$43)^2)/(2*Inputs!$C$44^2))*EXP(-(((Scenario_Data!U3)-Inputs!$C$42)^2)/(2*Inputs!$C$45^2))+Inputs!$C$48*(0.7*(0.45*SIN(2*PI()*(((Scenario_Data!U3)/Inputs!$C$49)+Inputs!$C$47*0.137))+0.35*COS(2*PI()*(((Inputs!$C$6)/Inputs!$C$50)+Inputs!$C$47*0.173))+0.2*SIN(2*PI()*((((Scenario_Data!U3)+(Inputs!$C$6))/(0.5*(Inputs!$C$49+Inputs!$C$50)))+Inputs!$C$47*0.097)))+0.3*(2*((SIN(((Scenario_Data!U3)*12.9898+(Inputs!$C$6)*78.233+Inputs!$C$47*37.719))*43758.5453)-INT((SIN(((Scenario_Data!U3)*12.9898+(Inputs!$C$6)*78.233+Inputs!$C$47*37.719))*43758.5453)))-1))))/1000))^2-2*(Inputs!$C$52+(Scenario_Data!C3))*(Inputs!$C$52+((IF(OR(Inputs!$C$27=TRUE,Inputs!$C$27="TRUE",Inputs!$C$27=1),1,0)*(Inputs!$C$51*(115*EXP(-(((Inputs!$C$6)-25)^2)/(4.5^2))+70*EXP(-(((Inputs!$C$6)+38)^2)/(7^2))*(0.55+0.45*SIN(2*PI()*(Scenario_Data!U3)/45))+24*SIN(2*PI()*(Inputs!$C$6)/9+(Scenario_Data!U3)/18)*EXP(-(((Inputs!$C$6)+5)^2)/(22^2))+18*SIN(2*PI()*(Scenario_Data!U3)/70))+Inputs!$C$28*EXP(-(((Scenario_Data!U3)-Inputs!$C$29)^2)/(2*Inputs!$C$31^2))*EXP(-(((Inputs!$C$6)-Inputs!$C$30)^2)/(2*Inputs!$C$32^2))+-Inputs!$C$33*EXP(-(((((Scenario_Data!U3)-Inputs!$C$34)^2)+(((Inputs!$C$6)-Inputs!$C$35)^2))/(2*Inputs!$C$36^2)))+Inputs!$C$37*(0.55*SIN(2*PI()*(Scenario_Data!U3)/Inputs!$C$39)+0.35*COS(2*PI()*(Inputs!$C$6)/Inputs!$C$40)+0.2*SIN(2*PI()*((Scenario_Data!U3)+(Inputs!$C$6))/(0.5*(Inputs!$C$39+Inputs!$C$40))))+Inputs!$C$38*SIN(2*PI()*(Scenario_Data!U3)/Inputs!$C$39)*SIN(2*PI()*(Inputs!$C$6)/Inputs!$C$40)+-Inputs!$C$41*EXP(-(((Inputs!$C$6)-Inputs!$C$43)^2)/(2*Inputs!$C$44^2))*EXP(-(((Scenario_Data!U3)-Inputs!$C$42)^2)/(2*Inputs!$C$45^2))+Inputs!$C$48*(0.7*(0.45*SIN(2*PI()*(((Scenario_Data!U3)/Inputs!$C$49)+Inputs!$C$47*0.137))+0.35*COS(2*PI()*(((Inputs!$C$6)/Inputs!$C$50)+Inputs!$C$47*0.173))+0.2*SIN(2*PI()*((((Scenario_Data!U3)+(Inputs!$C$6))/(0.5*(Inputs!$C$49+Inputs!$C$50)))+Inputs!$C$47*0.097)))+0.3*(2*((SIN(((Scenario_Data!U3)*12.9898+(Inputs!$C$6)*78.233+Inputs!$C$47*37.719))*43758.5453)-INT((SIN(((Scenario_Data!U3)*12.9898+(Inputs!$C$6)*78.233+Inputs!$C$47*37.719))*43758.5453)))-1))))/1000))*COS(SQRT((Scenario_Data!U3)^2+Inputs!$C$6^2)/Inputs!$C$52))*1000)/Inputs!$C$21*1000000</f>
        <v/>
      </c>
      <c r="AT3">
        <f>Scenario_Data!V3</f>
        <v/>
      </c>
      <c r="AU3">
        <f>2*(SQRT((Inputs!$C$52+(Scenario_Data!D3))^2+(Inputs!$C$52+((IF(OR(Inputs!$C$27=TRUE,Inputs!$C$27="TRUE",Inputs!$C$27=1),1,0)*(Inputs!$C$51*(115*EXP(-(((Inputs!$C$6)-25)^2)/(4.5^2))+70*EXP(-(((Inputs!$C$6)+38)^2)/(7^2))*(0.55+0.45*SIN(2*PI()*(Scenario_Data!V3)/45))+24*SIN(2*PI()*(Inputs!$C$6)/9+(Scenario_Data!V3)/18)*EXP(-(((Inputs!$C$6)+5)^2)/(22^2))+18*SIN(2*PI()*(Scenario_Data!V3)/70))+Inputs!$C$28*EXP(-(((Scenario_Data!V3)-Inputs!$C$29)^2)/(2*Inputs!$C$31^2))*EXP(-(((Inputs!$C$6)-Inputs!$C$30)^2)/(2*Inputs!$C$32^2))+-Inputs!$C$33*EXP(-(((((Scenario_Data!V3)-Inputs!$C$34)^2)+(((Inputs!$C$6)-Inputs!$C$35)^2))/(2*Inputs!$C$36^2)))+Inputs!$C$37*(0.55*SIN(2*PI()*(Scenario_Data!V3)/Inputs!$C$39)+0.35*COS(2*PI()*(Inputs!$C$6)/Inputs!$C$40)+0.2*SIN(2*PI()*((Scenario_Data!V3)+(Inputs!$C$6))/(0.5*(Inputs!$C$39+Inputs!$C$40))))+Inputs!$C$38*SIN(2*PI()*(Scenario_Data!V3)/Inputs!$C$39)*SIN(2*PI()*(Inputs!$C$6)/Inputs!$C$40)+-Inputs!$C$41*EXP(-(((Inputs!$C$6)-Inputs!$C$43)^2)/(2*Inputs!$C$44^2))*EXP(-(((Scenario_Data!V3)-Inputs!$C$42)^2)/(2*Inputs!$C$45^2))+Inputs!$C$48*(0.7*(0.45*SIN(2*PI()*(((Scenario_Data!V3)/Inputs!$C$49)+Inputs!$C$47*0.137))+0.35*COS(2*PI()*(((Inputs!$C$6)/Inputs!$C$50)+Inputs!$C$47*0.173))+0.2*SIN(2*PI()*((((Scenario_Data!V3)+(Inputs!$C$6))/(0.5*(Inputs!$C$49+Inputs!$C$50)))+Inputs!$C$47*0.097)))+0.3*(2*((SIN(((Scenario_Data!V3)*12.9898+(Inputs!$C$6)*78.233+Inputs!$C$47*37.719))*43758.5453)-INT((SIN(((Scenario_Data!V3)*12.9898+(Inputs!$C$6)*78.233+Inputs!$C$47*37.719))*43758.5453)))-1))))/1000))^2-2*(Inputs!$C$52+(Scenario_Data!D3))*(Inputs!$C$52+((IF(OR(Inputs!$C$27=TRUE,Inputs!$C$27="TRUE",Inputs!$C$27=1),1,0)*(Inputs!$C$51*(115*EXP(-(((Inputs!$C$6)-25)^2)/(4.5^2))+70*EXP(-(((Inputs!$C$6)+38)^2)/(7^2))*(0.55+0.45*SIN(2*PI()*(Scenario_Data!V3)/45))+24*SIN(2*PI()*(Inputs!$C$6)/9+(Scenario_Data!V3)/18)*EXP(-(((Inputs!$C$6)+5)^2)/(22^2))+18*SIN(2*PI()*(Scenario_Data!V3)/70))+Inputs!$C$28*EXP(-(((Scenario_Data!V3)-Inputs!$C$29)^2)/(2*Inputs!$C$31^2))*EXP(-(((Inputs!$C$6)-Inputs!$C$30)^2)/(2*Inputs!$C$32^2))+-Inputs!$C$33*EXP(-(((((Scenario_Data!V3)-Inputs!$C$34)^2)+(((Inputs!$C$6)-Inputs!$C$35)^2))/(2*Inputs!$C$36^2)))+Inputs!$C$37*(0.55*SIN(2*PI()*(Scenario_Data!V3)/Inputs!$C$39)+0.35*COS(2*PI()*(Inputs!$C$6)/Inputs!$C$40)+0.2*SIN(2*PI()*((Scenario_Data!V3)+(Inputs!$C$6))/(0.5*(Inputs!$C$39+Inputs!$C$40))))+Inputs!$C$38*SIN(2*PI()*(Scenario_Data!V3)/Inputs!$C$39)*SIN(2*PI()*(Inputs!$C$6)/Inputs!$C$40)+-Inputs!$C$41*EXP(-(((Inputs!$C$6)-Inputs!$C$43)^2)/(2*Inputs!$C$44^2))*EXP(-(((Scenario_Data!V3)-Inputs!$C$42)^2)/(2*Inputs!$C$45^2))+Inputs!$C$48*(0.7*(0.45*SIN(2*PI()*(((Scenario_Data!V3)/Inputs!$C$49)+Inputs!$C$47*0.137))+0.35*COS(2*PI()*(((Inputs!$C$6)/Inputs!$C$50)+Inputs!$C$47*0.173))+0.2*SIN(2*PI()*((((Scenario_Data!V3)+(Inputs!$C$6))/(0.5*(Inputs!$C$49+Inputs!$C$50)))+Inputs!$C$47*0.097)))+0.3*(2*((SIN(((Scenario_Data!V3)*12.9898+(Inputs!$C$6)*78.233+Inputs!$C$47*37.719))*43758.5453)-INT((SIN(((Scenario_Data!V3)*12.9898+(Inputs!$C$6)*78.233+Inputs!$C$47*37.719))*43758.5453)))-1))))/1000))*COS(SQRT((Scenario_Data!V3)^2+Inputs!$C$6^2)/Inputs!$C$52))*1000)/Inputs!$C$21*1000000</f>
        <v/>
      </c>
      <c r="AV3">
        <f>Scenario_Data!W3</f>
        <v/>
      </c>
      <c r="AW3">
        <f>2*(SQRT((Inputs!$C$52+(Scenario_Data!E3))^2+(Inputs!$C$52+((IF(OR(Inputs!$C$27=TRUE,Inputs!$C$27="TRUE",Inputs!$C$27=1),1,0)*(Inputs!$C$51*(115*EXP(-(((Inputs!$C$6)-25)^2)/(4.5^2))+70*EXP(-(((Inputs!$C$6)+38)^2)/(7^2))*(0.55+0.45*SIN(2*PI()*(Scenario_Data!W3)/45))+24*SIN(2*PI()*(Inputs!$C$6)/9+(Scenario_Data!W3)/18)*EXP(-(((Inputs!$C$6)+5)^2)/(22^2))+18*SIN(2*PI()*(Scenario_Data!W3)/70))+Inputs!$C$28*EXP(-(((Scenario_Data!W3)-Inputs!$C$29)^2)/(2*Inputs!$C$31^2))*EXP(-(((Inputs!$C$6)-Inputs!$C$30)^2)/(2*Inputs!$C$32^2))+-Inputs!$C$33*EXP(-(((((Scenario_Data!W3)-Inputs!$C$34)^2)+(((Inputs!$C$6)-Inputs!$C$35)^2))/(2*Inputs!$C$36^2)))+Inputs!$C$37*(0.55*SIN(2*PI()*(Scenario_Data!W3)/Inputs!$C$39)+0.35*COS(2*PI()*(Inputs!$C$6)/Inputs!$C$40)+0.2*SIN(2*PI()*((Scenario_Data!W3)+(Inputs!$C$6))/(0.5*(Inputs!$C$39+Inputs!$C$40))))+Inputs!$C$38*SIN(2*PI()*(Scenario_Data!W3)/Inputs!$C$39)*SIN(2*PI()*(Inputs!$C$6)/Inputs!$C$40)+-Inputs!$C$41*EXP(-(((Inputs!$C$6)-Inputs!$C$43)^2)/(2*Inputs!$C$44^2))*EXP(-(((Scenario_Data!W3)-Inputs!$C$42)^2)/(2*Inputs!$C$45^2))+Inputs!$C$48*(0.7*(0.45*SIN(2*PI()*(((Scenario_Data!W3)/Inputs!$C$49)+Inputs!$C$47*0.137))+0.35*COS(2*PI()*(((Inputs!$C$6)/Inputs!$C$50)+Inputs!$C$47*0.173))+0.2*SIN(2*PI()*((((Scenario_Data!W3)+(Inputs!$C$6))/(0.5*(Inputs!$C$49+Inputs!$C$50)))+Inputs!$C$47*0.097)))+0.3*(2*((SIN(((Scenario_Data!W3)*12.9898+(Inputs!$C$6)*78.233+Inputs!$C$47*37.719))*43758.5453)-INT((SIN(((Scenario_Data!W3)*12.9898+(Inputs!$C$6)*78.233+Inputs!$C$47*37.719))*43758.5453)))-1))))/1000))^2-2*(Inputs!$C$52+(Scenario_Data!E3))*(Inputs!$C$52+((IF(OR(Inputs!$C$27=TRUE,Inputs!$C$27="TRUE",Inputs!$C$27=1),1,0)*(Inputs!$C$51*(115*EXP(-(((Inputs!$C$6)-25)^2)/(4.5^2))+70*EXP(-(((Inputs!$C$6)+38)^2)/(7^2))*(0.55+0.45*SIN(2*PI()*(Scenario_Data!W3)/45))+24*SIN(2*PI()*(Inputs!$C$6)/9+(Scenario_Data!W3)/18)*EXP(-(((Inputs!$C$6)+5)^2)/(22^2))+18*SIN(2*PI()*(Scenario_Data!W3)/70))+Inputs!$C$28*EXP(-(((Scenario_Data!W3)-Inputs!$C$29)^2)/(2*Inputs!$C$31^2))*EXP(-(((Inputs!$C$6)-Inputs!$C$30)^2)/(2*Inputs!$C$32^2))+-Inputs!$C$33*EXP(-(((((Scenario_Data!W3)-Inputs!$C$34)^2)+(((Inputs!$C$6)-Inputs!$C$35)^2))/(2*Inputs!$C$36^2)))+Inputs!$C$37*(0.55*SIN(2*PI()*(Scenario_Data!W3)/Inputs!$C$39)+0.35*COS(2*PI()*(Inputs!$C$6)/Inputs!$C$40)+0.2*SIN(2*PI()*((Scenario_Data!W3)+(Inputs!$C$6))/(0.5*(Inputs!$C$39+Inputs!$C$40))))+Inputs!$C$38*SIN(2*PI()*(Scenario_Data!W3)/Inputs!$C$39)*SIN(2*PI()*(Inputs!$C$6)/Inputs!$C$40)+-Inputs!$C$41*EXP(-(((Inputs!$C$6)-Inputs!$C$43)^2)/(2*Inputs!$C$44^2))*EXP(-(((Scenario_Data!W3)-Inputs!$C$42)^2)/(2*Inputs!$C$45^2))+Inputs!$C$48*(0.7*(0.45*SIN(2*PI()*(((Scenario_Data!W3)/Inputs!$C$49)+Inputs!$C$47*0.137))+0.35*COS(2*PI()*(((Inputs!$C$6)/Inputs!$C$50)+Inputs!$C$47*0.173))+0.2*SIN(2*PI()*((((Scenario_Data!W3)+(Inputs!$C$6))/(0.5*(Inputs!$C$49+Inputs!$C$50)))+Inputs!$C$47*0.097)))+0.3*(2*((SIN(((Scenario_Data!W3)*12.9898+(Inputs!$C$6)*78.233+Inputs!$C$47*37.719))*43758.5453)-INT((SIN(((Scenario_Data!W3)*12.9898+(Inputs!$C$6)*78.233+Inputs!$C$47*37.719))*43758.5453)))-1))))/1000))*COS(SQRT((Scenario_Data!W3)^2+Inputs!$C$6^2)/Inputs!$C$52))*1000)/Inputs!$C$21*1000000</f>
        <v/>
      </c>
    </row>
    <row r="4">
      <c r="A4">
        <f>Chart_Data!K4</f>
        <v/>
      </c>
      <c r="B4">
        <f>Chart_Data!N4-Chart_Data!L4</f>
        <v/>
      </c>
      <c r="D4">
        <f>Chart_Data!G4</f>
        <v/>
      </c>
      <c r="E4">
        <f>Chart_Data!H4</f>
        <v/>
      </c>
      <c r="F4">
        <f>Chart_Data!I4</f>
        <v/>
      </c>
      <c r="G4">
        <f>Chart_Data!J4</f>
        <v/>
      </c>
      <c r="I4">
        <f>Scenario_Data!A4</f>
        <v/>
      </c>
      <c r="J4">
        <f>Scenario_Data!H4-(((SQRT((Inputs!$C$52+(Inputs!$H$6))^2+Inputs!$C$52^2-2*(Inputs!$C$52+(Inputs!$H$6))*Inputs!$C$52*COS(SQRT((Scenario_Data!T4)^2+Inputs!$C$6^2)/Inputs!$C$52)))-(Inputs!$H$6))*1000/Inputs!$C$12)</f>
        <v/>
      </c>
      <c r="K4">
        <f>Scenario_Data!I4-(((SQRT((Inputs!$C$52+(Inputs!$H$7))^2+Inputs!$C$52^2-2*(Inputs!$C$52+(Inputs!$H$7))*Inputs!$C$52*COS(SQRT((Scenario_Data!U4)^2+Inputs!$C$6^2)/Inputs!$C$52)))-(Inputs!$H$7))*1000/Inputs!$C$12)</f>
        <v/>
      </c>
      <c r="L4">
        <f>Scenario_Data!J4-(((SQRT((Inputs!$C$52+(Inputs!$H$8))^2+Inputs!$C$52^2-2*(Inputs!$C$52+(Inputs!$H$8))*Inputs!$C$52*COS(SQRT((Scenario_Data!V4)^2+Inputs!$C$6^2)/Inputs!$C$52)))-(Inputs!$H$8))*1000/Inputs!$C$12)</f>
        <v/>
      </c>
      <c r="M4">
        <f>Scenario_Data!K4-(((SQRT((Inputs!$C$52+(Inputs!$H$9))^2+Inputs!$C$52^2-2*(Inputs!$C$52+(Inputs!$H$9))*Inputs!$C$52*COS(SQRT((Scenario_Data!W4)^2+Inputs!$C$6^2)/Inputs!$C$52)))-(Inputs!$H$9))*1000/Inputs!$C$12)</f>
        <v/>
      </c>
      <c r="O4">
        <f>Scenario_Data!T4</f>
        <v/>
      </c>
      <c r="P4">
        <f>2*(Scenario_Data!B4*1000)/Inputs!$C$21*1000000</f>
        <v/>
      </c>
      <c r="Q4">
        <f>Scenario_Data!U4</f>
        <v/>
      </c>
      <c r="R4">
        <f>2*(Scenario_Data!C4*1000)/Inputs!$C$21*1000000</f>
        <v/>
      </c>
      <c r="S4">
        <f>Scenario_Data!V4</f>
        <v/>
      </c>
      <c r="T4">
        <f>2*(Scenario_Data!D4*1000)/Inputs!$C$21*1000000</f>
        <v/>
      </c>
      <c r="U4">
        <f>Scenario_Data!W4</f>
        <v/>
      </c>
      <c r="V4">
        <f>2*(Scenario_Data!E4*1000)/Inputs!$C$21*1000000</f>
        <v/>
      </c>
      <c r="X4">
        <f>Scenario_Data!T4</f>
        <v/>
      </c>
      <c r="Y4">
        <f>2*((Scenario_Data!B4*1000)-(IF(OR(Inputs!$C$27=TRUE,Inputs!$C$27="TRUE",Inputs!$C$27=1),1,0)*(Inputs!$C$51*(115*EXP(-(((0)-25)^2)/(4.5^2))+70*EXP(-(((0)+38)^2)/(7^2))*(0.55+0.45*SIN(2*PI()*(Scenario_Data!T4)/45))+24*SIN(2*PI()*(0)/9+(Scenario_Data!T4)/18)*EXP(-(((0)+5)^2)/(22^2))+18*SIN(2*PI()*(Scenario_Data!T4)/70))+Inputs!$C$28*EXP(-(((Scenario_Data!T4)-Inputs!$C$29)^2)/(2*Inputs!$C$31^2))*EXP(-(((0)-Inputs!$C$30)^2)/(2*Inputs!$C$32^2))+-Inputs!$C$33*EXP(-(((((Scenario_Data!T4)-Inputs!$C$34)^2)+(((0)-Inputs!$C$35)^2))/(2*Inputs!$C$36^2)))+Inputs!$C$37*(0.55*SIN(2*PI()*(Scenario_Data!T4)/Inputs!$C$39)+0.35*COS(2*PI()*(0)/Inputs!$C$40)+0.2*SIN(2*PI()*((Scenario_Data!T4)+(0))/(0.5*(Inputs!$C$39+Inputs!$C$40))))+Inputs!$C$38*SIN(2*PI()*(Scenario_Data!T4)/Inputs!$C$39)*SIN(2*PI()*(0)/Inputs!$C$40)+-Inputs!$C$41*EXP(-(((0)-Inputs!$C$43)^2)/(2*Inputs!$C$44^2))*EXP(-(((Scenario_Data!T4)-Inputs!$C$42)^2)/(2*Inputs!$C$45^2))+Inputs!$C$48*(0.7*(0.45*SIN(2*PI()*(((Scenario_Data!T4)/Inputs!$C$49)+Inputs!$C$47*0.137))+0.35*COS(2*PI()*(((0)/Inputs!$C$50)+Inputs!$C$47*0.173))+0.2*SIN(2*PI()*((((Scenario_Data!T4)+(0))/(0.5*(Inputs!$C$49+Inputs!$C$50)))+Inputs!$C$47*0.097)))+0.3*(2*((SIN(((Scenario_Data!T4)*12.9898+(0)*78.233+Inputs!$C$47*37.719))*43758.5453)-INT((SIN(((Scenario_Data!T4)*12.9898+(0)*78.233+Inputs!$C$47*37.719))*43758.5453)))-1)))))/Inputs!$C$21*1000000</f>
        <v/>
      </c>
      <c r="Z4">
        <f>Scenario_Data!U4</f>
        <v/>
      </c>
      <c r="AA4">
        <f>2*((Scenario_Data!C4*1000)-(IF(OR(Inputs!$C$27=TRUE,Inputs!$C$27="TRUE",Inputs!$C$27=1),1,0)*(Inputs!$C$51*(115*EXP(-(((0)-25)^2)/(4.5^2))+70*EXP(-(((0)+38)^2)/(7^2))*(0.55+0.45*SIN(2*PI()*(Scenario_Data!U4)/45))+24*SIN(2*PI()*(0)/9+(Scenario_Data!U4)/18)*EXP(-(((0)+5)^2)/(22^2))+18*SIN(2*PI()*(Scenario_Data!U4)/70))+Inputs!$C$28*EXP(-(((Scenario_Data!U4)-Inputs!$C$29)^2)/(2*Inputs!$C$31^2))*EXP(-(((0)-Inputs!$C$30)^2)/(2*Inputs!$C$32^2))+-Inputs!$C$33*EXP(-(((((Scenario_Data!U4)-Inputs!$C$34)^2)+(((0)-Inputs!$C$35)^2))/(2*Inputs!$C$36^2)))+Inputs!$C$37*(0.55*SIN(2*PI()*(Scenario_Data!U4)/Inputs!$C$39)+0.35*COS(2*PI()*(0)/Inputs!$C$40)+0.2*SIN(2*PI()*((Scenario_Data!U4)+(0))/(0.5*(Inputs!$C$39+Inputs!$C$40))))+Inputs!$C$38*SIN(2*PI()*(Scenario_Data!U4)/Inputs!$C$39)*SIN(2*PI()*(0)/Inputs!$C$40)+-Inputs!$C$41*EXP(-(((0)-Inputs!$C$43)^2)/(2*Inputs!$C$44^2))*EXP(-(((Scenario_Data!U4)-Inputs!$C$42)^2)/(2*Inputs!$C$45^2))+Inputs!$C$48*(0.7*(0.45*SIN(2*PI()*(((Scenario_Data!U4)/Inputs!$C$49)+Inputs!$C$47*0.137))+0.35*COS(2*PI()*(((0)/Inputs!$C$50)+Inputs!$C$47*0.173))+0.2*SIN(2*PI()*((((Scenario_Data!U4)+(0))/(0.5*(Inputs!$C$49+Inputs!$C$50)))+Inputs!$C$47*0.097)))+0.3*(2*((SIN(((Scenario_Data!U4)*12.9898+(0)*78.233+Inputs!$C$47*37.719))*43758.5453)-INT((SIN(((Scenario_Data!U4)*12.9898+(0)*78.233+Inputs!$C$47*37.719))*43758.5453)))-1)))))/Inputs!$C$21*1000000</f>
        <v/>
      </c>
      <c r="AB4">
        <f>Scenario_Data!V4</f>
        <v/>
      </c>
      <c r="AC4">
        <f>2*((Scenario_Data!D4*1000)-(IF(OR(Inputs!$C$27=TRUE,Inputs!$C$27="TRUE",Inputs!$C$27=1),1,0)*(Inputs!$C$51*(115*EXP(-(((0)-25)^2)/(4.5^2))+70*EXP(-(((0)+38)^2)/(7^2))*(0.55+0.45*SIN(2*PI()*(Scenario_Data!V4)/45))+24*SIN(2*PI()*(0)/9+(Scenario_Data!V4)/18)*EXP(-(((0)+5)^2)/(22^2))+18*SIN(2*PI()*(Scenario_Data!V4)/70))+Inputs!$C$28*EXP(-(((Scenario_Data!V4)-Inputs!$C$29)^2)/(2*Inputs!$C$31^2))*EXP(-(((0)-Inputs!$C$30)^2)/(2*Inputs!$C$32^2))+-Inputs!$C$33*EXP(-(((((Scenario_Data!V4)-Inputs!$C$34)^2)+(((0)-Inputs!$C$35)^2))/(2*Inputs!$C$36^2)))+Inputs!$C$37*(0.55*SIN(2*PI()*(Scenario_Data!V4)/Inputs!$C$39)+0.35*COS(2*PI()*(0)/Inputs!$C$40)+0.2*SIN(2*PI()*((Scenario_Data!V4)+(0))/(0.5*(Inputs!$C$39+Inputs!$C$40))))+Inputs!$C$38*SIN(2*PI()*(Scenario_Data!V4)/Inputs!$C$39)*SIN(2*PI()*(0)/Inputs!$C$40)+-Inputs!$C$41*EXP(-(((0)-Inputs!$C$43)^2)/(2*Inputs!$C$44^2))*EXP(-(((Scenario_Data!V4)-Inputs!$C$42)^2)/(2*Inputs!$C$45^2))+Inputs!$C$48*(0.7*(0.45*SIN(2*PI()*(((Scenario_Data!V4)/Inputs!$C$49)+Inputs!$C$47*0.137))+0.35*COS(2*PI()*(((0)/Inputs!$C$50)+Inputs!$C$47*0.173))+0.2*SIN(2*PI()*((((Scenario_Data!V4)+(0))/(0.5*(Inputs!$C$49+Inputs!$C$50)))+Inputs!$C$47*0.097)))+0.3*(2*((SIN(((Scenario_Data!V4)*12.9898+(0)*78.233+Inputs!$C$47*37.719))*43758.5453)-INT((SIN(((Scenario_Data!V4)*12.9898+(0)*78.233+Inputs!$C$47*37.719))*43758.5453)))-1)))))/Inputs!$C$21*1000000</f>
        <v/>
      </c>
      <c r="AD4">
        <f>Scenario_Data!W4</f>
        <v/>
      </c>
      <c r="AE4">
        <f>2*((Scenario_Data!E4*1000)-(IF(OR(Inputs!$C$27=TRUE,Inputs!$C$27="TRUE",Inputs!$C$27=1),1,0)*(Inputs!$C$51*(115*EXP(-(((0)-25)^2)/(4.5^2))+70*EXP(-(((0)+38)^2)/(7^2))*(0.55+0.45*SIN(2*PI()*(Scenario_Data!W4)/45))+24*SIN(2*PI()*(0)/9+(Scenario_Data!W4)/18)*EXP(-(((0)+5)^2)/(22^2))+18*SIN(2*PI()*(Scenario_Data!W4)/70))+Inputs!$C$28*EXP(-(((Scenario_Data!W4)-Inputs!$C$29)^2)/(2*Inputs!$C$31^2))*EXP(-(((0)-Inputs!$C$30)^2)/(2*Inputs!$C$32^2))+-Inputs!$C$33*EXP(-(((((Scenario_Data!W4)-Inputs!$C$34)^2)+(((0)-Inputs!$C$35)^2))/(2*Inputs!$C$36^2)))+Inputs!$C$37*(0.55*SIN(2*PI()*(Scenario_Data!W4)/Inputs!$C$39)+0.35*COS(2*PI()*(0)/Inputs!$C$40)+0.2*SIN(2*PI()*((Scenario_Data!W4)+(0))/(0.5*(Inputs!$C$39+Inputs!$C$40))))+Inputs!$C$38*SIN(2*PI()*(Scenario_Data!W4)/Inputs!$C$39)*SIN(2*PI()*(0)/Inputs!$C$40)+-Inputs!$C$41*EXP(-(((0)-Inputs!$C$43)^2)/(2*Inputs!$C$44^2))*EXP(-(((Scenario_Data!W4)-Inputs!$C$42)^2)/(2*Inputs!$C$45^2))+Inputs!$C$48*(0.7*(0.45*SIN(2*PI()*(((Scenario_Data!W4)/Inputs!$C$49)+Inputs!$C$47*0.137))+0.35*COS(2*PI()*(((0)/Inputs!$C$50)+Inputs!$C$47*0.173))+0.2*SIN(2*PI()*((((Scenario_Data!W4)+(0))/(0.5*(Inputs!$C$49+Inputs!$C$50)))+Inputs!$C$47*0.097)))+0.3*(2*((SIN(((Scenario_Data!W4)*12.9898+(0)*78.233+Inputs!$C$47*37.719))*43758.5453)-INT((SIN(((Scenario_Data!W4)*12.9898+(0)*78.233+Inputs!$C$47*37.719))*43758.5453)))-1)))))/Inputs!$C$21*1000000</f>
        <v/>
      </c>
      <c r="AG4">
        <f>Scenario_Data!T4</f>
        <v/>
      </c>
      <c r="AH4">
        <f>2*(SQRT((Inputs!$C$52+(Scenario_Data!B4))^2+Inputs!$C$52^2-2*(Inputs!$C$52+(Scenario_Data!B4))*Inputs!$C$52*COS(SQRT((Scenario_Data!T4)^2+Inputs!$C$6^2)/Inputs!$C$52))*1000)/Inputs!$C$21*1000000</f>
        <v/>
      </c>
      <c r="AI4">
        <f>Scenario_Data!U4</f>
        <v/>
      </c>
      <c r="AJ4">
        <f>2*(SQRT((Inputs!$C$52+(Scenario_Data!C4))^2+Inputs!$C$52^2-2*(Inputs!$C$52+(Scenario_Data!C4))*Inputs!$C$52*COS(SQRT((Scenario_Data!U4)^2+Inputs!$C$6^2)/Inputs!$C$52))*1000)/Inputs!$C$21*1000000</f>
        <v/>
      </c>
      <c r="AK4">
        <f>Scenario_Data!V4</f>
        <v/>
      </c>
      <c r="AL4">
        <f>2*(SQRT((Inputs!$C$52+(Scenario_Data!D4))^2+Inputs!$C$52^2-2*(Inputs!$C$52+(Scenario_Data!D4))*Inputs!$C$52*COS(SQRT((Scenario_Data!V4)^2+Inputs!$C$6^2)/Inputs!$C$52))*1000)/Inputs!$C$21*1000000</f>
        <v/>
      </c>
      <c r="AM4">
        <f>Scenario_Data!W4</f>
        <v/>
      </c>
      <c r="AN4">
        <f>2*(SQRT((Inputs!$C$52+(Scenario_Data!E4))^2+Inputs!$C$52^2-2*(Inputs!$C$52+(Scenario_Data!E4))*Inputs!$C$52*COS(SQRT((Scenario_Data!W4)^2+Inputs!$C$6^2)/Inputs!$C$52))*1000)/Inputs!$C$21*1000000</f>
        <v/>
      </c>
      <c r="AP4">
        <f>Scenario_Data!T4</f>
        <v/>
      </c>
      <c r="AQ4">
        <f>2*(SQRT((Inputs!$C$52+(Scenario_Data!B4))^2+(Inputs!$C$52+((IF(OR(Inputs!$C$27=TRUE,Inputs!$C$27="TRUE",Inputs!$C$27=1),1,0)*(Inputs!$C$51*(115*EXP(-(((Inputs!$C$6)-25)^2)/(4.5^2))+70*EXP(-(((Inputs!$C$6)+38)^2)/(7^2))*(0.55+0.45*SIN(2*PI()*(Scenario_Data!T4)/45))+24*SIN(2*PI()*(Inputs!$C$6)/9+(Scenario_Data!T4)/18)*EXP(-(((Inputs!$C$6)+5)^2)/(22^2))+18*SIN(2*PI()*(Scenario_Data!T4)/70))+Inputs!$C$28*EXP(-(((Scenario_Data!T4)-Inputs!$C$29)^2)/(2*Inputs!$C$31^2))*EXP(-(((Inputs!$C$6)-Inputs!$C$30)^2)/(2*Inputs!$C$32^2))+-Inputs!$C$33*EXP(-(((((Scenario_Data!T4)-Inputs!$C$34)^2)+(((Inputs!$C$6)-Inputs!$C$35)^2))/(2*Inputs!$C$36^2)))+Inputs!$C$37*(0.55*SIN(2*PI()*(Scenario_Data!T4)/Inputs!$C$39)+0.35*COS(2*PI()*(Inputs!$C$6)/Inputs!$C$40)+0.2*SIN(2*PI()*((Scenario_Data!T4)+(Inputs!$C$6))/(0.5*(Inputs!$C$39+Inputs!$C$40))))+Inputs!$C$38*SIN(2*PI()*(Scenario_Data!T4)/Inputs!$C$39)*SIN(2*PI()*(Inputs!$C$6)/Inputs!$C$40)+-Inputs!$C$41*EXP(-(((Inputs!$C$6)-Inputs!$C$43)^2)/(2*Inputs!$C$44^2))*EXP(-(((Scenario_Data!T4)-Inputs!$C$42)^2)/(2*Inputs!$C$45^2))+Inputs!$C$48*(0.7*(0.45*SIN(2*PI()*(((Scenario_Data!T4)/Inputs!$C$49)+Inputs!$C$47*0.137))+0.35*COS(2*PI()*(((Inputs!$C$6)/Inputs!$C$50)+Inputs!$C$47*0.173))+0.2*SIN(2*PI()*((((Scenario_Data!T4)+(Inputs!$C$6))/(0.5*(Inputs!$C$49+Inputs!$C$50)))+Inputs!$C$47*0.097)))+0.3*(2*((SIN(((Scenario_Data!T4)*12.9898+(Inputs!$C$6)*78.233+Inputs!$C$47*37.719))*43758.5453)-INT((SIN(((Scenario_Data!T4)*12.9898+(Inputs!$C$6)*78.233+Inputs!$C$47*37.719))*43758.5453)))-1))))/1000))^2-2*(Inputs!$C$52+(Scenario_Data!B4))*(Inputs!$C$52+((IF(OR(Inputs!$C$27=TRUE,Inputs!$C$27="TRUE",Inputs!$C$27=1),1,0)*(Inputs!$C$51*(115*EXP(-(((Inputs!$C$6)-25)^2)/(4.5^2))+70*EXP(-(((Inputs!$C$6)+38)^2)/(7^2))*(0.55+0.45*SIN(2*PI()*(Scenario_Data!T4)/45))+24*SIN(2*PI()*(Inputs!$C$6)/9+(Scenario_Data!T4)/18)*EXP(-(((Inputs!$C$6)+5)^2)/(22^2))+18*SIN(2*PI()*(Scenario_Data!T4)/70))+Inputs!$C$28*EXP(-(((Scenario_Data!T4)-Inputs!$C$29)^2)/(2*Inputs!$C$31^2))*EXP(-(((Inputs!$C$6)-Inputs!$C$30)^2)/(2*Inputs!$C$32^2))+-Inputs!$C$33*EXP(-(((((Scenario_Data!T4)-Inputs!$C$34)^2)+(((Inputs!$C$6)-Inputs!$C$35)^2))/(2*Inputs!$C$36^2)))+Inputs!$C$37*(0.55*SIN(2*PI()*(Scenario_Data!T4)/Inputs!$C$39)+0.35*COS(2*PI()*(Inputs!$C$6)/Inputs!$C$40)+0.2*SIN(2*PI()*((Scenario_Data!T4)+(Inputs!$C$6))/(0.5*(Inputs!$C$39+Inputs!$C$40))))+Inputs!$C$38*SIN(2*PI()*(Scenario_Data!T4)/Inputs!$C$39)*SIN(2*PI()*(Inputs!$C$6)/Inputs!$C$40)+-Inputs!$C$41*EXP(-(((Inputs!$C$6)-Inputs!$C$43)^2)/(2*Inputs!$C$44^2))*EXP(-(((Scenario_Data!T4)-Inputs!$C$42)^2)/(2*Inputs!$C$45^2))+Inputs!$C$48*(0.7*(0.45*SIN(2*PI()*(((Scenario_Data!T4)/Inputs!$C$49)+Inputs!$C$47*0.137))+0.35*COS(2*PI()*(((Inputs!$C$6)/Inputs!$C$50)+Inputs!$C$47*0.173))+0.2*SIN(2*PI()*((((Scenario_Data!T4)+(Inputs!$C$6))/(0.5*(Inputs!$C$49+Inputs!$C$50)))+Inputs!$C$47*0.097)))+0.3*(2*((SIN(((Scenario_Data!T4)*12.9898+(Inputs!$C$6)*78.233+Inputs!$C$47*37.719))*43758.5453)-INT((SIN(((Scenario_Data!T4)*12.9898+(Inputs!$C$6)*78.233+Inputs!$C$47*37.719))*43758.5453)))-1))))/1000))*COS(SQRT((Scenario_Data!T4)^2+Inputs!$C$6^2)/Inputs!$C$52))*1000)/Inputs!$C$21*1000000</f>
        <v/>
      </c>
      <c r="AR4">
        <f>Scenario_Data!U4</f>
        <v/>
      </c>
      <c r="AS4">
        <f>2*(SQRT((Inputs!$C$52+(Scenario_Data!C4))^2+(Inputs!$C$52+((IF(OR(Inputs!$C$27=TRUE,Inputs!$C$27="TRUE",Inputs!$C$27=1),1,0)*(Inputs!$C$51*(115*EXP(-(((Inputs!$C$6)-25)^2)/(4.5^2))+70*EXP(-(((Inputs!$C$6)+38)^2)/(7^2))*(0.55+0.45*SIN(2*PI()*(Scenario_Data!U4)/45))+24*SIN(2*PI()*(Inputs!$C$6)/9+(Scenario_Data!U4)/18)*EXP(-(((Inputs!$C$6)+5)^2)/(22^2))+18*SIN(2*PI()*(Scenario_Data!U4)/70))+Inputs!$C$28*EXP(-(((Scenario_Data!U4)-Inputs!$C$29)^2)/(2*Inputs!$C$31^2))*EXP(-(((Inputs!$C$6)-Inputs!$C$30)^2)/(2*Inputs!$C$32^2))+-Inputs!$C$33*EXP(-(((((Scenario_Data!U4)-Inputs!$C$34)^2)+(((Inputs!$C$6)-Inputs!$C$35)^2))/(2*Inputs!$C$36^2)))+Inputs!$C$37*(0.55*SIN(2*PI()*(Scenario_Data!U4)/Inputs!$C$39)+0.35*COS(2*PI()*(Inputs!$C$6)/Inputs!$C$40)+0.2*SIN(2*PI()*((Scenario_Data!U4)+(Inputs!$C$6))/(0.5*(Inputs!$C$39+Inputs!$C$40))))+Inputs!$C$38*SIN(2*PI()*(Scenario_Data!U4)/Inputs!$C$39)*SIN(2*PI()*(Inputs!$C$6)/Inputs!$C$40)+-Inputs!$C$41*EXP(-(((Inputs!$C$6)-Inputs!$C$43)^2)/(2*Inputs!$C$44^2))*EXP(-(((Scenario_Data!U4)-Inputs!$C$42)^2)/(2*Inputs!$C$45^2))+Inputs!$C$48*(0.7*(0.45*SIN(2*PI()*(((Scenario_Data!U4)/Inputs!$C$49)+Inputs!$C$47*0.137))+0.35*COS(2*PI()*(((Inputs!$C$6)/Inputs!$C$50)+Inputs!$C$47*0.173))+0.2*SIN(2*PI()*((((Scenario_Data!U4)+(Inputs!$C$6))/(0.5*(Inputs!$C$49+Inputs!$C$50)))+Inputs!$C$47*0.097)))+0.3*(2*((SIN(((Scenario_Data!U4)*12.9898+(Inputs!$C$6)*78.233+Inputs!$C$47*37.719))*43758.5453)-INT((SIN(((Scenario_Data!U4)*12.9898+(Inputs!$C$6)*78.233+Inputs!$C$47*37.719))*43758.5453)))-1))))/1000))^2-2*(Inputs!$C$52+(Scenario_Data!C4))*(Inputs!$C$52+((IF(OR(Inputs!$C$27=TRUE,Inputs!$C$27="TRUE",Inputs!$C$27=1),1,0)*(Inputs!$C$51*(115*EXP(-(((Inputs!$C$6)-25)^2)/(4.5^2))+70*EXP(-(((Inputs!$C$6)+38)^2)/(7^2))*(0.55+0.45*SIN(2*PI()*(Scenario_Data!U4)/45))+24*SIN(2*PI()*(Inputs!$C$6)/9+(Scenario_Data!U4)/18)*EXP(-(((Inputs!$C$6)+5)^2)/(22^2))+18*SIN(2*PI()*(Scenario_Data!U4)/70))+Inputs!$C$28*EXP(-(((Scenario_Data!U4)-Inputs!$C$29)^2)/(2*Inputs!$C$31^2))*EXP(-(((Inputs!$C$6)-Inputs!$C$30)^2)/(2*Inputs!$C$32^2))+-Inputs!$C$33*EXP(-(((((Scenario_Data!U4)-Inputs!$C$34)^2)+(((Inputs!$C$6)-Inputs!$C$35)^2))/(2*Inputs!$C$36^2)))+Inputs!$C$37*(0.55*SIN(2*PI()*(Scenario_Data!U4)/Inputs!$C$39)+0.35*COS(2*PI()*(Inputs!$C$6)/Inputs!$C$40)+0.2*SIN(2*PI()*((Scenario_Data!U4)+(Inputs!$C$6))/(0.5*(Inputs!$C$39+Inputs!$C$40))))+Inputs!$C$38*SIN(2*PI()*(Scenario_Data!U4)/Inputs!$C$39)*SIN(2*PI()*(Inputs!$C$6)/Inputs!$C$40)+-Inputs!$C$41*EXP(-(((Inputs!$C$6)-Inputs!$C$43)^2)/(2*Inputs!$C$44^2))*EXP(-(((Scenario_Data!U4)-Inputs!$C$42)^2)/(2*Inputs!$C$45^2))+Inputs!$C$48*(0.7*(0.45*SIN(2*PI()*(((Scenario_Data!U4)/Inputs!$C$49)+Inputs!$C$47*0.137))+0.35*COS(2*PI()*(((Inputs!$C$6)/Inputs!$C$50)+Inputs!$C$47*0.173))+0.2*SIN(2*PI()*((((Scenario_Data!U4)+(Inputs!$C$6))/(0.5*(Inputs!$C$49+Inputs!$C$50)))+Inputs!$C$47*0.097)))+0.3*(2*((SIN(((Scenario_Data!U4)*12.9898+(Inputs!$C$6)*78.233+Inputs!$C$47*37.719))*43758.5453)-INT((SIN(((Scenario_Data!U4)*12.9898+(Inputs!$C$6)*78.233+Inputs!$C$47*37.719))*43758.5453)))-1))))/1000))*COS(SQRT((Scenario_Data!U4)^2+Inputs!$C$6^2)/Inputs!$C$52))*1000)/Inputs!$C$21*1000000</f>
        <v/>
      </c>
      <c r="AT4">
        <f>Scenario_Data!V4</f>
        <v/>
      </c>
      <c r="AU4">
        <f>2*(SQRT((Inputs!$C$52+(Scenario_Data!D4))^2+(Inputs!$C$52+((IF(OR(Inputs!$C$27=TRUE,Inputs!$C$27="TRUE",Inputs!$C$27=1),1,0)*(Inputs!$C$51*(115*EXP(-(((Inputs!$C$6)-25)^2)/(4.5^2))+70*EXP(-(((Inputs!$C$6)+38)^2)/(7^2))*(0.55+0.45*SIN(2*PI()*(Scenario_Data!V4)/45))+24*SIN(2*PI()*(Inputs!$C$6)/9+(Scenario_Data!V4)/18)*EXP(-(((Inputs!$C$6)+5)^2)/(22^2))+18*SIN(2*PI()*(Scenario_Data!V4)/70))+Inputs!$C$28*EXP(-(((Scenario_Data!V4)-Inputs!$C$29)^2)/(2*Inputs!$C$31^2))*EXP(-(((Inputs!$C$6)-Inputs!$C$30)^2)/(2*Inputs!$C$32^2))+-Inputs!$C$33*EXP(-(((((Scenario_Data!V4)-Inputs!$C$34)^2)+(((Inputs!$C$6)-Inputs!$C$35)^2))/(2*Inputs!$C$36^2)))+Inputs!$C$37*(0.55*SIN(2*PI()*(Scenario_Data!V4)/Inputs!$C$39)+0.35*COS(2*PI()*(Inputs!$C$6)/Inputs!$C$40)+0.2*SIN(2*PI()*((Scenario_Data!V4)+(Inputs!$C$6))/(0.5*(Inputs!$C$39+Inputs!$C$40))))+Inputs!$C$38*SIN(2*PI()*(Scenario_Data!V4)/Inputs!$C$39)*SIN(2*PI()*(Inputs!$C$6)/Inputs!$C$40)+-Inputs!$C$41*EXP(-(((Inputs!$C$6)-Inputs!$C$43)^2)/(2*Inputs!$C$44^2))*EXP(-(((Scenario_Data!V4)-Inputs!$C$42)^2)/(2*Inputs!$C$45^2))+Inputs!$C$48*(0.7*(0.45*SIN(2*PI()*(((Scenario_Data!V4)/Inputs!$C$49)+Inputs!$C$47*0.137))+0.35*COS(2*PI()*(((Inputs!$C$6)/Inputs!$C$50)+Inputs!$C$47*0.173))+0.2*SIN(2*PI()*((((Scenario_Data!V4)+(Inputs!$C$6))/(0.5*(Inputs!$C$49+Inputs!$C$50)))+Inputs!$C$47*0.097)))+0.3*(2*((SIN(((Scenario_Data!V4)*12.9898+(Inputs!$C$6)*78.233+Inputs!$C$47*37.719))*43758.5453)-INT((SIN(((Scenario_Data!V4)*12.9898+(Inputs!$C$6)*78.233+Inputs!$C$47*37.719))*43758.5453)))-1))))/1000))^2-2*(Inputs!$C$52+(Scenario_Data!D4))*(Inputs!$C$52+((IF(OR(Inputs!$C$27=TRUE,Inputs!$C$27="TRUE",Inputs!$C$27=1),1,0)*(Inputs!$C$51*(115*EXP(-(((Inputs!$C$6)-25)^2)/(4.5^2))+70*EXP(-(((Inputs!$C$6)+38)^2)/(7^2))*(0.55+0.45*SIN(2*PI()*(Scenario_Data!V4)/45))+24*SIN(2*PI()*(Inputs!$C$6)/9+(Scenario_Data!V4)/18)*EXP(-(((Inputs!$C$6)+5)^2)/(22^2))+18*SIN(2*PI()*(Scenario_Data!V4)/70))+Inputs!$C$28*EXP(-(((Scenario_Data!V4)-Inputs!$C$29)^2)/(2*Inputs!$C$31^2))*EXP(-(((Inputs!$C$6)-Inputs!$C$30)^2)/(2*Inputs!$C$32^2))+-Inputs!$C$33*EXP(-(((((Scenario_Data!V4)-Inputs!$C$34)^2)+(((Inputs!$C$6)-Inputs!$C$35)^2))/(2*Inputs!$C$36^2)))+Inputs!$C$37*(0.55*SIN(2*PI()*(Scenario_Data!V4)/Inputs!$C$39)+0.35*COS(2*PI()*(Inputs!$C$6)/Inputs!$C$40)+0.2*SIN(2*PI()*((Scenario_Data!V4)+(Inputs!$C$6))/(0.5*(Inputs!$C$39+Inputs!$C$40))))+Inputs!$C$38*SIN(2*PI()*(Scenario_Data!V4)/Inputs!$C$39)*SIN(2*PI()*(Inputs!$C$6)/Inputs!$C$40)+-Inputs!$C$41*EXP(-(((Inputs!$C$6)-Inputs!$C$43)^2)/(2*Inputs!$C$44^2))*EXP(-(((Scenario_Data!V4)-Inputs!$C$42)^2)/(2*Inputs!$C$45^2))+Inputs!$C$48*(0.7*(0.45*SIN(2*PI()*(((Scenario_Data!V4)/Inputs!$C$49)+Inputs!$C$47*0.137))+0.35*COS(2*PI()*(((Inputs!$C$6)/Inputs!$C$50)+Inputs!$C$47*0.173))+0.2*SIN(2*PI()*((((Scenario_Data!V4)+(Inputs!$C$6))/(0.5*(Inputs!$C$49+Inputs!$C$50)))+Inputs!$C$47*0.097)))+0.3*(2*((SIN(((Scenario_Data!V4)*12.9898+(Inputs!$C$6)*78.233+Inputs!$C$47*37.719))*43758.5453)-INT((SIN(((Scenario_Data!V4)*12.9898+(Inputs!$C$6)*78.233+Inputs!$C$47*37.719))*43758.5453)))-1))))/1000))*COS(SQRT((Scenario_Data!V4)^2+Inputs!$C$6^2)/Inputs!$C$52))*1000)/Inputs!$C$21*1000000</f>
        <v/>
      </c>
      <c r="AV4">
        <f>Scenario_Data!W4</f>
        <v/>
      </c>
      <c r="AW4">
        <f>2*(SQRT((Inputs!$C$52+(Scenario_Data!E4))^2+(Inputs!$C$52+((IF(OR(Inputs!$C$27=TRUE,Inputs!$C$27="TRUE",Inputs!$C$27=1),1,0)*(Inputs!$C$51*(115*EXP(-(((Inputs!$C$6)-25)^2)/(4.5^2))+70*EXP(-(((Inputs!$C$6)+38)^2)/(7^2))*(0.55+0.45*SIN(2*PI()*(Scenario_Data!W4)/45))+24*SIN(2*PI()*(Inputs!$C$6)/9+(Scenario_Data!W4)/18)*EXP(-(((Inputs!$C$6)+5)^2)/(22^2))+18*SIN(2*PI()*(Scenario_Data!W4)/70))+Inputs!$C$28*EXP(-(((Scenario_Data!W4)-Inputs!$C$29)^2)/(2*Inputs!$C$31^2))*EXP(-(((Inputs!$C$6)-Inputs!$C$30)^2)/(2*Inputs!$C$32^2))+-Inputs!$C$33*EXP(-(((((Scenario_Data!W4)-Inputs!$C$34)^2)+(((Inputs!$C$6)-Inputs!$C$35)^2))/(2*Inputs!$C$36^2)))+Inputs!$C$37*(0.55*SIN(2*PI()*(Scenario_Data!W4)/Inputs!$C$39)+0.35*COS(2*PI()*(Inputs!$C$6)/Inputs!$C$40)+0.2*SIN(2*PI()*((Scenario_Data!W4)+(Inputs!$C$6))/(0.5*(Inputs!$C$39+Inputs!$C$40))))+Inputs!$C$38*SIN(2*PI()*(Scenario_Data!W4)/Inputs!$C$39)*SIN(2*PI()*(Inputs!$C$6)/Inputs!$C$40)+-Inputs!$C$41*EXP(-(((Inputs!$C$6)-Inputs!$C$43)^2)/(2*Inputs!$C$44^2))*EXP(-(((Scenario_Data!W4)-Inputs!$C$42)^2)/(2*Inputs!$C$45^2))+Inputs!$C$48*(0.7*(0.45*SIN(2*PI()*(((Scenario_Data!W4)/Inputs!$C$49)+Inputs!$C$47*0.137))+0.35*COS(2*PI()*(((Inputs!$C$6)/Inputs!$C$50)+Inputs!$C$47*0.173))+0.2*SIN(2*PI()*((((Scenario_Data!W4)+(Inputs!$C$6))/(0.5*(Inputs!$C$49+Inputs!$C$50)))+Inputs!$C$47*0.097)))+0.3*(2*((SIN(((Scenario_Data!W4)*12.9898+(Inputs!$C$6)*78.233+Inputs!$C$47*37.719))*43758.5453)-INT((SIN(((Scenario_Data!W4)*12.9898+(Inputs!$C$6)*78.233+Inputs!$C$47*37.719))*43758.5453)))-1))))/1000))^2-2*(Inputs!$C$52+(Scenario_Data!E4))*(Inputs!$C$52+((IF(OR(Inputs!$C$27=TRUE,Inputs!$C$27="TRUE",Inputs!$C$27=1),1,0)*(Inputs!$C$51*(115*EXP(-(((Inputs!$C$6)-25)^2)/(4.5^2))+70*EXP(-(((Inputs!$C$6)+38)^2)/(7^2))*(0.55+0.45*SIN(2*PI()*(Scenario_Data!W4)/45))+24*SIN(2*PI()*(Inputs!$C$6)/9+(Scenario_Data!W4)/18)*EXP(-(((Inputs!$C$6)+5)^2)/(22^2))+18*SIN(2*PI()*(Scenario_Data!W4)/70))+Inputs!$C$28*EXP(-(((Scenario_Data!W4)-Inputs!$C$29)^2)/(2*Inputs!$C$31^2))*EXP(-(((Inputs!$C$6)-Inputs!$C$30)^2)/(2*Inputs!$C$32^2))+-Inputs!$C$33*EXP(-(((((Scenario_Data!W4)-Inputs!$C$34)^2)+(((Inputs!$C$6)-Inputs!$C$35)^2))/(2*Inputs!$C$36^2)))+Inputs!$C$37*(0.55*SIN(2*PI()*(Scenario_Data!W4)/Inputs!$C$39)+0.35*COS(2*PI()*(Inputs!$C$6)/Inputs!$C$40)+0.2*SIN(2*PI()*((Scenario_Data!W4)+(Inputs!$C$6))/(0.5*(Inputs!$C$39+Inputs!$C$40))))+Inputs!$C$38*SIN(2*PI()*(Scenario_Data!W4)/Inputs!$C$39)*SIN(2*PI()*(Inputs!$C$6)/Inputs!$C$40)+-Inputs!$C$41*EXP(-(((Inputs!$C$6)-Inputs!$C$43)^2)/(2*Inputs!$C$44^2))*EXP(-(((Scenario_Data!W4)-Inputs!$C$42)^2)/(2*Inputs!$C$45^2))+Inputs!$C$48*(0.7*(0.45*SIN(2*PI()*(((Scenario_Data!W4)/Inputs!$C$49)+Inputs!$C$47*0.137))+0.35*COS(2*PI()*(((Inputs!$C$6)/Inputs!$C$50)+Inputs!$C$47*0.173))+0.2*SIN(2*PI()*((((Scenario_Data!W4)+(Inputs!$C$6))/(0.5*(Inputs!$C$49+Inputs!$C$50)))+Inputs!$C$47*0.097)))+0.3*(2*((SIN(((Scenario_Data!W4)*12.9898+(Inputs!$C$6)*78.233+Inputs!$C$47*37.719))*43758.5453)-INT((SIN(((Scenario_Data!W4)*12.9898+(Inputs!$C$6)*78.233+Inputs!$C$47*37.719))*43758.5453)))-1))))/1000))*COS(SQRT((Scenario_Data!W4)^2+Inputs!$C$6^2)/Inputs!$C$52))*1000)/Inputs!$C$21*1000000</f>
        <v/>
      </c>
    </row>
    <row r="5">
      <c r="A5">
        <f>Chart_Data!K5</f>
        <v/>
      </c>
      <c r="B5">
        <f>Chart_Data!N5-Chart_Data!L5</f>
        <v/>
      </c>
      <c r="D5">
        <f>Chart_Data!G5</f>
        <v/>
      </c>
      <c r="E5">
        <f>Chart_Data!H5</f>
        <v/>
      </c>
      <c r="F5">
        <f>Chart_Data!I5</f>
        <v/>
      </c>
      <c r="G5">
        <f>Chart_Data!J5</f>
        <v/>
      </c>
      <c r="I5">
        <f>Scenario_Data!A5</f>
        <v/>
      </c>
      <c r="J5">
        <f>Scenario_Data!H5-(((SQRT((Inputs!$C$52+(Inputs!$H$6))^2+Inputs!$C$52^2-2*(Inputs!$C$52+(Inputs!$H$6))*Inputs!$C$52*COS(SQRT((Scenario_Data!T5)^2+Inputs!$C$6^2)/Inputs!$C$52)))-(Inputs!$H$6))*1000/Inputs!$C$12)</f>
        <v/>
      </c>
      <c r="K5">
        <f>Scenario_Data!I5-(((SQRT((Inputs!$C$52+(Inputs!$H$7))^2+Inputs!$C$52^2-2*(Inputs!$C$52+(Inputs!$H$7))*Inputs!$C$52*COS(SQRT((Scenario_Data!U5)^2+Inputs!$C$6^2)/Inputs!$C$52)))-(Inputs!$H$7))*1000/Inputs!$C$12)</f>
        <v/>
      </c>
      <c r="L5">
        <f>Scenario_Data!J5-(((SQRT((Inputs!$C$52+(Inputs!$H$8))^2+Inputs!$C$52^2-2*(Inputs!$C$52+(Inputs!$H$8))*Inputs!$C$52*COS(SQRT((Scenario_Data!V5)^2+Inputs!$C$6^2)/Inputs!$C$52)))-(Inputs!$H$8))*1000/Inputs!$C$12)</f>
        <v/>
      </c>
      <c r="M5">
        <f>Scenario_Data!K5-(((SQRT((Inputs!$C$52+(Inputs!$H$9))^2+Inputs!$C$52^2-2*(Inputs!$C$52+(Inputs!$H$9))*Inputs!$C$52*COS(SQRT((Scenario_Data!W5)^2+Inputs!$C$6^2)/Inputs!$C$52)))-(Inputs!$H$9))*1000/Inputs!$C$12)</f>
        <v/>
      </c>
      <c r="O5">
        <f>Scenario_Data!T5</f>
        <v/>
      </c>
      <c r="P5">
        <f>2*(Scenario_Data!B5*1000)/Inputs!$C$21*1000000</f>
        <v/>
      </c>
      <c r="Q5">
        <f>Scenario_Data!U5</f>
        <v/>
      </c>
      <c r="R5">
        <f>2*(Scenario_Data!C5*1000)/Inputs!$C$21*1000000</f>
        <v/>
      </c>
      <c r="S5">
        <f>Scenario_Data!V5</f>
        <v/>
      </c>
      <c r="T5">
        <f>2*(Scenario_Data!D5*1000)/Inputs!$C$21*1000000</f>
        <v/>
      </c>
      <c r="U5">
        <f>Scenario_Data!W5</f>
        <v/>
      </c>
      <c r="V5">
        <f>2*(Scenario_Data!E5*1000)/Inputs!$C$21*1000000</f>
        <v/>
      </c>
      <c r="X5">
        <f>Scenario_Data!T5</f>
        <v/>
      </c>
      <c r="Y5">
        <f>2*((Scenario_Data!B5*1000)-(IF(OR(Inputs!$C$27=TRUE,Inputs!$C$27="TRUE",Inputs!$C$27=1),1,0)*(Inputs!$C$51*(115*EXP(-(((0)-25)^2)/(4.5^2))+70*EXP(-(((0)+38)^2)/(7^2))*(0.55+0.45*SIN(2*PI()*(Scenario_Data!T5)/45))+24*SIN(2*PI()*(0)/9+(Scenario_Data!T5)/18)*EXP(-(((0)+5)^2)/(22^2))+18*SIN(2*PI()*(Scenario_Data!T5)/70))+Inputs!$C$28*EXP(-(((Scenario_Data!T5)-Inputs!$C$29)^2)/(2*Inputs!$C$31^2))*EXP(-(((0)-Inputs!$C$30)^2)/(2*Inputs!$C$32^2))+-Inputs!$C$33*EXP(-(((((Scenario_Data!T5)-Inputs!$C$34)^2)+(((0)-Inputs!$C$35)^2))/(2*Inputs!$C$36^2)))+Inputs!$C$37*(0.55*SIN(2*PI()*(Scenario_Data!T5)/Inputs!$C$39)+0.35*COS(2*PI()*(0)/Inputs!$C$40)+0.2*SIN(2*PI()*((Scenario_Data!T5)+(0))/(0.5*(Inputs!$C$39+Inputs!$C$40))))+Inputs!$C$38*SIN(2*PI()*(Scenario_Data!T5)/Inputs!$C$39)*SIN(2*PI()*(0)/Inputs!$C$40)+-Inputs!$C$41*EXP(-(((0)-Inputs!$C$43)^2)/(2*Inputs!$C$44^2))*EXP(-(((Scenario_Data!T5)-Inputs!$C$42)^2)/(2*Inputs!$C$45^2))+Inputs!$C$48*(0.7*(0.45*SIN(2*PI()*(((Scenario_Data!T5)/Inputs!$C$49)+Inputs!$C$47*0.137))+0.35*COS(2*PI()*(((0)/Inputs!$C$50)+Inputs!$C$47*0.173))+0.2*SIN(2*PI()*((((Scenario_Data!T5)+(0))/(0.5*(Inputs!$C$49+Inputs!$C$50)))+Inputs!$C$47*0.097)))+0.3*(2*((SIN(((Scenario_Data!T5)*12.9898+(0)*78.233+Inputs!$C$47*37.719))*43758.5453)-INT((SIN(((Scenario_Data!T5)*12.9898+(0)*78.233+Inputs!$C$47*37.719))*43758.5453)))-1)))))/Inputs!$C$21*1000000</f>
        <v/>
      </c>
      <c r="Z5">
        <f>Scenario_Data!U5</f>
        <v/>
      </c>
      <c r="AA5">
        <f>2*((Scenario_Data!C5*1000)-(IF(OR(Inputs!$C$27=TRUE,Inputs!$C$27="TRUE",Inputs!$C$27=1),1,0)*(Inputs!$C$51*(115*EXP(-(((0)-25)^2)/(4.5^2))+70*EXP(-(((0)+38)^2)/(7^2))*(0.55+0.45*SIN(2*PI()*(Scenario_Data!U5)/45))+24*SIN(2*PI()*(0)/9+(Scenario_Data!U5)/18)*EXP(-(((0)+5)^2)/(22^2))+18*SIN(2*PI()*(Scenario_Data!U5)/70))+Inputs!$C$28*EXP(-(((Scenario_Data!U5)-Inputs!$C$29)^2)/(2*Inputs!$C$31^2))*EXP(-(((0)-Inputs!$C$30)^2)/(2*Inputs!$C$32^2))+-Inputs!$C$33*EXP(-(((((Scenario_Data!U5)-Inputs!$C$34)^2)+(((0)-Inputs!$C$35)^2))/(2*Inputs!$C$36^2)))+Inputs!$C$37*(0.55*SIN(2*PI()*(Scenario_Data!U5)/Inputs!$C$39)+0.35*COS(2*PI()*(0)/Inputs!$C$40)+0.2*SIN(2*PI()*((Scenario_Data!U5)+(0))/(0.5*(Inputs!$C$39+Inputs!$C$40))))+Inputs!$C$38*SIN(2*PI()*(Scenario_Data!U5)/Inputs!$C$39)*SIN(2*PI()*(0)/Inputs!$C$40)+-Inputs!$C$41*EXP(-(((0)-Inputs!$C$43)^2)/(2*Inputs!$C$44^2))*EXP(-(((Scenario_Data!U5)-Inputs!$C$42)^2)/(2*Inputs!$C$45^2))+Inputs!$C$48*(0.7*(0.45*SIN(2*PI()*(((Scenario_Data!U5)/Inputs!$C$49)+Inputs!$C$47*0.137))+0.35*COS(2*PI()*(((0)/Inputs!$C$50)+Inputs!$C$47*0.173))+0.2*SIN(2*PI()*((((Scenario_Data!U5)+(0))/(0.5*(Inputs!$C$49+Inputs!$C$50)))+Inputs!$C$47*0.097)))+0.3*(2*((SIN(((Scenario_Data!U5)*12.9898+(0)*78.233+Inputs!$C$47*37.719))*43758.5453)-INT((SIN(((Scenario_Data!U5)*12.9898+(0)*78.233+Inputs!$C$47*37.719))*43758.5453)))-1)))))/Inputs!$C$21*1000000</f>
        <v/>
      </c>
      <c r="AB5">
        <f>Scenario_Data!V5</f>
        <v/>
      </c>
      <c r="AC5">
        <f>2*((Scenario_Data!D5*1000)-(IF(OR(Inputs!$C$27=TRUE,Inputs!$C$27="TRUE",Inputs!$C$27=1),1,0)*(Inputs!$C$51*(115*EXP(-(((0)-25)^2)/(4.5^2))+70*EXP(-(((0)+38)^2)/(7^2))*(0.55+0.45*SIN(2*PI()*(Scenario_Data!V5)/45))+24*SIN(2*PI()*(0)/9+(Scenario_Data!V5)/18)*EXP(-(((0)+5)^2)/(22^2))+18*SIN(2*PI()*(Scenario_Data!V5)/70))+Inputs!$C$28*EXP(-(((Scenario_Data!V5)-Inputs!$C$29)^2)/(2*Inputs!$C$31^2))*EXP(-(((0)-Inputs!$C$30)^2)/(2*Inputs!$C$32^2))+-Inputs!$C$33*EXP(-(((((Scenario_Data!V5)-Inputs!$C$34)^2)+(((0)-Inputs!$C$35)^2))/(2*Inputs!$C$36^2)))+Inputs!$C$37*(0.55*SIN(2*PI()*(Scenario_Data!V5)/Inputs!$C$39)+0.35*COS(2*PI()*(0)/Inputs!$C$40)+0.2*SIN(2*PI()*((Scenario_Data!V5)+(0))/(0.5*(Inputs!$C$39+Inputs!$C$40))))+Inputs!$C$38*SIN(2*PI()*(Scenario_Data!V5)/Inputs!$C$39)*SIN(2*PI()*(0)/Inputs!$C$40)+-Inputs!$C$41*EXP(-(((0)-Inputs!$C$43)^2)/(2*Inputs!$C$44^2))*EXP(-(((Scenario_Data!V5)-Inputs!$C$42)^2)/(2*Inputs!$C$45^2))+Inputs!$C$48*(0.7*(0.45*SIN(2*PI()*(((Scenario_Data!V5)/Inputs!$C$49)+Inputs!$C$47*0.137))+0.35*COS(2*PI()*(((0)/Inputs!$C$50)+Inputs!$C$47*0.173))+0.2*SIN(2*PI()*((((Scenario_Data!V5)+(0))/(0.5*(Inputs!$C$49+Inputs!$C$50)))+Inputs!$C$47*0.097)))+0.3*(2*((SIN(((Scenario_Data!V5)*12.9898+(0)*78.233+Inputs!$C$47*37.719))*43758.5453)-INT((SIN(((Scenario_Data!V5)*12.9898+(0)*78.233+Inputs!$C$47*37.719))*43758.5453)))-1)))))/Inputs!$C$21*1000000</f>
        <v/>
      </c>
      <c r="AD5">
        <f>Scenario_Data!W5</f>
        <v/>
      </c>
      <c r="AE5">
        <f>2*((Scenario_Data!E5*1000)-(IF(OR(Inputs!$C$27=TRUE,Inputs!$C$27="TRUE",Inputs!$C$27=1),1,0)*(Inputs!$C$51*(115*EXP(-(((0)-25)^2)/(4.5^2))+70*EXP(-(((0)+38)^2)/(7^2))*(0.55+0.45*SIN(2*PI()*(Scenario_Data!W5)/45))+24*SIN(2*PI()*(0)/9+(Scenario_Data!W5)/18)*EXP(-(((0)+5)^2)/(22^2))+18*SIN(2*PI()*(Scenario_Data!W5)/70))+Inputs!$C$28*EXP(-(((Scenario_Data!W5)-Inputs!$C$29)^2)/(2*Inputs!$C$31^2))*EXP(-(((0)-Inputs!$C$30)^2)/(2*Inputs!$C$32^2))+-Inputs!$C$33*EXP(-(((((Scenario_Data!W5)-Inputs!$C$34)^2)+(((0)-Inputs!$C$35)^2))/(2*Inputs!$C$36^2)))+Inputs!$C$37*(0.55*SIN(2*PI()*(Scenario_Data!W5)/Inputs!$C$39)+0.35*COS(2*PI()*(0)/Inputs!$C$40)+0.2*SIN(2*PI()*((Scenario_Data!W5)+(0))/(0.5*(Inputs!$C$39+Inputs!$C$40))))+Inputs!$C$38*SIN(2*PI()*(Scenario_Data!W5)/Inputs!$C$39)*SIN(2*PI()*(0)/Inputs!$C$40)+-Inputs!$C$41*EXP(-(((0)-Inputs!$C$43)^2)/(2*Inputs!$C$44^2))*EXP(-(((Scenario_Data!W5)-Inputs!$C$42)^2)/(2*Inputs!$C$45^2))+Inputs!$C$48*(0.7*(0.45*SIN(2*PI()*(((Scenario_Data!W5)/Inputs!$C$49)+Inputs!$C$47*0.137))+0.35*COS(2*PI()*(((0)/Inputs!$C$50)+Inputs!$C$47*0.173))+0.2*SIN(2*PI()*((((Scenario_Data!W5)+(0))/(0.5*(Inputs!$C$49+Inputs!$C$50)))+Inputs!$C$47*0.097)))+0.3*(2*((SIN(((Scenario_Data!W5)*12.9898+(0)*78.233+Inputs!$C$47*37.719))*43758.5453)-INT((SIN(((Scenario_Data!W5)*12.9898+(0)*78.233+Inputs!$C$47*37.719))*43758.5453)))-1)))))/Inputs!$C$21*1000000</f>
        <v/>
      </c>
      <c r="AG5">
        <f>Scenario_Data!T5</f>
        <v/>
      </c>
      <c r="AH5">
        <f>2*(SQRT((Inputs!$C$52+(Scenario_Data!B5))^2+Inputs!$C$52^2-2*(Inputs!$C$52+(Scenario_Data!B5))*Inputs!$C$52*COS(SQRT((Scenario_Data!T5)^2+Inputs!$C$6^2)/Inputs!$C$52))*1000)/Inputs!$C$21*1000000</f>
        <v/>
      </c>
      <c r="AI5">
        <f>Scenario_Data!U5</f>
        <v/>
      </c>
      <c r="AJ5">
        <f>2*(SQRT((Inputs!$C$52+(Scenario_Data!C5))^2+Inputs!$C$52^2-2*(Inputs!$C$52+(Scenario_Data!C5))*Inputs!$C$52*COS(SQRT((Scenario_Data!U5)^2+Inputs!$C$6^2)/Inputs!$C$52))*1000)/Inputs!$C$21*1000000</f>
        <v/>
      </c>
      <c r="AK5">
        <f>Scenario_Data!V5</f>
        <v/>
      </c>
      <c r="AL5">
        <f>2*(SQRT((Inputs!$C$52+(Scenario_Data!D5))^2+Inputs!$C$52^2-2*(Inputs!$C$52+(Scenario_Data!D5))*Inputs!$C$52*COS(SQRT((Scenario_Data!V5)^2+Inputs!$C$6^2)/Inputs!$C$52))*1000)/Inputs!$C$21*1000000</f>
        <v/>
      </c>
      <c r="AM5">
        <f>Scenario_Data!W5</f>
        <v/>
      </c>
      <c r="AN5">
        <f>2*(SQRT((Inputs!$C$52+(Scenario_Data!E5))^2+Inputs!$C$52^2-2*(Inputs!$C$52+(Scenario_Data!E5))*Inputs!$C$52*COS(SQRT((Scenario_Data!W5)^2+Inputs!$C$6^2)/Inputs!$C$52))*1000)/Inputs!$C$21*1000000</f>
        <v/>
      </c>
      <c r="AP5">
        <f>Scenario_Data!T5</f>
        <v/>
      </c>
      <c r="AQ5">
        <f>2*(SQRT((Inputs!$C$52+(Scenario_Data!B5))^2+(Inputs!$C$52+((IF(OR(Inputs!$C$27=TRUE,Inputs!$C$27="TRUE",Inputs!$C$27=1),1,0)*(Inputs!$C$51*(115*EXP(-(((Inputs!$C$6)-25)^2)/(4.5^2))+70*EXP(-(((Inputs!$C$6)+38)^2)/(7^2))*(0.55+0.45*SIN(2*PI()*(Scenario_Data!T5)/45))+24*SIN(2*PI()*(Inputs!$C$6)/9+(Scenario_Data!T5)/18)*EXP(-(((Inputs!$C$6)+5)^2)/(22^2))+18*SIN(2*PI()*(Scenario_Data!T5)/70))+Inputs!$C$28*EXP(-(((Scenario_Data!T5)-Inputs!$C$29)^2)/(2*Inputs!$C$31^2))*EXP(-(((Inputs!$C$6)-Inputs!$C$30)^2)/(2*Inputs!$C$32^2))+-Inputs!$C$33*EXP(-(((((Scenario_Data!T5)-Inputs!$C$34)^2)+(((Inputs!$C$6)-Inputs!$C$35)^2))/(2*Inputs!$C$36^2)))+Inputs!$C$37*(0.55*SIN(2*PI()*(Scenario_Data!T5)/Inputs!$C$39)+0.35*COS(2*PI()*(Inputs!$C$6)/Inputs!$C$40)+0.2*SIN(2*PI()*((Scenario_Data!T5)+(Inputs!$C$6))/(0.5*(Inputs!$C$39+Inputs!$C$40))))+Inputs!$C$38*SIN(2*PI()*(Scenario_Data!T5)/Inputs!$C$39)*SIN(2*PI()*(Inputs!$C$6)/Inputs!$C$40)+-Inputs!$C$41*EXP(-(((Inputs!$C$6)-Inputs!$C$43)^2)/(2*Inputs!$C$44^2))*EXP(-(((Scenario_Data!T5)-Inputs!$C$42)^2)/(2*Inputs!$C$45^2))+Inputs!$C$48*(0.7*(0.45*SIN(2*PI()*(((Scenario_Data!T5)/Inputs!$C$49)+Inputs!$C$47*0.137))+0.35*COS(2*PI()*(((Inputs!$C$6)/Inputs!$C$50)+Inputs!$C$47*0.173))+0.2*SIN(2*PI()*((((Scenario_Data!T5)+(Inputs!$C$6))/(0.5*(Inputs!$C$49+Inputs!$C$50)))+Inputs!$C$47*0.097)))+0.3*(2*((SIN(((Scenario_Data!T5)*12.9898+(Inputs!$C$6)*78.233+Inputs!$C$47*37.719))*43758.5453)-INT((SIN(((Scenario_Data!T5)*12.9898+(Inputs!$C$6)*78.233+Inputs!$C$47*37.719))*43758.5453)))-1))))/1000))^2-2*(Inputs!$C$52+(Scenario_Data!B5))*(Inputs!$C$52+((IF(OR(Inputs!$C$27=TRUE,Inputs!$C$27="TRUE",Inputs!$C$27=1),1,0)*(Inputs!$C$51*(115*EXP(-(((Inputs!$C$6)-25)^2)/(4.5^2))+70*EXP(-(((Inputs!$C$6)+38)^2)/(7^2))*(0.55+0.45*SIN(2*PI()*(Scenario_Data!T5)/45))+24*SIN(2*PI()*(Inputs!$C$6)/9+(Scenario_Data!T5)/18)*EXP(-(((Inputs!$C$6)+5)^2)/(22^2))+18*SIN(2*PI()*(Scenario_Data!T5)/70))+Inputs!$C$28*EXP(-(((Scenario_Data!T5)-Inputs!$C$29)^2)/(2*Inputs!$C$31^2))*EXP(-(((Inputs!$C$6)-Inputs!$C$30)^2)/(2*Inputs!$C$32^2))+-Inputs!$C$33*EXP(-(((((Scenario_Data!T5)-Inputs!$C$34)^2)+(((Inputs!$C$6)-Inputs!$C$35)^2))/(2*Inputs!$C$36^2)))+Inputs!$C$37*(0.55*SIN(2*PI()*(Scenario_Data!T5)/Inputs!$C$39)+0.35*COS(2*PI()*(Inputs!$C$6)/Inputs!$C$40)+0.2*SIN(2*PI()*((Scenario_Data!T5)+(Inputs!$C$6))/(0.5*(Inputs!$C$39+Inputs!$C$40))))+Inputs!$C$38*SIN(2*PI()*(Scenario_Data!T5)/Inputs!$C$39)*SIN(2*PI()*(Inputs!$C$6)/Inputs!$C$40)+-Inputs!$C$41*EXP(-(((Inputs!$C$6)-Inputs!$C$43)^2)/(2*Inputs!$C$44^2))*EXP(-(((Scenario_Data!T5)-Inputs!$C$42)^2)/(2*Inputs!$C$45^2))+Inputs!$C$48*(0.7*(0.45*SIN(2*PI()*(((Scenario_Data!T5)/Inputs!$C$49)+Inputs!$C$47*0.137))+0.35*COS(2*PI()*(((Inputs!$C$6)/Inputs!$C$50)+Inputs!$C$47*0.173))+0.2*SIN(2*PI()*((((Scenario_Data!T5)+(Inputs!$C$6))/(0.5*(Inputs!$C$49+Inputs!$C$50)))+Inputs!$C$47*0.097)))+0.3*(2*((SIN(((Scenario_Data!T5)*12.9898+(Inputs!$C$6)*78.233+Inputs!$C$47*37.719))*43758.5453)-INT((SIN(((Scenario_Data!T5)*12.9898+(Inputs!$C$6)*78.233+Inputs!$C$47*37.719))*43758.5453)))-1))))/1000))*COS(SQRT((Scenario_Data!T5)^2+Inputs!$C$6^2)/Inputs!$C$52))*1000)/Inputs!$C$21*1000000</f>
        <v/>
      </c>
      <c r="AR5">
        <f>Scenario_Data!U5</f>
        <v/>
      </c>
      <c r="AS5">
        <f>2*(SQRT((Inputs!$C$52+(Scenario_Data!C5))^2+(Inputs!$C$52+((IF(OR(Inputs!$C$27=TRUE,Inputs!$C$27="TRUE",Inputs!$C$27=1),1,0)*(Inputs!$C$51*(115*EXP(-(((Inputs!$C$6)-25)^2)/(4.5^2))+70*EXP(-(((Inputs!$C$6)+38)^2)/(7^2))*(0.55+0.45*SIN(2*PI()*(Scenario_Data!U5)/45))+24*SIN(2*PI()*(Inputs!$C$6)/9+(Scenario_Data!U5)/18)*EXP(-(((Inputs!$C$6)+5)^2)/(22^2))+18*SIN(2*PI()*(Scenario_Data!U5)/70))+Inputs!$C$28*EXP(-(((Scenario_Data!U5)-Inputs!$C$29)^2)/(2*Inputs!$C$31^2))*EXP(-(((Inputs!$C$6)-Inputs!$C$30)^2)/(2*Inputs!$C$32^2))+-Inputs!$C$33*EXP(-(((((Scenario_Data!U5)-Inputs!$C$34)^2)+(((Inputs!$C$6)-Inputs!$C$35)^2))/(2*Inputs!$C$36^2)))+Inputs!$C$37*(0.55*SIN(2*PI()*(Scenario_Data!U5)/Inputs!$C$39)+0.35*COS(2*PI()*(Inputs!$C$6)/Inputs!$C$40)+0.2*SIN(2*PI()*((Scenario_Data!U5)+(Inputs!$C$6))/(0.5*(Inputs!$C$39+Inputs!$C$40))))+Inputs!$C$38*SIN(2*PI()*(Scenario_Data!U5)/Inputs!$C$39)*SIN(2*PI()*(Inputs!$C$6)/Inputs!$C$40)+-Inputs!$C$41*EXP(-(((Inputs!$C$6)-Inputs!$C$43)^2)/(2*Inputs!$C$44^2))*EXP(-(((Scenario_Data!U5)-Inputs!$C$42)^2)/(2*Inputs!$C$45^2))+Inputs!$C$48*(0.7*(0.45*SIN(2*PI()*(((Scenario_Data!U5)/Inputs!$C$49)+Inputs!$C$47*0.137))+0.35*COS(2*PI()*(((Inputs!$C$6)/Inputs!$C$50)+Inputs!$C$47*0.173))+0.2*SIN(2*PI()*((((Scenario_Data!U5)+(Inputs!$C$6))/(0.5*(Inputs!$C$49+Inputs!$C$50)))+Inputs!$C$47*0.097)))+0.3*(2*((SIN(((Scenario_Data!U5)*12.9898+(Inputs!$C$6)*78.233+Inputs!$C$47*37.719))*43758.5453)-INT((SIN(((Scenario_Data!U5)*12.9898+(Inputs!$C$6)*78.233+Inputs!$C$47*37.719))*43758.5453)))-1))))/1000))^2-2*(Inputs!$C$52+(Scenario_Data!C5))*(Inputs!$C$52+((IF(OR(Inputs!$C$27=TRUE,Inputs!$C$27="TRUE",Inputs!$C$27=1),1,0)*(Inputs!$C$51*(115*EXP(-(((Inputs!$C$6)-25)^2)/(4.5^2))+70*EXP(-(((Inputs!$C$6)+38)^2)/(7^2))*(0.55+0.45*SIN(2*PI()*(Scenario_Data!U5)/45))+24*SIN(2*PI()*(Inputs!$C$6)/9+(Scenario_Data!U5)/18)*EXP(-(((Inputs!$C$6)+5)^2)/(22^2))+18*SIN(2*PI()*(Scenario_Data!U5)/70))+Inputs!$C$28*EXP(-(((Scenario_Data!U5)-Inputs!$C$29)^2)/(2*Inputs!$C$31^2))*EXP(-(((Inputs!$C$6)-Inputs!$C$30)^2)/(2*Inputs!$C$32^2))+-Inputs!$C$33*EXP(-(((((Scenario_Data!U5)-Inputs!$C$34)^2)+(((Inputs!$C$6)-Inputs!$C$35)^2))/(2*Inputs!$C$36^2)))+Inputs!$C$37*(0.55*SIN(2*PI()*(Scenario_Data!U5)/Inputs!$C$39)+0.35*COS(2*PI()*(Inputs!$C$6)/Inputs!$C$40)+0.2*SIN(2*PI()*((Scenario_Data!U5)+(Inputs!$C$6))/(0.5*(Inputs!$C$39+Inputs!$C$40))))+Inputs!$C$38*SIN(2*PI()*(Scenario_Data!U5)/Inputs!$C$39)*SIN(2*PI()*(Inputs!$C$6)/Inputs!$C$40)+-Inputs!$C$41*EXP(-(((Inputs!$C$6)-Inputs!$C$43)^2)/(2*Inputs!$C$44^2))*EXP(-(((Scenario_Data!U5)-Inputs!$C$42)^2)/(2*Inputs!$C$45^2))+Inputs!$C$48*(0.7*(0.45*SIN(2*PI()*(((Scenario_Data!U5)/Inputs!$C$49)+Inputs!$C$47*0.137))+0.35*COS(2*PI()*(((Inputs!$C$6)/Inputs!$C$50)+Inputs!$C$47*0.173))+0.2*SIN(2*PI()*((((Scenario_Data!U5)+(Inputs!$C$6))/(0.5*(Inputs!$C$49+Inputs!$C$50)))+Inputs!$C$47*0.097)))+0.3*(2*((SIN(((Scenario_Data!U5)*12.9898+(Inputs!$C$6)*78.233+Inputs!$C$47*37.719))*43758.5453)-INT((SIN(((Scenario_Data!U5)*12.9898+(Inputs!$C$6)*78.233+Inputs!$C$47*37.719))*43758.5453)))-1))))/1000))*COS(SQRT((Scenario_Data!U5)^2+Inputs!$C$6^2)/Inputs!$C$52))*1000)/Inputs!$C$21*1000000</f>
        <v/>
      </c>
      <c r="AT5">
        <f>Scenario_Data!V5</f>
        <v/>
      </c>
      <c r="AU5">
        <f>2*(SQRT((Inputs!$C$52+(Scenario_Data!D5))^2+(Inputs!$C$52+((IF(OR(Inputs!$C$27=TRUE,Inputs!$C$27="TRUE",Inputs!$C$27=1),1,0)*(Inputs!$C$51*(115*EXP(-(((Inputs!$C$6)-25)^2)/(4.5^2))+70*EXP(-(((Inputs!$C$6)+38)^2)/(7^2))*(0.55+0.45*SIN(2*PI()*(Scenario_Data!V5)/45))+24*SIN(2*PI()*(Inputs!$C$6)/9+(Scenario_Data!V5)/18)*EXP(-(((Inputs!$C$6)+5)^2)/(22^2))+18*SIN(2*PI()*(Scenario_Data!V5)/70))+Inputs!$C$28*EXP(-(((Scenario_Data!V5)-Inputs!$C$29)^2)/(2*Inputs!$C$31^2))*EXP(-(((Inputs!$C$6)-Inputs!$C$30)^2)/(2*Inputs!$C$32^2))+-Inputs!$C$33*EXP(-(((((Scenario_Data!V5)-Inputs!$C$34)^2)+(((Inputs!$C$6)-Inputs!$C$35)^2))/(2*Inputs!$C$36^2)))+Inputs!$C$37*(0.55*SIN(2*PI()*(Scenario_Data!V5)/Inputs!$C$39)+0.35*COS(2*PI()*(Inputs!$C$6)/Inputs!$C$40)+0.2*SIN(2*PI()*((Scenario_Data!V5)+(Inputs!$C$6))/(0.5*(Inputs!$C$39+Inputs!$C$40))))+Inputs!$C$38*SIN(2*PI()*(Scenario_Data!V5)/Inputs!$C$39)*SIN(2*PI()*(Inputs!$C$6)/Inputs!$C$40)+-Inputs!$C$41*EXP(-(((Inputs!$C$6)-Inputs!$C$43)^2)/(2*Inputs!$C$44^2))*EXP(-(((Scenario_Data!V5)-Inputs!$C$42)^2)/(2*Inputs!$C$45^2))+Inputs!$C$48*(0.7*(0.45*SIN(2*PI()*(((Scenario_Data!V5)/Inputs!$C$49)+Inputs!$C$47*0.137))+0.35*COS(2*PI()*(((Inputs!$C$6)/Inputs!$C$50)+Inputs!$C$47*0.173))+0.2*SIN(2*PI()*((((Scenario_Data!V5)+(Inputs!$C$6))/(0.5*(Inputs!$C$49+Inputs!$C$50)))+Inputs!$C$47*0.097)))+0.3*(2*((SIN(((Scenario_Data!V5)*12.9898+(Inputs!$C$6)*78.233+Inputs!$C$47*37.719))*43758.5453)-INT((SIN(((Scenario_Data!V5)*12.9898+(Inputs!$C$6)*78.233+Inputs!$C$47*37.719))*43758.5453)))-1))))/1000))^2-2*(Inputs!$C$52+(Scenario_Data!D5))*(Inputs!$C$52+((IF(OR(Inputs!$C$27=TRUE,Inputs!$C$27="TRUE",Inputs!$C$27=1),1,0)*(Inputs!$C$51*(115*EXP(-(((Inputs!$C$6)-25)^2)/(4.5^2))+70*EXP(-(((Inputs!$C$6)+38)^2)/(7^2))*(0.55+0.45*SIN(2*PI()*(Scenario_Data!V5)/45))+24*SIN(2*PI()*(Inputs!$C$6)/9+(Scenario_Data!V5)/18)*EXP(-(((Inputs!$C$6)+5)^2)/(22^2))+18*SIN(2*PI()*(Scenario_Data!V5)/70))+Inputs!$C$28*EXP(-(((Scenario_Data!V5)-Inputs!$C$29)^2)/(2*Inputs!$C$31^2))*EXP(-(((Inputs!$C$6)-Inputs!$C$30)^2)/(2*Inputs!$C$32^2))+-Inputs!$C$33*EXP(-(((((Scenario_Data!V5)-Inputs!$C$34)^2)+(((Inputs!$C$6)-Inputs!$C$35)^2))/(2*Inputs!$C$36^2)))+Inputs!$C$37*(0.55*SIN(2*PI()*(Scenario_Data!V5)/Inputs!$C$39)+0.35*COS(2*PI()*(Inputs!$C$6)/Inputs!$C$40)+0.2*SIN(2*PI()*((Scenario_Data!V5)+(Inputs!$C$6))/(0.5*(Inputs!$C$39+Inputs!$C$40))))+Inputs!$C$38*SIN(2*PI()*(Scenario_Data!V5)/Inputs!$C$39)*SIN(2*PI()*(Inputs!$C$6)/Inputs!$C$40)+-Inputs!$C$41*EXP(-(((Inputs!$C$6)-Inputs!$C$43)^2)/(2*Inputs!$C$44^2))*EXP(-(((Scenario_Data!V5)-Inputs!$C$42)^2)/(2*Inputs!$C$45^2))+Inputs!$C$48*(0.7*(0.45*SIN(2*PI()*(((Scenario_Data!V5)/Inputs!$C$49)+Inputs!$C$47*0.137))+0.35*COS(2*PI()*(((Inputs!$C$6)/Inputs!$C$50)+Inputs!$C$47*0.173))+0.2*SIN(2*PI()*((((Scenario_Data!V5)+(Inputs!$C$6))/(0.5*(Inputs!$C$49+Inputs!$C$50)))+Inputs!$C$47*0.097)))+0.3*(2*((SIN(((Scenario_Data!V5)*12.9898+(Inputs!$C$6)*78.233+Inputs!$C$47*37.719))*43758.5453)-INT((SIN(((Scenario_Data!V5)*12.9898+(Inputs!$C$6)*78.233+Inputs!$C$47*37.719))*43758.5453)))-1))))/1000))*COS(SQRT((Scenario_Data!V5)^2+Inputs!$C$6^2)/Inputs!$C$52))*1000)/Inputs!$C$21*1000000</f>
        <v/>
      </c>
      <c r="AV5">
        <f>Scenario_Data!W5</f>
        <v/>
      </c>
      <c r="AW5">
        <f>2*(SQRT((Inputs!$C$52+(Scenario_Data!E5))^2+(Inputs!$C$52+((IF(OR(Inputs!$C$27=TRUE,Inputs!$C$27="TRUE",Inputs!$C$27=1),1,0)*(Inputs!$C$51*(115*EXP(-(((Inputs!$C$6)-25)^2)/(4.5^2))+70*EXP(-(((Inputs!$C$6)+38)^2)/(7^2))*(0.55+0.45*SIN(2*PI()*(Scenario_Data!W5)/45))+24*SIN(2*PI()*(Inputs!$C$6)/9+(Scenario_Data!W5)/18)*EXP(-(((Inputs!$C$6)+5)^2)/(22^2))+18*SIN(2*PI()*(Scenario_Data!W5)/70))+Inputs!$C$28*EXP(-(((Scenario_Data!W5)-Inputs!$C$29)^2)/(2*Inputs!$C$31^2))*EXP(-(((Inputs!$C$6)-Inputs!$C$30)^2)/(2*Inputs!$C$32^2))+-Inputs!$C$33*EXP(-(((((Scenario_Data!W5)-Inputs!$C$34)^2)+(((Inputs!$C$6)-Inputs!$C$35)^2))/(2*Inputs!$C$36^2)))+Inputs!$C$37*(0.55*SIN(2*PI()*(Scenario_Data!W5)/Inputs!$C$39)+0.35*COS(2*PI()*(Inputs!$C$6)/Inputs!$C$40)+0.2*SIN(2*PI()*((Scenario_Data!W5)+(Inputs!$C$6))/(0.5*(Inputs!$C$39+Inputs!$C$40))))+Inputs!$C$38*SIN(2*PI()*(Scenario_Data!W5)/Inputs!$C$39)*SIN(2*PI()*(Inputs!$C$6)/Inputs!$C$40)+-Inputs!$C$41*EXP(-(((Inputs!$C$6)-Inputs!$C$43)^2)/(2*Inputs!$C$44^2))*EXP(-(((Scenario_Data!W5)-Inputs!$C$42)^2)/(2*Inputs!$C$45^2))+Inputs!$C$48*(0.7*(0.45*SIN(2*PI()*(((Scenario_Data!W5)/Inputs!$C$49)+Inputs!$C$47*0.137))+0.35*COS(2*PI()*(((Inputs!$C$6)/Inputs!$C$50)+Inputs!$C$47*0.173))+0.2*SIN(2*PI()*((((Scenario_Data!W5)+(Inputs!$C$6))/(0.5*(Inputs!$C$49+Inputs!$C$50)))+Inputs!$C$47*0.097)))+0.3*(2*((SIN(((Scenario_Data!W5)*12.9898+(Inputs!$C$6)*78.233+Inputs!$C$47*37.719))*43758.5453)-INT((SIN(((Scenario_Data!W5)*12.9898+(Inputs!$C$6)*78.233+Inputs!$C$47*37.719))*43758.5453)))-1))))/1000))^2-2*(Inputs!$C$52+(Scenario_Data!E5))*(Inputs!$C$52+((IF(OR(Inputs!$C$27=TRUE,Inputs!$C$27="TRUE",Inputs!$C$27=1),1,0)*(Inputs!$C$51*(115*EXP(-(((Inputs!$C$6)-25)^2)/(4.5^2))+70*EXP(-(((Inputs!$C$6)+38)^2)/(7^2))*(0.55+0.45*SIN(2*PI()*(Scenario_Data!W5)/45))+24*SIN(2*PI()*(Inputs!$C$6)/9+(Scenario_Data!W5)/18)*EXP(-(((Inputs!$C$6)+5)^2)/(22^2))+18*SIN(2*PI()*(Scenario_Data!W5)/70))+Inputs!$C$28*EXP(-(((Scenario_Data!W5)-Inputs!$C$29)^2)/(2*Inputs!$C$31^2))*EXP(-(((Inputs!$C$6)-Inputs!$C$30)^2)/(2*Inputs!$C$32^2))+-Inputs!$C$33*EXP(-(((((Scenario_Data!W5)-Inputs!$C$34)^2)+(((Inputs!$C$6)-Inputs!$C$35)^2))/(2*Inputs!$C$36^2)))+Inputs!$C$37*(0.55*SIN(2*PI()*(Scenario_Data!W5)/Inputs!$C$39)+0.35*COS(2*PI()*(Inputs!$C$6)/Inputs!$C$40)+0.2*SIN(2*PI()*((Scenario_Data!W5)+(Inputs!$C$6))/(0.5*(Inputs!$C$39+Inputs!$C$40))))+Inputs!$C$38*SIN(2*PI()*(Scenario_Data!W5)/Inputs!$C$39)*SIN(2*PI()*(Inputs!$C$6)/Inputs!$C$40)+-Inputs!$C$41*EXP(-(((Inputs!$C$6)-Inputs!$C$43)^2)/(2*Inputs!$C$44^2))*EXP(-(((Scenario_Data!W5)-Inputs!$C$42)^2)/(2*Inputs!$C$45^2))+Inputs!$C$48*(0.7*(0.45*SIN(2*PI()*(((Scenario_Data!W5)/Inputs!$C$49)+Inputs!$C$47*0.137))+0.35*COS(2*PI()*(((Inputs!$C$6)/Inputs!$C$50)+Inputs!$C$47*0.173))+0.2*SIN(2*PI()*((((Scenario_Data!W5)+(Inputs!$C$6))/(0.5*(Inputs!$C$49+Inputs!$C$50)))+Inputs!$C$47*0.097)))+0.3*(2*((SIN(((Scenario_Data!W5)*12.9898+(Inputs!$C$6)*78.233+Inputs!$C$47*37.719))*43758.5453)-INT((SIN(((Scenario_Data!W5)*12.9898+(Inputs!$C$6)*78.233+Inputs!$C$47*37.719))*43758.5453)))-1))))/1000))*COS(SQRT((Scenario_Data!W5)^2+Inputs!$C$6^2)/Inputs!$C$52))*1000)/Inputs!$C$21*1000000</f>
        <v/>
      </c>
    </row>
    <row r="6">
      <c r="A6">
        <f>Chart_Data!K6</f>
        <v/>
      </c>
      <c r="B6">
        <f>Chart_Data!N6-Chart_Data!L6</f>
        <v/>
      </c>
      <c r="D6">
        <f>Chart_Data!G6</f>
        <v/>
      </c>
      <c r="E6">
        <f>Chart_Data!H6</f>
        <v/>
      </c>
      <c r="F6">
        <f>Chart_Data!I6</f>
        <v/>
      </c>
      <c r="G6">
        <f>Chart_Data!J6</f>
        <v/>
      </c>
      <c r="I6">
        <f>Scenario_Data!A6</f>
        <v/>
      </c>
      <c r="J6">
        <f>Scenario_Data!H6-(((SQRT((Inputs!$C$52+(Inputs!$H$6))^2+Inputs!$C$52^2-2*(Inputs!$C$52+(Inputs!$H$6))*Inputs!$C$52*COS(SQRT((Scenario_Data!T6)^2+Inputs!$C$6^2)/Inputs!$C$52)))-(Inputs!$H$6))*1000/Inputs!$C$12)</f>
        <v/>
      </c>
      <c r="K6">
        <f>Scenario_Data!I6-(((SQRT((Inputs!$C$52+(Inputs!$H$7))^2+Inputs!$C$52^2-2*(Inputs!$C$52+(Inputs!$H$7))*Inputs!$C$52*COS(SQRT((Scenario_Data!U6)^2+Inputs!$C$6^2)/Inputs!$C$52)))-(Inputs!$H$7))*1000/Inputs!$C$12)</f>
        <v/>
      </c>
      <c r="L6">
        <f>Scenario_Data!J6-(((SQRT((Inputs!$C$52+(Inputs!$H$8))^2+Inputs!$C$52^2-2*(Inputs!$C$52+(Inputs!$H$8))*Inputs!$C$52*COS(SQRT((Scenario_Data!V6)^2+Inputs!$C$6^2)/Inputs!$C$52)))-(Inputs!$H$8))*1000/Inputs!$C$12)</f>
        <v/>
      </c>
      <c r="M6">
        <f>Scenario_Data!K6-(((SQRT((Inputs!$C$52+(Inputs!$H$9))^2+Inputs!$C$52^2-2*(Inputs!$C$52+(Inputs!$H$9))*Inputs!$C$52*COS(SQRT((Scenario_Data!W6)^2+Inputs!$C$6^2)/Inputs!$C$52)))-(Inputs!$H$9))*1000/Inputs!$C$12)</f>
        <v/>
      </c>
      <c r="O6">
        <f>Scenario_Data!T6</f>
        <v/>
      </c>
      <c r="P6">
        <f>2*(Scenario_Data!B6*1000)/Inputs!$C$21*1000000</f>
        <v/>
      </c>
      <c r="Q6">
        <f>Scenario_Data!U6</f>
        <v/>
      </c>
      <c r="R6">
        <f>2*(Scenario_Data!C6*1000)/Inputs!$C$21*1000000</f>
        <v/>
      </c>
      <c r="S6">
        <f>Scenario_Data!V6</f>
        <v/>
      </c>
      <c r="T6">
        <f>2*(Scenario_Data!D6*1000)/Inputs!$C$21*1000000</f>
        <v/>
      </c>
      <c r="U6">
        <f>Scenario_Data!W6</f>
        <v/>
      </c>
      <c r="V6">
        <f>2*(Scenario_Data!E6*1000)/Inputs!$C$21*1000000</f>
        <v/>
      </c>
      <c r="X6">
        <f>Scenario_Data!T6</f>
        <v/>
      </c>
      <c r="Y6">
        <f>2*((Scenario_Data!B6*1000)-(IF(OR(Inputs!$C$27=TRUE,Inputs!$C$27="TRUE",Inputs!$C$27=1),1,0)*(Inputs!$C$51*(115*EXP(-(((0)-25)^2)/(4.5^2))+70*EXP(-(((0)+38)^2)/(7^2))*(0.55+0.45*SIN(2*PI()*(Scenario_Data!T6)/45))+24*SIN(2*PI()*(0)/9+(Scenario_Data!T6)/18)*EXP(-(((0)+5)^2)/(22^2))+18*SIN(2*PI()*(Scenario_Data!T6)/70))+Inputs!$C$28*EXP(-(((Scenario_Data!T6)-Inputs!$C$29)^2)/(2*Inputs!$C$31^2))*EXP(-(((0)-Inputs!$C$30)^2)/(2*Inputs!$C$32^2))+-Inputs!$C$33*EXP(-(((((Scenario_Data!T6)-Inputs!$C$34)^2)+(((0)-Inputs!$C$35)^2))/(2*Inputs!$C$36^2)))+Inputs!$C$37*(0.55*SIN(2*PI()*(Scenario_Data!T6)/Inputs!$C$39)+0.35*COS(2*PI()*(0)/Inputs!$C$40)+0.2*SIN(2*PI()*((Scenario_Data!T6)+(0))/(0.5*(Inputs!$C$39+Inputs!$C$40))))+Inputs!$C$38*SIN(2*PI()*(Scenario_Data!T6)/Inputs!$C$39)*SIN(2*PI()*(0)/Inputs!$C$40)+-Inputs!$C$41*EXP(-(((0)-Inputs!$C$43)^2)/(2*Inputs!$C$44^2))*EXP(-(((Scenario_Data!T6)-Inputs!$C$42)^2)/(2*Inputs!$C$45^2))+Inputs!$C$48*(0.7*(0.45*SIN(2*PI()*(((Scenario_Data!T6)/Inputs!$C$49)+Inputs!$C$47*0.137))+0.35*COS(2*PI()*(((0)/Inputs!$C$50)+Inputs!$C$47*0.173))+0.2*SIN(2*PI()*((((Scenario_Data!T6)+(0))/(0.5*(Inputs!$C$49+Inputs!$C$50)))+Inputs!$C$47*0.097)))+0.3*(2*((SIN(((Scenario_Data!T6)*12.9898+(0)*78.233+Inputs!$C$47*37.719))*43758.5453)-INT((SIN(((Scenario_Data!T6)*12.9898+(0)*78.233+Inputs!$C$47*37.719))*43758.5453)))-1)))))/Inputs!$C$21*1000000</f>
        <v/>
      </c>
      <c r="Z6">
        <f>Scenario_Data!U6</f>
        <v/>
      </c>
      <c r="AA6">
        <f>2*((Scenario_Data!C6*1000)-(IF(OR(Inputs!$C$27=TRUE,Inputs!$C$27="TRUE",Inputs!$C$27=1),1,0)*(Inputs!$C$51*(115*EXP(-(((0)-25)^2)/(4.5^2))+70*EXP(-(((0)+38)^2)/(7^2))*(0.55+0.45*SIN(2*PI()*(Scenario_Data!U6)/45))+24*SIN(2*PI()*(0)/9+(Scenario_Data!U6)/18)*EXP(-(((0)+5)^2)/(22^2))+18*SIN(2*PI()*(Scenario_Data!U6)/70))+Inputs!$C$28*EXP(-(((Scenario_Data!U6)-Inputs!$C$29)^2)/(2*Inputs!$C$31^2))*EXP(-(((0)-Inputs!$C$30)^2)/(2*Inputs!$C$32^2))+-Inputs!$C$33*EXP(-(((((Scenario_Data!U6)-Inputs!$C$34)^2)+(((0)-Inputs!$C$35)^2))/(2*Inputs!$C$36^2)))+Inputs!$C$37*(0.55*SIN(2*PI()*(Scenario_Data!U6)/Inputs!$C$39)+0.35*COS(2*PI()*(0)/Inputs!$C$40)+0.2*SIN(2*PI()*((Scenario_Data!U6)+(0))/(0.5*(Inputs!$C$39+Inputs!$C$40))))+Inputs!$C$38*SIN(2*PI()*(Scenario_Data!U6)/Inputs!$C$39)*SIN(2*PI()*(0)/Inputs!$C$40)+-Inputs!$C$41*EXP(-(((0)-Inputs!$C$43)^2)/(2*Inputs!$C$44^2))*EXP(-(((Scenario_Data!U6)-Inputs!$C$42)^2)/(2*Inputs!$C$45^2))+Inputs!$C$48*(0.7*(0.45*SIN(2*PI()*(((Scenario_Data!U6)/Inputs!$C$49)+Inputs!$C$47*0.137))+0.35*COS(2*PI()*(((0)/Inputs!$C$50)+Inputs!$C$47*0.173))+0.2*SIN(2*PI()*((((Scenario_Data!U6)+(0))/(0.5*(Inputs!$C$49+Inputs!$C$50)))+Inputs!$C$47*0.097)))+0.3*(2*((SIN(((Scenario_Data!U6)*12.9898+(0)*78.233+Inputs!$C$47*37.719))*43758.5453)-INT((SIN(((Scenario_Data!U6)*12.9898+(0)*78.233+Inputs!$C$47*37.719))*43758.5453)))-1)))))/Inputs!$C$21*1000000</f>
        <v/>
      </c>
      <c r="AB6">
        <f>Scenario_Data!V6</f>
        <v/>
      </c>
      <c r="AC6">
        <f>2*((Scenario_Data!D6*1000)-(IF(OR(Inputs!$C$27=TRUE,Inputs!$C$27="TRUE",Inputs!$C$27=1),1,0)*(Inputs!$C$51*(115*EXP(-(((0)-25)^2)/(4.5^2))+70*EXP(-(((0)+38)^2)/(7^2))*(0.55+0.45*SIN(2*PI()*(Scenario_Data!V6)/45))+24*SIN(2*PI()*(0)/9+(Scenario_Data!V6)/18)*EXP(-(((0)+5)^2)/(22^2))+18*SIN(2*PI()*(Scenario_Data!V6)/70))+Inputs!$C$28*EXP(-(((Scenario_Data!V6)-Inputs!$C$29)^2)/(2*Inputs!$C$31^2))*EXP(-(((0)-Inputs!$C$30)^2)/(2*Inputs!$C$32^2))+-Inputs!$C$33*EXP(-(((((Scenario_Data!V6)-Inputs!$C$34)^2)+(((0)-Inputs!$C$35)^2))/(2*Inputs!$C$36^2)))+Inputs!$C$37*(0.55*SIN(2*PI()*(Scenario_Data!V6)/Inputs!$C$39)+0.35*COS(2*PI()*(0)/Inputs!$C$40)+0.2*SIN(2*PI()*((Scenario_Data!V6)+(0))/(0.5*(Inputs!$C$39+Inputs!$C$40))))+Inputs!$C$38*SIN(2*PI()*(Scenario_Data!V6)/Inputs!$C$39)*SIN(2*PI()*(0)/Inputs!$C$40)+-Inputs!$C$41*EXP(-(((0)-Inputs!$C$43)^2)/(2*Inputs!$C$44^2))*EXP(-(((Scenario_Data!V6)-Inputs!$C$42)^2)/(2*Inputs!$C$45^2))+Inputs!$C$48*(0.7*(0.45*SIN(2*PI()*(((Scenario_Data!V6)/Inputs!$C$49)+Inputs!$C$47*0.137))+0.35*COS(2*PI()*(((0)/Inputs!$C$50)+Inputs!$C$47*0.173))+0.2*SIN(2*PI()*((((Scenario_Data!V6)+(0))/(0.5*(Inputs!$C$49+Inputs!$C$50)))+Inputs!$C$47*0.097)))+0.3*(2*((SIN(((Scenario_Data!V6)*12.9898+(0)*78.233+Inputs!$C$47*37.719))*43758.5453)-INT((SIN(((Scenario_Data!V6)*12.9898+(0)*78.233+Inputs!$C$47*37.719))*43758.5453)))-1)))))/Inputs!$C$21*1000000</f>
        <v/>
      </c>
      <c r="AD6">
        <f>Scenario_Data!W6</f>
        <v/>
      </c>
      <c r="AE6">
        <f>2*((Scenario_Data!E6*1000)-(IF(OR(Inputs!$C$27=TRUE,Inputs!$C$27="TRUE",Inputs!$C$27=1),1,0)*(Inputs!$C$51*(115*EXP(-(((0)-25)^2)/(4.5^2))+70*EXP(-(((0)+38)^2)/(7^2))*(0.55+0.45*SIN(2*PI()*(Scenario_Data!W6)/45))+24*SIN(2*PI()*(0)/9+(Scenario_Data!W6)/18)*EXP(-(((0)+5)^2)/(22^2))+18*SIN(2*PI()*(Scenario_Data!W6)/70))+Inputs!$C$28*EXP(-(((Scenario_Data!W6)-Inputs!$C$29)^2)/(2*Inputs!$C$31^2))*EXP(-(((0)-Inputs!$C$30)^2)/(2*Inputs!$C$32^2))+-Inputs!$C$33*EXP(-(((((Scenario_Data!W6)-Inputs!$C$34)^2)+(((0)-Inputs!$C$35)^2))/(2*Inputs!$C$36^2)))+Inputs!$C$37*(0.55*SIN(2*PI()*(Scenario_Data!W6)/Inputs!$C$39)+0.35*COS(2*PI()*(0)/Inputs!$C$40)+0.2*SIN(2*PI()*((Scenario_Data!W6)+(0))/(0.5*(Inputs!$C$39+Inputs!$C$40))))+Inputs!$C$38*SIN(2*PI()*(Scenario_Data!W6)/Inputs!$C$39)*SIN(2*PI()*(0)/Inputs!$C$40)+-Inputs!$C$41*EXP(-(((0)-Inputs!$C$43)^2)/(2*Inputs!$C$44^2))*EXP(-(((Scenario_Data!W6)-Inputs!$C$42)^2)/(2*Inputs!$C$45^2))+Inputs!$C$48*(0.7*(0.45*SIN(2*PI()*(((Scenario_Data!W6)/Inputs!$C$49)+Inputs!$C$47*0.137))+0.35*COS(2*PI()*(((0)/Inputs!$C$50)+Inputs!$C$47*0.173))+0.2*SIN(2*PI()*((((Scenario_Data!W6)+(0))/(0.5*(Inputs!$C$49+Inputs!$C$50)))+Inputs!$C$47*0.097)))+0.3*(2*((SIN(((Scenario_Data!W6)*12.9898+(0)*78.233+Inputs!$C$47*37.719))*43758.5453)-INT((SIN(((Scenario_Data!W6)*12.9898+(0)*78.233+Inputs!$C$47*37.719))*43758.5453)))-1)))))/Inputs!$C$21*1000000</f>
        <v/>
      </c>
      <c r="AG6">
        <f>Scenario_Data!T6</f>
        <v/>
      </c>
      <c r="AH6">
        <f>2*(SQRT((Inputs!$C$52+(Scenario_Data!B6))^2+Inputs!$C$52^2-2*(Inputs!$C$52+(Scenario_Data!B6))*Inputs!$C$52*COS(SQRT((Scenario_Data!T6)^2+Inputs!$C$6^2)/Inputs!$C$52))*1000)/Inputs!$C$21*1000000</f>
        <v/>
      </c>
      <c r="AI6">
        <f>Scenario_Data!U6</f>
        <v/>
      </c>
      <c r="AJ6">
        <f>2*(SQRT((Inputs!$C$52+(Scenario_Data!C6))^2+Inputs!$C$52^2-2*(Inputs!$C$52+(Scenario_Data!C6))*Inputs!$C$52*COS(SQRT((Scenario_Data!U6)^2+Inputs!$C$6^2)/Inputs!$C$52))*1000)/Inputs!$C$21*1000000</f>
        <v/>
      </c>
      <c r="AK6">
        <f>Scenario_Data!V6</f>
        <v/>
      </c>
      <c r="AL6">
        <f>2*(SQRT((Inputs!$C$52+(Scenario_Data!D6))^2+Inputs!$C$52^2-2*(Inputs!$C$52+(Scenario_Data!D6))*Inputs!$C$52*COS(SQRT((Scenario_Data!V6)^2+Inputs!$C$6^2)/Inputs!$C$52))*1000)/Inputs!$C$21*1000000</f>
        <v/>
      </c>
      <c r="AM6">
        <f>Scenario_Data!W6</f>
        <v/>
      </c>
      <c r="AN6">
        <f>2*(SQRT((Inputs!$C$52+(Scenario_Data!E6))^2+Inputs!$C$52^2-2*(Inputs!$C$52+(Scenario_Data!E6))*Inputs!$C$52*COS(SQRT((Scenario_Data!W6)^2+Inputs!$C$6^2)/Inputs!$C$52))*1000)/Inputs!$C$21*1000000</f>
        <v/>
      </c>
      <c r="AP6">
        <f>Scenario_Data!T6</f>
        <v/>
      </c>
      <c r="AQ6">
        <f>2*(SQRT((Inputs!$C$52+(Scenario_Data!B6))^2+(Inputs!$C$52+((IF(OR(Inputs!$C$27=TRUE,Inputs!$C$27="TRUE",Inputs!$C$27=1),1,0)*(Inputs!$C$51*(115*EXP(-(((Inputs!$C$6)-25)^2)/(4.5^2))+70*EXP(-(((Inputs!$C$6)+38)^2)/(7^2))*(0.55+0.45*SIN(2*PI()*(Scenario_Data!T6)/45))+24*SIN(2*PI()*(Inputs!$C$6)/9+(Scenario_Data!T6)/18)*EXP(-(((Inputs!$C$6)+5)^2)/(22^2))+18*SIN(2*PI()*(Scenario_Data!T6)/70))+Inputs!$C$28*EXP(-(((Scenario_Data!T6)-Inputs!$C$29)^2)/(2*Inputs!$C$31^2))*EXP(-(((Inputs!$C$6)-Inputs!$C$30)^2)/(2*Inputs!$C$32^2))+-Inputs!$C$33*EXP(-(((((Scenario_Data!T6)-Inputs!$C$34)^2)+(((Inputs!$C$6)-Inputs!$C$35)^2))/(2*Inputs!$C$36^2)))+Inputs!$C$37*(0.55*SIN(2*PI()*(Scenario_Data!T6)/Inputs!$C$39)+0.35*COS(2*PI()*(Inputs!$C$6)/Inputs!$C$40)+0.2*SIN(2*PI()*((Scenario_Data!T6)+(Inputs!$C$6))/(0.5*(Inputs!$C$39+Inputs!$C$40))))+Inputs!$C$38*SIN(2*PI()*(Scenario_Data!T6)/Inputs!$C$39)*SIN(2*PI()*(Inputs!$C$6)/Inputs!$C$40)+-Inputs!$C$41*EXP(-(((Inputs!$C$6)-Inputs!$C$43)^2)/(2*Inputs!$C$44^2))*EXP(-(((Scenario_Data!T6)-Inputs!$C$42)^2)/(2*Inputs!$C$45^2))+Inputs!$C$48*(0.7*(0.45*SIN(2*PI()*(((Scenario_Data!T6)/Inputs!$C$49)+Inputs!$C$47*0.137))+0.35*COS(2*PI()*(((Inputs!$C$6)/Inputs!$C$50)+Inputs!$C$47*0.173))+0.2*SIN(2*PI()*((((Scenario_Data!T6)+(Inputs!$C$6))/(0.5*(Inputs!$C$49+Inputs!$C$50)))+Inputs!$C$47*0.097)))+0.3*(2*((SIN(((Scenario_Data!T6)*12.9898+(Inputs!$C$6)*78.233+Inputs!$C$47*37.719))*43758.5453)-INT((SIN(((Scenario_Data!T6)*12.9898+(Inputs!$C$6)*78.233+Inputs!$C$47*37.719))*43758.5453)))-1))))/1000))^2-2*(Inputs!$C$52+(Scenario_Data!B6))*(Inputs!$C$52+((IF(OR(Inputs!$C$27=TRUE,Inputs!$C$27="TRUE",Inputs!$C$27=1),1,0)*(Inputs!$C$51*(115*EXP(-(((Inputs!$C$6)-25)^2)/(4.5^2))+70*EXP(-(((Inputs!$C$6)+38)^2)/(7^2))*(0.55+0.45*SIN(2*PI()*(Scenario_Data!T6)/45))+24*SIN(2*PI()*(Inputs!$C$6)/9+(Scenario_Data!T6)/18)*EXP(-(((Inputs!$C$6)+5)^2)/(22^2))+18*SIN(2*PI()*(Scenario_Data!T6)/70))+Inputs!$C$28*EXP(-(((Scenario_Data!T6)-Inputs!$C$29)^2)/(2*Inputs!$C$31^2))*EXP(-(((Inputs!$C$6)-Inputs!$C$30)^2)/(2*Inputs!$C$32^2))+-Inputs!$C$33*EXP(-(((((Scenario_Data!T6)-Inputs!$C$34)^2)+(((Inputs!$C$6)-Inputs!$C$35)^2))/(2*Inputs!$C$36^2)))+Inputs!$C$37*(0.55*SIN(2*PI()*(Scenario_Data!T6)/Inputs!$C$39)+0.35*COS(2*PI()*(Inputs!$C$6)/Inputs!$C$40)+0.2*SIN(2*PI()*((Scenario_Data!T6)+(Inputs!$C$6))/(0.5*(Inputs!$C$39+Inputs!$C$40))))+Inputs!$C$38*SIN(2*PI()*(Scenario_Data!T6)/Inputs!$C$39)*SIN(2*PI()*(Inputs!$C$6)/Inputs!$C$40)+-Inputs!$C$41*EXP(-(((Inputs!$C$6)-Inputs!$C$43)^2)/(2*Inputs!$C$44^2))*EXP(-(((Scenario_Data!T6)-Inputs!$C$42)^2)/(2*Inputs!$C$45^2))+Inputs!$C$48*(0.7*(0.45*SIN(2*PI()*(((Scenario_Data!T6)/Inputs!$C$49)+Inputs!$C$47*0.137))+0.35*COS(2*PI()*(((Inputs!$C$6)/Inputs!$C$50)+Inputs!$C$47*0.173))+0.2*SIN(2*PI()*((((Scenario_Data!T6)+(Inputs!$C$6))/(0.5*(Inputs!$C$49+Inputs!$C$50)))+Inputs!$C$47*0.097)))+0.3*(2*((SIN(((Scenario_Data!T6)*12.9898+(Inputs!$C$6)*78.233+Inputs!$C$47*37.719))*43758.5453)-INT((SIN(((Scenario_Data!T6)*12.9898+(Inputs!$C$6)*78.233+Inputs!$C$47*37.719))*43758.5453)))-1))))/1000))*COS(SQRT((Scenario_Data!T6)^2+Inputs!$C$6^2)/Inputs!$C$52))*1000)/Inputs!$C$21*1000000</f>
        <v/>
      </c>
      <c r="AR6">
        <f>Scenario_Data!U6</f>
        <v/>
      </c>
      <c r="AS6">
        <f>2*(SQRT((Inputs!$C$52+(Scenario_Data!C6))^2+(Inputs!$C$52+((IF(OR(Inputs!$C$27=TRUE,Inputs!$C$27="TRUE",Inputs!$C$27=1),1,0)*(Inputs!$C$51*(115*EXP(-(((Inputs!$C$6)-25)^2)/(4.5^2))+70*EXP(-(((Inputs!$C$6)+38)^2)/(7^2))*(0.55+0.45*SIN(2*PI()*(Scenario_Data!U6)/45))+24*SIN(2*PI()*(Inputs!$C$6)/9+(Scenario_Data!U6)/18)*EXP(-(((Inputs!$C$6)+5)^2)/(22^2))+18*SIN(2*PI()*(Scenario_Data!U6)/70))+Inputs!$C$28*EXP(-(((Scenario_Data!U6)-Inputs!$C$29)^2)/(2*Inputs!$C$31^2))*EXP(-(((Inputs!$C$6)-Inputs!$C$30)^2)/(2*Inputs!$C$32^2))+-Inputs!$C$33*EXP(-(((((Scenario_Data!U6)-Inputs!$C$34)^2)+(((Inputs!$C$6)-Inputs!$C$35)^2))/(2*Inputs!$C$36^2)))+Inputs!$C$37*(0.55*SIN(2*PI()*(Scenario_Data!U6)/Inputs!$C$39)+0.35*COS(2*PI()*(Inputs!$C$6)/Inputs!$C$40)+0.2*SIN(2*PI()*((Scenario_Data!U6)+(Inputs!$C$6))/(0.5*(Inputs!$C$39+Inputs!$C$40))))+Inputs!$C$38*SIN(2*PI()*(Scenario_Data!U6)/Inputs!$C$39)*SIN(2*PI()*(Inputs!$C$6)/Inputs!$C$40)+-Inputs!$C$41*EXP(-(((Inputs!$C$6)-Inputs!$C$43)^2)/(2*Inputs!$C$44^2))*EXP(-(((Scenario_Data!U6)-Inputs!$C$42)^2)/(2*Inputs!$C$45^2))+Inputs!$C$48*(0.7*(0.45*SIN(2*PI()*(((Scenario_Data!U6)/Inputs!$C$49)+Inputs!$C$47*0.137))+0.35*COS(2*PI()*(((Inputs!$C$6)/Inputs!$C$50)+Inputs!$C$47*0.173))+0.2*SIN(2*PI()*((((Scenario_Data!U6)+(Inputs!$C$6))/(0.5*(Inputs!$C$49+Inputs!$C$50)))+Inputs!$C$47*0.097)))+0.3*(2*((SIN(((Scenario_Data!U6)*12.9898+(Inputs!$C$6)*78.233+Inputs!$C$47*37.719))*43758.5453)-INT((SIN(((Scenario_Data!U6)*12.9898+(Inputs!$C$6)*78.233+Inputs!$C$47*37.719))*43758.5453)))-1))))/1000))^2-2*(Inputs!$C$52+(Scenario_Data!C6))*(Inputs!$C$52+((IF(OR(Inputs!$C$27=TRUE,Inputs!$C$27="TRUE",Inputs!$C$27=1),1,0)*(Inputs!$C$51*(115*EXP(-(((Inputs!$C$6)-25)^2)/(4.5^2))+70*EXP(-(((Inputs!$C$6)+38)^2)/(7^2))*(0.55+0.45*SIN(2*PI()*(Scenario_Data!U6)/45))+24*SIN(2*PI()*(Inputs!$C$6)/9+(Scenario_Data!U6)/18)*EXP(-(((Inputs!$C$6)+5)^2)/(22^2))+18*SIN(2*PI()*(Scenario_Data!U6)/70))+Inputs!$C$28*EXP(-(((Scenario_Data!U6)-Inputs!$C$29)^2)/(2*Inputs!$C$31^2))*EXP(-(((Inputs!$C$6)-Inputs!$C$30)^2)/(2*Inputs!$C$32^2))+-Inputs!$C$33*EXP(-(((((Scenario_Data!U6)-Inputs!$C$34)^2)+(((Inputs!$C$6)-Inputs!$C$35)^2))/(2*Inputs!$C$36^2)))+Inputs!$C$37*(0.55*SIN(2*PI()*(Scenario_Data!U6)/Inputs!$C$39)+0.35*COS(2*PI()*(Inputs!$C$6)/Inputs!$C$40)+0.2*SIN(2*PI()*((Scenario_Data!U6)+(Inputs!$C$6))/(0.5*(Inputs!$C$39+Inputs!$C$40))))+Inputs!$C$38*SIN(2*PI()*(Scenario_Data!U6)/Inputs!$C$39)*SIN(2*PI()*(Inputs!$C$6)/Inputs!$C$40)+-Inputs!$C$41*EXP(-(((Inputs!$C$6)-Inputs!$C$43)^2)/(2*Inputs!$C$44^2))*EXP(-(((Scenario_Data!U6)-Inputs!$C$42)^2)/(2*Inputs!$C$45^2))+Inputs!$C$48*(0.7*(0.45*SIN(2*PI()*(((Scenario_Data!U6)/Inputs!$C$49)+Inputs!$C$47*0.137))+0.35*COS(2*PI()*(((Inputs!$C$6)/Inputs!$C$50)+Inputs!$C$47*0.173))+0.2*SIN(2*PI()*((((Scenario_Data!U6)+(Inputs!$C$6))/(0.5*(Inputs!$C$49+Inputs!$C$50)))+Inputs!$C$47*0.097)))+0.3*(2*((SIN(((Scenario_Data!U6)*12.9898+(Inputs!$C$6)*78.233+Inputs!$C$47*37.719))*43758.5453)-INT((SIN(((Scenario_Data!U6)*12.9898+(Inputs!$C$6)*78.233+Inputs!$C$47*37.719))*43758.5453)))-1))))/1000))*COS(SQRT((Scenario_Data!U6)^2+Inputs!$C$6^2)/Inputs!$C$52))*1000)/Inputs!$C$21*1000000</f>
        <v/>
      </c>
      <c r="AT6">
        <f>Scenario_Data!V6</f>
        <v/>
      </c>
      <c r="AU6">
        <f>2*(SQRT((Inputs!$C$52+(Scenario_Data!D6))^2+(Inputs!$C$52+((IF(OR(Inputs!$C$27=TRUE,Inputs!$C$27="TRUE",Inputs!$C$27=1),1,0)*(Inputs!$C$51*(115*EXP(-(((Inputs!$C$6)-25)^2)/(4.5^2))+70*EXP(-(((Inputs!$C$6)+38)^2)/(7^2))*(0.55+0.45*SIN(2*PI()*(Scenario_Data!V6)/45))+24*SIN(2*PI()*(Inputs!$C$6)/9+(Scenario_Data!V6)/18)*EXP(-(((Inputs!$C$6)+5)^2)/(22^2))+18*SIN(2*PI()*(Scenario_Data!V6)/70))+Inputs!$C$28*EXP(-(((Scenario_Data!V6)-Inputs!$C$29)^2)/(2*Inputs!$C$31^2))*EXP(-(((Inputs!$C$6)-Inputs!$C$30)^2)/(2*Inputs!$C$32^2))+-Inputs!$C$33*EXP(-(((((Scenario_Data!V6)-Inputs!$C$34)^2)+(((Inputs!$C$6)-Inputs!$C$35)^2))/(2*Inputs!$C$36^2)))+Inputs!$C$37*(0.55*SIN(2*PI()*(Scenario_Data!V6)/Inputs!$C$39)+0.35*COS(2*PI()*(Inputs!$C$6)/Inputs!$C$40)+0.2*SIN(2*PI()*((Scenario_Data!V6)+(Inputs!$C$6))/(0.5*(Inputs!$C$39+Inputs!$C$40))))+Inputs!$C$38*SIN(2*PI()*(Scenario_Data!V6)/Inputs!$C$39)*SIN(2*PI()*(Inputs!$C$6)/Inputs!$C$40)+-Inputs!$C$41*EXP(-(((Inputs!$C$6)-Inputs!$C$43)^2)/(2*Inputs!$C$44^2))*EXP(-(((Scenario_Data!V6)-Inputs!$C$42)^2)/(2*Inputs!$C$45^2))+Inputs!$C$48*(0.7*(0.45*SIN(2*PI()*(((Scenario_Data!V6)/Inputs!$C$49)+Inputs!$C$47*0.137))+0.35*COS(2*PI()*(((Inputs!$C$6)/Inputs!$C$50)+Inputs!$C$47*0.173))+0.2*SIN(2*PI()*((((Scenario_Data!V6)+(Inputs!$C$6))/(0.5*(Inputs!$C$49+Inputs!$C$50)))+Inputs!$C$47*0.097)))+0.3*(2*((SIN(((Scenario_Data!V6)*12.9898+(Inputs!$C$6)*78.233+Inputs!$C$47*37.719))*43758.5453)-INT((SIN(((Scenario_Data!V6)*12.9898+(Inputs!$C$6)*78.233+Inputs!$C$47*37.719))*43758.5453)))-1))))/1000))^2-2*(Inputs!$C$52+(Scenario_Data!D6))*(Inputs!$C$52+((IF(OR(Inputs!$C$27=TRUE,Inputs!$C$27="TRUE",Inputs!$C$27=1),1,0)*(Inputs!$C$51*(115*EXP(-(((Inputs!$C$6)-25)^2)/(4.5^2))+70*EXP(-(((Inputs!$C$6)+38)^2)/(7^2))*(0.55+0.45*SIN(2*PI()*(Scenario_Data!V6)/45))+24*SIN(2*PI()*(Inputs!$C$6)/9+(Scenario_Data!V6)/18)*EXP(-(((Inputs!$C$6)+5)^2)/(22^2))+18*SIN(2*PI()*(Scenario_Data!V6)/70))+Inputs!$C$28*EXP(-(((Scenario_Data!V6)-Inputs!$C$29)^2)/(2*Inputs!$C$31^2))*EXP(-(((Inputs!$C$6)-Inputs!$C$30)^2)/(2*Inputs!$C$32^2))+-Inputs!$C$33*EXP(-(((((Scenario_Data!V6)-Inputs!$C$34)^2)+(((Inputs!$C$6)-Inputs!$C$35)^2))/(2*Inputs!$C$36^2)))+Inputs!$C$37*(0.55*SIN(2*PI()*(Scenario_Data!V6)/Inputs!$C$39)+0.35*COS(2*PI()*(Inputs!$C$6)/Inputs!$C$40)+0.2*SIN(2*PI()*((Scenario_Data!V6)+(Inputs!$C$6))/(0.5*(Inputs!$C$39+Inputs!$C$40))))+Inputs!$C$38*SIN(2*PI()*(Scenario_Data!V6)/Inputs!$C$39)*SIN(2*PI()*(Inputs!$C$6)/Inputs!$C$40)+-Inputs!$C$41*EXP(-(((Inputs!$C$6)-Inputs!$C$43)^2)/(2*Inputs!$C$44^2))*EXP(-(((Scenario_Data!V6)-Inputs!$C$42)^2)/(2*Inputs!$C$45^2))+Inputs!$C$48*(0.7*(0.45*SIN(2*PI()*(((Scenario_Data!V6)/Inputs!$C$49)+Inputs!$C$47*0.137))+0.35*COS(2*PI()*(((Inputs!$C$6)/Inputs!$C$50)+Inputs!$C$47*0.173))+0.2*SIN(2*PI()*((((Scenario_Data!V6)+(Inputs!$C$6))/(0.5*(Inputs!$C$49+Inputs!$C$50)))+Inputs!$C$47*0.097)))+0.3*(2*((SIN(((Scenario_Data!V6)*12.9898+(Inputs!$C$6)*78.233+Inputs!$C$47*37.719))*43758.5453)-INT((SIN(((Scenario_Data!V6)*12.9898+(Inputs!$C$6)*78.233+Inputs!$C$47*37.719))*43758.5453)))-1))))/1000))*COS(SQRT((Scenario_Data!V6)^2+Inputs!$C$6^2)/Inputs!$C$52))*1000)/Inputs!$C$21*1000000</f>
        <v/>
      </c>
      <c r="AV6">
        <f>Scenario_Data!W6</f>
        <v/>
      </c>
      <c r="AW6">
        <f>2*(SQRT((Inputs!$C$52+(Scenario_Data!E6))^2+(Inputs!$C$52+((IF(OR(Inputs!$C$27=TRUE,Inputs!$C$27="TRUE",Inputs!$C$27=1),1,0)*(Inputs!$C$51*(115*EXP(-(((Inputs!$C$6)-25)^2)/(4.5^2))+70*EXP(-(((Inputs!$C$6)+38)^2)/(7^2))*(0.55+0.45*SIN(2*PI()*(Scenario_Data!W6)/45))+24*SIN(2*PI()*(Inputs!$C$6)/9+(Scenario_Data!W6)/18)*EXP(-(((Inputs!$C$6)+5)^2)/(22^2))+18*SIN(2*PI()*(Scenario_Data!W6)/70))+Inputs!$C$28*EXP(-(((Scenario_Data!W6)-Inputs!$C$29)^2)/(2*Inputs!$C$31^2))*EXP(-(((Inputs!$C$6)-Inputs!$C$30)^2)/(2*Inputs!$C$32^2))+-Inputs!$C$33*EXP(-(((((Scenario_Data!W6)-Inputs!$C$34)^2)+(((Inputs!$C$6)-Inputs!$C$35)^2))/(2*Inputs!$C$36^2)))+Inputs!$C$37*(0.55*SIN(2*PI()*(Scenario_Data!W6)/Inputs!$C$39)+0.35*COS(2*PI()*(Inputs!$C$6)/Inputs!$C$40)+0.2*SIN(2*PI()*((Scenario_Data!W6)+(Inputs!$C$6))/(0.5*(Inputs!$C$39+Inputs!$C$40))))+Inputs!$C$38*SIN(2*PI()*(Scenario_Data!W6)/Inputs!$C$39)*SIN(2*PI()*(Inputs!$C$6)/Inputs!$C$40)+-Inputs!$C$41*EXP(-(((Inputs!$C$6)-Inputs!$C$43)^2)/(2*Inputs!$C$44^2))*EXP(-(((Scenario_Data!W6)-Inputs!$C$42)^2)/(2*Inputs!$C$45^2))+Inputs!$C$48*(0.7*(0.45*SIN(2*PI()*(((Scenario_Data!W6)/Inputs!$C$49)+Inputs!$C$47*0.137))+0.35*COS(2*PI()*(((Inputs!$C$6)/Inputs!$C$50)+Inputs!$C$47*0.173))+0.2*SIN(2*PI()*((((Scenario_Data!W6)+(Inputs!$C$6))/(0.5*(Inputs!$C$49+Inputs!$C$50)))+Inputs!$C$47*0.097)))+0.3*(2*((SIN(((Scenario_Data!W6)*12.9898+(Inputs!$C$6)*78.233+Inputs!$C$47*37.719))*43758.5453)-INT((SIN(((Scenario_Data!W6)*12.9898+(Inputs!$C$6)*78.233+Inputs!$C$47*37.719))*43758.5453)))-1))))/1000))^2-2*(Inputs!$C$52+(Scenario_Data!E6))*(Inputs!$C$52+((IF(OR(Inputs!$C$27=TRUE,Inputs!$C$27="TRUE",Inputs!$C$27=1),1,0)*(Inputs!$C$51*(115*EXP(-(((Inputs!$C$6)-25)^2)/(4.5^2))+70*EXP(-(((Inputs!$C$6)+38)^2)/(7^2))*(0.55+0.45*SIN(2*PI()*(Scenario_Data!W6)/45))+24*SIN(2*PI()*(Inputs!$C$6)/9+(Scenario_Data!W6)/18)*EXP(-(((Inputs!$C$6)+5)^2)/(22^2))+18*SIN(2*PI()*(Scenario_Data!W6)/70))+Inputs!$C$28*EXP(-(((Scenario_Data!W6)-Inputs!$C$29)^2)/(2*Inputs!$C$31^2))*EXP(-(((Inputs!$C$6)-Inputs!$C$30)^2)/(2*Inputs!$C$32^2))+-Inputs!$C$33*EXP(-(((((Scenario_Data!W6)-Inputs!$C$34)^2)+(((Inputs!$C$6)-Inputs!$C$35)^2))/(2*Inputs!$C$36^2)))+Inputs!$C$37*(0.55*SIN(2*PI()*(Scenario_Data!W6)/Inputs!$C$39)+0.35*COS(2*PI()*(Inputs!$C$6)/Inputs!$C$40)+0.2*SIN(2*PI()*((Scenario_Data!W6)+(Inputs!$C$6))/(0.5*(Inputs!$C$39+Inputs!$C$40))))+Inputs!$C$38*SIN(2*PI()*(Scenario_Data!W6)/Inputs!$C$39)*SIN(2*PI()*(Inputs!$C$6)/Inputs!$C$40)+-Inputs!$C$41*EXP(-(((Inputs!$C$6)-Inputs!$C$43)^2)/(2*Inputs!$C$44^2))*EXP(-(((Scenario_Data!W6)-Inputs!$C$42)^2)/(2*Inputs!$C$45^2))+Inputs!$C$48*(0.7*(0.45*SIN(2*PI()*(((Scenario_Data!W6)/Inputs!$C$49)+Inputs!$C$47*0.137))+0.35*COS(2*PI()*(((Inputs!$C$6)/Inputs!$C$50)+Inputs!$C$47*0.173))+0.2*SIN(2*PI()*((((Scenario_Data!W6)+(Inputs!$C$6))/(0.5*(Inputs!$C$49+Inputs!$C$50)))+Inputs!$C$47*0.097)))+0.3*(2*((SIN(((Scenario_Data!W6)*12.9898+(Inputs!$C$6)*78.233+Inputs!$C$47*37.719))*43758.5453)-INT((SIN(((Scenario_Data!W6)*12.9898+(Inputs!$C$6)*78.233+Inputs!$C$47*37.719))*43758.5453)))-1))))/1000))*COS(SQRT((Scenario_Data!W6)^2+Inputs!$C$6^2)/Inputs!$C$52))*1000)/Inputs!$C$21*1000000</f>
        <v/>
      </c>
    </row>
    <row r="7">
      <c r="A7">
        <f>Chart_Data!K7</f>
        <v/>
      </c>
      <c r="B7">
        <f>Chart_Data!N7-Chart_Data!L7</f>
        <v/>
      </c>
      <c r="D7">
        <f>Chart_Data!G7</f>
        <v/>
      </c>
      <c r="E7">
        <f>Chart_Data!H7</f>
        <v/>
      </c>
      <c r="F7">
        <f>Chart_Data!I7</f>
        <v/>
      </c>
      <c r="G7">
        <f>Chart_Data!J7</f>
        <v/>
      </c>
      <c r="I7">
        <f>Scenario_Data!A7</f>
        <v/>
      </c>
      <c r="J7">
        <f>Scenario_Data!H7-(((SQRT((Inputs!$C$52+(Inputs!$H$6))^2+Inputs!$C$52^2-2*(Inputs!$C$52+(Inputs!$H$6))*Inputs!$C$52*COS(SQRT((Scenario_Data!T7)^2+Inputs!$C$6^2)/Inputs!$C$52)))-(Inputs!$H$6))*1000/Inputs!$C$12)</f>
        <v/>
      </c>
      <c r="K7">
        <f>Scenario_Data!I7-(((SQRT((Inputs!$C$52+(Inputs!$H$7))^2+Inputs!$C$52^2-2*(Inputs!$C$52+(Inputs!$H$7))*Inputs!$C$52*COS(SQRT((Scenario_Data!U7)^2+Inputs!$C$6^2)/Inputs!$C$52)))-(Inputs!$H$7))*1000/Inputs!$C$12)</f>
        <v/>
      </c>
      <c r="L7">
        <f>Scenario_Data!J7-(((SQRT((Inputs!$C$52+(Inputs!$H$8))^2+Inputs!$C$52^2-2*(Inputs!$C$52+(Inputs!$H$8))*Inputs!$C$52*COS(SQRT((Scenario_Data!V7)^2+Inputs!$C$6^2)/Inputs!$C$52)))-(Inputs!$H$8))*1000/Inputs!$C$12)</f>
        <v/>
      </c>
      <c r="M7">
        <f>Scenario_Data!K7-(((SQRT((Inputs!$C$52+(Inputs!$H$9))^2+Inputs!$C$52^2-2*(Inputs!$C$52+(Inputs!$H$9))*Inputs!$C$52*COS(SQRT((Scenario_Data!W7)^2+Inputs!$C$6^2)/Inputs!$C$52)))-(Inputs!$H$9))*1000/Inputs!$C$12)</f>
        <v/>
      </c>
      <c r="O7">
        <f>Scenario_Data!T7</f>
        <v/>
      </c>
      <c r="P7">
        <f>2*(Scenario_Data!B7*1000)/Inputs!$C$21*1000000</f>
        <v/>
      </c>
      <c r="Q7">
        <f>Scenario_Data!U7</f>
        <v/>
      </c>
      <c r="R7">
        <f>2*(Scenario_Data!C7*1000)/Inputs!$C$21*1000000</f>
        <v/>
      </c>
      <c r="S7">
        <f>Scenario_Data!V7</f>
        <v/>
      </c>
      <c r="T7">
        <f>2*(Scenario_Data!D7*1000)/Inputs!$C$21*1000000</f>
        <v/>
      </c>
      <c r="U7">
        <f>Scenario_Data!W7</f>
        <v/>
      </c>
      <c r="V7">
        <f>2*(Scenario_Data!E7*1000)/Inputs!$C$21*1000000</f>
        <v/>
      </c>
      <c r="X7">
        <f>Scenario_Data!T7</f>
        <v/>
      </c>
      <c r="Y7">
        <f>2*((Scenario_Data!B7*1000)-(IF(OR(Inputs!$C$27=TRUE,Inputs!$C$27="TRUE",Inputs!$C$27=1),1,0)*(Inputs!$C$51*(115*EXP(-(((0)-25)^2)/(4.5^2))+70*EXP(-(((0)+38)^2)/(7^2))*(0.55+0.45*SIN(2*PI()*(Scenario_Data!T7)/45))+24*SIN(2*PI()*(0)/9+(Scenario_Data!T7)/18)*EXP(-(((0)+5)^2)/(22^2))+18*SIN(2*PI()*(Scenario_Data!T7)/70))+Inputs!$C$28*EXP(-(((Scenario_Data!T7)-Inputs!$C$29)^2)/(2*Inputs!$C$31^2))*EXP(-(((0)-Inputs!$C$30)^2)/(2*Inputs!$C$32^2))+-Inputs!$C$33*EXP(-(((((Scenario_Data!T7)-Inputs!$C$34)^2)+(((0)-Inputs!$C$35)^2))/(2*Inputs!$C$36^2)))+Inputs!$C$37*(0.55*SIN(2*PI()*(Scenario_Data!T7)/Inputs!$C$39)+0.35*COS(2*PI()*(0)/Inputs!$C$40)+0.2*SIN(2*PI()*((Scenario_Data!T7)+(0))/(0.5*(Inputs!$C$39+Inputs!$C$40))))+Inputs!$C$38*SIN(2*PI()*(Scenario_Data!T7)/Inputs!$C$39)*SIN(2*PI()*(0)/Inputs!$C$40)+-Inputs!$C$41*EXP(-(((0)-Inputs!$C$43)^2)/(2*Inputs!$C$44^2))*EXP(-(((Scenario_Data!T7)-Inputs!$C$42)^2)/(2*Inputs!$C$45^2))+Inputs!$C$48*(0.7*(0.45*SIN(2*PI()*(((Scenario_Data!T7)/Inputs!$C$49)+Inputs!$C$47*0.137))+0.35*COS(2*PI()*(((0)/Inputs!$C$50)+Inputs!$C$47*0.173))+0.2*SIN(2*PI()*((((Scenario_Data!T7)+(0))/(0.5*(Inputs!$C$49+Inputs!$C$50)))+Inputs!$C$47*0.097)))+0.3*(2*((SIN(((Scenario_Data!T7)*12.9898+(0)*78.233+Inputs!$C$47*37.719))*43758.5453)-INT((SIN(((Scenario_Data!T7)*12.9898+(0)*78.233+Inputs!$C$47*37.719))*43758.5453)))-1)))))/Inputs!$C$21*1000000</f>
        <v/>
      </c>
      <c r="Z7">
        <f>Scenario_Data!U7</f>
        <v/>
      </c>
      <c r="AA7">
        <f>2*((Scenario_Data!C7*1000)-(IF(OR(Inputs!$C$27=TRUE,Inputs!$C$27="TRUE",Inputs!$C$27=1),1,0)*(Inputs!$C$51*(115*EXP(-(((0)-25)^2)/(4.5^2))+70*EXP(-(((0)+38)^2)/(7^2))*(0.55+0.45*SIN(2*PI()*(Scenario_Data!U7)/45))+24*SIN(2*PI()*(0)/9+(Scenario_Data!U7)/18)*EXP(-(((0)+5)^2)/(22^2))+18*SIN(2*PI()*(Scenario_Data!U7)/70))+Inputs!$C$28*EXP(-(((Scenario_Data!U7)-Inputs!$C$29)^2)/(2*Inputs!$C$31^2))*EXP(-(((0)-Inputs!$C$30)^2)/(2*Inputs!$C$32^2))+-Inputs!$C$33*EXP(-(((((Scenario_Data!U7)-Inputs!$C$34)^2)+(((0)-Inputs!$C$35)^2))/(2*Inputs!$C$36^2)))+Inputs!$C$37*(0.55*SIN(2*PI()*(Scenario_Data!U7)/Inputs!$C$39)+0.35*COS(2*PI()*(0)/Inputs!$C$40)+0.2*SIN(2*PI()*((Scenario_Data!U7)+(0))/(0.5*(Inputs!$C$39+Inputs!$C$40))))+Inputs!$C$38*SIN(2*PI()*(Scenario_Data!U7)/Inputs!$C$39)*SIN(2*PI()*(0)/Inputs!$C$40)+-Inputs!$C$41*EXP(-(((0)-Inputs!$C$43)^2)/(2*Inputs!$C$44^2))*EXP(-(((Scenario_Data!U7)-Inputs!$C$42)^2)/(2*Inputs!$C$45^2))+Inputs!$C$48*(0.7*(0.45*SIN(2*PI()*(((Scenario_Data!U7)/Inputs!$C$49)+Inputs!$C$47*0.137))+0.35*COS(2*PI()*(((0)/Inputs!$C$50)+Inputs!$C$47*0.173))+0.2*SIN(2*PI()*((((Scenario_Data!U7)+(0))/(0.5*(Inputs!$C$49+Inputs!$C$50)))+Inputs!$C$47*0.097)))+0.3*(2*((SIN(((Scenario_Data!U7)*12.9898+(0)*78.233+Inputs!$C$47*37.719))*43758.5453)-INT((SIN(((Scenario_Data!U7)*12.9898+(0)*78.233+Inputs!$C$47*37.719))*43758.5453)))-1)))))/Inputs!$C$21*1000000</f>
        <v/>
      </c>
      <c r="AB7">
        <f>Scenario_Data!V7</f>
        <v/>
      </c>
      <c r="AC7">
        <f>2*((Scenario_Data!D7*1000)-(IF(OR(Inputs!$C$27=TRUE,Inputs!$C$27="TRUE",Inputs!$C$27=1),1,0)*(Inputs!$C$51*(115*EXP(-(((0)-25)^2)/(4.5^2))+70*EXP(-(((0)+38)^2)/(7^2))*(0.55+0.45*SIN(2*PI()*(Scenario_Data!V7)/45))+24*SIN(2*PI()*(0)/9+(Scenario_Data!V7)/18)*EXP(-(((0)+5)^2)/(22^2))+18*SIN(2*PI()*(Scenario_Data!V7)/70))+Inputs!$C$28*EXP(-(((Scenario_Data!V7)-Inputs!$C$29)^2)/(2*Inputs!$C$31^2))*EXP(-(((0)-Inputs!$C$30)^2)/(2*Inputs!$C$32^2))+-Inputs!$C$33*EXP(-(((((Scenario_Data!V7)-Inputs!$C$34)^2)+(((0)-Inputs!$C$35)^2))/(2*Inputs!$C$36^2)))+Inputs!$C$37*(0.55*SIN(2*PI()*(Scenario_Data!V7)/Inputs!$C$39)+0.35*COS(2*PI()*(0)/Inputs!$C$40)+0.2*SIN(2*PI()*((Scenario_Data!V7)+(0))/(0.5*(Inputs!$C$39+Inputs!$C$40))))+Inputs!$C$38*SIN(2*PI()*(Scenario_Data!V7)/Inputs!$C$39)*SIN(2*PI()*(0)/Inputs!$C$40)+-Inputs!$C$41*EXP(-(((0)-Inputs!$C$43)^2)/(2*Inputs!$C$44^2))*EXP(-(((Scenario_Data!V7)-Inputs!$C$42)^2)/(2*Inputs!$C$45^2))+Inputs!$C$48*(0.7*(0.45*SIN(2*PI()*(((Scenario_Data!V7)/Inputs!$C$49)+Inputs!$C$47*0.137))+0.35*COS(2*PI()*(((0)/Inputs!$C$50)+Inputs!$C$47*0.173))+0.2*SIN(2*PI()*((((Scenario_Data!V7)+(0))/(0.5*(Inputs!$C$49+Inputs!$C$50)))+Inputs!$C$47*0.097)))+0.3*(2*((SIN(((Scenario_Data!V7)*12.9898+(0)*78.233+Inputs!$C$47*37.719))*43758.5453)-INT((SIN(((Scenario_Data!V7)*12.9898+(0)*78.233+Inputs!$C$47*37.719))*43758.5453)))-1)))))/Inputs!$C$21*1000000</f>
        <v/>
      </c>
      <c r="AD7">
        <f>Scenario_Data!W7</f>
        <v/>
      </c>
      <c r="AE7">
        <f>2*((Scenario_Data!E7*1000)-(IF(OR(Inputs!$C$27=TRUE,Inputs!$C$27="TRUE",Inputs!$C$27=1),1,0)*(Inputs!$C$51*(115*EXP(-(((0)-25)^2)/(4.5^2))+70*EXP(-(((0)+38)^2)/(7^2))*(0.55+0.45*SIN(2*PI()*(Scenario_Data!W7)/45))+24*SIN(2*PI()*(0)/9+(Scenario_Data!W7)/18)*EXP(-(((0)+5)^2)/(22^2))+18*SIN(2*PI()*(Scenario_Data!W7)/70))+Inputs!$C$28*EXP(-(((Scenario_Data!W7)-Inputs!$C$29)^2)/(2*Inputs!$C$31^2))*EXP(-(((0)-Inputs!$C$30)^2)/(2*Inputs!$C$32^2))+-Inputs!$C$33*EXP(-(((((Scenario_Data!W7)-Inputs!$C$34)^2)+(((0)-Inputs!$C$35)^2))/(2*Inputs!$C$36^2)))+Inputs!$C$37*(0.55*SIN(2*PI()*(Scenario_Data!W7)/Inputs!$C$39)+0.35*COS(2*PI()*(0)/Inputs!$C$40)+0.2*SIN(2*PI()*((Scenario_Data!W7)+(0))/(0.5*(Inputs!$C$39+Inputs!$C$40))))+Inputs!$C$38*SIN(2*PI()*(Scenario_Data!W7)/Inputs!$C$39)*SIN(2*PI()*(0)/Inputs!$C$40)+-Inputs!$C$41*EXP(-(((0)-Inputs!$C$43)^2)/(2*Inputs!$C$44^2))*EXP(-(((Scenario_Data!W7)-Inputs!$C$42)^2)/(2*Inputs!$C$45^2))+Inputs!$C$48*(0.7*(0.45*SIN(2*PI()*(((Scenario_Data!W7)/Inputs!$C$49)+Inputs!$C$47*0.137))+0.35*COS(2*PI()*(((0)/Inputs!$C$50)+Inputs!$C$47*0.173))+0.2*SIN(2*PI()*((((Scenario_Data!W7)+(0))/(0.5*(Inputs!$C$49+Inputs!$C$50)))+Inputs!$C$47*0.097)))+0.3*(2*((SIN(((Scenario_Data!W7)*12.9898+(0)*78.233+Inputs!$C$47*37.719))*43758.5453)-INT((SIN(((Scenario_Data!W7)*12.9898+(0)*78.233+Inputs!$C$47*37.719))*43758.5453)))-1)))))/Inputs!$C$21*1000000</f>
        <v/>
      </c>
      <c r="AG7">
        <f>Scenario_Data!T7</f>
        <v/>
      </c>
      <c r="AH7">
        <f>2*(SQRT((Inputs!$C$52+(Scenario_Data!B7))^2+Inputs!$C$52^2-2*(Inputs!$C$52+(Scenario_Data!B7))*Inputs!$C$52*COS(SQRT((Scenario_Data!T7)^2+Inputs!$C$6^2)/Inputs!$C$52))*1000)/Inputs!$C$21*1000000</f>
        <v/>
      </c>
      <c r="AI7">
        <f>Scenario_Data!U7</f>
        <v/>
      </c>
      <c r="AJ7">
        <f>2*(SQRT((Inputs!$C$52+(Scenario_Data!C7))^2+Inputs!$C$52^2-2*(Inputs!$C$52+(Scenario_Data!C7))*Inputs!$C$52*COS(SQRT((Scenario_Data!U7)^2+Inputs!$C$6^2)/Inputs!$C$52))*1000)/Inputs!$C$21*1000000</f>
        <v/>
      </c>
      <c r="AK7">
        <f>Scenario_Data!V7</f>
        <v/>
      </c>
      <c r="AL7">
        <f>2*(SQRT((Inputs!$C$52+(Scenario_Data!D7))^2+Inputs!$C$52^2-2*(Inputs!$C$52+(Scenario_Data!D7))*Inputs!$C$52*COS(SQRT((Scenario_Data!V7)^2+Inputs!$C$6^2)/Inputs!$C$52))*1000)/Inputs!$C$21*1000000</f>
        <v/>
      </c>
      <c r="AM7">
        <f>Scenario_Data!W7</f>
        <v/>
      </c>
      <c r="AN7">
        <f>2*(SQRT((Inputs!$C$52+(Scenario_Data!E7))^2+Inputs!$C$52^2-2*(Inputs!$C$52+(Scenario_Data!E7))*Inputs!$C$52*COS(SQRT((Scenario_Data!W7)^2+Inputs!$C$6^2)/Inputs!$C$52))*1000)/Inputs!$C$21*1000000</f>
        <v/>
      </c>
      <c r="AP7">
        <f>Scenario_Data!T7</f>
        <v/>
      </c>
      <c r="AQ7">
        <f>2*(SQRT((Inputs!$C$52+(Scenario_Data!B7))^2+(Inputs!$C$52+((IF(OR(Inputs!$C$27=TRUE,Inputs!$C$27="TRUE",Inputs!$C$27=1),1,0)*(Inputs!$C$51*(115*EXP(-(((Inputs!$C$6)-25)^2)/(4.5^2))+70*EXP(-(((Inputs!$C$6)+38)^2)/(7^2))*(0.55+0.45*SIN(2*PI()*(Scenario_Data!T7)/45))+24*SIN(2*PI()*(Inputs!$C$6)/9+(Scenario_Data!T7)/18)*EXP(-(((Inputs!$C$6)+5)^2)/(22^2))+18*SIN(2*PI()*(Scenario_Data!T7)/70))+Inputs!$C$28*EXP(-(((Scenario_Data!T7)-Inputs!$C$29)^2)/(2*Inputs!$C$31^2))*EXP(-(((Inputs!$C$6)-Inputs!$C$30)^2)/(2*Inputs!$C$32^2))+-Inputs!$C$33*EXP(-(((((Scenario_Data!T7)-Inputs!$C$34)^2)+(((Inputs!$C$6)-Inputs!$C$35)^2))/(2*Inputs!$C$36^2)))+Inputs!$C$37*(0.55*SIN(2*PI()*(Scenario_Data!T7)/Inputs!$C$39)+0.35*COS(2*PI()*(Inputs!$C$6)/Inputs!$C$40)+0.2*SIN(2*PI()*((Scenario_Data!T7)+(Inputs!$C$6))/(0.5*(Inputs!$C$39+Inputs!$C$40))))+Inputs!$C$38*SIN(2*PI()*(Scenario_Data!T7)/Inputs!$C$39)*SIN(2*PI()*(Inputs!$C$6)/Inputs!$C$40)+-Inputs!$C$41*EXP(-(((Inputs!$C$6)-Inputs!$C$43)^2)/(2*Inputs!$C$44^2))*EXP(-(((Scenario_Data!T7)-Inputs!$C$42)^2)/(2*Inputs!$C$45^2))+Inputs!$C$48*(0.7*(0.45*SIN(2*PI()*(((Scenario_Data!T7)/Inputs!$C$49)+Inputs!$C$47*0.137))+0.35*COS(2*PI()*(((Inputs!$C$6)/Inputs!$C$50)+Inputs!$C$47*0.173))+0.2*SIN(2*PI()*((((Scenario_Data!T7)+(Inputs!$C$6))/(0.5*(Inputs!$C$49+Inputs!$C$50)))+Inputs!$C$47*0.097)))+0.3*(2*((SIN(((Scenario_Data!T7)*12.9898+(Inputs!$C$6)*78.233+Inputs!$C$47*37.719))*43758.5453)-INT((SIN(((Scenario_Data!T7)*12.9898+(Inputs!$C$6)*78.233+Inputs!$C$47*37.719))*43758.5453)))-1))))/1000))^2-2*(Inputs!$C$52+(Scenario_Data!B7))*(Inputs!$C$52+((IF(OR(Inputs!$C$27=TRUE,Inputs!$C$27="TRUE",Inputs!$C$27=1),1,0)*(Inputs!$C$51*(115*EXP(-(((Inputs!$C$6)-25)^2)/(4.5^2))+70*EXP(-(((Inputs!$C$6)+38)^2)/(7^2))*(0.55+0.45*SIN(2*PI()*(Scenario_Data!T7)/45))+24*SIN(2*PI()*(Inputs!$C$6)/9+(Scenario_Data!T7)/18)*EXP(-(((Inputs!$C$6)+5)^2)/(22^2))+18*SIN(2*PI()*(Scenario_Data!T7)/70))+Inputs!$C$28*EXP(-(((Scenario_Data!T7)-Inputs!$C$29)^2)/(2*Inputs!$C$31^2))*EXP(-(((Inputs!$C$6)-Inputs!$C$30)^2)/(2*Inputs!$C$32^2))+-Inputs!$C$33*EXP(-(((((Scenario_Data!T7)-Inputs!$C$34)^2)+(((Inputs!$C$6)-Inputs!$C$35)^2))/(2*Inputs!$C$36^2)))+Inputs!$C$37*(0.55*SIN(2*PI()*(Scenario_Data!T7)/Inputs!$C$39)+0.35*COS(2*PI()*(Inputs!$C$6)/Inputs!$C$40)+0.2*SIN(2*PI()*((Scenario_Data!T7)+(Inputs!$C$6))/(0.5*(Inputs!$C$39+Inputs!$C$40))))+Inputs!$C$38*SIN(2*PI()*(Scenario_Data!T7)/Inputs!$C$39)*SIN(2*PI()*(Inputs!$C$6)/Inputs!$C$40)+-Inputs!$C$41*EXP(-(((Inputs!$C$6)-Inputs!$C$43)^2)/(2*Inputs!$C$44^2))*EXP(-(((Scenario_Data!T7)-Inputs!$C$42)^2)/(2*Inputs!$C$45^2))+Inputs!$C$48*(0.7*(0.45*SIN(2*PI()*(((Scenario_Data!T7)/Inputs!$C$49)+Inputs!$C$47*0.137))+0.35*COS(2*PI()*(((Inputs!$C$6)/Inputs!$C$50)+Inputs!$C$47*0.173))+0.2*SIN(2*PI()*((((Scenario_Data!T7)+(Inputs!$C$6))/(0.5*(Inputs!$C$49+Inputs!$C$50)))+Inputs!$C$47*0.097)))+0.3*(2*((SIN(((Scenario_Data!T7)*12.9898+(Inputs!$C$6)*78.233+Inputs!$C$47*37.719))*43758.5453)-INT((SIN(((Scenario_Data!T7)*12.9898+(Inputs!$C$6)*78.233+Inputs!$C$47*37.719))*43758.5453)))-1))))/1000))*COS(SQRT((Scenario_Data!T7)^2+Inputs!$C$6^2)/Inputs!$C$52))*1000)/Inputs!$C$21*1000000</f>
        <v/>
      </c>
      <c r="AR7">
        <f>Scenario_Data!U7</f>
        <v/>
      </c>
      <c r="AS7">
        <f>2*(SQRT((Inputs!$C$52+(Scenario_Data!C7))^2+(Inputs!$C$52+((IF(OR(Inputs!$C$27=TRUE,Inputs!$C$27="TRUE",Inputs!$C$27=1),1,0)*(Inputs!$C$51*(115*EXP(-(((Inputs!$C$6)-25)^2)/(4.5^2))+70*EXP(-(((Inputs!$C$6)+38)^2)/(7^2))*(0.55+0.45*SIN(2*PI()*(Scenario_Data!U7)/45))+24*SIN(2*PI()*(Inputs!$C$6)/9+(Scenario_Data!U7)/18)*EXP(-(((Inputs!$C$6)+5)^2)/(22^2))+18*SIN(2*PI()*(Scenario_Data!U7)/70))+Inputs!$C$28*EXP(-(((Scenario_Data!U7)-Inputs!$C$29)^2)/(2*Inputs!$C$31^2))*EXP(-(((Inputs!$C$6)-Inputs!$C$30)^2)/(2*Inputs!$C$32^2))+-Inputs!$C$33*EXP(-(((((Scenario_Data!U7)-Inputs!$C$34)^2)+(((Inputs!$C$6)-Inputs!$C$35)^2))/(2*Inputs!$C$36^2)))+Inputs!$C$37*(0.55*SIN(2*PI()*(Scenario_Data!U7)/Inputs!$C$39)+0.35*COS(2*PI()*(Inputs!$C$6)/Inputs!$C$40)+0.2*SIN(2*PI()*((Scenario_Data!U7)+(Inputs!$C$6))/(0.5*(Inputs!$C$39+Inputs!$C$40))))+Inputs!$C$38*SIN(2*PI()*(Scenario_Data!U7)/Inputs!$C$39)*SIN(2*PI()*(Inputs!$C$6)/Inputs!$C$40)+-Inputs!$C$41*EXP(-(((Inputs!$C$6)-Inputs!$C$43)^2)/(2*Inputs!$C$44^2))*EXP(-(((Scenario_Data!U7)-Inputs!$C$42)^2)/(2*Inputs!$C$45^2))+Inputs!$C$48*(0.7*(0.45*SIN(2*PI()*(((Scenario_Data!U7)/Inputs!$C$49)+Inputs!$C$47*0.137))+0.35*COS(2*PI()*(((Inputs!$C$6)/Inputs!$C$50)+Inputs!$C$47*0.173))+0.2*SIN(2*PI()*((((Scenario_Data!U7)+(Inputs!$C$6))/(0.5*(Inputs!$C$49+Inputs!$C$50)))+Inputs!$C$47*0.097)))+0.3*(2*((SIN(((Scenario_Data!U7)*12.9898+(Inputs!$C$6)*78.233+Inputs!$C$47*37.719))*43758.5453)-INT((SIN(((Scenario_Data!U7)*12.9898+(Inputs!$C$6)*78.233+Inputs!$C$47*37.719))*43758.5453)))-1))))/1000))^2-2*(Inputs!$C$52+(Scenario_Data!C7))*(Inputs!$C$52+((IF(OR(Inputs!$C$27=TRUE,Inputs!$C$27="TRUE",Inputs!$C$27=1),1,0)*(Inputs!$C$51*(115*EXP(-(((Inputs!$C$6)-25)^2)/(4.5^2))+70*EXP(-(((Inputs!$C$6)+38)^2)/(7^2))*(0.55+0.45*SIN(2*PI()*(Scenario_Data!U7)/45))+24*SIN(2*PI()*(Inputs!$C$6)/9+(Scenario_Data!U7)/18)*EXP(-(((Inputs!$C$6)+5)^2)/(22^2))+18*SIN(2*PI()*(Scenario_Data!U7)/70))+Inputs!$C$28*EXP(-(((Scenario_Data!U7)-Inputs!$C$29)^2)/(2*Inputs!$C$31^2))*EXP(-(((Inputs!$C$6)-Inputs!$C$30)^2)/(2*Inputs!$C$32^2))+-Inputs!$C$33*EXP(-(((((Scenario_Data!U7)-Inputs!$C$34)^2)+(((Inputs!$C$6)-Inputs!$C$35)^2))/(2*Inputs!$C$36^2)))+Inputs!$C$37*(0.55*SIN(2*PI()*(Scenario_Data!U7)/Inputs!$C$39)+0.35*COS(2*PI()*(Inputs!$C$6)/Inputs!$C$40)+0.2*SIN(2*PI()*((Scenario_Data!U7)+(Inputs!$C$6))/(0.5*(Inputs!$C$39+Inputs!$C$40))))+Inputs!$C$38*SIN(2*PI()*(Scenario_Data!U7)/Inputs!$C$39)*SIN(2*PI()*(Inputs!$C$6)/Inputs!$C$40)+-Inputs!$C$41*EXP(-(((Inputs!$C$6)-Inputs!$C$43)^2)/(2*Inputs!$C$44^2))*EXP(-(((Scenario_Data!U7)-Inputs!$C$42)^2)/(2*Inputs!$C$45^2))+Inputs!$C$48*(0.7*(0.45*SIN(2*PI()*(((Scenario_Data!U7)/Inputs!$C$49)+Inputs!$C$47*0.137))+0.35*COS(2*PI()*(((Inputs!$C$6)/Inputs!$C$50)+Inputs!$C$47*0.173))+0.2*SIN(2*PI()*((((Scenario_Data!U7)+(Inputs!$C$6))/(0.5*(Inputs!$C$49+Inputs!$C$50)))+Inputs!$C$47*0.097)))+0.3*(2*((SIN(((Scenario_Data!U7)*12.9898+(Inputs!$C$6)*78.233+Inputs!$C$47*37.719))*43758.5453)-INT((SIN(((Scenario_Data!U7)*12.9898+(Inputs!$C$6)*78.233+Inputs!$C$47*37.719))*43758.5453)))-1))))/1000))*COS(SQRT((Scenario_Data!U7)^2+Inputs!$C$6^2)/Inputs!$C$52))*1000)/Inputs!$C$21*1000000</f>
        <v/>
      </c>
      <c r="AT7">
        <f>Scenario_Data!V7</f>
        <v/>
      </c>
      <c r="AU7">
        <f>2*(SQRT((Inputs!$C$52+(Scenario_Data!D7))^2+(Inputs!$C$52+((IF(OR(Inputs!$C$27=TRUE,Inputs!$C$27="TRUE",Inputs!$C$27=1),1,0)*(Inputs!$C$51*(115*EXP(-(((Inputs!$C$6)-25)^2)/(4.5^2))+70*EXP(-(((Inputs!$C$6)+38)^2)/(7^2))*(0.55+0.45*SIN(2*PI()*(Scenario_Data!V7)/45))+24*SIN(2*PI()*(Inputs!$C$6)/9+(Scenario_Data!V7)/18)*EXP(-(((Inputs!$C$6)+5)^2)/(22^2))+18*SIN(2*PI()*(Scenario_Data!V7)/70))+Inputs!$C$28*EXP(-(((Scenario_Data!V7)-Inputs!$C$29)^2)/(2*Inputs!$C$31^2))*EXP(-(((Inputs!$C$6)-Inputs!$C$30)^2)/(2*Inputs!$C$32^2))+-Inputs!$C$33*EXP(-(((((Scenario_Data!V7)-Inputs!$C$34)^2)+(((Inputs!$C$6)-Inputs!$C$35)^2))/(2*Inputs!$C$36^2)))+Inputs!$C$37*(0.55*SIN(2*PI()*(Scenario_Data!V7)/Inputs!$C$39)+0.35*COS(2*PI()*(Inputs!$C$6)/Inputs!$C$40)+0.2*SIN(2*PI()*((Scenario_Data!V7)+(Inputs!$C$6))/(0.5*(Inputs!$C$39+Inputs!$C$40))))+Inputs!$C$38*SIN(2*PI()*(Scenario_Data!V7)/Inputs!$C$39)*SIN(2*PI()*(Inputs!$C$6)/Inputs!$C$40)+-Inputs!$C$41*EXP(-(((Inputs!$C$6)-Inputs!$C$43)^2)/(2*Inputs!$C$44^2))*EXP(-(((Scenario_Data!V7)-Inputs!$C$42)^2)/(2*Inputs!$C$45^2))+Inputs!$C$48*(0.7*(0.45*SIN(2*PI()*(((Scenario_Data!V7)/Inputs!$C$49)+Inputs!$C$47*0.137))+0.35*COS(2*PI()*(((Inputs!$C$6)/Inputs!$C$50)+Inputs!$C$47*0.173))+0.2*SIN(2*PI()*((((Scenario_Data!V7)+(Inputs!$C$6))/(0.5*(Inputs!$C$49+Inputs!$C$50)))+Inputs!$C$47*0.097)))+0.3*(2*((SIN(((Scenario_Data!V7)*12.9898+(Inputs!$C$6)*78.233+Inputs!$C$47*37.719))*43758.5453)-INT((SIN(((Scenario_Data!V7)*12.9898+(Inputs!$C$6)*78.233+Inputs!$C$47*37.719))*43758.5453)))-1))))/1000))^2-2*(Inputs!$C$52+(Scenario_Data!D7))*(Inputs!$C$52+((IF(OR(Inputs!$C$27=TRUE,Inputs!$C$27="TRUE",Inputs!$C$27=1),1,0)*(Inputs!$C$51*(115*EXP(-(((Inputs!$C$6)-25)^2)/(4.5^2))+70*EXP(-(((Inputs!$C$6)+38)^2)/(7^2))*(0.55+0.45*SIN(2*PI()*(Scenario_Data!V7)/45))+24*SIN(2*PI()*(Inputs!$C$6)/9+(Scenario_Data!V7)/18)*EXP(-(((Inputs!$C$6)+5)^2)/(22^2))+18*SIN(2*PI()*(Scenario_Data!V7)/70))+Inputs!$C$28*EXP(-(((Scenario_Data!V7)-Inputs!$C$29)^2)/(2*Inputs!$C$31^2))*EXP(-(((Inputs!$C$6)-Inputs!$C$30)^2)/(2*Inputs!$C$32^2))+-Inputs!$C$33*EXP(-(((((Scenario_Data!V7)-Inputs!$C$34)^2)+(((Inputs!$C$6)-Inputs!$C$35)^2))/(2*Inputs!$C$36^2)))+Inputs!$C$37*(0.55*SIN(2*PI()*(Scenario_Data!V7)/Inputs!$C$39)+0.35*COS(2*PI()*(Inputs!$C$6)/Inputs!$C$40)+0.2*SIN(2*PI()*((Scenario_Data!V7)+(Inputs!$C$6))/(0.5*(Inputs!$C$39+Inputs!$C$40))))+Inputs!$C$38*SIN(2*PI()*(Scenario_Data!V7)/Inputs!$C$39)*SIN(2*PI()*(Inputs!$C$6)/Inputs!$C$40)+-Inputs!$C$41*EXP(-(((Inputs!$C$6)-Inputs!$C$43)^2)/(2*Inputs!$C$44^2))*EXP(-(((Scenario_Data!V7)-Inputs!$C$42)^2)/(2*Inputs!$C$45^2))+Inputs!$C$48*(0.7*(0.45*SIN(2*PI()*(((Scenario_Data!V7)/Inputs!$C$49)+Inputs!$C$47*0.137))+0.35*COS(2*PI()*(((Inputs!$C$6)/Inputs!$C$50)+Inputs!$C$47*0.173))+0.2*SIN(2*PI()*((((Scenario_Data!V7)+(Inputs!$C$6))/(0.5*(Inputs!$C$49+Inputs!$C$50)))+Inputs!$C$47*0.097)))+0.3*(2*((SIN(((Scenario_Data!V7)*12.9898+(Inputs!$C$6)*78.233+Inputs!$C$47*37.719))*43758.5453)-INT((SIN(((Scenario_Data!V7)*12.9898+(Inputs!$C$6)*78.233+Inputs!$C$47*37.719))*43758.5453)))-1))))/1000))*COS(SQRT((Scenario_Data!V7)^2+Inputs!$C$6^2)/Inputs!$C$52))*1000)/Inputs!$C$21*1000000</f>
        <v/>
      </c>
      <c r="AV7">
        <f>Scenario_Data!W7</f>
        <v/>
      </c>
      <c r="AW7">
        <f>2*(SQRT((Inputs!$C$52+(Scenario_Data!E7))^2+(Inputs!$C$52+((IF(OR(Inputs!$C$27=TRUE,Inputs!$C$27="TRUE",Inputs!$C$27=1),1,0)*(Inputs!$C$51*(115*EXP(-(((Inputs!$C$6)-25)^2)/(4.5^2))+70*EXP(-(((Inputs!$C$6)+38)^2)/(7^2))*(0.55+0.45*SIN(2*PI()*(Scenario_Data!W7)/45))+24*SIN(2*PI()*(Inputs!$C$6)/9+(Scenario_Data!W7)/18)*EXP(-(((Inputs!$C$6)+5)^2)/(22^2))+18*SIN(2*PI()*(Scenario_Data!W7)/70))+Inputs!$C$28*EXP(-(((Scenario_Data!W7)-Inputs!$C$29)^2)/(2*Inputs!$C$31^2))*EXP(-(((Inputs!$C$6)-Inputs!$C$30)^2)/(2*Inputs!$C$32^2))+-Inputs!$C$33*EXP(-(((((Scenario_Data!W7)-Inputs!$C$34)^2)+(((Inputs!$C$6)-Inputs!$C$35)^2))/(2*Inputs!$C$36^2)))+Inputs!$C$37*(0.55*SIN(2*PI()*(Scenario_Data!W7)/Inputs!$C$39)+0.35*COS(2*PI()*(Inputs!$C$6)/Inputs!$C$40)+0.2*SIN(2*PI()*((Scenario_Data!W7)+(Inputs!$C$6))/(0.5*(Inputs!$C$39+Inputs!$C$40))))+Inputs!$C$38*SIN(2*PI()*(Scenario_Data!W7)/Inputs!$C$39)*SIN(2*PI()*(Inputs!$C$6)/Inputs!$C$40)+-Inputs!$C$41*EXP(-(((Inputs!$C$6)-Inputs!$C$43)^2)/(2*Inputs!$C$44^2))*EXP(-(((Scenario_Data!W7)-Inputs!$C$42)^2)/(2*Inputs!$C$45^2))+Inputs!$C$48*(0.7*(0.45*SIN(2*PI()*(((Scenario_Data!W7)/Inputs!$C$49)+Inputs!$C$47*0.137))+0.35*COS(2*PI()*(((Inputs!$C$6)/Inputs!$C$50)+Inputs!$C$47*0.173))+0.2*SIN(2*PI()*((((Scenario_Data!W7)+(Inputs!$C$6))/(0.5*(Inputs!$C$49+Inputs!$C$50)))+Inputs!$C$47*0.097)))+0.3*(2*((SIN(((Scenario_Data!W7)*12.9898+(Inputs!$C$6)*78.233+Inputs!$C$47*37.719))*43758.5453)-INT((SIN(((Scenario_Data!W7)*12.9898+(Inputs!$C$6)*78.233+Inputs!$C$47*37.719))*43758.5453)))-1))))/1000))^2-2*(Inputs!$C$52+(Scenario_Data!E7))*(Inputs!$C$52+((IF(OR(Inputs!$C$27=TRUE,Inputs!$C$27="TRUE",Inputs!$C$27=1),1,0)*(Inputs!$C$51*(115*EXP(-(((Inputs!$C$6)-25)^2)/(4.5^2))+70*EXP(-(((Inputs!$C$6)+38)^2)/(7^2))*(0.55+0.45*SIN(2*PI()*(Scenario_Data!W7)/45))+24*SIN(2*PI()*(Inputs!$C$6)/9+(Scenario_Data!W7)/18)*EXP(-(((Inputs!$C$6)+5)^2)/(22^2))+18*SIN(2*PI()*(Scenario_Data!W7)/70))+Inputs!$C$28*EXP(-(((Scenario_Data!W7)-Inputs!$C$29)^2)/(2*Inputs!$C$31^2))*EXP(-(((Inputs!$C$6)-Inputs!$C$30)^2)/(2*Inputs!$C$32^2))+-Inputs!$C$33*EXP(-(((((Scenario_Data!W7)-Inputs!$C$34)^2)+(((Inputs!$C$6)-Inputs!$C$35)^2))/(2*Inputs!$C$36^2)))+Inputs!$C$37*(0.55*SIN(2*PI()*(Scenario_Data!W7)/Inputs!$C$39)+0.35*COS(2*PI()*(Inputs!$C$6)/Inputs!$C$40)+0.2*SIN(2*PI()*((Scenario_Data!W7)+(Inputs!$C$6))/(0.5*(Inputs!$C$39+Inputs!$C$40))))+Inputs!$C$38*SIN(2*PI()*(Scenario_Data!W7)/Inputs!$C$39)*SIN(2*PI()*(Inputs!$C$6)/Inputs!$C$40)+-Inputs!$C$41*EXP(-(((Inputs!$C$6)-Inputs!$C$43)^2)/(2*Inputs!$C$44^2))*EXP(-(((Scenario_Data!W7)-Inputs!$C$42)^2)/(2*Inputs!$C$45^2))+Inputs!$C$48*(0.7*(0.45*SIN(2*PI()*(((Scenario_Data!W7)/Inputs!$C$49)+Inputs!$C$47*0.137))+0.35*COS(2*PI()*(((Inputs!$C$6)/Inputs!$C$50)+Inputs!$C$47*0.173))+0.2*SIN(2*PI()*((((Scenario_Data!W7)+(Inputs!$C$6))/(0.5*(Inputs!$C$49+Inputs!$C$50)))+Inputs!$C$47*0.097)))+0.3*(2*((SIN(((Scenario_Data!W7)*12.9898+(Inputs!$C$6)*78.233+Inputs!$C$47*37.719))*43758.5453)-INT((SIN(((Scenario_Data!W7)*12.9898+(Inputs!$C$6)*78.233+Inputs!$C$47*37.719))*43758.5453)))-1))))/1000))*COS(SQRT((Scenario_Data!W7)^2+Inputs!$C$6^2)/Inputs!$C$52))*1000)/Inputs!$C$21*1000000</f>
        <v/>
      </c>
    </row>
    <row r="8">
      <c r="A8">
        <f>Chart_Data!K8</f>
        <v/>
      </c>
      <c r="B8">
        <f>Chart_Data!N8-Chart_Data!L8</f>
        <v/>
      </c>
      <c r="D8">
        <f>Chart_Data!G8</f>
        <v/>
      </c>
      <c r="E8">
        <f>Chart_Data!H8</f>
        <v/>
      </c>
      <c r="F8">
        <f>Chart_Data!I8</f>
        <v/>
      </c>
      <c r="G8">
        <f>Chart_Data!J8</f>
        <v/>
      </c>
      <c r="I8">
        <f>Scenario_Data!A8</f>
        <v/>
      </c>
      <c r="J8">
        <f>Scenario_Data!H8-(((SQRT((Inputs!$C$52+(Inputs!$H$6))^2+Inputs!$C$52^2-2*(Inputs!$C$52+(Inputs!$H$6))*Inputs!$C$52*COS(SQRT((Scenario_Data!T8)^2+Inputs!$C$6^2)/Inputs!$C$52)))-(Inputs!$H$6))*1000/Inputs!$C$12)</f>
        <v/>
      </c>
      <c r="K8">
        <f>Scenario_Data!I8-(((SQRT((Inputs!$C$52+(Inputs!$H$7))^2+Inputs!$C$52^2-2*(Inputs!$C$52+(Inputs!$H$7))*Inputs!$C$52*COS(SQRT((Scenario_Data!U8)^2+Inputs!$C$6^2)/Inputs!$C$52)))-(Inputs!$H$7))*1000/Inputs!$C$12)</f>
        <v/>
      </c>
      <c r="L8">
        <f>Scenario_Data!J8-(((SQRT((Inputs!$C$52+(Inputs!$H$8))^2+Inputs!$C$52^2-2*(Inputs!$C$52+(Inputs!$H$8))*Inputs!$C$52*COS(SQRT((Scenario_Data!V8)^2+Inputs!$C$6^2)/Inputs!$C$52)))-(Inputs!$H$8))*1000/Inputs!$C$12)</f>
        <v/>
      </c>
      <c r="M8">
        <f>Scenario_Data!K8-(((SQRT((Inputs!$C$52+(Inputs!$H$9))^2+Inputs!$C$52^2-2*(Inputs!$C$52+(Inputs!$H$9))*Inputs!$C$52*COS(SQRT((Scenario_Data!W8)^2+Inputs!$C$6^2)/Inputs!$C$52)))-(Inputs!$H$9))*1000/Inputs!$C$12)</f>
        <v/>
      </c>
      <c r="O8">
        <f>Scenario_Data!T8</f>
        <v/>
      </c>
      <c r="P8">
        <f>2*(Scenario_Data!B8*1000)/Inputs!$C$21*1000000</f>
        <v/>
      </c>
      <c r="Q8">
        <f>Scenario_Data!U8</f>
        <v/>
      </c>
      <c r="R8">
        <f>2*(Scenario_Data!C8*1000)/Inputs!$C$21*1000000</f>
        <v/>
      </c>
      <c r="S8">
        <f>Scenario_Data!V8</f>
        <v/>
      </c>
      <c r="T8">
        <f>2*(Scenario_Data!D8*1000)/Inputs!$C$21*1000000</f>
        <v/>
      </c>
      <c r="U8">
        <f>Scenario_Data!W8</f>
        <v/>
      </c>
      <c r="V8">
        <f>2*(Scenario_Data!E8*1000)/Inputs!$C$21*1000000</f>
        <v/>
      </c>
      <c r="X8">
        <f>Scenario_Data!T8</f>
        <v/>
      </c>
      <c r="Y8">
        <f>2*((Scenario_Data!B8*1000)-(IF(OR(Inputs!$C$27=TRUE,Inputs!$C$27="TRUE",Inputs!$C$27=1),1,0)*(Inputs!$C$51*(115*EXP(-(((0)-25)^2)/(4.5^2))+70*EXP(-(((0)+38)^2)/(7^2))*(0.55+0.45*SIN(2*PI()*(Scenario_Data!T8)/45))+24*SIN(2*PI()*(0)/9+(Scenario_Data!T8)/18)*EXP(-(((0)+5)^2)/(22^2))+18*SIN(2*PI()*(Scenario_Data!T8)/70))+Inputs!$C$28*EXP(-(((Scenario_Data!T8)-Inputs!$C$29)^2)/(2*Inputs!$C$31^2))*EXP(-(((0)-Inputs!$C$30)^2)/(2*Inputs!$C$32^2))+-Inputs!$C$33*EXP(-(((((Scenario_Data!T8)-Inputs!$C$34)^2)+(((0)-Inputs!$C$35)^2))/(2*Inputs!$C$36^2)))+Inputs!$C$37*(0.55*SIN(2*PI()*(Scenario_Data!T8)/Inputs!$C$39)+0.35*COS(2*PI()*(0)/Inputs!$C$40)+0.2*SIN(2*PI()*((Scenario_Data!T8)+(0))/(0.5*(Inputs!$C$39+Inputs!$C$40))))+Inputs!$C$38*SIN(2*PI()*(Scenario_Data!T8)/Inputs!$C$39)*SIN(2*PI()*(0)/Inputs!$C$40)+-Inputs!$C$41*EXP(-(((0)-Inputs!$C$43)^2)/(2*Inputs!$C$44^2))*EXP(-(((Scenario_Data!T8)-Inputs!$C$42)^2)/(2*Inputs!$C$45^2))+Inputs!$C$48*(0.7*(0.45*SIN(2*PI()*(((Scenario_Data!T8)/Inputs!$C$49)+Inputs!$C$47*0.137))+0.35*COS(2*PI()*(((0)/Inputs!$C$50)+Inputs!$C$47*0.173))+0.2*SIN(2*PI()*((((Scenario_Data!T8)+(0))/(0.5*(Inputs!$C$49+Inputs!$C$50)))+Inputs!$C$47*0.097)))+0.3*(2*((SIN(((Scenario_Data!T8)*12.9898+(0)*78.233+Inputs!$C$47*37.719))*43758.5453)-INT((SIN(((Scenario_Data!T8)*12.9898+(0)*78.233+Inputs!$C$47*37.719))*43758.5453)))-1)))))/Inputs!$C$21*1000000</f>
        <v/>
      </c>
      <c r="Z8">
        <f>Scenario_Data!U8</f>
        <v/>
      </c>
      <c r="AA8">
        <f>2*((Scenario_Data!C8*1000)-(IF(OR(Inputs!$C$27=TRUE,Inputs!$C$27="TRUE",Inputs!$C$27=1),1,0)*(Inputs!$C$51*(115*EXP(-(((0)-25)^2)/(4.5^2))+70*EXP(-(((0)+38)^2)/(7^2))*(0.55+0.45*SIN(2*PI()*(Scenario_Data!U8)/45))+24*SIN(2*PI()*(0)/9+(Scenario_Data!U8)/18)*EXP(-(((0)+5)^2)/(22^2))+18*SIN(2*PI()*(Scenario_Data!U8)/70))+Inputs!$C$28*EXP(-(((Scenario_Data!U8)-Inputs!$C$29)^2)/(2*Inputs!$C$31^2))*EXP(-(((0)-Inputs!$C$30)^2)/(2*Inputs!$C$32^2))+-Inputs!$C$33*EXP(-(((((Scenario_Data!U8)-Inputs!$C$34)^2)+(((0)-Inputs!$C$35)^2))/(2*Inputs!$C$36^2)))+Inputs!$C$37*(0.55*SIN(2*PI()*(Scenario_Data!U8)/Inputs!$C$39)+0.35*COS(2*PI()*(0)/Inputs!$C$40)+0.2*SIN(2*PI()*((Scenario_Data!U8)+(0))/(0.5*(Inputs!$C$39+Inputs!$C$40))))+Inputs!$C$38*SIN(2*PI()*(Scenario_Data!U8)/Inputs!$C$39)*SIN(2*PI()*(0)/Inputs!$C$40)+-Inputs!$C$41*EXP(-(((0)-Inputs!$C$43)^2)/(2*Inputs!$C$44^2))*EXP(-(((Scenario_Data!U8)-Inputs!$C$42)^2)/(2*Inputs!$C$45^2))+Inputs!$C$48*(0.7*(0.45*SIN(2*PI()*(((Scenario_Data!U8)/Inputs!$C$49)+Inputs!$C$47*0.137))+0.35*COS(2*PI()*(((0)/Inputs!$C$50)+Inputs!$C$47*0.173))+0.2*SIN(2*PI()*((((Scenario_Data!U8)+(0))/(0.5*(Inputs!$C$49+Inputs!$C$50)))+Inputs!$C$47*0.097)))+0.3*(2*((SIN(((Scenario_Data!U8)*12.9898+(0)*78.233+Inputs!$C$47*37.719))*43758.5453)-INT((SIN(((Scenario_Data!U8)*12.9898+(0)*78.233+Inputs!$C$47*37.719))*43758.5453)))-1)))))/Inputs!$C$21*1000000</f>
        <v/>
      </c>
      <c r="AB8">
        <f>Scenario_Data!V8</f>
        <v/>
      </c>
      <c r="AC8">
        <f>2*((Scenario_Data!D8*1000)-(IF(OR(Inputs!$C$27=TRUE,Inputs!$C$27="TRUE",Inputs!$C$27=1),1,0)*(Inputs!$C$51*(115*EXP(-(((0)-25)^2)/(4.5^2))+70*EXP(-(((0)+38)^2)/(7^2))*(0.55+0.45*SIN(2*PI()*(Scenario_Data!V8)/45))+24*SIN(2*PI()*(0)/9+(Scenario_Data!V8)/18)*EXP(-(((0)+5)^2)/(22^2))+18*SIN(2*PI()*(Scenario_Data!V8)/70))+Inputs!$C$28*EXP(-(((Scenario_Data!V8)-Inputs!$C$29)^2)/(2*Inputs!$C$31^2))*EXP(-(((0)-Inputs!$C$30)^2)/(2*Inputs!$C$32^2))+-Inputs!$C$33*EXP(-(((((Scenario_Data!V8)-Inputs!$C$34)^2)+(((0)-Inputs!$C$35)^2))/(2*Inputs!$C$36^2)))+Inputs!$C$37*(0.55*SIN(2*PI()*(Scenario_Data!V8)/Inputs!$C$39)+0.35*COS(2*PI()*(0)/Inputs!$C$40)+0.2*SIN(2*PI()*((Scenario_Data!V8)+(0))/(0.5*(Inputs!$C$39+Inputs!$C$40))))+Inputs!$C$38*SIN(2*PI()*(Scenario_Data!V8)/Inputs!$C$39)*SIN(2*PI()*(0)/Inputs!$C$40)+-Inputs!$C$41*EXP(-(((0)-Inputs!$C$43)^2)/(2*Inputs!$C$44^2))*EXP(-(((Scenario_Data!V8)-Inputs!$C$42)^2)/(2*Inputs!$C$45^2))+Inputs!$C$48*(0.7*(0.45*SIN(2*PI()*(((Scenario_Data!V8)/Inputs!$C$49)+Inputs!$C$47*0.137))+0.35*COS(2*PI()*(((0)/Inputs!$C$50)+Inputs!$C$47*0.173))+0.2*SIN(2*PI()*((((Scenario_Data!V8)+(0))/(0.5*(Inputs!$C$49+Inputs!$C$50)))+Inputs!$C$47*0.097)))+0.3*(2*((SIN(((Scenario_Data!V8)*12.9898+(0)*78.233+Inputs!$C$47*37.719))*43758.5453)-INT((SIN(((Scenario_Data!V8)*12.9898+(0)*78.233+Inputs!$C$47*37.719))*43758.5453)))-1)))))/Inputs!$C$21*1000000</f>
        <v/>
      </c>
      <c r="AD8">
        <f>Scenario_Data!W8</f>
        <v/>
      </c>
      <c r="AE8">
        <f>2*((Scenario_Data!E8*1000)-(IF(OR(Inputs!$C$27=TRUE,Inputs!$C$27="TRUE",Inputs!$C$27=1),1,0)*(Inputs!$C$51*(115*EXP(-(((0)-25)^2)/(4.5^2))+70*EXP(-(((0)+38)^2)/(7^2))*(0.55+0.45*SIN(2*PI()*(Scenario_Data!W8)/45))+24*SIN(2*PI()*(0)/9+(Scenario_Data!W8)/18)*EXP(-(((0)+5)^2)/(22^2))+18*SIN(2*PI()*(Scenario_Data!W8)/70))+Inputs!$C$28*EXP(-(((Scenario_Data!W8)-Inputs!$C$29)^2)/(2*Inputs!$C$31^2))*EXP(-(((0)-Inputs!$C$30)^2)/(2*Inputs!$C$32^2))+-Inputs!$C$33*EXP(-(((((Scenario_Data!W8)-Inputs!$C$34)^2)+(((0)-Inputs!$C$35)^2))/(2*Inputs!$C$36^2)))+Inputs!$C$37*(0.55*SIN(2*PI()*(Scenario_Data!W8)/Inputs!$C$39)+0.35*COS(2*PI()*(0)/Inputs!$C$40)+0.2*SIN(2*PI()*((Scenario_Data!W8)+(0))/(0.5*(Inputs!$C$39+Inputs!$C$40))))+Inputs!$C$38*SIN(2*PI()*(Scenario_Data!W8)/Inputs!$C$39)*SIN(2*PI()*(0)/Inputs!$C$40)+-Inputs!$C$41*EXP(-(((0)-Inputs!$C$43)^2)/(2*Inputs!$C$44^2))*EXP(-(((Scenario_Data!W8)-Inputs!$C$42)^2)/(2*Inputs!$C$45^2))+Inputs!$C$48*(0.7*(0.45*SIN(2*PI()*(((Scenario_Data!W8)/Inputs!$C$49)+Inputs!$C$47*0.137))+0.35*COS(2*PI()*(((0)/Inputs!$C$50)+Inputs!$C$47*0.173))+0.2*SIN(2*PI()*((((Scenario_Data!W8)+(0))/(0.5*(Inputs!$C$49+Inputs!$C$50)))+Inputs!$C$47*0.097)))+0.3*(2*((SIN(((Scenario_Data!W8)*12.9898+(0)*78.233+Inputs!$C$47*37.719))*43758.5453)-INT((SIN(((Scenario_Data!W8)*12.9898+(0)*78.233+Inputs!$C$47*37.719))*43758.5453)))-1)))))/Inputs!$C$21*1000000</f>
        <v/>
      </c>
      <c r="AG8">
        <f>Scenario_Data!T8</f>
        <v/>
      </c>
      <c r="AH8">
        <f>2*(SQRT((Inputs!$C$52+(Scenario_Data!B8))^2+Inputs!$C$52^2-2*(Inputs!$C$52+(Scenario_Data!B8))*Inputs!$C$52*COS(SQRT((Scenario_Data!T8)^2+Inputs!$C$6^2)/Inputs!$C$52))*1000)/Inputs!$C$21*1000000</f>
        <v/>
      </c>
      <c r="AI8">
        <f>Scenario_Data!U8</f>
        <v/>
      </c>
      <c r="AJ8">
        <f>2*(SQRT((Inputs!$C$52+(Scenario_Data!C8))^2+Inputs!$C$52^2-2*(Inputs!$C$52+(Scenario_Data!C8))*Inputs!$C$52*COS(SQRT((Scenario_Data!U8)^2+Inputs!$C$6^2)/Inputs!$C$52))*1000)/Inputs!$C$21*1000000</f>
        <v/>
      </c>
      <c r="AK8">
        <f>Scenario_Data!V8</f>
        <v/>
      </c>
      <c r="AL8">
        <f>2*(SQRT((Inputs!$C$52+(Scenario_Data!D8))^2+Inputs!$C$52^2-2*(Inputs!$C$52+(Scenario_Data!D8))*Inputs!$C$52*COS(SQRT((Scenario_Data!V8)^2+Inputs!$C$6^2)/Inputs!$C$52))*1000)/Inputs!$C$21*1000000</f>
        <v/>
      </c>
      <c r="AM8">
        <f>Scenario_Data!W8</f>
        <v/>
      </c>
      <c r="AN8">
        <f>2*(SQRT((Inputs!$C$52+(Scenario_Data!E8))^2+Inputs!$C$52^2-2*(Inputs!$C$52+(Scenario_Data!E8))*Inputs!$C$52*COS(SQRT((Scenario_Data!W8)^2+Inputs!$C$6^2)/Inputs!$C$52))*1000)/Inputs!$C$21*1000000</f>
        <v/>
      </c>
      <c r="AP8">
        <f>Scenario_Data!T8</f>
        <v/>
      </c>
      <c r="AQ8">
        <f>2*(SQRT((Inputs!$C$52+(Scenario_Data!B8))^2+(Inputs!$C$52+((IF(OR(Inputs!$C$27=TRUE,Inputs!$C$27="TRUE",Inputs!$C$27=1),1,0)*(Inputs!$C$51*(115*EXP(-(((Inputs!$C$6)-25)^2)/(4.5^2))+70*EXP(-(((Inputs!$C$6)+38)^2)/(7^2))*(0.55+0.45*SIN(2*PI()*(Scenario_Data!T8)/45))+24*SIN(2*PI()*(Inputs!$C$6)/9+(Scenario_Data!T8)/18)*EXP(-(((Inputs!$C$6)+5)^2)/(22^2))+18*SIN(2*PI()*(Scenario_Data!T8)/70))+Inputs!$C$28*EXP(-(((Scenario_Data!T8)-Inputs!$C$29)^2)/(2*Inputs!$C$31^2))*EXP(-(((Inputs!$C$6)-Inputs!$C$30)^2)/(2*Inputs!$C$32^2))+-Inputs!$C$33*EXP(-(((((Scenario_Data!T8)-Inputs!$C$34)^2)+(((Inputs!$C$6)-Inputs!$C$35)^2))/(2*Inputs!$C$36^2)))+Inputs!$C$37*(0.55*SIN(2*PI()*(Scenario_Data!T8)/Inputs!$C$39)+0.35*COS(2*PI()*(Inputs!$C$6)/Inputs!$C$40)+0.2*SIN(2*PI()*((Scenario_Data!T8)+(Inputs!$C$6))/(0.5*(Inputs!$C$39+Inputs!$C$40))))+Inputs!$C$38*SIN(2*PI()*(Scenario_Data!T8)/Inputs!$C$39)*SIN(2*PI()*(Inputs!$C$6)/Inputs!$C$40)+-Inputs!$C$41*EXP(-(((Inputs!$C$6)-Inputs!$C$43)^2)/(2*Inputs!$C$44^2))*EXP(-(((Scenario_Data!T8)-Inputs!$C$42)^2)/(2*Inputs!$C$45^2))+Inputs!$C$48*(0.7*(0.45*SIN(2*PI()*(((Scenario_Data!T8)/Inputs!$C$49)+Inputs!$C$47*0.137))+0.35*COS(2*PI()*(((Inputs!$C$6)/Inputs!$C$50)+Inputs!$C$47*0.173))+0.2*SIN(2*PI()*((((Scenario_Data!T8)+(Inputs!$C$6))/(0.5*(Inputs!$C$49+Inputs!$C$50)))+Inputs!$C$47*0.097)))+0.3*(2*((SIN(((Scenario_Data!T8)*12.9898+(Inputs!$C$6)*78.233+Inputs!$C$47*37.719))*43758.5453)-INT((SIN(((Scenario_Data!T8)*12.9898+(Inputs!$C$6)*78.233+Inputs!$C$47*37.719))*43758.5453)))-1))))/1000))^2-2*(Inputs!$C$52+(Scenario_Data!B8))*(Inputs!$C$52+((IF(OR(Inputs!$C$27=TRUE,Inputs!$C$27="TRUE",Inputs!$C$27=1),1,0)*(Inputs!$C$51*(115*EXP(-(((Inputs!$C$6)-25)^2)/(4.5^2))+70*EXP(-(((Inputs!$C$6)+38)^2)/(7^2))*(0.55+0.45*SIN(2*PI()*(Scenario_Data!T8)/45))+24*SIN(2*PI()*(Inputs!$C$6)/9+(Scenario_Data!T8)/18)*EXP(-(((Inputs!$C$6)+5)^2)/(22^2))+18*SIN(2*PI()*(Scenario_Data!T8)/70))+Inputs!$C$28*EXP(-(((Scenario_Data!T8)-Inputs!$C$29)^2)/(2*Inputs!$C$31^2))*EXP(-(((Inputs!$C$6)-Inputs!$C$30)^2)/(2*Inputs!$C$32^2))+-Inputs!$C$33*EXP(-(((((Scenario_Data!T8)-Inputs!$C$34)^2)+(((Inputs!$C$6)-Inputs!$C$35)^2))/(2*Inputs!$C$36^2)))+Inputs!$C$37*(0.55*SIN(2*PI()*(Scenario_Data!T8)/Inputs!$C$39)+0.35*COS(2*PI()*(Inputs!$C$6)/Inputs!$C$40)+0.2*SIN(2*PI()*((Scenario_Data!T8)+(Inputs!$C$6))/(0.5*(Inputs!$C$39+Inputs!$C$40))))+Inputs!$C$38*SIN(2*PI()*(Scenario_Data!T8)/Inputs!$C$39)*SIN(2*PI()*(Inputs!$C$6)/Inputs!$C$40)+-Inputs!$C$41*EXP(-(((Inputs!$C$6)-Inputs!$C$43)^2)/(2*Inputs!$C$44^2))*EXP(-(((Scenario_Data!T8)-Inputs!$C$42)^2)/(2*Inputs!$C$45^2))+Inputs!$C$48*(0.7*(0.45*SIN(2*PI()*(((Scenario_Data!T8)/Inputs!$C$49)+Inputs!$C$47*0.137))+0.35*COS(2*PI()*(((Inputs!$C$6)/Inputs!$C$50)+Inputs!$C$47*0.173))+0.2*SIN(2*PI()*((((Scenario_Data!T8)+(Inputs!$C$6))/(0.5*(Inputs!$C$49+Inputs!$C$50)))+Inputs!$C$47*0.097)))+0.3*(2*((SIN(((Scenario_Data!T8)*12.9898+(Inputs!$C$6)*78.233+Inputs!$C$47*37.719))*43758.5453)-INT((SIN(((Scenario_Data!T8)*12.9898+(Inputs!$C$6)*78.233+Inputs!$C$47*37.719))*43758.5453)))-1))))/1000))*COS(SQRT((Scenario_Data!T8)^2+Inputs!$C$6^2)/Inputs!$C$52))*1000)/Inputs!$C$21*1000000</f>
        <v/>
      </c>
      <c r="AR8">
        <f>Scenario_Data!U8</f>
        <v/>
      </c>
      <c r="AS8">
        <f>2*(SQRT((Inputs!$C$52+(Scenario_Data!C8))^2+(Inputs!$C$52+((IF(OR(Inputs!$C$27=TRUE,Inputs!$C$27="TRUE",Inputs!$C$27=1),1,0)*(Inputs!$C$51*(115*EXP(-(((Inputs!$C$6)-25)^2)/(4.5^2))+70*EXP(-(((Inputs!$C$6)+38)^2)/(7^2))*(0.55+0.45*SIN(2*PI()*(Scenario_Data!U8)/45))+24*SIN(2*PI()*(Inputs!$C$6)/9+(Scenario_Data!U8)/18)*EXP(-(((Inputs!$C$6)+5)^2)/(22^2))+18*SIN(2*PI()*(Scenario_Data!U8)/70))+Inputs!$C$28*EXP(-(((Scenario_Data!U8)-Inputs!$C$29)^2)/(2*Inputs!$C$31^2))*EXP(-(((Inputs!$C$6)-Inputs!$C$30)^2)/(2*Inputs!$C$32^2))+-Inputs!$C$33*EXP(-(((((Scenario_Data!U8)-Inputs!$C$34)^2)+(((Inputs!$C$6)-Inputs!$C$35)^2))/(2*Inputs!$C$36^2)))+Inputs!$C$37*(0.55*SIN(2*PI()*(Scenario_Data!U8)/Inputs!$C$39)+0.35*COS(2*PI()*(Inputs!$C$6)/Inputs!$C$40)+0.2*SIN(2*PI()*((Scenario_Data!U8)+(Inputs!$C$6))/(0.5*(Inputs!$C$39+Inputs!$C$40))))+Inputs!$C$38*SIN(2*PI()*(Scenario_Data!U8)/Inputs!$C$39)*SIN(2*PI()*(Inputs!$C$6)/Inputs!$C$40)+-Inputs!$C$41*EXP(-(((Inputs!$C$6)-Inputs!$C$43)^2)/(2*Inputs!$C$44^2))*EXP(-(((Scenario_Data!U8)-Inputs!$C$42)^2)/(2*Inputs!$C$45^2))+Inputs!$C$48*(0.7*(0.45*SIN(2*PI()*(((Scenario_Data!U8)/Inputs!$C$49)+Inputs!$C$47*0.137))+0.35*COS(2*PI()*(((Inputs!$C$6)/Inputs!$C$50)+Inputs!$C$47*0.173))+0.2*SIN(2*PI()*((((Scenario_Data!U8)+(Inputs!$C$6))/(0.5*(Inputs!$C$49+Inputs!$C$50)))+Inputs!$C$47*0.097)))+0.3*(2*((SIN(((Scenario_Data!U8)*12.9898+(Inputs!$C$6)*78.233+Inputs!$C$47*37.719))*43758.5453)-INT((SIN(((Scenario_Data!U8)*12.9898+(Inputs!$C$6)*78.233+Inputs!$C$47*37.719))*43758.5453)))-1))))/1000))^2-2*(Inputs!$C$52+(Scenario_Data!C8))*(Inputs!$C$52+((IF(OR(Inputs!$C$27=TRUE,Inputs!$C$27="TRUE",Inputs!$C$27=1),1,0)*(Inputs!$C$51*(115*EXP(-(((Inputs!$C$6)-25)^2)/(4.5^2))+70*EXP(-(((Inputs!$C$6)+38)^2)/(7^2))*(0.55+0.45*SIN(2*PI()*(Scenario_Data!U8)/45))+24*SIN(2*PI()*(Inputs!$C$6)/9+(Scenario_Data!U8)/18)*EXP(-(((Inputs!$C$6)+5)^2)/(22^2))+18*SIN(2*PI()*(Scenario_Data!U8)/70))+Inputs!$C$28*EXP(-(((Scenario_Data!U8)-Inputs!$C$29)^2)/(2*Inputs!$C$31^2))*EXP(-(((Inputs!$C$6)-Inputs!$C$30)^2)/(2*Inputs!$C$32^2))+-Inputs!$C$33*EXP(-(((((Scenario_Data!U8)-Inputs!$C$34)^2)+(((Inputs!$C$6)-Inputs!$C$35)^2))/(2*Inputs!$C$36^2)))+Inputs!$C$37*(0.55*SIN(2*PI()*(Scenario_Data!U8)/Inputs!$C$39)+0.35*COS(2*PI()*(Inputs!$C$6)/Inputs!$C$40)+0.2*SIN(2*PI()*((Scenario_Data!U8)+(Inputs!$C$6))/(0.5*(Inputs!$C$39+Inputs!$C$40))))+Inputs!$C$38*SIN(2*PI()*(Scenario_Data!U8)/Inputs!$C$39)*SIN(2*PI()*(Inputs!$C$6)/Inputs!$C$40)+-Inputs!$C$41*EXP(-(((Inputs!$C$6)-Inputs!$C$43)^2)/(2*Inputs!$C$44^2))*EXP(-(((Scenario_Data!U8)-Inputs!$C$42)^2)/(2*Inputs!$C$45^2))+Inputs!$C$48*(0.7*(0.45*SIN(2*PI()*(((Scenario_Data!U8)/Inputs!$C$49)+Inputs!$C$47*0.137))+0.35*COS(2*PI()*(((Inputs!$C$6)/Inputs!$C$50)+Inputs!$C$47*0.173))+0.2*SIN(2*PI()*((((Scenario_Data!U8)+(Inputs!$C$6))/(0.5*(Inputs!$C$49+Inputs!$C$50)))+Inputs!$C$47*0.097)))+0.3*(2*((SIN(((Scenario_Data!U8)*12.9898+(Inputs!$C$6)*78.233+Inputs!$C$47*37.719))*43758.5453)-INT((SIN(((Scenario_Data!U8)*12.9898+(Inputs!$C$6)*78.233+Inputs!$C$47*37.719))*43758.5453)))-1))))/1000))*COS(SQRT((Scenario_Data!U8)^2+Inputs!$C$6^2)/Inputs!$C$52))*1000)/Inputs!$C$21*1000000</f>
        <v/>
      </c>
      <c r="AT8">
        <f>Scenario_Data!V8</f>
        <v/>
      </c>
      <c r="AU8">
        <f>2*(SQRT((Inputs!$C$52+(Scenario_Data!D8))^2+(Inputs!$C$52+((IF(OR(Inputs!$C$27=TRUE,Inputs!$C$27="TRUE",Inputs!$C$27=1),1,0)*(Inputs!$C$51*(115*EXP(-(((Inputs!$C$6)-25)^2)/(4.5^2))+70*EXP(-(((Inputs!$C$6)+38)^2)/(7^2))*(0.55+0.45*SIN(2*PI()*(Scenario_Data!V8)/45))+24*SIN(2*PI()*(Inputs!$C$6)/9+(Scenario_Data!V8)/18)*EXP(-(((Inputs!$C$6)+5)^2)/(22^2))+18*SIN(2*PI()*(Scenario_Data!V8)/70))+Inputs!$C$28*EXP(-(((Scenario_Data!V8)-Inputs!$C$29)^2)/(2*Inputs!$C$31^2))*EXP(-(((Inputs!$C$6)-Inputs!$C$30)^2)/(2*Inputs!$C$32^2))+-Inputs!$C$33*EXP(-(((((Scenario_Data!V8)-Inputs!$C$34)^2)+(((Inputs!$C$6)-Inputs!$C$35)^2))/(2*Inputs!$C$36^2)))+Inputs!$C$37*(0.55*SIN(2*PI()*(Scenario_Data!V8)/Inputs!$C$39)+0.35*COS(2*PI()*(Inputs!$C$6)/Inputs!$C$40)+0.2*SIN(2*PI()*((Scenario_Data!V8)+(Inputs!$C$6))/(0.5*(Inputs!$C$39+Inputs!$C$40))))+Inputs!$C$38*SIN(2*PI()*(Scenario_Data!V8)/Inputs!$C$39)*SIN(2*PI()*(Inputs!$C$6)/Inputs!$C$40)+-Inputs!$C$41*EXP(-(((Inputs!$C$6)-Inputs!$C$43)^2)/(2*Inputs!$C$44^2))*EXP(-(((Scenario_Data!V8)-Inputs!$C$42)^2)/(2*Inputs!$C$45^2))+Inputs!$C$48*(0.7*(0.45*SIN(2*PI()*(((Scenario_Data!V8)/Inputs!$C$49)+Inputs!$C$47*0.137))+0.35*COS(2*PI()*(((Inputs!$C$6)/Inputs!$C$50)+Inputs!$C$47*0.173))+0.2*SIN(2*PI()*((((Scenario_Data!V8)+(Inputs!$C$6))/(0.5*(Inputs!$C$49+Inputs!$C$50)))+Inputs!$C$47*0.097)))+0.3*(2*((SIN(((Scenario_Data!V8)*12.9898+(Inputs!$C$6)*78.233+Inputs!$C$47*37.719))*43758.5453)-INT((SIN(((Scenario_Data!V8)*12.9898+(Inputs!$C$6)*78.233+Inputs!$C$47*37.719))*43758.5453)))-1))))/1000))^2-2*(Inputs!$C$52+(Scenario_Data!D8))*(Inputs!$C$52+((IF(OR(Inputs!$C$27=TRUE,Inputs!$C$27="TRUE",Inputs!$C$27=1),1,0)*(Inputs!$C$51*(115*EXP(-(((Inputs!$C$6)-25)^2)/(4.5^2))+70*EXP(-(((Inputs!$C$6)+38)^2)/(7^2))*(0.55+0.45*SIN(2*PI()*(Scenario_Data!V8)/45))+24*SIN(2*PI()*(Inputs!$C$6)/9+(Scenario_Data!V8)/18)*EXP(-(((Inputs!$C$6)+5)^2)/(22^2))+18*SIN(2*PI()*(Scenario_Data!V8)/70))+Inputs!$C$28*EXP(-(((Scenario_Data!V8)-Inputs!$C$29)^2)/(2*Inputs!$C$31^2))*EXP(-(((Inputs!$C$6)-Inputs!$C$30)^2)/(2*Inputs!$C$32^2))+-Inputs!$C$33*EXP(-(((((Scenario_Data!V8)-Inputs!$C$34)^2)+(((Inputs!$C$6)-Inputs!$C$35)^2))/(2*Inputs!$C$36^2)))+Inputs!$C$37*(0.55*SIN(2*PI()*(Scenario_Data!V8)/Inputs!$C$39)+0.35*COS(2*PI()*(Inputs!$C$6)/Inputs!$C$40)+0.2*SIN(2*PI()*((Scenario_Data!V8)+(Inputs!$C$6))/(0.5*(Inputs!$C$39+Inputs!$C$40))))+Inputs!$C$38*SIN(2*PI()*(Scenario_Data!V8)/Inputs!$C$39)*SIN(2*PI()*(Inputs!$C$6)/Inputs!$C$40)+-Inputs!$C$41*EXP(-(((Inputs!$C$6)-Inputs!$C$43)^2)/(2*Inputs!$C$44^2))*EXP(-(((Scenario_Data!V8)-Inputs!$C$42)^2)/(2*Inputs!$C$45^2))+Inputs!$C$48*(0.7*(0.45*SIN(2*PI()*(((Scenario_Data!V8)/Inputs!$C$49)+Inputs!$C$47*0.137))+0.35*COS(2*PI()*(((Inputs!$C$6)/Inputs!$C$50)+Inputs!$C$47*0.173))+0.2*SIN(2*PI()*((((Scenario_Data!V8)+(Inputs!$C$6))/(0.5*(Inputs!$C$49+Inputs!$C$50)))+Inputs!$C$47*0.097)))+0.3*(2*((SIN(((Scenario_Data!V8)*12.9898+(Inputs!$C$6)*78.233+Inputs!$C$47*37.719))*43758.5453)-INT((SIN(((Scenario_Data!V8)*12.9898+(Inputs!$C$6)*78.233+Inputs!$C$47*37.719))*43758.5453)))-1))))/1000))*COS(SQRT((Scenario_Data!V8)^2+Inputs!$C$6^2)/Inputs!$C$52))*1000)/Inputs!$C$21*1000000</f>
        <v/>
      </c>
      <c r="AV8">
        <f>Scenario_Data!W8</f>
        <v/>
      </c>
      <c r="AW8">
        <f>2*(SQRT((Inputs!$C$52+(Scenario_Data!E8))^2+(Inputs!$C$52+((IF(OR(Inputs!$C$27=TRUE,Inputs!$C$27="TRUE",Inputs!$C$27=1),1,0)*(Inputs!$C$51*(115*EXP(-(((Inputs!$C$6)-25)^2)/(4.5^2))+70*EXP(-(((Inputs!$C$6)+38)^2)/(7^2))*(0.55+0.45*SIN(2*PI()*(Scenario_Data!W8)/45))+24*SIN(2*PI()*(Inputs!$C$6)/9+(Scenario_Data!W8)/18)*EXP(-(((Inputs!$C$6)+5)^2)/(22^2))+18*SIN(2*PI()*(Scenario_Data!W8)/70))+Inputs!$C$28*EXP(-(((Scenario_Data!W8)-Inputs!$C$29)^2)/(2*Inputs!$C$31^2))*EXP(-(((Inputs!$C$6)-Inputs!$C$30)^2)/(2*Inputs!$C$32^2))+-Inputs!$C$33*EXP(-(((((Scenario_Data!W8)-Inputs!$C$34)^2)+(((Inputs!$C$6)-Inputs!$C$35)^2))/(2*Inputs!$C$36^2)))+Inputs!$C$37*(0.55*SIN(2*PI()*(Scenario_Data!W8)/Inputs!$C$39)+0.35*COS(2*PI()*(Inputs!$C$6)/Inputs!$C$40)+0.2*SIN(2*PI()*((Scenario_Data!W8)+(Inputs!$C$6))/(0.5*(Inputs!$C$39+Inputs!$C$40))))+Inputs!$C$38*SIN(2*PI()*(Scenario_Data!W8)/Inputs!$C$39)*SIN(2*PI()*(Inputs!$C$6)/Inputs!$C$40)+-Inputs!$C$41*EXP(-(((Inputs!$C$6)-Inputs!$C$43)^2)/(2*Inputs!$C$44^2))*EXP(-(((Scenario_Data!W8)-Inputs!$C$42)^2)/(2*Inputs!$C$45^2))+Inputs!$C$48*(0.7*(0.45*SIN(2*PI()*(((Scenario_Data!W8)/Inputs!$C$49)+Inputs!$C$47*0.137))+0.35*COS(2*PI()*(((Inputs!$C$6)/Inputs!$C$50)+Inputs!$C$47*0.173))+0.2*SIN(2*PI()*((((Scenario_Data!W8)+(Inputs!$C$6))/(0.5*(Inputs!$C$49+Inputs!$C$50)))+Inputs!$C$47*0.097)))+0.3*(2*((SIN(((Scenario_Data!W8)*12.9898+(Inputs!$C$6)*78.233+Inputs!$C$47*37.719))*43758.5453)-INT((SIN(((Scenario_Data!W8)*12.9898+(Inputs!$C$6)*78.233+Inputs!$C$47*37.719))*43758.5453)))-1))))/1000))^2-2*(Inputs!$C$52+(Scenario_Data!E8))*(Inputs!$C$52+((IF(OR(Inputs!$C$27=TRUE,Inputs!$C$27="TRUE",Inputs!$C$27=1),1,0)*(Inputs!$C$51*(115*EXP(-(((Inputs!$C$6)-25)^2)/(4.5^2))+70*EXP(-(((Inputs!$C$6)+38)^2)/(7^2))*(0.55+0.45*SIN(2*PI()*(Scenario_Data!W8)/45))+24*SIN(2*PI()*(Inputs!$C$6)/9+(Scenario_Data!W8)/18)*EXP(-(((Inputs!$C$6)+5)^2)/(22^2))+18*SIN(2*PI()*(Scenario_Data!W8)/70))+Inputs!$C$28*EXP(-(((Scenario_Data!W8)-Inputs!$C$29)^2)/(2*Inputs!$C$31^2))*EXP(-(((Inputs!$C$6)-Inputs!$C$30)^2)/(2*Inputs!$C$32^2))+-Inputs!$C$33*EXP(-(((((Scenario_Data!W8)-Inputs!$C$34)^2)+(((Inputs!$C$6)-Inputs!$C$35)^2))/(2*Inputs!$C$36^2)))+Inputs!$C$37*(0.55*SIN(2*PI()*(Scenario_Data!W8)/Inputs!$C$39)+0.35*COS(2*PI()*(Inputs!$C$6)/Inputs!$C$40)+0.2*SIN(2*PI()*((Scenario_Data!W8)+(Inputs!$C$6))/(0.5*(Inputs!$C$39+Inputs!$C$40))))+Inputs!$C$38*SIN(2*PI()*(Scenario_Data!W8)/Inputs!$C$39)*SIN(2*PI()*(Inputs!$C$6)/Inputs!$C$40)+-Inputs!$C$41*EXP(-(((Inputs!$C$6)-Inputs!$C$43)^2)/(2*Inputs!$C$44^2))*EXP(-(((Scenario_Data!W8)-Inputs!$C$42)^2)/(2*Inputs!$C$45^2))+Inputs!$C$48*(0.7*(0.45*SIN(2*PI()*(((Scenario_Data!W8)/Inputs!$C$49)+Inputs!$C$47*0.137))+0.35*COS(2*PI()*(((Inputs!$C$6)/Inputs!$C$50)+Inputs!$C$47*0.173))+0.2*SIN(2*PI()*((((Scenario_Data!W8)+(Inputs!$C$6))/(0.5*(Inputs!$C$49+Inputs!$C$50)))+Inputs!$C$47*0.097)))+0.3*(2*((SIN(((Scenario_Data!W8)*12.9898+(Inputs!$C$6)*78.233+Inputs!$C$47*37.719))*43758.5453)-INT((SIN(((Scenario_Data!W8)*12.9898+(Inputs!$C$6)*78.233+Inputs!$C$47*37.719))*43758.5453)))-1))))/1000))*COS(SQRT((Scenario_Data!W8)^2+Inputs!$C$6^2)/Inputs!$C$52))*1000)/Inputs!$C$21*1000000</f>
        <v/>
      </c>
    </row>
    <row r="9">
      <c r="A9">
        <f>Chart_Data!K9</f>
        <v/>
      </c>
      <c r="B9">
        <f>Chart_Data!N9-Chart_Data!L9</f>
        <v/>
      </c>
      <c r="D9">
        <f>Chart_Data!G9</f>
        <v/>
      </c>
      <c r="E9">
        <f>Chart_Data!H9</f>
        <v/>
      </c>
      <c r="F9">
        <f>Chart_Data!I9</f>
        <v/>
      </c>
      <c r="G9">
        <f>Chart_Data!J9</f>
        <v/>
      </c>
      <c r="I9">
        <f>Scenario_Data!A9</f>
        <v/>
      </c>
      <c r="J9">
        <f>Scenario_Data!H9-(((SQRT((Inputs!$C$52+(Inputs!$H$6))^2+Inputs!$C$52^2-2*(Inputs!$C$52+(Inputs!$H$6))*Inputs!$C$52*COS(SQRT((Scenario_Data!T9)^2+Inputs!$C$6^2)/Inputs!$C$52)))-(Inputs!$H$6))*1000/Inputs!$C$12)</f>
        <v/>
      </c>
      <c r="K9">
        <f>Scenario_Data!I9-(((SQRT((Inputs!$C$52+(Inputs!$H$7))^2+Inputs!$C$52^2-2*(Inputs!$C$52+(Inputs!$H$7))*Inputs!$C$52*COS(SQRT((Scenario_Data!U9)^2+Inputs!$C$6^2)/Inputs!$C$52)))-(Inputs!$H$7))*1000/Inputs!$C$12)</f>
        <v/>
      </c>
      <c r="L9">
        <f>Scenario_Data!J9-(((SQRT((Inputs!$C$52+(Inputs!$H$8))^2+Inputs!$C$52^2-2*(Inputs!$C$52+(Inputs!$H$8))*Inputs!$C$52*COS(SQRT((Scenario_Data!V9)^2+Inputs!$C$6^2)/Inputs!$C$52)))-(Inputs!$H$8))*1000/Inputs!$C$12)</f>
        <v/>
      </c>
      <c r="M9">
        <f>Scenario_Data!K9-(((SQRT((Inputs!$C$52+(Inputs!$H$9))^2+Inputs!$C$52^2-2*(Inputs!$C$52+(Inputs!$H$9))*Inputs!$C$52*COS(SQRT((Scenario_Data!W9)^2+Inputs!$C$6^2)/Inputs!$C$52)))-(Inputs!$H$9))*1000/Inputs!$C$12)</f>
        <v/>
      </c>
      <c r="O9">
        <f>Scenario_Data!T9</f>
        <v/>
      </c>
      <c r="P9">
        <f>2*(Scenario_Data!B9*1000)/Inputs!$C$21*1000000</f>
        <v/>
      </c>
      <c r="Q9">
        <f>Scenario_Data!U9</f>
        <v/>
      </c>
      <c r="R9">
        <f>2*(Scenario_Data!C9*1000)/Inputs!$C$21*1000000</f>
        <v/>
      </c>
      <c r="S9">
        <f>Scenario_Data!V9</f>
        <v/>
      </c>
      <c r="T9">
        <f>2*(Scenario_Data!D9*1000)/Inputs!$C$21*1000000</f>
        <v/>
      </c>
      <c r="U9">
        <f>Scenario_Data!W9</f>
        <v/>
      </c>
      <c r="V9">
        <f>2*(Scenario_Data!E9*1000)/Inputs!$C$21*1000000</f>
        <v/>
      </c>
      <c r="X9">
        <f>Scenario_Data!T9</f>
        <v/>
      </c>
      <c r="Y9">
        <f>2*((Scenario_Data!B9*1000)-(IF(OR(Inputs!$C$27=TRUE,Inputs!$C$27="TRUE",Inputs!$C$27=1),1,0)*(Inputs!$C$51*(115*EXP(-(((0)-25)^2)/(4.5^2))+70*EXP(-(((0)+38)^2)/(7^2))*(0.55+0.45*SIN(2*PI()*(Scenario_Data!T9)/45))+24*SIN(2*PI()*(0)/9+(Scenario_Data!T9)/18)*EXP(-(((0)+5)^2)/(22^2))+18*SIN(2*PI()*(Scenario_Data!T9)/70))+Inputs!$C$28*EXP(-(((Scenario_Data!T9)-Inputs!$C$29)^2)/(2*Inputs!$C$31^2))*EXP(-(((0)-Inputs!$C$30)^2)/(2*Inputs!$C$32^2))+-Inputs!$C$33*EXP(-(((((Scenario_Data!T9)-Inputs!$C$34)^2)+(((0)-Inputs!$C$35)^2))/(2*Inputs!$C$36^2)))+Inputs!$C$37*(0.55*SIN(2*PI()*(Scenario_Data!T9)/Inputs!$C$39)+0.35*COS(2*PI()*(0)/Inputs!$C$40)+0.2*SIN(2*PI()*((Scenario_Data!T9)+(0))/(0.5*(Inputs!$C$39+Inputs!$C$40))))+Inputs!$C$38*SIN(2*PI()*(Scenario_Data!T9)/Inputs!$C$39)*SIN(2*PI()*(0)/Inputs!$C$40)+-Inputs!$C$41*EXP(-(((0)-Inputs!$C$43)^2)/(2*Inputs!$C$44^2))*EXP(-(((Scenario_Data!T9)-Inputs!$C$42)^2)/(2*Inputs!$C$45^2))+Inputs!$C$48*(0.7*(0.45*SIN(2*PI()*(((Scenario_Data!T9)/Inputs!$C$49)+Inputs!$C$47*0.137))+0.35*COS(2*PI()*(((0)/Inputs!$C$50)+Inputs!$C$47*0.173))+0.2*SIN(2*PI()*((((Scenario_Data!T9)+(0))/(0.5*(Inputs!$C$49+Inputs!$C$50)))+Inputs!$C$47*0.097)))+0.3*(2*((SIN(((Scenario_Data!T9)*12.9898+(0)*78.233+Inputs!$C$47*37.719))*43758.5453)-INT((SIN(((Scenario_Data!T9)*12.9898+(0)*78.233+Inputs!$C$47*37.719))*43758.5453)))-1)))))/Inputs!$C$21*1000000</f>
        <v/>
      </c>
      <c r="Z9">
        <f>Scenario_Data!U9</f>
        <v/>
      </c>
      <c r="AA9">
        <f>2*((Scenario_Data!C9*1000)-(IF(OR(Inputs!$C$27=TRUE,Inputs!$C$27="TRUE",Inputs!$C$27=1),1,0)*(Inputs!$C$51*(115*EXP(-(((0)-25)^2)/(4.5^2))+70*EXP(-(((0)+38)^2)/(7^2))*(0.55+0.45*SIN(2*PI()*(Scenario_Data!U9)/45))+24*SIN(2*PI()*(0)/9+(Scenario_Data!U9)/18)*EXP(-(((0)+5)^2)/(22^2))+18*SIN(2*PI()*(Scenario_Data!U9)/70))+Inputs!$C$28*EXP(-(((Scenario_Data!U9)-Inputs!$C$29)^2)/(2*Inputs!$C$31^2))*EXP(-(((0)-Inputs!$C$30)^2)/(2*Inputs!$C$32^2))+-Inputs!$C$33*EXP(-(((((Scenario_Data!U9)-Inputs!$C$34)^2)+(((0)-Inputs!$C$35)^2))/(2*Inputs!$C$36^2)))+Inputs!$C$37*(0.55*SIN(2*PI()*(Scenario_Data!U9)/Inputs!$C$39)+0.35*COS(2*PI()*(0)/Inputs!$C$40)+0.2*SIN(2*PI()*((Scenario_Data!U9)+(0))/(0.5*(Inputs!$C$39+Inputs!$C$40))))+Inputs!$C$38*SIN(2*PI()*(Scenario_Data!U9)/Inputs!$C$39)*SIN(2*PI()*(0)/Inputs!$C$40)+-Inputs!$C$41*EXP(-(((0)-Inputs!$C$43)^2)/(2*Inputs!$C$44^2))*EXP(-(((Scenario_Data!U9)-Inputs!$C$42)^2)/(2*Inputs!$C$45^2))+Inputs!$C$48*(0.7*(0.45*SIN(2*PI()*(((Scenario_Data!U9)/Inputs!$C$49)+Inputs!$C$47*0.137))+0.35*COS(2*PI()*(((0)/Inputs!$C$50)+Inputs!$C$47*0.173))+0.2*SIN(2*PI()*((((Scenario_Data!U9)+(0))/(0.5*(Inputs!$C$49+Inputs!$C$50)))+Inputs!$C$47*0.097)))+0.3*(2*((SIN(((Scenario_Data!U9)*12.9898+(0)*78.233+Inputs!$C$47*37.719))*43758.5453)-INT((SIN(((Scenario_Data!U9)*12.9898+(0)*78.233+Inputs!$C$47*37.719))*43758.5453)))-1)))))/Inputs!$C$21*1000000</f>
        <v/>
      </c>
      <c r="AB9">
        <f>Scenario_Data!V9</f>
        <v/>
      </c>
      <c r="AC9">
        <f>2*((Scenario_Data!D9*1000)-(IF(OR(Inputs!$C$27=TRUE,Inputs!$C$27="TRUE",Inputs!$C$27=1),1,0)*(Inputs!$C$51*(115*EXP(-(((0)-25)^2)/(4.5^2))+70*EXP(-(((0)+38)^2)/(7^2))*(0.55+0.45*SIN(2*PI()*(Scenario_Data!V9)/45))+24*SIN(2*PI()*(0)/9+(Scenario_Data!V9)/18)*EXP(-(((0)+5)^2)/(22^2))+18*SIN(2*PI()*(Scenario_Data!V9)/70))+Inputs!$C$28*EXP(-(((Scenario_Data!V9)-Inputs!$C$29)^2)/(2*Inputs!$C$31^2))*EXP(-(((0)-Inputs!$C$30)^2)/(2*Inputs!$C$32^2))+-Inputs!$C$33*EXP(-(((((Scenario_Data!V9)-Inputs!$C$34)^2)+(((0)-Inputs!$C$35)^2))/(2*Inputs!$C$36^2)))+Inputs!$C$37*(0.55*SIN(2*PI()*(Scenario_Data!V9)/Inputs!$C$39)+0.35*COS(2*PI()*(0)/Inputs!$C$40)+0.2*SIN(2*PI()*((Scenario_Data!V9)+(0))/(0.5*(Inputs!$C$39+Inputs!$C$40))))+Inputs!$C$38*SIN(2*PI()*(Scenario_Data!V9)/Inputs!$C$39)*SIN(2*PI()*(0)/Inputs!$C$40)+-Inputs!$C$41*EXP(-(((0)-Inputs!$C$43)^2)/(2*Inputs!$C$44^2))*EXP(-(((Scenario_Data!V9)-Inputs!$C$42)^2)/(2*Inputs!$C$45^2))+Inputs!$C$48*(0.7*(0.45*SIN(2*PI()*(((Scenario_Data!V9)/Inputs!$C$49)+Inputs!$C$47*0.137))+0.35*COS(2*PI()*(((0)/Inputs!$C$50)+Inputs!$C$47*0.173))+0.2*SIN(2*PI()*((((Scenario_Data!V9)+(0))/(0.5*(Inputs!$C$49+Inputs!$C$50)))+Inputs!$C$47*0.097)))+0.3*(2*((SIN(((Scenario_Data!V9)*12.9898+(0)*78.233+Inputs!$C$47*37.719))*43758.5453)-INT((SIN(((Scenario_Data!V9)*12.9898+(0)*78.233+Inputs!$C$47*37.719))*43758.5453)))-1)))))/Inputs!$C$21*1000000</f>
        <v/>
      </c>
      <c r="AD9">
        <f>Scenario_Data!W9</f>
        <v/>
      </c>
      <c r="AE9">
        <f>2*((Scenario_Data!E9*1000)-(IF(OR(Inputs!$C$27=TRUE,Inputs!$C$27="TRUE",Inputs!$C$27=1),1,0)*(Inputs!$C$51*(115*EXP(-(((0)-25)^2)/(4.5^2))+70*EXP(-(((0)+38)^2)/(7^2))*(0.55+0.45*SIN(2*PI()*(Scenario_Data!W9)/45))+24*SIN(2*PI()*(0)/9+(Scenario_Data!W9)/18)*EXP(-(((0)+5)^2)/(22^2))+18*SIN(2*PI()*(Scenario_Data!W9)/70))+Inputs!$C$28*EXP(-(((Scenario_Data!W9)-Inputs!$C$29)^2)/(2*Inputs!$C$31^2))*EXP(-(((0)-Inputs!$C$30)^2)/(2*Inputs!$C$32^2))+-Inputs!$C$33*EXP(-(((((Scenario_Data!W9)-Inputs!$C$34)^2)+(((0)-Inputs!$C$35)^2))/(2*Inputs!$C$36^2)))+Inputs!$C$37*(0.55*SIN(2*PI()*(Scenario_Data!W9)/Inputs!$C$39)+0.35*COS(2*PI()*(0)/Inputs!$C$40)+0.2*SIN(2*PI()*((Scenario_Data!W9)+(0))/(0.5*(Inputs!$C$39+Inputs!$C$40))))+Inputs!$C$38*SIN(2*PI()*(Scenario_Data!W9)/Inputs!$C$39)*SIN(2*PI()*(0)/Inputs!$C$40)+-Inputs!$C$41*EXP(-(((0)-Inputs!$C$43)^2)/(2*Inputs!$C$44^2))*EXP(-(((Scenario_Data!W9)-Inputs!$C$42)^2)/(2*Inputs!$C$45^2))+Inputs!$C$48*(0.7*(0.45*SIN(2*PI()*(((Scenario_Data!W9)/Inputs!$C$49)+Inputs!$C$47*0.137))+0.35*COS(2*PI()*(((0)/Inputs!$C$50)+Inputs!$C$47*0.173))+0.2*SIN(2*PI()*((((Scenario_Data!W9)+(0))/(0.5*(Inputs!$C$49+Inputs!$C$50)))+Inputs!$C$47*0.097)))+0.3*(2*((SIN(((Scenario_Data!W9)*12.9898+(0)*78.233+Inputs!$C$47*37.719))*43758.5453)-INT((SIN(((Scenario_Data!W9)*12.9898+(0)*78.233+Inputs!$C$47*37.719))*43758.5453)))-1)))))/Inputs!$C$21*1000000</f>
        <v/>
      </c>
      <c r="AG9">
        <f>Scenario_Data!T9</f>
        <v/>
      </c>
      <c r="AH9">
        <f>2*(SQRT((Inputs!$C$52+(Scenario_Data!B9))^2+Inputs!$C$52^2-2*(Inputs!$C$52+(Scenario_Data!B9))*Inputs!$C$52*COS(SQRT((Scenario_Data!T9)^2+Inputs!$C$6^2)/Inputs!$C$52))*1000)/Inputs!$C$21*1000000</f>
        <v/>
      </c>
      <c r="AI9">
        <f>Scenario_Data!U9</f>
        <v/>
      </c>
      <c r="AJ9">
        <f>2*(SQRT((Inputs!$C$52+(Scenario_Data!C9))^2+Inputs!$C$52^2-2*(Inputs!$C$52+(Scenario_Data!C9))*Inputs!$C$52*COS(SQRT((Scenario_Data!U9)^2+Inputs!$C$6^2)/Inputs!$C$52))*1000)/Inputs!$C$21*1000000</f>
        <v/>
      </c>
      <c r="AK9">
        <f>Scenario_Data!V9</f>
        <v/>
      </c>
      <c r="AL9">
        <f>2*(SQRT((Inputs!$C$52+(Scenario_Data!D9))^2+Inputs!$C$52^2-2*(Inputs!$C$52+(Scenario_Data!D9))*Inputs!$C$52*COS(SQRT((Scenario_Data!V9)^2+Inputs!$C$6^2)/Inputs!$C$52))*1000)/Inputs!$C$21*1000000</f>
        <v/>
      </c>
      <c r="AM9">
        <f>Scenario_Data!W9</f>
        <v/>
      </c>
      <c r="AN9">
        <f>2*(SQRT((Inputs!$C$52+(Scenario_Data!E9))^2+Inputs!$C$52^2-2*(Inputs!$C$52+(Scenario_Data!E9))*Inputs!$C$52*COS(SQRT((Scenario_Data!W9)^2+Inputs!$C$6^2)/Inputs!$C$52))*1000)/Inputs!$C$21*1000000</f>
        <v/>
      </c>
      <c r="AP9">
        <f>Scenario_Data!T9</f>
        <v/>
      </c>
      <c r="AQ9">
        <f>2*(SQRT((Inputs!$C$52+(Scenario_Data!B9))^2+(Inputs!$C$52+((IF(OR(Inputs!$C$27=TRUE,Inputs!$C$27="TRUE",Inputs!$C$27=1),1,0)*(Inputs!$C$51*(115*EXP(-(((Inputs!$C$6)-25)^2)/(4.5^2))+70*EXP(-(((Inputs!$C$6)+38)^2)/(7^2))*(0.55+0.45*SIN(2*PI()*(Scenario_Data!T9)/45))+24*SIN(2*PI()*(Inputs!$C$6)/9+(Scenario_Data!T9)/18)*EXP(-(((Inputs!$C$6)+5)^2)/(22^2))+18*SIN(2*PI()*(Scenario_Data!T9)/70))+Inputs!$C$28*EXP(-(((Scenario_Data!T9)-Inputs!$C$29)^2)/(2*Inputs!$C$31^2))*EXP(-(((Inputs!$C$6)-Inputs!$C$30)^2)/(2*Inputs!$C$32^2))+-Inputs!$C$33*EXP(-(((((Scenario_Data!T9)-Inputs!$C$34)^2)+(((Inputs!$C$6)-Inputs!$C$35)^2))/(2*Inputs!$C$36^2)))+Inputs!$C$37*(0.55*SIN(2*PI()*(Scenario_Data!T9)/Inputs!$C$39)+0.35*COS(2*PI()*(Inputs!$C$6)/Inputs!$C$40)+0.2*SIN(2*PI()*((Scenario_Data!T9)+(Inputs!$C$6))/(0.5*(Inputs!$C$39+Inputs!$C$40))))+Inputs!$C$38*SIN(2*PI()*(Scenario_Data!T9)/Inputs!$C$39)*SIN(2*PI()*(Inputs!$C$6)/Inputs!$C$40)+-Inputs!$C$41*EXP(-(((Inputs!$C$6)-Inputs!$C$43)^2)/(2*Inputs!$C$44^2))*EXP(-(((Scenario_Data!T9)-Inputs!$C$42)^2)/(2*Inputs!$C$45^2))+Inputs!$C$48*(0.7*(0.45*SIN(2*PI()*(((Scenario_Data!T9)/Inputs!$C$49)+Inputs!$C$47*0.137))+0.35*COS(2*PI()*(((Inputs!$C$6)/Inputs!$C$50)+Inputs!$C$47*0.173))+0.2*SIN(2*PI()*((((Scenario_Data!T9)+(Inputs!$C$6))/(0.5*(Inputs!$C$49+Inputs!$C$50)))+Inputs!$C$47*0.097)))+0.3*(2*((SIN(((Scenario_Data!T9)*12.9898+(Inputs!$C$6)*78.233+Inputs!$C$47*37.719))*43758.5453)-INT((SIN(((Scenario_Data!T9)*12.9898+(Inputs!$C$6)*78.233+Inputs!$C$47*37.719))*43758.5453)))-1))))/1000))^2-2*(Inputs!$C$52+(Scenario_Data!B9))*(Inputs!$C$52+((IF(OR(Inputs!$C$27=TRUE,Inputs!$C$27="TRUE",Inputs!$C$27=1),1,0)*(Inputs!$C$51*(115*EXP(-(((Inputs!$C$6)-25)^2)/(4.5^2))+70*EXP(-(((Inputs!$C$6)+38)^2)/(7^2))*(0.55+0.45*SIN(2*PI()*(Scenario_Data!T9)/45))+24*SIN(2*PI()*(Inputs!$C$6)/9+(Scenario_Data!T9)/18)*EXP(-(((Inputs!$C$6)+5)^2)/(22^2))+18*SIN(2*PI()*(Scenario_Data!T9)/70))+Inputs!$C$28*EXP(-(((Scenario_Data!T9)-Inputs!$C$29)^2)/(2*Inputs!$C$31^2))*EXP(-(((Inputs!$C$6)-Inputs!$C$30)^2)/(2*Inputs!$C$32^2))+-Inputs!$C$33*EXP(-(((((Scenario_Data!T9)-Inputs!$C$34)^2)+(((Inputs!$C$6)-Inputs!$C$35)^2))/(2*Inputs!$C$36^2)))+Inputs!$C$37*(0.55*SIN(2*PI()*(Scenario_Data!T9)/Inputs!$C$39)+0.35*COS(2*PI()*(Inputs!$C$6)/Inputs!$C$40)+0.2*SIN(2*PI()*((Scenario_Data!T9)+(Inputs!$C$6))/(0.5*(Inputs!$C$39+Inputs!$C$40))))+Inputs!$C$38*SIN(2*PI()*(Scenario_Data!T9)/Inputs!$C$39)*SIN(2*PI()*(Inputs!$C$6)/Inputs!$C$40)+-Inputs!$C$41*EXP(-(((Inputs!$C$6)-Inputs!$C$43)^2)/(2*Inputs!$C$44^2))*EXP(-(((Scenario_Data!T9)-Inputs!$C$42)^2)/(2*Inputs!$C$45^2))+Inputs!$C$48*(0.7*(0.45*SIN(2*PI()*(((Scenario_Data!T9)/Inputs!$C$49)+Inputs!$C$47*0.137))+0.35*COS(2*PI()*(((Inputs!$C$6)/Inputs!$C$50)+Inputs!$C$47*0.173))+0.2*SIN(2*PI()*((((Scenario_Data!T9)+(Inputs!$C$6))/(0.5*(Inputs!$C$49+Inputs!$C$50)))+Inputs!$C$47*0.097)))+0.3*(2*((SIN(((Scenario_Data!T9)*12.9898+(Inputs!$C$6)*78.233+Inputs!$C$47*37.719))*43758.5453)-INT((SIN(((Scenario_Data!T9)*12.9898+(Inputs!$C$6)*78.233+Inputs!$C$47*37.719))*43758.5453)))-1))))/1000))*COS(SQRT((Scenario_Data!T9)^2+Inputs!$C$6^2)/Inputs!$C$52))*1000)/Inputs!$C$21*1000000</f>
        <v/>
      </c>
      <c r="AR9">
        <f>Scenario_Data!U9</f>
        <v/>
      </c>
      <c r="AS9">
        <f>2*(SQRT((Inputs!$C$52+(Scenario_Data!C9))^2+(Inputs!$C$52+((IF(OR(Inputs!$C$27=TRUE,Inputs!$C$27="TRUE",Inputs!$C$27=1),1,0)*(Inputs!$C$51*(115*EXP(-(((Inputs!$C$6)-25)^2)/(4.5^2))+70*EXP(-(((Inputs!$C$6)+38)^2)/(7^2))*(0.55+0.45*SIN(2*PI()*(Scenario_Data!U9)/45))+24*SIN(2*PI()*(Inputs!$C$6)/9+(Scenario_Data!U9)/18)*EXP(-(((Inputs!$C$6)+5)^2)/(22^2))+18*SIN(2*PI()*(Scenario_Data!U9)/70))+Inputs!$C$28*EXP(-(((Scenario_Data!U9)-Inputs!$C$29)^2)/(2*Inputs!$C$31^2))*EXP(-(((Inputs!$C$6)-Inputs!$C$30)^2)/(2*Inputs!$C$32^2))+-Inputs!$C$33*EXP(-(((((Scenario_Data!U9)-Inputs!$C$34)^2)+(((Inputs!$C$6)-Inputs!$C$35)^2))/(2*Inputs!$C$36^2)))+Inputs!$C$37*(0.55*SIN(2*PI()*(Scenario_Data!U9)/Inputs!$C$39)+0.35*COS(2*PI()*(Inputs!$C$6)/Inputs!$C$40)+0.2*SIN(2*PI()*((Scenario_Data!U9)+(Inputs!$C$6))/(0.5*(Inputs!$C$39+Inputs!$C$40))))+Inputs!$C$38*SIN(2*PI()*(Scenario_Data!U9)/Inputs!$C$39)*SIN(2*PI()*(Inputs!$C$6)/Inputs!$C$40)+-Inputs!$C$41*EXP(-(((Inputs!$C$6)-Inputs!$C$43)^2)/(2*Inputs!$C$44^2))*EXP(-(((Scenario_Data!U9)-Inputs!$C$42)^2)/(2*Inputs!$C$45^2))+Inputs!$C$48*(0.7*(0.45*SIN(2*PI()*(((Scenario_Data!U9)/Inputs!$C$49)+Inputs!$C$47*0.137))+0.35*COS(2*PI()*(((Inputs!$C$6)/Inputs!$C$50)+Inputs!$C$47*0.173))+0.2*SIN(2*PI()*((((Scenario_Data!U9)+(Inputs!$C$6))/(0.5*(Inputs!$C$49+Inputs!$C$50)))+Inputs!$C$47*0.097)))+0.3*(2*((SIN(((Scenario_Data!U9)*12.9898+(Inputs!$C$6)*78.233+Inputs!$C$47*37.719))*43758.5453)-INT((SIN(((Scenario_Data!U9)*12.9898+(Inputs!$C$6)*78.233+Inputs!$C$47*37.719))*43758.5453)))-1))))/1000))^2-2*(Inputs!$C$52+(Scenario_Data!C9))*(Inputs!$C$52+((IF(OR(Inputs!$C$27=TRUE,Inputs!$C$27="TRUE",Inputs!$C$27=1),1,0)*(Inputs!$C$51*(115*EXP(-(((Inputs!$C$6)-25)^2)/(4.5^2))+70*EXP(-(((Inputs!$C$6)+38)^2)/(7^2))*(0.55+0.45*SIN(2*PI()*(Scenario_Data!U9)/45))+24*SIN(2*PI()*(Inputs!$C$6)/9+(Scenario_Data!U9)/18)*EXP(-(((Inputs!$C$6)+5)^2)/(22^2))+18*SIN(2*PI()*(Scenario_Data!U9)/70))+Inputs!$C$28*EXP(-(((Scenario_Data!U9)-Inputs!$C$29)^2)/(2*Inputs!$C$31^2))*EXP(-(((Inputs!$C$6)-Inputs!$C$30)^2)/(2*Inputs!$C$32^2))+-Inputs!$C$33*EXP(-(((((Scenario_Data!U9)-Inputs!$C$34)^2)+(((Inputs!$C$6)-Inputs!$C$35)^2))/(2*Inputs!$C$36^2)))+Inputs!$C$37*(0.55*SIN(2*PI()*(Scenario_Data!U9)/Inputs!$C$39)+0.35*COS(2*PI()*(Inputs!$C$6)/Inputs!$C$40)+0.2*SIN(2*PI()*((Scenario_Data!U9)+(Inputs!$C$6))/(0.5*(Inputs!$C$39+Inputs!$C$40))))+Inputs!$C$38*SIN(2*PI()*(Scenario_Data!U9)/Inputs!$C$39)*SIN(2*PI()*(Inputs!$C$6)/Inputs!$C$40)+-Inputs!$C$41*EXP(-(((Inputs!$C$6)-Inputs!$C$43)^2)/(2*Inputs!$C$44^2))*EXP(-(((Scenario_Data!U9)-Inputs!$C$42)^2)/(2*Inputs!$C$45^2))+Inputs!$C$48*(0.7*(0.45*SIN(2*PI()*(((Scenario_Data!U9)/Inputs!$C$49)+Inputs!$C$47*0.137))+0.35*COS(2*PI()*(((Inputs!$C$6)/Inputs!$C$50)+Inputs!$C$47*0.173))+0.2*SIN(2*PI()*((((Scenario_Data!U9)+(Inputs!$C$6))/(0.5*(Inputs!$C$49+Inputs!$C$50)))+Inputs!$C$47*0.097)))+0.3*(2*((SIN(((Scenario_Data!U9)*12.9898+(Inputs!$C$6)*78.233+Inputs!$C$47*37.719))*43758.5453)-INT((SIN(((Scenario_Data!U9)*12.9898+(Inputs!$C$6)*78.233+Inputs!$C$47*37.719))*43758.5453)))-1))))/1000))*COS(SQRT((Scenario_Data!U9)^2+Inputs!$C$6^2)/Inputs!$C$52))*1000)/Inputs!$C$21*1000000</f>
        <v/>
      </c>
      <c r="AT9">
        <f>Scenario_Data!V9</f>
        <v/>
      </c>
      <c r="AU9">
        <f>2*(SQRT((Inputs!$C$52+(Scenario_Data!D9))^2+(Inputs!$C$52+((IF(OR(Inputs!$C$27=TRUE,Inputs!$C$27="TRUE",Inputs!$C$27=1),1,0)*(Inputs!$C$51*(115*EXP(-(((Inputs!$C$6)-25)^2)/(4.5^2))+70*EXP(-(((Inputs!$C$6)+38)^2)/(7^2))*(0.55+0.45*SIN(2*PI()*(Scenario_Data!V9)/45))+24*SIN(2*PI()*(Inputs!$C$6)/9+(Scenario_Data!V9)/18)*EXP(-(((Inputs!$C$6)+5)^2)/(22^2))+18*SIN(2*PI()*(Scenario_Data!V9)/70))+Inputs!$C$28*EXP(-(((Scenario_Data!V9)-Inputs!$C$29)^2)/(2*Inputs!$C$31^2))*EXP(-(((Inputs!$C$6)-Inputs!$C$30)^2)/(2*Inputs!$C$32^2))+-Inputs!$C$33*EXP(-(((((Scenario_Data!V9)-Inputs!$C$34)^2)+(((Inputs!$C$6)-Inputs!$C$35)^2))/(2*Inputs!$C$36^2)))+Inputs!$C$37*(0.55*SIN(2*PI()*(Scenario_Data!V9)/Inputs!$C$39)+0.35*COS(2*PI()*(Inputs!$C$6)/Inputs!$C$40)+0.2*SIN(2*PI()*((Scenario_Data!V9)+(Inputs!$C$6))/(0.5*(Inputs!$C$39+Inputs!$C$40))))+Inputs!$C$38*SIN(2*PI()*(Scenario_Data!V9)/Inputs!$C$39)*SIN(2*PI()*(Inputs!$C$6)/Inputs!$C$40)+-Inputs!$C$41*EXP(-(((Inputs!$C$6)-Inputs!$C$43)^2)/(2*Inputs!$C$44^2))*EXP(-(((Scenario_Data!V9)-Inputs!$C$42)^2)/(2*Inputs!$C$45^2))+Inputs!$C$48*(0.7*(0.45*SIN(2*PI()*(((Scenario_Data!V9)/Inputs!$C$49)+Inputs!$C$47*0.137))+0.35*COS(2*PI()*(((Inputs!$C$6)/Inputs!$C$50)+Inputs!$C$47*0.173))+0.2*SIN(2*PI()*((((Scenario_Data!V9)+(Inputs!$C$6))/(0.5*(Inputs!$C$49+Inputs!$C$50)))+Inputs!$C$47*0.097)))+0.3*(2*((SIN(((Scenario_Data!V9)*12.9898+(Inputs!$C$6)*78.233+Inputs!$C$47*37.719))*43758.5453)-INT((SIN(((Scenario_Data!V9)*12.9898+(Inputs!$C$6)*78.233+Inputs!$C$47*37.719))*43758.5453)))-1))))/1000))^2-2*(Inputs!$C$52+(Scenario_Data!D9))*(Inputs!$C$52+((IF(OR(Inputs!$C$27=TRUE,Inputs!$C$27="TRUE",Inputs!$C$27=1),1,0)*(Inputs!$C$51*(115*EXP(-(((Inputs!$C$6)-25)^2)/(4.5^2))+70*EXP(-(((Inputs!$C$6)+38)^2)/(7^2))*(0.55+0.45*SIN(2*PI()*(Scenario_Data!V9)/45))+24*SIN(2*PI()*(Inputs!$C$6)/9+(Scenario_Data!V9)/18)*EXP(-(((Inputs!$C$6)+5)^2)/(22^2))+18*SIN(2*PI()*(Scenario_Data!V9)/70))+Inputs!$C$28*EXP(-(((Scenario_Data!V9)-Inputs!$C$29)^2)/(2*Inputs!$C$31^2))*EXP(-(((Inputs!$C$6)-Inputs!$C$30)^2)/(2*Inputs!$C$32^2))+-Inputs!$C$33*EXP(-(((((Scenario_Data!V9)-Inputs!$C$34)^2)+(((Inputs!$C$6)-Inputs!$C$35)^2))/(2*Inputs!$C$36^2)))+Inputs!$C$37*(0.55*SIN(2*PI()*(Scenario_Data!V9)/Inputs!$C$39)+0.35*COS(2*PI()*(Inputs!$C$6)/Inputs!$C$40)+0.2*SIN(2*PI()*((Scenario_Data!V9)+(Inputs!$C$6))/(0.5*(Inputs!$C$39+Inputs!$C$40))))+Inputs!$C$38*SIN(2*PI()*(Scenario_Data!V9)/Inputs!$C$39)*SIN(2*PI()*(Inputs!$C$6)/Inputs!$C$40)+-Inputs!$C$41*EXP(-(((Inputs!$C$6)-Inputs!$C$43)^2)/(2*Inputs!$C$44^2))*EXP(-(((Scenario_Data!V9)-Inputs!$C$42)^2)/(2*Inputs!$C$45^2))+Inputs!$C$48*(0.7*(0.45*SIN(2*PI()*(((Scenario_Data!V9)/Inputs!$C$49)+Inputs!$C$47*0.137))+0.35*COS(2*PI()*(((Inputs!$C$6)/Inputs!$C$50)+Inputs!$C$47*0.173))+0.2*SIN(2*PI()*((((Scenario_Data!V9)+(Inputs!$C$6))/(0.5*(Inputs!$C$49+Inputs!$C$50)))+Inputs!$C$47*0.097)))+0.3*(2*((SIN(((Scenario_Data!V9)*12.9898+(Inputs!$C$6)*78.233+Inputs!$C$47*37.719))*43758.5453)-INT((SIN(((Scenario_Data!V9)*12.9898+(Inputs!$C$6)*78.233+Inputs!$C$47*37.719))*43758.5453)))-1))))/1000))*COS(SQRT((Scenario_Data!V9)^2+Inputs!$C$6^2)/Inputs!$C$52))*1000)/Inputs!$C$21*1000000</f>
        <v/>
      </c>
      <c r="AV9">
        <f>Scenario_Data!W9</f>
        <v/>
      </c>
      <c r="AW9">
        <f>2*(SQRT((Inputs!$C$52+(Scenario_Data!E9))^2+(Inputs!$C$52+((IF(OR(Inputs!$C$27=TRUE,Inputs!$C$27="TRUE",Inputs!$C$27=1),1,0)*(Inputs!$C$51*(115*EXP(-(((Inputs!$C$6)-25)^2)/(4.5^2))+70*EXP(-(((Inputs!$C$6)+38)^2)/(7^2))*(0.55+0.45*SIN(2*PI()*(Scenario_Data!W9)/45))+24*SIN(2*PI()*(Inputs!$C$6)/9+(Scenario_Data!W9)/18)*EXP(-(((Inputs!$C$6)+5)^2)/(22^2))+18*SIN(2*PI()*(Scenario_Data!W9)/70))+Inputs!$C$28*EXP(-(((Scenario_Data!W9)-Inputs!$C$29)^2)/(2*Inputs!$C$31^2))*EXP(-(((Inputs!$C$6)-Inputs!$C$30)^2)/(2*Inputs!$C$32^2))+-Inputs!$C$33*EXP(-(((((Scenario_Data!W9)-Inputs!$C$34)^2)+(((Inputs!$C$6)-Inputs!$C$35)^2))/(2*Inputs!$C$36^2)))+Inputs!$C$37*(0.55*SIN(2*PI()*(Scenario_Data!W9)/Inputs!$C$39)+0.35*COS(2*PI()*(Inputs!$C$6)/Inputs!$C$40)+0.2*SIN(2*PI()*((Scenario_Data!W9)+(Inputs!$C$6))/(0.5*(Inputs!$C$39+Inputs!$C$40))))+Inputs!$C$38*SIN(2*PI()*(Scenario_Data!W9)/Inputs!$C$39)*SIN(2*PI()*(Inputs!$C$6)/Inputs!$C$40)+-Inputs!$C$41*EXP(-(((Inputs!$C$6)-Inputs!$C$43)^2)/(2*Inputs!$C$44^2))*EXP(-(((Scenario_Data!W9)-Inputs!$C$42)^2)/(2*Inputs!$C$45^2))+Inputs!$C$48*(0.7*(0.45*SIN(2*PI()*(((Scenario_Data!W9)/Inputs!$C$49)+Inputs!$C$47*0.137))+0.35*COS(2*PI()*(((Inputs!$C$6)/Inputs!$C$50)+Inputs!$C$47*0.173))+0.2*SIN(2*PI()*((((Scenario_Data!W9)+(Inputs!$C$6))/(0.5*(Inputs!$C$49+Inputs!$C$50)))+Inputs!$C$47*0.097)))+0.3*(2*((SIN(((Scenario_Data!W9)*12.9898+(Inputs!$C$6)*78.233+Inputs!$C$47*37.719))*43758.5453)-INT((SIN(((Scenario_Data!W9)*12.9898+(Inputs!$C$6)*78.233+Inputs!$C$47*37.719))*43758.5453)))-1))))/1000))^2-2*(Inputs!$C$52+(Scenario_Data!E9))*(Inputs!$C$52+((IF(OR(Inputs!$C$27=TRUE,Inputs!$C$27="TRUE",Inputs!$C$27=1),1,0)*(Inputs!$C$51*(115*EXP(-(((Inputs!$C$6)-25)^2)/(4.5^2))+70*EXP(-(((Inputs!$C$6)+38)^2)/(7^2))*(0.55+0.45*SIN(2*PI()*(Scenario_Data!W9)/45))+24*SIN(2*PI()*(Inputs!$C$6)/9+(Scenario_Data!W9)/18)*EXP(-(((Inputs!$C$6)+5)^2)/(22^2))+18*SIN(2*PI()*(Scenario_Data!W9)/70))+Inputs!$C$28*EXP(-(((Scenario_Data!W9)-Inputs!$C$29)^2)/(2*Inputs!$C$31^2))*EXP(-(((Inputs!$C$6)-Inputs!$C$30)^2)/(2*Inputs!$C$32^2))+-Inputs!$C$33*EXP(-(((((Scenario_Data!W9)-Inputs!$C$34)^2)+(((Inputs!$C$6)-Inputs!$C$35)^2))/(2*Inputs!$C$36^2)))+Inputs!$C$37*(0.55*SIN(2*PI()*(Scenario_Data!W9)/Inputs!$C$39)+0.35*COS(2*PI()*(Inputs!$C$6)/Inputs!$C$40)+0.2*SIN(2*PI()*((Scenario_Data!W9)+(Inputs!$C$6))/(0.5*(Inputs!$C$39+Inputs!$C$40))))+Inputs!$C$38*SIN(2*PI()*(Scenario_Data!W9)/Inputs!$C$39)*SIN(2*PI()*(Inputs!$C$6)/Inputs!$C$40)+-Inputs!$C$41*EXP(-(((Inputs!$C$6)-Inputs!$C$43)^2)/(2*Inputs!$C$44^2))*EXP(-(((Scenario_Data!W9)-Inputs!$C$42)^2)/(2*Inputs!$C$45^2))+Inputs!$C$48*(0.7*(0.45*SIN(2*PI()*(((Scenario_Data!W9)/Inputs!$C$49)+Inputs!$C$47*0.137))+0.35*COS(2*PI()*(((Inputs!$C$6)/Inputs!$C$50)+Inputs!$C$47*0.173))+0.2*SIN(2*PI()*((((Scenario_Data!W9)+(Inputs!$C$6))/(0.5*(Inputs!$C$49+Inputs!$C$50)))+Inputs!$C$47*0.097)))+0.3*(2*((SIN(((Scenario_Data!W9)*12.9898+(Inputs!$C$6)*78.233+Inputs!$C$47*37.719))*43758.5453)-INT((SIN(((Scenario_Data!W9)*12.9898+(Inputs!$C$6)*78.233+Inputs!$C$47*37.719))*43758.5453)))-1))))/1000))*COS(SQRT((Scenario_Data!W9)^2+Inputs!$C$6^2)/Inputs!$C$52))*1000)/Inputs!$C$21*1000000</f>
        <v/>
      </c>
    </row>
    <row r="10">
      <c r="A10">
        <f>Chart_Data!K10</f>
        <v/>
      </c>
      <c r="B10">
        <f>Chart_Data!N10-Chart_Data!L10</f>
        <v/>
      </c>
      <c r="D10">
        <f>Chart_Data!G10</f>
        <v/>
      </c>
      <c r="E10">
        <f>Chart_Data!H10</f>
        <v/>
      </c>
      <c r="F10">
        <f>Chart_Data!I10</f>
        <v/>
      </c>
      <c r="G10">
        <f>Chart_Data!J10</f>
        <v/>
      </c>
      <c r="I10">
        <f>Scenario_Data!A10</f>
        <v/>
      </c>
      <c r="J10">
        <f>Scenario_Data!H10-(((SQRT((Inputs!$C$52+(Inputs!$H$6))^2+Inputs!$C$52^2-2*(Inputs!$C$52+(Inputs!$H$6))*Inputs!$C$52*COS(SQRT((Scenario_Data!T10)^2+Inputs!$C$6^2)/Inputs!$C$52)))-(Inputs!$H$6))*1000/Inputs!$C$12)</f>
        <v/>
      </c>
      <c r="K10">
        <f>Scenario_Data!I10-(((SQRT((Inputs!$C$52+(Inputs!$H$7))^2+Inputs!$C$52^2-2*(Inputs!$C$52+(Inputs!$H$7))*Inputs!$C$52*COS(SQRT((Scenario_Data!U10)^2+Inputs!$C$6^2)/Inputs!$C$52)))-(Inputs!$H$7))*1000/Inputs!$C$12)</f>
        <v/>
      </c>
      <c r="L10">
        <f>Scenario_Data!J10-(((SQRT((Inputs!$C$52+(Inputs!$H$8))^2+Inputs!$C$52^2-2*(Inputs!$C$52+(Inputs!$H$8))*Inputs!$C$52*COS(SQRT((Scenario_Data!V10)^2+Inputs!$C$6^2)/Inputs!$C$52)))-(Inputs!$H$8))*1000/Inputs!$C$12)</f>
        <v/>
      </c>
      <c r="M10">
        <f>Scenario_Data!K10-(((SQRT((Inputs!$C$52+(Inputs!$H$9))^2+Inputs!$C$52^2-2*(Inputs!$C$52+(Inputs!$H$9))*Inputs!$C$52*COS(SQRT((Scenario_Data!W10)^2+Inputs!$C$6^2)/Inputs!$C$52)))-(Inputs!$H$9))*1000/Inputs!$C$12)</f>
        <v/>
      </c>
      <c r="O10">
        <f>Scenario_Data!T10</f>
        <v/>
      </c>
      <c r="P10">
        <f>2*(Scenario_Data!B10*1000)/Inputs!$C$21*1000000</f>
        <v/>
      </c>
      <c r="Q10">
        <f>Scenario_Data!U10</f>
        <v/>
      </c>
      <c r="R10">
        <f>2*(Scenario_Data!C10*1000)/Inputs!$C$21*1000000</f>
        <v/>
      </c>
      <c r="S10">
        <f>Scenario_Data!V10</f>
        <v/>
      </c>
      <c r="T10">
        <f>2*(Scenario_Data!D10*1000)/Inputs!$C$21*1000000</f>
        <v/>
      </c>
      <c r="U10">
        <f>Scenario_Data!W10</f>
        <v/>
      </c>
      <c r="V10">
        <f>2*(Scenario_Data!E10*1000)/Inputs!$C$21*1000000</f>
        <v/>
      </c>
      <c r="X10">
        <f>Scenario_Data!T10</f>
        <v/>
      </c>
      <c r="Y10">
        <f>2*((Scenario_Data!B10*1000)-(IF(OR(Inputs!$C$27=TRUE,Inputs!$C$27="TRUE",Inputs!$C$27=1),1,0)*(Inputs!$C$51*(115*EXP(-(((0)-25)^2)/(4.5^2))+70*EXP(-(((0)+38)^2)/(7^2))*(0.55+0.45*SIN(2*PI()*(Scenario_Data!T10)/45))+24*SIN(2*PI()*(0)/9+(Scenario_Data!T10)/18)*EXP(-(((0)+5)^2)/(22^2))+18*SIN(2*PI()*(Scenario_Data!T10)/70))+Inputs!$C$28*EXP(-(((Scenario_Data!T10)-Inputs!$C$29)^2)/(2*Inputs!$C$31^2))*EXP(-(((0)-Inputs!$C$30)^2)/(2*Inputs!$C$32^2))+-Inputs!$C$33*EXP(-(((((Scenario_Data!T10)-Inputs!$C$34)^2)+(((0)-Inputs!$C$35)^2))/(2*Inputs!$C$36^2)))+Inputs!$C$37*(0.55*SIN(2*PI()*(Scenario_Data!T10)/Inputs!$C$39)+0.35*COS(2*PI()*(0)/Inputs!$C$40)+0.2*SIN(2*PI()*((Scenario_Data!T10)+(0))/(0.5*(Inputs!$C$39+Inputs!$C$40))))+Inputs!$C$38*SIN(2*PI()*(Scenario_Data!T10)/Inputs!$C$39)*SIN(2*PI()*(0)/Inputs!$C$40)+-Inputs!$C$41*EXP(-(((0)-Inputs!$C$43)^2)/(2*Inputs!$C$44^2))*EXP(-(((Scenario_Data!T10)-Inputs!$C$42)^2)/(2*Inputs!$C$45^2))+Inputs!$C$48*(0.7*(0.45*SIN(2*PI()*(((Scenario_Data!T10)/Inputs!$C$49)+Inputs!$C$47*0.137))+0.35*COS(2*PI()*(((0)/Inputs!$C$50)+Inputs!$C$47*0.173))+0.2*SIN(2*PI()*((((Scenario_Data!T10)+(0))/(0.5*(Inputs!$C$49+Inputs!$C$50)))+Inputs!$C$47*0.097)))+0.3*(2*((SIN(((Scenario_Data!T10)*12.9898+(0)*78.233+Inputs!$C$47*37.719))*43758.5453)-INT((SIN(((Scenario_Data!T10)*12.9898+(0)*78.233+Inputs!$C$47*37.719))*43758.5453)))-1)))))/Inputs!$C$21*1000000</f>
        <v/>
      </c>
      <c r="Z10">
        <f>Scenario_Data!U10</f>
        <v/>
      </c>
      <c r="AA10">
        <f>2*((Scenario_Data!C10*1000)-(IF(OR(Inputs!$C$27=TRUE,Inputs!$C$27="TRUE",Inputs!$C$27=1),1,0)*(Inputs!$C$51*(115*EXP(-(((0)-25)^2)/(4.5^2))+70*EXP(-(((0)+38)^2)/(7^2))*(0.55+0.45*SIN(2*PI()*(Scenario_Data!U10)/45))+24*SIN(2*PI()*(0)/9+(Scenario_Data!U10)/18)*EXP(-(((0)+5)^2)/(22^2))+18*SIN(2*PI()*(Scenario_Data!U10)/70))+Inputs!$C$28*EXP(-(((Scenario_Data!U10)-Inputs!$C$29)^2)/(2*Inputs!$C$31^2))*EXP(-(((0)-Inputs!$C$30)^2)/(2*Inputs!$C$32^2))+-Inputs!$C$33*EXP(-(((((Scenario_Data!U10)-Inputs!$C$34)^2)+(((0)-Inputs!$C$35)^2))/(2*Inputs!$C$36^2)))+Inputs!$C$37*(0.55*SIN(2*PI()*(Scenario_Data!U10)/Inputs!$C$39)+0.35*COS(2*PI()*(0)/Inputs!$C$40)+0.2*SIN(2*PI()*((Scenario_Data!U10)+(0))/(0.5*(Inputs!$C$39+Inputs!$C$40))))+Inputs!$C$38*SIN(2*PI()*(Scenario_Data!U10)/Inputs!$C$39)*SIN(2*PI()*(0)/Inputs!$C$40)+-Inputs!$C$41*EXP(-(((0)-Inputs!$C$43)^2)/(2*Inputs!$C$44^2))*EXP(-(((Scenario_Data!U10)-Inputs!$C$42)^2)/(2*Inputs!$C$45^2))+Inputs!$C$48*(0.7*(0.45*SIN(2*PI()*(((Scenario_Data!U10)/Inputs!$C$49)+Inputs!$C$47*0.137))+0.35*COS(2*PI()*(((0)/Inputs!$C$50)+Inputs!$C$47*0.173))+0.2*SIN(2*PI()*((((Scenario_Data!U10)+(0))/(0.5*(Inputs!$C$49+Inputs!$C$50)))+Inputs!$C$47*0.097)))+0.3*(2*((SIN(((Scenario_Data!U10)*12.9898+(0)*78.233+Inputs!$C$47*37.719))*43758.5453)-INT((SIN(((Scenario_Data!U10)*12.9898+(0)*78.233+Inputs!$C$47*37.719))*43758.5453)))-1)))))/Inputs!$C$21*1000000</f>
        <v/>
      </c>
      <c r="AB10">
        <f>Scenario_Data!V10</f>
        <v/>
      </c>
      <c r="AC10">
        <f>2*((Scenario_Data!D10*1000)-(IF(OR(Inputs!$C$27=TRUE,Inputs!$C$27="TRUE",Inputs!$C$27=1),1,0)*(Inputs!$C$51*(115*EXP(-(((0)-25)^2)/(4.5^2))+70*EXP(-(((0)+38)^2)/(7^2))*(0.55+0.45*SIN(2*PI()*(Scenario_Data!V10)/45))+24*SIN(2*PI()*(0)/9+(Scenario_Data!V10)/18)*EXP(-(((0)+5)^2)/(22^2))+18*SIN(2*PI()*(Scenario_Data!V10)/70))+Inputs!$C$28*EXP(-(((Scenario_Data!V10)-Inputs!$C$29)^2)/(2*Inputs!$C$31^2))*EXP(-(((0)-Inputs!$C$30)^2)/(2*Inputs!$C$32^2))+-Inputs!$C$33*EXP(-(((((Scenario_Data!V10)-Inputs!$C$34)^2)+(((0)-Inputs!$C$35)^2))/(2*Inputs!$C$36^2)))+Inputs!$C$37*(0.55*SIN(2*PI()*(Scenario_Data!V10)/Inputs!$C$39)+0.35*COS(2*PI()*(0)/Inputs!$C$40)+0.2*SIN(2*PI()*((Scenario_Data!V10)+(0))/(0.5*(Inputs!$C$39+Inputs!$C$40))))+Inputs!$C$38*SIN(2*PI()*(Scenario_Data!V10)/Inputs!$C$39)*SIN(2*PI()*(0)/Inputs!$C$40)+-Inputs!$C$41*EXP(-(((0)-Inputs!$C$43)^2)/(2*Inputs!$C$44^2))*EXP(-(((Scenario_Data!V10)-Inputs!$C$42)^2)/(2*Inputs!$C$45^2))+Inputs!$C$48*(0.7*(0.45*SIN(2*PI()*(((Scenario_Data!V10)/Inputs!$C$49)+Inputs!$C$47*0.137))+0.35*COS(2*PI()*(((0)/Inputs!$C$50)+Inputs!$C$47*0.173))+0.2*SIN(2*PI()*((((Scenario_Data!V10)+(0))/(0.5*(Inputs!$C$49+Inputs!$C$50)))+Inputs!$C$47*0.097)))+0.3*(2*((SIN(((Scenario_Data!V10)*12.9898+(0)*78.233+Inputs!$C$47*37.719))*43758.5453)-INT((SIN(((Scenario_Data!V10)*12.9898+(0)*78.233+Inputs!$C$47*37.719))*43758.5453)))-1)))))/Inputs!$C$21*1000000</f>
        <v/>
      </c>
      <c r="AD10">
        <f>Scenario_Data!W10</f>
        <v/>
      </c>
      <c r="AE10">
        <f>2*((Scenario_Data!E10*1000)-(IF(OR(Inputs!$C$27=TRUE,Inputs!$C$27="TRUE",Inputs!$C$27=1),1,0)*(Inputs!$C$51*(115*EXP(-(((0)-25)^2)/(4.5^2))+70*EXP(-(((0)+38)^2)/(7^2))*(0.55+0.45*SIN(2*PI()*(Scenario_Data!W10)/45))+24*SIN(2*PI()*(0)/9+(Scenario_Data!W10)/18)*EXP(-(((0)+5)^2)/(22^2))+18*SIN(2*PI()*(Scenario_Data!W10)/70))+Inputs!$C$28*EXP(-(((Scenario_Data!W10)-Inputs!$C$29)^2)/(2*Inputs!$C$31^2))*EXP(-(((0)-Inputs!$C$30)^2)/(2*Inputs!$C$32^2))+-Inputs!$C$33*EXP(-(((((Scenario_Data!W10)-Inputs!$C$34)^2)+(((0)-Inputs!$C$35)^2))/(2*Inputs!$C$36^2)))+Inputs!$C$37*(0.55*SIN(2*PI()*(Scenario_Data!W10)/Inputs!$C$39)+0.35*COS(2*PI()*(0)/Inputs!$C$40)+0.2*SIN(2*PI()*((Scenario_Data!W10)+(0))/(0.5*(Inputs!$C$39+Inputs!$C$40))))+Inputs!$C$38*SIN(2*PI()*(Scenario_Data!W10)/Inputs!$C$39)*SIN(2*PI()*(0)/Inputs!$C$40)+-Inputs!$C$41*EXP(-(((0)-Inputs!$C$43)^2)/(2*Inputs!$C$44^2))*EXP(-(((Scenario_Data!W10)-Inputs!$C$42)^2)/(2*Inputs!$C$45^2))+Inputs!$C$48*(0.7*(0.45*SIN(2*PI()*(((Scenario_Data!W10)/Inputs!$C$49)+Inputs!$C$47*0.137))+0.35*COS(2*PI()*(((0)/Inputs!$C$50)+Inputs!$C$47*0.173))+0.2*SIN(2*PI()*((((Scenario_Data!W10)+(0))/(0.5*(Inputs!$C$49+Inputs!$C$50)))+Inputs!$C$47*0.097)))+0.3*(2*((SIN(((Scenario_Data!W10)*12.9898+(0)*78.233+Inputs!$C$47*37.719))*43758.5453)-INT((SIN(((Scenario_Data!W10)*12.9898+(0)*78.233+Inputs!$C$47*37.719))*43758.5453)))-1)))))/Inputs!$C$21*1000000</f>
        <v/>
      </c>
      <c r="AG10">
        <f>Scenario_Data!T10</f>
        <v/>
      </c>
      <c r="AH10">
        <f>2*(SQRT((Inputs!$C$52+(Scenario_Data!B10))^2+Inputs!$C$52^2-2*(Inputs!$C$52+(Scenario_Data!B10))*Inputs!$C$52*COS(SQRT((Scenario_Data!T10)^2+Inputs!$C$6^2)/Inputs!$C$52))*1000)/Inputs!$C$21*1000000</f>
        <v/>
      </c>
      <c r="AI10">
        <f>Scenario_Data!U10</f>
        <v/>
      </c>
      <c r="AJ10">
        <f>2*(SQRT((Inputs!$C$52+(Scenario_Data!C10))^2+Inputs!$C$52^2-2*(Inputs!$C$52+(Scenario_Data!C10))*Inputs!$C$52*COS(SQRT((Scenario_Data!U10)^2+Inputs!$C$6^2)/Inputs!$C$52))*1000)/Inputs!$C$21*1000000</f>
        <v/>
      </c>
      <c r="AK10">
        <f>Scenario_Data!V10</f>
        <v/>
      </c>
      <c r="AL10">
        <f>2*(SQRT((Inputs!$C$52+(Scenario_Data!D10))^2+Inputs!$C$52^2-2*(Inputs!$C$52+(Scenario_Data!D10))*Inputs!$C$52*COS(SQRT((Scenario_Data!V10)^2+Inputs!$C$6^2)/Inputs!$C$52))*1000)/Inputs!$C$21*1000000</f>
        <v/>
      </c>
      <c r="AM10">
        <f>Scenario_Data!W10</f>
        <v/>
      </c>
      <c r="AN10">
        <f>2*(SQRT((Inputs!$C$52+(Scenario_Data!E10))^2+Inputs!$C$52^2-2*(Inputs!$C$52+(Scenario_Data!E10))*Inputs!$C$52*COS(SQRT((Scenario_Data!W10)^2+Inputs!$C$6^2)/Inputs!$C$52))*1000)/Inputs!$C$21*1000000</f>
        <v/>
      </c>
      <c r="AP10">
        <f>Scenario_Data!T10</f>
        <v/>
      </c>
      <c r="AQ10">
        <f>2*(SQRT((Inputs!$C$52+(Scenario_Data!B10))^2+(Inputs!$C$52+((IF(OR(Inputs!$C$27=TRUE,Inputs!$C$27="TRUE",Inputs!$C$27=1),1,0)*(Inputs!$C$51*(115*EXP(-(((Inputs!$C$6)-25)^2)/(4.5^2))+70*EXP(-(((Inputs!$C$6)+38)^2)/(7^2))*(0.55+0.45*SIN(2*PI()*(Scenario_Data!T10)/45))+24*SIN(2*PI()*(Inputs!$C$6)/9+(Scenario_Data!T10)/18)*EXP(-(((Inputs!$C$6)+5)^2)/(22^2))+18*SIN(2*PI()*(Scenario_Data!T10)/70))+Inputs!$C$28*EXP(-(((Scenario_Data!T10)-Inputs!$C$29)^2)/(2*Inputs!$C$31^2))*EXP(-(((Inputs!$C$6)-Inputs!$C$30)^2)/(2*Inputs!$C$32^2))+-Inputs!$C$33*EXP(-(((((Scenario_Data!T10)-Inputs!$C$34)^2)+(((Inputs!$C$6)-Inputs!$C$35)^2))/(2*Inputs!$C$36^2)))+Inputs!$C$37*(0.55*SIN(2*PI()*(Scenario_Data!T10)/Inputs!$C$39)+0.35*COS(2*PI()*(Inputs!$C$6)/Inputs!$C$40)+0.2*SIN(2*PI()*((Scenario_Data!T10)+(Inputs!$C$6))/(0.5*(Inputs!$C$39+Inputs!$C$40))))+Inputs!$C$38*SIN(2*PI()*(Scenario_Data!T10)/Inputs!$C$39)*SIN(2*PI()*(Inputs!$C$6)/Inputs!$C$40)+-Inputs!$C$41*EXP(-(((Inputs!$C$6)-Inputs!$C$43)^2)/(2*Inputs!$C$44^2))*EXP(-(((Scenario_Data!T10)-Inputs!$C$42)^2)/(2*Inputs!$C$45^2))+Inputs!$C$48*(0.7*(0.45*SIN(2*PI()*(((Scenario_Data!T10)/Inputs!$C$49)+Inputs!$C$47*0.137))+0.35*COS(2*PI()*(((Inputs!$C$6)/Inputs!$C$50)+Inputs!$C$47*0.173))+0.2*SIN(2*PI()*((((Scenario_Data!T10)+(Inputs!$C$6))/(0.5*(Inputs!$C$49+Inputs!$C$50)))+Inputs!$C$47*0.097)))+0.3*(2*((SIN(((Scenario_Data!T10)*12.9898+(Inputs!$C$6)*78.233+Inputs!$C$47*37.719))*43758.5453)-INT((SIN(((Scenario_Data!T10)*12.9898+(Inputs!$C$6)*78.233+Inputs!$C$47*37.719))*43758.5453)))-1))))/1000))^2-2*(Inputs!$C$52+(Scenario_Data!B10))*(Inputs!$C$52+((IF(OR(Inputs!$C$27=TRUE,Inputs!$C$27="TRUE",Inputs!$C$27=1),1,0)*(Inputs!$C$51*(115*EXP(-(((Inputs!$C$6)-25)^2)/(4.5^2))+70*EXP(-(((Inputs!$C$6)+38)^2)/(7^2))*(0.55+0.45*SIN(2*PI()*(Scenario_Data!T10)/45))+24*SIN(2*PI()*(Inputs!$C$6)/9+(Scenario_Data!T10)/18)*EXP(-(((Inputs!$C$6)+5)^2)/(22^2))+18*SIN(2*PI()*(Scenario_Data!T10)/70))+Inputs!$C$28*EXP(-(((Scenario_Data!T10)-Inputs!$C$29)^2)/(2*Inputs!$C$31^2))*EXP(-(((Inputs!$C$6)-Inputs!$C$30)^2)/(2*Inputs!$C$32^2))+-Inputs!$C$33*EXP(-(((((Scenario_Data!T10)-Inputs!$C$34)^2)+(((Inputs!$C$6)-Inputs!$C$35)^2))/(2*Inputs!$C$36^2)))+Inputs!$C$37*(0.55*SIN(2*PI()*(Scenario_Data!T10)/Inputs!$C$39)+0.35*COS(2*PI()*(Inputs!$C$6)/Inputs!$C$40)+0.2*SIN(2*PI()*((Scenario_Data!T10)+(Inputs!$C$6))/(0.5*(Inputs!$C$39+Inputs!$C$40))))+Inputs!$C$38*SIN(2*PI()*(Scenario_Data!T10)/Inputs!$C$39)*SIN(2*PI()*(Inputs!$C$6)/Inputs!$C$40)+-Inputs!$C$41*EXP(-(((Inputs!$C$6)-Inputs!$C$43)^2)/(2*Inputs!$C$44^2))*EXP(-(((Scenario_Data!T10)-Inputs!$C$42)^2)/(2*Inputs!$C$45^2))+Inputs!$C$48*(0.7*(0.45*SIN(2*PI()*(((Scenario_Data!T10)/Inputs!$C$49)+Inputs!$C$47*0.137))+0.35*COS(2*PI()*(((Inputs!$C$6)/Inputs!$C$50)+Inputs!$C$47*0.173))+0.2*SIN(2*PI()*((((Scenario_Data!T10)+(Inputs!$C$6))/(0.5*(Inputs!$C$49+Inputs!$C$50)))+Inputs!$C$47*0.097)))+0.3*(2*((SIN(((Scenario_Data!T10)*12.9898+(Inputs!$C$6)*78.233+Inputs!$C$47*37.719))*43758.5453)-INT((SIN(((Scenario_Data!T10)*12.9898+(Inputs!$C$6)*78.233+Inputs!$C$47*37.719))*43758.5453)))-1))))/1000))*COS(SQRT((Scenario_Data!T10)^2+Inputs!$C$6^2)/Inputs!$C$52))*1000)/Inputs!$C$21*1000000</f>
        <v/>
      </c>
      <c r="AR10">
        <f>Scenario_Data!U10</f>
        <v/>
      </c>
      <c r="AS10">
        <f>2*(SQRT((Inputs!$C$52+(Scenario_Data!C10))^2+(Inputs!$C$52+((IF(OR(Inputs!$C$27=TRUE,Inputs!$C$27="TRUE",Inputs!$C$27=1),1,0)*(Inputs!$C$51*(115*EXP(-(((Inputs!$C$6)-25)^2)/(4.5^2))+70*EXP(-(((Inputs!$C$6)+38)^2)/(7^2))*(0.55+0.45*SIN(2*PI()*(Scenario_Data!U10)/45))+24*SIN(2*PI()*(Inputs!$C$6)/9+(Scenario_Data!U10)/18)*EXP(-(((Inputs!$C$6)+5)^2)/(22^2))+18*SIN(2*PI()*(Scenario_Data!U10)/70))+Inputs!$C$28*EXP(-(((Scenario_Data!U10)-Inputs!$C$29)^2)/(2*Inputs!$C$31^2))*EXP(-(((Inputs!$C$6)-Inputs!$C$30)^2)/(2*Inputs!$C$32^2))+-Inputs!$C$33*EXP(-(((((Scenario_Data!U10)-Inputs!$C$34)^2)+(((Inputs!$C$6)-Inputs!$C$35)^2))/(2*Inputs!$C$36^2)))+Inputs!$C$37*(0.55*SIN(2*PI()*(Scenario_Data!U10)/Inputs!$C$39)+0.35*COS(2*PI()*(Inputs!$C$6)/Inputs!$C$40)+0.2*SIN(2*PI()*((Scenario_Data!U10)+(Inputs!$C$6))/(0.5*(Inputs!$C$39+Inputs!$C$40))))+Inputs!$C$38*SIN(2*PI()*(Scenario_Data!U10)/Inputs!$C$39)*SIN(2*PI()*(Inputs!$C$6)/Inputs!$C$40)+-Inputs!$C$41*EXP(-(((Inputs!$C$6)-Inputs!$C$43)^2)/(2*Inputs!$C$44^2))*EXP(-(((Scenario_Data!U10)-Inputs!$C$42)^2)/(2*Inputs!$C$45^2))+Inputs!$C$48*(0.7*(0.45*SIN(2*PI()*(((Scenario_Data!U10)/Inputs!$C$49)+Inputs!$C$47*0.137))+0.35*COS(2*PI()*(((Inputs!$C$6)/Inputs!$C$50)+Inputs!$C$47*0.173))+0.2*SIN(2*PI()*((((Scenario_Data!U10)+(Inputs!$C$6))/(0.5*(Inputs!$C$49+Inputs!$C$50)))+Inputs!$C$47*0.097)))+0.3*(2*((SIN(((Scenario_Data!U10)*12.9898+(Inputs!$C$6)*78.233+Inputs!$C$47*37.719))*43758.5453)-INT((SIN(((Scenario_Data!U10)*12.9898+(Inputs!$C$6)*78.233+Inputs!$C$47*37.719))*43758.5453)))-1))))/1000))^2-2*(Inputs!$C$52+(Scenario_Data!C10))*(Inputs!$C$52+((IF(OR(Inputs!$C$27=TRUE,Inputs!$C$27="TRUE",Inputs!$C$27=1),1,0)*(Inputs!$C$51*(115*EXP(-(((Inputs!$C$6)-25)^2)/(4.5^2))+70*EXP(-(((Inputs!$C$6)+38)^2)/(7^2))*(0.55+0.45*SIN(2*PI()*(Scenario_Data!U10)/45))+24*SIN(2*PI()*(Inputs!$C$6)/9+(Scenario_Data!U10)/18)*EXP(-(((Inputs!$C$6)+5)^2)/(22^2))+18*SIN(2*PI()*(Scenario_Data!U10)/70))+Inputs!$C$28*EXP(-(((Scenario_Data!U10)-Inputs!$C$29)^2)/(2*Inputs!$C$31^2))*EXP(-(((Inputs!$C$6)-Inputs!$C$30)^2)/(2*Inputs!$C$32^2))+-Inputs!$C$33*EXP(-(((((Scenario_Data!U10)-Inputs!$C$34)^2)+(((Inputs!$C$6)-Inputs!$C$35)^2))/(2*Inputs!$C$36^2)))+Inputs!$C$37*(0.55*SIN(2*PI()*(Scenario_Data!U10)/Inputs!$C$39)+0.35*COS(2*PI()*(Inputs!$C$6)/Inputs!$C$40)+0.2*SIN(2*PI()*((Scenario_Data!U10)+(Inputs!$C$6))/(0.5*(Inputs!$C$39+Inputs!$C$40))))+Inputs!$C$38*SIN(2*PI()*(Scenario_Data!U10)/Inputs!$C$39)*SIN(2*PI()*(Inputs!$C$6)/Inputs!$C$40)+-Inputs!$C$41*EXP(-(((Inputs!$C$6)-Inputs!$C$43)^2)/(2*Inputs!$C$44^2))*EXP(-(((Scenario_Data!U10)-Inputs!$C$42)^2)/(2*Inputs!$C$45^2))+Inputs!$C$48*(0.7*(0.45*SIN(2*PI()*(((Scenario_Data!U10)/Inputs!$C$49)+Inputs!$C$47*0.137))+0.35*COS(2*PI()*(((Inputs!$C$6)/Inputs!$C$50)+Inputs!$C$47*0.173))+0.2*SIN(2*PI()*((((Scenario_Data!U10)+(Inputs!$C$6))/(0.5*(Inputs!$C$49+Inputs!$C$50)))+Inputs!$C$47*0.097)))+0.3*(2*((SIN(((Scenario_Data!U10)*12.9898+(Inputs!$C$6)*78.233+Inputs!$C$47*37.719))*43758.5453)-INT((SIN(((Scenario_Data!U10)*12.9898+(Inputs!$C$6)*78.233+Inputs!$C$47*37.719))*43758.5453)))-1))))/1000))*COS(SQRT((Scenario_Data!U10)^2+Inputs!$C$6^2)/Inputs!$C$52))*1000)/Inputs!$C$21*1000000</f>
        <v/>
      </c>
      <c r="AT10">
        <f>Scenario_Data!V10</f>
        <v/>
      </c>
      <c r="AU10">
        <f>2*(SQRT((Inputs!$C$52+(Scenario_Data!D10))^2+(Inputs!$C$52+((IF(OR(Inputs!$C$27=TRUE,Inputs!$C$27="TRUE",Inputs!$C$27=1),1,0)*(Inputs!$C$51*(115*EXP(-(((Inputs!$C$6)-25)^2)/(4.5^2))+70*EXP(-(((Inputs!$C$6)+38)^2)/(7^2))*(0.55+0.45*SIN(2*PI()*(Scenario_Data!V10)/45))+24*SIN(2*PI()*(Inputs!$C$6)/9+(Scenario_Data!V10)/18)*EXP(-(((Inputs!$C$6)+5)^2)/(22^2))+18*SIN(2*PI()*(Scenario_Data!V10)/70))+Inputs!$C$28*EXP(-(((Scenario_Data!V10)-Inputs!$C$29)^2)/(2*Inputs!$C$31^2))*EXP(-(((Inputs!$C$6)-Inputs!$C$30)^2)/(2*Inputs!$C$32^2))+-Inputs!$C$33*EXP(-(((((Scenario_Data!V10)-Inputs!$C$34)^2)+(((Inputs!$C$6)-Inputs!$C$35)^2))/(2*Inputs!$C$36^2)))+Inputs!$C$37*(0.55*SIN(2*PI()*(Scenario_Data!V10)/Inputs!$C$39)+0.35*COS(2*PI()*(Inputs!$C$6)/Inputs!$C$40)+0.2*SIN(2*PI()*((Scenario_Data!V10)+(Inputs!$C$6))/(0.5*(Inputs!$C$39+Inputs!$C$40))))+Inputs!$C$38*SIN(2*PI()*(Scenario_Data!V10)/Inputs!$C$39)*SIN(2*PI()*(Inputs!$C$6)/Inputs!$C$40)+-Inputs!$C$41*EXP(-(((Inputs!$C$6)-Inputs!$C$43)^2)/(2*Inputs!$C$44^2))*EXP(-(((Scenario_Data!V10)-Inputs!$C$42)^2)/(2*Inputs!$C$45^2))+Inputs!$C$48*(0.7*(0.45*SIN(2*PI()*(((Scenario_Data!V10)/Inputs!$C$49)+Inputs!$C$47*0.137))+0.35*COS(2*PI()*(((Inputs!$C$6)/Inputs!$C$50)+Inputs!$C$47*0.173))+0.2*SIN(2*PI()*((((Scenario_Data!V10)+(Inputs!$C$6))/(0.5*(Inputs!$C$49+Inputs!$C$50)))+Inputs!$C$47*0.097)))+0.3*(2*((SIN(((Scenario_Data!V10)*12.9898+(Inputs!$C$6)*78.233+Inputs!$C$47*37.719))*43758.5453)-INT((SIN(((Scenario_Data!V10)*12.9898+(Inputs!$C$6)*78.233+Inputs!$C$47*37.719))*43758.5453)))-1))))/1000))^2-2*(Inputs!$C$52+(Scenario_Data!D10))*(Inputs!$C$52+((IF(OR(Inputs!$C$27=TRUE,Inputs!$C$27="TRUE",Inputs!$C$27=1),1,0)*(Inputs!$C$51*(115*EXP(-(((Inputs!$C$6)-25)^2)/(4.5^2))+70*EXP(-(((Inputs!$C$6)+38)^2)/(7^2))*(0.55+0.45*SIN(2*PI()*(Scenario_Data!V10)/45))+24*SIN(2*PI()*(Inputs!$C$6)/9+(Scenario_Data!V10)/18)*EXP(-(((Inputs!$C$6)+5)^2)/(22^2))+18*SIN(2*PI()*(Scenario_Data!V10)/70))+Inputs!$C$28*EXP(-(((Scenario_Data!V10)-Inputs!$C$29)^2)/(2*Inputs!$C$31^2))*EXP(-(((Inputs!$C$6)-Inputs!$C$30)^2)/(2*Inputs!$C$32^2))+-Inputs!$C$33*EXP(-(((((Scenario_Data!V10)-Inputs!$C$34)^2)+(((Inputs!$C$6)-Inputs!$C$35)^2))/(2*Inputs!$C$36^2)))+Inputs!$C$37*(0.55*SIN(2*PI()*(Scenario_Data!V10)/Inputs!$C$39)+0.35*COS(2*PI()*(Inputs!$C$6)/Inputs!$C$40)+0.2*SIN(2*PI()*((Scenario_Data!V10)+(Inputs!$C$6))/(0.5*(Inputs!$C$39+Inputs!$C$40))))+Inputs!$C$38*SIN(2*PI()*(Scenario_Data!V10)/Inputs!$C$39)*SIN(2*PI()*(Inputs!$C$6)/Inputs!$C$40)+-Inputs!$C$41*EXP(-(((Inputs!$C$6)-Inputs!$C$43)^2)/(2*Inputs!$C$44^2))*EXP(-(((Scenario_Data!V10)-Inputs!$C$42)^2)/(2*Inputs!$C$45^2))+Inputs!$C$48*(0.7*(0.45*SIN(2*PI()*(((Scenario_Data!V10)/Inputs!$C$49)+Inputs!$C$47*0.137))+0.35*COS(2*PI()*(((Inputs!$C$6)/Inputs!$C$50)+Inputs!$C$47*0.173))+0.2*SIN(2*PI()*((((Scenario_Data!V10)+(Inputs!$C$6))/(0.5*(Inputs!$C$49+Inputs!$C$50)))+Inputs!$C$47*0.097)))+0.3*(2*((SIN(((Scenario_Data!V10)*12.9898+(Inputs!$C$6)*78.233+Inputs!$C$47*37.719))*43758.5453)-INT((SIN(((Scenario_Data!V10)*12.9898+(Inputs!$C$6)*78.233+Inputs!$C$47*37.719))*43758.5453)))-1))))/1000))*COS(SQRT((Scenario_Data!V10)^2+Inputs!$C$6^2)/Inputs!$C$52))*1000)/Inputs!$C$21*1000000</f>
        <v/>
      </c>
      <c r="AV10">
        <f>Scenario_Data!W10</f>
        <v/>
      </c>
      <c r="AW10">
        <f>2*(SQRT((Inputs!$C$52+(Scenario_Data!E10))^2+(Inputs!$C$52+((IF(OR(Inputs!$C$27=TRUE,Inputs!$C$27="TRUE",Inputs!$C$27=1),1,0)*(Inputs!$C$51*(115*EXP(-(((Inputs!$C$6)-25)^2)/(4.5^2))+70*EXP(-(((Inputs!$C$6)+38)^2)/(7^2))*(0.55+0.45*SIN(2*PI()*(Scenario_Data!W10)/45))+24*SIN(2*PI()*(Inputs!$C$6)/9+(Scenario_Data!W10)/18)*EXP(-(((Inputs!$C$6)+5)^2)/(22^2))+18*SIN(2*PI()*(Scenario_Data!W10)/70))+Inputs!$C$28*EXP(-(((Scenario_Data!W10)-Inputs!$C$29)^2)/(2*Inputs!$C$31^2))*EXP(-(((Inputs!$C$6)-Inputs!$C$30)^2)/(2*Inputs!$C$32^2))+-Inputs!$C$33*EXP(-(((((Scenario_Data!W10)-Inputs!$C$34)^2)+(((Inputs!$C$6)-Inputs!$C$35)^2))/(2*Inputs!$C$36^2)))+Inputs!$C$37*(0.55*SIN(2*PI()*(Scenario_Data!W10)/Inputs!$C$39)+0.35*COS(2*PI()*(Inputs!$C$6)/Inputs!$C$40)+0.2*SIN(2*PI()*((Scenario_Data!W10)+(Inputs!$C$6))/(0.5*(Inputs!$C$39+Inputs!$C$40))))+Inputs!$C$38*SIN(2*PI()*(Scenario_Data!W10)/Inputs!$C$39)*SIN(2*PI()*(Inputs!$C$6)/Inputs!$C$40)+-Inputs!$C$41*EXP(-(((Inputs!$C$6)-Inputs!$C$43)^2)/(2*Inputs!$C$44^2))*EXP(-(((Scenario_Data!W10)-Inputs!$C$42)^2)/(2*Inputs!$C$45^2))+Inputs!$C$48*(0.7*(0.45*SIN(2*PI()*(((Scenario_Data!W10)/Inputs!$C$49)+Inputs!$C$47*0.137))+0.35*COS(2*PI()*(((Inputs!$C$6)/Inputs!$C$50)+Inputs!$C$47*0.173))+0.2*SIN(2*PI()*((((Scenario_Data!W10)+(Inputs!$C$6))/(0.5*(Inputs!$C$49+Inputs!$C$50)))+Inputs!$C$47*0.097)))+0.3*(2*((SIN(((Scenario_Data!W10)*12.9898+(Inputs!$C$6)*78.233+Inputs!$C$47*37.719))*43758.5453)-INT((SIN(((Scenario_Data!W10)*12.9898+(Inputs!$C$6)*78.233+Inputs!$C$47*37.719))*43758.5453)))-1))))/1000))^2-2*(Inputs!$C$52+(Scenario_Data!E10))*(Inputs!$C$52+((IF(OR(Inputs!$C$27=TRUE,Inputs!$C$27="TRUE",Inputs!$C$27=1),1,0)*(Inputs!$C$51*(115*EXP(-(((Inputs!$C$6)-25)^2)/(4.5^2))+70*EXP(-(((Inputs!$C$6)+38)^2)/(7^2))*(0.55+0.45*SIN(2*PI()*(Scenario_Data!W10)/45))+24*SIN(2*PI()*(Inputs!$C$6)/9+(Scenario_Data!W10)/18)*EXP(-(((Inputs!$C$6)+5)^2)/(22^2))+18*SIN(2*PI()*(Scenario_Data!W10)/70))+Inputs!$C$28*EXP(-(((Scenario_Data!W10)-Inputs!$C$29)^2)/(2*Inputs!$C$31^2))*EXP(-(((Inputs!$C$6)-Inputs!$C$30)^2)/(2*Inputs!$C$32^2))+-Inputs!$C$33*EXP(-(((((Scenario_Data!W10)-Inputs!$C$34)^2)+(((Inputs!$C$6)-Inputs!$C$35)^2))/(2*Inputs!$C$36^2)))+Inputs!$C$37*(0.55*SIN(2*PI()*(Scenario_Data!W10)/Inputs!$C$39)+0.35*COS(2*PI()*(Inputs!$C$6)/Inputs!$C$40)+0.2*SIN(2*PI()*((Scenario_Data!W10)+(Inputs!$C$6))/(0.5*(Inputs!$C$39+Inputs!$C$40))))+Inputs!$C$38*SIN(2*PI()*(Scenario_Data!W10)/Inputs!$C$39)*SIN(2*PI()*(Inputs!$C$6)/Inputs!$C$40)+-Inputs!$C$41*EXP(-(((Inputs!$C$6)-Inputs!$C$43)^2)/(2*Inputs!$C$44^2))*EXP(-(((Scenario_Data!W10)-Inputs!$C$42)^2)/(2*Inputs!$C$45^2))+Inputs!$C$48*(0.7*(0.45*SIN(2*PI()*(((Scenario_Data!W10)/Inputs!$C$49)+Inputs!$C$47*0.137))+0.35*COS(2*PI()*(((Inputs!$C$6)/Inputs!$C$50)+Inputs!$C$47*0.173))+0.2*SIN(2*PI()*((((Scenario_Data!W10)+(Inputs!$C$6))/(0.5*(Inputs!$C$49+Inputs!$C$50)))+Inputs!$C$47*0.097)))+0.3*(2*((SIN(((Scenario_Data!W10)*12.9898+(Inputs!$C$6)*78.233+Inputs!$C$47*37.719))*43758.5453)-INT((SIN(((Scenario_Data!W10)*12.9898+(Inputs!$C$6)*78.233+Inputs!$C$47*37.719))*43758.5453)))-1))))/1000))*COS(SQRT((Scenario_Data!W10)^2+Inputs!$C$6^2)/Inputs!$C$52))*1000)/Inputs!$C$21*1000000</f>
        <v/>
      </c>
    </row>
    <row r="11">
      <c r="A11">
        <f>Chart_Data!K11</f>
        <v/>
      </c>
      <c r="B11">
        <f>Chart_Data!N11-Chart_Data!L11</f>
        <v/>
      </c>
      <c r="D11">
        <f>Chart_Data!G11</f>
        <v/>
      </c>
      <c r="E11">
        <f>Chart_Data!H11</f>
        <v/>
      </c>
      <c r="F11">
        <f>Chart_Data!I11</f>
        <v/>
      </c>
      <c r="G11">
        <f>Chart_Data!J11</f>
        <v/>
      </c>
      <c r="I11">
        <f>Scenario_Data!A11</f>
        <v/>
      </c>
      <c r="J11">
        <f>Scenario_Data!H11-(((SQRT((Inputs!$C$52+(Inputs!$H$6))^2+Inputs!$C$52^2-2*(Inputs!$C$52+(Inputs!$H$6))*Inputs!$C$52*COS(SQRT((Scenario_Data!T11)^2+Inputs!$C$6^2)/Inputs!$C$52)))-(Inputs!$H$6))*1000/Inputs!$C$12)</f>
        <v/>
      </c>
      <c r="K11">
        <f>Scenario_Data!I11-(((SQRT((Inputs!$C$52+(Inputs!$H$7))^2+Inputs!$C$52^2-2*(Inputs!$C$52+(Inputs!$H$7))*Inputs!$C$52*COS(SQRT((Scenario_Data!U11)^2+Inputs!$C$6^2)/Inputs!$C$52)))-(Inputs!$H$7))*1000/Inputs!$C$12)</f>
        <v/>
      </c>
      <c r="L11">
        <f>Scenario_Data!J11-(((SQRT((Inputs!$C$52+(Inputs!$H$8))^2+Inputs!$C$52^2-2*(Inputs!$C$52+(Inputs!$H$8))*Inputs!$C$52*COS(SQRT((Scenario_Data!V11)^2+Inputs!$C$6^2)/Inputs!$C$52)))-(Inputs!$H$8))*1000/Inputs!$C$12)</f>
        <v/>
      </c>
      <c r="M11">
        <f>Scenario_Data!K11-(((SQRT((Inputs!$C$52+(Inputs!$H$9))^2+Inputs!$C$52^2-2*(Inputs!$C$52+(Inputs!$H$9))*Inputs!$C$52*COS(SQRT((Scenario_Data!W11)^2+Inputs!$C$6^2)/Inputs!$C$52)))-(Inputs!$H$9))*1000/Inputs!$C$12)</f>
        <v/>
      </c>
      <c r="O11">
        <f>Scenario_Data!T11</f>
        <v/>
      </c>
      <c r="P11">
        <f>2*(Scenario_Data!B11*1000)/Inputs!$C$21*1000000</f>
        <v/>
      </c>
      <c r="Q11">
        <f>Scenario_Data!U11</f>
        <v/>
      </c>
      <c r="R11">
        <f>2*(Scenario_Data!C11*1000)/Inputs!$C$21*1000000</f>
        <v/>
      </c>
      <c r="S11">
        <f>Scenario_Data!V11</f>
        <v/>
      </c>
      <c r="T11">
        <f>2*(Scenario_Data!D11*1000)/Inputs!$C$21*1000000</f>
        <v/>
      </c>
      <c r="U11">
        <f>Scenario_Data!W11</f>
        <v/>
      </c>
      <c r="V11">
        <f>2*(Scenario_Data!E11*1000)/Inputs!$C$21*1000000</f>
        <v/>
      </c>
      <c r="X11">
        <f>Scenario_Data!T11</f>
        <v/>
      </c>
      <c r="Y11">
        <f>2*((Scenario_Data!B11*1000)-(IF(OR(Inputs!$C$27=TRUE,Inputs!$C$27="TRUE",Inputs!$C$27=1),1,0)*(Inputs!$C$51*(115*EXP(-(((0)-25)^2)/(4.5^2))+70*EXP(-(((0)+38)^2)/(7^2))*(0.55+0.45*SIN(2*PI()*(Scenario_Data!T11)/45))+24*SIN(2*PI()*(0)/9+(Scenario_Data!T11)/18)*EXP(-(((0)+5)^2)/(22^2))+18*SIN(2*PI()*(Scenario_Data!T11)/70))+Inputs!$C$28*EXP(-(((Scenario_Data!T11)-Inputs!$C$29)^2)/(2*Inputs!$C$31^2))*EXP(-(((0)-Inputs!$C$30)^2)/(2*Inputs!$C$32^2))+-Inputs!$C$33*EXP(-(((((Scenario_Data!T11)-Inputs!$C$34)^2)+(((0)-Inputs!$C$35)^2))/(2*Inputs!$C$36^2)))+Inputs!$C$37*(0.55*SIN(2*PI()*(Scenario_Data!T11)/Inputs!$C$39)+0.35*COS(2*PI()*(0)/Inputs!$C$40)+0.2*SIN(2*PI()*((Scenario_Data!T11)+(0))/(0.5*(Inputs!$C$39+Inputs!$C$40))))+Inputs!$C$38*SIN(2*PI()*(Scenario_Data!T11)/Inputs!$C$39)*SIN(2*PI()*(0)/Inputs!$C$40)+-Inputs!$C$41*EXP(-(((0)-Inputs!$C$43)^2)/(2*Inputs!$C$44^2))*EXP(-(((Scenario_Data!T11)-Inputs!$C$42)^2)/(2*Inputs!$C$45^2))+Inputs!$C$48*(0.7*(0.45*SIN(2*PI()*(((Scenario_Data!T11)/Inputs!$C$49)+Inputs!$C$47*0.137))+0.35*COS(2*PI()*(((0)/Inputs!$C$50)+Inputs!$C$47*0.173))+0.2*SIN(2*PI()*((((Scenario_Data!T11)+(0))/(0.5*(Inputs!$C$49+Inputs!$C$50)))+Inputs!$C$47*0.097)))+0.3*(2*((SIN(((Scenario_Data!T11)*12.9898+(0)*78.233+Inputs!$C$47*37.719))*43758.5453)-INT((SIN(((Scenario_Data!T11)*12.9898+(0)*78.233+Inputs!$C$47*37.719))*43758.5453)))-1)))))/Inputs!$C$21*1000000</f>
        <v/>
      </c>
      <c r="Z11">
        <f>Scenario_Data!U11</f>
        <v/>
      </c>
      <c r="AA11">
        <f>2*((Scenario_Data!C11*1000)-(IF(OR(Inputs!$C$27=TRUE,Inputs!$C$27="TRUE",Inputs!$C$27=1),1,0)*(Inputs!$C$51*(115*EXP(-(((0)-25)^2)/(4.5^2))+70*EXP(-(((0)+38)^2)/(7^2))*(0.55+0.45*SIN(2*PI()*(Scenario_Data!U11)/45))+24*SIN(2*PI()*(0)/9+(Scenario_Data!U11)/18)*EXP(-(((0)+5)^2)/(22^2))+18*SIN(2*PI()*(Scenario_Data!U11)/70))+Inputs!$C$28*EXP(-(((Scenario_Data!U11)-Inputs!$C$29)^2)/(2*Inputs!$C$31^2))*EXP(-(((0)-Inputs!$C$30)^2)/(2*Inputs!$C$32^2))+-Inputs!$C$33*EXP(-(((((Scenario_Data!U11)-Inputs!$C$34)^2)+(((0)-Inputs!$C$35)^2))/(2*Inputs!$C$36^2)))+Inputs!$C$37*(0.55*SIN(2*PI()*(Scenario_Data!U11)/Inputs!$C$39)+0.35*COS(2*PI()*(0)/Inputs!$C$40)+0.2*SIN(2*PI()*((Scenario_Data!U11)+(0))/(0.5*(Inputs!$C$39+Inputs!$C$40))))+Inputs!$C$38*SIN(2*PI()*(Scenario_Data!U11)/Inputs!$C$39)*SIN(2*PI()*(0)/Inputs!$C$40)+-Inputs!$C$41*EXP(-(((0)-Inputs!$C$43)^2)/(2*Inputs!$C$44^2))*EXP(-(((Scenario_Data!U11)-Inputs!$C$42)^2)/(2*Inputs!$C$45^2))+Inputs!$C$48*(0.7*(0.45*SIN(2*PI()*(((Scenario_Data!U11)/Inputs!$C$49)+Inputs!$C$47*0.137))+0.35*COS(2*PI()*(((0)/Inputs!$C$50)+Inputs!$C$47*0.173))+0.2*SIN(2*PI()*((((Scenario_Data!U11)+(0))/(0.5*(Inputs!$C$49+Inputs!$C$50)))+Inputs!$C$47*0.097)))+0.3*(2*((SIN(((Scenario_Data!U11)*12.9898+(0)*78.233+Inputs!$C$47*37.719))*43758.5453)-INT((SIN(((Scenario_Data!U11)*12.9898+(0)*78.233+Inputs!$C$47*37.719))*43758.5453)))-1)))))/Inputs!$C$21*1000000</f>
        <v/>
      </c>
      <c r="AB11">
        <f>Scenario_Data!V11</f>
        <v/>
      </c>
      <c r="AC11">
        <f>2*((Scenario_Data!D11*1000)-(IF(OR(Inputs!$C$27=TRUE,Inputs!$C$27="TRUE",Inputs!$C$27=1),1,0)*(Inputs!$C$51*(115*EXP(-(((0)-25)^2)/(4.5^2))+70*EXP(-(((0)+38)^2)/(7^2))*(0.55+0.45*SIN(2*PI()*(Scenario_Data!V11)/45))+24*SIN(2*PI()*(0)/9+(Scenario_Data!V11)/18)*EXP(-(((0)+5)^2)/(22^2))+18*SIN(2*PI()*(Scenario_Data!V11)/70))+Inputs!$C$28*EXP(-(((Scenario_Data!V11)-Inputs!$C$29)^2)/(2*Inputs!$C$31^2))*EXP(-(((0)-Inputs!$C$30)^2)/(2*Inputs!$C$32^2))+-Inputs!$C$33*EXP(-(((((Scenario_Data!V11)-Inputs!$C$34)^2)+(((0)-Inputs!$C$35)^2))/(2*Inputs!$C$36^2)))+Inputs!$C$37*(0.55*SIN(2*PI()*(Scenario_Data!V11)/Inputs!$C$39)+0.35*COS(2*PI()*(0)/Inputs!$C$40)+0.2*SIN(2*PI()*((Scenario_Data!V11)+(0))/(0.5*(Inputs!$C$39+Inputs!$C$40))))+Inputs!$C$38*SIN(2*PI()*(Scenario_Data!V11)/Inputs!$C$39)*SIN(2*PI()*(0)/Inputs!$C$40)+-Inputs!$C$41*EXP(-(((0)-Inputs!$C$43)^2)/(2*Inputs!$C$44^2))*EXP(-(((Scenario_Data!V11)-Inputs!$C$42)^2)/(2*Inputs!$C$45^2))+Inputs!$C$48*(0.7*(0.45*SIN(2*PI()*(((Scenario_Data!V11)/Inputs!$C$49)+Inputs!$C$47*0.137))+0.35*COS(2*PI()*(((0)/Inputs!$C$50)+Inputs!$C$47*0.173))+0.2*SIN(2*PI()*((((Scenario_Data!V11)+(0))/(0.5*(Inputs!$C$49+Inputs!$C$50)))+Inputs!$C$47*0.097)))+0.3*(2*((SIN(((Scenario_Data!V11)*12.9898+(0)*78.233+Inputs!$C$47*37.719))*43758.5453)-INT((SIN(((Scenario_Data!V11)*12.9898+(0)*78.233+Inputs!$C$47*37.719))*43758.5453)))-1)))))/Inputs!$C$21*1000000</f>
        <v/>
      </c>
      <c r="AD11">
        <f>Scenario_Data!W11</f>
        <v/>
      </c>
      <c r="AE11">
        <f>2*((Scenario_Data!E11*1000)-(IF(OR(Inputs!$C$27=TRUE,Inputs!$C$27="TRUE",Inputs!$C$27=1),1,0)*(Inputs!$C$51*(115*EXP(-(((0)-25)^2)/(4.5^2))+70*EXP(-(((0)+38)^2)/(7^2))*(0.55+0.45*SIN(2*PI()*(Scenario_Data!W11)/45))+24*SIN(2*PI()*(0)/9+(Scenario_Data!W11)/18)*EXP(-(((0)+5)^2)/(22^2))+18*SIN(2*PI()*(Scenario_Data!W11)/70))+Inputs!$C$28*EXP(-(((Scenario_Data!W11)-Inputs!$C$29)^2)/(2*Inputs!$C$31^2))*EXP(-(((0)-Inputs!$C$30)^2)/(2*Inputs!$C$32^2))+-Inputs!$C$33*EXP(-(((((Scenario_Data!W11)-Inputs!$C$34)^2)+(((0)-Inputs!$C$35)^2))/(2*Inputs!$C$36^2)))+Inputs!$C$37*(0.55*SIN(2*PI()*(Scenario_Data!W11)/Inputs!$C$39)+0.35*COS(2*PI()*(0)/Inputs!$C$40)+0.2*SIN(2*PI()*((Scenario_Data!W11)+(0))/(0.5*(Inputs!$C$39+Inputs!$C$40))))+Inputs!$C$38*SIN(2*PI()*(Scenario_Data!W11)/Inputs!$C$39)*SIN(2*PI()*(0)/Inputs!$C$40)+-Inputs!$C$41*EXP(-(((0)-Inputs!$C$43)^2)/(2*Inputs!$C$44^2))*EXP(-(((Scenario_Data!W11)-Inputs!$C$42)^2)/(2*Inputs!$C$45^2))+Inputs!$C$48*(0.7*(0.45*SIN(2*PI()*(((Scenario_Data!W11)/Inputs!$C$49)+Inputs!$C$47*0.137))+0.35*COS(2*PI()*(((0)/Inputs!$C$50)+Inputs!$C$47*0.173))+0.2*SIN(2*PI()*((((Scenario_Data!W11)+(0))/(0.5*(Inputs!$C$49+Inputs!$C$50)))+Inputs!$C$47*0.097)))+0.3*(2*((SIN(((Scenario_Data!W11)*12.9898+(0)*78.233+Inputs!$C$47*37.719))*43758.5453)-INT((SIN(((Scenario_Data!W11)*12.9898+(0)*78.233+Inputs!$C$47*37.719))*43758.5453)))-1)))))/Inputs!$C$21*1000000</f>
        <v/>
      </c>
      <c r="AG11">
        <f>Scenario_Data!T11</f>
        <v/>
      </c>
      <c r="AH11">
        <f>2*(SQRT((Inputs!$C$52+(Scenario_Data!B11))^2+Inputs!$C$52^2-2*(Inputs!$C$52+(Scenario_Data!B11))*Inputs!$C$52*COS(SQRT((Scenario_Data!T11)^2+Inputs!$C$6^2)/Inputs!$C$52))*1000)/Inputs!$C$21*1000000</f>
        <v/>
      </c>
      <c r="AI11">
        <f>Scenario_Data!U11</f>
        <v/>
      </c>
      <c r="AJ11">
        <f>2*(SQRT((Inputs!$C$52+(Scenario_Data!C11))^2+Inputs!$C$52^2-2*(Inputs!$C$52+(Scenario_Data!C11))*Inputs!$C$52*COS(SQRT((Scenario_Data!U11)^2+Inputs!$C$6^2)/Inputs!$C$52))*1000)/Inputs!$C$21*1000000</f>
        <v/>
      </c>
      <c r="AK11">
        <f>Scenario_Data!V11</f>
        <v/>
      </c>
      <c r="AL11">
        <f>2*(SQRT((Inputs!$C$52+(Scenario_Data!D11))^2+Inputs!$C$52^2-2*(Inputs!$C$52+(Scenario_Data!D11))*Inputs!$C$52*COS(SQRT((Scenario_Data!V11)^2+Inputs!$C$6^2)/Inputs!$C$52))*1000)/Inputs!$C$21*1000000</f>
        <v/>
      </c>
      <c r="AM11">
        <f>Scenario_Data!W11</f>
        <v/>
      </c>
      <c r="AN11">
        <f>2*(SQRT((Inputs!$C$52+(Scenario_Data!E11))^2+Inputs!$C$52^2-2*(Inputs!$C$52+(Scenario_Data!E11))*Inputs!$C$52*COS(SQRT((Scenario_Data!W11)^2+Inputs!$C$6^2)/Inputs!$C$52))*1000)/Inputs!$C$21*1000000</f>
        <v/>
      </c>
      <c r="AP11">
        <f>Scenario_Data!T11</f>
        <v/>
      </c>
      <c r="AQ11">
        <f>2*(SQRT((Inputs!$C$52+(Scenario_Data!B11))^2+(Inputs!$C$52+((IF(OR(Inputs!$C$27=TRUE,Inputs!$C$27="TRUE",Inputs!$C$27=1),1,0)*(Inputs!$C$51*(115*EXP(-(((Inputs!$C$6)-25)^2)/(4.5^2))+70*EXP(-(((Inputs!$C$6)+38)^2)/(7^2))*(0.55+0.45*SIN(2*PI()*(Scenario_Data!T11)/45))+24*SIN(2*PI()*(Inputs!$C$6)/9+(Scenario_Data!T11)/18)*EXP(-(((Inputs!$C$6)+5)^2)/(22^2))+18*SIN(2*PI()*(Scenario_Data!T11)/70))+Inputs!$C$28*EXP(-(((Scenario_Data!T11)-Inputs!$C$29)^2)/(2*Inputs!$C$31^2))*EXP(-(((Inputs!$C$6)-Inputs!$C$30)^2)/(2*Inputs!$C$32^2))+-Inputs!$C$33*EXP(-(((((Scenario_Data!T11)-Inputs!$C$34)^2)+(((Inputs!$C$6)-Inputs!$C$35)^2))/(2*Inputs!$C$36^2)))+Inputs!$C$37*(0.55*SIN(2*PI()*(Scenario_Data!T11)/Inputs!$C$39)+0.35*COS(2*PI()*(Inputs!$C$6)/Inputs!$C$40)+0.2*SIN(2*PI()*((Scenario_Data!T11)+(Inputs!$C$6))/(0.5*(Inputs!$C$39+Inputs!$C$40))))+Inputs!$C$38*SIN(2*PI()*(Scenario_Data!T11)/Inputs!$C$39)*SIN(2*PI()*(Inputs!$C$6)/Inputs!$C$40)+-Inputs!$C$41*EXP(-(((Inputs!$C$6)-Inputs!$C$43)^2)/(2*Inputs!$C$44^2))*EXP(-(((Scenario_Data!T11)-Inputs!$C$42)^2)/(2*Inputs!$C$45^2))+Inputs!$C$48*(0.7*(0.45*SIN(2*PI()*(((Scenario_Data!T11)/Inputs!$C$49)+Inputs!$C$47*0.137))+0.35*COS(2*PI()*(((Inputs!$C$6)/Inputs!$C$50)+Inputs!$C$47*0.173))+0.2*SIN(2*PI()*((((Scenario_Data!T11)+(Inputs!$C$6))/(0.5*(Inputs!$C$49+Inputs!$C$50)))+Inputs!$C$47*0.097)))+0.3*(2*((SIN(((Scenario_Data!T11)*12.9898+(Inputs!$C$6)*78.233+Inputs!$C$47*37.719))*43758.5453)-INT((SIN(((Scenario_Data!T11)*12.9898+(Inputs!$C$6)*78.233+Inputs!$C$47*37.719))*43758.5453)))-1))))/1000))^2-2*(Inputs!$C$52+(Scenario_Data!B11))*(Inputs!$C$52+((IF(OR(Inputs!$C$27=TRUE,Inputs!$C$27="TRUE",Inputs!$C$27=1),1,0)*(Inputs!$C$51*(115*EXP(-(((Inputs!$C$6)-25)^2)/(4.5^2))+70*EXP(-(((Inputs!$C$6)+38)^2)/(7^2))*(0.55+0.45*SIN(2*PI()*(Scenario_Data!T11)/45))+24*SIN(2*PI()*(Inputs!$C$6)/9+(Scenario_Data!T11)/18)*EXP(-(((Inputs!$C$6)+5)^2)/(22^2))+18*SIN(2*PI()*(Scenario_Data!T11)/70))+Inputs!$C$28*EXP(-(((Scenario_Data!T11)-Inputs!$C$29)^2)/(2*Inputs!$C$31^2))*EXP(-(((Inputs!$C$6)-Inputs!$C$30)^2)/(2*Inputs!$C$32^2))+-Inputs!$C$33*EXP(-(((((Scenario_Data!T11)-Inputs!$C$34)^2)+(((Inputs!$C$6)-Inputs!$C$35)^2))/(2*Inputs!$C$36^2)))+Inputs!$C$37*(0.55*SIN(2*PI()*(Scenario_Data!T11)/Inputs!$C$39)+0.35*COS(2*PI()*(Inputs!$C$6)/Inputs!$C$40)+0.2*SIN(2*PI()*((Scenario_Data!T11)+(Inputs!$C$6))/(0.5*(Inputs!$C$39+Inputs!$C$40))))+Inputs!$C$38*SIN(2*PI()*(Scenario_Data!T11)/Inputs!$C$39)*SIN(2*PI()*(Inputs!$C$6)/Inputs!$C$40)+-Inputs!$C$41*EXP(-(((Inputs!$C$6)-Inputs!$C$43)^2)/(2*Inputs!$C$44^2))*EXP(-(((Scenario_Data!T11)-Inputs!$C$42)^2)/(2*Inputs!$C$45^2))+Inputs!$C$48*(0.7*(0.45*SIN(2*PI()*(((Scenario_Data!T11)/Inputs!$C$49)+Inputs!$C$47*0.137))+0.35*COS(2*PI()*(((Inputs!$C$6)/Inputs!$C$50)+Inputs!$C$47*0.173))+0.2*SIN(2*PI()*((((Scenario_Data!T11)+(Inputs!$C$6))/(0.5*(Inputs!$C$49+Inputs!$C$50)))+Inputs!$C$47*0.097)))+0.3*(2*((SIN(((Scenario_Data!T11)*12.9898+(Inputs!$C$6)*78.233+Inputs!$C$47*37.719))*43758.5453)-INT((SIN(((Scenario_Data!T11)*12.9898+(Inputs!$C$6)*78.233+Inputs!$C$47*37.719))*43758.5453)))-1))))/1000))*COS(SQRT((Scenario_Data!T11)^2+Inputs!$C$6^2)/Inputs!$C$52))*1000)/Inputs!$C$21*1000000</f>
        <v/>
      </c>
      <c r="AR11">
        <f>Scenario_Data!U11</f>
        <v/>
      </c>
      <c r="AS11">
        <f>2*(SQRT((Inputs!$C$52+(Scenario_Data!C11))^2+(Inputs!$C$52+((IF(OR(Inputs!$C$27=TRUE,Inputs!$C$27="TRUE",Inputs!$C$27=1),1,0)*(Inputs!$C$51*(115*EXP(-(((Inputs!$C$6)-25)^2)/(4.5^2))+70*EXP(-(((Inputs!$C$6)+38)^2)/(7^2))*(0.55+0.45*SIN(2*PI()*(Scenario_Data!U11)/45))+24*SIN(2*PI()*(Inputs!$C$6)/9+(Scenario_Data!U11)/18)*EXP(-(((Inputs!$C$6)+5)^2)/(22^2))+18*SIN(2*PI()*(Scenario_Data!U11)/70))+Inputs!$C$28*EXP(-(((Scenario_Data!U11)-Inputs!$C$29)^2)/(2*Inputs!$C$31^2))*EXP(-(((Inputs!$C$6)-Inputs!$C$30)^2)/(2*Inputs!$C$32^2))+-Inputs!$C$33*EXP(-(((((Scenario_Data!U11)-Inputs!$C$34)^2)+(((Inputs!$C$6)-Inputs!$C$35)^2))/(2*Inputs!$C$36^2)))+Inputs!$C$37*(0.55*SIN(2*PI()*(Scenario_Data!U11)/Inputs!$C$39)+0.35*COS(2*PI()*(Inputs!$C$6)/Inputs!$C$40)+0.2*SIN(2*PI()*((Scenario_Data!U11)+(Inputs!$C$6))/(0.5*(Inputs!$C$39+Inputs!$C$40))))+Inputs!$C$38*SIN(2*PI()*(Scenario_Data!U11)/Inputs!$C$39)*SIN(2*PI()*(Inputs!$C$6)/Inputs!$C$40)+-Inputs!$C$41*EXP(-(((Inputs!$C$6)-Inputs!$C$43)^2)/(2*Inputs!$C$44^2))*EXP(-(((Scenario_Data!U11)-Inputs!$C$42)^2)/(2*Inputs!$C$45^2))+Inputs!$C$48*(0.7*(0.45*SIN(2*PI()*(((Scenario_Data!U11)/Inputs!$C$49)+Inputs!$C$47*0.137))+0.35*COS(2*PI()*(((Inputs!$C$6)/Inputs!$C$50)+Inputs!$C$47*0.173))+0.2*SIN(2*PI()*((((Scenario_Data!U11)+(Inputs!$C$6))/(0.5*(Inputs!$C$49+Inputs!$C$50)))+Inputs!$C$47*0.097)))+0.3*(2*((SIN(((Scenario_Data!U11)*12.9898+(Inputs!$C$6)*78.233+Inputs!$C$47*37.719))*43758.5453)-INT((SIN(((Scenario_Data!U11)*12.9898+(Inputs!$C$6)*78.233+Inputs!$C$47*37.719))*43758.5453)))-1))))/1000))^2-2*(Inputs!$C$52+(Scenario_Data!C11))*(Inputs!$C$52+((IF(OR(Inputs!$C$27=TRUE,Inputs!$C$27="TRUE",Inputs!$C$27=1),1,0)*(Inputs!$C$51*(115*EXP(-(((Inputs!$C$6)-25)^2)/(4.5^2))+70*EXP(-(((Inputs!$C$6)+38)^2)/(7^2))*(0.55+0.45*SIN(2*PI()*(Scenario_Data!U11)/45))+24*SIN(2*PI()*(Inputs!$C$6)/9+(Scenario_Data!U11)/18)*EXP(-(((Inputs!$C$6)+5)^2)/(22^2))+18*SIN(2*PI()*(Scenario_Data!U11)/70))+Inputs!$C$28*EXP(-(((Scenario_Data!U11)-Inputs!$C$29)^2)/(2*Inputs!$C$31^2))*EXP(-(((Inputs!$C$6)-Inputs!$C$30)^2)/(2*Inputs!$C$32^2))+-Inputs!$C$33*EXP(-(((((Scenario_Data!U11)-Inputs!$C$34)^2)+(((Inputs!$C$6)-Inputs!$C$35)^2))/(2*Inputs!$C$36^2)))+Inputs!$C$37*(0.55*SIN(2*PI()*(Scenario_Data!U11)/Inputs!$C$39)+0.35*COS(2*PI()*(Inputs!$C$6)/Inputs!$C$40)+0.2*SIN(2*PI()*((Scenario_Data!U11)+(Inputs!$C$6))/(0.5*(Inputs!$C$39+Inputs!$C$40))))+Inputs!$C$38*SIN(2*PI()*(Scenario_Data!U11)/Inputs!$C$39)*SIN(2*PI()*(Inputs!$C$6)/Inputs!$C$40)+-Inputs!$C$41*EXP(-(((Inputs!$C$6)-Inputs!$C$43)^2)/(2*Inputs!$C$44^2))*EXP(-(((Scenario_Data!U11)-Inputs!$C$42)^2)/(2*Inputs!$C$45^2))+Inputs!$C$48*(0.7*(0.45*SIN(2*PI()*(((Scenario_Data!U11)/Inputs!$C$49)+Inputs!$C$47*0.137))+0.35*COS(2*PI()*(((Inputs!$C$6)/Inputs!$C$50)+Inputs!$C$47*0.173))+0.2*SIN(2*PI()*((((Scenario_Data!U11)+(Inputs!$C$6))/(0.5*(Inputs!$C$49+Inputs!$C$50)))+Inputs!$C$47*0.097)))+0.3*(2*((SIN(((Scenario_Data!U11)*12.9898+(Inputs!$C$6)*78.233+Inputs!$C$47*37.719))*43758.5453)-INT((SIN(((Scenario_Data!U11)*12.9898+(Inputs!$C$6)*78.233+Inputs!$C$47*37.719))*43758.5453)))-1))))/1000))*COS(SQRT((Scenario_Data!U11)^2+Inputs!$C$6^2)/Inputs!$C$52))*1000)/Inputs!$C$21*1000000</f>
        <v/>
      </c>
      <c r="AT11">
        <f>Scenario_Data!V11</f>
        <v/>
      </c>
      <c r="AU11">
        <f>2*(SQRT((Inputs!$C$52+(Scenario_Data!D11))^2+(Inputs!$C$52+((IF(OR(Inputs!$C$27=TRUE,Inputs!$C$27="TRUE",Inputs!$C$27=1),1,0)*(Inputs!$C$51*(115*EXP(-(((Inputs!$C$6)-25)^2)/(4.5^2))+70*EXP(-(((Inputs!$C$6)+38)^2)/(7^2))*(0.55+0.45*SIN(2*PI()*(Scenario_Data!V11)/45))+24*SIN(2*PI()*(Inputs!$C$6)/9+(Scenario_Data!V11)/18)*EXP(-(((Inputs!$C$6)+5)^2)/(22^2))+18*SIN(2*PI()*(Scenario_Data!V11)/70))+Inputs!$C$28*EXP(-(((Scenario_Data!V11)-Inputs!$C$29)^2)/(2*Inputs!$C$31^2))*EXP(-(((Inputs!$C$6)-Inputs!$C$30)^2)/(2*Inputs!$C$32^2))+-Inputs!$C$33*EXP(-(((((Scenario_Data!V11)-Inputs!$C$34)^2)+(((Inputs!$C$6)-Inputs!$C$35)^2))/(2*Inputs!$C$36^2)))+Inputs!$C$37*(0.55*SIN(2*PI()*(Scenario_Data!V11)/Inputs!$C$39)+0.35*COS(2*PI()*(Inputs!$C$6)/Inputs!$C$40)+0.2*SIN(2*PI()*((Scenario_Data!V11)+(Inputs!$C$6))/(0.5*(Inputs!$C$39+Inputs!$C$40))))+Inputs!$C$38*SIN(2*PI()*(Scenario_Data!V11)/Inputs!$C$39)*SIN(2*PI()*(Inputs!$C$6)/Inputs!$C$40)+-Inputs!$C$41*EXP(-(((Inputs!$C$6)-Inputs!$C$43)^2)/(2*Inputs!$C$44^2))*EXP(-(((Scenario_Data!V11)-Inputs!$C$42)^2)/(2*Inputs!$C$45^2))+Inputs!$C$48*(0.7*(0.45*SIN(2*PI()*(((Scenario_Data!V11)/Inputs!$C$49)+Inputs!$C$47*0.137))+0.35*COS(2*PI()*(((Inputs!$C$6)/Inputs!$C$50)+Inputs!$C$47*0.173))+0.2*SIN(2*PI()*((((Scenario_Data!V11)+(Inputs!$C$6))/(0.5*(Inputs!$C$49+Inputs!$C$50)))+Inputs!$C$47*0.097)))+0.3*(2*((SIN(((Scenario_Data!V11)*12.9898+(Inputs!$C$6)*78.233+Inputs!$C$47*37.719))*43758.5453)-INT((SIN(((Scenario_Data!V11)*12.9898+(Inputs!$C$6)*78.233+Inputs!$C$47*37.719))*43758.5453)))-1))))/1000))^2-2*(Inputs!$C$52+(Scenario_Data!D11))*(Inputs!$C$52+((IF(OR(Inputs!$C$27=TRUE,Inputs!$C$27="TRUE",Inputs!$C$27=1),1,0)*(Inputs!$C$51*(115*EXP(-(((Inputs!$C$6)-25)^2)/(4.5^2))+70*EXP(-(((Inputs!$C$6)+38)^2)/(7^2))*(0.55+0.45*SIN(2*PI()*(Scenario_Data!V11)/45))+24*SIN(2*PI()*(Inputs!$C$6)/9+(Scenario_Data!V11)/18)*EXP(-(((Inputs!$C$6)+5)^2)/(22^2))+18*SIN(2*PI()*(Scenario_Data!V11)/70))+Inputs!$C$28*EXP(-(((Scenario_Data!V11)-Inputs!$C$29)^2)/(2*Inputs!$C$31^2))*EXP(-(((Inputs!$C$6)-Inputs!$C$30)^2)/(2*Inputs!$C$32^2))+-Inputs!$C$33*EXP(-(((((Scenario_Data!V11)-Inputs!$C$34)^2)+(((Inputs!$C$6)-Inputs!$C$35)^2))/(2*Inputs!$C$36^2)))+Inputs!$C$37*(0.55*SIN(2*PI()*(Scenario_Data!V11)/Inputs!$C$39)+0.35*COS(2*PI()*(Inputs!$C$6)/Inputs!$C$40)+0.2*SIN(2*PI()*((Scenario_Data!V11)+(Inputs!$C$6))/(0.5*(Inputs!$C$39+Inputs!$C$40))))+Inputs!$C$38*SIN(2*PI()*(Scenario_Data!V11)/Inputs!$C$39)*SIN(2*PI()*(Inputs!$C$6)/Inputs!$C$40)+-Inputs!$C$41*EXP(-(((Inputs!$C$6)-Inputs!$C$43)^2)/(2*Inputs!$C$44^2))*EXP(-(((Scenario_Data!V11)-Inputs!$C$42)^2)/(2*Inputs!$C$45^2))+Inputs!$C$48*(0.7*(0.45*SIN(2*PI()*(((Scenario_Data!V11)/Inputs!$C$49)+Inputs!$C$47*0.137))+0.35*COS(2*PI()*(((Inputs!$C$6)/Inputs!$C$50)+Inputs!$C$47*0.173))+0.2*SIN(2*PI()*((((Scenario_Data!V11)+(Inputs!$C$6))/(0.5*(Inputs!$C$49+Inputs!$C$50)))+Inputs!$C$47*0.097)))+0.3*(2*((SIN(((Scenario_Data!V11)*12.9898+(Inputs!$C$6)*78.233+Inputs!$C$47*37.719))*43758.5453)-INT((SIN(((Scenario_Data!V11)*12.9898+(Inputs!$C$6)*78.233+Inputs!$C$47*37.719))*43758.5453)))-1))))/1000))*COS(SQRT((Scenario_Data!V11)^2+Inputs!$C$6^2)/Inputs!$C$52))*1000)/Inputs!$C$21*1000000</f>
        <v/>
      </c>
      <c r="AV11">
        <f>Scenario_Data!W11</f>
        <v/>
      </c>
      <c r="AW11">
        <f>2*(SQRT((Inputs!$C$52+(Scenario_Data!E11))^2+(Inputs!$C$52+((IF(OR(Inputs!$C$27=TRUE,Inputs!$C$27="TRUE",Inputs!$C$27=1),1,0)*(Inputs!$C$51*(115*EXP(-(((Inputs!$C$6)-25)^2)/(4.5^2))+70*EXP(-(((Inputs!$C$6)+38)^2)/(7^2))*(0.55+0.45*SIN(2*PI()*(Scenario_Data!W11)/45))+24*SIN(2*PI()*(Inputs!$C$6)/9+(Scenario_Data!W11)/18)*EXP(-(((Inputs!$C$6)+5)^2)/(22^2))+18*SIN(2*PI()*(Scenario_Data!W11)/70))+Inputs!$C$28*EXP(-(((Scenario_Data!W11)-Inputs!$C$29)^2)/(2*Inputs!$C$31^2))*EXP(-(((Inputs!$C$6)-Inputs!$C$30)^2)/(2*Inputs!$C$32^2))+-Inputs!$C$33*EXP(-(((((Scenario_Data!W11)-Inputs!$C$34)^2)+(((Inputs!$C$6)-Inputs!$C$35)^2))/(2*Inputs!$C$36^2)))+Inputs!$C$37*(0.55*SIN(2*PI()*(Scenario_Data!W11)/Inputs!$C$39)+0.35*COS(2*PI()*(Inputs!$C$6)/Inputs!$C$40)+0.2*SIN(2*PI()*((Scenario_Data!W11)+(Inputs!$C$6))/(0.5*(Inputs!$C$39+Inputs!$C$40))))+Inputs!$C$38*SIN(2*PI()*(Scenario_Data!W11)/Inputs!$C$39)*SIN(2*PI()*(Inputs!$C$6)/Inputs!$C$40)+-Inputs!$C$41*EXP(-(((Inputs!$C$6)-Inputs!$C$43)^2)/(2*Inputs!$C$44^2))*EXP(-(((Scenario_Data!W11)-Inputs!$C$42)^2)/(2*Inputs!$C$45^2))+Inputs!$C$48*(0.7*(0.45*SIN(2*PI()*(((Scenario_Data!W11)/Inputs!$C$49)+Inputs!$C$47*0.137))+0.35*COS(2*PI()*(((Inputs!$C$6)/Inputs!$C$50)+Inputs!$C$47*0.173))+0.2*SIN(2*PI()*((((Scenario_Data!W11)+(Inputs!$C$6))/(0.5*(Inputs!$C$49+Inputs!$C$50)))+Inputs!$C$47*0.097)))+0.3*(2*((SIN(((Scenario_Data!W11)*12.9898+(Inputs!$C$6)*78.233+Inputs!$C$47*37.719))*43758.5453)-INT((SIN(((Scenario_Data!W11)*12.9898+(Inputs!$C$6)*78.233+Inputs!$C$47*37.719))*43758.5453)))-1))))/1000))^2-2*(Inputs!$C$52+(Scenario_Data!E11))*(Inputs!$C$52+((IF(OR(Inputs!$C$27=TRUE,Inputs!$C$27="TRUE",Inputs!$C$27=1),1,0)*(Inputs!$C$51*(115*EXP(-(((Inputs!$C$6)-25)^2)/(4.5^2))+70*EXP(-(((Inputs!$C$6)+38)^2)/(7^2))*(0.55+0.45*SIN(2*PI()*(Scenario_Data!W11)/45))+24*SIN(2*PI()*(Inputs!$C$6)/9+(Scenario_Data!W11)/18)*EXP(-(((Inputs!$C$6)+5)^2)/(22^2))+18*SIN(2*PI()*(Scenario_Data!W11)/70))+Inputs!$C$28*EXP(-(((Scenario_Data!W11)-Inputs!$C$29)^2)/(2*Inputs!$C$31^2))*EXP(-(((Inputs!$C$6)-Inputs!$C$30)^2)/(2*Inputs!$C$32^2))+-Inputs!$C$33*EXP(-(((((Scenario_Data!W11)-Inputs!$C$34)^2)+(((Inputs!$C$6)-Inputs!$C$35)^2))/(2*Inputs!$C$36^2)))+Inputs!$C$37*(0.55*SIN(2*PI()*(Scenario_Data!W11)/Inputs!$C$39)+0.35*COS(2*PI()*(Inputs!$C$6)/Inputs!$C$40)+0.2*SIN(2*PI()*((Scenario_Data!W11)+(Inputs!$C$6))/(0.5*(Inputs!$C$39+Inputs!$C$40))))+Inputs!$C$38*SIN(2*PI()*(Scenario_Data!W11)/Inputs!$C$39)*SIN(2*PI()*(Inputs!$C$6)/Inputs!$C$40)+-Inputs!$C$41*EXP(-(((Inputs!$C$6)-Inputs!$C$43)^2)/(2*Inputs!$C$44^2))*EXP(-(((Scenario_Data!W11)-Inputs!$C$42)^2)/(2*Inputs!$C$45^2))+Inputs!$C$48*(0.7*(0.45*SIN(2*PI()*(((Scenario_Data!W11)/Inputs!$C$49)+Inputs!$C$47*0.137))+0.35*COS(2*PI()*(((Inputs!$C$6)/Inputs!$C$50)+Inputs!$C$47*0.173))+0.2*SIN(2*PI()*((((Scenario_Data!W11)+(Inputs!$C$6))/(0.5*(Inputs!$C$49+Inputs!$C$50)))+Inputs!$C$47*0.097)))+0.3*(2*((SIN(((Scenario_Data!W11)*12.9898+(Inputs!$C$6)*78.233+Inputs!$C$47*37.719))*43758.5453)-INT((SIN(((Scenario_Data!W11)*12.9898+(Inputs!$C$6)*78.233+Inputs!$C$47*37.719))*43758.5453)))-1))))/1000))*COS(SQRT((Scenario_Data!W11)^2+Inputs!$C$6^2)/Inputs!$C$52))*1000)/Inputs!$C$21*1000000</f>
        <v/>
      </c>
    </row>
    <row r="12">
      <c r="A12">
        <f>Chart_Data!K12</f>
        <v/>
      </c>
      <c r="B12">
        <f>Chart_Data!N12-Chart_Data!L12</f>
        <v/>
      </c>
      <c r="D12">
        <f>Chart_Data!G12</f>
        <v/>
      </c>
      <c r="E12">
        <f>Chart_Data!H12</f>
        <v/>
      </c>
      <c r="F12">
        <f>Chart_Data!I12</f>
        <v/>
      </c>
      <c r="G12">
        <f>Chart_Data!J12</f>
        <v/>
      </c>
      <c r="I12">
        <f>Scenario_Data!A12</f>
        <v/>
      </c>
      <c r="J12">
        <f>Scenario_Data!H12-(((SQRT((Inputs!$C$52+(Inputs!$H$6))^2+Inputs!$C$52^2-2*(Inputs!$C$52+(Inputs!$H$6))*Inputs!$C$52*COS(SQRT((Scenario_Data!T12)^2+Inputs!$C$6^2)/Inputs!$C$52)))-(Inputs!$H$6))*1000/Inputs!$C$12)</f>
        <v/>
      </c>
      <c r="K12">
        <f>Scenario_Data!I12-(((SQRT((Inputs!$C$52+(Inputs!$H$7))^2+Inputs!$C$52^2-2*(Inputs!$C$52+(Inputs!$H$7))*Inputs!$C$52*COS(SQRT((Scenario_Data!U12)^2+Inputs!$C$6^2)/Inputs!$C$52)))-(Inputs!$H$7))*1000/Inputs!$C$12)</f>
        <v/>
      </c>
      <c r="L12">
        <f>Scenario_Data!J12-(((SQRT((Inputs!$C$52+(Inputs!$H$8))^2+Inputs!$C$52^2-2*(Inputs!$C$52+(Inputs!$H$8))*Inputs!$C$52*COS(SQRT((Scenario_Data!V12)^2+Inputs!$C$6^2)/Inputs!$C$52)))-(Inputs!$H$8))*1000/Inputs!$C$12)</f>
        <v/>
      </c>
      <c r="M12">
        <f>Scenario_Data!K12-(((SQRT((Inputs!$C$52+(Inputs!$H$9))^2+Inputs!$C$52^2-2*(Inputs!$C$52+(Inputs!$H$9))*Inputs!$C$52*COS(SQRT((Scenario_Data!W12)^2+Inputs!$C$6^2)/Inputs!$C$52)))-(Inputs!$H$9))*1000/Inputs!$C$12)</f>
        <v/>
      </c>
      <c r="O12">
        <f>Scenario_Data!T12</f>
        <v/>
      </c>
      <c r="P12">
        <f>2*(Scenario_Data!B12*1000)/Inputs!$C$21*1000000</f>
        <v/>
      </c>
      <c r="Q12">
        <f>Scenario_Data!U12</f>
        <v/>
      </c>
      <c r="R12">
        <f>2*(Scenario_Data!C12*1000)/Inputs!$C$21*1000000</f>
        <v/>
      </c>
      <c r="S12">
        <f>Scenario_Data!V12</f>
        <v/>
      </c>
      <c r="T12">
        <f>2*(Scenario_Data!D12*1000)/Inputs!$C$21*1000000</f>
        <v/>
      </c>
      <c r="U12">
        <f>Scenario_Data!W12</f>
        <v/>
      </c>
      <c r="V12">
        <f>2*(Scenario_Data!E12*1000)/Inputs!$C$21*1000000</f>
        <v/>
      </c>
      <c r="X12">
        <f>Scenario_Data!T12</f>
        <v/>
      </c>
      <c r="Y12">
        <f>2*((Scenario_Data!B12*1000)-(IF(OR(Inputs!$C$27=TRUE,Inputs!$C$27="TRUE",Inputs!$C$27=1),1,0)*(Inputs!$C$51*(115*EXP(-(((0)-25)^2)/(4.5^2))+70*EXP(-(((0)+38)^2)/(7^2))*(0.55+0.45*SIN(2*PI()*(Scenario_Data!T12)/45))+24*SIN(2*PI()*(0)/9+(Scenario_Data!T12)/18)*EXP(-(((0)+5)^2)/(22^2))+18*SIN(2*PI()*(Scenario_Data!T12)/70))+Inputs!$C$28*EXP(-(((Scenario_Data!T12)-Inputs!$C$29)^2)/(2*Inputs!$C$31^2))*EXP(-(((0)-Inputs!$C$30)^2)/(2*Inputs!$C$32^2))+-Inputs!$C$33*EXP(-(((((Scenario_Data!T12)-Inputs!$C$34)^2)+(((0)-Inputs!$C$35)^2))/(2*Inputs!$C$36^2)))+Inputs!$C$37*(0.55*SIN(2*PI()*(Scenario_Data!T12)/Inputs!$C$39)+0.35*COS(2*PI()*(0)/Inputs!$C$40)+0.2*SIN(2*PI()*((Scenario_Data!T12)+(0))/(0.5*(Inputs!$C$39+Inputs!$C$40))))+Inputs!$C$38*SIN(2*PI()*(Scenario_Data!T12)/Inputs!$C$39)*SIN(2*PI()*(0)/Inputs!$C$40)+-Inputs!$C$41*EXP(-(((0)-Inputs!$C$43)^2)/(2*Inputs!$C$44^2))*EXP(-(((Scenario_Data!T12)-Inputs!$C$42)^2)/(2*Inputs!$C$45^2))+Inputs!$C$48*(0.7*(0.45*SIN(2*PI()*(((Scenario_Data!T12)/Inputs!$C$49)+Inputs!$C$47*0.137))+0.35*COS(2*PI()*(((0)/Inputs!$C$50)+Inputs!$C$47*0.173))+0.2*SIN(2*PI()*((((Scenario_Data!T12)+(0))/(0.5*(Inputs!$C$49+Inputs!$C$50)))+Inputs!$C$47*0.097)))+0.3*(2*((SIN(((Scenario_Data!T12)*12.9898+(0)*78.233+Inputs!$C$47*37.719))*43758.5453)-INT((SIN(((Scenario_Data!T12)*12.9898+(0)*78.233+Inputs!$C$47*37.719))*43758.5453)))-1)))))/Inputs!$C$21*1000000</f>
        <v/>
      </c>
      <c r="Z12">
        <f>Scenario_Data!U12</f>
        <v/>
      </c>
      <c r="AA12">
        <f>2*((Scenario_Data!C12*1000)-(IF(OR(Inputs!$C$27=TRUE,Inputs!$C$27="TRUE",Inputs!$C$27=1),1,0)*(Inputs!$C$51*(115*EXP(-(((0)-25)^2)/(4.5^2))+70*EXP(-(((0)+38)^2)/(7^2))*(0.55+0.45*SIN(2*PI()*(Scenario_Data!U12)/45))+24*SIN(2*PI()*(0)/9+(Scenario_Data!U12)/18)*EXP(-(((0)+5)^2)/(22^2))+18*SIN(2*PI()*(Scenario_Data!U12)/70))+Inputs!$C$28*EXP(-(((Scenario_Data!U12)-Inputs!$C$29)^2)/(2*Inputs!$C$31^2))*EXP(-(((0)-Inputs!$C$30)^2)/(2*Inputs!$C$32^2))+-Inputs!$C$33*EXP(-(((((Scenario_Data!U12)-Inputs!$C$34)^2)+(((0)-Inputs!$C$35)^2))/(2*Inputs!$C$36^2)))+Inputs!$C$37*(0.55*SIN(2*PI()*(Scenario_Data!U12)/Inputs!$C$39)+0.35*COS(2*PI()*(0)/Inputs!$C$40)+0.2*SIN(2*PI()*((Scenario_Data!U12)+(0))/(0.5*(Inputs!$C$39+Inputs!$C$40))))+Inputs!$C$38*SIN(2*PI()*(Scenario_Data!U12)/Inputs!$C$39)*SIN(2*PI()*(0)/Inputs!$C$40)+-Inputs!$C$41*EXP(-(((0)-Inputs!$C$43)^2)/(2*Inputs!$C$44^2))*EXP(-(((Scenario_Data!U12)-Inputs!$C$42)^2)/(2*Inputs!$C$45^2))+Inputs!$C$48*(0.7*(0.45*SIN(2*PI()*(((Scenario_Data!U12)/Inputs!$C$49)+Inputs!$C$47*0.137))+0.35*COS(2*PI()*(((0)/Inputs!$C$50)+Inputs!$C$47*0.173))+0.2*SIN(2*PI()*((((Scenario_Data!U12)+(0))/(0.5*(Inputs!$C$49+Inputs!$C$50)))+Inputs!$C$47*0.097)))+0.3*(2*((SIN(((Scenario_Data!U12)*12.9898+(0)*78.233+Inputs!$C$47*37.719))*43758.5453)-INT((SIN(((Scenario_Data!U12)*12.9898+(0)*78.233+Inputs!$C$47*37.719))*43758.5453)))-1)))))/Inputs!$C$21*1000000</f>
        <v/>
      </c>
      <c r="AB12">
        <f>Scenario_Data!V12</f>
        <v/>
      </c>
      <c r="AC12">
        <f>2*((Scenario_Data!D12*1000)-(IF(OR(Inputs!$C$27=TRUE,Inputs!$C$27="TRUE",Inputs!$C$27=1),1,0)*(Inputs!$C$51*(115*EXP(-(((0)-25)^2)/(4.5^2))+70*EXP(-(((0)+38)^2)/(7^2))*(0.55+0.45*SIN(2*PI()*(Scenario_Data!V12)/45))+24*SIN(2*PI()*(0)/9+(Scenario_Data!V12)/18)*EXP(-(((0)+5)^2)/(22^2))+18*SIN(2*PI()*(Scenario_Data!V12)/70))+Inputs!$C$28*EXP(-(((Scenario_Data!V12)-Inputs!$C$29)^2)/(2*Inputs!$C$31^2))*EXP(-(((0)-Inputs!$C$30)^2)/(2*Inputs!$C$32^2))+-Inputs!$C$33*EXP(-(((((Scenario_Data!V12)-Inputs!$C$34)^2)+(((0)-Inputs!$C$35)^2))/(2*Inputs!$C$36^2)))+Inputs!$C$37*(0.55*SIN(2*PI()*(Scenario_Data!V12)/Inputs!$C$39)+0.35*COS(2*PI()*(0)/Inputs!$C$40)+0.2*SIN(2*PI()*((Scenario_Data!V12)+(0))/(0.5*(Inputs!$C$39+Inputs!$C$40))))+Inputs!$C$38*SIN(2*PI()*(Scenario_Data!V12)/Inputs!$C$39)*SIN(2*PI()*(0)/Inputs!$C$40)+-Inputs!$C$41*EXP(-(((0)-Inputs!$C$43)^2)/(2*Inputs!$C$44^2))*EXP(-(((Scenario_Data!V12)-Inputs!$C$42)^2)/(2*Inputs!$C$45^2))+Inputs!$C$48*(0.7*(0.45*SIN(2*PI()*(((Scenario_Data!V12)/Inputs!$C$49)+Inputs!$C$47*0.137))+0.35*COS(2*PI()*(((0)/Inputs!$C$50)+Inputs!$C$47*0.173))+0.2*SIN(2*PI()*((((Scenario_Data!V12)+(0))/(0.5*(Inputs!$C$49+Inputs!$C$50)))+Inputs!$C$47*0.097)))+0.3*(2*((SIN(((Scenario_Data!V12)*12.9898+(0)*78.233+Inputs!$C$47*37.719))*43758.5453)-INT((SIN(((Scenario_Data!V12)*12.9898+(0)*78.233+Inputs!$C$47*37.719))*43758.5453)))-1)))))/Inputs!$C$21*1000000</f>
        <v/>
      </c>
      <c r="AD12">
        <f>Scenario_Data!W12</f>
        <v/>
      </c>
      <c r="AE12">
        <f>2*((Scenario_Data!E12*1000)-(IF(OR(Inputs!$C$27=TRUE,Inputs!$C$27="TRUE",Inputs!$C$27=1),1,0)*(Inputs!$C$51*(115*EXP(-(((0)-25)^2)/(4.5^2))+70*EXP(-(((0)+38)^2)/(7^2))*(0.55+0.45*SIN(2*PI()*(Scenario_Data!W12)/45))+24*SIN(2*PI()*(0)/9+(Scenario_Data!W12)/18)*EXP(-(((0)+5)^2)/(22^2))+18*SIN(2*PI()*(Scenario_Data!W12)/70))+Inputs!$C$28*EXP(-(((Scenario_Data!W12)-Inputs!$C$29)^2)/(2*Inputs!$C$31^2))*EXP(-(((0)-Inputs!$C$30)^2)/(2*Inputs!$C$32^2))+-Inputs!$C$33*EXP(-(((((Scenario_Data!W12)-Inputs!$C$34)^2)+(((0)-Inputs!$C$35)^2))/(2*Inputs!$C$36^2)))+Inputs!$C$37*(0.55*SIN(2*PI()*(Scenario_Data!W12)/Inputs!$C$39)+0.35*COS(2*PI()*(0)/Inputs!$C$40)+0.2*SIN(2*PI()*((Scenario_Data!W12)+(0))/(0.5*(Inputs!$C$39+Inputs!$C$40))))+Inputs!$C$38*SIN(2*PI()*(Scenario_Data!W12)/Inputs!$C$39)*SIN(2*PI()*(0)/Inputs!$C$40)+-Inputs!$C$41*EXP(-(((0)-Inputs!$C$43)^2)/(2*Inputs!$C$44^2))*EXP(-(((Scenario_Data!W12)-Inputs!$C$42)^2)/(2*Inputs!$C$45^2))+Inputs!$C$48*(0.7*(0.45*SIN(2*PI()*(((Scenario_Data!W12)/Inputs!$C$49)+Inputs!$C$47*0.137))+0.35*COS(2*PI()*(((0)/Inputs!$C$50)+Inputs!$C$47*0.173))+0.2*SIN(2*PI()*((((Scenario_Data!W12)+(0))/(0.5*(Inputs!$C$49+Inputs!$C$50)))+Inputs!$C$47*0.097)))+0.3*(2*((SIN(((Scenario_Data!W12)*12.9898+(0)*78.233+Inputs!$C$47*37.719))*43758.5453)-INT((SIN(((Scenario_Data!W12)*12.9898+(0)*78.233+Inputs!$C$47*37.719))*43758.5453)))-1)))))/Inputs!$C$21*1000000</f>
        <v/>
      </c>
      <c r="AG12">
        <f>Scenario_Data!T12</f>
        <v/>
      </c>
      <c r="AH12">
        <f>2*(SQRT((Inputs!$C$52+(Scenario_Data!B12))^2+Inputs!$C$52^2-2*(Inputs!$C$52+(Scenario_Data!B12))*Inputs!$C$52*COS(SQRT((Scenario_Data!T12)^2+Inputs!$C$6^2)/Inputs!$C$52))*1000)/Inputs!$C$21*1000000</f>
        <v/>
      </c>
      <c r="AI12">
        <f>Scenario_Data!U12</f>
        <v/>
      </c>
      <c r="AJ12">
        <f>2*(SQRT((Inputs!$C$52+(Scenario_Data!C12))^2+Inputs!$C$52^2-2*(Inputs!$C$52+(Scenario_Data!C12))*Inputs!$C$52*COS(SQRT((Scenario_Data!U12)^2+Inputs!$C$6^2)/Inputs!$C$52))*1000)/Inputs!$C$21*1000000</f>
        <v/>
      </c>
      <c r="AK12">
        <f>Scenario_Data!V12</f>
        <v/>
      </c>
      <c r="AL12">
        <f>2*(SQRT((Inputs!$C$52+(Scenario_Data!D12))^2+Inputs!$C$52^2-2*(Inputs!$C$52+(Scenario_Data!D12))*Inputs!$C$52*COS(SQRT((Scenario_Data!V12)^2+Inputs!$C$6^2)/Inputs!$C$52))*1000)/Inputs!$C$21*1000000</f>
        <v/>
      </c>
      <c r="AM12">
        <f>Scenario_Data!W12</f>
        <v/>
      </c>
      <c r="AN12">
        <f>2*(SQRT((Inputs!$C$52+(Scenario_Data!E12))^2+Inputs!$C$52^2-2*(Inputs!$C$52+(Scenario_Data!E12))*Inputs!$C$52*COS(SQRT((Scenario_Data!W12)^2+Inputs!$C$6^2)/Inputs!$C$52))*1000)/Inputs!$C$21*1000000</f>
        <v/>
      </c>
      <c r="AP12">
        <f>Scenario_Data!T12</f>
        <v/>
      </c>
      <c r="AQ12">
        <f>2*(SQRT((Inputs!$C$52+(Scenario_Data!B12))^2+(Inputs!$C$52+((IF(OR(Inputs!$C$27=TRUE,Inputs!$C$27="TRUE",Inputs!$C$27=1),1,0)*(Inputs!$C$51*(115*EXP(-(((Inputs!$C$6)-25)^2)/(4.5^2))+70*EXP(-(((Inputs!$C$6)+38)^2)/(7^2))*(0.55+0.45*SIN(2*PI()*(Scenario_Data!T12)/45))+24*SIN(2*PI()*(Inputs!$C$6)/9+(Scenario_Data!T12)/18)*EXP(-(((Inputs!$C$6)+5)^2)/(22^2))+18*SIN(2*PI()*(Scenario_Data!T12)/70))+Inputs!$C$28*EXP(-(((Scenario_Data!T12)-Inputs!$C$29)^2)/(2*Inputs!$C$31^2))*EXP(-(((Inputs!$C$6)-Inputs!$C$30)^2)/(2*Inputs!$C$32^2))+-Inputs!$C$33*EXP(-(((((Scenario_Data!T12)-Inputs!$C$34)^2)+(((Inputs!$C$6)-Inputs!$C$35)^2))/(2*Inputs!$C$36^2)))+Inputs!$C$37*(0.55*SIN(2*PI()*(Scenario_Data!T12)/Inputs!$C$39)+0.35*COS(2*PI()*(Inputs!$C$6)/Inputs!$C$40)+0.2*SIN(2*PI()*((Scenario_Data!T12)+(Inputs!$C$6))/(0.5*(Inputs!$C$39+Inputs!$C$40))))+Inputs!$C$38*SIN(2*PI()*(Scenario_Data!T12)/Inputs!$C$39)*SIN(2*PI()*(Inputs!$C$6)/Inputs!$C$40)+-Inputs!$C$41*EXP(-(((Inputs!$C$6)-Inputs!$C$43)^2)/(2*Inputs!$C$44^2))*EXP(-(((Scenario_Data!T12)-Inputs!$C$42)^2)/(2*Inputs!$C$45^2))+Inputs!$C$48*(0.7*(0.45*SIN(2*PI()*(((Scenario_Data!T12)/Inputs!$C$49)+Inputs!$C$47*0.137))+0.35*COS(2*PI()*(((Inputs!$C$6)/Inputs!$C$50)+Inputs!$C$47*0.173))+0.2*SIN(2*PI()*((((Scenario_Data!T12)+(Inputs!$C$6))/(0.5*(Inputs!$C$49+Inputs!$C$50)))+Inputs!$C$47*0.097)))+0.3*(2*((SIN(((Scenario_Data!T12)*12.9898+(Inputs!$C$6)*78.233+Inputs!$C$47*37.719))*43758.5453)-INT((SIN(((Scenario_Data!T12)*12.9898+(Inputs!$C$6)*78.233+Inputs!$C$47*37.719))*43758.5453)))-1))))/1000))^2-2*(Inputs!$C$52+(Scenario_Data!B12))*(Inputs!$C$52+((IF(OR(Inputs!$C$27=TRUE,Inputs!$C$27="TRUE",Inputs!$C$27=1),1,0)*(Inputs!$C$51*(115*EXP(-(((Inputs!$C$6)-25)^2)/(4.5^2))+70*EXP(-(((Inputs!$C$6)+38)^2)/(7^2))*(0.55+0.45*SIN(2*PI()*(Scenario_Data!T12)/45))+24*SIN(2*PI()*(Inputs!$C$6)/9+(Scenario_Data!T12)/18)*EXP(-(((Inputs!$C$6)+5)^2)/(22^2))+18*SIN(2*PI()*(Scenario_Data!T12)/70))+Inputs!$C$28*EXP(-(((Scenario_Data!T12)-Inputs!$C$29)^2)/(2*Inputs!$C$31^2))*EXP(-(((Inputs!$C$6)-Inputs!$C$30)^2)/(2*Inputs!$C$32^2))+-Inputs!$C$33*EXP(-(((((Scenario_Data!T12)-Inputs!$C$34)^2)+(((Inputs!$C$6)-Inputs!$C$35)^2))/(2*Inputs!$C$36^2)))+Inputs!$C$37*(0.55*SIN(2*PI()*(Scenario_Data!T12)/Inputs!$C$39)+0.35*COS(2*PI()*(Inputs!$C$6)/Inputs!$C$40)+0.2*SIN(2*PI()*((Scenario_Data!T12)+(Inputs!$C$6))/(0.5*(Inputs!$C$39+Inputs!$C$40))))+Inputs!$C$38*SIN(2*PI()*(Scenario_Data!T12)/Inputs!$C$39)*SIN(2*PI()*(Inputs!$C$6)/Inputs!$C$40)+-Inputs!$C$41*EXP(-(((Inputs!$C$6)-Inputs!$C$43)^2)/(2*Inputs!$C$44^2))*EXP(-(((Scenario_Data!T12)-Inputs!$C$42)^2)/(2*Inputs!$C$45^2))+Inputs!$C$48*(0.7*(0.45*SIN(2*PI()*(((Scenario_Data!T12)/Inputs!$C$49)+Inputs!$C$47*0.137))+0.35*COS(2*PI()*(((Inputs!$C$6)/Inputs!$C$50)+Inputs!$C$47*0.173))+0.2*SIN(2*PI()*((((Scenario_Data!T12)+(Inputs!$C$6))/(0.5*(Inputs!$C$49+Inputs!$C$50)))+Inputs!$C$47*0.097)))+0.3*(2*((SIN(((Scenario_Data!T12)*12.9898+(Inputs!$C$6)*78.233+Inputs!$C$47*37.719))*43758.5453)-INT((SIN(((Scenario_Data!T12)*12.9898+(Inputs!$C$6)*78.233+Inputs!$C$47*37.719))*43758.5453)))-1))))/1000))*COS(SQRT((Scenario_Data!T12)^2+Inputs!$C$6^2)/Inputs!$C$52))*1000)/Inputs!$C$21*1000000</f>
        <v/>
      </c>
      <c r="AR12">
        <f>Scenario_Data!U12</f>
        <v/>
      </c>
      <c r="AS12">
        <f>2*(SQRT((Inputs!$C$52+(Scenario_Data!C12))^2+(Inputs!$C$52+((IF(OR(Inputs!$C$27=TRUE,Inputs!$C$27="TRUE",Inputs!$C$27=1),1,0)*(Inputs!$C$51*(115*EXP(-(((Inputs!$C$6)-25)^2)/(4.5^2))+70*EXP(-(((Inputs!$C$6)+38)^2)/(7^2))*(0.55+0.45*SIN(2*PI()*(Scenario_Data!U12)/45))+24*SIN(2*PI()*(Inputs!$C$6)/9+(Scenario_Data!U12)/18)*EXP(-(((Inputs!$C$6)+5)^2)/(22^2))+18*SIN(2*PI()*(Scenario_Data!U12)/70))+Inputs!$C$28*EXP(-(((Scenario_Data!U12)-Inputs!$C$29)^2)/(2*Inputs!$C$31^2))*EXP(-(((Inputs!$C$6)-Inputs!$C$30)^2)/(2*Inputs!$C$32^2))+-Inputs!$C$33*EXP(-(((((Scenario_Data!U12)-Inputs!$C$34)^2)+(((Inputs!$C$6)-Inputs!$C$35)^2))/(2*Inputs!$C$36^2)))+Inputs!$C$37*(0.55*SIN(2*PI()*(Scenario_Data!U12)/Inputs!$C$39)+0.35*COS(2*PI()*(Inputs!$C$6)/Inputs!$C$40)+0.2*SIN(2*PI()*((Scenario_Data!U12)+(Inputs!$C$6))/(0.5*(Inputs!$C$39+Inputs!$C$40))))+Inputs!$C$38*SIN(2*PI()*(Scenario_Data!U12)/Inputs!$C$39)*SIN(2*PI()*(Inputs!$C$6)/Inputs!$C$40)+-Inputs!$C$41*EXP(-(((Inputs!$C$6)-Inputs!$C$43)^2)/(2*Inputs!$C$44^2))*EXP(-(((Scenario_Data!U12)-Inputs!$C$42)^2)/(2*Inputs!$C$45^2))+Inputs!$C$48*(0.7*(0.45*SIN(2*PI()*(((Scenario_Data!U12)/Inputs!$C$49)+Inputs!$C$47*0.137))+0.35*COS(2*PI()*(((Inputs!$C$6)/Inputs!$C$50)+Inputs!$C$47*0.173))+0.2*SIN(2*PI()*((((Scenario_Data!U12)+(Inputs!$C$6))/(0.5*(Inputs!$C$49+Inputs!$C$50)))+Inputs!$C$47*0.097)))+0.3*(2*((SIN(((Scenario_Data!U12)*12.9898+(Inputs!$C$6)*78.233+Inputs!$C$47*37.719))*43758.5453)-INT((SIN(((Scenario_Data!U12)*12.9898+(Inputs!$C$6)*78.233+Inputs!$C$47*37.719))*43758.5453)))-1))))/1000))^2-2*(Inputs!$C$52+(Scenario_Data!C12))*(Inputs!$C$52+((IF(OR(Inputs!$C$27=TRUE,Inputs!$C$27="TRUE",Inputs!$C$27=1),1,0)*(Inputs!$C$51*(115*EXP(-(((Inputs!$C$6)-25)^2)/(4.5^2))+70*EXP(-(((Inputs!$C$6)+38)^2)/(7^2))*(0.55+0.45*SIN(2*PI()*(Scenario_Data!U12)/45))+24*SIN(2*PI()*(Inputs!$C$6)/9+(Scenario_Data!U12)/18)*EXP(-(((Inputs!$C$6)+5)^2)/(22^2))+18*SIN(2*PI()*(Scenario_Data!U12)/70))+Inputs!$C$28*EXP(-(((Scenario_Data!U12)-Inputs!$C$29)^2)/(2*Inputs!$C$31^2))*EXP(-(((Inputs!$C$6)-Inputs!$C$30)^2)/(2*Inputs!$C$32^2))+-Inputs!$C$33*EXP(-(((((Scenario_Data!U12)-Inputs!$C$34)^2)+(((Inputs!$C$6)-Inputs!$C$35)^2))/(2*Inputs!$C$36^2)))+Inputs!$C$37*(0.55*SIN(2*PI()*(Scenario_Data!U12)/Inputs!$C$39)+0.35*COS(2*PI()*(Inputs!$C$6)/Inputs!$C$40)+0.2*SIN(2*PI()*((Scenario_Data!U12)+(Inputs!$C$6))/(0.5*(Inputs!$C$39+Inputs!$C$40))))+Inputs!$C$38*SIN(2*PI()*(Scenario_Data!U12)/Inputs!$C$39)*SIN(2*PI()*(Inputs!$C$6)/Inputs!$C$40)+-Inputs!$C$41*EXP(-(((Inputs!$C$6)-Inputs!$C$43)^2)/(2*Inputs!$C$44^2))*EXP(-(((Scenario_Data!U12)-Inputs!$C$42)^2)/(2*Inputs!$C$45^2))+Inputs!$C$48*(0.7*(0.45*SIN(2*PI()*(((Scenario_Data!U12)/Inputs!$C$49)+Inputs!$C$47*0.137))+0.35*COS(2*PI()*(((Inputs!$C$6)/Inputs!$C$50)+Inputs!$C$47*0.173))+0.2*SIN(2*PI()*((((Scenario_Data!U12)+(Inputs!$C$6))/(0.5*(Inputs!$C$49+Inputs!$C$50)))+Inputs!$C$47*0.097)))+0.3*(2*((SIN(((Scenario_Data!U12)*12.9898+(Inputs!$C$6)*78.233+Inputs!$C$47*37.719))*43758.5453)-INT((SIN(((Scenario_Data!U12)*12.9898+(Inputs!$C$6)*78.233+Inputs!$C$47*37.719))*43758.5453)))-1))))/1000))*COS(SQRT((Scenario_Data!U12)^2+Inputs!$C$6^2)/Inputs!$C$52))*1000)/Inputs!$C$21*1000000</f>
        <v/>
      </c>
      <c r="AT12">
        <f>Scenario_Data!V12</f>
        <v/>
      </c>
      <c r="AU12">
        <f>2*(SQRT((Inputs!$C$52+(Scenario_Data!D12))^2+(Inputs!$C$52+((IF(OR(Inputs!$C$27=TRUE,Inputs!$C$27="TRUE",Inputs!$C$27=1),1,0)*(Inputs!$C$51*(115*EXP(-(((Inputs!$C$6)-25)^2)/(4.5^2))+70*EXP(-(((Inputs!$C$6)+38)^2)/(7^2))*(0.55+0.45*SIN(2*PI()*(Scenario_Data!V12)/45))+24*SIN(2*PI()*(Inputs!$C$6)/9+(Scenario_Data!V12)/18)*EXP(-(((Inputs!$C$6)+5)^2)/(22^2))+18*SIN(2*PI()*(Scenario_Data!V12)/70))+Inputs!$C$28*EXP(-(((Scenario_Data!V12)-Inputs!$C$29)^2)/(2*Inputs!$C$31^2))*EXP(-(((Inputs!$C$6)-Inputs!$C$30)^2)/(2*Inputs!$C$32^2))+-Inputs!$C$33*EXP(-(((((Scenario_Data!V12)-Inputs!$C$34)^2)+(((Inputs!$C$6)-Inputs!$C$35)^2))/(2*Inputs!$C$36^2)))+Inputs!$C$37*(0.55*SIN(2*PI()*(Scenario_Data!V12)/Inputs!$C$39)+0.35*COS(2*PI()*(Inputs!$C$6)/Inputs!$C$40)+0.2*SIN(2*PI()*((Scenario_Data!V12)+(Inputs!$C$6))/(0.5*(Inputs!$C$39+Inputs!$C$40))))+Inputs!$C$38*SIN(2*PI()*(Scenario_Data!V12)/Inputs!$C$39)*SIN(2*PI()*(Inputs!$C$6)/Inputs!$C$40)+-Inputs!$C$41*EXP(-(((Inputs!$C$6)-Inputs!$C$43)^2)/(2*Inputs!$C$44^2))*EXP(-(((Scenario_Data!V12)-Inputs!$C$42)^2)/(2*Inputs!$C$45^2))+Inputs!$C$48*(0.7*(0.45*SIN(2*PI()*(((Scenario_Data!V12)/Inputs!$C$49)+Inputs!$C$47*0.137))+0.35*COS(2*PI()*(((Inputs!$C$6)/Inputs!$C$50)+Inputs!$C$47*0.173))+0.2*SIN(2*PI()*((((Scenario_Data!V12)+(Inputs!$C$6))/(0.5*(Inputs!$C$49+Inputs!$C$50)))+Inputs!$C$47*0.097)))+0.3*(2*((SIN(((Scenario_Data!V12)*12.9898+(Inputs!$C$6)*78.233+Inputs!$C$47*37.719))*43758.5453)-INT((SIN(((Scenario_Data!V12)*12.9898+(Inputs!$C$6)*78.233+Inputs!$C$47*37.719))*43758.5453)))-1))))/1000))^2-2*(Inputs!$C$52+(Scenario_Data!D12))*(Inputs!$C$52+((IF(OR(Inputs!$C$27=TRUE,Inputs!$C$27="TRUE",Inputs!$C$27=1),1,0)*(Inputs!$C$51*(115*EXP(-(((Inputs!$C$6)-25)^2)/(4.5^2))+70*EXP(-(((Inputs!$C$6)+38)^2)/(7^2))*(0.55+0.45*SIN(2*PI()*(Scenario_Data!V12)/45))+24*SIN(2*PI()*(Inputs!$C$6)/9+(Scenario_Data!V12)/18)*EXP(-(((Inputs!$C$6)+5)^2)/(22^2))+18*SIN(2*PI()*(Scenario_Data!V12)/70))+Inputs!$C$28*EXP(-(((Scenario_Data!V12)-Inputs!$C$29)^2)/(2*Inputs!$C$31^2))*EXP(-(((Inputs!$C$6)-Inputs!$C$30)^2)/(2*Inputs!$C$32^2))+-Inputs!$C$33*EXP(-(((((Scenario_Data!V12)-Inputs!$C$34)^2)+(((Inputs!$C$6)-Inputs!$C$35)^2))/(2*Inputs!$C$36^2)))+Inputs!$C$37*(0.55*SIN(2*PI()*(Scenario_Data!V12)/Inputs!$C$39)+0.35*COS(2*PI()*(Inputs!$C$6)/Inputs!$C$40)+0.2*SIN(2*PI()*((Scenario_Data!V12)+(Inputs!$C$6))/(0.5*(Inputs!$C$39+Inputs!$C$40))))+Inputs!$C$38*SIN(2*PI()*(Scenario_Data!V12)/Inputs!$C$39)*SIN(2*PI()*(Inputs!$C$6)/Inputs!$C$40)+-Inputs!$C$41*EXP(-(((Inputs!$C$6)-Inputs!$C$43)^2)/(2*Inputs!$C$44^2))*EXP(-(((Scenario_Data!V12)-Inputs!$C$42)^2)/(2*Inputs!$C$45^2))+Inputs!$C$48*(0.7*(0.45*SIN(2*PI()*(((Scenario_Data!V12)/Inputs!$C$49)+Inputs!$C$47*0.137))+0.35*COS(2*PI()*(((Inputs!$C$6)/Inputs!$C$50)+Inputs!$C$47*0.173))+0.2*SIN(2*PI()*((((Scenario_Data!V12)+(Inputs!$C$6))/(0.5*(Inputs!$C$49+Inputs!$C$50)))+Inputs!$C$47*0.097)))+0.3*(2*((SIN(((Scenario_Data!V12)*12.9898+(Inputs!$C$6)*78.233+Inputs!$C$47*37.719))*43758.5453)-INT((SIN(((Scenario_Data!V12)*12.9898+(Inputs!$C$6)*78.233+Inputs!$C$47*37.719))*43758.5453)))-1))))/1000))*COS(SQRT((Scenario_Data!V12)^2+Inputs!$C$6^2)/Inputs!$C$52))*1000)/Inputs!$C$21*1000000</f>
        <v/>
      </c>
      <c r="AV12">
        <f>Scenario_Data!W12</f>
        <v/>
      </c>
      <c r="AW12">
        <f>2*(SQRT((Inputs!$C$52+(Scenario_Data!E12))^2+(Inputs!$C$52+((IF(OR(Inputs!$C$27=TRUE,Inputs!$C$27="TRUE",Inputs!$C$27=1),1,0)*(Inputs!$C$51*(115*EXP(-(((Inputs!$C$6)-25)^2)/(4.5^2))+70*EXP(-(((Inputs!$C$6)+38)^2)/(7^2))*(0.55+0.45*SIN(2*PI()*(Scenario_Data!W12)/45))+24*SIN(2*PI()*(Inputs!$C$6)/9+(Scenario_Data!W12)/18)*EXP(-(((Inputs!$C$6)+5)^2)/(22^2))+18*SIN(2*PI()*(Scenario_Data!W12)/70))+Inputs!$C$28*EXP(-(((Scenario_Data!W12)-Inputs!$C$29)^2)/(2*Inputs!$C$31^2))*EXP(-(((Inputs!$C$6)-Inputs!$C$30)^2)/(2*Inputs!$C$32^2))+-Inputs!$C$33*EXP(-(((((Scenario_Data!W12)-Inputs!$C$34)^2)+(((Inputs!$C$6)-Inputs!$C$35)^2))/(2*Inputs!$C$36^2)))+Inputs!$C$37*(0.55*SIN(2*PI()*(Scenario_Data!W12)/Inputs!$C$39)+0.35*COS(2*PI()*(Inputs!$C$6)/Inputs!$C$40)+0.2*SIN(2*PI()*((Scenario_Data!W12)+(Inputs!$C$6))/(0.5*(Inputs!$C$39+Inputs!$C$40))))+Inputs!$C$38*SIN(2*PI()*(Scenario_Data!W12)/Inputs!$C$39)*SIN(2*PI()*(Inputs!$C$6)/Inputs!$C$40)+-Inputs!$C$41*EXP(-(((Inputs!$C$6)-Inputs!$C$43)^2)/(2*Inputs!$C$44^2))*EXP(-(((Scenario_Data!W12)-Inputs!$C$42)^2)/(2*Inputs!$C$45^2))+Inputs!$C$48*(0.7*(0.45*SIN(2*PI()*(((Scenario_Data!W12)/Inputs!$C$49)+Inputs!$C$47*0.137))+0.35*COS(2*PI()*(((Inputs!$C$6)/Inputs!$C$50)+Inputs!$C$47*0.173))+0.2*SIN(2*PI()*((((Scenario_Data!W12)+(Inputs!$C$6))/(0.5*(Inputs!$C$49+Inputs!$C$50)))+Inputs!$C$47*0.097)))+0.3*(2*((SIN(((Scenario_Data!W12)*12.9898+(Inputs!$C$6)*78.233+Inputs!$C$47*37.719))*43758.5453)-INT((SIN(((Scenario_Data!W12)*12.9898+(Inputs!$C$6)*78.233+Inputs!$C$47*37.719))*43758.5453)))-1))))/1000))^2-2*(Inputs!$C$52+(Scenario_Data!E12))*(Inputs!$C$52+((IF(OR(Inputs!$C$27=TRUE,Inputs!$C$27="TRUE",Inputs!$C$27=1),1,0)*(Inputs!$C$51*(115*EXP(-(((Inputs!$C$6)-25)^2)/(4.5^2))+70*EXP(-(((Inputs!$C$6)+38)^2)/(7^2))*(0.55+0.45*SIN(2*PI()*(Scenario_Data!W12)/45))+24*SIN(2*PI()*(Inputs!$C$6)/9+(Scenario_Data!W12)/18)*EXP(-(((Inputs!$C$6)+5)^2)/(22^2))+18*SIN(2*PI()*(Scenario_Data!W12)/70))+Inputs!$C$28*EXP(-(((Scenario_Data!W12)-Inputs!$C$29)^2)/(2*Inputs!$C$31^2))*EXP(-(((Inputs!$C$6)-Inputs!$C$30)^2)/(2*Inputs!$C$32^2))+-Inputs!$C$33*EXP(-(((((Scenario_Data!W12)-Inputs!$C$34)^2)+(((Inputs!$C$6)-Inputs!$C$35)^2))/(2*Inputs!$C$36^2)))+Inputs!$C$37*(0.55*SIN(2*PI()*(Scenario_Data!W12)/Inputs!$C$39)+0.35*COS(2*PI()*(Inputs!$C$6)/Inputs!$C$40)+0.2*SIN(2*PI()*((Scenario_Data!W12)+(Inputs!$C$6))/(0.5*(Inputs!$C$39+Inputs!$C$40))))+Inputs!$C$38*SIN(2*PI()*(Scenario_Data!W12)/Inputs!$C$39)*SIN(2*PI()*(Inputs!$C$6)/Inputs!$C$40)+-Inputs!$C$41*EXP(-(((Inputs!$C$6)-Inputs!$C$43)^2)/(2*Inputs!$C$44^2))*EXP(-(((Scenario_Data!W12)-Inputs!$C$42)^2)/(2*Inputs!$C$45^2))+Inputs!$C$48*(0.7*(0.45*SIN(2*PI()*(((Scenario_Data!W12)/Inputs!$C$49)+Inputs!$C$47*0.137))+0.35*COS(2*PI()*(((Inputs!$C$6)/Inputs!$C$50)+Inputs!$C$47*0.173))+0.2*SIN(2*PI()*((((Scenario_Data!W12)+(Inputs!$C$6))/(0.5*(Inputs!$C$49+Inputs!$C$50)))+Inputs!$C$47*0.097)))+0.3*(2*((SIN(((Scenario_Data!W12)*12.9898+(Inputs!$C$6)*78.233+Inputs!$C$47*37.719))*43758.5453)-INT((SIN(((Scenario_Data!W12)*12.9898+(Inputs!$C$6)*78.233+Inputs!$C$47*37.719))*43758.5453)))-1))))/1000))*COS(SQRT((Scenario_Data!W12)^2+Inputs!$C$6^2)/Inputs!$C$52))*1000)/Inputs!$C$21*1000000</f>
        <v/>
      </c>
    </row>
    <row r="13">
      <c r="A13">
        <f>Chart_Data!K13</f>
        <v/>
      </c>
      <c r="B13">
        <f>Chart_Data!N13-Chart_Data!L13</f>
        <v/>
      </c>
      <c r="D13">
        <f>Chart_Data!G13</f>
        <v/>
      </c>
      <c r="E13">
        <f>Chart_Data!H13</f>
        <v/>
      </c>
      <c r="F13">
        <f>Chart_Data!I13</f>
        <v/>
      </c>
      <c r="G13">
        <f>Chart_Data!J13</f>
        <v/>
      </c>
      <c r="I13">
        <f>Scenario_Data!A13</f>
        <v/>
      </c>
      <c r="J13">
        <f>Scenario_Data!H13-(((SQRT((Inputs!$C$52+(Inputs!$H$6))^2+Inputs!$C$52^2-2*(Inputs!$C$52+(Inputs!$H$6))*Inputs!$C$52*COS(SQRT((Scenario_Data!T13)^2+Inputs!$C$6^2)/Inputs!$C$52)))-(Inputs!$H$6))*1000/Inputs!$C$12)</f>
        <v/>
      </c>
      <c r="K13">
        <f>Scenario_Data!I13-(((SQRT((Inputs!$C$52+(Inputs!$H$7))^2+Inputs!$C$52^2-2*(Inputs!$C$52+(Inputs!$H$7))*Inputs!$C$52*COS(SQRT((Scenario_Data!U13)^2+Inputs!$C$6^2)/Inputs!$C$52)))-(Inputs!$H$7))*1000/Inputs!$C$12)</f>
        <v/>
      </c>
      <c r="L13">
        <f>Scenario_Data!J13-(((SQRT((Inputs!$C$52+(Inputs!$H$8))^2+Inputs!$C$52^2-2*(Inputs!$C$52+(Inputs!$H$8))*Inputs!$C$52*COS(SQRT((Scenario_Data!V13)^2+Inputs!$C$6^2)/Inputs!$C$52)))-(Inputs!$H$8))*1000/Inputs!$C$12)</f>
        <v/>
      </c>
      <c r="M13">
        <f>Scenario_Data!K13-(((SQRT((Inputs!$C$52+(Inputs!$H$9))^2+Inputs!$C$52^2-2*(Inputs!$C$52+(Inputs!$H$9))*Inputs!$C$52*COS(SQRT((Scenario_Data!W13)^2+Inputs!$C$6^2)/Inputs!$C$52)))-(Inputs!$H$9))*1000/Inputs!$C$12)</f>
        <v/>
      </c>
      <c r="O13">
        <f>Scenario_Data!T13</f>
        <v/>
      </c>
      <c r="P13">
        <f>2*(Scenario_Data!B13*1000)/Inputs!$C$21*1000000</f>
        <v/>
      </c>
      <c r="Q13">
        <f>Scenario_Data!U13</f>
        <v/>
      </c>
      <c r="R13">
        <f>2*(Scenario_Data!C13*1000)/Inputs!$C$21*1000000</f>
        <v/>
      </c>
      <c r="S13">
        <f>Scenario_Data!V13</f>
        <v/>
      </c>
      <c r="T13">
        <f>2*(Scenario_Data!D13*1000)/Inputs!$C$21*1000000</f>
        <v/>
      </c>
      <c r="U13">
        <f>Scenario_Data!W13</f>
        <v/>
      </c>
      <c r="V13">
        <f>2*(Scenario_Data!E13*1000)/Inputs!$C$21*1000000</f>
        <v/>
      </c>
      <c r="X13">
        <f>Scenario_Data!T13</f>
        <v/>
      </c>
      <c r="Y13">
        <f>2*((Scenario_Data!B13*1000)-(IF(OR(Inputs!$C$27=TRUE,Inputs!$C$27="TRUE",Inputs!$C$27=1),1,0)*(Inputs!$C$51*(115*EXP(-(((0)-25)^2)/(4.5^2))+70*EXP(-(((0)+38)^2)/(7^2))*(0.55+0.45*SIN(2*PI()*(Scenario_Data!T13)/45))+24*SIN(2*PI()*(0)/9+(Scenario_Data!T13)/18)*EXP(-(((0)+5)^2)/(22^2))+18*SIN(2*PI()*(Scenario_Data!T13)/70))+Inputs!$C$28*EXP(-(((Scenario_Data!T13)-Inputs!$C$29)^2)/(2*Inputs!$C$31^2))*EXP(-(((0)-Inputs!$C$30)^2)/(2*Inputs!$C$32^2))+-Inputs!$C$33*EXP(-(((((Scenario_Data!T13)-Inputs!$C$34)^2)+(((0)-Inputs!$C$35)^2))/(2*Inputs!$C$36^2)))+Inputs!$C$37*(0.55*SIN(2*PI()*(Scenario_Data!T13)/Inputs!$C$39)+0.35*COS(2*PI()*(0)/Inputs!$C$40)+0.2*SIN(2*PI()*((Scenario_Data!T13)+(0))/(0.5*(Inputs!$C$39+Inputs!$C$40))))+Inputs!$C$38*SIN(2*PI()*(Scenario_Data!T13)/Inputs!$C$39)*SIN(2*PI()*(0)/Inputs!$C$40)+-Inputs!$C$41*EXP(-(((0)-Inputs!$C$43)^2)/(2*Inputs!$C$44^2))*EXP(-(((Scenario_Data!T13)-Inputs!$C$42)^2)/(2*Inputs!$C$45^2))+Inputs!$C$48*(0.7*(0.45*SIN(2*PI()*(((Scenario_Data!T13)/Inputs!$C$49)+Inputs!$C$47*0.137))+0.35*COS(2*PI()*(((0)/Inputs!$C$50)+Inputs!$C$47*0.173))+0.2*SIN(2*PI()*((((Scenario_Data!T13)+(0))/(0.5*(Inputs!$C$49+Inputs!$C$50)))+Inputs!$C$47*0.097)))+0.3*(2*((SIN(((Scenario_Data!T13)*12.9898+(0)*78.233+Inputs!$C$47*37.719))*43758.5453)-INT((SIN(((Scenario_Data!T13)*12.9898+(0)*78.233+Inputs!$C$47*37.719))*43758.5453)))-1)))))/Inputs!$C$21*1000000</f>
        <v/>
      </c>
      <c r="Z13">
        <f>Scenario_Data!U13</f>
        <v/>
      </c>
      <c r="AA13">
        <f>2*((Scenario_Data!C13*1000)-(IF(OR(Inputs!$C$27=TRUE,Inputs!$C$27="TRUE",Inputs!$C$27=1),1,0)*(Inputs!$C$51*(115*EXP(-(((0)-25)^2)/(4.5^2))+70*EXP(-(((0)+38)^2)/(7^2))*(0.55+0.45*SIN(2*PI()*(Scenario_Data!U13)/45))+24*SIN(2*PI()*(0)/9+(Scenario_Data!U13)/18)*EXP(-(((0)+5)^2)/(22^2))+18*SIN(2*PI()*(Scenario_Data!U13)/70))+Inputs!$C$28*EXP(-(((Scenario_Data!U13)-Inputs!$C$29)^2)/(2*Inputs!$C$31^2))*EXP(-(((0)-Inputs!$C$30)^2)/(2*Inputs!$C$32^2))+-Inputs!$C$33*EXP(-(((((Scenario_Data!U13)-Inputs!$C$34)^2)+(((0)-Inputs!$C$35)^2))/(2*Inputs!$C$36^2)))+Inputs!$C$37*(0.55*SIN(2*PI()*(Scenario_Data!U13)/Inputs!$C$39)+0.35*COS(2*PI()*(0)/Inputs!$C$40)+0.2*SIN(2*PI()*((Scenario_Data!U13)+(0))/(0.5*(Inputs!$C$39+Inputs!$C$40))))+Inputs!$C$38*SIN(2*PI()*(Scenario_Data!U13)/Inputs!$C$39)*SIN(2*PI()*(0)/Inputs!$C$40)+-Inputs!$C$41*EXP(-(((0)-Inputs!$C$43)^2)/(2*Inputs!$C$44^2))*EXP(-(((Scenario_Data!U13)-Inputs!$C$42)^2)/(2*Inputs!$C$45^2))+Inputs!$C$48*(0.7*(0.45*SIN(2*PI()*(((Scenario_Data!U13)/Inputs!$C$49)+Inputs!$C$47*0.137))+0.35*COS(2*PI()*(((0)/Inputs!$C$50)+Inputs!$C$47*0.173))+0.2*SIN(2*PI()*((((Scenario_Data!U13)+(0))/(0.5*(Inputs!$C$49+Inputs!$C$50)))+Inputs!$C$47*0.097)))+0.3*(2*((SIN(((Scenario_Data!U13)*12.9898+(0)*78.233+Inputs!$C$47*37.719))*43758.5453)-INT((SIN(((Scenario_Data!U13)*12.9898+(0)*78.233+Inputs!$C$47*37.719))*43758.5453)))-1)))))/Inputs!$C$21*1000000</f>
        <v/>
      </c>
      <c r="AB13">
        <f>Scenario_Data!V13</f>
        <v/>
      </c>
      <c r="AC13">
        <f>2*((Scenario_Data!D13*1000)-(IF(OR(Inputs!$C$27=TRUE,Inputs!$C$27="TRUE",Inputs!$C$27=1),1,0)*(Inputs!$C$51*(115*EXP(-(((0)-25)^2)/(4.5^2))+70*EXP(-(((0)+38)^2)/(7^2))*(0.55+0.45*SIN(2*PI()*(Scenario_Data!V13)/45))+24*SIN(2*PI()*(0)/9+(Scenario_Data!V13)/18)*EXP(-(((0)+5)^2)/(22^2))+18*SIN(2*PI()*(Scenario_Data!V13)/70))+Inputs!$C$28*EXP(-(((Scenario_Data!V13)-Inputs!$C$29)^2)/(2*Inputs!$C$31^2))*EXP(-(((0)-Inputs!$C$30)^2)/(2*Inputs!$C$32^2))+-Inputs!$C$33*EXP(-(((((Scenario_Data!V13)-Inputs!$C$34)^2)+(((0)-Inputs!$C$35)^2))/(2*Inputs!$C$36^2)))+Inputs!$C$37*(0.55*SIN(2*PI()*(Scenario_Data!V13)/Inputs!$C$39)+0.35*COS(2*PI()*(0)/Inputs!$C$40)+0.2*SIN(2*PI()*((Scenario_Data!V13)+(0))/(0.5*(Inputs!$C$39+Inputs!$C$40))))+Inputs!$C$38*SIN(2*PI()*(Scenario_Data!V13)/Inputs!$C$39)*SIN(2*PI()*(0)/Inputs!$C$40)+-Inputs!$C$41*EXP(-(((0)-Inputs!$C$43)^2)/(2*Inputs!$C$44^2))*EXP(-(((Scenario_Data!V13)-Inputs!$C$42)^2)/(2*Inputs!$C$45^2))+Inputs!$C$48*(0.7*(0.45*SIN(2*PI()*(((Scenario_Data!V13)/Inputs!$C$49)+Inputs!$C$47*0.137))+0.35*COS(2*PI()*(((0)/Inputs!$C$50)+Inputs!$C$47*0.173))+0.2*SIN(2*PI()*((((Scenario_Data!V13)+(0))/(0.5*(Inputs!$C$49+Inputs!$C$50)))+Inputs!$C$47*0.097)))+0.3*(2*((SIN(((Scenario_Data!V13)*12.9898+(0)*78.233+Inputs!$C$47*37.719))*43758.5453)-INT((SIN(((Scenario_Data!V13)*12.9898+(0)*78.233+Inputs!$C$47*37.719))*43758.5453)))-1)))))/Inputs!$C$21*1000000</f>
        <v/>
      </c>
      <c r="AD13">
        <f>Scenario_Data!W13</f>
        <v/>
      </c>
      <c r="AE13">
        <f>2*((Scenario_Data!E13*1000)-(IF(OR(Inputs!$C$27=TRUE,Inputs!$C$27="TRUE",Inputs!$C$27=1),1,0)*(Inputs!$C$51*(115*EXP(-(((0)-25)^2)/(4.5^2))+70*EXP(-(((0)+38)^2)/(7^2))*(0.55+0.45*SIN(2*PI()*(Scenario_Data!W13)/45))+24*SIN(2*PI()*(0)/9+(Scenario_Data!W13)/18)*EXP(-(((0)+5)^2)/(22^2))+18*SIN(2*PI()*(Scenario_Data!W13)/70))+Inputs!$C$28*EXP(-(((Scenario_Data!W13)-Inputs!$C$29)^2)/(2*Inputs!$C$31^2))*EXP(-(((0)-Inputs!$C$30)^2)/(2*Inputs!$C$32^2))+-Inputs!$C$33*EXP(-(((((Scenario_Data!W13)-Inputs!$C$34)^2)+(((0)-Inputs!$C$35)^2))/(2*Inputs!$C$36^2)))+Inputs!$C$37*(0.55*SIN(2*PI()*(Scenario_Data!W13)/Inputs!$C$39)+0.35*COS(2*PI()*(0)/Inputs!$C$40)+0.2*SIN(2*PI()*((Scenario_Data!W13)+(0))/(0.5*(Inputs!$C$39+Inputs!$C$40))))+Inputs!$C$38*SIN(2*PI()*(Scenario_Data!W13)/Inputs!$C$39)*SIN(2*PI()*(0)/Inputs!$C$40)+-Inputs!$C$41*EXP(-(((0)-Inputs!$C$43)^2)/(2*Inputs!$C$44^2))*EXP(-(((Scenario_Data!W13)-Inputs!$C$42)^2)/(2*Inputs!$C$45^2))+Inputs!$C$48*(0.7*(0.45*SIN(2*PI()*(((Scenario_Data!W13)/Inputs!$C$49)+Inputs!$C$47*0.137))+0.35*COS(2*PI()*(((0)/Inputs!$C$50)+Inputs!$C$47*0.173))+0.2*SIN(2*PI()*((((Scenario_Data!W13)+(0))/(0.5*(Inputs!$C$49+Inputs!$C$50)))+Inputs!$C$47*0.097)))+0.3*(2*((SIN(((Scenario_Data!W13)*12.9898+(0)*78.233+Inputs!$C$47*37.719))*43758.5453)-INT((SIN(((Scenario_Data!W13)*12.9898+(0)*78.233+Inputs!$C$47*37.719))*43758.5453)))-1)))))/Inputs!$C$21*1000000</f>
        <v/>
      </c>
      <c r="AG13">
        <f>Scenario_Data!T13</f>
        <v/>
      </c>
      <c r="AH13">
        <f>2*(SQRT((Inputs!$C$52+(Scenario_Data!B13))^2+Inputs!$C$52^2-2*(Inputs!$C$52+(Scenario_Data!B13))*Inputs!$C$52*COS(SQRT((Scenario_Data!T13)^2+Inputs!$C$6^2)/Inputs!$C$52))*1000)/Inputs!$C$21*1000000</f>
        <v/>
      </c>
      <c r="AI13">
        <f>Scenario_Data!U13</f>
        <v/>
      </c>
      <c r="AJ13">
        <f>2*(SQRT((Inputs!$C$52+(Scenario_Data!C13))^2+Inputs!$C$52^2-2*(Inputs!$C$52+(Scenario_Data!C13))*Inputs!$C$52*COS(SQRT((Scenario_Data!U13)^2+Inputs!$C$6^2)/Inputs!$C$52))*1000)/Inputs!$C$21*1000000</f>
        <v/>
      </c>
      <c r="AK13">
        <f>Scenario_Data!V13</f>
        <v/>
      </c>
      <c r="AL13">
        <f>2*(SQRT((Inputs!$C$52+(Scenario_Data!D13))^2+Inputs!$C$52^2-2*(Inputs!$C$52+(Scenario_Data!D13))*Inputs!$C$52*COS(SQRT((Scenario_Data!V13)^2+Inputs!$C$6^2)/Inputs!$C$52))*1000)/Inputs!$C$21*1000000</f>
        <v/>
      </c>
      <c r="AM13">
        <f>Scenario_Data!W13</f>
        <v/>
      </c>
      <c r="AN13">
        <f>2*(SQRT((Inputs!$C$52+(Scenario_Data!E13))^2+Inputs!$C$52^2-2*(Inputs!$C$52+(Scenario_Data!E13))*Inputs!$C$52*COS(SQRT((Scenario_Data!W13)^2+Inputs!$C$6^2)/Inputs!$C$52))*1000)/Inputs!$C$21*1000000</f>
        <v/>
      </c>
      <c r="AP13">
        <f>Scenario_Data!T13</f>
        <v/>
      </c>
      <c r="AQ13">
        <f>2*(SQRT((Inputs!$C$52+(Scenario_Data!B13))^2+(Inputs!$C$52+((IF(OR(Inputs!$C$27=TRUE,Inputs!$C$27="TRUE",Inputs!$C$27=1),1,0)*(Inputs!$C$51*(115*EXP(-(((Inputs!$C$6)-25)^2)/(4.5^2))+70*EXP(-(((Inputs!$C$6)+38)^2)/(7^2))*(0.55+0.45*SIN(2*PI()*(Scenario_Data!T13)/45))+24*SIN(2*PI()*(Inputs!$C$6)/9+(Scenario_Data!T13)/18)*EXP(-(((Inputs!$C$6)+5)^2)/(22^2))+18*SIN(2*PI()*(Scenario_Data!T13)/70))+Inputs!$C$28*EXP(-(((Scenario_Data!T13)-Inputs!$C$29)^2)/(2*Inputs!$C$31^2))*EXP(-(((Inputs!$C$6)-Inputs!$C$30)^2)/(2*Inputs!$C$32^2))+-Inputs!$C$33*EXP(-(((((Scenario_Data!T13)-Inputs!$C$34)^2)+(((Inputs!$C$6)-Inputs!$C$35)^2))/(2*Inputs!$C$36^2)))+Inputs!$C$37*(0.55*SIN(2*PI()*(Scenario_Data!T13)/Inputs!$C$39)+0.35*COS(2*PI()*(Inputs!$C$6)/Inputs!$C$40)+0.2*SIN(2*PI()*((Scenario_Data!T13)+(Inputs!$C$6))/(0.5*(Inputs!$C$39+Inputs!$C$40))))+Inputs!$C$38*SIN(2*PI()*(Scenario_Data!T13)/Inputs!$C$39)*SIN(2*PI()*(Inputs!$C$6)/Inputs!$C$40)+-Inputs!$C$41*EXP(-(((Inputs!$C$6)-Inputs!$C$43)^2)/(2*Inputs!$C$44^2))*EXP(-(((Scenario_Data!T13)-Inputs!$C$42)^2)/(2*Inputs!$C$45^2))+Inputs!$C$48*(0.7*(0.45*SIN(2*PI()*(((Scenario_Data!T13)/Inputs!$C$49)+Inputs!$C$47*0.137))+0.35*COS(2*PI()*(((Inputs!$C$6)/Inputs!$C$50)+Inputs!$C$47*0.173))+0.2*SIN(2*PI()*((((Scenario_Data!T13)+(Inputs!$C$6))/(0.5*(Inputs!$C$49+Inputs!$C$50)))+Inputs!$C$47*0.097)))+0.3*(2*((SIN(((Scenario_Data!T13)*12.9898+(Inputs!$C$6)*78.233+Inputs!$C$47*37.719))*43758.5453)-INT((SIN(((Scenario_Data!T13)*12.9898+(Inputs!$C$6)*78.233+Inputs!$C$47*37.719))*43758.5453)))-1))))/1000))^2-2*(Inputs!$C$52+(Scenario_Data!B13))*(Inputs!$C$52+((IF(OR(Inputs!$C$27=TRUE,Inputs!$C$27="TRUE",Inputs!$C$27=1),1,0)*(Inputs!$C$51*(115*EXP(-(((Inputs!$C$6)-25)^2)/(4.5^2))+70*EXP(-(((Inputs!$C$6)+38)^2)/(7^2))*(0.55+0.45*SIN(2*PI()*(Scenario_Data!T13)/45))+24*SIN(2*PI()*(Inputs!$C$6)/9+(Scenario_Data!T13)/18)*EXP(-(((Inputs!$C$6)+5)^2)/(22^2))+18*SIN(2*PI()*(Scenario_Data!T13)/70))+Inputs!$C$28*EXP(-(((Scenario_Data!T13)-Inputs!$C$29)^2)/(2*Inputs!$C$31^2))*EXP(-(((Inputs!$C$6)-Inputs!$C$30)^2)/(2*Inputs!$C$32^2))+-Inputs!$C$33*EXP(-(((((Scenario_Data!T13)-Inputs!$C$34)^2)+(((Inputs!$C$6)-Inputs!$C$35)^2))/(2*Inputs!$C$36^2)))+Inputs!$C$37*(0.55*SIN(2*PI()*(Scenario_Data!T13)/Inputs!$C$39)+0.35*COS(2*PI()*(Inputs!$C$6)/Inputs!$C$40)+0.2*SIN(2*PI()*((Scenario_Data!T13)+(Inputs!$C$6))/(0.5*(Inputs!$C$39+Inputs!$C$40))))+Inputs!$C$38*SIN(2*PI()*(Scenario_Data!T13)/Inputs!$C$39)*SIN(2*PI()*(Inputs!$C$6)/Inputs!$C$40)+-Inputs!$C$41*EXP(-(((Inputs!$C$6)-Inputs!$C$43)^2)/(2*Inputs!$C$44^2))*EXP(-(((Scenario_Data!T13)-Inputs!$C$42)^2)/(2*Inputs!$C$45^2))+Inputs!$C$48*(0.7*(0.45*SIN(2*PI()*(((Scenario_Data!T13)/Inputs!$C$49)+Inputs!$C$47*0.137))+0.35*COS(2*PI()*(((Inputs!$C$6)/Inputs!$C$50)+Inputs!$C$47*0.173))+0.2*SIN(2*PI()*((((Scenario_Data!T13)+(Inputs!$C$6))/(0.5*(Inputs!$C$49+Inputs!$C$50)))+Inputs!$C$47*0.097)))+0.3*(2*((SIN(((Scenario_Data!T13)*12.9898+(Inputs!$C$6)*78.233+Inputs!$C$47*37.719))*43758.5453)-INT((SIN(((Scenario_Data!T13)*12.9898+(Inputs!$C$6)*78.233+Inputs!$C$47*37.719))*43758.5453)))-1))))/1000))*COS(SQRT((Scenario_Data!T13)^2+Inputs!$C$6^2)/Inputs!$C$52))*1000)/Inputs!$C$21*1000000</f>
        <v/>
      </c>
      <c r="AR13">
        <f>Scenario_Data!U13</f>
        <v/>
      </c>
      <c r="AS13">
        <f>2*(SQRT((Inputs!$C$52+(Scenario_Data!C13))^2+(Inputs!$C$52+((IF(OR(Inputs!$C$27=TRUE,Inputs!$C$27="TRUE",Inputs!$C$27=1),1,0)*(Inputs!$C$51*(115*EXP(-(((Inputs!$C$6)-25)^2)/(4.5^2))+70*EXP(-(((Inputs!$C$6)+38)^2)/(7^2))*(0.55+0.45*SIN(2*PI()*(Scenario_Data!U13)/45))+24*SIN(2*PI()*(Inputs!$C$6)/9+(Scenario_Data!U13)/18)*EXP(-(((Inputs!$C$6)+5)^2)/(22^2))+18*SIN(2*PI()*(Scenario_Data!U13)/70))+Inputs!$C$28*EXP(-(((Scenario_Data!U13)-Inputs!$C$29)^2)/(2*Inputs!$C$31^2))*EXP(-(((Inputs!$C$6)-Inputs!$C$30)^2)/(2*Inputs!$C$32^2))+-Inputs!$C$33*EXP(-(((((Scenario_Data!U13)-Inputs!$C$34)^2)+(((Inputs!$C$6)-Inputs!$C$35)^2))/(2*Inputs!$C$36^2)))+Inputs!$C$37*(0.55*SIN(2*PI()*(Scenario_Data!U13)/Inputs!$C$39)+0.35*COS(2*PI()*(Inputs!$C$6)/Inputs!$C$40)+0.2*SIN(2*PI()*((Scenario_Data!U13)+(Inputs!$C$6))/(0.5*(Inputs!$C$39+Inputs!$C$40))))+Inputs!$C$38*SIN(2*PI()*(Scenario_Data!U13)/Inputs!$C$39)*SIN(2*PI()*(Inputs!$C$6)/Inputs!$C$40)+-Inputs!$C$41*EXP(-(((Inputs!$C$6)-Inputs!$C$43)^2)/(2*Inputs!$C$44^2))*EXP(-(((Scenario_Data!U13)-Inputs!$C$42)^2)/(2*Inputs!$C$45^2))+Inputs!$C$48*(0.7*(0.45*SIN(2*PI()*(((Scenario_Data!U13)/Inputs!$C$49)+Inputs!$C$47*0.137))+0.35*COS(2*PI()*(((Inputs!$C$6)/Inputs!$C$50)+Inputs!$C$47*0.173))+0.2*SIN(2*PI()*((((Scenario_Data!U13)+(Inputs!$C$6))/(0.5*(Inputs!$C$49+Inputs!$C$50)))+Inputs!$C$47*0.097)))+0.3*(2*((SIN(((Scenario_Data!U13)*12.9898+(Inputs!$C$6)*78.233+Inputs!$C$47*37.719))*43758.5453)-INT((SIN(((Scenario_Data!U13)*12.9898+(Inputs!$C$6)*78.233+Inputs!$C$47*37.719))*43758.5453)))-1))))/1000))^2-2*(Inputs!$C$52+(Scenario_Data!C13))*(Inputs!$C$52+((IF(OR(Inputs!$C$27=TRUE,Inputs!$C$27="TRUE",Inputs!$C$27=1),1,0)*(Inputs!$C$51*(115*EXP(-(((Inputs!$C$6)-25)^2)/(4.5^2))+70*EXP(-(((Inputs!$C$6)+38)^2)/(7^2))*(0.55+0.45*SIN(2*PI()*(Scenario_Data!U13)/45))+24*SIN(2*PI()*(Inputs!$C$6)/9+(Scenario_Data!U13)/18)*EXP(-(((Inputs!$C$6)+5)^2)/(22^2))+18*SIN(2*PI()*(Scenario_Data!U13)/70))+Inputs!$C$28*EXP(-(((Scenario_Data!U13)-Inputs!$C$29)^2)/(2*Inputs!$C$31^2))*EXP(-(((Inputs!$C$6)-Inputs!$C$30)^2)/(2*Inputs!$C$32^2))+-Inputs!$C$33*EXP(-(((((Scenario_Data!U13)-Inputs!$C$34)^2)+(((Inputs!$C$6)-Inputs!$C$35)^2))/(2*Inputs!$C$36^2)))+Inputs!$C$37*(0.55*SIN(2*PI()*(Scenario_Data!U13)/Inputs!$C$39)+0.35*COS(2*PI()*(Inputs!$C$6)/Inputs!$C$40)+0.2*SIN(2*PI()*((Scenario_Data!U13)+(Inputs!$C$6))/(0.5*(Inputs!$C$39+Inputs!$C$40))))+Inputs!$C$38*SIN(2*PI()*(Scenario_Data!U13)/Inputs!$C$39)*SIN(2*PI()*(Inputs!$C$6)/Inputs!$C$40)+-Inputs!$C$41*EXP(-(((Inputs!$C$6)-Inputs!$C$43)^2)/(2*Inputs!$C$44^2))*EXP(-(((Scenario_Data!U13)-Inputs!$C$42)^2)/(2*Inputs!$C$45^2))+Inputs!$C$48*(0.7*(0.45*SIN(2*PI()*(((Scenario_Data!U13)/Inputs!$C$49)+Inputs!$C$47*0.137))+0.35*COS(2*PI()*(((Inputs!$C$6)/Inputs!$C$50)+Inputs!$C$47*0.173))+0.2*SIN(2*PI()*((((Scenario_Data!U13)+(Inputs!$C$6))/(0.5*(Inputs!$C$49+Inputs!$C$50)))+Inputs!$C$47*0.097)))+0.3*(2*((SIN(((Scenario_Data!U13)*12.9898+(Inputs!$C$6)*78.233+Inputs!$C$47*37.719))*43758.5453)-INT((SIN(((Scenario_Data!U13)*12.9898+(Inputs!$C$6)*78.233+Inputs!$C$47*37.719))*43758.5453)))-1))))/1000))*COS(SQRT((Scenario_Data!U13)^2+Inputs!$C$6^2)/Inputs!$C$52))*1000)/Inputs!$C$21*1000000</f>
        <v/>
      </c>
      <c r="AT13">
        <f>Scenario_Data!V13</f>
        <v/>
      </c>
      <c r="AU13">
        <f>2*(SQRT((Inputs!$C$52+(Scenario_Data!D13))^2+(Inputs!$C$52+((IF(OR(Inputs!$C$27=TRUE,Inputs!$C$27="TRUE",Inputs!$C$27=1),1,0)*(Inputs!$C$51*(115*EXP(-(((Inputs!$C$6)-25)^2)/(4.5^2))+70*EXP(-(((Inputs!$C$6)+38)^2)/(7^2))*(0.55+0.45*SIN(2*PI()*(Scenario_Data!V13)/45))+24*SIN(2*PI()*(Inputs!$C$6)/9+(Scenario_Data!V13)/18)*EXP(-(((Inputs!$C$6)+5)^2)/(22^2))+18*SIN(2*PI()*(Scenario_Data!V13)/70))+Inputs!$C$28*EXP(-(((Scenario_Data!V13)-Inputs!$C$29)^2)/(2*Inputs!$C$31^2))*EXP(-(((Inputs!$C$6)-Inputs!$C$30)^2)/(2*Inputs!$C$32^2))+-Inputs!$C$33*EXP(-(((((Scenario_Data!V13)-Inputs!$C$34)^2)+(((Inputs!$C$6)-Inputs!$C$35)^2))/(2*Inputs!$C$36^2)))+Inputs!$C$37*(0.55*SIN(2*PI()*(Scenario_Data!V13)/Inputs!$C$39)+0.35*COS(2*PI()*(Inputs!$C$6)/Inputs!$C$40)+0.2*SIN(2*PI()*((Scenario_Data!V13)+(Inputs!$C$6))/(0.5*(Inputs!$C$39+Inputs!$C$40))))+Inputs!$C$38*SIN(2*PI()*(Scenario_Data!V13)/Inputs!$C$39)*SIN(2*PI()*(Inputs!$C$6)/Inputs!$C$40)+-Inputs!$C$41*EXP(-(((Inputs!$C$6)-Inputs!$C$43)^2)/(2*Inputs!$C$44^2))*EXP(-(((Scenario_Data!V13)-Inputs!$C$42)^2)/(2*Inputs!$C$45^2))+Inputs!$C$48*(0.7*(0.45*SIN(2*PI()*(((Scenario_Data!V13)/Inputs!$C$49)+Inputs!$C$47*0.137))+0.35*COS(2*PI()*(((Inputs!$C$6)/Inputs!$C$50)+Inputs!$C$47*0.173))+0.2*SIN(2*PI()*((((Scenario_Data!V13)+(Inputs!$C$6))/(0.5*(Inputs!$C$49+Inputs!$C$50)))+Inputs!$C$47*0.097)))+0.3*(2*((SIN(((Scenario_Data!V13)*12.9898+(Inputs!$C$6)*78.233+Inputs!$C$47*37.719))*43758.5453)-INT((SIN(((Scenario_Data!V13)*12.9898+(Inputs!$C$6)*78.233+Inputs!$C$47*37.719))*43758.5453)))-1))))/1000))^2-2*(Inputs!$C$52+(Scenario_Data!D13))*(Inputs!$C$52+((IF(OR(Inputs!$C$27=TRUE,Inputs!$C$27="TRUE",Inputs!$C$27=1),1,0)*(Inputs!$C$51*(115*EXP(-(((Inputs!$C$6)-25)^2)/(4.5^2))+70*EXP(-(((Inputs!$C$6)+38)^2)/(7^2))*(0.55+0.45*SIN(2*PI()*(Scenario_Data!V13)/45))+24*SIN(2*PI()*(Inputs!$C$6)/9+(Scenario_Data!V13)/18)*EXP(-(((Inputs!$C$6)+5)^2)/(22^2))+18*SIN(2*PI()*(Scenario_Data!V13)/70))+Inputs!$C$28*EXP(-(((Scenario_Data!V13)-Inputs!$C$29)^2)/(2*Inputs!$C$31^2))*EXP(-(((Inputs!$C$6)-Inputs!$C$30)^2)/(2*Inputs!$C$32^2))+-Inputs!$C$33*EXP(-(((((Scenario_Data!V13)-Inputs!$C$34)^2)+(((Inputs!$C$6)-Inputs!$C$35)^2))/(2*Inputs!$C$36^2)))+Inputs!$C$37*(0.55*SIN(2*PI()*(Scenario_Data!V13)/Inputs!$C$39)+0.35*COS(2*PI()*(Inputs!$C$6)/Inputs!$C$40)+0.2*SIN(2*PI()*((Scenario_Data!V13)+(Inputs!$C$6))/(0.5*(Inputs!$C$39+Inputs!$C$40))))+Inputs!$C$38*SIN(2*PI()*(Scenario_Data!V13)/Inputs!$C$39)*SIN(2*PI()*(Inputs!$C$6)/Inputs!$C$40)+-Inputs!$C$41*EXP(-(((Inputs!$C$6)-Inputs!$C$43)^2)/(2*Inputs!$C$44^2))*EXP(-(((Scenario_Data!V13)-Inputs!$C$42)^2)/(2*Inputs!$C$45^2))+Inputs!$C$48*(0.7*(0.45*SIN(2*PI()*(((Scenario_Data!V13)/Inputs!$C$49)+Inputs!$C$47*0.137))+0.35*COS(2*PI()*(((Inputs!$C$6)/Inputs!$C$50)+Inputs!$C$47*0.173))+0.2*SIN(2*PI()*((((Scenario_Data!V13)+(Inputs!$C$6))/(0.5*(Inputs!$C$49+Inputs!$C$50)))+Inputs!$C$47*0.097)))+0.3*(2*((SIN(((Scenario_Data!V13)*12.9898+(Inputs!$C$6)*78.233+Inputs!$C$47*37.719))*43758.5453)-INT((SIN(((Scenario_Data!V13)*12.9898+(Inputs!$C$6)*78.233+Inputs!$C$47*37.719))*43758.5453)))-1))))/1000))*COS(SQRT((Scenario_Data!V13)^2+Inputs!$C$6^2)/Inputs!$C$52))*1000)/Inputs!$C$21*1000000</f>
        <v/>
      </c>
      <c r="AV13">
        <f>Scenario_Data!W13</f>
        <v/>
      </c>
      <c r="AW13">
        <f>2*(SQRT((Inputs!$C$52+(Scenario_Data!E13))^2+(Inputs!$C$52+((IF(OR(Inputs!$C$27=TRUE,Inputs!$C$27="TRUE",Inputs!$C$27=1),1,0)*(Inputs!$C$51*(115*EXP(-(((Inputs!$C$6)-25)^2)/(4.5^2))+70*EXP(-(((Inputs!$C$6)+38)^2)/(7^2))*(0.55+0.45*SIN(2*PI()*(Scenario_Data!W13)/45))+24*SIN(2*PI()*(Inputs!$C$6)/9+(Scenario_Data!W13)/18)*EXP(-(((Inputs!$C$6)+5)^2)/(22^2))+18*SIN(2*PI()*(Scenario_Data!W13)/70))+Inputs!$C$28*EXP(-(((Scenario_Data!W13)-Inputs!$C$29)^2)/(2*Inputs!$C$31^2))*EXP(-(((Inputs!$C$6)-Inputs!$C$30)^2)/(2*Inputs!$C$32^2))+-Inputs!$C$33*EXP(-(((((Scenario_Data!W13)-Inputs!$C$34)^2)+(((Inputs!$C$6)-Inputs!$C$35)^2))/(2*Inputs!$C$36^2)))+Inputs!$C$37*(0.55*SIN(2*PI()*(Scenario_Data!W13)/Inputs!$C$39)+0.35*COS(2*PI()*(Inputs!$C$6)/Inputs!$C$40)+0.2*SIN(2*PI()*((Scenario_Data!W13)+(Inputs!$C$6))/(0.5*(Inputs!$C$39+Inputs!$C$40))))+Inputs!$C$38*SIN(2*PI()*(Scenario_Data!W13)/Inputs!$C$39)*SIN(2*PI()*(Inputs!$C$6)/Inputs!$C$40)+-Inputs!$C$41*EXP(-(((Inputs!$C$6)-Inputs!$C$43)^2)/(2*Inputs!$C$44^2))*EXP(-(((Scenario_Data!W13)-Inputs!$C$42)^2)/(2*Inputs!$C$45^2))+Inputs!$C$48*(0.7*(0.45*SIN(2*PI()*(((Scenario_Data!W13)/Inputs!$C$49)+Inputs!$C$47*0.137))+0.35*COS(2*PI()*(((Inputs!$C$6)/Inputs!$C$50)+Inputs!$C$47*0.173))+0.2*SIN(2*PI()*((((Scenario_Data!W13)+(Inputs!$C$6))/(0.5*(Inputs!$C$49+Inputs!$C$50)))+Inputs!$C$47*0.097)))+0.3*(2*((SIN(((Scenario_Data!W13)*12.9898+(Inputs!$C$6)*78.233+Inputs!$C$47*37.719))*43758.5453)-INT((SIN(((Scenario_Data!W13)*12.9898+(Inputs!$C$6)*78.233+Inputs!$C$47*37.719))*43758.5453)))-1))))/1000))^2-2*(Inputs!$C$52+(Scenario_Data!E13))*(Inputs!$C$52+((IF(OR(Inputs!$C$27=TRUE,Inputs!$C$27="TRUE",Inputs!$C$27=1),1,0)*(Inputs!$C$51*(115*EXP(-(((Inputs!$C$6)-25)^2)/(4.5^2))+70*EXP(-(((Inputs!$C$6)+38)^2)/(7^2))*(0.55+0.45*SIN(2*PI()*(Scenario_Data!W13)/45))+24*SIN(2*PI()*(Inputs!$C$6)/9+(Scenario_Data!W13)/18)*EXP(-(((Inputs!$C$6)+5)^2)/(22^2))+18*SIN(2*PI()*(Scenario_Data!W13)/70))+Inputs!$C$28*EXP(-(((Scenario_Data!W13)-Inputs!$C$29)^2)/(2*Inputs!$C$31^2))*EXP(-(((Inputs!$C$6)-Inputs!$C$30)^2)/(2*Inputs!$C$32^2))+-Inputs!$C$33*EXP(-(((((Scenario_Data!W13)-Inputs!$C$34)^2)+(((Inputs!$C$6)-Inputs!$C$35)^2))/(2*Inputs!$C$36^2)))+Inputs!$C$37*(0.55*SIN(2*PI()*(Scenario_Data!W13)/Inputs!$C$39)+0.35*COS(2*PI()*(Inputs!$C$6)/Inputs!$C$40)+0.2*SIN(2*PI()*((Scenario_Data!W13)+(Inputs!$C$6))/(0.5*(Inputs!$C$39+Inputs!$C$40))))+Inputs!$C$38*SIN(2*PI()*(Scenario_Data!W13)/Inputs!$C$39)*SIN(2*PI()*(Inputs!$C$6)/Inputs!$C$40)+-Inputs!$C$41*EXP(-(((Inputs!$C$6)-Inputs!$C$43)^2)/(2*Inputs!$C$44^2))*EXP(-(((Scenario_Data!W13)-Inputs!$C$42)^2)/(2*Inputs!$C$45^2))+Inputs!$C$48*(0.7*(0.45*SIN(2*PI()*(((Scenario_Data!W13)/Inputs!$C$49)+Inputs!$C$47*0.137))+0.35*COS(2*PI()*(((Inputs!$C$6)/Inputs!$C$50)+Inputs!$C$47*0.173))+0.2*SIN(2*PI()*((((Scenario_Data!W13)+(Inputs!$C$6))/(0.5*(Inputs!$C$49+Inputs!$C$50)))+Inputs!$C$47*0.097)))+0.3*(2*((SIN(((Scenario_Data!W13)*12.9898+(Inputs!$C$6)*78.233+Inputs!$C$47*37.719))*43758.5453)-INT((SIN(((Scenario_Data!W13)*12.9898+(Inputs!$C$6)*78.233+Inputs!$C$47*37.719))*43758.5453)))-1))))/1000))*COS(SQRT((Scenario_Data!W13)^2+Inputs!$C$6^2)/Inputs!$C$52))*1000)/Inputs!$C$21*1000000</f>
        <v/>
      </c>
    </row>
    <row r="14">
      <c r="A14">
        <f>Chart_Data!K14</f>
        <v/>
      </c>
      <c r="B14">
        <f>Chart_Data!N14-Chart_Data!L14</f>
        <v/>
      </c>
      <c r="D14">
        <f>Chart_Data!G14</f>
        <v/>
      </c>
      <c r="E14">
        <f>Chart_Data!H14</f>
        <v/>
      </c>
      <c r="F14">
        <f>Chart_Data!I14</f>
        <v/>
      </c>
      <c r="G14">
        <f>Chart_Data!J14</f>
        <v/>
      </c>
      <c r="I14">
        <f>Scenario_Data!A14</f>
        <v/>
      </c>
      <c r="J14">
        <f>Scenario_Data!H14-(((SQRT((Inputs!$C$52+(Inputs!$H$6))^2+Inputs!$C$52^2-2*(Inputs!$C$52+(Inputs!$H$6))*Inputs!$C$52*COS(SQRT((Scenario_Data!T14)^2+Inputs!$C$6^2)/Inputs!$C$52)))-(Inputs!$H$6))*1000/Inputs!$C$12)</f>
        <v/>
      </c>
      <c r="K14">
        <f>Scenario_Data!I14-(((SQRT((Inputs!$C$52+(Inputs!$H$7))^2+Inputs!$C$52^2-2*(Inputs!$C$52+(Inputs!$H$7))*Inputs!$C$52*COS(SQRT((Scenario_Data!U14)^2+Inputs!$C$6^2)/Inputs!$C$52)))-(Inputs!$H$7))*1000/Inputs!$C$12)</f>
        <v/>
      </c>
      <c r="L14">
        <f>Scenario_Data!J14-(((SQRT((Inputs!$C$52+(Inputs!$H$8))^2+Inputs!$C$52^2-2*(Inputs!$C$52+(Inputs!$H$8))*Inputs!$C$52*COS(SQRT((Scenario_Data!V14)^2+Inputs!$C$6^2)/Inputs!$C$52)))-(Inputs!$H$8))*1000/Inputs!$C$12)</f>
        <v/>
      </c>
      <c r="M14">
        <f>Scenario_Data!K14-(((SQRT((Inputs!$C$52+(Inputs!$H$9))^2+Inputs!$C$52^2-2*(Inputs!$C$52+(Inputs!$H$9))*Inputs!$C$52*COS(SQRT((Scenario_Data!W14)^2+Inputs!$C$6^2)/Inputs!$C$52)))-(Inputs!$H$9))*1000/Inputs!$C$12)</f>
        <v/>
      </c>
      <c r="O14">
        <f>Scenario_Data!T14</f>
        <v/>
      </c>
      <c r="P14">
        <f>2*(Scenario_Data!B14*1000)/Inputs!$C$21*1000000</f>
        <v/>
      </c>
      <c r="Q14">
        <f>Scenario_Data!U14</f>
        <v/>
      </c>
      <c r="R14">
        <f>2*(Scenario_Data!C14*1000)/Inputs!$C$21*1000000</f>
        <v/>
      </c>
      <c r="S14">
        <f>Scenario_Data!V14</f>
        <v/>
      </c>
      <c r="T14">
        <f>2*(Scenario_Data!D14*1000)/Inputs!$C$21*1000000</f>
        <v/>
      </c>
      <c r="U14">
        <f>Scenario_Data!W14</f>
        <v/>
      </c>
      <c r="V14">
        <f>2*(Scenario_Data!E14*1000)/Inputs!$C$21*1000000</f>
        <v/>
      </c>
      <c r="X14">
        <f>Scenario_Data!T14</f>
        <v/>
      </c>
      <c r="Y14">
        <f>2*((Scenario_Data!B14*1000)-(IF(OR(Inputs!$C$27=TRUE,Inputs!$C$27="TRUE",Inputs!$C$27=1),1,0)*(Inputs!$C$51*(115*EXP(-(((0)-25)^2)/(4.5^2))+70*EXP(-(((0)+38)^2)/(7^2))*(0.55+0.45*SIN(2*PI()*(Scenario_Data!T14)/45))+24*SIN(2*PI()*(0)/9+(Scenario_Data!T14)/18)*EXP(-(((0)+5)^2)/(22^2))+18*SIN(2*PI()*(Scenario_Data!T14)/70))+Inputs!$C$28*EXP(-(((Scenario_Data!T14)-Inputs!$C$29)^2)/(2*Inputs!$C$31^2))*EXP(-(((0)-Inputs!$C$30)^2)/(2*Inputs!$C$32^2))+-Inputs!$C$33*EXP(-(((((Scenario_Data!T14)-Inputs!$C$34)^2)+(((0)-Inputs!$C$35)^2))/(2*Inputs!$C$36^2)))+Inputs!$C$37*(0.55*SIN(2*PI()*(Scenario_Data!T14)/Inputs!$C$39)+0.35*COS(2*PI()*(0)/Inputs!$C$40)+0.2*SIN(2*PI()*((Scenario_Data!T14)+(0))/(0.5*(Inputs!$C$39+Inputs!$C$40))))+Inputs!$C$38*SIN(2*PI()*(Scenario_Data!T14)/Inputs!$C$39)*SIN(2*PI()*(0)/Inputs!$C$40)+-Inputs!$C$41*EXP(-(((0)-Inputs!$C$43)^2)/(2*Inputs!$C$44^2))*EXP(-(((Scenario_Data!T14)-Inputs!$C$42)^2)/(2*Inputs!$C$45^2))+Inputs!$C$48*(0.7*(0.45*SIN(2*PI()*(((Scenario_Data!T14)/Inputs!$C$49)+Inputs!$C$47*0.137))+0.35*COS(2*PI()*(((0)/Inputs!$C$50)+Inputs!$C$47*0.173))+0.2*SIN(2*PI()*((((Scenario_Data!T14)+(0))/(0.5*(Inputs!$C$49+Inputs!$C$50)))+Inputs!$C$47*0.097)))+0.3*(2*((SIN(((Scenario_Data!T14)*12.9898+(0)*78.233+Inputs!$C$47*37.719))*43758.5453)-INT((SIN(((Scenario_Data!T14)*12.9898+(0)*78.233+Inputs!$C$47*37.719))*43758.5453)))-1)))))/Inputs!$C$21*1000000</f>
        <v/>
      </c>
      <c r="Z14">
        <f>Scenario_Data!U14</f>
        <v/>
      </c>
      <c r="AA14">
        <f>2*((Scenario_Data!C14*1000)-(IF(OR(Inputs!$C$27=TRUE,Inputs!$C$27="TRUE",Inputs!$C$27=1),1,0)*(Inputs!$C$51*(115*EXP(-(((0)-25)^2)/(4.5^2))+70*EXP(-(((0)+38)^2)/(7^2))*(0.55+0.45*SIN(2*PI()*(Scenario_Data!U14)/45))+24*SIN(2*PI()*(0)/9+(Scenario_Data!U14)/18)*EXP(-(((0)+5)^2)/(22^2))+18*SIN(2*PI()*(Scenario_Data!U14)/70))+Inputs!$C$28*EXP(-(((Scenario_Data!U14)-Inputs!$C$29)^2)/(2*Inputs!$C$31^2))*EXP(-(((0)-Inputs!$C$30)^2)/(2*Inputs!$C$32^2))+-Inputs!$C$33*EXP(-(((((Scenario_Data!U14)-Inputs!$C$34)^2)+(((0)-Inputs!$C$35)^2))/(2*Inputs!$C$36^2)))+Inputs!$C$37*(0.55*SIN(2*PI()*(Scenario_Data!U14)/Inputs!$C$39)+0.35*COS(2*PI()*(0)/Inputs!$C$40)+0.2*SIN(2*PI()*((Scenario_Data!U14)+(0))/(0.5*(Inputs!$C$39+Inputs!$C$40))))+Inputs!$C$38*SIN(2*PI()*(Scenario_Data!U14)/Inputs!$C$39)*SIN(2*PI()*(0)/Inputs!$C$40)+-Inputs!$C$41*EXP(-(((0)-Inputs!$C$43)^2)/(2*Inputs!$C$44^2))*EXP(-(((Scenario_Data!U14)-Inputs!$C$42)^2)/(2*Inputs!$C$45^2))+Inputs!$C$48*(0.7*(0.45*SIN(2*PI()*(((Scenario_Data!U14)/Inputs!$C$49)+Inputs!$C$47*0.137))+0.35*COS(2*PI()*(((0)/Inputs!$C$50)+Inputs!$C$47*0.173))+0.2*SIN(2*PI()*((((Scenario_Data!U14)+(0))/(0.5*(Inputs!$C$49+Inputs!$C$50)))+Inputs!$C$47*0.097)))+0.3*(2*((SIN(((Scenario_Data!U14)*12.9898+(0)*78.233+Inputs!$C$47*37.719))*43758.5453)-INT((SIN(((Scenario_Data!U14)*12.9898+(0)*78.233+Inputs!$C$47*37.719))*43758.5453)))-1)))))/Inputs!$C$21*1000000</f>
        <v/>
      </c>
      <c r="AB14">
        <f>Scenario_Data!V14</f>
        <v/>
      </c>
      <c r="AC14">
        <f>2*((Scenario_Data!D14*1000)-(IF(OR(Inputs!$C$27=TRUE,Inputs!$C$27="TRUE",Inputs!$C$27=1),1,0)*(Inputs!$C$51*(115*EXP(-(((0)-25)^2)/(4.5^2))+70*EXP(-(((0)+38)^2)/(7^2))*(0.55+0.45*SIN(2*PI()*(Scenario_Data!V14)/45))+24*SIN(2*PI()*(0)/9+(Scenario_Data!V14)/18)*EXP(-(((0)+5)^2)/(22^2))+18*SIN(2*PI()*(Scenario_Data!V14)/70))+Inputs!$C$28*EXP(-(((Scenario_Data!V14)-Inputs!$C$29)^2)/(2*Inputs!$C$31^2))*EXP(-(((0)-Inputs!$C$30)^2)/(2*Inputs!$C$32^2))+-Inputs!$C$33*EXP(-(((((Scenario_Data!V14)-Inputs!$C$34)^2)+(((0)-Inputs!$C$35)^2))/(2*Inputs!$C$36^2)))+Inputs!$C$37*(0.55*SIN(2*PI()*(Scenario_Data!V14)/Inputs!$C$39)+0.35*COS(2*PI()*(0)/Inputs!$C$40)+0.2*SIN(2*PI()*((Scenario_Data!V14)+(0))/(0.5*(Inputs!$C$39+Inputs!$C$40))))+Inputs!$C$38*SIN(2*PI()*(Scenario_Data!V14)/Inputs!$C$39)*SIN(2*PI()*(0)/Inputs!$C$40)+-Inputs!$C$41*EXP(-(((0)-Inputs!$C$43)^2)/(2*Inputs!$C$44^2))*EXP(-(((Scenario_Data!V14)-Inputs!$C$42)^2)/(2*Inputs!$C$45^2))+Inputs!$C$48*(0.7*(0.45*SIN(2*PI()*(((Scenario_Data!V14)/Inputs!$C$49)+Inputs!$C$47*0.137))+0.35*COS(2*PI()*(((0)/Inputs!$C$50)+Inputs!$C$47*0.173))+0.2*SIN(2*PI()*((((Scenario_Data!V14)+(0))/(0.5*(Inputs!$C$49+Inputs!$C$50)))+Inputs!$C$47*0.097)))+0.3*(2*((SIN(((Scenario_Data!V14)*12.9898+(0)*78.233+Inputs!$C$47*37.719))*43758.5453)-INT((SIN(((Scenario_Data!V14)*12.9898+(0)*78.233+Inputs!$C$47*37.719))*43758.5453)))-1)))))/Inputs!$C$21*1000000</f>
        <v/>
      </c>
      <c r="AD14">
        <f>Scenario_Data!W14</f>
        <v/>
      </c>
      <c r="AE14">
        <f>2*((Scenario_Data!E14*1000)-(IF(OR(Inputs!$C$27=TRUE,Inputs!$C$27="TRUE",Inputs!$C$27=1),1,0)*(Inputs!$C$51*(115*EXP(-(((0)-25)^2)/(4.5^2))+70*EXP(-(((0)+38)^2)/(7^2))*(0.55+0.45*SIN(2*PI()*(Scenario_Data!W14)/45))+24*SIN(2*PI()*(0)/9+(Scenario_Data!W14)/18)*EXP(-(((0)+5)^2)/(22^2))+18*SIN(2*PI()*(Scenario_Data!W14)/70))+Inputs!$C$28*EXP(-(((Scenario_Data!W14)-Inputs!$C$29)^2)/(2*Inputs!$C$31^2))*EXP(-(((0)-Inputs!$C$30)^2)/(2*Inputs!$C$32^2))+-Inputs!$C$33*EXP(-(((((Scenario_Data!W14)-Inputs!$C$34)^2)+(((0)-Inputs!$C$35)^2))/(2*Inputs!$C$36^2)))+Inputs!$C$37*(0.55*SIN(2*PI()*(Scenario_Data!W14)/Inputs!$C$39)+0.35*COS(2*PI()*(0)/Inputs!$C$40)+0.2*SIN(2*PI()*((Scenario_Data!W14)+(0))/(0.5*(Inputs!$C$39+Inputs!$C$40))))+Inputs!$C$38*SIN(2*PI()*(Scenario_Data!W14)/Inputs!$C$39)*SIN(2*PI()*(0)/Inputs!$C$40)+-Inputs!$C$41*EXP(-(((0)-Inputs!$C$43)^2)/(2*Inputs!$C$44^2))*EXP(-(((Scenario_Data!W14)-Inputs!$C$42)^2)/(2*Inputs!$C$45^2))+Inputs!$C$48*(0.7*(0.45*SIN(2*PI()*(((Scenario_Data!W14)/Inputs!$C$49)+Inputs!$C$47*0.137))+0.35*COS(2*PI()*(((0)/Inputs!$C$50)+Inputs!$C$47*0.173))+0.2*SIN(2*PI()*((((Scenario_Data!W14)+(0))/(0.5*(Inputs!$C$49+Inputs!$C$50)))+Inputs!$C$47*0.097)))+0.3*(2*((SIN(((Scenario_Data!W14)*12.9898+(0)*78.233+Inputs!$C$47*37.719))*43758.5453)-INT((SIN(((Scenario_Data!W14)*12.9898+(0)*78.233+Inputs!$C$47*37.719))*43758.5453)))-1)))))/Inputs!$C$21*1000000</f>
        <v/>
      </c>
      <c r="AG14">
        <f>Scenario_Data!T14</f>
        <v/>
      </c>
      <c r="AH14">
        <f>2*(SQRT((Inputs!$C$52+(Scenario_Data!B14))^2+Inputs!$C$52^2-2*(Inputs!$C$52+(Scenario_Data!B14))*Inputs!$C$52*COS(SQRT((Scenario_Data!T14)^2+Inputs!$C$6^2)/Inputs!$C$52))*1000)/Inputs!$C$21*1000000</f>
        <v/>
      </c>
      <c r="AI14">
        <f>Scenario_Data!U14</f>
        <v/>
      </c>
      <c r="AJ14">
        <f>2*(SQRT((Inputs!$C$52+(Scenario_Data!C14))^2+Inputs!$C$52^2-2*(Inputs!$C$52+(Scenario_Data!C14))*Inputs!$C$52*COS(SQRT((Scenario_Data!U14)^2+Inputs!$C$6^2)/Inputs!$C$52))*1000)/Inputs!$C$21*1000000</f>
        <v/>
      </c>
      <c r="AK14">
        <f>Scenario_Data!V14</f>
        <v/>
      </c>
      <c r="AL14">
        <f>2*(SQRT((Inputs!$C$52+(Scenario_Data!D14))^2+Inputs!$C$52^2-2*(Inputs!$C$52+(Scenario_Data!D14))*Inputs!$C$52*COS(SQRT((Scenario_Data!V14)^2+Inputs!$C$6^2)/Inputs!$C$52))*1000)/Inputs!$C$21*1000000</f>
        <v/>
      </c>
      <c r="AM14">
        <f>Scenario_Data!W14</f>
        <v/>
      </c>
      <c r="AN14">
        <f>2*(SQRT((Inputs!$C$52+(Scenario_Data!E14))^2+Inputs!$C$52^2-2*(Inputs!$C$52+(Scenario_Data!E14))*Inputs!$C$52*COS(SQRT((Scenario_Data!W14)^2+Inputs!$C$6^2)/Inputs!$C$52))*1000)/Inputs!$C$21*1000000</f>
        <v/>
      </c>
      <c r="AP14">
        <f>Scenario_Data!T14</f>
        <v/>
      </c>
      <c r="AQ14">
        <f>2*(SQRT((Inputs!$C$52+(Scenario_Data!B14))^2+(Inputs!$C$52+((IF(OR(Inputs!$C$27=TRUE,Inputs!$C$27="TRUE",Inputs!$C$27=1),1,0)*(Inputs!$C$51*(115*EXP(-(((Inputs!$C$6)-25)^2)/(4.5^2))+70*EXP(-(((Inputs!$C$6)+38)^2)/(7^2))*(0.55+0.45*SIN(2*PI()*(Scenario_Data!T14)/45))+24*SIN(2*PI()*(Inputs!$C$6)/9+(Scenario_Data!T14)/18)*EXP(-(((Inputs!$C$6)+5)^2)/(22^2))+18*SIN(2*PI()*(Scenario_Data!T14)/70))+Inputs!$C$28*EXP(-(((Scenario_Data!T14)-Inputs!$C$29)^2)/(2*Inputs!$C$31^2))*EXP(-(((Inputs!$C$6)-Inputs!$C$30)^2)/(2*Inputs!$C$32^2))+-Inputs!$C$33*EXP(-(((((Scenario_Data!T14)-Inputs!$C$34)^2)+(((Inputs!$C$6)-Inputs!$C$35)^2))/(2*Inputs!$C$36^2)))+Inputs!$C$37*(0.55*SIN(2*PI()*(Scenario_Data!T14)/Inputs!$C$39)+0.35*COS(2*PI()*(Inputs!$C$6)/Inputs!$C$40)+0.2*SIN(2*PI()*((Scenario_Data!T14)+(Inputs!$C$6))/(0.5*(Inputs!$C$39+Inputs!$C$40))))+Inputs!$C$38*SIN(2*PI()*(Scenario_Data!T14)/Inputs!$C$39)*SIN(2*PI()*(Inputs!$C$6)/Inputs!$C$40)+-Inputs!$C$41*EXP(-(((Inputs!$C$6)-Inputs!$C$43)^2)/(2*Inputs!$C$44^2))*EXP(-(((Scenario_Data!T14)-Inputs!$C$42)^2)/(2*Inputs!$C$45^2))+Inputs!$C$48*(0.7*(0.45*SIN(2*PI()*(((Scenario_Data!T14)/Inputs!$C$49)+Inputs!$C$47*0.137))+0.35*COS(2*PI()*(((Inputs!$C$6)/Inputs!$C$50)+Inputs!$C$47*0.173))+0.2*SIN(2*PI()*((((Scenario_Data!T14)+(Inputs!$C$6))/(0.5*(Inputs!$C$49+Inputs!$C$50)))+Inputs!$C$47*0.097)))+0.3*(2*((SIN(((Scenario_Data!T14)*12.9898+(Inputs!$C$6)*78.233+Inputs!$C$47*37.719))*43758.5453)-INT((SIN(((Scenario_Data!T14)*12.9898+(Inputs!$C$6)*78.233+Inputs!$C$47*37.719))*43758.5453)))-1))))/1000))^2-2*(Inputs!$C$52+(Scenario_Data!B14))*(Inputs!$C$52+((IF(OR(Inputs!$C$27=TRUE,Inputs!$C$27="TRUE",Inputs!$C$27=1),1,0)*(Inputs!$C$51*(115*EXP(-(((Inputs!$C$6)-25)^2)/(4.5^2))+70*EXP(-(((Inputs!$C$6)+38)^2)/(7^2))*(0.55+0.45*SIN(2*PI()*(Scenario_Data!T14)/45))+24*SIN(2*PI()*(Inputs!$C$6)/9+(Scenario_Data!T14)/18)*EXP(-(((Inputs!$C$6)+5)^2)/(22^2))+18*SIN(2*PI()*(Scenario_Data!T14)/70))+Inputs!$C$28*EXP(-(((Scenario_Data!T14)-Inputs!$C$29)^2)/(2*Inputs!$C$31^2))*EXP(-(((Inputs!$C$6)-Inputs!$C$30)^2)/(2*Inputs!$C$32^2))+-Inputs!$C$33*EXP(-(((((Scenario_Data!T14)-Inputs!$C$34)^2)+(((Inputs!$C$6)-Inputs!$C$35)^2))/(2*Inputs!$C$36^2)))+Inputs!$C$37*(0.55*SIN(2*PI()*(Scenario_Data!T14)/Inputs!$C$39)+0.35*COS(2*PI()*(Inputs!$C$6)/Inputs!$C$40)+0.2*SIN(2*PI()*((Scenario_Data!T14)+(Inputs!$C$6))/(0.5*(Inputs!$C$39+Inputs!$C$40))))+Inputs!$C$38*SIN(2*PI()*(Scenario_Data!T14)/Inputs!$C$39)*SIN(2*PI()*(Inputs!$C$6)/Inputs!$C$40)+-Inputs!$C$41*EXP(-(((Inputs!$C$6)-Inputs!$C$43)^2)/(2*Inputs!$C$44^2))*EXP(-(((Scenario_Data!T14)-Inputs!$C$42)^2)/(2*Inputs!$C$45^2))+Inputs!$C$48*(0.7*(0.45*SIN(2*PI()*(((Scenario_Data!T14)/Inputs!$C$49)+Inputs!$C$47*0.137))+0.35*COS(2*PI()*(((Inputs!$C$6)/Inputs!$C$50)+Inputs!$C$47*0.173))+0.2*SIN(2*PI()*((((Scenario_Data!T14)+(Inputs!$C$6))/(0.5*(Inputs!$C$49+Inputs!$C$50)))+Inputs!$C$47*0.097)))+0.3*(2*((SIN(((Scenario_Data!T14)*12.9898+(Inputs!$C$6)*78.233+Inputs!$C$47*37.719))*43758.5453)-INT((SIN(((Scenario_Data!T14)*12.9898+(Inputs!$C$6)*78.233+Inputs!$C$47*37.719))*43758.5453)))-1))))/1000))*COS(SQRT((Scenario_Data!T14)^2+Inputs!$C$6^2)/Inputs!$C$52))*1000)/Inputs!$C$21*1000000</f>
        <v/>
      </c>
      <c r="AR14">
        <f>Scenario_Data!U14</f>
        <v/>
      </c>
      <c r="AS14">
        <f>2*(SQRT((Inputs!$C$52+(Scenario_Data!C14))^2+(Inputs!$C$52+((IF(OR(Inputs!$C$27=TRUE,Inputs!$C$27="TRUE",Inputs!$C$27=1),1,0)*(Inputs!$C$51*(115*EXP(-(((Inputs!$C$6)-25)^2)/(4.5^2))+70*EXP(-(((Inputs!$C$6)+38)^2)/(7^2))*(0.55+0.45*SIN(2*PI()*(Scenario_Data!U14)/45))+24*SIN(2*PI()*(Inputs!$C$6)/9+(Scenario_Data!U14)/18)*EXP(-(((Inputs!$C$6)+5)^2)/(22^2))+18*SIN(2*PI()*(Scenario_Data!U14)/70))+Inputs!$C$28*EXP(-(((Scenario_Data!U14)-Inputs!$C$29)^2)/(2*Inputs!$C$31^2))*EXP(-(((Inputs!$C$6)-Inputs!$C$30)^2)/(2*Inputs!$C$32^2))+-Inputs!$C$33*EXP(-(((((Scenario_Data!U14)-Inputs!$C$34)^2)+(((Inputs!$C$6)-Inputs!$C$35)^2))/(2*Inputs!$C$36^2)))+Inputs!$C$37*(0.55*SIN(2*PI()*(Scenario_Data!U14)/Inputs!$C$39)+0.35*COS(2*PI()*(Inputs!$C$6)/Inputs!$C$40)+0.2*SIN(2*PI()*((Scenario_Data!U14)+(Inputs!$C$6))/(0.5*(Inputs!$C$39+Inputs!$C$40))))+Inputs!$C$38*SIN(2*PI()*(Scenario_Data!U14)/Inputs!$C$39)*SIN(2*PI()*(Inputs!$C$6)/Inputs!$C$40)+-Inputs!$C$41*EXP(-(((Inputs!$C$6)-Inputs!$C$43)^2)/(2*Inputs!$C$44^2))*EXP(-(((Scenario_Data!U14)-Inputs!$C$42)^2)/(2*Inputs!$C$45^2))+Inputs!$C$48*(0.7*(0.45*SIN(2*PI()*(((Scenario_Data!U14)/Inputs!$C$49)+Inputs!$C$47*0.137))+0.35*COS(2*PI()*(((Inputs!$C$6)/Inputs!$C$50)+Inputs!$C$47*0.173))+0.2*SIN(2*PI()*((((Scenario_Data!U14)+(Inputs!$C$6))/(0.5*(Inputs!$C$49+Inputs!$C$50)))+Inputs!$C$47*0.097)))+0.3*(2*((SIN(((Scenario_Data!U14)*12.9898+(Inputs!$C$6)*78.233+Inputs!$C$47*37.719))*43758.5453)-INT((SIN(((Scenario_Data!U14)*12.9898+(Inputs!$C$6)*78.233+Inputs!$C$47*37.719))*43758.5453)))-1))))/1000))^2-2*(Inputs!$C$52+(Scenario_Data!C14))*(Inputs!$C$52+((IF(OR(Inputs!$C$27=TRUE,Inputs!$C$27="TRUE",Inputs!$C$27=1),1,0)*(Inputs!$C$51*(115*EXP(-(((Inputs!$C$6)-25)^2)/(4.5^2))+70*EXP(-(((Inputs!$C$6)+38)^2)/(7^2))*(0.55+0.45*SIN(2*PI()*(Scenario_Data!U14)/45))+24*SIN(2*PI()*(Inputs!$C$6)/9+(Scenario_Data!U14)/18)*EXP(-(((Inputs!$C$6)+5)^2)/(22^2))+18*SIN(2*PI()*(Scenario_Data!U14)/70))+Inputs!$C$28*EXP(-(((Scenario_Data!U14)-Inputs!$C$29)^2)/(2*Inputs!$C$31^2))*EXP(-(((Inputs!$C$6)-Inputs!$C$30)^2)/(2*Inputs!$C$32^2))+-Inputs!$C$33*EXP(-(((((Scenario_Data!U14)-Inputs!$C$34)^2)+(((Inputs!$C$6)-Inputs!$C$35)^2))/(2*Inputs!$C$36^2)))+Inputs!$C$37*(0.55*SIN(2*PI()*(Scenario_Data!U14)/Inputs!$C$39)+0.35*COS(2*PI()*(Inputs!$C$6)/Inputs!$C$40)+0.2*SIN(2*PI()*((Scenario_Data!U14)+(Inputs!$C$6))/(0.5*(Inputs!$C$39+Inputs!$C$40))))+Inputs!$C$38*SIN(2*PI()*(Scenario_Data!U14)/Inputs!$C$39)*SIN(2*PI()*(Inputs!$C$6)/Inputs!$C$40)+-Inputs!$C$41*EXP(-(((Inputs!$C$6)-Inputs!$C$43)^2)/(2*Inputs!$C$44^2))*EXP(-(((Scenario_Data!U14)-Inputs!$C$42)^2)/(2*Inputs!$C$45^2))+Inputs!$C$48*(0.7*(0.45*SIN(2*PI()*(((Scenario_Data!U14)/Inputs!$C$49)+Inputs!$C$47*0.137))+0.35*COS(2*PI()*(((Inputs!$C$6)/Inputs!$C$50)+Inputs!$C$47*0.173))+0.2*SIN(2*PI()*((((Scenario_Data!U14)+(Inputs!$C$6))/(0.5*(Inputs!$C$49+Inputs!$C$50)))+Inputs!$C$47*0.097)))+0.3*(2*((SIN(((Scenario_Data!U14)*12.9898+(Inputs!$C$6)*78.233+Inputs!$C$47*37.719))*43758.5453)-INT((SIN(((Scenario_Data!U14)*12.9898+(Inputs!$C$6)*78.233+Inputs!$C$47*37.719))*43758.5453)))-1))))/1000))*COS(SQRT((Scenario_Data!U14)^2+Inputs!$C$6^2)/Inputs!$C$52))*1000)/Inputs!$C$21*1000000</f>
        <v/>
      </c>
      <c r="AT14">
        <f>Scenario_Data!V14</f>
        <v/>
      </c>
      <c r="AU14">
        <f>2*(SQRT((Inputs!$C$52+(Scenario_Data!D14))^2+(Inputs!$C$52+((IF(OR(Inputs!$C$27=TRUE,Inputs!$C$27="TRUE",Inputs!$C$27=1),1,0)*(Inputs!$C$51*(115*EXP(-(((Inputs!$C$6)-25)^2)/(4.5^2))+70*EXP(-(((Inputs!$C$6)+38)^2)/(7^2))*(0.55+0.45*SIN(2*PI()*(Scenario_Data!V14)/45))+24*SIN(2*PI()*(Inputs!$C$6)/9+(Scenario_Data!V14)/18)*EXP(-(((Inputs!$C$6)+5)^2)/(22^2))+18*SIN(2*PI()*(Scenario_Data!V14)/70))+Inputs!$C$28*EXP(-(((Scenario_Data!V14)-Inputs!$C$29)^2)/(2*Inputs!$C$31^2))*EXP(-(((Inputs!$C$6)-Inputs!$C$30)^2)/(2*Inputs!$C$32^2))+-Inputs!$C$33*EXP(-(((((Scenario_Data!V14)-Inputs!$C$34)^2)+(((Inputs!$C$6)-Inputs!$C$35)^2))/(2*Inputs!$C$36^2)))+Inputs!$C$37*(0.55*SIN(2*PI()*(Scenario_Data!V14)/Inputs!$C$39)+0.35*COS(2*PI()*(Inputs!$C$6)/Inputs!$C$40)+0.2*SIN(2*PI()*((Scenario_Data!V14)+(Inputs!$C$6))/(0.5*(Inputs!$C$39+Inputs!$C$40))))+Inputs!$C$38*SIN(2*PI()*(Scenario_Data!V14)/Inputs!$C$39)*SIN(2*PI()*(Inputs!$C$6)/Inputs!$C$40)+-Inputs!$C$41*EXP(-(((Inputs!$C$6)-Inputs!$C$43)^2)/(2*Inputs!$C$44^2))*EXP(-(((Scenario_Data!V14)-Inputs!$C$42)^2)/(2*Inputs!$C$45^2))+Inputs!$C$48*(0.7*(0.45*SIN(2*PI()*(((Scenario_Data!V14)/Inputs!$C$49)+Inputs!$C$47*0.137))+0.35*COS(2*PI()*(((Inputs!$C$6)/Inputs!$C$50)+Inputs!$C$47*0.173))+0.2*SIN(2*PI()*((((Scenario_Data!V14)+(Inputs!$C$6))/(0.5*(Inputs!$C$49+Inputs!$C$50)))+Inputs!$C$47*0.097)))+0.3*(2*((SIN(((Scenario_Data!V14)*12.9898+(Inputs!$C$6)*78.233+Inputs!$C$47*37.719))*43758.5453)-INT((SIN(((Scenario_Data!V14)*12.9898+(Inputs!$C$6)*78.233+Inputs!$C$47*37.719))*43758.5453)))-1))))/1000))^2-2*(Inputs!$C$52+(Scenario_Data!D14))*(Inputs!$C$52+((IF(OR(Inputs!$C$27=TRUE,Inputs!$C$27="TRUE",Inputs!$C$27=1),1,0)*(Inputs!$C$51*(115*EXP(-(((Inputs!$C$6)-25)^2)/(4.5^2))+70*EXP(-(((Inputs!$C$6)+38)^2)/(7^2))*(0.55+0.45*SIN(2*PI()*(Scenario_Data!V14)/45))+24*SIN(2*PI()*(Inputs!$C$6)/9+(Scenario_Data!V14)/18)*EXP(-(((Inputs!$C$6)+5)^2)/(22^2))+18*SIN(2*PI()*(Scenario_Data!V14)/70))+Inputs!$C$28*EXP(-(((Scenario_Data!V14)-Inputs!$C$29)^2)/(2*Inputs!$C$31^2))*EXP(-(((Inputs!$C$6)-Inputs!$C$30)^2)/(2*Inputs!$C$32^2))+-Inputs!$C$33*EXP(-(((((Scenario_Data!V14)-Inputs!$C$34)^2)+(((Inputs!$C$6)-Inputs!$C$35)^2))/(2*Inputs!$C$36^2)))+Inputs!$C$37*(0.55*SIN(2*PI()*(Scenario_Data!V14)/Inputs!$C$39)+0.35*COS(2*PI()*(Inputs!$C$6)/Inputs!$C$40)+0.2*SIN(2*PI()*((Scenario_Data!V14)+(Inputs!$C$6))/(0.5*(Inputs!$C$39+Inputs!$C$40))))+Inputs!$C$38*SIN(2*PI()*(Scenario_Data!V14)/Inputs!$C$39)*SIN(2*PI()*(Inputs!$C$6)/Inputs!$C$40)+-Inputs!$C$41*EXP(-(((Inputs!$C$6)-Inputs!$C$43)^2)/(2*Inputs!$C$44^2))*EXP(-(((Scenario_Data!V14)-Inputs!$C$42)^2)/(2*Inputs!$C$45^2))+Inputs!$C$48*(0.7*(0.45*SIN(2*PI()*(((Scenario_Data!V14)/Inputs!$C$49)+Inputs!$C$47*0.137))+0.35*COS(2*PI()*(((Inputs!$C$6)/Inputs!$C$50)+Inputs!$C$47*0.173))+0.2*SIN(2*PI()*((((Scenario_Data!V14)+(Inputs!$C$6))/(0.5*(Inputs!$C$49+Inputs!$C$50)))+Inputs!$C$47*0.097)))+0.3*(2*((SIN(((Scenario_Data!V14)*12.9898+(Inputs!$C$6)*78.233+Inputs!$C$47*37.719))*43758.5453)-INT((SIN(((Scenario_Data!V14)*12.9898+(Inputs!$C$6)*78.233+Inputs!$C$47*37.719))*43758.5453)))-1))))/1000))*COS(SQRT((Scenario_Data!V14)^2+Inputs!$C$6^2)/Inputs!$C$52))*1000)/Inputs!$C$21*1000000</f>
        <v/>
      </c>
      <c r="AV14">
        <f>Scenario_Data!W14</f>
        <v/>
      </c>
      <c r="AW14">
        <f>2*(SQRT((Inputs!$C$52+(Scenario_Data!E14))^2+(Inputs!$C$52+((IF(OR(Inputs!$C$27=TRUE,Inputs!$C$27="TRUE",Inputs!$C$27=1),1,0)*(Inputs!$C$51*(115*EXP(-(((Inputs!$C$6)-25)^2)/(4.5^2))+70*EXP(-(((Inputs!$C$6)+38)^2)/(7^2))*(0.55+0.45*SIN(2*PI()*(Scenario_Data!W14)/45))+24*SIN(2*PI()*(Inputs!$C$6)/9+(Scenario_Data!W14)/18)*EXP(-(((Inputs!$C$6)+5)^2)/(22^2))+18*SIN(2*PI()*(Scenario_Data!W14)/70))+Inputs!$C$28*EXP(-(((Scenario_Data!W14)-Inputs!$C$29)^2)/(2*Inputs!$C$31^2))*EXP(-(((Inputs!$C$6)-Inputs!$C$30)^2)/(2*Inputs!$C$32^2))+-Inputs!$C$33*EXP(-(((((Scenario_Data!W14)-Inputs!$C$34)^2)+(((Inputs!$C$6)-Inputs!$C$35)^2))/(2*Inputs!$C$36^2)))+Inputs!$C$37*(0.55*SIN(2*PI()*(Scenario_Data!W14)/Inputs!$C$39)+0.35*COS(2*PI()*(Inputs!$C$6)/Inputs!$C$40)+0.2*SIN(2*PI()*((Scenario_Data!W14)+(Inputs!$C$6))/(0.5*(Inputs!$C$39+Inputs!$C$40))))+Inputs!$C$38*SIN(2*PI()*(Scenario_Data!W14)/Inputs!$C$39)*SIN(2*PI()*(Inputs!$C$6)/Inputs!$C$40)+-Inputs!$C$41*EXP(-(((Inputs!$C$6)-Inputs!$C$43)^2)/(2*Inputs!$C$44^2))*EXP(-(((Scenario_Data!W14)-Inputs!$C$42)^2)/(2*Inputs!$C$45^2))+Inputs!$C$48*(0.7*(0.45*SIN(2*PI()*(((Scenario_Data!W14)/Inputs!$C$49)+Inputs!$C$47*0.137))+0.35*COS(2*PI()*(((Inputs!$C$6)/Inputs!$C$50)+Inputs!$C$47*0.173))+0.2*SIN(2*PI()*((((Scenario_Data!W14)+(Inputs!$C$6))/(0.5*(Inputs!$C$49+Inputs!$C$50)))+Inputs!$C$47*0.097)))+0.3*(2*((SIN(((Scenario_Data!W14)*12.9898+(Inputs!$C$6)*78.233+Inputs!$C$47*37.719))*43758.5453)-INT((SIN(((Scenario_Data!W14)*12.9898+(Inputs!$C$6)*78.233+Inputs!$C$47*37.719))*43758.5453)))-1))))/1000))^2-2*(Inputs!$C$52+(Scenario_Data!E14))*(Inputs!$C$52+((IF(OR(Inputs!$C$27=TRUE,Inputs!$C$27="TRUE",Inputs!$C$27=1),1,0)*(Inputs!$C$51*(115*EXP(-(((Inputs!$C$6)-25)^2)/(4.5^2))+70*EXP(-(((Inputs!$C$6)+38)^2)/(7^2))*(0.55+0.45*SIN(2*PI()*(Scenario_Data!W14)/45))+24*SIN(2*PI()*(Inputs!$C$6)/9+(Scenario_Data!W14)/18)*EXP(-(((Inputs!$C$6)+5)^2)/(22^2))+18*SIN(2*PI()*(Scenario_Data!W14)/70))+Inputs!$C$28*EXP(-(((Scenario_Data!W14)-Inputs!$C$29)^2)/(2*Inputs!$C$31^2))*EXP(-(((Inputs!$C$6)-Inputs!$C$30)^2)/(2*Inputs!$C$32^2))+-Inputs!$C$33*EXP(-(((((Scenario_Data!W14)-Inputs!$C$34)^2)+(((Inputs!$C$6)-Inputs!$C$35)^2))/(2*Inputs!$C$36^2)))+Inputs!$C$37*(0.55*SIN(2*PI()*(Scenario_Data!W14)/Inputs!$C$39)+0.35*COS(2*PI()*(Inputs!$C$6)/Inputs!$C$40)+0.2*SIN(2*PI()*((Scenario_Data!W14)+(Inputs!$C$6))/(0.5*(Inputs!$C$39+Inputs!$C$40))))+Inputs!$C$38*SIN(2*PI()*(Scenario_Data!W14)/Inputs!$C$39)*SIN(2*PI()*(Inputs!$C$6)/Inputs!$C$40)+-Inputs!$C$41*EXP(-(((Inputs!$C$6)-Inputs!$C$43)^2)/(2*Inputs!$C$44^2))*EXP(-(((Scenario_Data!W14)-Inputs!$C$42)^2)/(2*Inputs!$C$45^2))+Inputs!$C$48*(0.7*(0.45*SIN(2*PI()*(((Scenario_Data!W14)/Inputs!$C$49)+Inputs!$C$47*0.137))+0.35*COS(2*PI()*(((Inputs!$C$6)/Inputs!$C$50)+Inputs!$C$47*0.173))+0.2*SIN(2*PI()*((((Scenario_Data!W14)+(Inputs!$C$6))/(0.5*(Inputs!$C$49+Inputs!$C$50)))+Inputs!$C$47*0.097)))+0.3*(2*((SIN(((Scenario_Data!W14)*12.9898+(Inputs!$C$6)*78.233+Inputs!$C$47*37.719))*43758.5453)-INT((SIN(((Scenario_Data!W14)*12.9898+(Inputs!$C$6)*78.233+Inputs!$C$47*37.719))*43758.5453)))-1))))/1000))*COS(SQRT((Scenario_Data!W14)^2+Inputs!$C$6^2)/Inputs!$C$52))*1000)/Inputs!$C$21*1000000</f>
        <v/>
      </c>
    </row>
    <row r="15">
      <c r="A15">
        <f>Chart_Data!K15</f>
        <v/>
      </c>
      <c r="B15">
        <f>Chart_Data!N15-Chart_Data!L15</f>
        <v/>
      </c>
      <c r="D15">
        <f>Chart_Data!G15</f>
        <v/>
      </c>
      <c r="E15">
        <f>Chart_Data!H15</f>
        <v/>
      </c>
      <c r="F15">
        <f>Chart_Data!I15</f>
        <v/>
      </c>
      <c r="G15">
        <f>Chart_Data!J15</f>
        <v/>
      </c>
      <c r="I15">
        <f>Scenario_Data!A15</f>
        <v/>
      </c>
      <c r="J15">
        <f>Scenario_Data!H15-(((SQRT((Inputs!$C$52+(Inputs!$H$6))^2+Inputs!$C$52^2-2*(Inputs!$C$52+(Inputs!$H$6))*Inputs!$C$52*COS(SQRT((Scenario_Data!T15)^2+Inputs!$C$6^2)/Inputs!$C$52)))-(Inputs!$H$6))*1000/Inputs!$C$12)</f>
        <v/>
      </c>
      <c r="K15">
        <f>Scenario_Data!I15-(((SQRT((Inputs!$C$52+(Inputs!$H$7))^2+Inputs!$C$52^2-2*(Inputs!$C$52+(Inputs!$H$7))*Inputs!$C$52*COS(SQRT((Scenario_Data!U15)^2+Inputs!$C$6^2)/Inputs!$C$52)))-(Inputs!$H$7))*1000/Inputs!$C$12)</f>
        <v/>
      </c>
      <c r="L15">
        <f>Scenario_Data!J15-(((SQRT((Inputs!$C$52+(Inputs!$H$8))^2+Inputs!$C$52^2-2*(Inputs!$C$52+(Inputs!$H$8))*Inputs!$C$52*COS(SQRT((Scenario_Data!V15)^2+Inputs!$C$6^2)/Inputs!$C$52)))-(Inputs!$H$8))*1000/Inputs!$C$12)</f>
        <v/>
      </c>
      <c r="M15">
        <f>Scenario_Data!K15-(((SQRT((Inputs!$C$52+(Inputs!$H$9))^2+Inputs!$C$52^2-2*(Inputs!$C$52+(Inputs!$H$9))*Inputs!$C$52*COS(SQRT((Scenario_Data!W15)^2+Inputs!$C$6^2)/Inputs!$C$52)))-(Inputs!$H$9))*1000/Inputs!$C$12)</f>
        <v/>
      </c>
      <c r="O15">
        <f>Scenario_Data!T15</f>
        <v/>
      </c>
      <c r="P15">
        <f>2*(Scenario_Data!B15*1000)/Inputs!$C$21*1000000</f>
        <v/>
      </c>
      <c r="Q15">
        <f>Scenario_Data!U15</f>
        <v/>
      </c>
      <c r="R15">
        <f>2*(Scenario_Data!C15*1000)/Inputs!$C$21*1000000</f>
        <v/>
      </c>
      <c r="S15">
        <f>Scenario_Data!V15</f>
        <v/>
      </c>
      <c r="T15">
        <f>2*(Scenario_Data!D15*1000)/Inputs!$C$21*1000000</f>
        <v/>
      </c>
      <c r="U15">
        <f>Scenario_Data!W15</f>
        <v/>
      </c>
      <c r="V15">
        <f>2*(Scenario_Data!E15*1000)/Inputs!$C$21*1000000</f>
        <v/>
      </c>
      <c r="X15">
        <f>Scenario_Data!T15</f>
        <v/>
      </c>
      <c r="Y15">
        <f>2*((Scenario_Data!B15*1000)-(IF(OR(Inputs!$C$27=TRUE,Inputs!$C$27="TRUE",Inputs!$C$27=1),1,0)*(Inputs!$C$51*(115*EXP(-(((0)-25)^2)/(4.5^2))+70*EXP(-(((0)+38)^2)/(7^2))*(0.55+0.45*SIN(2*PI()*(Scenario_Data!T15)/45))+24*SIN(2*PI()*(0)/9+(Scenario_Data!T15)/18)*EXP(-(((0)+5)^2)/(22^2))+18*SIN(2*PI()*(Scenario_Data!T15)/70))+Inputs!$C$28*EXP(-(((Scenario_Data!T15)-Inputs!$C$29)^2)/(2*Inputs!$C$31^2))*EXP(-(((0)-Inputs!$C$30)^2)/(2*Inputs!$C$32^2))+-Inputs!$C$33*EXP(-(((((Scenario_Data!T15)-Inputs!$C$34)^2)+(((0)-Inputs!$C$35)^2))/(2*Inputs!$C$36^2)))+Inputs!$C$37*(0.55*SIN(2*PI()*(Scenario_Data!T15)/Inputs!$C$39)+0.35*COS(2*PI()*(0)/Inputs!$C$40)+0.2*SIN(2*PI()*((Scenario_Data!T15)+(0))/(0.5*(Inputs!$C$39+Inputs!$C$40))))+Inputs!$C$38*SIN(2*PI()*(Scenario_Data!T15)/Inputs!$C$39)*SIN(2*PI()*(0)/Inputs!$C$40)+-Inputs!$C$41*EXP(-(((0)-Inputs!$C$43)^2)/(2*Inputs!$C$44^2))*EXP(-(((Scenario_Data!T15)-Inputs!$C$42)^2)/(2*Inputs!$C$45^2))+Inputs!$C$48*(0.7*(0.45*SIN(2*PI()*(((Scenario_Data!T15)/Inputs!$C$49)+Inputs!$C$47*0.137))+0.35*COS(2*PI()*(((0)/Inputs!$C$50)+Inputs!$C$47*0.173))+0.2*SIN(2*PI()*((((Scenario_Data!T15)+(0))/(0.5*(Inputs!$C$49+Inputs!$C$50)))+Inputs!$C$47*0.097)))+0.3*(2*((SIN(((Scenario_Data!T15)*12.9898+(0)*78.233+Inputs!$C$47*37.719))*43758.5453)-INT((SIN(((Scenario_Data!T15)*12.9898+(0)*78.233+Inputs!$C$47*37.719))*43758.5453)))-1)))))/Inputs!$C$21*1000000</f>
        <v/>
      </c>
      <c r="Z15">
        <f>Scenario_Data!U15</f>
        <v/>
      </c>
      <c r="AA15">
        <f>2*((Scenario_Data!C15*1000)-(IF(OR(Inputs!$C$27=TRUE,Inputs!$C$27="TRUE",Inputs!$C$27=1),1,0)*(Inputs!$C$51*(115*EXP(-(((0)-25)^2)/(4.5^2))+70*EXP(-(((0)+38)^2)/(7^2))*(0.55+0.45*SIN(2*PI()*(Scenario_Data!U15)/45))+24*SIN(2*PI()*(0)/9+(Scenario_Data!U15)/18)*EXP(-(((0)+5)^2)/(22^2))+18*SIN(2*PI()*(Scenario_Data!U15)/70))+Inputs!$C$28*EXP(-(((Scenario_Data!U15)-Inputs!$C$29)^2)/(2*Inputs!$C$31^2))*EXP(-(((0)-Inputs!$C$30)^2)/(2*Inputs!$C$32^2))+-Inputs!$C$33*EXP(-(((((Scenario_Data!U15)-Inputs!$C$34)^2)+(((0)-Inputs!$C$35)^2))/(2*Inputs!$C$36^2)))+Inputs!$C$37*(0.55*SIN(2*PI()*(Scenario_Data!U15)/Inputs!$C$39)+0.35*COS(2*PI()*(0)/Inputs!$C$40)+0.2*SIN(2*PI()*((Scenario_Data!U15)+(0))/(0.5*(Inputs!$C$39+Inputs!$C$40))))+Inputs!$C$38*SIN(2*PI()*(Scenario_Data!U15)/Inputs!$C$39)*SIN(2*PI()*(0)/Inputs!$C$40)+-Inputs!$C$41*EXP(-(((0)-Inputs!$C$43)^2)/(2*Inputs!$C$44^2))*EXP(-(((Scenario_Data!U15)-Inputs!$C$42)^2)/(2*Inputs!$C$45^2))+Inputs!$C$48*(0.7*(0.45*SIN(2*PI()*(((Scenario_Data!U15)/Inputs!$C$49)+Inputs!$C$47*0.137))+0.35*COS(2*PI()*(((0)/Inputs!$C$50)+Inputs!$C$47*0.173))+0.2*SIN(2*PI()*((((Scenario_Data!U15)+(0))/(0.5*(Inputs!$C$49+Inputs!$C$50)))+Inputs!$C$47*0.097)))+0.3*(2*((SIN(((Scenario_Data!U15)*12.9898+(0)*78.233+Inputs!$C$47*37.719))*43758.5453)-INT((SIN(((Scenario_Data!U15)*12.9898+(0)*78.233+Inputs!$C$47*37.719))*43758.5453)))-1)))))/Inputs!$C$21*1000000</f>
        <v/>
      </c>
      <c r="AB15">
        <f>Scenario_Data!V15</f>
        <v/>
      </c>
      <c r="AC15">
        <f>2*((Scenario_Data!D15*1000)-(IF(OR(Inputs!$C$27=TRUE,Inputs!$C$27="TRUE",Inputs!$C$27=1),1,0)*(Inputs!$C$51*(115*EXP(-(((0)-25)^2)/(4.5^2))+70*EXP(-(((0)+38)^2)/(7^2))*(0.55+0.45*SIN(2*PI()*(Scenario_Data!V15)/45))+24*SIN(2*PI()*(0)/9+(Scenario_Data!V15)/18)*EXP(-(((0)+5)^2)/(22^2))+18*SIN(2*PI()*(Scenario_Data!V15)/70))+Inputs!$C$28*EXP(-(((Scenario_Data!V15)-Inputs!$C$29)^2)/(2*Inputs!$C$31^2))*EXP(-(((0)-Inputs!$C$30)^2)/(2*Inputs!$C$32^2))+-Inputs!$C$33*EXP(-(((((Scenario_Data!V15)-Inputs!$C$34)^2)+(((0)-Inputs!$C$35)^2))/(2*Inputs!$C$36^2)))+Inputs!$C$37*(0.55*SIN(2*PI()*(Scenario_Data!V15)/Inputs!$C$39)+0.35*COS(2*PI()*(0)/Inputs!$C$40)+0.2*SIN(2*PI()*((Scenario_Data!V15)+(0))/(0.5*(Inputs!$C$39+Inputs!$C$40))))+Inputs!$C$38*SIN(2*PI()*(Scenario_Data!V15)/Inputs!$C$39)*SIN(2*PI()*(0)/Inputs!$C$40)+-Inputs!$C$41*EXP(-(((0)-Inputs!$C$43)^2)/(2*Inputs!$C$44^2))*EXP(-(((Scenario_Data!V15)-Inputs!$C$42)^2)/(2*Inputs!$C$45^2))+Inputs!$C$48*(0.7*(0.45*SIN(2*PI()*(((Scenario_Data!V15)/Inputs!$C$49)+Inputs!$C$47*0.137))+0.35*COS(2*PI()*(((0)/Inputs!$C$50)+Inputs!$C$47*0.173))+0.2*SIN(2*PI()*((((Scenario_Data!V15)+(0))/(0.5*(Inputs!$C$49+Inputs!$C$50)))+Inputs!$C$47*0.097)))+0.3*(2*((SIN(((Scenario_Data!V15)*12.9898+(0)*78.233+Inputs!$C$47*37.719))*43758.5453)-INT((SIN(((Scenario_Data!V15)*12.9898+(0)*78.233+Inputs!$C$47*37.719))*43758.5453)))-1)))))/Inputs!$C$21*1000000</f>
        <v/>
      </c>
      <c r="AD15">
        <f>Scenario_Data!W15</f>
        <v/>
      </c>
      <c r="AE15">
        <f>2*((Scenario_Data!E15*1000)-(IF(OR(Inputs!$C$27=TRUE,Inputs!$C$27="TRUE",Inputs!$C$27=1),1,0)*(Inputs!$C$51*(115*EXP(-(((0)-25)^2)/(4.5^2))+70*EXP(-(((0)+38)^2)/(7^2))*(0.55+0.45*SIN(2*PI()*(Scenario_Data!W15)/45))+24*SIN(2*PI()*(0)/9+(Scenario_Data!W15)/18)*EXP(-(((0)+5)^2)/(22^2))+18*SIN(2*PI()*(Scenario_Data!W15)/70))+Inputs!$C$28*EXP(-(((Scenario_Data!W15)-Inputs!$C$29)^2)/(2*Inputs!$C$31^2))*EXP(-(((0)-Inputs!$C$30)^2)/(2*Inputs!$C$32^2))+-Inputs!$C$33*EXP(-(((((Scenario_Data!W15)-Inputs!$C$34)^2)+(((0)-Inputs!$C$35)^2))/(2*Inputs!$C$36^2)))+Inputs!$C$37*(0.55*SIN(2*PI()*(Scenario_Data!W15)/Inputs!$C$39)+0.35*COS(2*PI()*(0)/Inputs!$C$40)+0.2*SIN(2*PI()*((Scenario_Data!W15)+(0))/(0.5*(Inputs!$C$39+Inputs!$C$40))))+Inputs!$C$38*SIN(2*PI()*(Scenario_Data!W15)/Inputs!$C$39)*SIN(2*PI()*(0)/Inputs!$C$40)+-Inputs!$C$41*EXP(-(((0)-Inputs!$C$43)^2)/(2*Inputs!$C$44^2))*EXP(-(((Scenario_Data!W15)-Inputs!$C$42)^2)/(2*Inputs!$C$45^2))+Inputs!$C$48*(0.7*(0.45*SIN(2*PI()*(((Scenario_Data!W15)/Inputs!$C$49)+Inputs!$C$47*0.137))+0.35*COS(2*PI()*(((0)/Inputs!$C$50)+Inputs!$C$47*0.173))+0.2*SIN(2*PI()*((((Scenario_Data!W15)+(0))/(0.5*(Inputs!$C$49+Inputs!$C$50)))+Inputs!$C$47*0.097)))+0.3*(2*((SIN(((Scenario_Data!W15)*12.9898+(0)*78.233+Inputs!$C$47*37.719))*43758.5453)-INT((SIN(((Scenario_Data!W15)*12.9898+(0)*78.233+Inputs!$C$47*37.719))*43758.5453)))-1)))))/Inputs!$C$21*1000000</f>
        <v/>
      </c>
      <c r="AG15">
        <f>Scenario_Data!T15</f>
        <v/>
      </c>
      <c r="AH15">
        <f>2*(SQRT((Inputs!$C$52+(Scenario_Data!B15))^2+Inputs!$C$52^2-2*(Inputs!$C$52+(Scenario_Data!B15))*Inputs!$C$52*COS(SQRT((Scenario_Data!T15)^2+Inputs!$C$6^2)/Inputs!$C$52))*1000)/Inputs!$C$21*1000000</f>
        <v/>
      </c>
      <c r="AI15">
        <f>Scenario_Data!U15</f>
        <v/>
      </c>
      <c r="AJ15">
        <f>2*(SQRT((Inputs!$C$52+(Scenario_Data!C15))^2+Inputs!$C$52^2-2*(Inputs!$C$52+(Scenario_Data!C15))*Inputs!$C$52*COS(SQRT((Scenario_Data!U15)^2+Inputs!$C$6^2)/Inputs!$C$52))*1000)/Inputs!$C$21*1000000</f>
        <v/>
      </c>
      <c r="AK15">
        <f>Scenario_Data!V15</f>
        <v/>
      </c>
      <c r="AL15">
        <f>2*(SQRT((Inputs!$C$52+(Scenario_Data!D15))^2+Inputs!$C$52^2-2*(Inputs!$C$52+(Scenario_Data!D15))*Inputs!$C$52*COS(SQRT((Scenario_Data!V15)^2+Inputs!$C$6^2)/Inputs!$C$52))*1000)/Inputs!$C$21*1000000</f>
        <v/>
      </c>
      <c r="AM15">
        <f>Scenario_Data!W15</f>
        <v/>
      </c>
      <c r="AN15">
        <f>2*(SQRT((Inputs!$C$52+(Scenario_Data!E15))^2+Inputs!$C$52^2-2*(Inputs!$C$52+(Scenario_Data!E15))*Inputs!$C$52*COS(SQRT((Scenario_Data!W15)^2+Inputs!$C$6^2)/Inputs!$C$52))*1000)/Inputs!$C$21*1000000</f>
        <v/>
      </c>
      <c r="AP15">
        <f>Scenario_Data!T15</f>
        <v/>
      </c>
      <c r="AQ15">
        <f>2*(SQRT((Inputs!$C$52+(Scenario_Data!B15))^2+(Inputs!$C$52+((IF(OR(Inputs!$C$27=TRUE,Inputs!$C$27="TRUE",Inputs!$C$27=1),1,0)*(Inputs!$C$51*(115*EXP(-(((Inputs!$C$6)-25)^2)/(4.5^2))+70*EXP(-(((Inputs!$C$6)+38)^2)/(7^2))*(0.55+0.45*SIN(2*PI()*(Scenario_Data!T15)/45))+24*SIN(2*PI()*(Inputs!$C$6)/9+(Scenario_Data!T15)/18)*EXP(-(((Inputs!$C$6)+5)^2)/(22^2))+18*SIN(2*PI()*(Scenario_Data!T15)/70))+Inputs!$C$28*EXP(-(((Scenario_Data!T15)-Inputs!$C$29)^2)/(2*Inputs!$C$31^2))*EXP(-(((Inputs!$C$6)-Inputs!$C$30)^2)/(2*Inputs!$C$32^2))+-Inputs!$C$33*EXP(-(((((Scenario_Data!T15)-Inputs!$C$34)^2)+(((Inputs!$C$6)-Inputs!$C$35)^2))/(2*Inputs!$C$36^2)))+Inputs!$C$37*(0.55*SIN(2*PI()*(Scenario_Data!T15)/Inputs!$C$39)+0.35*COS(2*PI()*(Inputs!$C$6)/Inputs!$C$40)+0.2*SIN(2*PI()*((Scenario_Data!T15)+(Inputs!$C$6))/(0.5*(Inputs!$C$39+Inputs!$C$40))))+Inputs!$C$38*SIN(2*PI()*(Scenario_Data!T15)/Inputs!$C$39)*SIN(2*PI()*(Inputs!$C$6)/Inputs!$C$40)+-Inputs!$C$41*EXP(-(((Inputs!$C$6)-Inputs!$C$43)^2)/(2*Inputs!$C$44^2))*EXP(-(((Scenario_Data!T15)-Inputs!$C$42)^2)/(2*Inputs!$C$45^2))+Inputs!$C$48*(0.7*(0.45*SIN(2*PI()*(((Scenario_Data!T15)/Inputs!$C$49)+Inputs!$C$47*0.137))+0.35*COS(2*PI()*(((Inputs!$C$6)/Inputs!$C$50)+Inputs!$C$47*0.173))+0.2*SIN(2*PI()*((((Scenario_Data!T15)+(Inputs!$C$6))/(0.5*(Inputs!$C$49+Inputs!$C$50)))+Inputs!$C$47*0.097)))+0.3*(2*((SIN(((Scenario_Data!T15)*12.9898+(Inputs!$C$6)*78.233+Inputs!$C$47*37.719))*43758.5453)-INT((SIN(((Scenario_Data!T15)*12.9898+(Inputs!$C$6)*78.233+Inputs!$C$47*37.719))*43758.5453)))-1))))/1000))^2-2*(Inputs!$C$52+(Scenario_Data!B15))*(Inputs!$C$52+((IF(OR(Inputs!$C$27=TRUE,Inputs!$C$27="TRUE",Inputs!$C$27=1),1,0)*(Inputs!$C$51*(115*EXP(-(((Inputs!$C$6)-25)^2)/(4.5^2))+70*EXP(-(((Inputs!$C$6)+38)^2)/(7^2))*(0.55+0.45*SIN(2*PI()*(Scenario_Data!T15)/45))+24*SIN(2*PI()*(Inputs!$C$6)/9+(Scenario_Data!T15)/18)*EXP(-(((Inputs!$C$6)+5)^2)/(22^2))+18*SIN(2*PI()*(Scenario_Data!T15)/70))+Inputs!$C$28*EXP(-(((Scenario_Data!T15)-Inputs!$C$29)^2)/(2*Inputs!$C$31^2))*EXP(-(((Inputs!$C$6)-Inputs!$C$30)^2)/(2*Inputs!$C$32^2))+-Inputs!$C$33*EXP(-(((((Scenario_Data!T15)-Inputs!$C$34)^2)+(((Inputs!$C$6)-Inputs!$C$35)^2))/(2*Inputs!$C$36^2)))+Inputs!$C$37*(0.55*SIN(2*PI()*(Scenario_Data!T15)/Inputs!$C$39)+0.35*COS(2*PI()*(Inputs!$C$6)/Inputs!$C$40)+0.2*SIN(2*PI()*((Scenario_Data!T15)+(Inputs!$C$6))/(0.5*(Inputs!$C$39+Inputs!$C$40))))+Inputs!$C$38*SIN(2*PI()*(Scenario_Data!T15)/Inputs!$C$39)*SIN(2*PI()*(Inputs!$C$6)/Inputs!$C$40)+-Inputs!$C$41*EXP(-(((Inputs!$C$6)-Inputs!$C$43)^2)/(2*Inputs!$C$44^2))*EXP(-(((Scenario_Data!T15)-Inputs!$C$42)^2)/(2*Inputs!$C$45^2))+Inputs!$C$48*(0.7*(0.45*SIN(2*PI()*(((Scenario_Data!T15)/Inputs!$C$49)+Inputs!$C$47*0.137))+0.35*COS(2*PI()*(((Inputs!$C$6)/Inputs!$C$50)+Inputs!$C$47*0.173))+0.2*SIN(2*PI()*((((Scenario_Data!T15)+(Inputs!$C$6))/(0.5*(Inputs!$C$49+Inputs!$C$50)))+Inputs!$C$47*0.097)))+0.3*(2*((SIN(((Scenario_Data!T15)*12.9898+(Inputs!$C$6)*78.233+Inputs!$C$47*37.719))*43758.5453)-INT((SIN(((Scenario_Data!T15)*12.9898+(Inputs!$C$6)*78.233+Inputs!$C$47*37.719))*43758.5453)))-1))))/1000))*COS(SQRT((Scenario_Data!T15)^2+Inputs!$C$6^2)/Inputs!$C$52))*1000)/Inputs!$C$21*1000000</f>
        <v/>
      </c>
      <c r="AR15">
        <f>Scenario_Data!U15</f>
        <v/>
      </c>
      <c r="AS15">
        <f>2*(SQRT((Inputs!$C$52+(Scenario_Data!C15))^2+(Inputs!$C$52+((IF(OR(Inputs!$C$27=TRUE,Inputs!$C$27="TRUE",Inputs!$C$27=1),1,0)*(Inputs!$C$51*(115*EXP(-(((Inputs!$C$6)-25)^2)/(4.5^2))+70*EXP(-(((Inputs!$C$6)+38)^2)/(7^2))*(0.55+0.45*SIN(2*PI()*(Scenario_Data!U15)/45))+24*SIN(2*PI()*(Inputs!$C$6)/9+(Scenario_Data!U15)/18)*EXP(-(((Inputs!$C$6)+5)^2)/(22^2))+18*SIN(2*PI()*(Scenario_Data!U15)/70))+Inputs!$C$28*EXP(-(((Scenario_Data!U15)-Inputs!$C$29)^2)/(2*Inputs!$C$31^2))*EXP(-(((Inputs!$C$6)-Inputs!$C$30)^2)/(2*Inputs!$C$32^2))+-Inputs!$C$33*EXP(-(((((Scenario_Data!U15)-Inputs!$C$34)^2)+(((Inputs!$C$6)-Inputs!$C$35)^2))/(2*Inputs!$C$36^2)))+Inputs!$C$37*(0.55*SIN(2*PI()*(Scenario_Data!U15)/Inputs!$C$39)+0.35*COS(2*PI()*(Inputs!$C$6)/Inputs!$C$40)+0.2*SIN(2*PI()*((Scenario_Data!U15)+(Inputs!$C$6))/(0.5*(Inputs!$C$39+Inputs!$C$40))))+Inputs!$C$38*SIN(2*PI()*(Scenario_Data!U15)/Inputs!$C$39)*SIN(2*PI()*(Inputs!$C$6)/Inputs!$C$40)+-Inputs!$C$41*EXP(-(((Inputs!$C$6)-Inputs!$C$43)^2)/(2*Inputs!$C$44^2))*EXP(-(((Scenario_Data!U15)-Inputs!$C$42)^2)/(2*Inputs!$C$45^2))+Inputs!$C$48*(0.7*(0.45*SIN(2*PI()*(((Scenario_Data!U15)/Inputs!$C$49)+Inputs!$C$47*0.137))+0.35*COS(2*PI()*(((Inputs!$C$6)/Inputs!$C$50)+Inputs!$C$47*0.173))+0.2*SIN(2*PI()*((((Scenario_Data!U15)+(Inputs!$C$6))/(0.5*(Inputs!$C$49+Inputs!$C$50)))+Inputs!$C$47*0.097)))+0.3*(2*((SIN(((Scenario_Data!U15)*12.9898+(Inputs!$C$6)*78.233+Inputs!$C$47*37.719))*43758.5453)-INT((SIN(((Scenario_Data!U15)*12.9898+(Inputs!$C$6)*78.233+Inputs!$C$47*37.719))*43758.5453)))-1))))/1000))^2-2*(Inputs!$C$52+(Scenario_Data!C15))*(Inputs!$C$52+((IF(OR(Inputs!$C$27=TRUE,Inputs!$C$27="TRUE",Inputs!$C$27=1),1,0)*(Inputs!$C$51*(115*EXP(-(((Inputs!$C$6)-25)^2)/(4.5^2))+70*EXP(-(((Inputs!$C$6)+38)^2)/(7^2))*(0.55+0.45*SIN(2*PI()*(Scenario_Data!U15)/45))+24*SIN(2*PI()*(Inputs!$C$6)/9+(Scenario_Data!U15)/18)*EXP(-(((Inputs!$C$6)+5)^2)/(22^2))+18*SIN(2*PI()*(Scenario_Data!U15)/70))+Inputs!$C$28*EXP(-(((Scenario_Data!U15)-Inputs!$C$29)^2)/(2*Inputs!$C$31^2))*EXP(-(((Inputs!$C$6)-Inputs!$C$30)^2)/(2*Inputs!$C$32^2))+-Inputs!$C$33*EXP(-(((((Scenario_Data!U15)-Inputs!$C$34)^2)+(((Inputs!$C$6)-Inputs!$C$35)^2))/(2*Inputs!$C$36^2)))+Inputs!$C$37*(0.55*SIN(2*PI()*(Scenario_Data!U15)/Inputs!$C$39)+0.35*COS(2*PI()*(Inputs!$C$6)/Inputs!$C$40)+0.2*SIN(2*PI()*((Scenario_Data!U15)+(Inputs!$C$6))/(0.5*(Inputs!$C$39+Inputs!$C$40))))+Inputs!$C$38*SIN(2*PI()*(Scenario_Data!U15)/Inputs!$C$39)*SIN(2*PI()*(Inputs!$C$6)/Inputs!$C$40)+-Inputs!$C$41*EXP(-(((Inputs!$C$6)-Inputs!$C$43)^2)/(2*Inputs!$C$44^2))*EXP(-(((Scenario_Data!U15)-Inputs!$C$42)^2)/(2*Inputs!$C$45^2))+Inputs!$C$48*(0.7*(0.45*SIN(2*PI()*(((Scenario_Data!U15)/Inputs!$C$49)+Inputs!$C$47*0.137))+0.35*COS(2*PI()*(((Inputs!$C$6)/Inputs!$C$50)+Inputs!$C$47*0.173))+0.2*SIN(2*PI()*((((Scenario_Data!U15)+(Inputs!$C$6))/(0.5*(Inputs!$C$49+Inputs!$C$50)))+Inputs!$C$47*0.097)))+0.3*(2*((SIN(((Scenario_Data!U15)*12.9898+(Inputs!$C$6)*78.233+Inputs!$C$47*37.719))*43758.5453)-INT((SIN(((Scenario_Data!U15)*12.9898+(Inputs!$C$6)*78.233+Inputs!$C$47*37.719))*43758.5453)))-1))))/1000))*COS(SQRT((Scenario_Data!U15)^2+Inputs!$C$6^2)/Inputs!$C$52))*1000)/Inputs!$C$21*1000000</f>
        <v/>
      </c>
      <c r="AT15">
        <f>Scenario_Data!V15</f>
        <v/>
      </c>
      <c r="AU15">
        <f>2*(SQRT((Inputs!$C$52+(Scenario_Data!D15))^2+(Inputs!$C$52+((IF(OR(Inputs!$C$27=TRUE,Inputs!$C$27="TRUE",Inputs!$C$27=1),1,0)*(Inputs!$C$51*(115*EXP(-(((Inputs!$C$6)-25)^2)/(4.5^2))+70*EXP(-(((Inputs!$C$6)+38)^2)/(7^2))*(0.55+0.45*SIN(2*PI()*(Scenario_Data!V15)/45))+24*SIN(2*PI()*(Inputs!$C$6)/9+(Scenario_Data!V15)/18)*EXP(-(((Inputs!$C$6)+5)^2)/(22^2))+18*SIN(2*PI()*(Scenario_Data!V15)/70))+Inputs!$C$28*EXP(-(((Scenario_Data!V15)-Inputs!$C$29)^2)/(2*Inputs!$C$31^2))*EXP(-(((Inputs!$C$6)-Inputs!$C$30)^2)/(2*Inputs!$C$32^2))+-Inputs!$C$33*EXP(-(((((Scenario_Data!V15)-Inputs!$C$34)^2)+(((Inputs!$C$6)-Inputs!$C$35)^2))/(2*Inputs!$C$36^2)))+Inputs!$C$37*(0.55*SIN(2*PI()*(Scenario_Data!V15)/Inputs!$C$39)+0.35*COS(2*PI()*(Inputs!$C$6)/Inputs!$C$40)+0.2*SIN(2*PI()*((Scenario_Data!V15)+(Inputs!$C$6))/(0.5*(Inputs!$C$39+Inputs!$C$40))))+Inputs!$C$38*SIN(2*PI()*(Scenario_Data!V15)/Inputs!$C$39)*SIN(2*PI()*(Inputs!$C$6)/Inputs!$C$40)+-Inputs!$C$41*EXP(-(((Inputs!$C$6)-Inputs!$C$43)^2)/(2*Inputs!$C$44^2))*EXP(-(((Scenario_Data!V15)-Inputs!$C$42)^2)/(2*Inputs!$C$45^2))+Inputs!$C$48*(0.7*(0.45*SIN(2*PI()*(((Scenario_Data!V15)/Inputs!$C$49)+Inputs!$C$47*0.137))+0.35*COS(2*PI()*(((Inputs!$C$6)/Inputs!$C$50)+Inputs!$C$47*0.173))+0.2*SIN(2*PI()*((((Scenario_Data!V15)+(Inputs!$C$6))/(0.5*(Inputs!$C$49+Inputs!$C$50)))+Inputs!$C$47*0.097)))+0.3*(2*((SIN(((Scenario_Data!V15)*12.9898+(Inputs!$C$6)*78.233+Inputs!$C$47*37.719))*43758.5453)-INT((SIN(((Scenario_Data!V15)*12.9898+(Inputs!$C$6)*78.233+Inputs!$C$47*37.719))*43758.5453)))-1))))/1000))^2-2*(Inputs!$C$52+(Scenario_Data!D15))*(Inputs!$C$52+((IF(OR(Inputs!$C$27=TRUE,Inputs!$C$27="TRUE",Inputs!$C$27=1),1,0)*(Inputs!$C$51*(115*EXP(-(((Inputs!$C$6)-25)^2)/(4.5^2))+70*EXP(-(((Inputs!$C$6)+38)^2)/(7^2))*(0.55+0.45*SIN(2*PI()*(Scenario_Data!V15)/45))+24*SIN(2*PI()*(Inputs!$C$6)/9+(Scenario_Data!V15)/18)*EXP(-(((Inputs!$C$6)+5)^2)/(22^2))+18*SIN(2*PI()*(Scenario_Data!V15)/70))+Inputs!$C$28*EXP(-(((Scenario_Data!V15)-Inputs!$C$29)^2)/(2*Inputs!$C$31^2))*EXP(-(((Inputs!$C$6)-Inputs!$C$30)^2)/(2*Inputs!$C$32^2))+-Inputs!$C$33*EXP(-(((((Scenario_Data!V15)-Inputs!$C$34)^2)+(((Inputs!$C$6)-Inputs!$C$35)^2))/(2*Inputs!$C$36^2)))+Inputs!$C$37*(0.55*SIN(2*PI()*(Scenario_Data!V15)/Inputs!$C$39)+0.35*COS(2*PI()*(Inputs!$C$6)/Inputs!$C$40)+0.2*SIN(2*PI()*((Scenario_Data!V15)+(Inputs!$C$6))/(0.5*(Inputs!$C$39+Inputs!$C$40))))+Inputs!$C$38*SIN(2*PI()*(Scenario_Data!V15)/Inputs!$C$39)*SIN(2*PI()*(Inputs!$C$6)/Inputs!$C$40)+-Inputs!$C$41*EXP(-(((Inputs!$C$6)-Inputs!$C$43)^2)/(2*Inputs!$C$44^2))*EXP(-(((Scenario_Data!V15)-Inputs!$C$42)^2)/(2*Inputs!$C$45^2))+Inputs!$C$48*(0.7*(0.45*SIN(2*PI()*(((Scenario_Data!V15)/Inputs!$C$49)+Inputs!$C$47*0.137))+0.35*COS(2*PI()*(((Inputs!$C$6)/Inputs!$C$50)+Inputs!$C$47*0.173))+0.2*SIN(2*PI()*((((Scenario_Data!V15)+(Inputs!$C$6))/(0.5*(Inputs!$C$49+Inputs!$C$50)))+Inputs!$C$47*0.097)))+0.3*(2*((SIN(((Scenario_Data!V15)*12.9898+(Inputs!$C$6)*78.233+Inputs!$C$47*37.719))*43758.5453)-INT((SIN(((Scenario_Data!V15)*12.9898+(Inputs!$C$6)*78.233+Inputs!$C$47*37.719))*43758.5453)))-1))))/1000))*COS(SQRT((Scenario_Data!V15)^2+Inputs!$C$6^2)/Inputs!$C$52))*1000)/Inputs!$C$21*1000000</f>
        <v/>
      </c>
      <c r="AV15">
        <f>Scenario_Data!W15</f>
        <v/>
      </c>
      <c r="AW15">
        <f>2*(SQRT((Inputs!$C$52+(Scenario_Data!E15))^2+(Inputs!$C$52+((IF(OR(Inputs!$C$27=TRUE,Inputs!$C$27="TRUE",Inputs!$C$27=1),1,0)*(Inputs!$C$51*(115*EXP(-(((Inputs!$C$6)-25)^2)/(4.5^2))+70*EXP(-(((Inputs!$C$6)+38)^2)/(7^2))*(0.55+0.45*SIN(2*PI()*(Scenario_Data!W15)/45))+24*SIN(2*PI()*(Inputs!$C$6)/9+(Scenario_Data!W15)/18)*EXP(-(((Inputs!$C$6)+5)^2)/(22^2))+18*SIN(2*PI()*(Scenario_Data!W15)/70))+Inputs!$C$28*EXP(-(((Scenario_Data!W15)-Inputs!$C$29)^2)/(2*Inputs!$C$31^2))*EXP(-(((Inputs!$C$6)-Inputs!$C$30)^2)/(2*Inputs!$C$32^2))+-Inputs!$C$33*EXP(-(((((Scenario_Data!W15)-Inputs!$C$34)^2)+(((Inputs!$C$6)-Inputs!$C$35)^2))/(2*Inputs!$C$36^2)))+Inputs!$C$37*(0.55*SIN(2*PI()*(Scenario_Data!W15)/Inputs!$C$39)+0.35*COS(2*PI()*(Inputs!$C$6)/Inputs!$C$40)+0.2*SIN(2*PI()*((Scenario_Data!W15)+(Inputs!$C$6))/(0.5*(Inputs!$C$39+Inputs!$C$40))))+Inputs!$C$38*SIN(2*PI()*(Scenario_Data!W15)/Inputs!$C$39)*SIN(2*PI()*(Inputs!$C$6)/Inputs!$C$40)+-Inputs!$C$41*EXP(-(((Inputs!$C$6)-Inputs!$C$43)^2)/(2*Inputs!$C$44^2))*EXP(-(((Scenario_Data!W15)-Inputs!$C$42)^2)/(2*Inputs!$C$45^2))+Inputs!$C$48*(0.7*(0.45*SIN(2*PI()*(((Scenario_Data!W15)/Inputs!$C$49)+Inputs!$C$47*0.137))+0.35*COS(2*PI()*(((Inputs!$C$6)/Inputs!$C$50)+Inputs!$C$47*0.173))+0.2*SIN(2*PI()*((((Scenario_Data!W15)+(Inputs!$C$6))/(0.5*(Inputs!$C$49+Inputs!$C$50)))+Inputs!$C$47*0.097)))+0.3*(2*((SIN(((Scenario_Data!W15)*12.9898+(Inputs!$C$6)*78.233+Inputs!$C$47*37.719))*43758.5453)-INT((SIN(((Scenario_Data!W15)*12.9898+(Inputs!$C$6)*78.233+Inputs!$C$47*37.719))*43758.5453)))-1))))/1000))^2-2*(Inputs!$C$52+(Scenario_Data!E15))*(Inputs!$C$52+((IF(OR(Inputs!$C$27=TRUE,Inputs!$C$27="TRUE",Inputs!$C$27=1),1,0)*(Inputs!$C$51*(115*EXP(-(((Inputs!$C$6)-25)^2)/(4.5^2))+70*EXP(-(((Inputs!$C$6)+38)^2)/(7^2))*(0.55+0.45*SIN(2*PI()*(Scenario_Data!W15)/45))+24*SIN(2*PI()*(Inputs!$C$6)/9+(Scenario_Data!W15)/18)*EXP(-(((Inputs!$C$6)+5)^2)/(22^2))+18*SIN(2*PI()*(Scenario_Data!W15)/70))+Inputs!$C$28*EXP(-(((Scenario_Data!W15)-Inputs!$C$29)^2)/(2*Inputs!$C$31^2))*EXP(-(((Inputs!$C$6)-Inputs!$C$30)^2)/(2*Inputs!$C$32^2))+-Inputs!$C$33*EXP(-(((((Scenario_Data!W15)-Inputs!$C$34)^2)+(((Inputs!$C$6)-Inputs!$C$35)^2))/(2*Inputs!$C$36^2)))+Inputs!$C$37*(0.55*SIN(2*PI()*(Scenario_Data!W15)/Inputs!$C$39)+0.35*COS(2*PI()*(Inputs!$C$6)/Inputs!$C$40)+0.2*SIN(2*PI()*((Scenario_Data!W15)+(Inputs!$C$6))/(0.5*(Inputs!$C$39+Inputs!$C$40))))+Inputs!$C$38*SIN(2*PI()*(Scenario_Data!W15)/Inputs!$C$39)*SIN(2*PI()*(Inputs!$C$6)/Inputs!$C$40)+-Inputs!$C$41*EXP(-(((Inputs!$C$6)-Inputs!$C$43)^2)/(2*Inputs!$C$44^2))*EXP(-(((Scenario_Data!W15)-Inputs!$C$42)^2)/(2*Inputs!$C$45^2))+Inputs!$C$48*(0.7*(0.45*SIN(2*PI()*(((Scenario_Data!W15)/Inputs!$C$49)+Inputs!$C$47*0.137))+0.35*COS(2*PI()*(((Inputs!$C$6)/Inputs!$C$50)+Inputs!$C$47*0.173))+0.2*SIN(2*PI()*((((Scenario_Data!W15)+(Inputs!$C$6))/(0.5*(Inputs!$C$49+Inputs!$C$50)))+Inputs!$C$47*0.097)))+0.3*(2*((SIN(((Scenario_Data!W15)*12.9898+(Inputs!$C$6)*78.233+Inputs!$C$47*37.719))*43758.5453)-INT((SIN(((Scenario_Data!W15)*12.9898+(Inputs!$C$6)*78.233+Inputs!$C$47*37.719))*43758.5453)))-1))))/1000))*COS(SQRT((Scenario_Data!W15)^2+Inputs!$C$6^2)/Inputs!$C$52))*1000)/Inputs!$C$21*1000000</f>
        <v/>
      </c>
    </row>
    <row r="16">
      <c r="A16">
        <f>Chart_Data!K16</f>
        <v/>
      </c>
      <c r="B16">
        <f>Chart_Data!N16-Chart_Data!L16</f>
        <v/>
      </c>
      <c r="D16">
        <f>Chart_Data!G16</f>
        <v/>
      </c>
      <c r="E16">
        <f>Chart_Data!H16</f>
        <v/>
      </c>
      <c r="F16">
        <f>Chart_Data!I16</f>
        <v/>
      </c>
      <c r="G16">
        <f>Chart_Data!J16</f>
        <v/>
      </c>
      <c r="I16">
        <f>Scenario_Data!A16</f>
        <v/>
      </c>
      <c r="J16">
        <f>Scenario_Data!H16-(((SQRT((Inputs!$C$52+(Inputs!$H$6))^2+Inputs!$C$52^2-2*(Inputs!$C$52+(Inputs!$H$6))*Inputs!$C$52*COS(SQRT((Scenario_Data!T16)^2+Inputs!$C$6^2)/Inputs!$C$52)))-(Inputs!$H$6))*1000/Inputs!$C$12)</f>
        <v/>
      </c>
      <c r="K16">
        <f>Scenario_Data!I16-(((SQRT((Inputs!$C$52+(Inputs!$H$7))^2+Inputs!$C$52^2-2*(Inputs!$C$52+(Inputs!$H$7))*Inputs!$C$52*COS(SQRT((Scenario_Data!U16)^2+Inputs!$C$6^2)/Inputs!$C$52)))-(Inputs!$H$7))*1000/Inputs!$C$12)</f>
        <v/>
      </c>
      <c r="L16">
        <f>Scenario_Data!J16-(((SQRT((Inputs!$C$52+(Inputs!$H$8))^2+Inputs!$C$52^2-2*(Inputs!$C$52+(Inputs!$H$8))*Inputs!$C$52*COS(SQRT((Scenario_Data!V16)^2+Inputs!$C$6^2)/Inputs!$C$52)))-(Inputs!$H$8))*1000/Inputs!$C$12)</f>
        <v/>
      </c>
      <c r="M16">
        <f>Scenario_Data!K16-(((SQRT((Inputs!$C$52+(Inputs!$H$9))^2+Inputs!$C$52^2-2*(Inputs!$C$52+(Inputs!$H$9))*Inputs!$C$52*COS(SQRT((Scenario_Data!W16)^2+Inputs!$C$6^2)/Inputs!$C$52)))-(Inputs!$H$9))*1000/Inputs!$C$12)</f>
        <v/>
      </c>
      <c r="O16">
        <f>Scenario_Data!T16</f>
        <v/>
      </c>
      <c r="P16">
        <f>2*(Scenario_Data!B16*1000)/Inputs!$C$21*1000000</f>
        <v/>
      </c>
      <c r="Q16">
        <f>Scenario_Data!U16</f>
        <v/>
      </c>
      <c r="R16">
        <f>2*(Scenario_Data!C16*1000)/Inputs!$C$21*1000000</f>
        <v/>
      </c>
      <c r="S16">
        <f>Scenario_Data!V16</f>
        <v/>
      </c>
      <c r="T16">
        <f>2*(Scenario_Data!D16*1000)/Inputs!$C$21*1000000</f>
        <v/>
      </c>
      <c r="U16">
        <f>Scenario_Data!W16</f>
        <v/>
      </c>
      <c r="V16">
        <f>2*(Scenario_Data!E16*1000)/Inputs!$C$21*1000000</f>
        <v/>
      </c>
      <c r="X16">
        <f>Scenario_Data!T16</f>
        <v/>
      </c>
      <c r="Y16">
        <f>2*((Scenario_Data!B16*1000)-(IF(OR(Inputs!$C$27=TRUE,Inputs!$C$27="TRUE",Inputs!$C$27=1),1,0)*(Inputs!$C$51*(115*EXP(-(((0)-25)^2)/(4.5^2))+70*EXP(-(((0)+38)^2)/(7^2))*(0.55+0.45*SIN(2*PI()*(Scenario_Data!T16)/45))+24*SIN(2*PI()*(0)/9+(Scenario_Data!T16)/18)*EXP(-(((0)+5)^2)/(22^2))+18*SIN(2*PI()*(Scenario_Data!T16)/70))+Inputs!$C$28*EXP(-(((Scenario_Data!T16)-Inputs!$C$29)^2)/(2*Inputs!$C$31^2))*EXP(-(((0)-Inputs!$C$30)^2)/(2*Inputs!$C$32^2))+-Inputs!$C$33*EXP(-(((((Scenario_Data!T16)-Inputs!$C$34)^2)+(((0)-Inputs!$C$35)^2))/(2*Inputs!$C$36^2)))+Inputs!$C$37*(0.55*SIN(2*PI()*(Scenario_Data!T16)/Inputs!$C$39)+0.35*COS(2*PI()*(0)/Inputs!$C$40)+0.2*SIN(2*PI()*((Scenario_Data!T16)+(0))/(0.5*(Inputs!$C$39+Inputs!$C$40))))+Inputs!$C$38*SIN(2*PI()*(Scenario_Data!T16)/Inputs!$C$39)*SIN(2*PI()*(0)/Inputs!$C$40)+-Inputs!$C$41*EXP(-(((0)-Inputs!$C$43)^2)/(2*Inputs!$C$44^2))*EXP(-(((Scenario_Data!T16)-Inputs!$C$42)^2)/(2*Inputs!$C$45^2))+Inputs!$C$48*(0.7*(0.45*SIN(2*PI()*(((Scenario_Data!T16)/Inputs!$C$49)+Inputs!$C$47*0.137))+0.35*COS(2*PI()*(((0)/Inputs!$C$50)+Inputs!$C$47*0.173))+0.2*SIN(2*PI()*((((Scenario_Data!T16)+(0))/(0.5*(Inputs!$C$49+Inputs!$C$50)))+Inputs!$C$47*0.097)))+0.3*(2*((SIN(((Scenario_Data!T16)*12.9898+(0)*78.233+Inputs!$C$47*37.719))*43758.5453)-INT((SIN(((Scenario_Data!T16)*12.9898+(0)*78.233+Inputs!$C$47*37.719))*43758.5453)))-1)))))/Inputs!$C$21*1000000</f>
        <v/>
      </c>
      <c r="Z16">
        <f>Scenario_Data!U16</f>
        <v/>
      </c>
      <c r="AA16">
        <f>2*((Scenario_Data!C16*1000)-(IF(OR(Inputs!$C$27=TRUE,Inputs!$C$27="TRUE",Inputs!$C$27=1),1,0)*(Inputs!$C$51*(115*EXP(-(((0)-25)^2)/(4.5^2))+70*EXP(-(((0)+38)^2)/(7^2))*(0.55+0.45*SIN(2*PI()*(Scenario_Data!U16)/45))+24*SIN(2*PI()*(0)/9+(Scenario_Data!U16)/18)*EXP(-(((0)+5)^2)/(22^2))+18*SIN(2*PI()*(Scenario_Data!U16)/70))+Inputs!$C$28*EXP(-(((Scenario_Data!U16)-Inputs!$C$29)^2)/(2*Inputs!$C$31^2))*EXP(-(((0)-Inputs!$C$30)^2)/(2*Inputs!$C$32^2))+-Inputs!$C$33*EXP(-(((((Scenario_Data!U16)-Inputs!$C$34)^2)+(((0)-Inputs!$C$35)^2))/(2*Inputs!$C$36^2)))+Inputs!$C$37*(0.55*SIN(2*PI()*(Scenario_Data!U16)/Inputs!$C$39)+0.35*COS(2*PI()*(0)/Inputs!$C$40)+0.2*SIN(2*PI()*((Scenario_Data!U16)+(0))/(0.5*(Inputs!$C$39+Inputs!$C$40))))+Inputs!$C$38*SIN(2*PI()*(Scenario_Data!U16)/Inputs!$C$39)*SIN(2*PI()*(0)/Inputs!$C$40)+-Inputs!$C$41*EXP(-(((0)-Inputs!$C$43)^2)/(2*Inputs!$C$44^2))*EXP(-(((Scenario_Data!U16)-Inputs!$C$42)^2)/(2*Inputs!$C$45^2))+Inputs!$C$48*(0.7*(0.45*SIN(2*PI()*(((Scenario_Data!U16)/Inputs!$C$49)+Inputs!$C$47*0.137))+0.35*COS(2*PI()*(((0)/Inputs!$C$50)+Inputs!$C$47*0.173))+0.2*SIN(2*PI()*((((Scenario_Data!U16)+(0))/(0.5*(Inputs!$C$49+Inputs!$C$50)))+Inputs!$C$47*0.097)))+0.3*(2*((SIN(((Scenario_Data!U16)*12.9898+(0)*78.233+Inputs!$C$47*37.719))*43758.5453)-INT((SIN(((Scenario_Data!U16)*12.9898+(0)*78.233+Inputs!$C$47*37.719))*43758.5453)))-1)))))/Inputs!$C$21*1000000</f>
        <v/>
      </c>
      <c r="AB16">
        <f>Scenario_Data!V16</f>
        <v/>
      </c>
      <c r="AC16">
        <f>2*((Scenario_Data!D16*1000)-(IF(OR(Inputs!$C$27=TRUE,Inputs!$C$27="TRUE",Inputs!$C$27=1),1,0)*(Inputs!$C$51*(115*EXP(-(((0)-25)^2)/(4.5^2))+70*EXP(-(((0)+38)^2)/(7^2))*(0.55+0.45*SIN(2*PI()*(Scenario_Data!V16)/45))+24*SIN(2*PI()*(0)/9+(Scenario_Data!V16)/18)*EXP(-(((0)+5)^2)/(22^2))+18*SIN(2*PI()*(Scenario_Data!V16)/70))+Inputs!$C$28*EXP(-(((Scenario_Data!V16)-Inputs!$C$29)^2)/(2*Inputs!$C$31^2))*EXP(-(((0)-Inputs!$C$30)^2)/(2*Inputs!$C$32^2))+-Inputs!$C$33*EXP(-(((((Scenario_Data!V16)-Inputs!$C$34)^2)+(((0)-Inputs!$C$35)^2))/(2*Inputs!$C$36^2)))+Inputs!$C$37*(0.55*SIN(2*PI()*(Scenario_Data!V16)/Inputs!$C$39)+0.35*COS(2*PI()*(0)/Inputs!$C$40)+0.2*SIN(2*PI()*((Scenario_Data!V16)+(0))/(0.5*(Inputs!$C$39+Inputs!$C$40))))+Inputs!$C$38*SIN(2*PI()*(Scenario_Data!V16)/Inputs!$C$39)*SIN(2*PI()*(0)/Inputs!$C$40)+-Inputs!$C$41*EXP(-(((0)-Inputs!$C$43)^2)/(2*Inputs!$C$44^2))*EXP(-(((Scenario_Data!V16)-Inputs!$C$42)^2)/(2*Inputs!$C$45^2))+Inputs!$C$48*(0.7*(0.45*SIN(2*PI()*(((Scenario_Data!V16)/Inputs!$C$49)+Inputs!$C$47*0.137))+0.35*COS(2*PI()*(((0)/Inputs!$C$50)+Inputs!$C$47*0.173))+0.2*SIN(2*PI()*((((Scenario_Data!V16)+(0))/(0.5*(Inputs!$C$49+Inputs!$C$50)))+Inputs!$C$47*0.097)))+0.3*(2*((SIN(((Scenario_Data!V16)*12.9898+(0)*78.233+Inputs!$C$47*37.719))*43758.5453)-INT((SIN(((Scenario_Data!V16)*12.9898+(0)*78.233+Inputs!$C$47*37.719))*43758.5453)))-1)))))/Inputs!$C$21*1000000</f>
        <v/>
      </c>
      <c r="AD16">
        <f>Scenario_Data!W16</f>
        <v/>
      </c>
      <c r="AE16">
        <f>2*((Scenario_Data!E16*1000)-(IF(OR(Inputs!$C$27=TRUE,Inputs!$C$27="TRUE",Inputs!$C$27=1),1,0)*(Inputs!$C$51*(115*EXP(-(((0)-25)^2)/(4.5^2))+70*EXP(-(((0)+38)^2)/(7^2))*(0.55+0.45*SIN(2*PI()*(Scenario_Data!W16)/45))+24*SIN(2*PI()*(0)/9+(Scenario_Data!W16)/18)*EXP(-(((0)+5)^2)/(22^2))+18*SIN(2*PI()*(Scenario_Data!W16)/70))+Inputs!$C$28*EXP(-(((Scenario_Data!W16)-Inputs!$C$29)^2)/(2*Inputs!$C$31^2))*EXP(-(((0)-Inputs!$C$30)^2)/(2*Inputs!$C$32^2))+-Inputs!$C$33*EXP(-(((((Scenario_Data!W16)-Inputs!$C$34)^2)+(((0)-Inputs!$C$35)^2))/(2*Inputs!$C$36^2)))+Inputs!$C$37*(0.55*SIN(2*PI()*(Scenario_Data!W16)/Inputs!$C$39)+0.35*COS(2*PI()*(0)/Inputs!$C$40)+0.2*SIN(2*PI()*((Scenario_Data!W16)+(0))/(0.5*(Inputs!$C$39+Inputs!$C$40))))+Inputs!$C$38*SIN(2*PI()*(Scenario_Data!W16)/Inputs!$C$39)*SIN(2*PI()*(0)/Inputs!$C$40)+-Inputs!$C$41*EXP(-(((0)-Inputs!$C$43)^2)/(2*Inputs!$C$44^2))*EXP(-(((Scenario_Data!W16)-Inputs!$C$42)^2)/(2*Inputs!$C$45^2))+Inputs!$C$48*(0.7*(0.45*SIN(2*PI()*(((Scenario_Data!W16)/Inputs!$C$49)+Inputs!$C$47*0.137))+0.35*COS(2*PI()*(((0)/Inputs!$C$50)+Inputs!$C$47*0.173))+0.2*SIN(2*PI()*((((Scenario_Data!W16)+(0))/(0.5*(Inputs!$C$49+Inputs!$C$50)))+Inputs!$C$47*0.097)))+0.3*(2*((SIN(((Scenario_Data!W16)*12.9898+(0)*78.233+Inputs!$C$47*37.719))*43758.5453)-INT((SIN(((Scenario_Data!W16)*12.9898+(0)*78.233+Inputs!$C$47*37.719))*43758.5453)))-1)))))/Inputs!$C$21*1000000</f>
        <v/>
      </c>
      <c r="AG16">
        <f>Scenario_Data!T16</f>
        <v/>
      </c>
      <c r="AH16">
        <f>2*(SQRT((Inputs!$C$52+(Scenario_Data!B16))^2+Inputs!$C$52^2-2*(Inputs!$C$52+(Scenario_Data!B16))*Inputs!$C$52*COS(SQRT((Scenario_Data!T16)^2+Inputs!$C$6^2)/Inputs!$C$52))*1000)/Inputs!$C$21*1000000</f>
        <v/>
      </c>
      <c r="AI16">
        <f>Scenario_Data!U16</f>
        <v/>
      </c>
      <c r="AJ16">
        <f>2*(SQRT((Inputs!$C$52+(Scenario_Data!C16))^2+Inputs!$C$52^2-2*(Inputs!$C$52+(Scenario_Data!C16))*Inputs!$C$52*COS(SQRT((Scenario_Data!U16)^2+Inputs!$C$6^2)/Inputs!$C$52))*1000)/Inputs!$C$21*1000000</f>
        <v/>
      </c>
      <c r="AK16">
        <f>Scenario_Data!V16</f>
        <v/>
      </c>
      <c r="AL16">
        <f>2*(SQRT((Inputs!$C$52+(Scenario_Data!D16))^2+Inputs!$C$52^2-2*(Inputs!$C$52+(Scenario_Data!D16))*Inputs!$C$52*COS(SQRT((Scenario_Data!V16)^2+Inputs!$C$6^2)/Inputs!$C$52))*1000)/Inputs!$C$21*1000000</f>
        <v/>
      </c>
      <c r="AM16">
        <f>Scenario_Data!W16</f>
        <v/>
      </c>
      <c r="AN16">
        <f>2*(SQRT((Inputs!$C$52+(Scenario_Data!E16))^2+Inputs!$C$52^2-2*(Inputs!$C$52+(Scenario_Data!E16))*Inputs!$C$52*COS(SQRT((Scenario_Data!W16)^2+Inputs!$C$6^2)/Inputs!$C$52))*1000)/Inputs!$C$21*1000000</f>
        <v/>
      </c>
      <c r="AP16">
        <f>Scenario_Data!T16</f>
        <v/>
      </c>
      <c r="AQ16">
        <f>2*(SQRT((Inputs!$C$52+(Scenario_Data!B16))^2+(Inputs!$C$52+((IF(OR(Inputs!$C$27=TRUE,Inputs!$C$27="TRUE",Inputs!$C$27=1),1,0)*(Inputs!$C$51*(115*EXP(-(((Inputs!$C$6)-25)^2)/(4.5^2))+70*EXP(-(((Inputs!$C$6)+38)^2)/(7^2))*(0.55+0.45*SIN(2*PI()*(Scenario_Data!T16)/45))+24*SIN(2*PI()*(Inputs!$C$6)/9+(Scenario_Data!T16)/18)*EXP(-(((Inputs!$C$6)+5)^2)/(22^2))+18*SIN(2*PI()*(Scenario_Data!T16)/70))+Inputs!$C$28*EXP(-(((Scenario_Data!T16)-Inputs!$C$29)^2)/(2*Inputs!$C$31^2))*EXP(-(((Inputs!$C$6)-Inputs!$C$30)^2)/(2*Inputs!$C$32^2))+-Inputs!$C$33*EXP(-(((((Scenario_Data!T16)-Inputs!$C$34)^2)+(((Inputs!$C$6)-Inputs!$C$35)^2))/(2*Inputs!$C$36^2)))+Inputs!$C$37*(0.55*SIN(2*PI()*(Scenario_Data!T16)/Inputs!$C$39)+0.35*COS(2*PI()*(Inputs!$C$6)/Inputs!$C$40)+0.2*SIN(2*PI()*((Scenario_Data!T16)+(Inputs!$C$6))/(0.5*(Inputs!$C$39+Inputs!$C$40))))+Inputs!$C$38*SIN(2*PI()*(Scenario_Data!T16)/Inputs!$C$39)*SIN(2*PI()*(Inputs!$C$6)/Inputs!$C$40)+-Inputs!$C$41*EXP(-(((Inputs!$C$6)-Inputs!$C$43)^2)/(2*Inputs!$C$44^2))*EXP(-(((Scenario_Data!T16)-Inputs!$C$42)^2)/(2*Inputs!$C$45^2))+Inputs!$C$48*(0.7*(0.45*SIN(2*PI()*(((Scenario_Data!T16)/Inputs!$C$49)+Inputs!$C$47*0.137))+0.35*COS(2*PI()*(((Inputs!$C$6)/Inputs!$C$50)+Inputs!$C$47*0.173))+0.2*SIN(2*PI()*((((Scenario_Data!T16)+(Inputs!$C$6))/(0.5*(Inputs!$C$49+Inputs!$C$50)))+Inputs!$C$47*0.097)))+0.3*(2*((SIN(((Scenario_Data!T16)*12.9898+(Inputs!$C$6)*78.233+Inputs!$C$47*37.719))*43758.5453)-INT((SIN(((Scenario_Data!T16)*12.9898+(Inputs!$C$6)*78.233+Inputs!$C$47*37.719))*43758.5453)))-1))))/1000))^2-2*(Inputs!$C$52+(Scenario_Data!B16))*(Inputs!$C$52+((IF(OR(Inputs!$C$27=TRUE,Inputs!$C$27="TRUE",Inputs!$C$27=1),1,0)*(Inputs!$C$51*(115*EXP(-(((Inputs!$C$6)-25)^2)/(4.5^2))+70*EXP(-(((Inputs!$C$6)+38)^2)/(7^2))*(0.55+0.45*SIN(2*PI()*(Scenario_Data!T16)/45))+24*SIN(2*PI()*(Inputs!$C$6)/9+(Scenario_Data!T16)/18)*EXP(-(((Inputs!$C$6)+5)^2)/(22^2))+18*SIN(2*PI()*(Scenario_Data!T16)/70))+Inputs!$C$28*EXP(-(((Scenario_Data!T16)-Inputs!$C$29)^2)/(2*Inputs!$C$31^2))*EXP(-(((Inputs!$C$6)-Inputs!$C$30)^2)/(2*Inputs!$C$32^2))+-Inputs!$C$33*EXP(-(((((Scenario_Data!T16)-Inputs!$C$34)^2)+(((Inputs!$C$6)-Inputs!$C$35)^2))/(2*Inputs!$C$36^2)))+Inputs!$C$37*(0.55*SIN(2*PI()*(Scenario_Data!T16)/Inputs!$C$39)+0.35*COS(2*PI()*(Inputs!$C$6)/Inputs!$C$40)+0.2*SIN(2*PI()*((Scenario_Data!T16)+(Inputs!$C$6))/(0.5*(Inputs!$C$39+Inputs!$C$40))))+Inputs!$C$38*SIN(2*PI()*(Scenario_Data!T16)/Inputs!$C$39)*SIN(2*PI()*(Inputs!$C$6)/Inputs!$C$40)+-Inputs!$C$41*EXP(-(((Inputs!$C$6)-Inputs!$C$43)^2)/(2*Inputs!$C$44^2))*EXP(-(((Scenario_Data!T16)-Inputs!$C$42)^2)/(2*Inputs!$C$45^2))+Inputs!$C$48*(0.7*(0.45*SIN(2*PI()*(((Scenario_Data!T16)/Inputs!$C$49)+Inputs!$C$47*0.137))+0.35*COS(2*PI()*(((Inputs!$C$6)/Inputs!$C$50)+Inputs!$C$47*0.173))+0.2*SIN(2*PI()*((((Scenario_Data!T16)+(Inputs!$C$6))/(0.5*(Inputs!$C$49+Inputs!$C$50)))+Inputs!$C$47*0.097)))+0.3*(2*((SIN(((Scenario_Data!T16)*12.9898+(Inputs!$C$6)*78.233+Inputs!$C$47*37.719))*43758.5453)-INT((SIN(((Scenario_Data!T16)*12.9898+(Inputs!$C$6)*78.233+Inputs!$C$47*37.719))*43758.5453)))-1))))/1000))*COS(SQRT((Scenario_Data!T16)^2+Inputs!$C$6^2)/Inputs!$C$52))*1000)/Inputs!$C$21*1000000</f>
        <v/>
      </c>
      <c r="AR16">
        <f>Scenario_Data!U16</f>
        <v/>
      </c>
      <c r="AS16">
        <f>2*(SQRT((Inputs!$C$52+(Scenario_Data!C16))^2+(Inputs!$C$52+((IF(OR(Inputs!$C$27=TRUE,Inputs!$C$27="TRUE",Inputs!$C$27=1),1,0)*(Inputs!$C$51*(115*EXP(-(((Inputs!$C$6)-25)^2)/(4.5^2))+70*EXP(-(((Inputs!$C$6)+38)^2)/(7^2))*(0.55+0.45*SIN(2*PI()*(Scenario_Data!U16)/45))+24*SIN(2*PI()*(Inputs!$C$6)/9+(Scenario_Data!U16)/18)*EXP(-(((Inputs!$C$6)+5)^2)/(22^2))+18*SIN(2*PI()*(Scenario_Data!U16)/70))+Inputs!$C$28*EXP(-(((Scenario_Data!U16)-Inputs!$C$29)^2)/(2*Inputs!$C$31^2))*EXP(-(((Inputs!$C$6)-Inputs!$C$30)^2)/(2*Inputs!$C$32^2))+-Inputs!$C$33*EXP(-(((((Scenario_Data!U16)-Inputs!$C$34)^2)+(((Inputs!$C$6)-Inputs!$C$35)^2))/(2*Inputs!$C$36^2)))+Inputs!$C$37*(0.55*SIN(2*PI()*(Scenario_Data!U16)/Inputs!$C$39)+0.35*COS(2*PI()*(Inputs!$C$6)/Inputs!$C$40)+0.2*SIN(2*PI()*((Scenario_Data!U16)+(Inputs!$C$6))/(0.5*(Inputs!$C$39+Inputs!$C$40))))+Inputs!$C$38*SIN(2*PI()*(Scenario_Data!U16)/Inputs!$C$39)*SIN(2*PI()*(Inputs!$C$6)/Inputs!$C$40)+-Inputs!$C$41*EXP(-(((Inputs!$C$6)-Inputs!$C$43)^2)/(2*Inputs!$C$44^2))*EXP(-(((Scenario_Data!U16)-Inputs!$C$42)^2)/(2*Inputs!$C$45^2))+Inputs!$C$48*(0.7*(0.45*SIN(2*PI()*(((Scenario_Data!U16)/Inputs!$C$49)+Inputs!$C$47*0.137))+0.35*COS(2*PI()*(((Inputs!$C$6)/Inputs!$C$50)+Inputs!$C$47*0.173))+0.2*SIN(2*PI()*((((Scenario_Data!U16)+(Inputs!$C$6))/(0.5*(Inputs!$C$49+Inputs!$C$50)))+Inputs!$C$47*0.097)))+0.3*(2*((SIN(((Scenario_Data!U16)*12.9898+(Inputs!$C$6)*78.233+Inputs!$C$47*37.719))*43758.5453)-INT((SIN(((Scenario_Data!U16)*12.9898+(Inputs!$C$6)*78.233+Inputs!$C$47*37.719))*43758.5453)))-1))))/1000))^2-2*(Inputs!$C$52+(Scenario_Data!C16))*(Inputs!$C$52+((IF(OR(Inputs!$C$27=TRUE,Inputs!$C$27="TRUE",Inputs!$C$27=1),1,0)*(Inputs!$C$51*(115*EXP(-(((Inputs!$C$6)-25)^2)/(4.5^2))+70*EXP(-(((Inputs!$C$6)+38)^2)/(7^2))*(0.55+0.45*SIN(2*PI()*(Scenario_Data!U16)/45))+24*SIN(2*PI()*(Inputs!$C$6)/9+(Scenario_Data!U16)/18)*EXP(-(((Inputs!$C$6)+5)^2)/(22^2))+18*SIN(2*PI()*(Scenario_Data!U16)/70))+Inputs!$C$28*EXP(-(((Scenario_Data!U16)-Inputs!$C$29)^2)/(2*Inputs!$C$31^2))*EXP(-(((Inputs!$C$6)-Inputs!$C$30)^2)/(2*Inputs!$C$32^2))+-Inputs!$C$33*EXP(-(((((Scenario_Data!U16)-Inputs!$C$34)^2)+(((Inputs!$C$6)-Inputs!$C$35)^2))/(2*Inputs!$C$36^2)))+Inputs!$C$37*(0.55*SIN(2*PI()*(Scenario_Data!U16)/Inputs!$C$39)+0.35*COS(2*PI()*(Inputs!$C$6)/Inputs!$C$40)+0.2*SIN(2*PI()*((Scenario_Data!U16)+(Inputs!$C$6))/(0.5*(Inputs!$C$39+Inputs!$C$40))))+Inputs!$C$38*SIN(2*PI()*(Scenario_Data!U16)/Inputs!$C$39)*SIN(2*PI()*(Inputs!$C$6)/Inputs!$C$40)+-Inputs!$C$41*EXP(-(((Inputs!$C$6)-Inputs!$C$43)^2)/(2*Inputs!$C$44^2))*EXP(-(((Scenario_Data!U16)-Inputs!$C$42)^2)/(2*Inputs!$C$45^2))+Inputs!$C$48*(0.7*(0.45*SIN(2*PI()*(((Scenario_Data!U16)/Inputs!$C$49)+Inputs!$C$47*0.137))+0.35*COS(2*PI()*(((Inputs!$C$6)/Inputs!$C$50)+Inputs!$C$47*0.173))+0.2*SIN(2*PI()*((((Scenario_Data!U16)+(Inputs!$C$6))/(0.5*(Inputs!$C$49+Inputs!$C$50)))+Inputs!$C$47*0.097)))+0.3*(2*((SIN(((Scenario_Data!U16)*12.9898+(Inputs!$C$6)*78.233+Inputs!$C$47*37.719))*43758.5453)-INT((SIN(((Scenario_Data!U16)*12.9898+(Inputs!$C$6)*78.233+Inputs!$C$47*37.719))*43758.5453)))-1))))/1000))*COS(SQRT((Scenario_Data!U16)^2+Inputs!$C$6^2)/Inputs!$C$52))*1000)/Inputs!$C$21*1000000</f>
        <v/>
      </c>
      <c r="AT16">
        <f>Scenario_Data!V16</f>
        <v/>
      </c>
      <c r="AU16">
        <f>2*(SQRT((Inputs!$C$52+(Scenario_Data!D16))^2+(Inputs!$C$52+((IF(OR(Inputs!$C$27=TRUE,Inputs!$C$27="TRUE",Inputs!$C$27=1),1,0)*(Inputs!$C$51*(115*EXP(-(((Inputs!$C$6)-25)^2)/(4.5^2))+70*EXP(-(((Inputs!$C$6)+38)^2)/(7^2))*(0.55+0.45*SIN(2*PI()*(Scenario_Data!V16)/45))+24*SIN(2*PI()*(Inputs!$C$6)/9+(Scenario_Data!V16)/18)*EXP(-(((Inputs!$C$6)+5)^2)/(22^2))+18*SIN(2*PI()*(Scenario_Data!V16)/70))+Inputs!$C$28*EXP(-(((Scenario_Data!V16)-Inputs!$C$29)^2)/(2*Inputs!$C$31^2))*EXP(-(((Inputs!$C$6)-Inputs!$C$30)^2)/(2*Inputs!$C$32^2))+-Inputs!$C$33*EXP(-(((((Scenario_Data!V16)-Inputs!$C$34)^2)+(((Inputs!$C$6)-Inputs!$C$35)^2))/(2*Inputs!$C$36^2)))+Inputs!$C$37*(0.55*SIN(2*PI()*(Scenario_Data!V16)/Inputs!$C$39)+0.35*COS(2*PI()*(Inputs!$C$6)/Inputs!$C$40)+0.2*SIN(2*PI()*((Scenario_Data!V16)+(Inputs!$C$6))/(0.5*(Inputs!$C$39+Inputs!$C$40))))+Inputs!$C$38*SIN(2*PI()*(Scenario_Data!V16)/Inputs!$C$39)*SIN(2*PI()*(Inputs!$C$6)/Inputs!$C$40)+-Inputs!$C$41*EXP(-(((Inputs!$C$6)-Inputs!$C$43)^2)/(2*Inputs!$C$44^2))*EXP(-(((Scenario_Data!V16)-Inputs!$C$42)^2)/(2*Inputs!$C$45^2))+Inputs!$C$48*(0.7*(0.45*SIN(2*PI()*(((Scenario_Data!V16)/Inputs!$C$49)+Inputs!$C$47*0.137))+0.35*COS(2*PI()*(((Inputs!$C$6)/Inputs!$C$50)+Inputs!$C$47*0.173))+0.2*SIN(2*PI()*((((Scenario_Data!V16)+(Inputs!$C$6))/(0.5*(Inputs!$C$49+Inputs!$C$50)))+Inputs!$C$47*0.097)))+0.3*(2*((SIN(((Scenario_Data!V16)*12.9898+(Inputs!$C$6)*78.233+Inputs!$C$47*37.719))*43758.5453)-INT((SIN(((Scenario_Data!V16)*12.9898+(Inputs!$C$6)*78.233+Inputs!$C$47*37.719))*43758.5453)))-1))))/1000))^2-2*(Inputs!$C$52+(Scenario_Data!D16))*(Inputs!$C$52+((IF(OR(Inputs!$C$27=TRUE,Inputs!$C$27="TRUE",Inputs!$C$27=1),1,0)*(Inputs!$C$51*(115*EXP(-(((Inputs!$C$6)-25)^2)/(4.5^2))+70*EXP(-(((Inputs!$C$6)+38)^2)/(7^2))*(0.55+0.45*SIN(2*PI()*(Scenario_Data!V16)/45))+24*SIN(2*PI()*(Inputs!$C$6)/9+(Scenario_Data!V16)/18)*EXP(-(((Inputs!$C$6)+5)^2)/(22^2))+18*SIN(2*PI()*(Scenario_Data!V16)/70))+Inputs!$C$28*EXP(-(((Scenario_Data!V16)-Inputs!$C$29)^2)/(2*Inputs!$C$31^2))*EXP(-(((Inputs!$C$6)-Inputs!$C$30)^2)/(2*Inputs!$C$32^2))+-Inputs!$C$33*EXP(-(((((Scenario_Data!V16)-Inputs!$C$34)^2)+(((Inputs!$C$6)-Inputs!$C$35)^2))/(2*Inputs!$C$36^2)))+Inputs!$C$37*(0.55*SIN(2*PI()*(Scenario_Data!V16)/Inputs!$C$39)+0.35*COS(2*PI()*(Inputs!$C$6)/Inputs!$C$40)+0.2*SIN(2*PI()*((Scenario_Data!V16)+(Inputs!$C$6))/(0.5*(Inputs!$C$39+Inputs!$C$40))))+Inputs!$C$38*SIN(2*PI()*(Scenario_Data!V16)/Inputs!$C$39)*SIN(2*PI()*(Inputs!$C$6)/Inputs!$C$40)+-Inputs!$C$41*EXP(-(((Inputs!$C$6)-Inputs!$C$43)^2)/(2*Inputs!$C$44^2))*EXP(-(((Scenario_Data!V16)-Inputs!$C$42)^2)/(2*Inputs!$C$45^2))+Inputs!$C$48*(0.7*(0.45*SIN(2*PI()*(((Scenario_Data!V16)/Inputs!$C$49)+Inputs!$C$47*0.137))+0.35*COS(2*PI()*(((Inputs!$C$6)/Inputs!$C$50)+Inputs!$C$47*0.173))+0.2*SIN(2*PI()*((((Scenario_Data!V16)+(Inputs!$C$6))/(0.5*(Inputs!$C$49+Inputs!$C$50)))+Inputs!$C$47*0.097)))+0.3*(2*((SIN(((Scenario_Data!V16)*12.9898+(Inputs!$C$6)*78.233+Inputs!$C$47*37.719))*43758.5453)-INT((SIN(((Scenario_Data!V16)*12.9898+(Inputs!$C$6)*78.233+Inputs!$C$47*37.719))*43758.5453)))-1))))/1000))*COS(SQRT((Scenario_Data!V16)^2+Inputs!$C$6^2)/Inputs!$C$52))*1000)/Inputs!$C$21*1000000</f>
        <v/>
      </c>
      <c r="AV16">
        <f>Scenario_Data!W16</f>
        <v/>
      </c>
      <c r="AW16">
        <f>2*(SQRT((Inputs!$C$52+(Scenario_Data!E16))^2+(Inputs!$C$52+((IF(OR(Inputs!$C$27=TRUE,Inputs!$C$27="TRUE",Inputs!$C$27=1),1,0)*(Inputs!$C$51*(115*EXP(-(((Inputs!$C$6)-25)^2)/(4.5^2))+70*EXP(-(((Inputs!$C$6)+38)^2)/(7^2))*(0.55+0.45*SIN(2*PI()*(Scenario_Data!W16)/45))+24*SIN(2*PI()*(Inputs!$C$6)/9+(Scenario_Data!W16)/18)*EXP(-(((Inputs!$C$6)+5)^2)/(22^2))+18*SIN(2*PI()*(Scenario_Data!W16)/70))+Inputs!$C$28*EXP(-(((Scenario_Data!W16)-Inputs!$C$29)^2)/(2*Inputs!$C$31^2))*EXP(-(((Inputs!$C$6)-Inputs!$C$30)^2)/(2*Inputs!$C$32^2))+-Inputs!$C$33*EXP(-(((((Scenario_Data!W16)-Inputs!$C$34)^2)+(((Inputs!$C$6)-Inputs!$C$35)^2))/(2*Inputs!$C$36^2)))+Inputs!$C$37*(0.55*SIN(2*PI()*(Scenario_Data!W16)/Inputs!$C$39)+0.35*COS(2*PI()*(Inputs!$C$6)/Inputs!$C$40)+0.2*SIN(2*PI()*((Scenario_Data!W16)+(Inputs!$C$6))/(0.5*(Inputs!$C$39+Inputs!$C$40))))+Inputs!$C$38*SIN(2*PI()*(Scenario_Data!W16)/Inputs!$C$39)*SIN(2*PI()*(Inputs!$C$6)/Inputs!$C$40)+-Inputs!$C$41*EXP(-(((Inputs!$C$6)-Inputs!$C$43)^2)/(2*Inputs!$C$44^2))*EXP(-(((Scenario_Data!W16)-Inputs!$C$42)^2)/(2*Inputs!$C$45^2))+Inputs!$C$48*(0.7*(0.45*SIN(2*PI()*(((Scenario_Data!W16)/Inputs!$C$49)+Inputs!$C$47*0.137))+0.35*COS(2*PI()*(((Inputs!$C$6)/Inputs!$C$50)+Inputs!$C$47*0.173))+0.2*SIN(2*PI()*((((Scenario_Data!W16)+(Inputs!$C$6))/(0.5*(Inputs!$C$49+Inputs!$C$50)))+Inputs!$C$47*0.097)))+0.3*(2*((SIN(((Scenario_Data!W16)*12.9898+(Inputs!$C$6)*78.233+Inputs!$C$47*37.719))*43758.5453)-INT((SIN(((Scenario_Data!W16)*12.9898+(Inputs!$C$6)*78.233+Inputs!$C$47*37.719))*43758.5453)))-1))))/1000))^2-2*(Inputs!$C$52+(Scenario_Data!E16))*(Inputs!$C$52+((IF(OR(Inputs!$C$27=TRUE,Inputs!$C$27="TRUE",Inputs!$C$27=1),1,0)*(Inputs!$C$51*(115*EXP(-(((Inputs!$C$6)-25)^2)/(4.5^2))+70*EXP(-(((Inputs!$C$6)+38)^2)/(7^2))*(0.55+0.45*SIN(2*PI()*(Scenario_Data!W16)/45))+24*SIN(2*PI()*(Inputs!$C$6)/9+(Scenario_Data!W16)/18)*EXP(-(((Inputs!$C$6)+5)^2)/(22^2))+18*SIN(2*PI()*(Scenario_Data!W16)/70))+Inputs!$C$28*EXP(-(((Scenario_Data!W16)-Inputs!$C$29)^2)/(2*Inputs!$C$31^2))*EXP(-(((Inputs!$C$6)-Inputs!$C$30)^2)/(2*Inputs!$C$32^2))+-Inputs!$C$33*EXP(-(((((Scenario_Data!W16)-Inputs!$C$34)^2)+(((Inputs!$C$6)-Inputs!$C$35)^2))/(2*Inputs!$C$36^2)))+Inputs!$C$37*(0.55*SIN(2*PI()*(Scenario_Data!W16)/Inputs!$C$39)+0.35*COS(2*PI()*(Inputs!$C$6)/Inputs!$C$40)+0.2*SIN(2*PI()*((Scenario_Data!W16)+(Inputs!$C$6))/(0.5*(Inputs!$C$39+Inputs!$C$40))))+Inputs!$C$38*SIN(2*PI()*(Scenario_Data!W16)/Inputs!$C$39)*SIN(2*PI()*(Inputs!$C$6)/Inputs!$C$40)+-Inputs!$C$41*EXP(-(((Inputs!$C$6)-Inputs!$C$43)^2)/(2*Inputs!$C$44^2))*EXP(-(((Scenario_Data!W16)-Inputs!$C$42)^2)/(2*Inputs!$C$45^2))+Inputs!$C$48*(0.7*(0.45*SIN(2*PI()*(((Scenario_Data!W16)/Inputs!$C$49)+Inputs!$C$47*0.137))+0.35*COS(2*PI()*(((Inputs!$C$6)/Inputs!$C$50)+Inputs!$C$47*0.173))+0.2*SIN(2*PI()*((((Scenario_Data!W16)+(Inputs!$C$6))/(0.5*(Inputs!$C$49+Inputs!$C$50)))+Inputs!$C$47*0.097)))+0.3*(2*((SIN(((Scenario_Data!W16)*12.9898+(Inputs!$C$6)*78.233+Inputs!$C$47*37.719))*43758.5453)-INT((SIN(((Scenario_Data!W16)*12.9898+(Inputs!$C$6)*78.233+Inputs!$C$47*37.719))*43758.5453)))-1))))/1000))*COS(SQRT((Scenario_Data!W16)^2+Inputs!$C$6^2)/Inputs!$C$52))*1000)/Inputs!$C$21*1000000</f>
        <v/>
      </c>
    </row>
    <row r="17">
      <c r="A17">
        <f>Chart_Data!K17</f>
        <v/>
      </c>
      <c r="B17">
        <f>Chart_Data!N17-Chart_Data!L17</f>
        <v/>
      </c>
      <c r="D17">
        <f>Chart_Data!G17</f>
        <v/>
      </c>
      <c r="E17">
        <f>Chart_Data!H17</f>
        <v/>
      </c>
      <c r="F17">
        <f>Chart_Data!I17</f>
        <v/>
      </c>
      <c r="G17">
        <f>Chart_Data!J17</f>
        <v/>
      </c>
      <c r="I17">
        <f>Scenario_Data!A17</f>
        <v/>
      </c>
      <c r="J17">
        <f>Scenario_Data!H17-(((SQRT((Inputs!$C$52+(Inputs!$H$6))^2+Inputs!$C$52^2-2*(Inputs!$C$52+(Inputs!$H$6))*Inputs!$C$52*COS(SQRT((Scenario_Data!T17)^2+Inputs!$C$6^2)/Inputs!$C$52)))-(Inputs!$H$6))*1000/Inputs!$C$12)</f>
        <v/>
      </c>
      <c r="K17">
        <f>Scenario_Data!I17-(((SQRT((Inputs!$C$52+(Inputs!$H$7))^2+Inputs!$C$52^2-2*(Inputs!$C$52+(Inputs!$H$7))*Inputs!$C$52*COS(SQRT((Scenario_Data!U17)^2+Inputs!$C$6^2)/Inputs!$C$52)))-(Inputs!$H$7))*1000/Inputs!$C$12)</f>
        <v/>
      </c>
      <c r="L17">
        <f>Scenario_Data!J17-(((SQRT((Inputs!$C$52+(Inputs!$H$8))^2+Inputs!$C$52^2-2*(Inputs!$C$52+(Inputs!$H$8))*Inputs!$C$52*COS(SQRT((Scenario_Data!V17)^2+Inputs!$C$6^2)/Inputs!$C$52)))-(Inputs!$H$8))*1000/Inputs!$C$12)</f>
        <v/>
      </c>
      <c r="M17">
        <f>Scenario_Data!K17-(((SQRT((Inputs!$C$52+(Inputs!$H$9))^2+Inputs!$C$52^2-2*(Inputs!$C$52+(Inputs!$H$9))*Inputs!$C$52*COS(SQRT((Scenario_Data!W17)^2+Inputs!$C$6^2)/Inputs!$C$52)))-(Inputs!$H$9))*1000/Inputs!$C$12)</f>
        <v/>
      </c>
      <c r="O17">
        <f>Scenario_Data!T17</f>
        <v/>
      </c>
      <c r="P17">
        <f>2*(Scenario_Data!B17*1000)/Inputs!$C$21*1000000</f>
        <v/>
      </c>
      <c r="Q17">
        <f>Scenario_Data!U17</f>
        <v/>
      </c>
      <c r="R17">
        <f>2*(Scenario_Data!C17*1000)/Inputs!$C$21*1000000</f>
        <v/>
      </c>
      <c r="S17">
        <f>Scenario_Data!V17</f>
        <v/>
      </c>
      <c r="T17">
        <f>2*(Scenario_Data!D17*1000)/Inputs!$C$21*1000000</f>
        <v/>
      </c>
      <c r="U17">
        <f>Scenario_Data!W17</f>
        <v/>
      </c>
      <c r="V17">
        <f>2*(Scenario_Data!E17*1000)/Inputs!$C$21*1000000</f>
        <v/>
      </c>
      <c r="X17">
        <f>Scenario_Data!T17</f>
        <v/>
      </c>
      <c r="Y17">
        <f>2*((Scenario_Data!B17*1000)-(IF(OR(Inputs!$C$27=TRUE,Inputs!$C$27="TRUE",Inputs!$C$27=1),1,0)*(Inputs!$C$51*(115*EXP(-(((0)-25)^2)/(4.5^2))+70*EXP(-(((0)+38)^2)/(7^2))*(0.55+0.45*SIN(2*PI()*(Scenario_Data!T17)/45))+24*SIN(2*PI()*(0)/9+(Scenario_Data!T17)/18)*EXP(-(((0)+5)^2)/(22^2))+18*SIN(2*PI()*(Scenario_Data!T17)/70))+Inputs!$C$28*EXP(-(((Scenario_Data!T17)-Inputs!$C$29)^2)/(2*Inputs!$C$31^2))*EXP(-(((0)-Inputs!$C$30)^2)/(2*Inputs!$C$32^2))+-Inputs!$C$33*EXP(-(((((Scenario_Data!T17)-Inputs!$C$34)^2)+(((0)-Inputs!$C$35)^2))/(2*Inputs!$C$36^2)))+Inputs!$C$37*(0.55*SIN(2*PI()*(Scenario_Data!T17)/Inputs!$C$39)+0.35*COS(2*PI()*(0)/Inputs!$C$40)+0.2*SIN(2*PI()*((Scenario_Data!T17)+(0))/(0.5*(Inputs!$C$39+Inputs!$C$40))))+Inputs!$C$38*SIN(2*PI()*(Scenario_Data!T17)/Inputs!$C$39)*SIN(2*PI()*(0)/Inputs!$C$40)+-Inputs!$C$41*EXP(-(((0)-Inputs!$C$43)^2)/(2*Inputs!$C$44^2))*EXP(-(((Scenario_Data!T17)-Inputs!$C$42)^2)/(2*Inputs!$C$45^2))+Inputs!$C$48*(0.7*(0.45*SIN(2*PI()*(((Scenario_Data!T17)/Inputs!$C$49)+Inputs!$C$47*0.137))+0.35*COS(2*PI()*(((0)/Inputs!$C$50)+Inputs!$C$47*0.173))+0.2*SIN(2*PI()*((((Scenario_Data!T17)+(0))/(0.5*(Inputs!$C$49+Inputs!$C$50)))+Inputs!$C$47*0.097)))+0.3*(2*((SIN(((Scenario_Data!T17)*12.9898+(0)*78.233+Inputs!$C$47*37.719))*43758.5453)-INT((SIN(((Scenario_Data!T17)*12.9898+(0)*78.233+Inputs!$C$47*37.719))*43758.5453)))-1)))))/Inputs!$C$21*1000000</f>
        <v/>
      </c>
      <c r="Z17">
        <f>Scenario_Data!U17</f>
        <v/>
      </c>
      <c r="AA17">
        <f>2*((Scenario_Data!C17*1000)-(IF(OR(Inputs!$C$27=TRUE,Inputs!$C$27="TRUE",Inputs!$C$27=1),1,0)*(Inputs!$C$51*(115*EXP(-(((0)-25)^2)/(4.5^2))+70*EXP(-(((0)+38)^2)/(7^2))*(0.55+0.45*SIN(2*PI()*(Scenario_Data!U17)/45))+24*SIN(2*PI()*(0)/9+(Scenario_Data!U17)/18)*EXP(-(((0)+5)^2)/(22^2))+18*SIN(2*PI()*(Scenario_Data!U17)/70))+Inputs!$C$28*EXP(-(((Scenario_Data!U17)-Inputs!$C$29)^2)/(2*Inputs!$C$31^2))*EXP(-(((0)-Inputs!$C$30)^2)/(2*Inputs!$C$32^2))+-Inputs!$C$33*EXP(-(((((Scenario_Data!U17)-Inputs!$C$34)^2)+(((0)-Inputs!$C$35)^2))/(2*Inputs!$C$36^2)))+Inputs!$C$37*(0.55*SIN(2*PI()*(Scenario_Data!U17)/Inputs!$C$39)+0.35*COS(2*PI()*(0)/Inputs!$C$40)+0.2*SIN(2*PI()*((Scenario_Data!U17)+(0))/(0.5*(Inputs!$C$39+Inputs!$C$40))))+Inputs!$C$38*SIN(2*PI()*(Scenario_Data!U17)/Inputs!$C$39)*SIN(2*PI()*(0)/Inputs!$C$40)+-Inputs!$C$41*EXP(-(((0)-Inputs!$C$43)^2)/(2*Inputs!$C$44^2))*EXP(-(((Scenario_Data!U17)-Inputs!$C$42)^2)/(2*Inputs!$C$45^2))+Inputs!$C$48*(0.7*(0.45*SIN(2*PI()*(((Scenario_Data!U17)/Inputs!$C$49)+Inputs!$C$47*0.137))+0.35*COS(2*PI()*(((0)/Inputs!$C$50)+Inputs!$C$47*0.173))+0.2*SIN(2*PI()*((((Scenario_Data!U17)+(0))/(0.5*(Inputs!$C$49+Inputs!$C$50)))+Inputs!$C$47*0.097)))+0.3*(2*((SIN(((Scenario_Data!U17)*12.9898+(0)*78.233+Inputs!$C$47*37.719))*43758.5453)-INT((SIN(((Scenario_Data!U17)*12.9898+(0)*78.233+Inputs!$C$47*37.719))*43758.5453)))-1)))))/Inputs!$C$21*1000000</f>
        <v/>
      </c>
      <c r="AB17">
        <f>Scenario_Data!V17</f>
        <v/>
      </c>
      <c r="AC17">
        <f>2*((Scenario_Data!D17*1000)-(IF(OR(Inputs!$C$27=TRUE,Inputs!$C$27="TRUE",Inputs!$C$27=1),1,0)*(Inputs!$C$51*(115*EXP(-(((0)-25)^2)/(4.5^2))+70*EXP(-(((0)+38)^2)/(7^2))*(0.55+0.45*SIN(2*PI()*(Scenario_Data!V17)/45))+24*SIN(2*PI()*(0)/9+(Scenario_Data!V17)/18)*EXP(-(((0)+5)^2)/(22^2))+18*SIN(2*PI()*(Scenario_Data!V17)/70))+Inputs!$C$28*EXP(-(((Scenario_Data!V17)-Inputs!$C$29)^2)/(2*Inputs!$C$31^2))*EXP(-(((0)-Inputs!$C$30)^2)/(2*Inputs!$C$32^2))+-Inputs!$C$33*EXP(-(((((Scenario_Data!V17)-Inputs!$C$34)^2)+(((0)-Inputs!$C$35)^2))/(2*Inputs!$C$36^2)))+Inputs!$C$37*(0.55*SIN(2*PI()*(Scenario_Data!V17)/Inputs!$C$39)+0.35*COS(2*PI()*(0)/Inputs!$C$40)+0.2*SIN(2*PI()*((Scenario_Data!V17)+(0))/(0.5*(Inputs!$C$39+Inputs!$C$40))))+Inputs!$C$38*SIN(2*PI()*(Scenario_Data!V17)/Inputs!$C$39)*SIN(2*PI()*(0)/Inputs!$C$40)+-Inputs!$C$41*EXP(-(((0)-Inputs!$C$43)^2)/(2*Inputs!$C$44^2))*EXP(-(((Scenario_Data!V17)-Inputs!$C$42)^2)/(2*Inputs!$C$45^2))+Inputs!$C$48*(0.7*(0.45*SIN(2*PI()*(((Scenario_Data!V17)/Inputs!$C$49)+Inputs!$C$47*0.137))+0.35*COS(2*PI()*(((0)/Inputs!$C$50)+Inputs!$C$47*0.173))+0.2*SIN(2*PI()*((((Scenario_Data!V17)+(0))/(0.5*(Inputs!$C$49+Inputs!$C$50)))+Inputs!$C$47*0.097)))+0.3*(2*((SIN(((Scenario_Data!V17)*12.9898+(0)*78.233+Inputs!$C$47*37.719))*43758.5453)-INT((SIN(((Scenario_Data!V17)*12.9898+(0)*78.233+Inputs!$C$47*37.719))*43758.5453)))-1)))))/Inputs!$C$21*1000000</f>
        <v/>
      </c>
      <c r="AD17">
        <f>Scenario_Data!W17</f>
        <v/>
      </c>
      <c r="AE17">
        <f>2*((Scenario_Data!E17*1000)-(IF(OR(Inputs!$C$27=TRUE,Inputs!$C$27="TRUE",Inputs!$C$27=1),1,0)*(Inputs!$C$51*(115*EXP(-(((0)-25)^2)/(4.5^2))+70*EXP(-(((0)+38)^2)/(7^2))*(0.55+0.45*SIN(2*PI()*(Scenario_Data!W17)/45))+24*SIN(2*PI()*(0)/9+(Scenario_Data!W17)/18)*EXP(-(((0)+5)^2)/(22^2))+18*SIN(2*PI()*(Scenario_Data!W17)/70))+Inputs!$C$28*EXP(-(((Scenario_Data!W17)-Inputs!$C$29)^2)/(2*Inputs!$C$31^2))*EXP(-(((0)-Inputs!$C$30)^2)/(2*Inputs!$C$32^2))+-Inputs!$C$33*EXP(-(((((Scenario_Data!W17)-Inputs!$C$34)^2)+(((0)-Inputs!$C$35)^2))/(2*Inputs!$C$36^2)))+Inputs!$C$37*(0.55*SIN(2*PI()*(Scenario_Data!W17)/Inputs!$C$39)+0.35*COS(2*PI()*(0)/Inputs!$C$40)+0.2*SIN(2*PI()*((Scenario_Data!W17)+(0))/(0.5*(Inputs!$C$39+Inputs!$C$40))))+Inputs!$C$38*SIN(2*PI()*(Scenario_Data!W17)/Inputs!$C$39)*SIN(2*PI()*(0)/Inputs!$C$40)+-Inputs!$C$41*EXP(-(((0)-Inputs!$C$43)^2)/(2*Inputs!$C$44^2))*EXP(-(((Scenario_Data!W17)-Inputs!$C$42)^2)/(2*Inputs!$C$45^2))+Inputs!$C$48*(0.7*(0.45*SIN(2*PI()*(((Scenario_Data!W17)/Inputs!$C$49)+Inputs!$C$47*0.137))+0.35*COS(2*PI()*(((0)/Inputs!$C$50)+Inputs!$C$47*0.173))+0.2*SIN(2*PI()*((((Scenario_Data!W17)+(0))/(0.5*(Inputs!$C$49+Inputs!$C$50)))+Inputs!$C$47*0.097)))+0.3*(2*((SIN(((Scenario_Data!W17)*12.9898+(0)*78.233+Inputs!$C$47*37.719))*43758.5453)-INT((SIN(((Scenario_Data!W17)*12.9898+(0)*78.233+Inputs!$C$47*37.719))*43758.5453)))-1)))))/Inputs!$C$21*1000000</f>
        <v/>
      </c>
      <c r="AG17">
        <f>Scenario_Data!T17</f>
        <v/>
      </c>
      <c r="AH17">
        <f>2*(SQRT((Inputs!$C$52+(Scenario_Data!B17))^2+Inputs!$C$52^2-2*(Inputs!$C$52+(Scenario_Data!B17))*Inputs!$C$52*COS(SQRT((Scenario_Data!T17)^2+Inputs!$C$6^2)/Inputs!$C$52))*1000)/Inputs!$C$21*1000000</f>
        <v/>
      </c>
      <c r="AI17">
        <f>Scenario_Data!U17</f>
        <v/>
      </c>
      <c r="AJ17">
        <f>2*(SQRT((Inputs!$C$52+(Scenario_Data!C17))^2+Inputs!$C$52^2-2*(Inputs!$C$52+(Scenario_Data!C17))*Inputs!$C$52*COS(SQRT((Scenario_Data!U17)^2+Inputs!$C$6^2)/Inputs!$C$52))*1000)/Inputs!$C$21*1000000</f>
        <v/>
      </c>
      <c r="AK17">
        <f>Scenario_Data!V17</f>
        <v/>
      </c>
      <c r="AL17">
        <f>2*(SQRT((Inputs!$C$52+(Scenario_Data!D17))^2+Inputs!$C$52^2-2*(Inputs!$C$52+(Scenario_Data!D17))*Inputs!$C$52*COS(SQRT((Scenario_Data!V17)^2+Inputs!$C$6^2)/Inputs!$C$52))*1000)/Inputs!$C$21*1000000</f>
        <v/>
      </c>
      <c r="AM17">
        <f>Scenario_Data!W17</f>
        <v/>
      </c>
      <c r="AN17">
        <f>2*(SQRT((Inputs!$C$52+(Scenario_Data!E17))^2+Inputs!$C$52^2-2*(Inputs!$C$52+(Scenario_Data!E17))*Inputs!$C$52*COS(SQRT((Scenario_Data!W17)^2+Inputs!$C$6^2)/Inputs!$C$52))*1000)/Inputs!$C$21*1000000</f>
        <v/>
      </c>
      <c r="AP17">
        <f>Scenario_Data!T17</f>
        <v/>
      </c>
      <c r="AQ17">
        <f>2*(SQRT((Inputs!$C$52+(Scenario_Data!B17))^2+(Inputs!$C$52+((IF(OR(Inputs!$C$27=TRUE,Inputs!$C$27="TRUE",Inputs!$C$27=1),1,0)*(Inputs!$C$51*(115*EXP(-(((Inputs!$C$6)-25)^2)/(4.5^2))+70*EXP(-(((Inputs!$C$6)+38)^2)/(7^2))*(0.55+0.45*SIN(2*PI()*(Scenario_Data!T17)/45))+24*SIN(2*PI()*(Inputs!$C$6)/9+(Scenario_Data!T17)/18)*EXP(-(((Inputs!$C$6)+5)^2)/(22^2))+18*SIN(2*PI()*(Scenario_Data!T17)/70))+Inputs!$C$28*EXP(-(((Scenario_Data!T17)-Inputs!$C$29)^2)/(2*Inputs!$C$31^2))*EXP(-(((Inputs!$C$6)-Inputs!$C$30)^2)/(2*Inputs!$C$32^2))+-Inputs!$C$33*EXP(-(((((Scenario_Data!T17)-Inputs!$C$34)^2)+(((Inputs!$C$6)-Inputs!$C$35)^2))/(2*Inputs!$C$36^2)))+Inputs!$C$37*(0.55*SIN(2*PI()*(Scenario_Data!T17)/Inputs!$C$39)+0.35*COS(2*PI()*(Inputs!$C$6)/Inputs!$C$40)+0.2*SIN(2*PI()*((Scenario_Data!T17)+(Inputs!$C$6))/(0.5*(Inputs!$C$39+Inputs!$C$40))))+Inputs!$C$38*SIN(2*PI()*(Scenario_Data!T17)/Inputs!$C$39)*SIN(2*PI()*(Inputs!$C$6)/Inputs!$C$40)+-Inputs!$C$41*EXP(-(((Inputs!$C$6)-Inputs!$C$43)^2)/(2*Inputs!$C$44^2))*EXP(-(((Scenario_Data!T17)-Inputs!$C$42)^2)/(2*Inputs!$C$45^2))+Inputs!$C$48*(0.7*(0.45*SIN(2*PI()*(((Scenario_Data!T17)/Inputs!$C$49)+Inputs!$C$47*0.137))+0.35*COS(2*PI()*(((Inputs!$C$6)/Inputs!$C$50)+Inputs!$C$47*0.173))+0.2*SIN(2*PI()*((((Scenario_Data!T17)+(Inputs!$C$6))/(0.5*(Inputs!$C$49+Inputs!$C$50)))+Inputs!$C$47*0.097)))+0.3*(2*((SIN(((Scenario_Data!T17)*12.9898+(Inputs!$C$6)*78.233+Inputs!$C$47*37.719))*43758.5453)-INT((SIN(((Scenario_Data!T17)*12.9898+(Inputs!$C$6)*78.233+Inputs!$C$47*37.719))*43758.5453)))-1))))/1000))^2-2*(Inputs!$C$52+(Scenario_Data!B17))*(Inputs!$C$52+((IF(OR(Inputs!$C$27=TRUE,Inputs!$C$27="TRUE",Inputs!$C$27=1),1,0)*(Inputs!$C$51*(115*EXP(-(((Inputs!$C$6)-25)^2)/(4.5^2))+70*EXP(-(((Inputs!$C$6)+38)^2)/(7^2))*(0.55+0.45*SIN(2*PI()*(Scenario_Data!T17)/45))+24*SIN(2*PI()*(Inputs!$C$6)/9+(Scenario_Data!T17)/18)*EXP(-(((Inputs!$C$6)+5)^2)/(22^2))+18*SIN(2*PI()*(Scenario_Data!T17)/70))+Inputs!$C$28*EXP(-(((Scenario_Data!T17)-Inputs!$C$29)^2)/(2*Inputs!$C$31^2))*EXP(-(((Inputs!$C$6)-Inputs!$C$30)^2)/(2*Inputs!$C$32^2))+-Inputs!$C$33*EXP(-(((((Scenario_Data!T17)-Inputs!$C$34)^2)+(((Inputs!$C$6)-Inputs!$C$35)^2))/(2*Inputs!$C$36^2)))+Inputs!$C$37*(0.55*SIN(2*PI()*(Scenario_Data!T17)/Inputs!$C$39)+0.35*COS(2*PI()*(Inputs!$C$6)/Inputs!$C$40)+0.2*SIN(2*PI()*((Scenario_Data!T17)+(Inputs!$C$6))/(0.5*(Inputs!$C$39+Inputs!$C$40))))+Inputs!$C$38*SIN(2*PI()*(Scenario_Data!T17)/Inputs!$C$39)*SIN(2*PI()*(Inputs!$C$6)/Inputs!$C$40)+-Inputs!$C$41*EXP(-(((Inputs!$C$6)-Inputs!$C$43)^2)/(2*Inputs!$C$44^2))*EXP(-(((Scenario_Data!T17)-Inputs!$C$42)^2)/(2*Inputs!$C$45^2))+Inputs!$C$48*(0.7*(0.45*SIN(2*PI()*(((Scenario_Data!T17)/Inputs!$C$49)+Inputs!$C$47*0.137))+0.35*COS(2*PI()*(((Inputs!$C$6)/Inputs!$C$50)+Inputs!$C$47*0.173))+0.2*SIN(2*PI()*((((Scenario_Data!T17)+(Inputs!$C$6))/(0.5*(Inputs!$C$49+Inputs!$C$50)))+Inputs!$C$47*0.097)))+0.3*(2*((SIN(((Scenario_Data!T17)*12.9898+(Inputs!$C$6)*78.233+Inputs!$C$47*37.719))*43758.5453)-INT((SIN(((Scenario_Data!T17)*12.9898+(Inputs!$C$6)*78.233+Inputs!$C$47*37.719))*43758.5453)))-1))))/1000))*COS(SQRT((Scenario_Data!T17)^2+Inputs!$C$6^2)/Inputs!$C$52))*1000)/Inputs!$C$21*1000000</f>
        <v/>
      </c>
      <c r="AR17">
        <f>Scenario_Data!U17</f>
        <v/>
      </c>
      <c r="AS17">
        <f>2*(SQRT((Inputs!$C$52+(Scenario_Data!C17))^2+(Inputs!$C$52+((IF(OR(Inputs!$C$27=TRUE,Inputs!$C$27="TRUE",Inputs!$C$27=1),1,0)*(Inputs!$C$51*(115*EXP(-(((Inputs!$C$6)-25)^2)/(4.5^2))+70*EXP(-(((Inputs!$C$6)+38)^2)/(7^2))*(0.55+0.45*SIN(2*PI()*(Scenario_Data!U17)/45))+24*SIN(2*PI()*(Inputs!$C$6)/9+(Scenario_Data!U17)/18)*EXP(-(((Inputs!$C$6)+5)^2)/(22^2))+18*SIN(2*PI()*(Scenario_Data!U17)/70))+Inputs!$C$28*EXP(-(((Scenario_Data!U17)-Inputs!$C$29)^2)/(2*Inputs!$C$31^2))*EXP(-(((Inputs!$C$6)-Inputs!$C$30)^2)/(2*Inputs!$C$32^2))+-Inputs!$C$33*EXP(-(((((Scenario_Data!U17)-Inputs!$C$34)^2)+(((Inputs!$C$6)-Inputs!$C$35)^2))/(2*Inputs!$C$36^2)))+Inputs!$C$37*(0.55*SIN(2*PI()*(Scenario_Data!U17)/Inputs!$C$39)+0.35*COS(2*PI()*(Inputs!$C$6)/Inputs!$C$40)+0.2*SIN(2*PI()*((Scenario_Data!U17)+(Inputs!$C$6))/(0.5*(Inputs!$C$39+Inputs!$C$40))))+Inputs!$C$38*SIN(2*PI()*(Scenario_Data!U17)/Inputs!$C$39)*SIN(2*PI()*(Inputs!$C$6)/Inputs!$C$40)+-Inputs!$C$41*EXP(-(((Inputs!$C$6)-Inputs!$C$43)^2)/(2*Inputs!$C$44^2))*EXP(-(((Scenario_Data!U17)-Inputs!$C$42)^2)/(2*Inputs!$C$45^2))+Inputs!$C$48*(0.7*(0.45*SIN(2*PI()*(((Scenario_Data!U17)/Inputs!$C$49)+Inputs!$C$47*0.137))+0.35*COS(2*PI()*(((Inputs!$C$6)/Inputs!$C$50)+Inputs!$C$47*0.173))+0.2*SIN(2*PI()*((((Scenario_Data!U17)+(Inputs!$C$6))/(0.5*(Inputs!$C$49+Inputs!$C$50)))+Inputs!$C$47*0.097)))+0.3*(2*((SIN(((Scenario_Data!U17)*12.9898+(Inputs!$C$6)*78.233+Inputs!$C$47*37.719))*43758.5453)-INT((SIN(((Scenario_Data!U17)*12.9898+(Inputs!$C$6)*78.233+Inputs!$C$47*37.719))*43758.5453)))-1))))/1000))^2-2*(Inputs!$C$52+(Scenario_Data!C17))*(Inputs!$C$52+((IF(OR(Inputs!$C$27=TRUE,Inputs!$C$27="TRUE",Inputs!$C$27=1),1,0)*(Inputs!$C$51*(115*EXP(-(((Inputs!$C$6)-25)^2)/(4.5^2))+70*EXP(-(((Inputs!$C$6)+38)^2)/(7^2))*(0.55+0.45*SIN(2*PI()*(Scenario_Data!U17)/45))+24*SIN(2*PI()*(Inputs!$C$6)/9+(Scenario_Data!U17)/18)*EXP(-(((Inputs!$C$6)+5)^2)/(22^2))+18*SIN(2*PI()*(Scenario_Data!U17)/70))+Inputs!$C$28*EXP(-(((Scenario_Data!U17)-Inputs!$C$29)^2)/(2*Inputs!$C$31^2))*EXP(-(((Inputs!$C$6)-Inputs!$C$30)^2)/(2*Inputs!$C$32^2))+-Inputs!$C$33*EXP(-(((((Scenario_Data!U17)-Inputs!$C$34)^2)+(((Inputs!$C$6)-Inputs!$C$35)^2))/(2*Inputs!$C$36^2)))+Inputs!$C$37*(0.55*SIN(2*PI()*(Scenario_Data!U17)/Inputs!$C$39)+0.35*COS(2*PI()*(Inputs!$C$6)/Inputs!$C$40)+0.2*SIN(2*PI()*((Scenario_Data!U17)+(Inputs!$C$6))/(0.5*(Inputs!$C$39+Inputs!$C$40))))+Inputs!$C$38*SIN(2*PI()*(Scenario_Data!U17)/Inputs!$C$39)*SIN(2*PI()*(Inputs!$C$6)/Inputs!$C$40)+-Inputs!$C$41*EXP(-(((Inputs!$C$6)-Inputs!$C$43)^2)/(2*Inputs!$C$44^2))*EXP(-(((Scenario_Data!U17)-Inputs!$C$42)^2)/(2*Inputs!$C$45^2))+Inputs!$C$48*(0.7*(0.45*SIN(2*PI()*(((Scenario_Data!U17)/Inputs!$C$49)+Inputs!$C$47*0.137))+0.35*COS(2*PI()*(((Inputs!$C$6)/Inputs!$C$50)+Inputs!$C$47*0.173))+0.2*SIN(2*PI()*((((Scenario_Data!U17)+(Inputs!$C$6))/(0.5*(Inputs!$C$49+Inputs!$C$50)))+Inputs!$C$47*0.097)))+0.3*(2*((SIN(((Scenario_Data!U17)*12.9898+(Inputs!$C$6)*78.233+Inputs!$C$47*37.719))*43758.5453)-INT((SIN(((Scenario_Data!U17)*12.9898+(Inputs!$C$6)*78.233+Inputs!$C$47*37.719))*43758.5453)))-1))))/1000))*COS(SQRT((Scenario_Data!U17)^2+Inputs!$C$6^2)/Inputs!$C$52))*1000)/Inputs!$C$21*1000000</f>
        <v/>
      </c>
      <c r="AT17">
        <f>Scenario_Data!V17</f>
        <v/>
      </c>
      <c r="AU17">
        <f>2*(SQRT((Inputs!$C$52+(Scenario_Data!D17))^2+(Inputs!$C$52+((IF(OR(Inputs!$C$27=TRUE,Inputs!$C$27="TRUE",Inputs!$C$27=1),1,0)*(Inputs!$C$51*(115*EXP(-(((Inputs!$C$6)-25)^2)/(4.5^2))+70*EXP(-(((Inputs!$C$6)+38)^2)/(7^2))*(0.55+0.45*SIN(2*PI()*(Scenario_Data!V17)/45))+24*SIN(2*PI()*(Inputs!$C$6)/9+(Scenario_Data!V17)/18)*EXP(-(((Inputs!$C$6)+5)^2)/(22^2))+18*SIN(2*PI()*(Scenario_Data!V17)/70))+Inputs!$C$28*EXP(-(((Scenario_Data!V17)-Inputs!$C$29)^2)/(2*Inputs!$C$31^2))*EXP(-(((Inputs!$C$6)-Inputs!$C$30)^2)/(2*Inputs!$C$32^2))+-Inputs!$C$33*EXP(-(((((Scenario_Data!V17)-Inputs!$C$34)^2)+(((Inputs!$C$6)-Inputs!$C$35)^2))/(2*Inputs!$C$36^2)))+Inputs!$C$37*(0.55*SIN(2*PI()*(Scenario_Data!V17)/Inputs!$C$39)+0.35*COS(2*PI()*(Inputs!$C$6)/Inputs!$C$40)+0.2*SIN(2*PI()*((Scenario_Data!V17)+(Inputs!$C$6))/(0.5*(Inputs!$C$39+Inputs!$C$40))))+Inputs!$C$38*SIN(2*PI()*(Scenario_Data!V17)/Inputs!$C$39)*SIN(2*PI()*(Inputs!$C$6)/Inputs!$C$40)+-Inputs!$C$41*EXP(-(((Inputs!$C$6)-Inputs!$C$43)^2)/(2*Inputs!$C$44^2))*EXP(-(((Scenario_Data!V17)-Inputs!$C$42)^2)/(2*Inputs!$C$45^2))+Inputs!$C$48*(0.7*(0.45*SIN(2*PI()*(((Scenario_Data!V17)/Inputs!$C$49)+Inputs!$C$47*0.137))+0.35*COS(2*PI()*(((Inputs!$C$6)/Inputs!$C$50)+Inputs!$C$47*0.173))+0.2*SIN(2*PI()*((((Scenario_Data!V17)+(Inputs!$C$6))/(0.5*(Inputs!$C$49+Inputs!$C$50)))+Inputs!$C$47*0.097)))+0.3*(2*((SIN(((Scenario_Data!V17)*12.9898+(Inputs!$C$6)*78.233+Inputs!$C$47*37.719))*43758.5453)-INT((SIN(((Scenario_Data!V17)*12.9898+(Inputs!$C$6)*78.233+Inputs!$C$47*37.719))*43758.5453)))-1))))/1000))^2-2*(Inputs!$C$52+(Scenario_Data!D17))*(Inputs!$C$52+((IF(OR(Inputs!$C$27=TRUE,Inputs!$C$27="TRUE",Inputs!$C$27=1),1,0)*(Inputs!$C$51*(115*EXP(-(((Inputs!$C$6)-25)^2)/(4.5^2))+70*EXP(-(((Inputs!$C$6)+38)^2)/(7^2))*(0.55+0.45*SIN(2*PI()*(Scenario_Data!V17)/45))+24*SIN(2*PI()*(Inputs!$C$6)/9+(Scenario_Data!V17)/18)*EXP(-(((Inputs!$C$6)+5)^2)/(22^2))+18*SIN(2*PI()*(Scenario_Data!V17)/70))+Inputs!$C$28*EXP(-(((Scenario_Data!V17)-Inputs!$C$29)^2)/(2*Inputs!$C$31^2))*EXP(-(((Inputs!$C$6)-Inputs!$C$30)^2)/(2*Inputs!$C$32^2))+-Inputs!$C$33*EXP(-(((((Scenario_Data!V17)-Inputs!$C$34)^2)+(((Inputs!$C$6)-Inputs!$C$35)^2))/(2*Inputs!$C$36^2)))+Inputs!$C$37*(0.55*SIN(2*PI()*(Scenario_Data!V17)/Inputs!$C$39)+0.35*COS(2*PI()*(Inputs!$C$6)/Inputs!$C$40)+0.2*SIN(2*PI()*((Scenario_Data!V17)+(Inputs!$C$6))/(0.5*(Inputs!$C$39+Inputs!$C$40))))+Inputs!$C$38*SIN(2*PI()*(Scenario_Data!V17)/Inputs!$C$39)*SIN(2*PI()*(Inputs!$C$6)/Inputs!$C$40)+-Inputs!$C$41*EXP(-(((Inputs!$C$6)-Inputs!$C$43)^2)/(2*Inputs!$C$44^2))*EXP(-(((Scenario_Data!V17)-Inputs!$C$42)^2)/(2*Inputs!$C$45^2))+Inputs!$C$48*(0.7*(0.45*SIN(2*PI()*(((Scenario_Data!V17)/Inputs!$C$49)+Inputs!$C$47*0.137))+0.35*COS(2*PI()*(((Inputs!$C$6)/Inputs!$C$50)+Inputs!$C$47*0.173))+0.2*SIN(2*PI()*((((Scenario_Data!V17)+(Inputs!$C$6))/(0.5*(Inputs!$C$49+Inputs!$C$50)))+Inputs!$C$47*0.097)))+0.3*(2*((SIN(((Scenario_Data!V17)*12.9898+(Inputs!$C$6)*78.233+Inputs!$C$47*37.719))*43758.5453)-INT((SIN(((Scenario_Data!V17)*12.9898+(Inputs!$C$6)*78.233+Inputs!$C$47*37.719))*43758.5453)))-1))))/1000))*COS(SQRT((Scenario_Data!V17)^2+Inputs!$C$6^2)/Inputs!$C$52))*1000)/Inputs!$C$21*1000000</f>
        <v/>
      </c>
      <c r="AV17">
        <f>Scenario_Data!W17</f>
        <v/>
      </c>
      <c r="AW17">
        <f>2*(SQRT((Inputs!$C$52+(Scenario_Data!E17))^2+(Inputs!$C$52+((IF(OR(Inputs!$C$27=TRUE,Inputs!$C$27="TRUE",Inputs!$C$27=1),1,0)*(Inputs!$C$51*(115*EXP(-(((Inputs!$C$6)-25)^2)/(4.5^2))+70*EXP(-(((Inputs!$C$6)+38)^2)/(7^2))*(0.55+0.45*SIN(2*PI()*(Scenario_Data!W17)/45))+24*SIN(2*PI()*(Inputs!$C$6)/9+(Scenario_Data!W17)/18)*EXP(-(((Inputs!$C$6)+5)^2)/(22^2))+18*SIN(2*PI()*(Scenario_Data!W17)/70))+Inputs!$C$28*EXP(-(((Scenario_Data!W17)-Inputs!$C$29)^2)/(2*Inputs!$C$31^2))*EXP(-(((Inputs!$C$6)-Inputs!$C$30)^2)/(2*Inputs!$C$32^2))+-Inputs!$C$33*EXP(-(((((Scenario_Data!W17)-Inputs!$C$34)^2)+(((Inputs!$C$6)-Inputs!$C$35)^2))/(2*Inputs!$C$36^2)))+Inputs!$C$37*(0.55*SIN(2*PI()*(Scenario_Data!W17)/Inputs!$C$39)+0.35*COS(2*PI()*(Inputs!$C$6)/Inputs!$C$40)+0.2*SIN(2*PI()*((Scenario_Data!W17)+(Inputs!$C$6))/(0.5*(Inputs!$C$39+Inputs!$C$40))))+Inputs!$C$38*SIN(2*PI()*(Scenario_Data!W17)/Inputs!$C$39)*SIN(2*PI()*(Inputs!$C$6)/Inputs!$C$40)+-Inputs!$C$41*EXP(-(((Inputs!$C$6)-Inputs!$C$43)^2)/(2*Inputs!$C$44^2))*EXP(-(((Scenario_Data!W17)-Inputs!$C$42)^2)/(2*Inputs!$C$45^2))+Inputs!$C$48*(0.7*(0.45*SIN(2*PI()*(((Scenario_Data!W17)/Inputs!$C$49)+Inputs!$C$47*0.137))+0.35*COS(2*PI()*(((Inputs!$C$6)/Inputs!$C$50)+Inputs!$C$47*0.173))+0.2*SIN(2*PI()*((((Scenario_Data!W17)+(Inputs!$C$6))/(0.5*(Inputs!$C$49+Inputs!$C$50)))+Inputs!$C$47*0.097)))+0.3*(2*((SIN(((Scenario_Data!W17)*12.9898+(Inputs!$C$6)*78.233+Inputs!$C$47*37.719))*43758.5453)-INT((SIN(((Scenario_Data!W17)*12.9898+(Inputs!$C$6)*78.233+Inputs!$C$47*37.719))*43758.5453)))-1))))/1000))^2-2*(Inputs!$C$52+(Scenario_Data!E17))*(Inputs!$C$52+((IF(OR(Inputs!$C$27=TRUE,Inputs!$C$27="TRUE",Inputs!$C$27=1),1,0)*(Inputs!$C$51*(115*EXP(-(((Inputs!$C$6)-25)^2)/(4.5^2))+70*EXP(-(((Inputs!$C$6)+38)^2)/(7^2))*(0.55+0.45*SIN(2*PI()*(Scenario_Data!W17)/45))+24*SIN(2*PI()*(Inputs!$C$6)/9+(Scenario_Data!W17)/18)*EXP(-(((Inputs!$C$6)+5)^2)/(22^2))+18*SIN(2*PI()*(Scenario_Data!W17)/70))+Inputs!$C$28*EXP(-(((Scenario_Data!W17)-Inputs!$C$29)^2)/(2*Inputs!$C$31^2))*EXP(-(((Inputs!$C$6)-Inputs!$C$30)^2)/(2*Inputs!$C$32^2))+-Inputs!$C$33*EXP(-(((((Scenario_Data!W17)-Inputs!$C$34)^2)+(((Inputs!$C$6)-Inputs!$C$35)^2))/(2*Inputs!$C$36^2)))+Inputs!$C$37*(0.55*SIN(2*PI()*(Scenario_Data!W17)/Inputs!$C$39)+0.35*COS(2*PI()*(Inputs!$C$6)/Inputs!$C$40)+0.2*SIN(2*PI()*((Scenario_Data!W17)+(Inputs!$C$6))/(0.5*(Inputs!$C$39+Inputs!$C$40))))+Inputs!$C$38*SIN(2*PI()*(Scenario_Data!W17)/Inputs!$C$39)*SIN(2*PI()*(Inputs!$C$6)/Inputs!$C$40)+-Inputs!$C$41*EXP(-(((Inputs!$C$6)-Inputs!$C$43)^2)/(2*Inputs!$C$44^2))*EXP(-(((Scenario_Data!W17)-Inputs!$C$42)^2)/(2*Inputs!$C$45^2))+Inputs!$C$48*(0.7*(0.45*SIN(2*PI()*(((Scenario_Data!W17)/Inputs!$C$49)+Inputs!$C$47*0.137))+0.35*COS(2*PI()*(((Inputs!$C$6)/Inputs!$C$50)+Inputs!$C$47*0.173))+0.2*SIN(2*PI()*((((Scenario_Data!W17)+(Inputs!$C$6))/(0.5*(Inputs!$C$49+Inputs!$C$50)))+Inputs!$C$47*0.097)))+0.3*(2*((SIN(((Scenario_Data!W17)*12.9898+(Inputs!$C$6)*78.233+Inputs!$C$47*37.719))*43758.5453)-INT((SIN(((Scenario_Data!W17)*12.9898+(Inputs!$C$6)*78.233+Inputs!$C$47*37.719))*43758.5453)))-1))))/1000))*COS(SQRT((Scenario_Data!W17)^2+Inputs!$C$6^2)/Inputs!$C$52))*1000)/Inputs!$C$21*1000000</f>
        <v/>
      </c>
    </row>
    <row r="18">
      <c r="A18">
        <f>Chart_Data!K18</f>
        <v/>
      </c>
      <c r="B18">
        <f>Chart_Data!N18-Chart_Data!L18</f>
        <v/>
      </c>
      <c r="D18">
        <f>Chart_Data!G18</f>
        <v/>
      </c>
      <c r="E18">
        <f>Chart_Data!H18</f>
        <v/>
      </c>
      <c r="F18">
        <f>Chart_Data!I18</f>
        <v/>
      </c>
      <c r="G18">
        <f>Chart_Data!J18</f>
        <v/>
      </c>
      <c r="I18">
        <f>Scenario_Data!A18</f>
        <v/>
      </c>
      <c r="J18">
        <f>Scenario_Data!H18-(((SQRT((Inputs!$C$52+(Inputs!$H$6))^2+Inputs!$C$52^2-2*(Inputs!$C$52+(Inputs!$H$6))*Inputs!$C$52*COS(SQRT((Scenario_Data!T18)^2+Inputs!$C$6^2)/Inputs!$C$52)))-(Inputs!$H$6))*1000/Inputs!$C$12)</f>
        <v/>
      </c>
      <c r="K18">
        <f>Scenario_Data!I18-(((SQRT((Inputs!$C$52+(Inputs!$H$7))^2+Inputs!$C$52^2-2*(Inputs!$C$52+(Inputs!$H$7))*Inputs!$C$52*COS(SQRT((Scenario_Data!U18)^2+Inputs!$C$6^2)/Inputs!$C$52)))-(Inputs!$H$7))*1000/Inputs!$C$12)</f>
        <v/>
      </c>
      <c r="L18">
        <f>Scenario_Data!J18-(((SQRT((Inputs!$C$52+(Inputs!$H$8))^2+Inputs!$C$52^2-2*(Inputs!$C$52+(Inputs!$H$8))*Inputs!$C$52*COS(SQRT((Scenario_Data!V18)^2+Inputs!$C$6^2)/Inputs!$C$52)))-(Inputs!$H$8))*1000/Inputs!$C$12)</f>
        <v/>
      </c>
      <c r="M18">
        <f>Scenario_Data!K18-(((SQRT((Inputs!$C$52+(Inputs!$H$9))^2+Inputs!$C$52^2-2*(Inputs!$C$52+(Inputs!$H$9))*Inputs!$C$52*COS(SQRT((Scenario_Data!W18)^2+Inputs!$C$6^2)/Inputs!$C$52)))-(Inputs!$H$9))*1000/Inputs!$C$12)</f>
        <v/>
      </c>
      <c r="O18">
        <f>Scenario_Data!T18</f>
        <v/>
      </c>
      <c r="P18">
        <f>2*(Scenario_Data!B18*1000)/Inputs!$C$21*1000000</f>
        <v/>
      </c>
      <c r="Q18">
        <f>Scenario_Data!U18</f>
        <v/>
      </c>
      <c r="R18">
        <f>2*(Scenario_Data!C18*1000)/Inputs!$C$21*1000000</f>
        <v/>
      </c>
      <c r="S18">
        <f>Scenario_Data!V18</f>
        <v/>
      </c>
      <c r="T18">
        <f>2*(Scenario_Data!D18*1000)/Inputs!$C$21*1000000</f>
        <v/>
      </c>
      <c r="U18">
        <f>Scenario_Data!W18</f>
        <v/>
      </c>
      <c r="V18">
        <f>2*(Scenario_Data!E18*1000)/Inputs!$C$21*1000000</f>
        <v/>
      </c>
      <c r="X18">
        <f>Scenario_Data!T18</f>
        <v/>
      </c>
      <c r="Y18">
        <f>2*((Scenario_Data!B18*1000)-(IF(OR(Inputs!$C$27=TRUE,Inputs!$C$27="TRUE",Inputs!$C$27=1),1,0)*(Inputs!$C$51*(115*EXP(-(((0)-25)^2)/(4.5^2))+70*EXP(-(((0)+38)^2)/(7^2))*(0.55+0.45*SIN(2*PI()*(Scenario_Data!T18)/45))+24*SIN(2*PI()*(0)/9+(Scenario_Data!T18)/18)*EXP(-(((0)+5)^2)/(22^2))+18*SIN(2*PI()*(Scenario_Data!T18)/70))+Inputs!$C$28*EXP(-(((Scenario_Data!T18)-Inputs!$C$29)^2)/(2*Inputs!$C$31^2))*EXP(-(((0)-Inputs!$C$30)^2)/(2*Inputs!$C$32^2))+-Inputs!$C$33*EXP(-(((((Scenario_Data!T18)-Inputs!$C$34)^2)+(((0)-Inputs!$C$35)^2))/(2*Inputs!$C$36^2)))+Inputs!$C$37*(0.55*SIN(2*PI()*(Scenario_Data!T18)/Inputs!$C$39)+0.35*COS(2*PI()*(0)/Inputs!$C$40)+0.2*SIN(2*PI()*((Scenario_Data!T18)+(0))/(0.5*(Inputs!$C$39+Inputs!$C$40))))+Inputs!$C$38*SIN(2*PI()*(Scenario_Data!T18)/Inputs!$C$39)*SIN(2*PI()*(0)/Inputs!$C$40)+-Inputs!$C$41*EXP(-(((0)-Inputs!$C$43)^2)/(2*Inputs!$C$44^2))*EXP(-(((Scenario_Data!T18)-Inputs!$C$42)^2)/(2*Inputs!$C$45^2))+Inputs!$C$48*(0.7*(0.45*SIN(2*PI()*(((Scenario_Data!T18)/Inputs!$C$49)+Inputs!$C$47*0.137))+0.35*COS(2*PI()*(((0)/Inputs!$C$50)+Inputs!$C$47*0.173))+0.2*SIN(2*PI()*((((Scenario_Data!T18)+(0))/(0.5*(Inputs!$C$49+Inputs!$C$50)))+Inputs!$C$47*0.097)))+0.3*(2*((SIN(((Scenario_Data!T18)*12.9898+(0)*78.233+Inputs!$C$47*37.719))*43758.5453)-INT((SIN(((Scenario_Data!T18)*12.9898+(0)*78.233+Inputs!$C$47*37.719))*43758.5453)))-1)))))/Inputs!$C$21*1000000</f>
        <v/>
      </c>
      <c r="Z18">
        <f>Scenario_Data!U18</f>
        <v/>
      </c>
      <c r="AA18">
        <f>2*((Scenario_Data!C18*1000)-(IF(OR(Inputs!$C$27=TRUE,Inputs!$C$27="TRUE",Inputs!$C$27=1),1,0)*(Inputs!$C$51*(115*EXP(-(((0)-25)^2)/(4.5^2))+70*EXP(-(((0)+38)^2)/(7^2))*(0.55+0.45*SIN(2*PI()*(Scenario_Data!U18)/45))+24*SIN(2*PI()*(0)/9+(Scenario_Data!U18)/18)*EXP(-(((0)+5)^2)/(22^2))+18*SIN(2*PI()*(Scenario_Data!U18)/70))+Inputs!$C$28*EXP(-(((Scenario_Data!U18)-Inputs!$C$29)^2)/(2*Inputs!$C$31^2))*EXP(-(((0)-Inputs!$C$30)^2)/(2*Inputs!$C$32^2))+-Inputs!$C$33*EXP(-(((((Scenario_Data!U18)-Inputs!$C$34)^2)+(((0)-Inputs!$C$35)^2))/(2*Inputs!$C$36^2)))+Inputs!$C$37*(0.55*SIN(2*PI()*(Scenario_Data!U18)/Inputs!$C$39)+0.35*COS(2*PI()*(0)/Inputs!$C$40)+0.2*SIN(2*PI()*((Scenario_Data!U18)+(0))/(0.5*(Inputs!$C$39+Inputs!$C$40))))+Inputs!$C$38*SIN(2*PI()*(Scenario_Data!U18)/Inputs!$C$39)*SIN(2*PI()*(0)/Inputs!$C$40)+-Inputs!$C$41*EXP(-(((0)-Inputs!$C$43)^2)/(2*Inputs!$C$44^2))*EXP(-(((Scenario_Data!U18)-Inputs!$C$42)^2)/(2*Inputs!$C$45^2))+Inputs!$C$48*(0.7*(0.45*SIN(2*PI()*(((Scenario_Data!U18)/Inputs!$C$49)+Inputs!$C$47*0.137))+0.35*COS(2*PI()*(((0)/Inputs!$C$50)+Inputs!$C$47*0.173))+0.2*SIN(2*PI()*((((Scenario_Data!U18)+(0))/(0.5*(Inputs!$C$49+Inputs!$C$50)))+Inputs!$C$47*0.097)))+0.3*(2*((SIN(((Scenario_Data!U18)*12.9898+(0)*78.233+Inputs!$C$47*37.719))*43758.5453)-INT((SIN(((Scenario_Data!U18)*12.9898+(0)*78.233+Inputs!$C$47*37.719))*43758.5453)))-1)))))/Inputs!$C$21*1000000</f>
        <v/>
      </c>
      <c r="AB18">
        <f>Scenario_Data!V18</f>
        <v/>
      </c>
      <c r="AC18">
        <f>2*((Scenario_Data!D18*1000)-(IF(OR(Inputs!$C$27=TRUE,Inputs!$C$27="TRUE",Inputs!$C$27=1),1,0)*(Inputs!$C$51*(115*EXP(-(((0)-25)^2)/(4.5^2))+70*EXP(-(((0)+38)^2)/(7^2))*(0.55+0.45*SIN(2*PI()*(Scenario_Data!V18)/45))+24*SIN(2*PI()*(0)/9+(Scenario_Data!V18)/18)*EXP(-(((0)+5)^2)/(22^2))+18*SIN(2*PI()*(Scenario_Data!V18)/70))+Inputs!$C$28*EXP(-(((Scenario_Data!V18)-Inputs!$C$29)^2)/(2*Inputs!$C$31^2))*EXP(-(((0)-Inputs!$C$30)^2)/(2*Inputs!$C$32^2))+-Inputs!$C$33*EXP(-(((((Scenario_Data!V18)-Inputs!$C$34)^2)+(((0)-Inputs!$C$35)^2))/(2*Inputs!$C$36^2)))+Inputs!$C$37*(0.55*SIN(2*PI()*(Scenario_Data!V18)/Inputs!$C$39)+0.35*COS(2*PI()*(0)/Inputs!$C$40)+0.2*SIN(2*PI()*((Scenario_Data!V18)+(0))/(0.5*(Inputs!$C$39+Inputs!$C$40))))+Inputs!$C$38*SIN(2*PI()*(Scenario_Data!V18)/Inputs!$C$39)*SIN(2*PI()*(0)/Inputs!$C$40)+-Inputs!$C$41*EXP(-(((0)-Inputs!$C$43)^2)/(2*Inputs!$C$44^2))*EXP(-(((Scenario_Data!V18)-Inputs!$C$42)^2)/(2*Inputs!$C$45^2))+Inputs!$C$48*(0.7*(0.45*SIN(2*PI()*(((Scenario_Data!V18)/Inputs!$C$49)+Inputs!$C$47*0.137))+0.35*COS(2*PI()*(((0)/Inputs!$C$50)+Inputs!$C$47*0.173))+0.2*SIN(2*PI()*((((Scenario_Data!V18)+(0))/(0.5*(Inputs!$C$49+Inputs!$C$50)))+Inputs!$C$47*0.097)))+0.3*(2*((SIN(((Scenario_Data!V18)*12.9898+(0)*78.233+Inputs!$C$47*37.719))*43758.5453)-INT((SIN(((Scenario_Data!V18)*12.9898+(0)*78.233+Inputs!$C$47*37.719))*43758.5453)))-1)))))/Inputs!$C$21*1000000</f>
        <v/>
      </c>
      <c r="AD18">
        <f>Scenario_Data!W18</f>
        <v/>
      </c>
      <c r="AE18">
        <f>2*((Scenario_Data!E18*1000)-(IF(OR(Inputs!$C$27=TRUE,Inputs!$C$27="TRUE",Inputs!$C$27=1),1,0)*(Inputs!$C$51*(115*EXP(-(((0)-25)^2)/(4.5^2))+70*EXP(-(((0)+38)^2)/(7^2))*(0.55+0.45*SIN(2*PI()*(Scenario_Data!W18)/45))+24*SIN(2*PI()*(0)/9+(Scenario_Data!W18)/18)*EXP(-(((0)+5)^2)/(22^2))+18*SIN(2*PI()*(Scenario_Data!W18)/70))+Inputs!$C$28*EXP(-(((Scenario_Data!W18)-Inputs!$C$29)^2)/(2*Inputs!$C$31^2))*EXP(-(((0)-Inputs!$C$30)^2)/(2*Inputs!$C$32^2))+-Inputs!$C$33*EXP(-(((((Scenario_Data!W18)-Inputs!$C$34)^2)+(((0)-Inputs!$C$35)^2))/(2*Inputs!$C$36^2)))+Inputs!$C$37*(0.55*SIN(2*PI()*(Scenario_Data!W18)/Inputs!$C$39)+0.35*COS(2*PI()*(0)/Inputs!$C$40)+0.2*SIN(2*PI()*((Scenario_Data!W18)+(0))/(0.5*(Inputs!$C$39+Inputs!$C$40))))+Inputs!$C$38*SIN(2*PI()*(Scenario_Data!W18)/Inputs!$C$39)*SIN(2*PI()*(0)/Inputs!$C$40)+-Inputs!$C$41*EXP(-(((0)-Inputs!$C$43)^2)/(2*Inputs!$C$44^2))*EXP(-(((Scenario_Data!W18)-Inputs!$C$42)^2)/(2*Inputs!$C$45^2))+Inputs!$C$48*(0.7*(0.45*SIN(2*PI()*(((Scenario_Data!W18)/Inputs!$C$49)+Inputs!$C$47*0.137))+0.35*COS(2*PI()*(((0)/Inputs!$C$50)+Inputs!$C$47*0.173))+0.2*SIN(2*PI()*((((Scenario_Data!W18)+(0))/(0.5*(Inputs!$C$49+Inputs!$C$50)))+Inputs!$C$47*0.097)))+0.3*(2*((SIN(((Scenario_Data!W18)*12.9898+(0)*78.233+Inputs!$C$47*37.719))*43758.5453)-INT((SIN(((Scenario_Data!W18)*12.9898+(0)*78.233+Inputs!$C$47*37.719))*43758.5453)))-1)))))/Inputs!$C$21*1000000</f>
        <v/>
      </c>
      <c r="AG18">
        <f>Scenario_Data!T18</f>
        <v/>
      </c>
      <c r="AH18">
        <f>2*(SQRT((Inputs!$C$52+(Scenario_Data!B18))^2+Inputs!$C$52^2-2*(Inputs!$C$52+(Scenario_Data!B18))*Inputs!$C$52*COS(SQRT((Scenario_Data!T18)^2+Inputs!$C$6^2)/Inputs!$C$52))*1000)/Inputs!$C$21*1000000</f>
        <v/>
      </c>
      <c r="AI18">
        <f>Scenario_Data!U18</f>
        <v/>
      </c>
      <c r="AJ18">
        <f>2*(SQRT((Inputs!$C$52+(Scenario_Data!C18))^2+Inputs!$C$52^2-2*(Inputs!$C$52+(Scenario_Data!C18))*Inputs!$C$52*COS(SQRT((Scenario_Data!U18)^2+Inputs!$C$6^2)/Inputs!$C$52))*1000)/Inputs!$C$21*1000000</f>
        <v/>
      </c>
      <c r="AK18">
        <f>Scenario_Data!V18</f>
        <v/>
      </c>
      <c r="AL18">
        <f>2*(SQRT((Inputs!$C$52+(Scenario_Data!D18))^2+Inputs!$C$52^2-2*(Inputs!$C$52+(Scenario_Data!D18))*Inputs!$C$52*COS(SQRT((Scenario_Data!V18)^2+Inputs!$C$6^2)/Inputs!$C$52))*1000)/Inputs!$C$21*1000000</f>
        <v/>
      </c>
      <c r="AM18">
        <f>Scenario_Data!W18</f>
        <v/>
      </c>
      <c r="AN18">
        <f>2*(SQRT((Inputs!$C$52+(Scenario_Data!E18))^2+Inputs!$C$52^2-2*(Inputs!$C$52+(Scenario_Data!E18))*Inputs!$C$52*COS(SQRT((Scenario_Data!W18)^2+Inputs!$C$6^2)/Inputs!$C$52))*1000)/Inputs!$C$21*1000000</f>
        <v/>
      </c>
      <c r="AP18">
        <f>Scenario_Data!T18</f>
        <v/>
      </c>
      <c r="AQ18">
        <f>2*(SQRT((Inputs!$C$52+(Scenario_Data!B18))^2+(Inputs!$C$52+((IF(OR(Inputs!$C$27=TRUE,Inputs!$C$27="TRUE",Inputs!$C$27=1),1,0)*(Inputs!$C$51*(115*EXP(-(((Inputs!$C$6)-25)^2)/(4.5^2))+70*EXP(-(((Inputs!$C$6)+38)^2)/(7^2))*(0.55+0.45*SIN(2*PI()*(Scenario_Data!T18)/45))+24*SIN(2*PI()*(Inputs!$C$6)/9+(Scenario_Data!T18)/18)*EXP(-(((Inputs!$C$6)+5)^2)/(22^2))+18*SIN(2*PI()*(Scenario_Data!T18)/70))+Inputs!$C$28*EXP(-(((Scenario_Data!T18)-Inputs!$C$29)^2)/(2*Inputs!$C$31^2))*EXP(-(((Inputs!$C$6)-Inputs!$C$30)^2)/(2*Inputs!$C$32^2))+-Inputs!$C$33*EXP(-(((((Scenario_Data!T18)-Inputs!$C$34)^2)+(((Inputs!$C$6)-Inputs!$C$35)^2))/(2*Inputs!$C$36^2)))+Inputs!$C$37*(0.55*SIN(2*PI()*(Scenario_Data!T18)/Inputs!$C$39)+0.35*COS(2*PI()*(Inputs!$C$6)/Inputs!$C$40)+0.2*SIN(2*PI()*((Scenario_Data!T18)+(Inputs!$C$6))/(0.5*(Inputs!$C$39+Inputs!$C$40))))+Inputs!$C$38*SIN(2*PI()*(Scenario_Data!T18)/Inputs!$C$39)*SIN(2*PI()*(Inputs!$C$6)/Inputs!$C$40)+-Inputs!$C$41*EXP(-(((Inputs!$C$6)-Inputs!$C$43)^2)/(2*Inputs!$C$44^2))*EXP(-(((Scenario_Data!T18)-Inputs!$C$42)^2)/(2*Inputs!$C$45^2))+Inputs!$C$48*(0.7*(0.45*SIN(2*PI()*(((Scenario_Data!T18)/Inputs!$C$49)+Inputs!$C$47*0.137))+0.35*COS(2*PI()*(((Inputs!$C$6)/Inputs!$C$50)+Inputs!$C$47*0.173))+0.2*SIN(2*PI()*((((Scenario_Data!T18)+(Inputs!$C$6))/(0.5*(Inputs!$C$49+Inputs!$C$50)))+Inputs!$C$47*0.097)))+0.3*(2*((SIN(((Scenario_Data!T18)*12.9898+(Inputs!$C$6)*78.233+Inputs!$C$47*37.719))*43758.5453)-INT((SIN(((Scenario_Data!T18)*12.9898+(Inputs!$C$6)*78.233+Inputs!$C$47*37.719))*43758.5453)))-1))))/1000))^2-2*(Inputs!$C$52+(Scenario_Data!B18))*(Inputs!$C$52+((IF(OR(Inputs!$C$27=TRUE,Inputs!$C$27="TRUE",Inputs!$C$27=1),1,0)*(Inputs!$C$51*(115*EXP(-(((Inputs!$C$6)-25)^2)/(4.5^2))+70*EXP(-(((Inputs!$C$6)+38)^2)/(7^2))*(0.55+0.45*SIN(2*PI()*(Scenario_Data!T18)/45))+24*SIN(2*PI()*(Inputs!$C$6)/9+(Scenario_Data!T18)/18)*EXP(-(((Inputs!$C$6)+5)^2)/(22^2))+18*SIN(2*PI()*(Scenario_Data!T18)/70))+Inputs!$C$28*EXP(-(((Scenario_Data!T18)-Inputs!$C$29)^2)/(2*Inputs!$C$31^2))*EXP(-(((Inputs!$C$6)-Inputs!$C$30)^2)/(2*Inputs!$C$32^2))+-Inputs!$C$33*EXP(-(((((Scenario_Data!T18)-Inputs!$C$34)^2)+(((Inputs!$C$6)-Inputs!$C$35)^2))/(2*Inputs!$C$36^2)))+Inputs!$C$37*(0.55*SIN(2*PI()*(Scenario_Data!T18)/Inputs!$C$39)+0.35*COS(2*PI()*(Inputs!$C$6)/Inputs!$C$40)+0.2*SIN(2*PI()*((Scenario_Data!T18)+(Inputs!$C$6))/(0.5*(Inputs!$C$39+Inputs!$C$40))))+Inputs!$C$38*SIN(2*PI()*(Scenario_Data!T18)/Inputs!$C$39)*SIN(2*PI()*(Inputs!$C$6)/Inputs!$C$40)+-Inputs!$C$41*EXP(-(((Inputs!$C$6)-Inputs!$C$43)^2)/(2*Inputs!$C$44^2))*EXP(-(((Scenario_Data!T18)-Inputs!$C$42)^2)/(2*Inputs!$C$45^2))+Inputs!$C$48*(0.7*(0.45*SIN(2*PI()*(((Scenario_Data!T18)/Inputs!$C$49)+Inputs!$C$47*0.137))+0.35*COS(2*PI()*(((Inputs!$C$6)/Inputs!$C$50)+Inputs!$C$47*0.173))+0.2*SIN(2*PI()*((((Scenario_Data!T18)+(Inputs!$C$6))/(0.5*(Inputs!$C$49+Inputs!$C$50)))+Inputs!$C$47*0.097)))+0.3*(2*((SIN(((Scenario_Data!T18)*12.9898+(Inputs!$C$6)*78.233+Inputs!$C$47*37.719))*43758.5453)-INT((SIN(((Scenario_Data!T18)*12.9898+(Inputs!$C$6)*78.233+Inputs!$C$47*37.719))*43758.5453)))-1))))/1000))*COS(SQRT((Scenario_Data!T18)^2+Inputs!$C$6^2)/Inputs!$C$52))*1000)/Inputs!$C$21*1000000</f>
        <v/>
      </c>
      <c r="AR18">
        <f>Scenario_Data!U18</f>
        <v/>
      </c>
      <c r="AS18">
        <f>2*(SQRT((Inputs!$C$52+(Scenario_Data!C18))^2+(Inputs!$C$52+((IF(OR(Inputs!$C$27=TRUE,Inputs!$C$27="TRUE",Inputs!$C$27=1),1,0)*(Inputs!$C$51*(115*EXP(-(((Inputs!$C$6)-25)^2)/(4.5^2))+70*EXP(-(((Inputs!$C$6)+38)^2)/(7^2))*(0.55+0.45*SIN(2*PI()*(Scenario_Data!U18)/45))+24*SIN(2*PI()*(Inputs!$C$6)/9+(Scenario_Data!U18)/18)*EXP(-(((Inputs!$C$6)+5)^2)/(22^2))+18*SIN(2*PI()*(Scenario_Data!U18)/70))+Inputs!$C$28*EXP(-(((Scenario_Data!U18)-Inputs!$C$29)^2)/(2*Inputs!$C$31^2))*EXP(-(((Inputs!$C$6)-Inputs!$C$30)^2)/(2*Inputs!$C$32^2))+-Inputs!$C$33*EXP(-(((((Scenario_Data!U18)-Inputs!$C$34)^2)+(((Inputs!$C$6)-Inputs!$C$35)^2))/(2*Inputs!$C$36^2)))+Inputs!$C$37*(0.55*SIN(2*PI()*(Scenario_Data!U18)/Inputs!$C$39)+0.35*COS(2*PI()*(Inputs!$C$6)/Inputs!$C$40)+0.2*SIN(2*PI()*((Scenario_Data!U18)+(Inputs!$C$6))/(0.5*(Inputs!$C$39+Inputs!$C$40))))+Inputs!$C$38*SIN(2*PI()*(Scenario_Data!U18)/Inputs!$C$39)*SIN(2*PI()*(Inputs!$C$6)/Inputs!$C$40)+-Inputs!$C$41*EXP(-(((Inputs!$C$6)-Inputs!$C$43)^2)/(2*Inputs!$C$44^2))*EXP(-(((Scenario_Data!U18)-Inputs!$C$42)^2)/(2*Inputs!$C$45^2))+Inputs!$C$48*(0.7*(0.45*SIN(2*PI()*(((Scenario_Data!U18)/Inputs!$C$49)+Inputs!$C$47*0.137))+0.35*COS(2*PI()*(((Inputs!$C$6)/Inputs!$C$50)+Inputs!$C$47*0.173))+0.2*SIN(2*PI()*((((Scenario_Data!U18)+(Inputs!$C$6))/(0.5*(Inputs!$C$49+Inputs!$C$50)))+Inputs!$C$47*0.097)))+0.3*(2*((SIN(((Scenario_Data!U18)*12.9898+(Inputs!$C$6)*78.233+Inputs!$C$47*37.719))*43758.5453)-INT((SIN(((Scenario_Data!U18)*12.9898+(Inputs!$C$6)*78.233+Inputs!$C$47*37.719))*43758.5453)))-1))))/1000))^2-2*(Inputs!$C$52+(Scenario_Data!C18))*(Inputs!$C$52+((IF(OR(Inputs!$C$27=TRUE,Inputs!$C$27="TRUE",Inputs!$C$27=1),1,0)*(Inputs!$C$51*(115*EXP(-(((Inputs!$C$6)-25)^2)/(4.5^2))+70*EXP(-(((Inputs!$C$6)+38)^2)/(7^2))*(0.55+0.45*SIN(2*PI()*(Scenario_Data!U18)/45))+24*SIN(2*PI()*(Inputs!$C$6)/9+(Scenario_Data!U18)/18)*EXP(-(((Inputs!$C$6)+5)^2)/(22^2))+18*SIN(2*PI()*(Scenario_Data!U18)/70))+Inputs!$C$28*EXP(-(((Scenario_Data!U18)-Inputs!$C$29)^2)/(2*Inputs!$C$31^2))*EXP(-(((Inputs!$C$6)-Inputs!$C$30)^2)/(2*Inputs!$C$32^2))+-Inputs!$C$33*EXP(-(((((Scenario_Data!U18)-Inputs!$C$34)^2)+(((Inputs!$C$6)-Inputs!$C$35)^2))/(2*Inputs!$C$36^2)))+Inputs!$C$37*(0.55*SIN(2*PI()*(Scenario_Data!U18)/Inputs!$C$39)+0.35*COS(2*PI()*(Inputs!$C$6)/Inputs!$C$40)+0.2*SIN(2*PI()*((Scenario_Data!U18)+(Inputs!$C$6))/(0.5*(Inputs!$C$39+Inputs!$C$40))))+Inputs!$C$38*SIN(2*PI()*(Scenario_Data!U18)/Inputs!$C$39)*SIN(2*PI()*(Inputs!$C$6)/Inputs!$C$40)+-Inputs!$C$41*EXP(-(((Inputs!$C$6)-Inputs!$C$43)^2)/(2*Inputs!$C$44^2))*EXP(-(((Scenario_Data!U18)-Inputs!$C$42)^2)/(2*Inputs!$C$45^2))+Inputs!$C$48*(0.7*(0.45*SIN(2*PI()*(((Scenario_Data!U18)/Inputs!$C$49)+Inputs!$C$47*0.137))+0.35*COS(2*PI()*(((Inputs!$C$6)/Inputs!$C$50)+Inputs!$C$47*0.173))+0.2*SIN(2*PI()*((((Scenario_Data!U18)+(Inputs!$C$6))/(0.5*(Inputs!$C$49+Inputs!$C$50)))+Inputs!$C$47*0.097)))+0.3*(2*((SIN(((Scenario_Data!U18)*12.9898+(Inputs!$C$6)*78.233+Inputs!$C$47*37.719))*43758.5453)-INT((SIN(((Scenario_Data!U18)*12.9898+(Inputs!$C$6)*78.233+Inputs!$C$47*37.719))*43758.5453)))-1))))/1000))*COS(SQRT((Scenario_Data!U18)^2+Inputs!$C$6^2)/Inputs!$C$52))*1000)/Inputs!$C$21*1000000</f>
        <v/>
      </c>
      <c r="AT18">
        <f>Scenario_Data!V18</f>
        <v/>
      </c>
      <c r="AU18">
        <f>2*(SQRT((Inputs!$C$52+(Scenario_Data!D18))^2+(Inputs!$C$52+((IF(OR(Inputs!$C$27=TRUE,Inputs!$C$27="TRUE",Inputs!$C$27=1),1,0)*(Inputs!$C$51*(115*EXP(-(((Inputs!$C$6)-25)^2)/(4.5^2))+70*EXP(-(((Inputs!$C$6)+38)^2)/(7^2))*(0.55+0.45*SIN(2*PI()*(Scenario_Data!V18)/45))+24*SIN(2*PI()*(Inputs!$C$6)/9+(Scenario_Data!V18)/18)*EXP(-(((Inputs!$C$6)+5)^2)/(22^2))+18*SIN(2*PI()*(Scenario_Data!V18)/70))+Inputs!$C$28*EXP(-(((Scenario_Data!V18)-Inputs!$C$29)^2)/(2*Inputs!$C$31^2))*EXP(-(((Inputs!$C$6)-Inputs!$C$30)^2)/(2*Inputs!$C$32^2))+-Inputs!$C$33*EXP(-(((((Scenario_Data!V18)-Inputs!$C$34)^2)+(((Inputs!$C$6)-Inputs!$C$35)^2))/(2*Inputs!$C$36^2)))+Inputs!$C$37*(0.55*SIN(2*PI()*(Scenario_Data!V18)/Inputs!$C$39)+0.35*COS(2*PI()*(Inputs!$C$6)/Inputs!$C$40)+0.2*SIN(2*PI()*((Scenario_Data!V18)+(Inputs!$C$6))/(0.5*(Inputs!$C$39+Inputs!$C$40))))+Inputs!$C$38*SIN(2*PI()*(Scenario_Data!V18)/Inputs!$C$39)*SIN(2*PI()*(Inputs!$C$6)/Inputs!$C$40)+-Inputs!$C$41*EXP(-(((Inputs!$C$6)-Inputs!$C$43)^2)/(2*Inputs!$C$44^2))*EXP(-(((Scenario_Data!V18)-Inputs!$C$42)^2)/(2*Inputs!$C$45^2))+Inputs!$C$48*(0.7*(0.45*SIN(2*PI()*(((Scenario_Data!V18)/Inputs!$C$49)+Inputs!$C$47*0.137))+0.35*COS(2*PI()*(((Inputs!$C$6)/Inputs!$C$50)+Inputs!$C$47*0.173))+0.2*SIN(2*PI()*((((Scenario_Data!V18)+(Inputs!$C$6))/(0.5*(Inputs!$C$49+Inputs!$C$50)))+Inputs!$C$47*0.097)))+0.3*(2*((SIN(((Scenario_Data!V18)*12.9898+(Inputs!$C$6)*78.233+Inputs!$C$47*37.719))*43758.5453)-INT((SIN(((Scenario_Data!V18)*12.9898+(Inputs!$C$6)*78.233+Inputs!$C$47*37.719))*43758.5453)))-1))))/1000))^2-2*(Inputs!$C$52+(Scenario_Data!D18))*(Inputs!$C$52+((IF(OR(Inputs!$C$27=TRUE,Inputs!$C$27="TRUE",Inputs!$C$27=1),1,0)*(Inputs!$C$51*(115*EXP(-(((Inputs!$C$6)-25)^2)/(4.5^2))+70*EXP(-(((Inputs!$C$6)+38)^2)/(7^2))*(0.55+0.45*SIN(2*PI()*(Scenario_Data!V18)/45))+24*SIN(2*PI()*(Inputs!$C$6)/9+(Scenario_Data!V18)/18)*EXP(-(((Inputs!$C$6)+5)^2)/(22^2))+18*SIN(2*PI()*(Scenario_Data!V18)/70))+Inputs!$C$28*EXP(-(((Scenario_Data!V18)-Inputs!$C$29)^2)/(2*Inputs!$C$31^2))*EXP(-(((Inputs!$C$6)-Inputs!$C$30)^2)/(2*Inputs!$C$32^2))+-Inputs!$C$33*EXP(-(((((Scenario_Data!V18)-Inputs!$C$34)^2)+(((Inputs!$C$6)-Inputs!$C$35)^2))/(2*Inputs!$C$36^2)))+Inputs!$C$37*(0.55*SIN(2*PI()*(Scenario_Data!V18)/Inputs!$C$39)+0.35*COS(2*PI()*(Inputs!$C$6)/Inputs!$C$40)+0.2*SIN(2*PI()*((Scenario_Data!V18)+(Inputs!$C$6))/(0.5*(Inputs!$C$39+Inputs!$C$40))))+Inputs!$C$38*SIN(2*PI()*(Scenario_Data!V18)/Inputs!$C$39)*SIN(2*PI()*(Inputs!$C$6)/Inputs!$C$40)+-Inputs!$C$41*EXP(-(((Inputs!$C$6)-Inputs!$C$43)^2)/(2*Inputs!$C$44^2))*EXP(-(((Scenario_Data!V18)-Inputs!$C$42)^2)/(2*Inputs!$C$45^2))+Inputs!$C$48*(0.7*(0.45*SIN(2*PI()*(((Scenario_Data!V18)/Inputs!$C$49)+Inputs!$C$47*0.137))+0.35*COS(2*PI()*(((Inputs!$C$6)/Inputs!$C$50)+Inputs!$C$47*0.173))+0.2*SIN(2*PI()*((((Scenario_Data!V18)+(Inputs!$C$6))/(0.5*(Inputs!$C$49+Inputs!$C$50)))+Inputs!$C$47*0.097)))+0.3*(2*((SIN(((Scenario_Data!V18)*12.9898+(Inputs!$C$6)*78.233+Inputs!$C$47*37.719))*43758.5453)-INT((SIN(((Scenario_Data!V18)*12.9898+(Inputs!$C$6)*78.233+Inputs!$C$47*37.719))*43758.5453)))-1))))/1000))*COS(SQRT((Scenario_Data!V18)^2+Inputs!$C$6^2)/Inputs!$C$52))*1000)/Inputs!$C$21*1000000</f>
        <v/>
      </c>
      <c r="AV18">
        <f>Scenario_Data!W18</f>
        <v/>
      </c>
      <c r="AW18">
        <f>2*(SQRT((Inputs!$C$52+(Scenario_Data!E18))^2+(Inputs!$C$52+((IF(OR(Inputs!$C$27=TRUE,Inputs!$C$27="TRUE",Inputs!$C$27=1),1,0)*(Inputs!$C$51*(115*EXP(-(((Inputs!$C$6)-25)^2)/(4.5^2))+70*EXP(-(((Inputs!$C$6)+38)^2)/(7^2))*(0.55+0.45*SIN(2*PI()*(Scenario_Data!W18)/45))+24*SIN(2*PI()*(Inputs!$C$6)/9+(Scenario_Data!W18)/18)*EXP(-(((Inputs!$C$6)+5)^2)/(22^2))+18*SIN(2*PI()*(Scenario_Data!W18)/70))+Inputs!$C$28*EXP(-(((Scenario_Data!W18)-Inputs!$C$29)^2)/(2*Inputs!$C$31^2))*EXP(-(((Inputs!$C$6)-Inputs!$C$30)^2)/(2*Inputs!$C$32^2))+-Inputs!$C$33*EXP(-(((((Scenario_Data!W18)-Inputs!$C$34)^2)+(((Inputs!$C$6)-Inputs!$C$35)^2))/(2*Inputs!$C$36^2)))+Inputs!$C$37*(0.55*SIN(2*PI()*(Scenario_Data!W18)/Inputs!$C$39)+0.35*COS(2*PI()*(Inputs!$C$6)/Inputs!$C$40)+0.2*SIN(2*PI()*((Scenario_Data!W18)+(Inputs!$C$6))/(0.5*(Inputs!$C$39+Inputs!$C$40))))+Inputs!$C$38*SIN(2*PI()*(Scenario_Data!W18)/Inputs!$C$39)*SIN(2*PI()*(Inputs!$C$6)/Inputs!$C$40)+-Inputs!$C$41*EXP(-(((Inputs!$C$6)-Inputs!$C$43)^2)/(2*Inputs!$C$44^2))*EXP(-(((Scenario_Data!W18)-Inputs!$C$42)^2)/(2*Inputs!$C$45^2))+Inputs!$C$48*(0.7*(0.45*SIN(2*PI()*(((Scenario_Data!W18)/Inputs!$C$49)+Inputs!$C$47*0.137))+0.35*COS(2*PI()*(((Inputs!$C$6)/Inputs!$C$50)+Inputs!$C$47*0.173))+0.2*SIN(2*PI()*((((Scenario_Data!W18)+(Inputs!$C$6))/(0.5*(Inputs!$C$49+Inputs!$C$50)))+Inputs!$C$47*0.097)))+0.3*(2*((SIN(((Scenario_Data!W18)*12.9898+(Inputs!$C$6)*78.233+Inputs!$C$47*37.719))*43758.5453)-INT((SIN(((Scenario_Data!W18)*12.9898+(Inputs!$C$6)*78.233+Inputs!$C$47*37.719))*43758.5453)))-1))))/1000))^2-2*(Inputs!$C$52+(Scenario_Data!E18))*(Inputs!$C$52+((IF(OR(Inputs!$C$27=TRUE,Inputs!$C$27="TRUE",Inputs!$C$27=1),1,0)*(Inputs!$C$51*(115*EXP(-(((Inputs!$C$6)-25)^2)/(4.5^2))+70*EXP(-(((Inputs!$C$6)+38)^2)/(7^2))*(0.55+0.45*SIN(2*PI()*(Scenario_Data!W18)/45))+24*SIN(2*PI()*(Inputs!$C$6)/9+(Scenario_Data!W18)/18)*EXP(-(((Inputs!$C$6)+5)^2)/(22^2))+18*SIN(2*PI()*(Scenario_Data!W18)/70))+Inputs!$C$28*EXP(-(((Scenario_Data!W18)-Inputs!$C$29)^2)/(2*Inputs!$C$31^2))*EXP(-(((Inputs!$C$6)-Inputs!$C$30)^2)/(2*Inputs!$C$32^2))+-Inputs!$C$33*EXP(-(((((Scenario_Data!W18)-Inputs!$C$34)^2)+(((Inputs!$C$6)-Inputs!$C$35)^2))/(2*Inputs!$C$36^2)))+Inputs!$C$37*(0.55*SIN(2*PI()*(Scenario_Data!W18)/Inputs!$C$39)+0.35*COS(2*PI()*(Inputs!$C$6)/Inputs!$C$40)+0.2*SIN(2*PI()*((Scenario_Data!W18)+(Inputs!$C$6))/(0.5*(Inputs!$C$39+Inputs!$C$40))))+Inputs!$C$38*SIN(2*PI()*(Scenario_Data!W18)/Inputs!$C$39)*SIN(2*PI()*(Inputs!$C$6)/Inputs!$C$40)+-Inputs!$C$41*EXP(-(((Inputs!$C$6)-Inputs!$C$43)^2)/(2*Inputs!$C$44^2))*EXP(-(((Scenario_Data!W18)-Inputs!$C$42)^2)/(2*Inputs!$C$45^2))+Inputs!$C$48*(0.7*(0.45*SIN(2*PI()*(((Scenario_Data!W18)/Inputs!$C$49)+Inputs!$C$47*0.137))+0.35*COS(2*PI()*(((Inputs!$C$6)/Inputs!$C$50)+Inputs!$C$47*0.173))+0.2*SIN(2*PI()*((((Scenario_Data!W18)+(Inputs!$C$6))/(0.5*(Inputs!$C$49+Inputs!$C$50)))+Inputs!$C$47*0.097)))+0.3*(2*((SIN(((Scenario_Data!W18)*12.9898+(Inputs!$C$6)*78.233+Inputs!$C$47*37.719))*43758.5453)-INT((SIN(((Scenario_Data!W18)*12.9898+(Inputs!$C$6)*78.233+Inputs!$C$47*37.719))*43758.5453)))-1))))/1000))*COS(SQRT((Scenario_Data!W18)^2+Inputs!$C$6^2)/Inputs!$C$52))*1000)/Inputs!$C$21*1000000</f>
        <v/>
      </c>
    </row>
    <row r="19">
      <c r="A19">
        <f>Chart_Data!K19</f>
        <v/>
      </c>
      <c r="B19">
        <f>Chart_Data!N19-Chart_Data!L19</f>
        <v/>
      </c>
      <c r="D19">
        <f>Chart_Data!G19</f>
        <v/>
      </c>
      <c r="E19">
        <f>Chart_Data!H19</f>
        <v/>
      </c>
      <c r="F19">
        <f>Chart_Data!I19</f>
        <v/>
      </c>
      <c r="G19">
        <f>Chart_Data!J19</f>
        <v/>
      </c>
      <c r="I19">
        <f>Scenario_Data!A19</f>
        <v/>
      </c>
      <c r="J19">
        <f>Scenario_Data!H19-(((SQRT((Inputs!$C$52+(Inputs!$H$6))^2+Inputs!$C$52^2-2*(Inputs!$C$52+(Inputs!$H$6))*Inputs!$C$52*COS(SQRT((Scenario_Data!T19)^2+Inputs!$C$6^2)/Inputs!$C$52)))-(Inputs!$H$6))*1000/Inputs!$C$12)</f>
        <v/>
      </c>
      <c r="K19">
        <f>Scenario_Data!I19-(((SQRT((Inputs!$C$52+(Inputs!$H$7))^2+Inputs!$C$52^2-2*(Inputs!$C$52+(Inputs!$H$7))*Inputs!$C$52*COS(SQRT((Scenario_Data!U19)^2+Inputs!$C$6^2)/Inputs!$C$52)))-(Inputs!$H$7))*1000/Inputs!$C$12)</f>
        <v/>
      </c>
      <c r="L19">
        <f>Scenario_Data!J19-(((SQRT((Inputs!$C$52+(Inputs!$H$8))^2+Inputs!$C$52^2-2*(Inputs!$C$52+(Inputs!$H$8))*Inputs!$C$52*COS(SQRT((Scenario_Data!V19)^2+Inputs!$C$6^2)/Inputs!$C$52)))-(Inputs!$H$8))*1000/Inputs!$C$12)</f>
        <v/>
      </c>
      <c r="M19">
        <f>Scenario_Data!K19-(((SQRT((Inputs!$C$52+(Inputs!$H$9))^2+Inputs!$C$52^2-2*(Inputs!$C$52+(Inputs!$H$9))*Inputs!$C$52*COS(SQRT((Scenario_Data!W19)^2+Inputs!$C$6^2)/Inputs!$C$52)))-(Inputs!$H$9))*1000/Inputs!$C$12)</f>
        <v/>
      </c>
      <c r="O19">
        <f>Scenario_Data!T19</f>
        <v/>
      </c>
      <c r="P19">
        <f>2*(Scenario_Data!B19*1000)/Inputs!$C$21*1000000</f>
        <v/>
      </c>
      <c r="Q19">
        <f>Scenario_Data!U19</f>
        <v/>
      </c>
      <c r="R19">
        <f>2*(Scenario_Data!C19*1000)/Inputs!$C$21*1000000</f>
        <v/>
      </c>
      <c r="S19">
        <f>Scenario_Data!V19</f>
        <v/>
      </c>
      <c r="T19">
        <f>2*(Scenario_Data!D19*1000)/Inputs!$C$21*1000000</f>
        <v/>
      </c>
      <c r="U19">
        <f>Scenario_Data!W19</f>
        <v/>
      </c>
      <c r="V19">
        <f>2*(Scenario_Data!E19*1000)/Inputs!$C$21*1000000</f>
        <v/>
      </c>
      <c r="X19">
        <f>Scenario_Data!T19</f>
        <v/>
      </c>
      <c r="Y19">
        <f>2*((Scenario_Data!B19*1000)-(IF(OR(Inputs!$C$27=TRUE,Inputs!$C$27="TRUE",Inputs!$C$27=1),1,0)*(Inputs!$C$51*(115*EXP(-(((0)-25)^2)/(4.5^2))+70*EXP(-(((0)+38)^2)/(7^2))*(0.55+0.45*SIN(2*PI()*(Scenario_Data!T19)/45))+24*SIN(2*PI()*(0)/9+(Scenario_Data!T19)/18)*EXP(-(((0)+5)^2)/(22^2))+18*SIN(2*PI()*(Scenario_Data!T19)/70))+Inputs!$C$28*EXP(-(((Scenario_Data!T19)-Inputs!$C$29)^2)/(2*Inputs!$C$31^2))*EXP(-(((0)-Inputs!$C$30)^2)/(2*Inputs!$C$32^2))+-Inputs!$C$33*EXP(-(((((Scenario_Data!T19)-Inputs!$C$34)^2)+(((0)-Inputs!$C$35)^2))/(2*Inputs!$C$36^2)))+Inputs!$C$37*(0.55*SIN(2*PI()*(Scenario_Data!T19)/Inputs!$C$39)+0.35*COS(2*PI()*(0)/Inputs!$C$40)+0.2*SIN(2*PI()*((Scenario_Data!T19)+(0))/(0.5*(Inputs!$C$39+Inputs!$C$40))))+Inputs!$C$38*SIN(2*PI()*(Scenario_Data!T19)/Inputs!$C$39)*SIN(2*PI()*(0)/Inputs!$C$40)+-Inputs!$C$41*EXP(-(((0)-Inputs!$C$43)^2)/(2*Inputs!$C$44^2))*EXP(-(((Scenario_Data!T19)-Inputs!$C$42)^2)/(2*Inputs!$C$45^2))+Inputs!$C$48*(0.7*(0.45*SIN(2*PI()*(((Scenario_Data!T19)/Inputs!$C$49)+Inputs!$C$47*0.137))+0.35*COS(2*PI()*(((0)/Inputs!$C$50)+Inputs!$C$47*0.173))+0.2*SIN(2*PI()*((((Scenario_Data!T19)+(0))/(0.5*(Inputs!$C$49+Inputs!$C$50)))+Inputs!$C$47*0.097)))+0.3*(2*((SIN(((Scenario_Data!T19)*12.9898+(0)*78.233+Inputs!$C$47*37.719))*43758.5453)-INT((SIN(((Scenario_Data!T19)*12.9898+(0)*78.233+Inputs!$C$47*37.719))*43758.5453)))-1)))))/Inputs!$C$21*1000000</f>
        <v/>
      </c>
      <c r="Z19">
        <f>Scenario_Data!U19</f>
        <v/>
      </c>
      <c r="AA19">
        <f>2*((Scenario_Data!C19*1000)-(IF(OR(Inputs!$C$27=TRUE,Inputs!$C$27="TRUE",Inputs!$C$27=1),1,0)*(Inputs!$C$51*(115*EXP(-(((0)-25)^2)/(4.5^2))+70*EXP(-(((0)+38)^2)/(7^2))*(0.55+0.45*SIN(2*PI()*(Scenario_Data!U19)/45))+24*SIN(2*PI()*(0)/9+(Scenario_Data!U19)/18)*EXP(-(((0)+5)^2)/(22^2))+18*SIN(2*PI()*(Scenario_Data!U19)/70))+Inputs!$C$28*EXP(-(((Scenario_Data!U19)-Inputs!$C$29)^2)/(2*Inputs!$C$31^2))*EXP(-(((0)-Inputs!$C$30)^2)/(2*Inputs!$C$32^2))+-Inputs!$C$33*EXP(-(((((Scenario_Data!U19)-Inputs!$C$34)^2)+(((0)-Inputs!$C$35)^2))/(2*Inputs!$C$36^2)))+Inputs!$C$37*(0.55*SIN(2*PI()*(Scenario_Data!U19)/Inputs!$C$39)+0.35*COS(2*PI()*(0)/Inputs!$C$40)+0.2*SIN(2*PI()*((Scenario_Data!U19)+(0))/(0.5*(Inputs!$C$39+Inputs!$C$40))))+Inputs!$C$38*SIN(2*PI()*(Scenario_Data!U19)/Inputs!$C$39)*SIN(2*PI()*(0)/Inputs!$C$40)+-Inputs!$C$41*EXP(-(((0)-Inputs!$C$43)^2)/(2*Inputs!$C$44^2))*EXP(-(((Scenario_Data!U19)-Inputs!$C$42)^2)/(2*Inputs!$C$45^2))+Inputs!$C$48*(0.7*(0.45*SIN(2*PI()*(((Scenario_Data!U19)/Inputs!$C$49)+Inputs!$C$47*0.137))+0.35*COS(2*PI()*(((0)/Inputs!$C$50)+Inputs!$C$47*0.173))+0.2*SIN(2*PI()*((((Scenario_Data!U19)+(0))/(0.5*(Inputs!$C$49+Inputs!$C$50)))+Inputs!$C$47*0.097)))+0.3*(2*((SIN(((Scenario_Data!U19)*12.9898+(0)*78.233+Inputs!$C$47*37.719))*43758.5453)-INT((SIN(((Scenario_Data!U19)*12.9898+(0)*78.233+Inputs!$C$47*37.719))*43758.5453)))-1)))))/Inputs!$C$21*1000000</f>
        <v/>
      </c>
      <c r="AB19">
        <f>Scenario_Data!V19</f>
        <v/>
      </c>
      <c r="AC19">
        <f>2*((Scenario_Data!D19*1000)-(IF(OR(Inputs!$C$27=TRUE,Inputs!$C$27="TRUE",Inputs!$C$27=1),1,0)*(Inputs!$C$51*(115*EXP(-(((0)-25)^2)/(4.5^2))+70*EXP(-(((0)+38)^2)/(7^2))*(0.55+0.45*SIN(2*PI()*(Scenario_Data!V19)/45))+24*SIN(2*PI()*(0)/9+(Scenario_Data!V19)/18)*EXP(-(((0)+5)^2)/(22^2))+18*SIN(2*PI()*(Scenario_Data!V19)/70))+Inputs!$C$28*EXP(-(((Scenario_Data!V19)-Inputs!$C$29)^2)/(2*Inputs!$C$31^2))*EXP(-(((0)-Inputs!$C$30)^2)/(2*Inputs!$C$32^2))+-Inputs!$C$33*EXP(-(((((Scenario_Data!V19)-Inputs!$C$34)^2)+(((0)-Inputs!$C$35)^2))/(2*Inputs!$C$36^2)))+Inputs!$C$37*(0.55*SIN(2*PI()*(Scenario_Data!V19)/Inputs!$C$39)+0.35*COS(2*PI()*(0)/Inputs!$C$40)+0.2*SIN(2*PI()*((Scenario_Data!V19)+(0))/(0.5*(Inputs!$C$39+Inputs!$C$40))))+Inputs!$C$38*SIN(2*PI()*(Scenario_Data!V19)/Inputs!$C$39)*SIN(2*PI()*(0)/Inputs!$C$40)+-Inputs!$C$41*EXP(-(((0)-Inputs!$C$43)^2)/(2*Inputs!$C$44^2))*EXP(-(((Scenario_Data!V19)-Inputs!$C$42)^2)/(2*Inputs!$C$45^2))+Inputs!$C$48*(0.7*(0.45*SIN(2*PI()*(((Scenario_Data!V19)/Inputs!$C$49)+Inputs!$C$47*0.137))+0.35*COS(2*PI()*(((0)/Inputs!$C$50)+Inputs!$C$47*0.173))+0.2*SIN(2*PI()*((((Scenario_Data!V19)+(0))/(0.5*(Inputs!$C$49+Inputs!$C$50)))+Inputs!$C$47*0.097)))+0.3*(2*((SIN(((Scenario_Data!V19)*12.9898+(0)*78.233+Inputs!$C$47*37.719))*43758.5453)-INT((SIN(((Scenario_Data!V19)*12.9898+(0)*78.233+Inputs!$C$47*37.719))*43758.5453)))-1)))))/Inputs!$C$21*1000000</f>
        <v/>
      </c>
      <c r="AD19">
        <f>Scenario_Data!W19</f>
        <v/>
      </c>
      <c r="AE19">
        <f>2*((Scenario_Data!E19*1000)-(IF(OR(Inputs!$C$27=TRUE,Inputs!$C$27="TRUE",Inputs!$C$27=1),1,0)*(Inputs!$C$51*(115*EXP(-(((0)-25)^2)/(4.5^2))+70*EXP(-(((0)+38)^2)/(7^2))*(0.55+0.45*SIN(2*PI()*(Scenario_Data!W19)/45))+24*SIN(2*PI()*(0)/9+(Scenario_Data!W19)/18)*EXP(-(((0)+5)^2)/(22^2))+18*SIN(2*PI()*(Scenario_Data!W19)/70))+Inputs!$C$28*EXP(-(((Scenario_Data!W19)-Inputs!$C$29)^2)/(2*Inputs!$C$31^2))*EXP(-(((0)-Inputs!$C$30)^2)/(2*Inputs!$C$32^2))+-Inputs!$C$33*EXP(-(((((Scenario_Data!W19)-Inputs!$C$34)^2)+(((0)-Inputs!$C$35)^2))/(2*Inputs!$C$36^2)))+Inputs!$C$37*(0.55*SIN(2*PI()*(Scenario_Data!W19)/Inputs!$C$39)+0.35*COS(2*PI()*(0)/Inputs!$C$40)+0.2*SIN(2*PI()*((Scenario_Data!W19)+(0))/(0.5*(Inputs!$C$39+Inputs!$C$40))))+Inputs!$C$38*SIN(2*PI()*(Scenario_Data!W19)/Inputs!$C$39)*SIN(2*PI()*(0)/Inputs!$C$40)+-Inputs!$C$41*EXP(-(((0)-Inputs!$C$43)^2)/(2*Inputs!$C$44^2))*EXP(-(((Scenario_Data!W19)-Inputs!$C$42)^2)/(2*Inputs!$C$45^2))+Inputs!$C$48*(0.7*(0.45*SIN(2*PI()*(((Scenario_Data!W19)/Inputs!$C$49)+Inputs!$C$47*0.137))+0.35*COS(2*PI()*(((0)/Inputs!$C$50)+Inputs!$C$47*0.173))+0.2*SIN(2*PI()*((((Scenario_Data!W19)+(0))/(0.5*(Inputs!$C$49+Inputs!$C$50)))+Inputs!$C$47*0.097)))+0.3*(2*((SIN(((Scenario_Data!W19)*12.9898+(0)*78.233+Inputs!$C$47*37.719))*43758.5453)-INT((SIN(((Scenario_Data!W19)*12.9898+(0)*78.233+Inputs!$C$47*37.719))*43758.5453)))-1)))))/Inputs!$C$21*1000000</f>
        <v/>
      </c>
      <c r="AG19">
        <f>Scenario_Data!T19</f>
        <v/>
      </c>
      <c r="AH19">
        <f>2*(SQRT((Inputs!$C$52+(Scenario_Data!B19))^2+Inputs!$C$52^2-2*(Inputs!$C$52+(Scenario_Data!B19))*Inputs!$C$52*COS(SQRT((Scenario_Data!T19)^2+Inputs!$C$6^2)/Inputs!$C$52))*1000)/Inputs!$C$21*1000000</f>
        <v/>
      </c>
      <c r="AI19">
        <f>Scenario_Data!U19</f>
        <v/>
      </c>
      <c r="AJ19">
        <f>2*(SQRT((Inputs!$C$52+(Scenario_Data!C19))^2+Inputs!$C$52^2-2*(Inputs!$C$52+(Scenario_Data!C19))*Inputs!$C$52*COS(SQRT((Scenario_Data!U19)^2+Inputs!$C$6^2)/Inputs!$C$52))*1000)/Inputs!$C$21*1000000</f>
        <v/>
      </c>
      <c r="AK19">
        <f>Scenario_Data!V19</f>
        <v/>
      </c>
      <c r="AL19">
        <f>2*(SQRT((Inputs!$C$52+(Scenario_Data!D19))^2+Inputs!$C$52^2-2*(Inputs!$C$52+(Scenario_Data!D19))*Inputs!$C$52*COS(SQRT((Scenario_Data!V19)^2+Inputs!$C$6^2)/Inputs!$C$52))*1000)/Inputs!$C$21*1000000</f>
        <v/>
      </c>
      <c r="AM19">
        <f>Scenario_Data!W19</f>
        <v/>
      </c>
      <c r="AN19">
        <f>2*(SQRT((Inputs!$C$52+(Scenario_Data!E19))^2+Inputs!$C$52^2-2*(Inputs!$C$52+(Scenario_Data!E19))*Inputs!$C$52*COS(SQRT((Scenario_Data!W19)^2+Inputs!$C$6^2)/Inputs!$C$52))*1000)/Inputs!$C$21*1000000</f>
        <v/>
      </c>
      <c r="AP19">
        <f>Scenario_Data!T19</f>
        <v/>
      </c>
      <c r="AQ19">
        <f>2*(SQRT((Inputs!$C$52+(Scenario_Data!B19))^2+(Inputs!$C$52+((IF(OR(Inputs!$C$27=TRUE,Inputs!$C$27="TRUE",Inputs!$C$27=1),1,0)*(Inputs!$C$51*(115*EXP(-(((Inputs!$C$6)-25)^2)/(4.5^2))+70*EXP(-(((Inputs!$C$6)+38)^2)/(7^2))*(0.55+0.45*SIN(2*PI()*(Scenario_Data!T19)/45))+24*SIN(2*PI()*(Inputs!$C$6)/9+(Scenario_Data!T19)/18)*EXP(-(((Inputs!$C$6)+5)^2)/(22^2))+18*SIN(2*PI()*(Scenario_Data!T19)/70))+Inputs!$C$28*EXP(-(((Scenario_Data!T19)-Inputs!$C$29)^2)/(2*Inputs!$C$31^2))*EXP(-(((Inputs!$C$6)-Inputs!$C$30)^2)/(2*Inputs!$C$32^2))+-Inputs!$C$33*EXP(-(((((Scenario_Data!T19)-Inputs!$C$34)^2)+(((Inputs!$C$6)-Inputs!$C$35)^2))/(2*Inputs!$C$36^2)))+Inputs!$C$37*(0.55*SIN(2*PI()*(Scenario_Data!T19)/Inputs!$C$39)+0.35*COS(2*PI()*(Inputs!$C$6)/Inputs!$C$40)+0.2*SIN(2*PI()*((Scenario_Data!T19)+(Inputs!$C$6))/(0.5*(Inputs!$C$39+Inputs!$C$40))))+Inputs!$C$38*SIN(2*PI()*(Scenario_Data!T19)/Inputs!$C$39)*SIN(2*PI()*(Inputs!$C$6)/Inputs!$C$40)+-Inputs!$C$41*EXP(-(((Inputs!$C$6)-Inputs!$C$43)^2)/(2*Inputs!$C$44^2))*EXP(-(((Scenario_Data!T19)-Inputs!$C$42)^2)/(2*Inputs!$C$45^2))+Inputs!$C$48*(0.7*(0.45*SIN(2*PI()*(((Scenario_Data!T19)/Inputs!$C$49)+Inputs!$C$47*0.137))+0.35*COS(2*PI()*(((Inputs!$C$6)/Inputs!$C$50)+Inputs!$C$47*0.173))+0.2*SIN(2*PI()*((((Scenario_Data!T19)+(Inputs!$C$6))/(0.5*(Inputs!$C$49+Inputs!$C$50)))+Inputs!$C$47*0.097)))+0.3*(2*((SIN(((Scenario_Data!T19)*12.9898+(Inputs!$C$6)*78.233+Inputs!$C$47*37.719))*43758.5453)-INT((SIN(((Scenario_Data!T19)*12.9898+(Inputs!$C$6)*78.233+Inputs!$C$47*37.719))*43758.5453)))-1))))/1000))^2-2*(Inputs!$C$52+(Scenario_Data!B19))*(Inputs!$C$52+((IF(OR(Inputs!$C$27=TRUE,Inputs!$C$27="TRUE",Inputs!$C$27=1),1,0)*(Inputs!$C$51*(115*EXP(-(((Inputs!$C$6)-25)^2)/(4.5^2))+70*EXP(-(((Inputs!$C$6)+38)^2)/(7^2))*(0.55+0.45*SIN(2*PI()*(Scenario_Data!T19)/45))+24*SIN(2*PI()*(Inputs!$C$6)/9+(Scenario_Data!T19)/18)*EXP(-(((Inputs!$C$6)+5)^2)/(22^2))+18*SIN(2*PI()*(Scenario_Data!T19)/70))+Inputs!$C$28*EXP(-(((Scenario_Data!T19)-Inputs!$C$29)^2)/(2*Inputs!$C$31^2))*EXP(-(((Inputs!$C$6)-Inputs!$C$30)^2)/(2*Inputs!$C$32^2))+-Inputs!$C$33*EXP(-(((((Scenario_Data!T19)-Inputs!$C$34)^2)+(((Inputs!$C$6)-Inputs!$C$35)^2))/(2*Inputs!$C$36^2)))+Inputs!$C$37*(0.55*SIN(2*PI()*(Scenario_Data!T19)/Inputs!$C$39)+0.35*COS(2*PI()*(Inputs!$C$6)/Inputs!$C$40)+0.2*SIN(2*PI()*((Scenario_Data!T19)+(Inputs!$C$6))/(0.5*(Inputs!$C$39+Inputs!$C$40))))+Inputs!$C$38*SIN(2*PI()*(Scenario_Data!T19)/Inputs!$C$39)*SIN(2*PI()*(Inputs!$C$6)/Inputs!$C$40)+-Inputs!$C$41*EXP(-(((Inputs!$C$6)-Inputs!$C$43)^2)/(2*Inputs!$C$44^2))*EXP(-(((Scenario_Data!T19)-Inputs!$C$42)^2)/(2*Inputs!$C$45^2))+Inputs!$C$48*(0.7*(0.45*SIN(2*PI()*(((Scenario_Data!T19)/Inputs!$C$49)+Inputs!$C$47*0.137))+0.35*COS(2*PI()*(((Inputs!$C$6)/Inputs!$C$50)+Inputs!$C$47*0.173))+0.2*SIN(2*PI()*((((Scenario_Data!T19)+(Inputs!$C$6))/(0.5*(Inputs!$C$49+Inputs!$C$50)))+Inputs!$C$47*0.097)))+0.3*(2*((SIN(((Scenario_Data!T19)*12.9898+(Inputs!$C$6)*78.233+Inputs!$C$47*37.719))*43758.5453)-INT((SIN(((Scenario_Data!T19)*12.9898+(Inputs!$C$6)*78.233+Inputs!$C$47*37.719))*43758.5453)))-1))))/1000))*COS(SQRT((Scenario_Data!T19)^2+Inputs!$C$6^2)/Inputs!$C$52))*1000)/Inputs!$C$21*1000000</f>
        <v/>
      </c>
      <c r="AR19">
        <f>Scenario_Data!U19</f>
        <v/>
      </c>
      <c r="AS19">
        <f>2*(SQRT((Inputs!$C$52+(Scenario_Data!C19))^2+(Inputs!$C$52+((IF(OR(Inputs!$C$27=TRUE,Inputs!$C$27="TRUE",Inputs!$C$27=1),1,0)*(Inputs!$C$51*(115*EXP(-(((Inputs!$C$6)-25)^2)/(4.5^2))+70*EXP(-(((Inputs!$C$6)+38)^2)/(7^2))*(0.55+0.45*SIN(2*PI()*(Scenario_Data!U19)/45))+24*SIN(2*PI()*(Inputs!$C$6)/9+(Scenario_Data!U19)/18)*EXP(-(((Inputs!$C$6)+5)^2)/(22^2))+18*SIN(2*PI()*(Scenario_Data!U19)/70))+Inputs!$C$28*EXP(-(((Scenario_Data!U19)-Inputs!$C$29)^2)/(2*Inputs!$C$31^2))*EXP(-(((Inputs!$C$6)-Inputs!$C$30)^2)/(2*Inputs!$C$32^2))+-Inputs!$C$33*EXP(-(((((Scenario_Data!U19)-Inputs!$C$34)^2)+(((Inputs!$C$6)-Inputs!$C$35)^2))/(2*Inputs!$C$36^2)))+Inputs!$C$37*(0.55*SIN(2*PI()*(Scenario_Data!U19)/Inputs!$C$39)+0.35*COS(2*PI()*(Inputs!$C$6)/Inputs!$C$40)+0.2*SIN(2*PI()*((Scenario_Data!U19)+(Inputs!$C$6))/(0.5*(Inputs!$C$39+Inputs!$C$40))))+Inputs!$C$38*SIN(2*PI()*(Scenario_Data!U19)/Inputs!$C$39)*SIN(2*PI()*(Inputs!$C$6)/Inputs!$C$40)+-Inputs!$C$41*EXP(-(((Inputs!$C$6)-Inputs!$C$43)^2)/(2*Inputs!$C$44^2))*EXP(-(((Scenario_Data!U19)-Inputs!$C$42)^2)/(2*Inputs!$C$45^2))+Inputs!$C$48*(0.7*(0.45*SIN(2*PI()*(((Scenario_Data!U19)/Inputs!$C$49)+Inputs!$C$47*0.137))+0.35*COS(2*PI()*(((Inputs!$C$6)/Inputs!$C$50)+Inputs!$C$47*0.173))+0.2*SIN(2*PI()*((((Scenario_Data!U19)+(Inputs!$C$6))/(0.5*(Inputs!$C$49+Inputs!$C$50)))+Inputs!$C$47*0.097)))+0.3*(2*((SIN(((Scenario_Data!U19)*12.9898+(Inputs!$C$6)*78.233+Inputs!$C$47*37.719))*43758.5453)-INT((SIN(((Scenario_Data!U19)*12.9898+(Inputs!$C$6)*78.233+Inputs!$C$47*37.719))*43758.5453)))-1))))/1000))^2-2*(Inputs!$C$52+(Scenario_Data!C19))*(Inputs!$C$52+((IF(OR(Inputs!$C$27=TRUE,Inputs!$C$27="TRUE",Inputs!$C$27=1),1,0)*(Inputs!$C$51*(115*EXP(-(((Inputs!$C$6)-25)^2)/(4.5^2))+70*EXP(-(((Inputs!$C$6)+38)^2)/(7^2))*(0.55+0.45*SIN(2*PI()*(Scenario_Data!U19)/45))+24*SIN(2*PI()*(Inputs!$C$6)/9+(Scenario_Data!U19)/18)*EXP(-(((Inputs!$C$6)+5)^2)/(22^2))+18*SIN(2*PI()*(Scenario_Data!U19)/70))+Inputs!$C$28*EXP(-(((Scenario_Data!U19)-Inputs!$C$29)^2)/(2*Inputs!$C$31^2))*EXP(-(((Inputs!$C$6)-Inputs!$C$30)^2)/(2*Inputs!$C$32^2))+-Inputs!$C$33*EXP(-(((((Scenario_Data!U19)-Inputs!$C$34)^2)+(((Inputs!$C$6)-Inputs!$C$35)^2))/(2*Inputs!$C$36^2)))+Inputs!$C$37*(0.55*SIN(2*PI()*(Scenario_Data!U19)/Inputs!$C$39)+0.35*COS(2*PI()*(Inputs!$C$6)/Inputs!$C$40)+0.2*SIN(2*PI()*((Scenario_Data!U19)+(Inputs!$C$6))/(0.5*(Inputs!$C$39+Inputs!$C$40))))+Inputs!$C$38*SIN(2*PI()*(Scenario_Data!U19)/Inputs!$C$39)*SIN(2*PI()*(Inputs!$C$6)/Inputs!$C$40)+-Inputs!$C$41*EXP(-(((Inputs!$C$6)-Inputs!$C$43)^2)/(2*Inputs!$C$44^2))*EXP(-(((Scenario_Data!U19)-Inputs!$C$42)^2)/(2*Inputs!$C$45^2))+Inputs!$C$48*(0.7*(0.45*SIN(2*PI()*(((Scenario_Data!U19)/Inputs!$C$49)+Inputs!$C$47*0.137))+0.35*COS(2*PI()*(((Inputs!$C$6)/Inputs!$C$50)+Inputs!$C$47*0.173))+0.2*SIN(2*PI()*((((Scenario_Data!U19)+(Inputs!$C$6))/(0.5*(Inputs!$C$49+Inputs!$C$50)))+Inputs!$C$47*0.097)))+0.3*(2*((SIN(((Scenario_Data!U19)*12.9898+(Inputs!$C$6)*78.233+Inputs!$C$47*37.719))*43758.5453)-INT((SIN(((Scenario_Data!U19)*12.9898+(Inputs!$C$6)*78.233+Inputs!$C$47*37.719))*43758.5453)))-1))))/1000))*COS(SQRT((Scenario_Data!U19)^2+Inputs!$C$6^2)/Inputs!$C$52))*1000)/Inputs!$C$21*1000000</f>
        <v/>
      </c>
      <c r="AT19">
        <f>Scenario_Data!V19</f>
        <v/>
      </c>
      <c r="AU19">
        <f>2*(SQRT((Inputs!$C$52+(Scenario_Data!D19))^2+(Inputs!$C$52+((IF(OR(Inputs!$C$27=TRUE,Inputs!$C$27="TRUE",Inputs!$C$27=1),1,0)*(Inputs!$C$51*(115*EXP(-(((Inputs!$C$6)-25)^2)/(4.5^2))+70*EXP(-(((Inputs!$C$6)+38)^2)/(7^2))*(0.55+0.45*SIN(2*PI()*(Scenario_Data!V19)/45))+24*SIN(2*PI()*(Inputs!$C$6)/9+(Scenario_Data!V19)/18)*EXP(-(((Inputs!$C$6)+5)^2)/(22^2))+18*SIN(2*PI()*(Scenario_Data!V19)/70))+Inputs!$C$28*EXP(-(((Scenario_Data!V19)-Inputs!$C$29)^2)/(2*Inputs!$C$31^2))*EXP(-(((Inputs!$C$6)-Inputs!$C$30)^2)/(2*Inputs!$C$32^2))+-Inputs!$C$33*EXP(-(((((Scenario_Data!V19)-Inputs!$C$34)^2)+(((Inputs!$C$6)-Inputs!$C$35)^2))/(2*Inputs!$C$36^2)))+Inputs!$C$37*(0.55*SIN(2*PI()*(Scenario_Data!V19)/Inputs!$C$39)+0.35*COS(2*PI()*(Inputs!$C$6)/Inputs!$C$40)+0.2*SIN(2*PI()*((Scenario_Data!V19)+(Inputs!$C$6))/(0.5*(Inputs!$C$39+Inputs!$C$40))))+Inputs!$C$38*SIN(2*PI()*(Scenario_Data!V19)/Inputs!$C$39)*SIN(2*PI()*(Inputs!$C$6)/Inputs!$C$40)+-Inputs!$C$41*EXP(-(((Inputs!$C$6)-Inputs!$C$43)^2)/(2*Inputs!$C$44^2))*EXP(-(((Scenario_Data!V19)-Inputs!$C$42)^2)/(2*Inputs!$C$45^2))+Inputs!$C$48*(0.7*(0.45*SIN(2*PI()*(((Scenario_Data!V19)/Inputs!$C$49)+Inputs!$C$47*0.137))+0.35*COS(2*PI()*(((Inputs!$C$6)/Inputs!$C$50)+Inputs!$C$47*0.173))+0.2*SIN(2*PI()*((((Scenario_Data!V19)+(Inputs!$C$6))/(0.5*(Inputs!$C$49+Inputs!$C$50)))+Inputs!$C$47*0.097)))+0.3*(2*((SIN(((Scenario_Data!V19)*12.9898+(Inputs!$C$6)*78.233+Inputs!$C$47*37.719))*43758.5453)-INT((SIN(((Scenario_Data!V19)*12.9898+(Inputs!$C$6)*78.233+Inputs!$C$47*37.719))*43758.5453)))-1))))/1000))^2-2*(Inputs!$C$52+(Scenario_Data!D19))*(Inputs!$C$52+((IF(OR(Inputs!$C$27=TRUE,Inputs!$C$27="TRUE",Inputs!$C$27=1),1,0)*(Inputs!$C$51*(115*EXP(-(((Inputs!$C$6)-25)^2)/(4.5^2))+70*EXP(-(((Inputs!$C$6)+38)^2)/(7^2))*(0.55+0.45*SIN(2*PI()*(Scenario_Data!V19)/45))+24*SIN(2*PI()*(Inputs!$C$6)/9+(Scenario_Data!V19)/18)*EXP(-(((Inputs!$C$6)+5)^2)/(22^2))+18*SIN(2*PI()*(Scenario_Data!V19)/70))+Inputs!$C$28*EXP(-(((Scenario_Data!V19)-Inputs!$C$29)^2)/(2*Inputs!$C$31^2))*EXP(-(((Inputs!$C$6)-Inputs!$C$30)^2)/(2*Inputs!$C$32^2))+-Inputs!$C$33*EXP(-(((((Scenario_Data!V19)-Inputs!$C$34)^2)+(((Inputs!$C$6)-Inputs!$C$35)^2))/(2*Inputs!$C$36^2)))+Inputs!$C$37*(0.55*SIN(2*PI()*(Scenario_Data!V19)/Inputs!$C$39)+0.35*COS(2*PI()*(Inputs!$C$6)/Inputs!$C$40)+0.2*SIN(2*PI()*((Scenario_Data!V19)+(Inputs!$C$6))/(0.5*(Inputs!$C$39+Inputs!$C$40))))+Inputs!$C$38*SIN(2*PI()*(Scenario_Data!V19)/Inputs!$C$39)*SIN(2*PI()*(Inputs!$C$6)/Inputs!$C$40)+-Inputs!$C$41*EXP(-(((Inputs!$C$6)-Inputs!$C$43)^2)/(2*Inputs!$C$44^2))*EXP(-(((Scenario_Data!V19)-Inputs!$C$42)^2)/(2*Inputs!$C$45^2))+Inputs!$C$48*(0.7*(0.45*SIN(2*PI()*(((Scenario_Data!V19)/Inputs!$C$49)+Inputs!$C$47*0.137))+0.35*COS(2*PI()*(((Inputs!$C$6)/Inputs!$C$50)+Inputs!$C$47*0.173))+0.2*SIN(2*PI()*((((Scenario_Data!V19)+(Inputs!$C$6))/(0.5*(Inputs!$C$49+Inputs!$C$50)))+Inputs!$C$47*0.097)))+0.3*(2*((SIN(((Scenario_Data!V19)*12.9898+(Inputs!$C$6)*78.233+Inputs!$C$47*37.719))*43758.5453)-INT((SIN(((Scenario_Data!V19)*12.9898+(Inputs!$C$6)*78.233+Inputs!$C$47*37.719))*43758.5453)))-1))))/1000))*COS(SQRT((Scenario_Data!V19)^2+Inputs!$C$6^2)/Inputs!$C$52))*1000)/Inputs!$C$21*1000000</f>
        <v/>
      </c>
      <c r="AV19">
        <f>Scenario_Data!W19</f>
        <v/>
      </c>
      <c r="AW19">
        <f>2*(SQRT((Inputs!$C$52+(Scenario_Data!E19))^2+(Inputs!$C$52+((IF(OR(Inputs!$C$27=TRUE,Inputs!$C$27="TRUE",Inputs!$C$27=1),1,0)*(Inputs!$C$51*(115*EXP(-(((Inputs!$C$6)-25)^2)/(4.5^2))+70*EXP(-(((Inputs!$C$6)+38)^2)/(7^2))*(0.55+0.45*SIN(2*PI()*(Scenario_Data!W19)/45))+24*SIN(2*PI()*(Inputs!$C$6)/9+(Scenario_Data!W19)/18)*EXP(-(((Inputs!$C$6)+5)^2)/(22^2))+18*SIN(2*PI()*(Scenario_Data!W19)/70))+Inputs!$C$28*EXP(-(((Scenario_Data!W19)-Inputs!$C$29)^2)/(2*Inputs!$C$31^2))*EXP(-(((Inputs!$C$6)-Inputs!$C$30)^2)/(2*Inputs!$C$32^2))+-Inputs!$C$33*EXP(-(((((Scenario_Data!W19)-Inputs!$C$34)^2)+(((Inputs!$C$6)-Inputs!$C$35)^2))/(2*Inputs!$C$36^2)))+Inputs!$C$37*(0.55*SIN(2*PI()*(Scenario_Data!W19)/Inputs!$C$39)+0.35*COS(2*PI()*(Inputs!$C$6)/Inputs!$C$40)+0.2*SIN(2*PI()*((Scenario_Data!W19)+(Inputs!$C$6))/(0.5*(Inputs!$C$39+Inputs!$C$40))))+Inputs!$C$38*SIN(2*PI()*(Scenario_Data!W19)/Inputs!$C$39)*SIN(2*PI()*(Inputs!$C$6)/Inputs!$C$40)+-Inputs!$C$41*EXP(-(((Inputs!$C$6)-Inputs!$C$43)^2)/(2*Inputs!$C$44^2))*EXP(-(((Scenario_Data!W19)-Inputs!$C$42)^2)/(2*Inputs!$C$45^2))+Inputs!$C$48*(0.7*(0.45*SIN(2*PI()*(((Scenario_Data!W19)/Inputs!$C$49)+Inputs!$C$47*0.137))+0.35*COS(2*PI()*(((Inputs!$C$6)/Inputs!$C$50)+Inputs!$C$47*0.173))+0.2*SIN(2*PI()*((((Scenario_Data!W19)+(Inputs!$C$6))/(0.5*(Inputs!$C$49+Inputs!$C$50)))+Inputs!$C$47*0.097)))+0.3*(2*((SIN(((Scenario_Data!W19)*12.9898+(Inputs!$C$6)*78.233+Inputs!$C$47*37.719))*43758.5453)-INT((SIN(((Scenario_Data!W19)*12.9898+(Inputs!$C$6)*78.233+Inputs!$C$47*37.719))*43758.5453)))-1))))/1000))^2-2*(Inputs!$C$52+(Scenario_Data!E19))*(Inputs!$C$52+((IF(OR(Inputs!$C$27=TRUE,Inputs!$C$27="TRUE",Inputs!$C$27=1),1,0)*(Inputs!$C$51*(115*EXP(-(((Inputs!$C$6)-25)^2)/(4.5^2))+70*EXP(-(((Inputs!$C$6)+38)^2)/(7^2))*(0.55+0.45*SIN(2*PI()*(Scenario_Data!W19)/45))+24*SIN(2*PI()*(Inputs!$C$6)/9+(Scenario_Data!W19)/18)*EXP(-(((Inputs!$C$6)+5)^2)/(22^2))+18*SIN(2*PI()*(Scenario_Data!W19)/70))+Inputs!$C$28*EXP(-(((Scenario_Data!W19)-Inputs!$C$29)^2)/(2*Inputs!$C$31^2))*EXP(-(((Inputs!$C$6)-Inputs!$C$30)^2)/(2*Inputs!$C$32^2))+-Inputs!$C$33*EXP(-(((((Scenario_Data!W19)-Inputs!$C$34)^2)+(((Inputs!$C$6)-Inputs!$C$35)^2))/(2*Inputs!$C$36^2)))+Inputs!$C$37*(0.55*SIN(2*PI()*(Scenario_Data!W19)/Inputs!$C$39)+0.35*COS(2*PI()*(Inputs!$C$6)/Inputs!$C$40)+0.2*SIN(2*PI()*((Scenario_Data!W19)+(Inputs!$C$6))/(0.5*(Inputs!$C$39+Inputs!$C$40))))+Inputs!$C$38*SIN(2*PI()*(Scenario_Data!W19)/Inputs!$C$39)*SIN(2*PI()*(Inputs!$C$6)/Inputs!$C$40)+-Inputs!$C$41*EXP(-(((Inputs!$C$6)-Inputs!$C$43)^2)/(2*Inputs!$C$44^2))*EXP(-(((Scenario_Data!W19)-Inputs!$C$42)^2)/(2*Inputs!$C$45^2))+Inputs!$C$48*(0.7*(0.45*SIN(2*PI()*(((Scenario_Data!W19)/Inputs!$C$49)+Inputs!$C$47*0.137))+0.35*COS(2*PI()*(((Inputs!$C$6)/Inputs!$C$50)+Inputs!$C$47*0.173))+0.2*SIN(2*PI()*((((Scenario_Data!W19)+(Inputs!$C$6))/(0.5*(Inputs!$C$49+Inputs!$C$50)))+Inputs!$C$47*0.097)))+0.3*(2*((SIN(((Scenario_Data!W19)*12.9898+(Inputs!$C$6)*78.233+Inputs!$C$47*37.719))*43758.5453)-INT((SIN(((Scenario_Data!W19)*12.9898+(Inputs!$C$6)*78.233+Inputs!$C$47*37.719))*43758.5453)))-1))))/1000))*COS(SQRT((Scenario_Data!W19)^2+Inputs!$C$6^2)/Inputs!$C$52))*1000)/Inputs!$C$21*1000000</f>
        <v/>
      </c>
    </row>
    <row r="20">
      <c r="A20">
        <f>Chart_Data!K20</f>
        <v/>
      </c>
      <c r="B20">
        <f>Chart_Data!N20-Chart_Data!L20</f>
        <v/>
      </c>
      <c r="D20">
        <f>Chart_Data!G20</f>
        <v/>
      </c>
      <c r="E20">
        <f>Chart_Data!H20</f>
        <v/>
      </c>
      <c r="F20">
        <f>Chart_Data!I20</f>
        <v/>
      </c>
      <c r="G20">
        <f>Chart_Data!J20</f>
        <v/>
      </c>
      <c r="I20">
        <f>Scenario_Data!A20</f>
        <v/>
      </c>
      <c r="J20">
        <f>Scenario_Data!H20-(((SQRT((Inputs!$C$52+(Inputs!$H$6))^2+Inputs!$C$52^2-2*(Inputs!$C$52+(Inputs!$H$6))*Inputs!$C$52*COS(SQRT((Scenario_Data!T20)^2+Inputs!$C$6^2)/Inputs!$C$52)))-(Inputs!$H$6))*1000/Inputs!$C$12)</f>
        <v/>
      </c>
      <c r="K20">
        <f>Scenario_Data!I20-(((SQRT((Inputs!$C$52+(Inputs!$H$7))^2+Inputs!$C$52^2-2*(Inputs!$C$52+(Inputs!$H$7))*Inputs!$C$52*COS(SQRT((Scenario_Data!U20)^2+Inputs!$C$6^2)/Inputs!$C$52)))-(Inputs!$H$7))*1000/Inputs!$C$12)</f>
        <v/>
      </c>
      <c r="L20">
        <f>Scenario_Data!J20-(((SQRT((Inputs!$C$52+(Inputs!$H$8))^2+Inputs!$C$52^2-2*(Inputs!$C$52+(Inputs!$H$8))*Inputs!$C$52*COS(SQRT((Scenario_Data!V20)^2+Inputs!$C$6^2)/Inputs!$C$52)))-(Inputs!$H$8))*1000/Inputs!$C$12)</f>
        <v/>
      </c>
      <c r="M20">
        <f>Scenario_Data!K20-(((SQRT((Inputs!$C$52+(Inputs!$H$9))^2+Inputs!$C$52^2-2*(Inputs!$C$52+(Inputs!$H$9))*Inputs!$C$52*COS(SQRT((Scenario_Data!W20)^2+Inputs!$C$6^2)/Inputs!$C$52)))-(Inputs!$H$9))*1000/Inputs!$C$12)</f>
        <v/>
      </c>
      <c r="O20">
        <f>Scenario_Data!T20</f>
        <v/>
      </c>
      <c r="P20">
        <f>2*(Scenario_Data!B20*1000)/Inputs!$C$21*1000000</f>
        <v/>
      </c>
      <c r="Q20">
        <f>Scenario_Data!U20</f>
        <v/>
      </c>
      <c r="R20">
        <f>2*(Scenario_Data!C20*1000)/Inputs!$C$21*1000000</f>
        <v/>
      </c>
      <c r="S20">
        <f>Scenario_Data!V20</f>
        <v/>
      </c>
      <c r="T20">
        <f>2*(Scenario_Data!D20*1000)/Inputs!$C$21*1000000</f>
        <v/>
      </c>
      <c r="U20">
        <f>Scenario_Data!W20</f>
        <v/>
      </c>
      <c r="V20">
        <f>2*(Scenario_Data!E20*1000)/Inputs!$C$21*1000000</f>
        <v/>
      </c>
      <c r="X20">
        <f>Scenario_Data!T20</f>
        <v/>
      </c>
      <c r="Y20">
        <f>2*((Scenario_Data!B20*1000)-(IF(OR(Inputs!$C$27=TRUE,Inputs!$C$27="TRUE",Inputs!$C$27=1),1,0)*(Inputs!$C$51*(115*EXP(-(((0)-25)^2)/(4.5^2))+70*EXP(-(((0)+38)^2)/(7^2))*(0.55+0.45*SIN(2*PI()*(Scenario_Data!T20)/45))+24*SIN(2*PI()*(0)/9+(Scenario_Data!T20)/18)*EXP(-(((0)+5)^2)/(22^2))+18*SIN(2*PI()*(Scenario_Data!T20)/70))+Inputs!$C$28*EXP(-(((Scenario_Data!T20)-Inputs!$C$29)^2)/(2*Inputs!$C$31^2))*EXP(-(((0)-Inputs!$C$30)^2)/(2*Inputs!$C$32^2))+-Inputs!$C$33*EXP(-(((((Scenario_Data!T20)-Inputs!$C$34)^2)+(((0)-Inputs!$C$35)^2))/(2*Inputs!$C$36^2)))+Inputs!$C$37*(0.55*SIN(2*PI()*(Scenario_Data!T20)/Inputs!$C$39)+0.35*COS(2*PI()*(0)/Inputs!$C$40)+0.2*SIN(2*PI()*((Scenario_Data!T20)+(0))/(0.5*(Inputs!$C$39+Inputs!$C$40))))+Inputs!$C$38*SIN(2*PI()*(Scenario_Data!T20)/Inputs!$C$39)*SIN(2*PI()*(0)/Inputs!$C$40)+-Inputs!$C$41*EXP(-(((0)-Inputs!$C$43)^2)/(2*Inputs!$C$44^2))*EXP(-(((Scenario_Data!T20)-Inputs!$C$42)^2)/(2*Inputs!$C$45^2))+Inputs!$C$48*(0.7*(0.45*SIN(2*PI()*(((Scenario_Data!T20)/Inputs!$C$49)+Inputs!$C$47*0.137))+0.35*COS(2*PI()*(((0)/Inputs!$C$50)+Inputs!$C$47*0.173))+0.2*SIN(2*PI()*((((Scenario_Data!T20)+(0))/(0.5*(Inputs!$C$49+Inputs!$C$50)))+Inputs!$C$47*0.097)))+0.3*(2*((SIN(((Scenario_Data!T20)*12.9898+(0)*78.233+Inputs!$C$47*37.719))*43758.5453)-INT((SIN(((Scenario_Data!T20)*12.9898+(0)*78.233+Inputs!$C$47*37.719))*43758.5453)))-1)))))/Inputs!$C$21*1000000</f>
        <v/>
      </c>
      <c r="Z20">
        <f>Scenario_Data!U20</f>
        <v/>
      </c>
      <c r="AA20">
        <f>2*((Scenario_Data!C20*1000)-(IF(OR(Inputs!$C$27=TRUE,Inputs!$C$27="TRUE",Inputs!$C$27=1),1,0)*(Inputs!$C$51*(115*EXP(-(((0)-25)^2)/(4.5^2))+70*EXP(-(((0)+38)^2)/(7^2))*(0.55+0.45*SIN(2*PI()*(Scenario_Data!U20)/45))+24*SIN(2*PI()*(0)/9+(Scenario_Data!U20)/18)*EXP(-(((0)+5)^2)/(22^2))+18*SIN(2*PI()*(Scenario_Data!U20)/70))+Inputs!$C$28*EXP(-(((Scenario_Data!U20)-Inputs!$C$29)^2)/(2*Inputs!$C$31^2))*EXP(-(((0)-Inputs!$C$30)^2)/(2*Inputs!$C$32^2))+-Inputs!$C$33*EXP(-(((((Scenario_Data!U20)-Inputs!$C$34)^2)+(((0)-Inputs!$C$35)^2))/(2*Inputs!$C$36^2)))+Inputs!$C$37*(0.55*SIN(2*PI()*(Scenario_Data!U20)/Inputs!$C$39)+0.35*COS(2*PI()*(0)/Inputs!$C$40)+0.2*SIN(2*PI()*((Scenario_Data!U20)+(0))/(0.5*(Inputs!$C$39+Inputs!$C$40))))+Inputs!$C$38*SIN(2*PI()*(Scenario_Data!U20)/Inputs!$C$39)*SIN(2*PI()*(0)/Inputs!$C$40)+-Inputs!$C$41*EXP(-(((0)-Inputs!$C$43)^2)/(2*Inputs!$C$44^2))*EXP(-(((Scenario_Data!U20)-Inputs!$C$42)^2)/(2*Inputs!$C$45^2))+Inputs!$C$48*(0.7*(0.45*SIN(2*PI()*(((Scenario_Data!U20)/Inputs!$C$49)+Inputs!$C$47*0.137))+0.35*COS(2*PI()*(((0)/Inputs!$C$50)+Inputs!$C$47*0.173))+0.2*SIN(2*PI()*((((Scenario_Data!U20)+(0))/(0.5*(Inputs!$C$49+Inputs!$C$50)))+Inputs!$C$47*0.097)))+0.3*(2*((SIN(((Scenario_Data!U20)*12.9898+(0)*78.233+Inputs!$C$47*37.719))*43758.5453)-INT((SIN(((Scenario_Data!U20)*12.9898+(0)*78.233+Inputs!$C$47*37.719))*43758.5453)))-1)))))/Inputs!$C$21*1000000</f>
        <v/>
      </c>
      <c r="AB20">
        <f>Scenario_Data!V20</f>
        <v/>
      </c>
      <c r="AC20">
        <f>2*((Scenario_Data!D20*1000)-(IF(OR(Inputs!$C$27=TRUE,Inputs!$C$27="TRUE",Inputs!$C$27=1),1,0)*(Inputs!$C$51*(115*EXP(-(((0)-25)^2)/(4.5^2))+70*EXP(-(((0)+38)^2)/(7^2))*(0.55+0.45*SIN(2*PI()*(Scenario_Data!V20)/45))+24*SIN(2*PI()*(0)/9+(Scenario_Data!V20)/18)*EXP(-(((0)+5)^2)/(22^2))+18*SIN(2*PI()*(Scenario_Data!V20)/70))+Inputs!$C$28*EXP(-(((Scenario_Data!V20)-Inputs!$C$29)^2)/(2*Inputs!$C$31^2))*EXP(-(((0)-Inputs!$C$30)^2)/(2*Inputs!$C$32^2))+-Inputs!$C$33*EXP(-(((((Scenario_Data!V20)-Inputs!$C$34)^2)+(((0)-Inputs!$C$35)^2))/(2*Inputs!$C$36^2)))+Inputs!$C$37*(0.55*SIN(2*PI()*(Scenario_Data!V20)/Inputs!$C$39)+0.35*COS(2*PI()*(0)/Inputs!$C$40)+0.2*SIN(2*PI()*((Scenario_Data!V20)+(0))/(0.5*(Inputs!$C$39+Inputs!$C$40))))+Inputs!$C$38*SIN(2*PI()*(Scenario_Data!V20)/Inputs!$C$39)*SIN(2*PI()*(0)/Inputs!$C$40)+-Inputs!$C$41*EXP(-(((0)-Inputs!$C$43)^2)/(2*Inputs!$C$44^2))*EXP(-(((Scenario_Data!V20)-Inputs!$C$42)^2)/(2*Inputs!$C$45^2))+Inputs!$C$48*(0.7*(0.45*SIN(2*PI()*(((Scenario_Data!V20)/Inputs!$C$49)+Inputs!$C$47*0.137))+0.35*COS(2*PI()*(((0)/Inputs!$C$50)+Inputs!$C$47*0.173))+0.2*SIN(2*PI()*((((Scenario_Data!V20)+(0))/(0.5*(Inputs!$C$49+Inputs!$C$50)))+Inputs!$C$47*0.097)))+0.3*(2*((SIN(((Scenario_Data!V20)*12.9898+(0)*78.233+Inputs!$C$47*37.719))*43758.5453)-INT((SIN(((Scenario_Data!V20)*12.9898+(0)*78.233+Inputs!$C$47*37.719))*43758.5453)))-1)))))/Inputs!$C$21*1000000</f>
        <v/>
      </c>
      <c r="AD20">
        <f>Scenario_Data!W20</f>
        <v/>
      </c>
      <c r="AE20">
        <f>2*((Scenario_Data!E20*1000)-(IF(OR(Inputs!$C$27=TRUE,Inputs!$C$27="TRUE",Inputs!$C$27=1),1,0)*(Inputs!$C$51*(115*EXP(-(((0)-25)^2)/(4.5^2))+70*EXP(-(((0)+38)^2)/(7^2))*(0.55+0.45*SIN(2*PI()*(Scenario_Data!W20)/45))+24*SIN(2*PI()*(0)/9+(Scenario_Data!W20)/18)*EXP(-(((0)+5)^2)/(22^2))+18*SIN(2*PI()*(Scenario_Data!W20)/70))+Inputs!$C$28*EXP(-(((Scenario_Data!W20)-Inputs!$C$29)^2)/(2*Inputs!$C$31^2))*EXP(-(((0)-Inputs!$C$30)^2)/(2*Inputs!$C$32^2))+-Inputs!$C$33*EXP(-(((((Scenario_Data!W20)-Inputs!$C$34)^2)+(((0)-Inputs!$C$35)^2))/(2*Inputs!$C$36^2)))+Inputs!$C$37*(0.55*SIN(2*PI()*(Scenario_Data!W20)/Inputs!$C$39)+0.35*COS(2*PI()*(0)/Inputs!$C$40)+0.2*SIN(2*PI()*((Scenario_Data!W20)+(0))/(0.5*(Inputs!$C$39+Inputs!$C$40))))+Inputs!$C$38*SIN(2*PI()*(Scenario_Data!W20)/Inputs!$C$39)*SIN(2*PI()*(0)/Inputs!$C$40)+-Inputs!$C$41*EXP(-(((0)-Inputs!$C$43)^2)/(2*Inputs!$C$44^2))*EXP(-(((Scenario_Data!W20)-Inputs!$C$42)^2)/(2*Inputs!$C$45^2))+Inputs!$C$48*(0.7*(0.45*SIN(2*PI()*(((Scenario_Data!W20)/Inputs!$C$49)+Inputs!$C$47*0.137))+0.35*COS(2*PI()*(((0)/Inputs!$C$50)+Inputs!$C$47*0.173))+0.2*SIN(2*PI()*((((Scenario_Data!W20)+(0))/(0.5*(Inputs!$C$49+Inputs!$C$50)))+Inputs!$C$47*0.097)))+0.3*(2*((SIN(((Scenario_Data!W20)*12.9898+(0)*78.233+Inputs!$C$47*37.719))*43758.5453)-INT((SIN(((Scenario_Data!W20)*12.9898+(0)*78.233+Inputs!$C$47*37.719))*43758.5453)))-1)))))/Inputs!$C$21*1000000</f>
        <v/>
      </c>
      <c r="AG20">
        <f>Scenario_Data!T20</f>
        <v/>
      </c>
      <c r="AH20">
        <f>2*(SQRT((Inputs!$C$52+(Scenario_Data!B20))^2+Inputs!$C$52^2-2*(Inputs!$C$52+(Scenario_Data!B20))*Inputs!$C$52*COS(SQRT((Scenario_Data!T20)^2+Inputs!$C$6^2)/Inputs!$C$52))*1000)/Inputs!$C$21*1000000</f>
        <v/>
      </c>
      <c r="AI20">
        <f>Scenario_Data!U20</f>
        <v/>
      </c>
      <c r="AJ20">
        <f>2*(SQRT((Inputs!$C$52+(Scenario_Data!C20))^2+Inputs!$C$52^2-2*(Inputs!$C$52+(Scenario_Data!C20))*Inputs!$C$52*COS(SQRT((Scenario_Data!U20)^2+Inputs!$C$6^2)/Inputs!$C$52))*1000)/Inputs!$C$21*1000000</f>
        <v/>
      </c>
      <c r="AK20">
        <f>Scenario_Data!V20</f>
        <v/>
      </c>
      <c r="AL20">
        <f>2*(SQRT((Inputs!$C$52+(Scenario_Data!D20))^2+Inputs!$C$52^2-2*(Inputs!$C$52+(Scenario_Data!D20))*Inputs!$C$52*COS(SQRT((Scenario_Data!V20)^2+Inputs!$C$6^2)/Inputs!$C$52))*1000)/Inputs!$C$21*1000000</f>
        <v/>
      </c>
      <c r="AM20">
        <f>Scenario_Data!W20</f>
        <v/>
      </c>
      <c r="AN20">
        <f>2*(SQRT((Inputs!$C$52+(Scenario_Data!E20))^2+Inputs!$C$52^2-2*(Inputs!$C$52+(Scenario_Data!E20))*Inputs!$C$52*COS(SQRT((Scenario_Data!W20)^2+Inputs!$C$6^2)/Inputs!$C$52))*1000)/Inputs!$C$21*1000000</f>
        <v/>
      </c>
      <c r="AP20">
        <f>Scenario_Data!T20</f>
        <v/>
      </c>
      <c r="AQ20">
        <f>2*(SQRT((Inputs!$C$52+(Scenario_Data!B20))^2+(Inputs!$C$52+((IF(OR(Inputs!$C$27=TRUE,Inputs!$C$27="TRUE",Inputs!$C$27=1),1,0)*(Inputs!$C$51*(115*EXP(-(((Inputs!$C$6)-25)^2)/(4.5^2))+70*EXP(-(((Inputs!$C$6)+38)^2)/(7^2))*(0.55+0.45*SIN(2*PI()*(Scenario_Data!T20)/45))+24*SIN(2*PI()*(Inputs!$C$6)/9+(Scenario_Data!T20)/18)*EXP(-(((Inputs!$C$6)+5)^2)/(22^2))+18*SIN(2*PI()*(Scenario_Data!T20)/70))+Inputs!$C$28*EXP(-(((Scenario_Data!T20)-Inputs!$C$29)^2)/(2*Inputs!$C$31^2))*EXP(-(((Inputs!$C$6)-Inputs!$C$30)^2)/(2*Inputs!$C$32^2))+-Inputs!$C$33*EXP(-(((((Scenario_Data!T20)-Inputs!$C$34)^2)+(((Inputs!$C$6)-Inputs!$C$35)^2))/(2*Inputs!$C$36^2)))+Inputs!$C$37*(0.55*SIN(2*PI()*(Scenario_Data!T20)/Inputs!$C$39)+0.35*COS(2*PI()*(Inputs!$C$6)/Inputs!$C$40)+0.2*SIN(2*PI()*((Scenario_Data!T20)+(Inputs!$C$6))/(0.5*(Inputs!$C$39+Inputs!$C$40))))+Inputs!$C$38*SIN(2*PI()*(Scenario_Data!T20)/Inputs!$C$39)*SIN(2*PI()*(Inputs!$C$6)/Inputs!$C$40)+-Inputs!$C$41*EXP(-(((Inputs!$C$6)-Inputs!$C$43)^2)/(2*Inputs!$C$44^2))*EXP(-(((Scenario_Data!T20)-Inputs!$C$42)^2)/(2*Inputs!$C$45^2))+Inputs!$C$48*(0.7*(0.45*SIN(2*PI()*(((Scenario_Data!T20)/Inputs!$C$49)+Inputs!$C$47*0.137))+0.35*COS(2*PI()*(((Inputs!$C$6)/Inputs!$C$50)+Inputs!$C$47*0.173))+0.2*SIN(2*PI()*((((Scenario_Data!T20)+(Inputs!$C$6))/(0.5*(Inputs!$C$49+Inputs!$C$50)))+Inputs!$C$47*0.097)))+0.3*(2*((SIN(((Scenario_Data!T20)*12.9898+(Inputs!$C$6)*78.233+Inputs!$C$47*37.719))*43758.5453)-INT((SIN(((Scenario_Data!T20)*12.9898+(Inputs!$C$6)*78.233+Inputs!$C$47*37.719))*43758.5453)))-1))))/1000))^2-2*(Inputs!$C$52+(Scenario_Data!B20))*(Inputs!$C$52+((IF(OR(Inputs!$C$27=TRUE,Inputs!$C$27="TRUE",Inputs!$C$27=1),1,0)*(Inputs!$C$51*(115*EXP(-(((Inputs!$C$6)-25)^2)/(4.5^2))+70*EXP(-(((Inputs!$C$6)+38)^2)/(7^2))*(0.55+0.45*SIN(2*PI()*(Scenario_Data!T20)/45))+24*SIN(2*PI()*(Inputs!$C$6)/9+(Scenario_Data!T20)/18)*EXP(-(((Inputs!$C$6)+5)^2)/(22^2))+18*SIN(2*PI()*(Scenario_Data!T20)/70))+Inputs!$C$28*EXP(-(((Scenario_Data!T20)-Inputs!$C$29)^2)/(2*Inputs!$C$31^2))*EXP(-(((Inputs!$C$6)-Inputs!$C$30)^2)/(2*Inputs!$C$32^2))+-Inputs!$C$33*EXP(-(((((Scenario_Data!T20)-Inputs!$C$34)^2)+(((Inputs!$C$6)-Inputs!$C$35)^2))/(2*Inputs!$C$36^2)))+Inputs!$C$37*(0.55*SIN(2*PI()*(Scenario_Data!T20)/Inputs!$C$39)+0.35*COS(2*PI()*(Inputs!$C$6)/Inputs!$C$40)+0.2*SIN(2*PI()*((Scenario_Data!T20)+(Inputs!$C$6))/(0.5*(Inputs!$C$39+Inputs!$C$40))))+Inputs!$C$38*SIN(2*PI()*(Scenario_Data!T20)/Inputs!$C$39)*SIN(2*PI()*(Inputs!$C$6)/Inputs!$C$40)+-Inputs!$C$41*EXP(-(((Inputs!$C$6)-Inputs!$C$43)^2)/(2*Inputs!$C$44^2))*EXP(-(((Scenario_Data!T20)-Inputs!$C$42)^2)/(2*Inputs!$C$45^2))+Inputs!$C$48*(0.7*(0.45*SIN(2*PI()*(((Scenario_Data!T20)/Inputs!$C$49)+Inputs!$C$47*0.137))+0.35*COS(2*PI()*(((Inputs!$C$6)/Inputs!$C$50)+Inputs!$C$47*0.173))+0.2*SIN(2*PI()*((((Scenario_Data!T20)+(Inputs!$C$6))/(0.5*(Inputs!$C$49+Inputs!$C$50)))+Inputs!$C$47*0.097)))+0.3*(2*((SIN(((Scenario_Data!T20)*12.9898+(Inputs!$C$6)*78.233+Inputs!$C$47*37.719))*43758.5453)-INT((SIN(((Scenario_Data!T20)*12.9898+(Inputs!$C$6)*78.233+Inputs!$C$47*37.719))*43758.5453)))-1))))/1000))*COS(SQRT((Scenario_Data!T20)^2+Inputs!$C$6^2)/Inputs!$C$52))*1000)/Inputs!$C$21*1000000</f>
        <v/>
      </c>
      <c r="AR20">
        <f>Scenario_Data!U20</f>
        <v/>
      </c>
      <c r="AS20">
        <f>2*(SQRT((Inputs!$C$52+(Scenario_Data!C20))^2+(Inputs!$C$52+((IF(OR(Inputs!$C$27=TRUE,Inputs!$C$27="TRUE",Inputs!$C$27=1),1,0)*(Inputs!$C$51*(115*EXP(-(((Inputs!$C$6)-25)^2)/(4.5^2))+70*EXP(-(((Inputs!$C$6)+38)^2)/(7^2))*(0.55+0.45*SIN(2*PI()*(Scenario_Data!U20)/45))+24*SIN(2*PI()*(Inputs!$C$6)/9+(Scenario_Data!U20)/18)*EXP(-(((Inputs!$C$6)+5)^2)/(22^2))+18*SIN(2*PI()*(Scenario_Data!U20)/70))+Inputs!$C$28*EXP(-(((Scenario_Data!U20)-Inputs!$C$29)^2)/(2*Inputs!$C$31^2))*EXP(-(((Inputs!$C$6)-Inputs!$C$30)^2)/(2*Inputs!$C$32^2))+-Inputs!$C$33*EXP(-(((((Scenario_Data!U20)-Inputs!$C$34)^2)+(((Inputs!$C$6)-Inputs!$C$35)^2))/(2*Inputs!$C$36^2)))+Inputs!$C$37*(0.55*SIN(2*PI()*(Scenario_Data!U20)/Inputs!$C$39)+0.35*COS(2*PI()*(Inputs!$C$6)/Inputs!$C$40)+0.2*SIN(2*PI()*((Scenario_Data!U20)+(Inputs!$C$6))/(0.5*(Inputs!$C$39+Inputs!$C$40))))+Inputs!$C$38*SIN(2*PI()*(Scenario_Data!U20)/Inputs!$C$39)*SIN(2*PI()*(Inputs!$C$6)/Inputs!$C$40)+-Inputs!$C$41*EXP(-(((Inputs!$C$6)-Inputs!$C$43)^2)/(2*Inputs!$C$44^2))*EXP(-(((Scenario_Data!U20)-Inputs!$C$42)^2)/(2*Inputs!$C$45^2))+Inputs!$C$48*(0.7*(0.45*SIN(2*PI()*(((Scenario_Data!U20)/Inputs!$C$49)+Inputs!$C$47*0.137))+0.35*COS(2*PI()*(((Inputs!$C$6)/Inputs!$C$50)+Inputs!$C$47*0.173))+0.2*SIN(2*PI()*((((Scenario_Data!U20)+(Inputs!$C$6))/(0.5*(Inputs!$C$49+Inputs!$C$50)))+Inputs!$C$47*0.097)))+0.3*(2*((SIN(((Scenario_Data!U20)*12.9898+(Inputs!$C$6)*78.233+Inputs!$C$47*37.719))*43758.5453)-INT((SIN(((Scenario_Data!U20)*12.9898+(Inputs!$C$6)*78.233+Inputs!$C$47*37.719))*43758.5453)))-1))))/1000))^2-2*(Inputs!$C$52+(Scenario_Data!C20))*(Inputs!$C$52+((IF(OR(Inputs!$C$27=TRUE,Inputs!$C$27="TRUE",Inputs!$C$27=1),1,0)*(Inputs!$C$51*(115*EXP(-(((Inputs!$C$6)-25)^2)/(4.5^2))+70*EXP(-(((Inputs!$C$6)+38)^2)/(7^2))*(0.55+0.45*SIN(2*PI()*(Scenario_Data!U20)/45))+24*SIN(2*PI()*(Inputs!$C$6)/9+(Scenario_Data!U20)/18)*EXP(-(((Inputs!$C$6)+5)^2)/(22^2))+18*SIN(2*PI()*(Scenario_Data!U20)/70))+Inputs!$C$28*EXP(-(((Scenario_Data!U20)-Inputs!$C$29)^2)/(2*Inputs!$C$31^2))*EXP(-(((Inputs!$C$6)-Inputs!$C$30)^2)/(2*Inputs!$C$32^2))+-Inputs!$C$33*EXP(-(((((Scenario_Data!U20)-Inputs!$C$34)^2)+(((Inputs!$C$6)-Inputs!$C$35)^2))/(2*Inputs!$C$36^2)))+Inputs!$C$37*(0.55*SIN(2*PI()*(Scenario_Data!U20)/Inputs!$C$39)+0.35*COS(2*PI()*(Inputs!$C$6)/Inputs!$C$40)+0.2*SIN(2*PI()*((Scenario_Data!U20)+(Inputs!$C$6))/(0.5*(Inputs!$C$39+Inputs!$C$40))))+Inputs!$C$38*SIN(2*PI()*(Scenario_Data!U20)/Inputs!$C$39)*SIN(2*PI()*(Inputs!$C$6)/Inputs!$C$40)+-Inputs!$C$41*EXP(-(((Inputs!$C$6)-Inputs!$C$43)^2)/(2*Inputs!$C$44^2))*EXP(-(((Scenario_Data!U20)-Inputs!$C$42)^2)/(2*Inputs!$C$45^2))+Inputs!$C$48*(0.7*(0.45*SIN(2*PI()*(((Scenario_Data!U20)/Inputs!$C$49)+Inputs!$C$47*0.137))+0.35*COS(2*PI()*(((Inputs!$C$6)/Inputs!$C$50)+Inputs!$C$47*0.173))+0.2*SIN(2*PI()*((((Scenario_Data!U20)+(Inputs!$C$6))/(0.5*(Inputs!$C$49+Inputs!$C$50)))+Inputs!$C$47*0.097)))+0.3*(2*((SIN(((Scenario_Data!U20)*12.9898+(Inputs!$C$6)*78.233+Inputs!$C$47*37.719))*43758.5453)-INT((SIN(((Scenario_Data!U20)*12.9898+(Inputs!$C$6)*78.233+Inputs!$C$47*37.719))*43758.5453)))-1))))/1000))*COS(SQRT((Scenario_Data!U20)^2+Inputs!$C$6^2)/Inputs!$C$52))*1000)/Inputs!$C$21*1000000</f>
        <v/>
      </c>
      <c r="AT20">
        <f>Scenario_Data!V20</f>
        <v/>
      </c>
      <c r="AU20">
        <f>2*(SQRT((Inputs!$C$52+(Scenario_Data!D20))^2+(Inputs!$C$52+((IF(OR(Inputs!$C$27=TRUE,Inputs!$C$27="TRUE",Inputs!$C$27=1),1,0)*(Inputs!$C$51*(115*EXP(-(((Inputs!$C$6)-25)^2)/(4.5^2))+70*EXP(-(((Inputs!$C$6)+38)^2)/(7^2))*(0.55+0.45*SIN(2*PI()*(Scenario_Data!V20)/45))+24*SIN(2*PI()*(Inputs!$C$6)/9+(Scenario_Data!V20)/18)*EXP(-(((Inputs!$C$6)+5)^2)/(22^2))+18*SIN(2*PI()*(Scenario_Data!V20)/70))+Inputs!$C$28*EXP(-(((Scenario_Data!V20)-Inputs!$C$29)^2)/(2*Inputs!$C$31^2))*EXP(-(((Inputs!$C$6)-Inputs!$C$30)^2)/(2*Inputs!$C$32^2))+-Inputs!$C$33*EXP(-(((((Scenario_Data!V20)-Inputs!$C$34)^2)+(((Inputs!$C$6)-Inputs!$C$35)^2))/(2*Inputs!$C$36^2)))+Inputs!$C$37*(0.55*SIN(2*PI()*(Scenario_Data!V20)/Inputs!$C$39)+0.35*COS(2*PI()*(Inputs!$C$6)/Inputs!$C$40)+0.2*SIN(2*PI()*((Scenario_Data!V20)+(Inputs!$C$6))/(0.5*(Inputs!$C$39+Inputs!$C$40))))+Inputs!$C$38*SIN(2*PI()*(Scenario_Data!V20)/Inputs!$C$39)*SIN(2*PI()*(Inputs!$C$6)/Inputs!$C$40)+-Inputs!$C$41*EXP(-(((Inputs!$C$6)-Inputs!$C$43)^2)/(2*Inputs!$C$44^2))*EXP(-(((Scenario_Data!V20)-Inputs!$C$42)^2)/(2*Inputs!$C$45^2))+Inputs!$C$48*(0.7*(0.45*SIN(2*PI()*(((Scenario_Data!V20)/Inputs!$C$49)+Inputs!$C$47*0.137))+0.35*COS(2*PI()*(((Inputs!$C$6)/Inputs!$C$50)+Inputs!$C$47*0.173))+0.2*SIN(2*PI()*((((Scenario_Data!V20)+(Inputs!$C$6))/(0.5*(Inputs!$C$49+Inputs!$C$50)))+Inputs!$C$47*0.097)))+0.3*(2*((SIN(((Scenario_Data!V20)*12.9898+(Inputs!$C$6)*78.233+Inputs!$C$47*37.719))*43758.5453)-INT((SIN(((Scenario_Data!V20)*12.9898+(Inputs!$C$6)*78.233+Inputs!$C$47*37.719))*43758.5453)))-1))))/1000))^2-2*(Inputs!$C$52+(Scenario_Data!D20))*(Inputs!$C$52+((IF(OR(Inputs!$C$27=TRUE,Inputs!$C$27="TRUE",Inputs!$C$27=1),1,0)*(Inputs!$C$51*(115*EXP(-(((Inputs!$C$6)-25)^2)/(4.5^2))+70*EXP(-(((Inputs!$C$6)+38)^2)/(7^2))*(0.55+0.45*SIN(2*PI()*(Scenario_Data!V20)/45))+24*SIN(2*PI()*(Inputs!$C$6)/9+(Scenario_Data!V20)/18)*EXP(-(((Inputs!$C$6)+5)^2)/(22^2))+18*SIN(2*PI()*(Scenario_Data!V20)/70))+Inputs!$C$28*EXP(-(((Scenario_Data!V20)-Inputs!$C$29)^2)/(2*Inputs!$C$31^2))*EXP(-(((Inputs!$C$6)-Inputs!$C$30)^2)/(2*Inputs!$C$32^2))+-Inputs!$C$33*EXP(-(((((Scenario_Data!V20)-Inputs!$C$34)^2)+(((Inputs!$C$6)-Inputs!$C$35)^2))/(2*Inputs!$C$36^2)))+Inputs!$C$37*(0.55*SIN(2*PI()*(Scenario_Data!V20)/Inputs!$C$39)+0.35*COS(2*PI()*(Inputs!$C$6)/Inputs!$C$40)+0.2*SIN(2*PI()*((Scenario_Data!V20)+(Inputs!$C$6))/(0.5*(Inputs!$C$39+Inputs!$C$40))))+Inputs!$C$38*SIN(2*PI()*(Scenario_Data!V20)/Inputs!$C$39)*SIN(2*PI()*(Inputs!$C$6)/Inputs!$C$40)+-Inputs!$C$41*EXP(-(((Inputs!$C$6)-Inputs!$C$43)^2)/(2*Inputs!$C$44^2))*EXP(-(((Scenario_Data!V20)-Inputs!$C$42)^2)/(2*Inputs!$C$45^2))+Inputs!$C$48*(0.7*(0.45*SIN(2*PI()*(((Scenario_Data!V20)/Inputs!$C$49)+Inputs!$C$47*0.137))+0.35*COS(2*PI()*(((Inputs!$C$6)/Inputs!$C$50)+Inputs!$C$47*0.173))+0.2*SIN(2*PI()*((((Scenario_Data!V20)+(Inputs!$C$6))/(0.5*(Inputs!$C$49+Inputs!$C$50)))+Inputs!$C$47*0.097)))+0.3*(2*((SIN(((Scenario_Data!V20)*12.9898+(Inputs!$C$6)*78.233+Inputs!$C$47*37.719))*43758.5453)-INT((SIN(((Scenario_Data!V20)*12.9898+(Inputs!$C$6)*78.233+Inputs!$C$47*37.719))*43758.5453)))-1))))/1000))*COS(SQRT((Scenario_Data!V20)^2+Inputs!$C$6^2)/Inputs!$C$52))*1000)/Inputs!$C$21*1000000</f>
        <v/>
      </c>
      <c r="AV20">
        <f>Scenario_Data!W20</f>
        <v/>
      </c>
      <c r="AW20">
        <f>2*(SQRT((Inputs!$C$52+(Scenario_Data!E20))^2+(Inputs!$C$52+((IF(OR(Inputs!$C$27=TRUE,Inputs!$C$27="TRUE",Inputs!$C$27=1),1,0)*(Inputs!$C$51*(115*EXP(-(((Inputs!$C$6)-25)^2)/(4.5^2))+70*EXP(-(((Inputs!$C$6)+38)^2)/(7^2))*(0.55+0.45*SIN(2*PI()*(Scenario_Data!W20)/45))+24*SIN(2*PI()*(Inputs!$C$6)/9+(Scenario_Data!W20)/18)*EXP(-(((Inputs!$C$6)+5)^2)/(22^2))+18*SIN(2*PI()*(Scenario_Data!W20)/70))+Inputs!$C$28*EXP(-(((Scenario_Data!W20)-Inputs!$C$29)^2)/(2*Inputs!$C$31^2))*EXP(-(((Inputs!$C$6)-Inputs!$C$30)^2)/(2*Inputs!$C$32^2))+-Inputs!$C$33*EXP(-(((((Scenario_Data!W20)-Inputs!$C$34)^2)+(((Inputs!$C$6)-Inputs!$C$35)^2))/(2*Inputs!$C$36^2)))+Inputs!$C$37*(0.55*SIN(2*PI()*(Scenario_Data!W20)/Inputs!$C$39)+0.35*COS(2*PI()*(Inputs!$C$6)/Inputs!$C$40)+0.2*SIN(2*PI()*((Scenario_Data!W20)+(Inputs!$C$6))/(0.5*(Inputs!$C$39+Inputs!$C$40))))+Inputs!$C$38*SIN(2*PI()*(Scenario_Data!W20)/Inputs!$C$39)*SIN(2*PI()*(Inputs!$C$6)/Inputs!$C$40)+-Inputs!$C$41*EXP(-(((Inputs!$C$6)-Inputs!$C$43)^2)/(2*Inputs!$C$44^2))*EXP(-(((Scenario_Data!W20)-Inputs!$C$42)^2)/(2*Inputs!$C$45^2))+Inputs!$C$48*(0.7*(0.45*SIN(2*PI()*(((Scenario_Data!W20)/Inputs!$C$49)+Inputs!$C$47*0.137))+0.35*COS(2*PI()*(((Inputs!$C$6)/Inputs!$C$50)+Inputs!$C$47*0.173))+0.2*SIN(2*PI()*((((Scenario_Data!W20)+(Inputs!$C$6))/(0.5*(Inputs!$C$49+Inputs!$C$50)))+Inputs!$C$47*0.097)))+0.3*(2*((SIN(((Scenario_Data!W20)*12.9898+(Inputs!$C$6)*78.233+Inputs!$C$47*37.719))*43758.5453)-INT((SIN(((Scenario_Data!W20)*12.9898+(Inputs!$C$6)*78.233+Inputs!$C$47*37.719))*43758.5453)))-1))))/1000))^2-2*(Inputs!$C$52+(Scenario_Data!E20))*(Inputs!$C$52+((IF(OR(Inputs!$C$27=TRUE,Inputs!$C$27="TRUE",Inputs!$C$27=1),1,0)*(Inputs!$C$51*(115*EXP(-(((Inputs!$C$6)-25)^2)/(4.5^2))+70*EXP(-(((Inputs!$C$6)+38)^2)/(7^2))*(0.55+0.45*SIN(2*PI()*(Scenario_Data!W20)/45))+24*SIN(2*PI()*(Inputs!$C$6)/9+(Scenario_Data!W20)/18)*EXP(-(((Inputs!$C$6)+5)^2)/(22^2))+18*SIN(2*PI()*(Scenario_Data!W20)/70))+Inputs!$C$28*EXP(-(((Scenario_Data!W20)-Inputs!$C$29)^2)/(2*Inputs!$C$31^2))*EXP(-(((Inputs!$C$6)-Inputs!$C$30)^2)/(2*Inputs!$C$32^2))+-Inputs!$C$33*EXP(-(((((Scenario_Data!W20)-Inputs!$C$34)^2)+(((Inputs!$C$6)-Inputs!$C$35)^2))/(2*Inputs!$C$36^2)))+Inputs!$C$37*(0.55*SIN(2*PI()*(Scenario_Data!W20)/Inputs!$C$39)+0.35*COS(2*PI()*(Inputs!$C$6)/Inputs!$C$40)+0.2*SIN(2*PI()*((Scenario_Data!W20)+(Inputs!$C$6))/(0.5*(Inputs!$C$39+Inputs!$C$40))))+Inputs!$C$38*SIN(2*PI()*(Scenario_Data!W20)/Inputs!$C$39)*SIN(2*PI()*(Inputs!$C$6)/Inputs!$C$40)+-Inputs!$C$41*EXP(-(((Inputs!$C$6)-Inputs!$C$43)^2)/(2*Inputs!$C$44^2))*EXP(-(((Scenario_Data!W20)-Inputs!$C$42)^2)/(2*Inputs!$C$45^2))+Inputs!$C$48*(0.7*(0.45*SIN(2*PI()*(((Scenario_Data!W20)/Inputs!$C$49)+Inputs!$C$47*0.137))+0.35*COS(2*PI()*(((Inputs!$C$6)/Inputs!$C$50)+Inputs!$C$47*0.173))+0.2*SIN(2*PI()*((((Scenario_Data!W20)+(Inputs!$C$6))/(0.5*(Inputs!$C$49+Inputs!$C$50)))+Inputs!$C$47*0.097)))+0.3*(2*((SIN(((Scenario_Data!W20)*12.9898+(Inputs!$C$6)*78.233+Inputs!$C$47*37.719))*43758.5453)-INT((SIN(((Scenario_Data!W20)*12.9898+(Inputs!$C$6)*78.233+Inputs!$C$47*37.719))*43758.5453)))-1))))/1000))*COS(SQRT((Scenario_Data!W20)^2+Inputs!$C$6^2)/Inputs!$C$52))*1000)/Inputs!$C$21*1000000</f>
        <v/>
      </c>
    </row>
    <row r="21">
      <c r="A21">
        <f>Chart_Data!K21</f>
        <v/>
      </c>
      <c r="B21">
        <f>Chart_Data!N21-Chart_Data!L21</f>
        <v/>
      </c>
      <c r="D21">
        <f>Chart_Data!G21</f>
        <v/>
      </c>
      <c r="E21">
        <f>Chart_Data!H21</f>
        <v/>
      </c>
      <c r="F21">
        <f>Chart_Data!I21</f>
        <v/>
      </c>
      <c r="G21">
        <f>Chart_Data!J21</f>
        <v/>
      </c>
      <c r="I21">
        <f>Scenario_Data!A21</f>
        <v/>
      </c>
      <c r="J21">
        <f>Scenario_Data!H21-(((SQRT((Inputs!$C$52+(Inputs!$H$6))^2+Inputs!$C$52^2-2*(Inputs!$C$52+(Inputs!$H$6))*Inputs!$C$52*COS(SQRT((Scenario_Data!T21)^2+Inputs!$C$6^2)/Inputs!$C$52)))-(Inputs!$H$6))*1000/Inputs!$C$12)</f>
        <v/>
      </c>
      <c r="K21">
        <f>Scenario_Data!I21-(((SQRT((Inputs!$C$52+(Inputs!$H$7))^2+Inputs!$C$52^2-2*(Inputs!$C$52+(Inputs!$H$7))*Inputs!$C$52*COS(SQRT((Scenario_Data!U21)^2+Inputs!$C$6^2)/Inputs!$C$52)))-(Inputs!$H$7))*1000/Inputs!$C$12)</f>
        <v/>
      </c>
      <c r="L21">
        <f>Scenario_Data!J21-(((SQRT((Inputs!$C$52+(Inputs!$H$8))^2+Inputs!$C$52^2-2*(Inputs!$C$52+(Inputs!$H$8))*Inputs!$C$52*COS(SQRT((Scenario_Data!V21)^2+Inputs!$C$6^2)/Inputs!$C$52)))-(Inputs!$H$8))*1000/Inputs!$C$12)</f>
        <v/>
      </c>
      <c r="M21">
        <f>Scenario_Data!K21-(((SQRT((Inputs!$C$52+(Inputs!$H$9))^2+Inputs!$C$52^2-2*(Inputs!$C$52+(Inputs!$H$9))*Inputs!$C$52*COS(SQRT((Scenario_Data!W21)^2+Inputs!$C$6^2)/Inputs!$C$52)))-(Inputs!$H$9))*1000/Inputs!$C$12)</f>
        <v/>
      </c>
      <c r="O21">
        <f>Scenario_Data!T21</f>
        <v/>
      </c>
      <c r="P21">
        <f>2*(Scenario_Data!B21*1000)/Inputs!$C$21*1000000</f>
        <v/>
      </c>
      <c r="Q21">
        <f>Scenario_Data!U21</f>
        <v/>
      </c>
      <c r="R21">
        <f>2*(Scenario_Data!C21*1000)/Inputs!$C$21*1000000</f>
        <v/>
      </c>
      <c r="S21">
        <f>Scenario_Data!V21</f>
        <v/>
      </c>
      <c r="T21">
        <f>2*(Scenario_Data!D21*1000)/Inputs!$C$21*1000000</f>
        <v/>
      </c>
      <c r="U21">
        <f>Scenario_Data!W21</f>
        <v/>
      </c>
      <c r="V21">
        <f>2*(Scenario_Data!E21*1000)/Inputs!$C$21*1000000</f>
        <v/>
      </c>
      <c r="X21">
        <f>Scenario_Data!T21</f>
        <v/>
      </c>
      <c r="Y21">
        <f>2*((Scenario_Data!B21*1000)-(IF(OR(Inputs!$C$27=TRUE,Inputs!$C$27="TRUE",Inputs!$C$27=1),1,0)*(Inputs!$C$51*(115*EXP(-(((0)-25)^2)/(4.5^2))+70*EXP(-(((0)+38)^2)/(7^2))*(0.55+0.45*SIN(2*PI()*(Scenario_Data!T21)/45))+24*SIN(2*PI()*(0)/9+(Scenario_Data!T21)/18)*EXP(-(((0)+5)^2)/(22^2))+18*SIN(2*PI()*(Scenario_Data!T21)/70))+Inputs!$C$28*EXP(-(((Scenario_Data!T21)-Inputs!$C$29)^2)/(2*Inputs!$C$31^2))*EXP(-(((0)-Inputs!$C$30)^2)/(2*Inputs!$C$32^2))+-Inputs!$C$33*EXP(-(((((Scenario_Data!T21)-Inputs!$C$34)^2)+(((0)-Inputs!$C$35)^2))/(2*Inputs!$C$36^2)))+Inputs!$C$37*(0.55*SIN(2*PI()*(Scenario_Data!T21)/Inputs!$C$39)+0.35*COS(2*PI()*(0)/Inputs!$C$40)+0.2*SIN(2*PI()*((Scenario_Data!T21)+(0))/(0.5*(Inputs!$C$39+Inputs!$C$40))))+Inputs!$C$38*SIN(2*PI()*(Scenario_Data!T21)/Inputs!$C$39)*SIN(2*PI()*(0)/Inputs!$C$40)+-Inputs!$C$41*EXP(-(((0)-Inputs!$C$43)^2)/(2*Inputs!$C$44^2))*EXP(-(((Scenario_Data!T21)-Inputs!$C$42)^2)/(2*Inputs!$C$45^2))+Inputs!$C$48*(0.7*(0.45*SIN(2*PI()*(((Scenario_Data!T21)/Inputs!$C$49)+Inputs!$C$47*0.137))+0.35*COS(2*PI()*(((0)/Inputs!$C$50)+Inputs!$C$47*0.173))+0.2*SIN(2*PI()*((((Scenario_Data!T21)+(0))/(0.5*(Inputs!$C$49+Inputs!$C$50)))+Inputs!$C$47*0.097)))+0.3*(2*((SIN(((Scenario_Data!T21)*12.9898+(0)*78.233+Inputs!$C$47*37.719))*43758.5453)-INT((SIN(((Scenario_Data!T21)*12.9898+(0)*78.233+Inputs!$C$47*37.719))*43758.5453)))-1)))))/Inputs!$C$21*1000000</f>
        <v/>
      </c>
      <c r="Z21">
        <f>Scenario_Data!U21</f>
        <v/>
      </c>
      <c r="AA21">
        <f>2*((Scenario_Data!C21*1000)-(IF(OR(Inputs!$C$27=TRUE,Inputs!$C$27="TRUE",Inputs!$C$27=1),1,0)*(Inputs!$C$51*(115*EXP(-(((0)-25)^2)/(4.5^2))+70*EXP(-(((0)+38)^2)/(7^2))*(0.55+0.45*SIN(2*PI()*(Scenario_Data!U21)/45))+24*SIN(2*PI()*(0)/9+(Scenario_Data!U21)/18)*EXP(-(((0)+5)^2)/(22^2))+18*SIN(2*PI()*(Scenario_Data!U21)/70))+Inputs!$C$28*EXP(-(((Scenario_Data!U21)-Inputs!$C$29)^2)/(2*Inputs!$C$31^2))*EXP(-(((0)-Inputs!$C$30)^2)/(2*Inputs!$C$32^2))+-Inputs!$C$33*EXP(-(((((Scenario_Data!U21)-Inputs!$C$34)^2)+(((0)-Inputs!$C$35)^2))/(2*Inputs!$C$36^2)))+Inputs!$C$37*(0.55*SIN(2*PI()*(Scenario_Data!U21)/Inputs!$C$39)+0.35*COS(2*PI()*(0)/Inputs!$C$40)+0.2*SIN(2*PI()*((Scenario_Data!U21)+(0))/(0.5*(Inputs!$C$39+Inputs!$C$40))))+Inputs!$C$38*SIN(2*PI()*(Scenario_Data!U21)/Inputs!$C$39)*SIN(2*PI()*(0)/Inputs!$C$40)+-Inputs!$C$41*EXP(-(((0)-Inputs!$C$43)^2)/(2*Inputs!$C$44^2))*EXP(-(((Scenario_Data!U21)-Inputs!$C$42)^2)/(2*Inputs!$C$45^2))+Inputs!$C$48*(0.7*(0.45*SIN(2*PI()*(((Scenario_Data!U21)/Inputs!$C$49)+Inputs!$C$47*0.137))+0.35*COS(2*PI()*(((0)/Inputs!$C$50)+Inputs!$C$47*0.173))+0.2*SIN(2*PI()*((((Scenario_Data!U21)+(0))/(0.5*(Inputs!$C$49+Inputs!$C$50)))+Inputs!$C$47*0.097)))+0.3*(2*((SIN(((Scenario_Data!U21)*12.9898+(0)*78.233+Inputs!$C$47*37.719))*43758.5453)-INT((SIN(((Scenario_Data!U21)*12.9898+(0)*78.233+Inputs!$C$47*37.719))*43758.5453)))-1)))))/Inputs!$C$21*1000000</f>
        <v/>
      </c>
      <c r="AB21">
        <f>Scenario_Data!V21</f>
        <v/>
      </c>
      <c r="AC21">
        <f>2*((Scenario_Data!D21*1000)-(IF(OR(Inputs!$C$27=TRUE,Inputs!$C$27="TRUE",Inputs!$C$27=1),1,0)*(Inputs!$C$51*(115*EXP(-(((0)-25)^2)/(4.5^2))+70*EXP(-(((0)+38)^2)/(7^2))*(0.55+0.45*SIN(2*PI()*(Scenario_Data!V21)/45))+24*SIN(2*PI()*(0)/9+(Scenario_Data!V21)/18)*EXP(-(((0)+5)^2)/(22^2))+18*SIN(2*PI()*(Scenario_Data!V21)/70))+Inputs!$C$28*EXP(-(((Scenario_Data!V21)-Inputs!$C$29)^2)/(2*Inputs!$C$31^2))*EXP(-(((0)-Inputs!$C$30)^2)/(2*Inputs!$C$32^2))+-Inputs!$C$33*EXP(-(((((Scenario_Data!V21)-Inputs!$C$34)^2)+(((0)-Inputs!$C$35)^2))/(2*Inputs!$C$36^2)))+Inputs!$C$37*(0.55*SIN(2*PI()*(Scenario_Data!V21)/Inputs!$C$39)+0.35*COS(2*PI()*(0)/Inputs!$C$40)+0.2*SIN(2*PI()*((Scenario_Data!V21)+(0))/(0.5*(Inputs!$C$39+Inputs!$C$40))))+Inputs!$C$38*SIN(2*PI()*(Scenario_Data!V21)/Inputs!$C$39)*SIN(2*PI()*(0)/Inputs!$C$40)+-Inputs!$C$41*EXP(-(((0)-Inputs!$C$43)^2)/(2*Inputs!$C$44^2))*EXP(-(((Scenario_Data!V21)-Inputs!$C$42)^2)/(2*Inputs!$C$45^2))+Inputs!$C$48*(0.7*(0.45*SIN(2*PI()*(((Scenario_Data!V21)/Inputs!$C$49)+Inputs!$C$47*0.137))+0.35*COS(2*PI()*(((0)/Inputs!$C$50)+Inputs!$C$47*0.173))+0.2*SIN(2*PI()*((((Scenario_Data!V21)+(0))/(0.5*(Inputs!$C$49+Inputs!$C$50)))+Inputs!$C$47*0.097)))+0.3*(2*((SIN(((Scenario_Data!V21)*12.9898+(0)*78.233+Inputs!$C$47*37.719))*43758.5453)-INT((SIN(((Scenario_Data!V21)*12.9898+(0)*78.233+Inputs!$C$47*37.719))*43758.5453)))-1)))))/Inputs!$C$21*1000000</f>
        <v/>
      </c>
      <c r="AD21">
        <f>Scenario_Data!W21</f>
        <v/>
      </c>
      <c r="AE21">
        <f>2*((Scenario_Data!E21*1000)-(IF(OR(Inputs!$C$27=TRUE,Inputs!$C$27="TRUE",Inputs!$C$27=1),1,0)*(Inputs!$C$51*(115*EXP(-(((0)-25)^2)/(4.5^2))+70*EXP(-(((0)+38)^2)/(7^2))*(0.55+0.45*SIN(2*PI()*(Scenario_Data!W21)/45))+24*SIN(2*PI()*(0)/9+(Scenario_Data!W21)/18)*EXP(-(((0)+5)^2)/(22^2))+18*SIN(2*PI()*(Scenario_Data!W21)/70))+Inputs!$C$28*EXP(-(((Scenario_Data!W21)-Inputs!$C$29)^2)/(2*Inputs!$C$31^2))*EXP(-(((0)-Inputs!$C$30)^2)/(2*Inputs!$C$32^2))+-Inputs!$C$33*EXP(-(((((Scenario_Data!W21)-Inputs!$C$34)^2)+(((0)-Inputs!$C$35)^2))/(2*Inputs!$C$36^2)))+Inputs!$C$37*(0.55*SIN(2*PI()*(Scenario_Data!W21)/Inputs!$C$39)+0.35*COS(2*PI()*(0)/Inputs!$C$40)+0.2*SIN(2*PI()*((Scenario_Data!W21)+(0))/(0.5*(Inputs!$C$39+Inputs!$C$40))))+Inputs!$C$38*SIN(2*PI()*(Scenario_Data!W21)/Inputs!$C$39)*SIN(2*PI()*(0)/Inputs!$C$40)+-Inputs!$C$41*EXP(-(((0)-Inputs!$C$43)^2)/(2*Inputs!$C$44^2))*EXP(-(((Scenario_Data!W21)-Inputs!$C$42)^2)/(2*Inputs!$C$45^2))+Inputs!$C$48*(0.7*(0.45*SIN(2*PI()*(((Scenario_Data!W21)/Inputs!$C$49)+Inputs!$C$47*0.137))+0.35*COS(2*PI()*(((0)/Inputs!$C$50)+Inputs!$C$47*0.173))+0.2*SIN(2*PI()*((((Scenario_Data!W21)+(0))/(0.5*(Inputs!$C$49+Inputs!$C$50)))+Inputs!$C$47*0.097)))+0.3*(2*((SIN(((Scenario_Data!W21)*12.9898+(0)*78.233+Inputs!$C$47*37.719))*43758.5453)-INT((SIN(((Scenario_Data!W21)*12.9898+(0)*78.233+Inputs!$C$47*37.719))*43758.5453)))-1)))))/Inputs!$C$21*1000000</f>
        <v/>
      </c>
      <c r="AG21">
        <f>Scenario_Data!T21</f>
        <v/>
      </c>
      <c r="AH21">
        <f>2*(SQRT((Inputs!$C$52+(Scenario_Data!B21))^2+Inputs!$C$52^2-2*(Inputs!$C$52+(Scenario_Data!B21))*Inputs!$C$52*COS(SQRT((Scenario_Data!T21)^2+Inputs!$C$6^2)/Inputs!$C$52))*1000)/Inputs!$C$21*1000000</f>
        <v/>
      </c>
      <c r="AI21">
        <f>Scenario_Data!U21</f>
        <v/>
      </c>
      <c r="AJ21">
        <f>2*(SQRT((Inputs!$C$52+(Scenario_Data!C21))^2+Inputs!$C$52^2-2*(Inputs!$C$52+(Scenario_Data!C21))*Inputs!$C$52*COS(SQRT((Scenario_Data!U21)^2+Inputs!$C$6^2)/Inputs!$C$52))*1000)/Inputs!$C$21*1000000</f>
        <v/>
      </c>
      <c r="AK21">
        <f>Scenario_Data!V21</f>
        <v/>
      </c>
      <c r="AL21">
        <f>2*(SQRT((Inputs!$C$52+(Scenario_Data!D21))^2+Inputs!$C$52^2-2*(Inputs!$C$52+(Scenario_Data!D21))*Inputs!$C$52*COS(SQRT((Scenario_Data!V21)^2+Inputs!$C$6^2)/Inputs!$C$52))*1000)/Inputs!$C$21*1000000</f>
        <v/>
      </c>
      <c r="AM21">
        <f>Scenario_Data!W21</f>
        <v/>
      </c>
      <c r="AN21">
        <f>2*(SQRT((Inputs!$C$52+(Scenario_Data!E21))^2+Inputs!$C$52^2-2*(Inputs!$C$52+(Scenario_Data!E21))*Inputs!$C$52*COS(SQRT((Scenario_Data!W21)^2+Inputs!$C$6^2)/Inputs!$C$52))*1000)/Inputs!$C$21*1000000</f>
        <v/>
      </c>
      <c r="AP21">
        <f>Scenario_Data!T21</f>
        <v/>
      </c>
      <c r="AQ21">
        <f>2*(SQRT((Inputs!$C$52+(Scenario_Data!B21))^2+(Inputs!$C$52+((IF(OR(Inputs!$C$27=TRUE,Inputs!$C$27="TRUE",Inputs!$C$27=1),1,0)*(Inputs!$C$51*(115*EXP(-(((Inputs!$C$6)-25)^2)/(4.5^2))+70*EXP(-(((Inputs!$C$6)+38)^2)/(7^2))*(0.55+0.45*SIN(2*PI()*(Scenario_Data!T21)/45))+24*SIN(2*PI()*(Inputs!$C$6)/9+(Scenario_Data!T21)/18)*EXP(-(((Inputs!$C$6)+5)^2)/(22^2))+18*SIN(2*PI()*(Scenario_Data!T21)/70))+Inputs!$C$28*EXP(-(((Scenario_Data!T21)-Inputs!$C$29)^2)/(2*Inputs!$C$31^2))*EXP(-(((Inputs!$C$6)-Inputs!$C$30)^2)/(2*Inputs!$C$32^2))+-Inputs!$C$33*EXP(-(((((Scenario_Data!T21)-Inputs!$C$34)^2)+(((Inputs!$C$6)-Inputs!$C$35)^2))/(2*Inputs!$C$36^2)))+Inputs!$C$37*(0.55*SIN(2*PI()*(Scenario_Data!T21)/Inputs!$C$39)+0.35*COS(2*PI()*(Inputs!$C$6)/Inputs!$C$40)+0.2*SIN(2*PI()*((Scenario_Data!T21)+(Inputs!$C$6))/(0.5*(Inputs!$C$39+Inputs!$C$40))))+Inputs!$C$38*SIN(2*PI()*(Scenario_Data!T21)/Inputs!$C$39)*SIN(2*PI()*(Inputs!$C$6)/Inputs!$C$40)+-Inputs!$C$41*EXP(-(((Inputs!$C$6)-Inputs!$C$43)^2)/(2*Inputs!$C$44^2))*EXP(-(((Scenario_Data!T21)-Inputs!$C$42)^2)/(2*Inputs!$C$45^2))+Inputs!$C$48*(0.7*(0.45*SIN(2*PI()*(((Scenario_Data!T21)/Inputs!$C$49)+Inputs!$C$47*0.137))+0.35*COS(2*PI()*(((Inputs!$C$6)/Inputs!$C$50)+Inputs!$C$47*0.173))+0.2*SIN(2*PI()*((((Scenario_Data!T21)+(Inputs!$C$6))/(0.5*(Inputs!$C$49+Inputs!$C$50)))+Inputs!$C$47*0.097)))+0.3*(2*((SIN(((Scenario_Data!T21)*12.9898+(Inputs!$C$6)*78.233+Inputs!$C$47*37.719))*43758.5453)-INT((SIN(((Scenario_Data!T21)*12.9898+(Inputs!$C$6)*78.233+Inputs!$C$47*37.719))*43758.5453)))-1))))/1000))^2-2*(Inputs!$C$52+(Scenario_Data!B21))*(Inputs!$C$52+((IF(OR(Inputs!$C$27=TRUE,Inputs!$C$27="TRUE",Inputs!$C$27=1),1,0)*(Inputs!$C$51*(115*EXP(-(((Inputs!$C$6)-25)^2)/(4.5^2))+70*EXP(-(((Inputs!$C$6)+38)^2)/(7^2))*(0.55+0.45*SIN(2*PI()*(Scenario_Data!T21)/45))+24*SIN(2*PI()*(Inputs!$C$6)/9+(Scenario_Data!T21)/18)*EXP(-(((Inputs!$C$6)+5)^2)/(22^2))+18*SIN(2*PI()*(Scenario_Data!T21)/70))+Inputs!$C$28*EXP(-(((Scenario_Data!T21)-Inputs!$C$29)^2)/(2*Inputs!$C$31^2))*EXP(-(((Inputs!$C$6)-Inputs!$C$30)^2)/(2*Inputs!$C$32^2))+-Inputs!$C$33*EXP(-(((((Scenario_Data!T21)-Inputs!$C$34)^2)+(((Inputs!$C$6)-Inputs!$C$35)^2))/(2*Inputs!$C$36^2)))+Inputs!$C$37*(0.55*SIN(2*PI()*(Scenario_Data!T21)/Inputs!$C$39)+0.35*COS(2*PI()*(Inputs!$C$6)/Inputs!$C$40)+0.2*SIN(2*PI()*((Scenario_Data!T21)+(Inputs!$C$6))/(0.5*(Inputs!$C$39+Inputs!$C$40))))+Inputs!$C$38*SIN(2*PI()*(Scenario_Data!T21)/Inputs!$C$39)*SIN(2*PI()*(Inputs!$C$6)/Inputs!$C$40)+-Inputs!$C$41*EXP(-(((Inputs!$C$6)-Inputs!$C$43)^2)/(2*Inputs!$C$44^2))*EXP(-(((Scenario_Data!T21)-Inputs!$C$42)^2)/(2*Inputs!$C$45^2))+Inputs!$C$48*(0.7*(0.45*SIN(2*PI()*(((Scenario_Data!T21)/Inputs!$C$49)+Inputs!$C$47*0.137))+0.35*COS(2*PI()*(((Inputs!$C$6)/Inputs!$C$50)+Inputs!$C$47*0.173))+0.2*SIN(2*PI()*((((Scenario_Data!T21)+(Inputs!$C$6))/(0.5*(Inputs!$C$49+Inputs!$C$50)))+Inputs!$C$47*0.097)))+0.3*(2*((SIN(((Scenario_Data!T21)*12.9898+(Inputs!$C$6)*78.233+Inputs!$C$47*37.719))*43758.5453)-INT((SIN(((Scenario_Data!T21)*12.9898+(Inputs!$C$6)*78.233+Inputs!$C$47*37.719))*43758.5453)))-1))))/1000))*COS(SQRT((Scenario_Data!T21)^2+Inputs!$C$6^2)/Inputs!$C$52))*1000)/Inputs!$C$21*1000000</f>
        <v/>
      </c>
      <c r="AR21">
        <f>Scenario_Data!U21</f>
        <v/>
      </c>
      <c r="AS21">
        <f>2*(SQRT((Inputs!$C$52+(Scenario_Data!C21))^2+(Inputs!$C$52+((IF(OR(Inputs!$C$27=TRUE,Inputs!$C$27="TRUE",Inputs!$C$27=1),1,0)*(Inputs!$C$51*(115*EXP(-(((Inputs!$C$6)-25)^2)/(4.5^2))+70*EXP(-(((Inputs!$C$6)+38)^2)/(7^2))*(0.55+0.45*SIN(2*PI()*(Scenario_Data!U21)/45))+24*SIN(2*PI()*(Inputs!$C$6)/9+(Scenario_Data!U21)/18)*EXP(-(((Inputs!$C$6)+5)^2)/(22^2))+18*SIN(2*PI()*(Scenario_Data!U21)/70))+Inputs!$C$28*EXP(-(((Scenario_Data!U21)-Inputs!$C$29)^2)/(2*Inputs!$C$31^2))*EXP(-(((Inputs!$C$6)-Inputs!$C$30)^2)/(2*Inputs!$C$32^2))+-Inputs!$C$33*EXP(-(((((Scenario_Data!U21)-Inputs!$C$34)^2)+(((Inputs!$C$6)-Inputs!$C$35)^2))/(2*Inputs!$C$36^2)))+Inputs!$C$37*(0.55*SIN(2*PI()*(Scenario_Data!U21)/Inputs!$C$39)+0.35*COS(2*PI()*(Inputs!$C$6)/Inputs!$C$40)+0.2*SIN(2*PI()*((Scenario_Data!U21)+(Inputs!$C$6))/(0.5*(Inputs!$C$39+Inputs!$C$40))))+Inputs!$C$38*SIN(2*PI()*(Scenario_Data!U21)/Inputs!$C$39)*SIN(2*PI()*(Inputs!$C$6)/Inputs!$C$40)+-Inputs!$C$41*EXP(-(((Inputs!$C$6)-Inputs!$C$43)^2)/(2*Inputs!$C$44^2))*EXP(-(((Scenario_Data!U21)-Inputs!$C$42)^2)/(2*Inputs!$C$45^2))+Inputs!$C$48*(0.7*(0.45*SIN(2*PI()*(((Scenario_Data!U21)/Inputs!$C$49)+Inputs!$C$47*0.137))+0.35*COS(2*PI()*(((Inputs!$C$6)/Inputs!$C$50)+Inputs!$C$47*0.173))+0.2*SIN(2*PI()*((((Scenario_Data!U21)+(Inputs!$C$6))/(0.5*(Inputs!$C$49+Inputs!$C$50)))+Inputs!$C$47*0.097)))+0.3*(2*((SIN(((Scenario_Data!U21)*12.9898+(Inputs!$C$6)*78.233+Inputs!$C$47*37.719))*43758.5453)-INT((SIN(((Scenario_Data!U21)*12.9898+(Inputs!$C$6)*78.233+Inputs!$C$47*37.719))*43758.5453)))-1))))/1000))^2-2*(Inputs!$C$52+(Scenario_Data!C21))*(Inputs!$C$52+((IF(OR(Inputs!$C$27=TRUE,Inputs!$C$27="TRUE",Inputs!$C$27=1),1,0)*(Inputs!$C$51*(115*EXP(-(((Inputs!$C$6)-25)^2)/(4.5^2))+70*EXP(-(((Inputs!$C$6)+38)^2)/(7^2))*(0.55+0.45*SIN(2*PI()*(Scenario_Data!U21)/45))+24*SIN(2*PI()*(Inputs!$C$6)/9+(Scenario_Data!U21)/18)*EXP(-(((Inputs!$C$6)+5)^2)/(22^2))+18*SIN(2*PI()*(Scenario_Data!U21)/70))+Inputs!$C$28*EXP(-(((Scenario_Data!U21)-Inputs!$C$29)^2)/(2*Inputs!$C$31^2))*EXP(-(((Inputs!$C$6)-Inputs!$C$30)^2)/(2*Inputs!$C$32^2))+-Inputs!$C$33*EXP(-(((((Scenario_Data!U21)-Inputs!$C$34)^2)+(((Inputs!$C$6)-Inputs!$C$35)^2))/(2*Inputs!$C$36^2)))+Inputs!$C$37*(0.55*SIN(2*PI()*(Scenario_Data!U21)/Inputs!$C$39)+0.35*COS(2*PI()*(Inputs!$C$6)/Inputs!$C$40)+0.2*SIN(2*PI()*((Scenario_Data!U21)+(Inputs!$C$6))/(0.5*(Inputs!$C$39+Inputs!$C$40))))+Inputs!$C$38*SIN(2*PI()*(Scenario_Data!U21)/Inputs!$C$39)*SIN(2*PI()*(Inputs!$C$6)/Inputs!$C$40)+-Inputs!$C$41*EXP(-(((Inputs!$C$6)-Inputs!$C$43)^2)/(2*Inputs!$C$44^2))*EXP(-(((Scenario_Data!U21)-Inputs!$C$42)^2)/(2*Inputs!$C$45^2))+Inputs!$C$48*(0.7*(0.45*SIN(2*PI()*(((Scenario_Data!U21)/Inputs!$C$49)+Inputs!$C$47*0.137))+0.35*COS(2*PI()*(((Inputs!$C$6)/Inputs!$C$50)+Inputs!$C$47*0.173))+0.2*SIN(2*PI()*((((Scenario_Data!U21)+(Inputs!$C$6))/(0.5*(Inputs!$C$49+Inputs!$C$50)))+Inputs!$C$47*0.097)))+0.3*(2*((SIN(((Scenario_Data!U21)*12.9898+(Inputs!$C$6)*78.233+Inputs!$C$47*37.719))*43758.5453)-INT((SIN(((Scenario_Data!U21)*12.9898+(Inputs!$C$6)*78.233+Inputs!$C$47*37.719))*43758.5453)))-1))))/1000))*COS(SQRT((Scenario_Data!U21)^2+Inputs!$C$6^2)/Inputs!$C$52))*1000)/Inputs!$C$21*1000000</f>
        <v/>
      </c>
      <c r="AT21">
        <f>Scenario_Data!V21</f>
        <v/>
      </c>
      <c r="AU21">
        <f>2*(SQRT((Inputs!$C$52+(Scenario_Data!D21))^2+(Inputs!$C$52+((IF(OR(Inputs!$C$27=TRUE,Inputs!$C$27="TRUE",Inputs!$C$27=1),1,0)*(Inputs!$C$51*(115*EXP(-(((Inputs!$C$6)-25)^2)/(4.5^2))+70*EXP(-(((Inputs!$C$6)+38)^2)/(7^2))*(0.55+0.45*SIN(2*PI()*(Scenario_Data!V21)/45))+24*SIN(2*PI()*(Inputs!$C$6)/9+(Scenario_Data!V21)/18)*EXP(-(((Inputs!$C$6)+5)^2)/(22^2))+18*SIN(2*PI()*(Scenario_Data!V21)/70))+Inputs!$C$28*EXP(-(((Scenario_Data!V21)-Inputs!$C$29)^2)/(2*Inputs!$C$31^2))*EXP(-(((Inputs!$C$6)-Inputs!$C$30)^2)/(2*Inputs!$C$32^2))+-Inputs!$C$33*EXP(-(((((Scenario_Data!V21)-Inputs!$C$34)^2)+(((Inputs!$C$6)-Inputs!$C$35)^2))/(2*Inputs!$C$36^2)))+Inputs!$C$37*(0.55*SIN(2*PI()*(Scenario_Data!V21)/Inputs!$C$39)+0.35*COS(2*PI()*(Inputs!$C$6)/Inputs!$C$40)+0.2*SIN(2*PI()*((Scenario_Data!V21)+(Inputs!$C$6))/(0.5*(Inputs!$C$39+Inputs!$C$40))))+Inputs!$C$38*SIN(2*PI()*(Scenario_Data!V21)/Inputs!$C$39)*SIN(2*PI()*(Inputs!$C$6)/Inputs!$C$40)+-Inputs!$C$41*EXP(-(((Inputs!$C$6)-Inputs!$C$43)^2)/(2*Inputs!$C$44^2))*EXP(-(((Scenario_Data!V21)-Inputs!$C$42)^2)/(2*Inputs!$C$45^2))+Inputs!$C$48*(0.7*(0.45*SIN(2*PI()*(((Scenario_Data!V21)/Inputs!$C$49)+Inputs!$C$47*0.137))+0.35*COS(2*PI()*(((Inputs!$C$6)/Inputs!$C$50)+Inputs!$C$47*0.173))+0.2*SIN(2*PI()*((((Scenario_Data!V21)+(Inputs!$C$6))/(0.5*(Inputs!$C$49+Inputs!$C$50)))+Inputs!$C$47*0.097)))+0.3*(2*((SIN(((Scenario_Data!V21)*12.9898+(Inputs!$C$6)*78.233+Inputs!$C$47*37.719))*43758.5453)-INT((SIN(((Scenario_Data!V21)*12.9898+(Inputs!$C$6)*78.233+Inputs!$C$47*37.719))*43758.5453)))-1))))/1000))^2-2*(Inputs!$C$52+(Scenario_Data!D21))*(Inputs!$C$52+((IF(OR(Inputs!$C$27=TRUE,Inputs!$C$27="TRUE",Inputs!$C$27=1),1,0)*(Inputs!$C$51*(115*EXP(-(((Inputs!$C$6)-25)^2)/(4.5^2))+70*EXP(-(((Inputs!$C$6)+38)^2)/(7^2))*(0.55+0.45*SIN(2*PI()*(Scenario_Data!V21)/45))+24*SIN(2*PI()*(Inputs!$C$6)/9+(Scenario_Data!V21)/18)*EXP(-(((Inputs!$C$6)+5)^2)/(22^2))+18*SIN(2*PI()*(Scenario_Data!V21)/70))+Inputs!$C$28*EXP(-(((Scenario_Data!V21)-Inputs!$C$29)^2)/(2*Inputs!$C$31^2))*EXP(-(((Inputs!$C$6)-Inputs!$C$30)^2)/(2*Inputs!$C$32^2))+-Inputs!$C$33*EXP(-(((((Scenario_Data!V21)-Inputs!$C$34)^2)+(((Inputs!$C$6)-Inputs!$C$35)^2))/(2*Inputs!$C$36^2)))+Inputs!$C$37*(0.55*SIN(2*PI()*(Scenario_Data!V21)/Inputs!$C$39)+0.35*COS(2*PI()*(Inputs!$C$6)/Inputs!$C$40)+0.2*SIN(2*PI()*((Scenario_Data!V21)+(Inputs!$C$6))/(0.5*(Inputs!$C$39+Inputs!$C$40))))+Inputs!$C$38*SIN(2*PI()*(Scenario_Data!V21)/Inputs!$C$39)*SIN(2*PI()*(Inputs!$C$6)/Inputs!$C$40)+-Inputs!$C$41*EXP(-(((Inputs!$C$6)-Inputs!$C$43)^2)/(2*Inputs!$C$44^2))*EXP(-(((Scenario_Data!V21)-Inputs!$C$42)^2)/(2*Inputs!$C$45^2))+Inputs!$C$48*(0.7*(0.45*SIN(2*PI()*(((Scenario_Data!V21)/Inputs!$C$49)+Inputs!$C$47*0.137))+0.35*COS(2*PI()*(((Inputs!$C$6)/Inputs!$C$50)+Inputs!$C$47*0.173))+0.2*SIN(2*PI()*((((Scenario_Data!V21)+(Inputs!$C$6))/(0.5*(Inputs!$C$49+Inputs!$C$50)))+Inputs!$C$47*0.097)))+0.3*(2*((SIN(((Scenario_Data!V21)*12.9898+(Inputs!$C$6)*78.233+Inputs!$C$47*37.719))*43758.5453)-INT((SIN(((Scenario_Data!V21)*12.9898+(Inputs!$C$6)*78.233+Inputs!$C$47*37.719))*43758.5453)))-1))))/1000))*COS(SQRT((Scenario_Data!V21)^2+Inputs!$C$6^2)/Inputs!$C$52))*1000)/Inputs!$C$21*1000000</f>
        <v/>
      </c>
      <c r="AV21">
        <f>Scenario_Data!W21</f>
        <v/>
      </c>
      <c r="AW21">
        <f>2*(SQRT((Inputs!$C$52+(Scenario_Data!E21))^2+(Inputs!$C$52+((IF(OR(Inputs!$C$27=TRUE,Inputs!$C$27="TRUE",Inputs!$C$27=1),1,0)*(Inputs!$C$51*(115*EXP(-(((Inputs!$C$6)-25)^2)/(4.5^2))+70*EXP(-(((Inputs!$C$6)+38)^2)/(7^2))*(0.55+0.45*SIN(2*PI()*(Scenario_Data!W21)/45))+24*SIN(2*PI()*(Inputs!$C$6)/9+(Scenario_Data!W21)/18)*EXP(-(((Inputs!$C$6)+5)^2)/(22^2))+18*SIN(2*PI()*(Scenario_Data!W21)/70))+Inputs!$C$28*EXP(-(((Scenario_Data!W21)-Inputs!$C$29)^2)/(2*Inputs!$C$31^2))*EXP(-(((Inputs!$C$6)-Inputs!$C$30)^2)/(2*Inputs!$C$32^2))+-Inputs!$C$33*EXP(-(((((Scenario_Data!W21)-Inputs!$C$34)^2)+(((Inputs!$C$6)-Inputs!$C$35)^2))/(2*Inputs!$C$36^2)))+Inputs!$C$37*(0.55*SIN(2*PI()*(Scenario_Data!W21)/Inputs!$C$39)+0.35*COS(2*PI()*(Inputs!$C$6)/Inputs!$C$40)+0.2*SIN(2*PI()*((Scenario_Data!W21)+(Inputs!$C$6))/(0.5*(Inputs!$C$39+Inputs!$C$40))))+Inputs!$C$38*SIN(2*PI()*(Scenario_Data!W21)/Inputs!$C$39)*SIN(2*PI()*(Inputs!$C$6)/Inputs!$C$40)+-Inputs!$C$41*EXP(-(((Inputs!$C$6)-Inputs!$C$43)^2)/(2*Inputs!$C$44^2))*EXP(-(((Scenario_Data!W21)-Inputs!$C$42)^2)/(2*Inputs!$C$45^2))+Inputs!$C$48*(0.7*(0.45*SIN(2*PI()*(((Scenario_Data!W21)/Inputs!$C$49)+Inputs!$C$47*0.137))+0.35*COS(2*PI()*(((Inputs!$C$6)/Inputs!$C$50)+Inputs!$C$47*0.173))+0.2*SIN(2*PI()*((((Scenario_Data!W21)+(Inputs!$C$6))/(0.5*(Inputs!$C$49+Inputs!$C$50)))+Inputs!$C$47*0.097)))+0.3*(2*((SIN(((Scenario_Data!W21)*12.9898+(Inputs!$C$6)*78.233+Inputs!$C$47*37.719))*43758.5453)-INT((SIN(((Scenario_Data!W21)*12.9898+(Inputs!$C$6)*78.233+Inputs!$C$47*37.719))*43758.5453)))-1))))/1000))^2-2*(Inputs!$C$52+(Scenario_Data!E21))*(Inputs!$C$52+((IF(OR(Inputs!$C$27=TRUE,Inputs!$C$27="TRUE",Inputs!$C$27=1),1,0)*(Inputs!$C$51*(115*EXP(-(((Inputs!$C$6)-25)^2)/(4.5^2))+70*EXP(-(((Inputs!$C$6)+38)^2)/(7^2))*(0.55+0.45*SIN(2*PI()*(Scenario_Data!W21)/45))+24*SIN(2*PI()*(Inputs!$C$6)/9+(Scenario_Data!W21)/18)*EXP(-(((Inputs!$C$6)+5)^2)/(22^2))+18*SIN(2*PI()*(Scenario_Data!W21)/70))+Inputs!$C$28*EXP(-(((Scenario_Data!W21)-Inputs!$C$29)^2)/(2*Inputs!$C$31^2))*EXP(-(((Inputs!$C$6)-Inputs!$C$30)^2)/(2*Inputs!$C$32^2))+-Inputs!$C$33*EXP(-(((((Scenario_Data!W21)-Inputs!$C$34)^2)+(((Inputs!$C$6)-Inputs!$C$35)^2))/(2*Inputs!$C$36^2)))+Inputs!$C$37*(0.55*SIN(2*PI()*(Scenario_Data!W21)/Inputs!$C$39)+0.35*COS(2*PI()*(Inputs!$C$6)/Inputs!$C$40)+0.2*SIN(2*PI()*((Scenario_Data!W21)+(Inputs!$C$6))/(0.5*(Inputs!$C$39+Inputs!$C$40))))+Inputs!$C$38*SIN(2*PI()*(Scenario_Data!W21)/Inputs!$C$39)*SIN(2*PI()*(Inputs!$C$6)/Inputs!$C$40)+-Inputs!$C$41*EXP(-(((Inputs!$C$6)-Inputs!$C$43)^2)/(2*Inputs!$C$44^2))*EXP(-(((Scenario_Data!W21)-Inputs!$C$42)^2)/(2*Inputs!$C$45^2))+Inputs!$C$48*(0.7*(0.45*SIN(2*PI()*(((Scenario_Data!W21)/Inputs!$C$49)+Inputs!$C$47*0.137))+0.35*COS(2*PI()*(((Inputs!$C$6)/Inputs!$C$50)+Inputs!$C$47*0.173))+0.2*SIN(2*PI()*((((Scenario_Data!W21)+(Inputs!$C$6))/(0.5*(Inputs!$C$49+Inputs!$C$50)))+Inputs!$C$47*0.097)))+0.3*(2*((SIN(((Scenario_Data!W21)*12.9898+(Inputs!$C$6)*78.233+Inputs!$C$47*37.719))*43758.5453)-INT((SIN(((Scenario_Data!W21)*12.9898+(Inputs!$C$6)*78.233+Inputs!$C$47*37.719))*43758.5453)))-1))))/1000))*COS(SQRT((Scenario_Data!W21)^2+Inputs!$C$6^2)/Inputs!$C$52))*1000)/Inputs!$C$21*1000000</f>
        <v/>
      </c>
    </row>
    <row r="22">
      <c r="A22">
        <f>Chart_Data!K22</f>
        <v/>
      </c>
      <c r="B22">
        <f>Chart_Data!N22-Chart_Data!L22</f>
        <v/>
      </c>
      <c r="D22">
        <f>Chart_Data!G22</f>
        <v/>
      </c>
      <c r="E22">
        <f>Chart_Data!H22</f>
        <v/>
      </c>
      <c r="F22">
        <f>Chart_Data!I22</f>
        <v/>
      </c>
      <c r="G22">
        <f>Chart_Data!J22</f>
        <v/>
      </c>
      <c r="I22">
        <f>Scenario_Data!A22</f>
        <v/>
      </c>
      <c r="J22">
        <f>Scenario_Data!H22-(((SQRT((Inputs!$C$52+(Inputs!$H$6))^2+Inputs!$C$52^2-2*(Inputs!$C$52+(Inputs!$H$6))*Inputs!$C$52*COS(SQRT((Scenario_Data!T22)^2+Inputs!$C$6^2)/Inputs!$C$52)))-(Inputs!$H$6))*1000/Inputs!$C$12)</f>
        <v/>
      </c>
      <c r="K22">
        <f>Scenario_Data!I22-(((SQRT((Inputs!$C$52+(Inputs!$H$7))^2+Inputs!$C$52^2-2*(Inputs!$C$52+(Inputs!$H$7))*Inputs!$C$52*COS(SQRT((Scenario_Data!U22)^2+Inputs!$C$6^2)/Inputs!$C$52)))-(Inputs!$H$7))*1000/Inputs!$C$12)</f>
        <v/>
      </c>
      <c r="L22">
        <f>Scenario_Data!J22-(((SQRT((Inputs!$C$52+(Inputs!$H$8))^2+Inputs!$C$52^2-2*(Inputs!$C$52+(Inputs!$H$8))*Inputs!$C$52*COS(SQRT((Scenario_Data!V22)^2+Inputs!$C$6^2)/Inputs!$C$52)))-(Inputs!$H$8))*1000/Inputs!$C$12)</f>
        <v/>
      </c>
      <c r="M22">
        <f>Scenario_Data!K22-(((SQRT((Inputs!$C$52+(Inputs!$H$9))^2+Inputs!$C$52^2-2*(Inputs!$C$52+(Inputs!$H$9))*Inputs!$C$52*COS(SQRT((Scenario_Data!W22)^2+Inputs!$C$6^2)/Inputs!$C$52)))-(Inputs!$H$9))*1000/Inputs!$C$12)</f>
        <v/>
      </c>
      <c r="O22">
        <f>Scenario_Data!T22</f>
        <v/>
      </c>
      <c r="P22">
        <f>2*(Scenario_Data!B22*1000)/Inputs!$C$21*1000000</f>
        <v/>
      </c>
      <c r="Q22">
        <f>Scenario_Data!U22</f>
        <v/>
      </c>
      <c r="R22">
        <f>2*(Scenario_Data!C22*1000)/Inputs!$C$21*1000000</f>
        <v/>
      </c>
      <c r="S22">
        <f>Scenario_Data!V22</f>
        <v/>
      </c>
      <c r="T22">
        <f>2*(Scenario_Data!D22*1000)/Inputs!$C$21*1000000</f>
        <v/>
      </c>
      <c r="U22">
        <f>Scenario_Data!W22</f>
        <v/>
      </c>
      <c r="V22">
        <f>2*(Scenario_Data!E22*1000)/Inputs!$C$21*1000000</f>
        <v/>
      </c>
      <c r="X22">
        <f>Scenario_Data!T22</f>
        <v/>
      </c>
      <c r="Y22">
        <f>2*((Scenario_Data!B22*1000)-(IF(OR(Inputs!$C$27=TRUE,Inputs!$C$27="TRUE",Inputs!$C$27=1),1,0)*(Inputs!$C$51*(115*EXP(-(((0)-25)^2)/(4.5^2))+70*EXP(-(((0)+38)^2)/(7^2))*(0.55+0.45*SIN(2*PI()*(Scenario_Data!T22)/45))+24*SIN(2*PI()*(0)/9+(Scenario_Data!T22)/18)*EXP(-(((0)+5)^2)/(22^2))+18*SIN(2*PI()*(Scenario_Data!T22)/70))+Inputs!$C$28*EXP(-(((Scenario_Data!T22)-Inputs!$C$29)^2)/(2*Inputs!$C$31^2))*EXP(-(((0)-Inputs!$C$30)^2)/(2*Inputs!$C$32^2))+-Inputs!$C$33*EXP(-(((((Scenario_Data!T22)-Inputs!$C$34)^2)+(((0)-Inputs!$C$35)^2))/(2*Inputs!$C$36^2)))+Inputs!$C$37*(0.55*SIN(2*PI()*(Scenario_Data!T22)/Inputs!$C$39)+0.35*COS(2*PI()*(0)/Inputs!$C$40)+0.2*SIN(2*PI()*((Scenario_Data!T22)+(0))/(0.5*(Inputs!$C$39+Inputs!$C$40))))+Inputs!$C$38*SIN(2*PI()*(Scenario_Data!T22)/Inputs!$C$39)*SIN(2*PI()*(0)/Inputs!$C$40)+-Inputs!$C$41*EXP(-(((0)-Inputs!$C$43)^2)/(2*Inputs!$C$44^2))*EXP(-(((Scenario_Data!T22)-Inputs!$C$42)^2)/(2*Inputs!$C$45^2))+Inputs!$C$48*(0.7*(0.45*SIN(2*PI()*(((Scenario_Data!T22)/Inputs!$C$49)+Inputs!$C$47*0.137))+0.35*COS(2*PI()*(((0)/Inputs!$C$50)+Inputs!$C$47*0.173))+0.2*SIN(2*PI()*((((Scenario_Data!T22)+(0))/(0.5*(Inputs!$C$49+Inputs!$C$50)))+Inputs!$C$47*0.097)))+0.3*(2*((SIN(((Scenario_Data!T22)*12.9898+(0)*78.233+Inputs!$C$47*37.719))*43758.5453)-INT((SIN(((Scenario_Data!T22)*12.9898+(0)*78.233+Inputs!$C$47*37.719))*43758.5453)))-1)))))/Inputs!$C$21*1000000</f>
        <v/>
      </c>
      <c r="Z22">
        <f>Scenario_Data!U22</f>
        <v/>
      </c>
      <c r="AA22">
        <f>2*((Scenario_Data!C22*1000)-(IF(OR(Inputs!$C$27=TRUE,Inputs!$C$27="TRUE",Inputs!$C$27=1),1,0)*(Inputs!$C$51*(115*EXP(-(((0)-25)^2)/(4.5^2))+70*EXP(-(((0)+38)^2)/(7^2))*(0.55+0.45*SIN(2*PI()*(Scenario_Data!U22)/45))+24*SIN(2*PI()*(0)/9+(Scenario_Data!U22)/18)*EXP(-(((0)+5)^2)/(22^2))+18*SIN(2*PI()*(Scenario_Data!U22)/70))+Inputs!$C$28*EXP(-(((Scenario_Data!U22)-Inputs!$C$29)^2)/(2*Inputs!$C$31^2))*EXP(-(((0)-Inputs!$C$30)^2)/(2*Inputs!$C$32^2))+-Inputs!$C$33*EXP(-(((((Scenario_Data!U22)-Inputs!$C$34)^2)+(((0)-Inputs!$C$35)^2))/(2*Inputs!$C$36^2)))+Inputs!$C$37*(0.55*SIN(2*PI()*(Scenario_Data!U22)/Inputs!$C$39)+0.35*COS(2*PI()*(0)/Inputs!$C$40)+0.2*SIN(2*PI()*((Scenario_Data!U22)+(0))/(0.5*(Inputs!$C$39+Inputs!$C$40))))+Inputs!$C$38*SIN(2*PI()*(Scenario_Data!U22)/Inputs!$C$39)*SIN(2*PI()*(0)/Inputs!$C$40)+-Inputs!$C$41*EXP(-(((0)-Inputs!$C$43)^2)/(2*Inputs!$C$44^2))*EXP(-(((Scenario_Data!U22)-Inputs!$C$42)^2)/(2*Inputs!$C$45^2))+Inputs!$C$48*(0.7*(0.45*SIN(2*PI()*(((Scenario_Data!U22)/Inputs!$C$49)+Inputs!$C$47*0.137))+0.35*COS(2*PI()*(((0)/Inputs!$C$50)+Inputs!$C$47*0.173))+0.2*SIN(2*PI()*((((Scenario_Data!U22)+(0))/(0.5*(Inputs!$C$49+Inputs!$C$50)))+Inputs!$C$47*0.097)))+0.3*(2*((SIN(((Scenario_Data!U22)*12.9898+(0)*78.233+Inputs!$C$47*37.719))*43758.5453)-INT((SIN(((Scenario_Data!U22)*12.9898+(0)*78.233+Inputs!$C$47*37.719))*43758.5453)))-1)))))/Inputs!$C$21*1000000</f>
        <v/>
      </c>
      <c r="AB22">
        <f>Scenario_Data!V22</f>
        <v/>
      </c>
      <c r="AC22">
        <f>2*((Scenario_Data!D22*1000)-(IF(OR(Inputs!$C$27=TRUE,Inputs!$C$27="TRUE",Inputs!$C$27=1),1,0)*(Inputs!$C$51*(115*EXP(-(((0)-25)^2)/(4.5^2))+70*EXP(-(((0)+38)^2)/(7^2))*(0.55+0.45*SIN(2*PI()*(Scenario_Data!V22)/45))+24*SIN(2*PI()*(0)/9+(Scenario_Data!V22)/18)*EXP(-(((0)+5)^2)/(22^2))+18*SIN(2*PI()*(Scenario_Data!V22)/70))+Inputs!$C$28*EXP(-(((Scenario_Data!V22)-Inputs!$C$29)^2)/(2*Inputs!$C$31^2))*EXP(-(((0)-Inputs!$C$30)^2)/(2*Inputs!$C$32^2))+-Inputs!$C$33*EXP(-(((((Scenario_Data!V22)-Inputs!$C$34)^2)+(((0)-Inputs!$C$35)^2))/(2*Inputs!$C$36^2)))+Inputs!$C$37*(0.55*SIN(2*PI()*(Scenario_Data!V22)/Inputs!$C$39)+0.35*COS(2*PI()*(0)/Inputs!$C$40)+0.2*SIN(2*PI()*((Scenario_Data!V22)+(0))/(0.5*(Inputs!$C$39+Inputs!$C$40))))+Inputs!$C$38*SIN(2*PI()*(Scenario_Data!V22)/Inputs!$C$39)*SIN(2*PI()*(0)/Inputs!$C$40)+-Inputs!$C$41*EXP(-(((0)-Inputs!$C$43)^2)/(2*Inputs!$C$44^2))*EXP(-(((Scenario_Data!V22)-Inputs!$C$42)^2)/(2*Inputs!$C$45^2))+Inputs!$C$48*(0.7*(0.45*SIN(2*PI()*(((Scenario_Data!V22)/Inputs!$C$49)+Inputs!$C$47*0.137))+0.35*COS(2*PI()*(((0)/Inputs!$C$50)+Inputs!$C$47*0.173))+0.2*SIN(2*PI()*((((Scenario_Data!V22)+(0))/(0.5*(Inputs!$C$49+Inputs!$C$50)))+Inputs!$C$47*0.097)))+0.3*(2*((SIN(((Scenario_Data!V22)*12.9898+(0)*78.233+Inputs!$C$47*37.719))*43758.5453)-INT((SIN(((Scenario_Data!V22)*12.9898+(0)*78.233+Inputs!$C$47*37.719))*43758.5453)))-1)))))/Inputs!$C$21*1000000</f>
        <v/>
      </c>
      <c r="AD22">
        <f>Scenario_Data!W22</f>
        <v/>
      </c>
      <c r="AE22">
        <f>2*((Scenario_Data!E22*1000)-(IF(OR(Inputs!$C$27=TRUE,Inputs!$C$27="TRUE",Inputs!$C$27=1),1,0)*(Inputs!$C$51*(115*EXP(-(((0)-25)^2)/(4.5^2))+70*EXP(-(((0)+38)^2)/(7^2))*(0.55+0.45*SIN(2*PI()*(Scenario_Data!W22)/45))+24*SIN(2*PI()*(0)/9+(Scenario_Data!W22)/18)*EXP(-(((0)+5)^2)/(22^2))+18*SIN(2*PI()*(Scenario_Data!W22)/70))+Inputs!$C$28*EXP(-(((Scenario_Data!W22)-Inputs!$C$29)^2)/(2*Inputs!$C$31^2))*EXP(-(((0)-Inputs!$C$30)^2)/(2*Inputs!$C$32^2))+-Inputs!$C$33*EXP(-(((((Scenario_Data!W22)-Inputs!$C$34)^2)+(((0)-Inputs!$C$35)^2))/(2*Inputs!$C$36^2)))+Inputs!$C$37*(0.55*SIN(2*PI()*(Scenario_Data!W22)/Inputs!$C$39)+0.35*COS(2*PI()*(0)/Inputs!$C$40)+0.2*SIN(2*PI()*((Scenario_Data!W22)+(0))/(0.5*(Inputs!$C$39+Inputs!$C$40))))+Inputs!$C$38*SIN(2*PI()*(Scenario_Data!W22)/Inputs!$C$39)*SIN(2*PI()*(0)/Inputs!$C$40)+-Inputs!$C$41*EXP(-(((0)-Inputs!$C$43)^2)/(2*Inputs!$C$44^2))*EXP(-(((Scenario_Data!W22)-Inputs!$C$42)^2)/(2*Inputs!$C$45^2))+Inputs!$C$48*(0.7*(0.45*SIN(2*PI()*(((Scenario_Data!W22)/Inputs!$C$49)+Inputs!$C$47*0.137))+0.35*COS(2*PI()*(((0)/Inputs!$C$50)+Inputs!$C$47*0.173))+0.2*SIN(2*PI()*((((Scenario_Data!W22)+(0))/(0.5*(Inputs!$C$49+Inputs!$C$50)))+Inputs!$C$47*0.097)))+0.3*(2*((SIN(((Scenario_Data!W22)*12.9898+(0)*78.233+Inputs!$C$47*37.719))*43758.5453)-INT((SIN(((Scenario_Data!W22)*12.9898+(0)*78.233+Inputs!$C$47*37.719))*43758.5453)))-1)))))/Inputs!$C$21*1000000</f>
        <v/>
      </c>
      <c r="AG22">
        <f>Scenario_Data!T22</f>
        <v/>
      </c>
      <c r="AH22">
        <f>2*(SQRT((Inputs!$C$52+(Scenario_Data!B22))^2+Inputs!$C$52^2-2*(Inputs!$C$52+(Scenario_Data!B22))*Inputs!$C$52*COS(SQRT((Scenario_Data!T22)^2+Inputs!$C$6^2)/Inputs!$C$52))*1000)/Inputs!$C$21*1000000</f>
        <v/>
      </c>
      <c r="AI22">
        <f>Scenario_Data!U22</f>
        <v/>
      </c>
      <c r="AJ22">
        <f>2*(SQRT((Inputs!$C$52+(Scenario_Data!C22))^2+Inputs!$C$52^2-2*(Inputs!$C$52+(Scenario_Data!C22))*Inputs!$C$52*COS(SQRT((Scenario_Data!U22)^2+Inputs!$C$6^2)/Inputs!$C$52))*1000)/Inputs!$C$21*1000000</f>
        <v/>
      </c>
      <c r="AK22">
        <f>Scenario_Data!V22</f>
        <v/>
      </c>
      <c r="AL22">
        <f>2*(SQRT((Inputs!$C$52+(Scenario_Data!D22))^2+Inputs!$C$52^2-2*(Inputs!$C$52+(Scenario_Data!D22))*Inputs!$C$52*COS(SQRT((Scenario_Data!V22)^2+Inputs!$C$6^2)/Inputs!$C$52))*1000)/Inputs!$C$21*1000000</f>
        <v/>
      </c>
      <c r="AM22">
        <f>Scenario_Data!W22</f>
        <v/>
      </c>
      <c r="AN22">
        <f>2*(SQRT((Inputs!$C$52+(Scenario_Data!E22))^2+Inputs!$C$52^2-2*(Inputs!$C$52+(Scenario_Data!E22))*Inputs!$C$52*COS(SQRT((Scenario_Data!W22)^2+Inputs!$C$6^2)/Inputs!$C$52))*1000)/Inputs!$C$21*1000000</f>
        <v/>
      </c>
      <c r="AP22">
        <f>Scenario_Data!T22</f>
        <v/>
      </c>
      <c r="AQ22">
        <f>2*(SQRT((Inputs!$C$52+(Scenario_Data!B22))^2+(Inputs!$C$52+((IF(OR(Inputs!$C$27=TRUE,Inputs!$C$27="TRUE",Inputs!$C$27=1),1,0)*(Inputs!$C$51*(115*EXP(-(((Inputs!$C$6)-25)^2)/(4.5^2))+70*EXP(-(((Inputs!$C$6)+38)^2)/(7^2))*(0.55+0.45*SIN(2*PI()*(Scenario_Data!T22)/45))+24*SIN(2*PI()*(Inputs!$C$6)/9+(Scenario_Data!T22)/18)*EXP(-(((Inputs!$C$6)+5)^2)/(22^2))+18*SIN(2*PI()*(Scenario_Data!T22)/70))+Inputs!$C$28*EXP(-(((Scenario_Data!T22)-Inputs!$C$29)^2)/(2*Inputs!$C$31^2))*EXP(-(((Inputs!$C$6)-Inputs!$C$30)^2)/(2*Inputs!$C$32^2))+-Inputs!$C$33*EXP(-(((((Scenario_Data!T22)-Inputs!$C$34)^2)+(((Inputs!$C$6)-Inputs!$C$35)^2))/(2*Inputs!$C$36^2)))+Inputs!$C$37*(0.55*SIN(2*PI()*(Scenario_Data!T22)/Inputs!$C$39)+0.35*COS(2*PI()*(Inputs!$C$6)/Inputs!$C$40)+0.2*SIN(2*PI()*((Scenario_Data!T22)+(Inputs!$C$6))/(0.5*(Inputs!$C$39+Inputs!$C$40))))+Inputs!$C$38*SIN(2*PI()*(Scenario_Data!T22)/Inputs!$C$39)*SIN(2*PI()*(Inputs!$C$6)/Inputs!$C$40)+-Inputs!$C$41*EXP(-(((Inputs!$C$6)-Inputs!$C$43)^2)/(2*Inputs!$C$44^2))*EXP(-(((Scenario_Data!T22)-Inputs!$C$42)^2)/(2*Inputs!$C$45^2))+Inputs!$C$48*(0.7*(0.45*SIN(2*PI()*(((Scenario_Data!T22)/Inputs!$C$49)+Inputs!$C$47*0.137))+0.35*COS(2*PI()*(((Inputs!$C$6)/Inputs!$C$50)+Inputs!$C$47*0.173))+0.2*SIN(2*PI()*((((Scenario_Data!T22)+(Inputs!$C$6))/(0.5*(Inputs!$C$49+Inputs!$C$50)))+Inputs!$C$47*0.097)))+0.3*(2*((SIN(((Scenario_Data!T22)*12.9898+(Inputs!$C$6)*78.233+Inputs!$C$47*37.719))*43758.5453)-INT((SIN(((Scenario_Data!T22)*12.9898+(Inputs!$C$6)*78.233+Inputs!$C$47*37.719))*43758.5453)))-1))))/1000))^2-2*(Inputs!$C$52+(Scenario_Data!B22))*(Inputs!$C$52+((IF(OR(Inputs!$C$27=TRUE,Inputs!$C$27="TRUE",Inputs!$C$27=1),1,0)*(Inputs!$C$51*(115*EXP(-(((Inputs!$C$6)-25)^2)/(4.5^2))+70*EXP(-(((Inputs!$C$6)+38)^2)/(7^2))*(0.55+0.45*SIN(2*PI()*(Scenario_Data!T22)/45))+24*SIN(2*PI()*(Inputs!$C$6)/9+(Scenario_Data!T22)/18)*EXP(-(((Inputs!$C$6)+5)^2)/(22^2))+18*SIN(2*PI()*(Scenario_Data!T22)/70))+Inputs!$C$28*EXP(-(((Scenario_Data!T22)-Inputs!$C$29)^2)/(2*Inputs!$C$31^2))*EXP(-(((Inputs!$C$6)-Inputs!$C$30)^2)/(2*Inputs!$C$32^2))+-Inputs!$C$33*EXP(-(((((Scenario_Data!T22)-Inputs!$C$34)^2)+(((Inputs!$C$6)-Inputs!$C$35)^2))/(2*Inputs!$C$36^2)))+Inputs!$C$37*(0.55*SIN(2*PI()*(Scenario_Data!T22)/Inputs!$C$39)+0.35*COS(2*PI()*(Inputs!$C$6)/Inputs!$C$40)+0.2*SIN(2*PI()*((Scenario_Data!T22)+(Inputs!$C$6))/(0.5*(Inputs!$C$39+Inputs!$C$40))))+Inputs!$C$38*SIN(2*PI()*(Scenario_Data!T22)/Inputs!$C$39)*SIN(2*PI()*(Inputs!$C$6)/Inputs!$C$40)+-Inputs!$C$41*EXP(-(((Inputs!$C$6)-Inputs!$C$43)^2)/(2*Inputs!$C$44^2))*EXP(-(((Scenario_Data!T22)-Inputs!$C$42)^2)/(2*Inputs!$C$45^2))+Inputs!$C$48*(0.7*(0.45*SIN(2*PI()*(((Scenario_Data!T22)/Inputs!$C$49)+Inputs!$C$47*0.137))+0.35*COS(2*PI()*(((Inputs!$C$6)/Inputs!$C$50)+Inputs!$C$47*0.173))+0.2*SIN(2*PI()*((((Scenario_Data!T22)+(Inputs!$C$6))/(0.5*(Inputs!$C$49+Inputs!$C$50)))+Inputs!$C$47*0.097)))+0.3*(2*((SIN(((Scenario_Data!T22)*12.9898+(Inputs!$C$6)*78.233+Inputs!$C$47*37.719))*43758.5453)-INT((SIN(((Scenario_Data!T22)*12.9898+(Inputs!$C$6)*78.233+Inputs!$C$47*37.719))*43758.5453)))-1))))/1000))*COS(SQRT((Scenario_Data!T22)^2+Inputs!$C$6^2)/Inputs!$C$52))*1000)/Inputs!$C$21*1000000</f>
        <v/>
      </c>
      <c r="AR22">
        <f>Scenario_Data!U22</f>
        <v/>
      </c>
      <c r="AS22">
        <f>2*(SQRT((Inputs!$C$52+(Scenario_Data!C22))^2+(Inputs!$C$52+((IF(OR(Inputs!$C$27=TRUE,Inputs!$C$27="TRUE",Inputs!$C$27=1),1,0)*(Inputs!$C$51*(115*EXP(-(((Inputs!$C$6)-25)^2)/(4.5^2))+70*EXP(-(((Inputs!$C$6)+38)^2)/(7^2))*(0.55+0.45*SIN(2*PI()*(Scenario_Data!U22)/45))+24*SIN(2*PI()*(Inputs!$C$6)/9+(Scenario_Data!U22)/18)*EXP(-(((Inputs!$C$6)+5)^2)/(22^2))+18*SIN(2*PI()*(Scenario_Data!U22)/70))+Inputs!$C$28*EXP(-(((Scenario_Data!U22)-Inputs!$C$29)^2)/(2*Inputs!$C$31^2))*EXP(-(((Inputs!$C$6)-Inputs!$C$30)^2)/(2*Inputs!$C$32^2))+-Inputs!$C$33*EXP(-(((((Scenario_Data!U22)-Inputs!$C$34)^2)+(((Inputs!$C$6)-Inputs!$C$35)^2))/(2*Inputs!$C$36^2)))+Inputs!$C$37*(0.55*SIN(2*PI()*(Scenario_Data!U22)/Inputs!$C$39)+0.35*COS(2*PI()*(Inputs!$C$6)/Inputs!$C$40)+0.2*SIN(2*PI()*((Scenario_Data!U22)+(Inputs!$C$6))/(0.5*(Inputs!$C$39+Inputs!$C$40))))+Inputs!$C$38*SIN(2*PI()*(Scenario_Data!U22)/Inputs!$C$39)*SIN(2*PI()*(Inputs!$C$6)/Inputs!$C$40)+-Inputs!$C$41*EXP(-(((Inputs!$C$6)-Inputs!$C$43)^2)/(2*Inputs!$C$44^2))*EXP(-(((Scenario_Data!U22)-Inputs!$C$42)^2)/(2*Inputs!$C$45^2))+Inputs!$C$48*(0.7*(0.45*SIN(2*PI()*(((Scenario_Data!U22)/Inputs!$C$49)+Inputs!$C$47*0.137))+0.35*COS(2*PI()*(((Inputs!$C$6)/Inputs!$C$50)+Inputs!$C$47*0.173))+0.2*SIN(2*PI()*((((Scenario_Data!U22)+(Inputs!$C$6))/(0.5*(Inputs!$C$49+Inputs!$C$50)))+Inputs!$C$47*0.097)))+0.3*(2*((SIN(((Scenario_Data!U22)*12.9898+(Inputs!$C$6)*78.233+Inputs!$C$47*37.719))*43758.5453)-INT((SIN(((Scenario_Data!U22)*12.9898+(Inputs!$C$6)*78.233+Inputs!$C$47*37.719))*43758.5453)))-1))))/1000))^2-2*(Inputs!$C$52+(Scenario_Data!C22))*(Inputs!$C$52+((IF(OR(Inputs!$C$27=TRUE,Inputs!$C$27="TRUE",Inputs!$C$27=1),1,0)*(Inputs!$C$51*(115*EXP(-(((Inputs!$C$6)-25)^2)/(4.5^2))+70*EXP(-(((Inputs!$C$6)+38)^2)/(7^2))*(0.55+0.45*SIN(2*PI()*(Scenario_Data!U22)/45))+24*SIN(2*PI()*(Inputs!$C$6)/9+(Scenario_Data!U22)/18)*EXP(-(((Inputs!$C$6)+5)^2)/(22^2))+18*SIN(2*PI()*(Scenario_Data!U22)/70))+Inputs!$C$28*EXP(-(((Scenario_Data!U22)-Inputs!$C$29)^2)/(2*Inputs!$C$31^2))*EXP(-(((Inputs!$C$6)-Inputs!$C$30)^2)/(2*Inputs!$C$32^2))+-Inputs!$C$33*EXP(-(((((Scenario_Data!U22)-Inputs!$C$34)^2)+(((Inputs!$C$6)-Inputs!$C$35)^2))/(2*Inputs!$C$36^2)))+Inputs!$C$37*(0.55*SIN(2*PI()*(Scenario_Data!U22)/Inputs!$C$39)+0.35*COS(2*PI()*(Inputs!$C$6)/Inputs!$C$40)+0.2*SIN(2*PI()*((Scenario_Data!U22)+(Inputs!$C$6))/(0.5*(Inputs!$C$39+Inputs!$C$40))))+Inputs!$C$38*SIN(2*PI()*(Scenario_Data!U22)/Inputs!$C$39)*SIN(2*PI()*(Inputs!$C$6)/Inputs!$C$40)+-Inputs!$C$41*EXP(-(((Inputs!$C$6)-Inputs!$C$43)^2)/(2*Inputs!$C$44^2))*EXP(-(((Scenario_Data!U22)-Inputs!$C$42)^2)/(2*Inputs!$C$45^2))+Inputs!$C$48*(0.7*(0.45*SIN(2*PI()*(((Scenario_Data!U22)/Inputs!$C$49)+Inputs!$C$47*0.137))+0.35*COS(2*PI()*(((Inputs!$C$6)/Inputs!$C$50)+Inputs!$C$47*0.173))+0.2*SIN(2*PI()*((((Scenario_Data!U22)+(Inputs!$C$6))/(0.5*(Inputs!$C$49+Inputs!$C$50)))+Inputs!$C$47*0.097)))+0.3*(2*((SIN(((Scenario_Data!U22)*12.9898+(Inputs!$C$6)*78.233+Inputs!$C$47*37.719))*43758.5453)-INT((SIN(((Scenario_Data!U22)*12.9898+(Inputs!$C$6)*78.233+Inputs!$C$47*37.719))*43758.5453)))-1))))/1000))*COS(SQRT((Scenario_Data!U22)^2+Inputs!$C$6^2)/Inputs!$C$52))*1000)/Inputs!$C$21*1000000</f>
        <v/>
      </c>
      <c r="AT22">
        <f>Scenario_Data!V22</f>
        <v/>
      </c>
      <c r="AU22">
        <f>2*(SQRT((Inputs!$C$52+(Scenario_Data!D22))^2+(Inputs!$C$52+((IF(OR(Inputs!$C$27=TRUE,Inputs!$C$27="TRUE",Inputs!$C$27=1),1,0)*(Inputs!$C$51*(115*EXP(-(((Inputs!$C$6)-25)^2)/(4.5^2))+70*EXP(-(((Inputs!$C$6)+38)^2)/(7^2))*(0.55+0.45*SIN(2*PI()*(Scenario_Data!V22)/45))+24*SIN(2*PI()*(Inputs!$C$6)/9+(Scenario_Data!V22)/18)*EXP(-(((Inputs!$C$6)+5)^2)/(22^2))+18*SIN(2*PI()*(Scenario_Data!V22)/70))+Inputs!$C$28*EXP(-(((Scenario_Data!V22)-Inputs!$C$29)^2)/(2*Inputs!$C$31^2))*EXP(-(((Inputs!$C$6)-Inputs!$C$30)^2)/(2*Inputs!$C$32^2))+-Inputs!$C$33*EXP(-(((((Scenario_Data!V22)-Inputs!$C$34)^2)+(((Inputs!$C$6)-Inputs!$C$35)^2))/(2*Inputs!$C$36^2)))+Inputs!$C$37*(0.55*SIN(2*PI()*(Scenario_Data!V22)/Inputs!$C$39)+0.35*COS(2*PI()*(Inputs!$C$6)/Inputs!$C$40)+0.2*SIN(2*PI()*((Scenario_Data!V22)+(Inputs!$C$6))/(0.5*(Inputs!$C$39+Inputs!$C$40))))+Inputs!$C$38*SIN(2*PI()*(Scenario_Data!V22)/Inputs!$C$39)*SIN(2*PI()*(Inputs!$C$6)/Inputs!$C$40)+-Inputs!$C$41*EXP(-(((Inputs!$C$6)-Inputs!$C$43)^2)/(2*Inputs!$C$44^2))*EXP(-(((Scenario_Data!V22)-Inputs!$C$42)^2)/(2*Inputs!$C$45^2))+Inputs!$C$48*(0.7*(0.45*SIN(2*PI()*(((Scenario_Data!V22)/Inputs!$C$49)+Inputs!$C$47*0.137))+0.35*COS(2*PI()*(((Inputs!$C$6)/Inputs!$C$50)+Inputs!$C$47*0.173))+0.2*SIN(2*PI()*((((Scenario_Data!V22)+(Inputs!$C$6))/(0.5*(Inputs!$C$49+Inputs!$C$50)))+Inputs!$C$47*0.097)))+0.3*(2*((SIN(((Scenario_Data!V22)*12.9898+(Inputs!$C$6)*78.233+Inputs!$C$47*37.719))*43758.5453)-INT((SIN(((Scenario_Data!V22)*12.9898+(Inputs!$C$6)*78.233+Inputs!$C$47*37.719))*43758.5453)))-1))))/1000))^2-2*(Inputs!$C$52+(Scenario_Data!D22))*(Inputs!$C$52+((IF(OR(Inputs!$C$27=TRUE,Inputs!$C$27="TRUE",Inputs!$C$27=1),1,0)*(Inputs!$C$51*(115*EXP(-(((Inputs!$C$6)-25)^2)/(4.5^2))+70*EXP(-(((Inputs!$C$6)+38)^2)/(7^2))*(0.55+0.45*SIN(2*PI()*(Scenario_Data!V22)/45))+24*SIN(2*PI()*(Inputs!$C$6)/9+(Scenario_Data!V22)/18)*EXP(-(((Inputs!$C$6)+5)^2)/(22^2))+18*SIN(2*PI()*(Scenario_Data!V22)/70))+Inputs!$C$28*EXP(-(((Scenario_Data!V22)-Inputs!$C$29)^2)/(2*Inputs!$C$31^2))*EXP(-(((Inputs!$C$6)-Inputs!$C$30)^2)/(2*Inputs!$C$32^2))+-Inputs!$C$33*EXP(-(((((Scenario_Data!V22)-Inputs!$C$34)^2)+(((Inputs!$C$6)-Inputs!$C$35)^2))/(2*Inputs!$C$36^2)))+Inputs!$C$37*(0.55*SIN(2*PI()*(Scenario_Data!V22)/Inputs!$C$39)+0.35*COS(2*PI()*(Inputs!$C$6)/Inputs!$C$40)+0.2*SIN(2*PI()*((Scenario_Data!V22)+(Inputs!$C$6))/(0.5*(Inputs!$C$39+Inputs!$C$40))))+Inputs!$C$38*SIN(2*PI()*(Scenario_Data!V22)/Inputs!$C$39)*SIN(2*PI()*(Inputs!$C$6)/Inputs!$C$40)+-Inputs!$C$41*EXP(-(((Inputs!$C$6)-Inputs!$C$43)^2)/(2*Inputs!$C$44^2))*EXP(-(((Scenario_Data!V22)-Inputs!$C$42)^2)/(2*Inputs!$C$45^2))+Inputs!$C$48*(0.7*(0.45*SIN(2*PI()*(((Scenario_Data!V22)/Inputs!$C$49)+Inputs!$C$47*0.137))+0.35*COS(2*PI()*(((Inputs!$C$6)/Inputs!$C$50)+Inputs!$C$47*0.173))+0.2*SIN(2*PI()*((((Scenario_Data!V22)+(Inputs!$C$6))/(0.5*(Inputs!$C$49+Inputs!$C$50)))+Inputs!$C$47*0.097)))+0.3*(2*((SIN(((Scenario_Data!V22)*12.9898+(Inputs!$C$6)*78.233+Inputs!$C$47*37.719))*43758.5453)-INT((SIN(((Scenario_Data!V22)*12.9898+(Inputs!$C$6)*78.233+Inputs!$C$47*37.719))*43758.5453)))-1))))/1000))*COS(SQRT((Scenario_Data!V22)^2+Inputs!$C$6^2)/Inputs!$C$52))*1000)/Inputs!$C$21*1000000</f>
        <v/>
      </c>
      <c r="AV22">
        <f>Scenario_Data!W22</f>
        <v/>
      </c>
      <c r="AW22">
        <f>2*(SQRT((Inputs!$C$52+(Scenario_Data!E22))^2+(Inputs!$C$52+((IF(OR(Inputs!$C$27=TRUE,Inputs!$C$27="TRUE",Inputs!$C$27=1),1,0)*(Inputs!$C$51*(115*EXP(-(((Inputs!$C$6)-25)^2)/(4.5^2))+70*EXP(-(((Inputs!$C$6)+38)^2)/(7^2))*(0.55+0.45*SIN(2*PI()*(Scenario_Data!W22)/45))+24*SIN(2*PI()*(Inputs!$C$6)/9+(Scenario_Data!W22)/18)*EXP(-(((Inputs!$C$6)+5)^2)/(22^2))+18*SIN(2*PI()*(Scenario_Data!W22)/70))+Inputs!$C$28*EXP(-(((Scenario_Data!W22)-Inputs!$C$29)^2)/(2*Inputs!$C$31^2))*EXP(-(((Inputs!$C$6)-Inputs!$C$30)^2)/(2*Inputs!$C$32^2))+-Inputs!$C$33*EXP(-(((((Scenario_Data!W22)-Inputs!$C$34)^2)+(((Inputs!$C$6)-Inputs!$C$35)^2))/(2*Inputs!$C$36^2)))+Inputs!$C$37*(0.55*SIN(2*PI()*(Scenario_Data!W22)/Inputs!$C$39)+0.35*COS(2*PI()*(Inputs!$C$6)/Inputs!$C$40)+0.2*SIN(2*PI()*((Scenario_Data!W22)+(Inputs!$C$6))/(0.5*(Inputs!$C$39+Inputs!$C$40))))+Inputs!$C$38*SIN(2*PI()*(Scenario_Data!W22)/Inputs!$C$39)*SIN(2*PI()*(Inputs!$C$6)/Inputs!$C$40)+-Inputs!$C$41*EXP(-(((Inputs!$C$6)-Inputs!$C$43)^2)/(2*Inputs!$C$44^2))*EXP(-(((Scenario_Data!W22)-Inputs!$C$42)^2)/(2*Inputs!$C$45^2))+Inputs!$C$48*(0.7*(0.45*SIN(2*PI()*(((Scenario_Data!W22)/Inputs!$C$49)+Inputs!$C$47*0.137))+0.35*COS(2*PI()*(((Inputs!$C$6)/Inputs!$C$50)+Inputs!$C$47*0.173))+0.2*SIN(2*PI()*((((Scenario_Data!W22)+(Inputs!$C$6))/(0.5*(Inputs!$C$49+Inputs!$C$50)))+Inputs!$C$47*0.097)))+0.3*(2*((SIN(((Scenario_Data!W22)*12.9898+(Inputs!$C$6)*78.233+Inputs!$C$47*37.719))*43758.5453)-INT((SIN(((Scenario_Data!W22)*12.9898+(Inputs!$C$6)*78.233+Inputs!$C$47*37.719))*43758.5453)))-1))))/1000))^2-2*(Inputs!$C$52+(Scenario_Data!E22))*(Inputs!$C$52+((IF(OR(Inputs!$C$27=TRUE,Inputs!$C$27="TRUE",Inputs!$C$27=1),1,0)*(Inputs!$C$51*(115*EXP(-(((Inputs!$C$6)-25)^2)/(4.5^2))+70*EXP(-(((Inputs!$C$6)+38)^2)/(7^2))*(0.55+0.45*SIN(2*PI()*(Scenario_Data!W22)/45))+24*SIN(2*PI()*(Inputs!$C$6)/9+(Scenario_Data!W22)/18)*EXP(-(((Inputs!$C$6)+5)^2)/(22^2))+18*SIN(2*PI()*(Scenario_Data!W22)/70))+Inputs!$C$28*EXP(-(((Scenario_Data!W22)-Inputs!$C$29)^2)/(2*Inputs!$C$31^2))*EXP(-(((Inputs!$C$6)-Inputs!$C$30)^2)/(2*Inputs!$C$32^2))+-Inputs!$C$33*EXP(-(((((Scenario_Data!W22)-Inputs!$C$34)^2)+(((Inputs!$C$6)-Inputs!$C$35)^2))/(2*Inputs!$C$36^2)))+Inputs!$C$37*(0.55*SIN(2*PI()*(Scenario_Data!W22)/Inputs!$C$39)+0.35*COS(2*PI()*(Inputs!$C$6)/Inputs!$C$40)+0.2*SIN(2*PI()*((Scenario_Data!W22)+(Inputs!$C$6))/(0.5*(Inputs!$C$39+Inputs!$C$40))))+Inputs!$C$38*SIN(2*PI()*(Scenario_Data!W22)/Inputs!$C$39)*SIN(2*PI()*(Inputs!$C$6)/Inputs!$C$40)+-Inputs!$C$41*EXP(-(((Inputs!$C$6)-Inputs!$C$43)^2)/(2*Inputs!$C$44^2))*EXP(-(((Scenario_Data!W22)-Inputs!$C$42)^2)/(2*Inputs!$C$45^2))+Inputs!$C$48*(0.7*(0.45*SIN(2*PI()*(((Scenario_Data!W22)/Inputs!$C$49)+Inputs!$C$47*0.137))+0.35*COS(2*PI()*(((Inputs!$C$6)/Inputs!$C$50)+Inputs!$C$47*0.173))+0.2*SIN(2*PI()*((((Scenario_Data!W22)+(Inputs!$C$6))/(0.5*(Inputs!$C$49+Inputs!$C$50)))+Inputs!$C$47*0.097)))+0.3*(2*((SIN(((Scenario_Data!W22)*12.9898+(Inputs!$C$6)*78.233+Inputs!$C$47*37.719))*43758.5453)-INT((SIN(((Scenario_Data!W22)*12.9898+(Inputs!$C$6)*78.233+Inputs!$C$47*37.719))*43758.5453)))-1))))/1000))*COS(SQRT((Scenario_Data!W22)^2+Inputs!$C$6^2)/Inputs!$C$52))*1000)/Inputs!$C$21*1000000</f>
        <v/>
      </c>
    </row>
    <row r="23">
      <c r="A23">
        <f>Chart_Data!K23</f>
        <v/>
      </c>
      <c r="B23">
        <f>Chart_Data!N23-Chart_Data!L23</f>
        <v/>
      </c>
      <c r="D23">
        <f>Chart_Data!G23</f>
        <v/>
      </c>
      <c r="E23">
        <f>Chart_Data!H23</f>
        <v/>
      </c>
      <c r="F23">
        <f>Chart_Data!I23</f>
        <v/>
      </c>
      <c r="G23">
        <f>Chart_Data!J23</f>
        <v/>
      </c>
      <c r="I23">
        <f>Scenario_Data!A23</f>
        <v/>
      </c>
      <c r="J23">
        <f>Scenario_Data!H23-(((SQRT((Inputs!$C$52+(Inputs!$H$6))^2+Inputs!$C$52^2-2*(Inputs!$C$52+(Inputs!$H$6))*Inputs!$C$52*COS(SQRT((Scenario_Data!T23)^2+Inputs!$C$6^2)/Inputs!$C$52)))-(Inputs!$H$6))*1000/Inputs!$C$12)</f>
        <v/>
      </c>
      <c r="K23">
        <f>Scenario_Data!I23-(((SQRT((Inputs!$C$52+(Inputs!$H$7))^2+Inputs!$C$52^2-2*(Inputs!$C$52+(Inputs!$H$7))*Inputs!$C$52*COS(SQRT((Scenario_Data!U23)^2+Inputs!$C$6^2)/Inputs!$C$52)))-(Inputs!$H$7))*1000/Inputs!$C$12)</f>
        <v/>
      </c>
      <c r="L23">
        <f>Scenario_Data!J23-(((SQRT((Inputs!$C$52+(Inputs!$H$8))^2+Inputs!$C$52^2-2*(Inputs!$C$52+(Inputs!$H$8))*Inputs!$C$52*COS(SQRT((Scenario_Data!V23)^2+Inputs!$C$6^2)/Inputs!$C$52)))-(Inputs!$H$8))*1000/Inputs!$C$12)</f>
        <v/>
      </c>
      <c r="M23">
        <f>Scenario_Data!K23-(((SQRT((Inputs!$C$52+(Inputs!$H$9))^2+Inputs!$C$52^2-2*(Inputs!$C$52+(Inputs!$H$9))*Inputs!$C$52*COS(SQRT((Scenario_Data!W23)^2+Inputs!$C$6^2)/Inputs!$C$52)))-(Inputs!$H$9))*1000/Inputs!$C$12)</f>
        <v/>
      </c>
      <c r="O23">
        <f>Scenario_Data!T23</f>
        <v/>
      </c>
      <c r="P23">
        <f>2*(Scenario_Data!B23*1000)/Inputs!$C$21*1000000</f>
        <v/>
      </c>
      <c r="Q23">
        <f>Scenario_Data!U23</f>
        <v/>
      </c>
      <c r="R23">
        <f>2*(Scenario_Data!C23*1000)/Inputs!$C$21*1000000</f>
        <v/>
      </c>
      <c r="S23">
        <f>Scenario_Data!V23</f>
        <v/>
      </c>
      <c r="T23">
        <f>2*(Scenario_Data!D23*1000)/Inputs!$C$21*1000000</f>
        <v/>
      </c>
      <c r="U23">
        <f>Scenario_Data!W23</f>
        <v/>
      </c>
      <c r="V23">
        <f>2*(Scenario_Data!E23*1000)/Inputs!$C$21*1000000</f>
        <v/>
      </c>
      <c r="X23">
        <f>Scenario_Data!T23</f>
        <v/>
      </c>
      <c r="Y23">
        <f>2*((Scenario_Data!B23*1000)-(IF(OR(Inputs!$C$27=TRUE,Inputs!$C$27="TRUE",Inputs!$C$27=1),1,0)*(Inputs!$C$51*(115*EXP(-(((0)-25)^2)/(4.5^2))+70*EXP(-(((0)+38)^2)/(7^2))*(0.55+0.45*SIN(2*PI()*(Scenario_Data!T23)/45))+24*SIN(2*PI()*(0)/9+(Scenario_Data!T23)/18)*EXP(-(((0)+5)^2)/(22^2))+18*SIN(2*PI()*(Scenario_Data!T23)/70))+Inputs!$C$28*EXP(-(((Scenario_Data!T23)-Inputs!$C$29)^2)/(2*Inputs!$C$31^2))*EXP(-(((0)-Inputs!$C$30)^2)/(2*Inputs!$C$32^2))+-Inputs!$C$33*EXP(-(((((Scenario_Data!T23)-Inputs!$C$34)^2)+(((0)-Inputs!$C$35)^2))/(2*Inputs!$C$36^2)))+Inputs!$C$37*(0.55*SIN(2*PI()*(Scenario_Data!T23)/Inputs!$C$39)+0.35*COS(2*PI()*(0)/Inputs!$C$40)+0.2*SIN(2*PI()*((Scenario_Data!T23)+(0))/(0.5*(Inputs!$C$39+Inputs!$C$40))))+Inputs!$C$38*SIN(2*PI()*(Scenario_Data!T23)/Inputs!$C$39)*SIN(2*PI()*(0)/Inputs!$C$40)+-Inputs!$C$41*EXP(-(((0)-Inputs!$C$43)^2)/(2*Inputs!$C$44^2))*EXP(-(((Scenario_Data!T23)-Inputs!$C$42)^2)/(2*Inputs!$C$45^2))+Inputs!$C$48*(0.7*(0.45*SIN(2*PI()*(((Scenario_Data!T23)/Inputs!$C$49)+Inputs!$C$47*0.137))+0.35*COS(2*PI()*(((0)/Inputs!$C$50)+Inputs!$C$47*0.173))+0.2*SIN(2*PI()*((((Scenario_Data!T23)+(0))/(0.5*(Inputs!$C$49+Inputs!$C$50)))+Inputs!$C$47*0.097)))+0.3*(2*((SIN(((Scenario_Data!T23)*12.9898+(0)*78.233+Inputs!$C$47*37.719))*43758.5453)-INT((SIN(((Scenario_Data!T23)*12.9898+(0)*78.233+Inputs!$C$47*37.719))*43758.5453)))-1)))))/Inputs!$C$21*1000000</f>
        <v/>
      </c>
      <c r="Z23">
        <f>Scenario_Data!U23</f>
        <v/>
      </c>
      <c r="AA23">
        <f>2*((Scenario_Data!C23*1000)-(IF(OR(Inputs!$C$27=TRUE,Inputs!$C$27="TRUE",Inputs!$C$27=1),1,0)*(Inputs!$C$51*(115*EXP(-(((0)-25)^2)/(4.5^2))+70*EXP(-(((0)+38)^2)/(7^2))*(0.55+0.45*SIN(2*PI()*(Scenario_Data!U23)/45))+24*SIN(2*PI()*(0)/9+(Scenario_Data!U23)/18)*EXP(-(((0)+5)^2)/(22^2))+18*SIN(2*PI()*(Scenario_Data!U23)/70))+Inputs!$C$28*EXP(-(((Scenario_Data!U23)-Inputs!$C$29)^2)/(2*Inputs!$C$31^2))*EXP(-(((0)-Inputs!$C$30)^2)/(2*Inputs!$C$32^2))+-Inputs!$C$33*EXP(-(((((Scenario_Data!U23)-Inputs!$C$34)^2)+(((0)-Inputs!$C$35)^2))/(2*Inputs!$C$36^2)))+Inputs!$C$37*(0.55*SIN(2*PI()*(Scenario_Data!U23)/Inputs!$C$39)+0.35*COS(2*PI()*(0)/Inputs!$C$40)+0.2*SIN(2*PI()*((Scenario_Data!U23)+(0))/(0.5*(Inputs!$C$39+Inputs!$C$40))))+Inputs!$C$38*SIN(2*PI()*(Scenario_Data!U23)/Inputs!$C$39)*SIN(2*PI()*(0)/Inputs!$C$40)+-Inputs!$C$41*EXP(-(((0)-Inputs!$C$43)^2)/(2*Inputs!$C$44^2))*EXP(-(((Scenario_Data!U23)-Inputs!$C$42)^2)/(2*Inputs!$C$45^2))+Inputs!$C$48*(0.7*(0.45*SIN(2*PI()*(((Scenario_Data!U23)/Inputs!$C$49)+Inputs!$C$47*0.137))+0.35*COS(2*PI()*(((0)/Inputs!$C$50)+Inputs!$C$47*0.173))+0.2*SIN(2*PI()*((((Scenario_Data!U23)+(0))/(0.5*(Inputs!$C$49+Inputs!$C$50)))+Inputs!$C$47*0.097)))+0.3*(2*((SIN(((Scenario_Data!U23)*12.9898+(0)*78.233+Inputs!$C$47*37.719))*43758.5453)-INT((SIN(((Scenario_Data!U23)*12.9898+(0)*78.233+Inputs!$C$47*37.719))*43758.5453)))-1)))))/Inputs!$C$21*1000000</f>
        <v/>
      </c>
      <c r="AB23">
        <f>Scenario_Data!V23</f>
        <v/>
      </c>
      <c r="AC23">
        <f>2*((Scenario_Data!D23*1000)-(IF(OR(Inputs!$C$27=TRUE,Inputs!$C$27="TRUE",Inputs!$C$27=1),1,0)*(Inputs!$C$51*(115*EXP(-(((0)-25)^2)/(4.5^2))+70*EXP(-(((0)+38)^2)/(7^2))*(0.55+0.45*SIN(2*PI()*(Scenario_Data!V23)/45))+24*SIN(2*PI()*(0)/9+(Scenario_Data!V23)/18)*EXP(-(((0)+5)^2)/(22^2))+18*SIN(2*PI()*(Scenario_Data!V23)/70))+Inputs!$C$28*EXP(-(((Scenario_Data!V23)-Inputs!$C$29)^2)/(2*Inputs!$C$31^2))*EXP(-(((0)-Inputs!$C$30)^2)/(2*Inputs!$C$32^2))+-Inputs!$C$33*EXP(-(((((Scenario_Data!V23)-Inputs!$C$34)^2)+(((0)-Inputs!$C$35)^2))/(2*Inputs!$C$36^2)))+Inputs!$C$37*(0.55*SIN(2*PI()*(Scenario_Data!V23)/Inputs!$C$39)+0.35*COS(2*PI()*(0)/Inputs!$C$40)+0.2*SIN(2*PI()*((Scenario_Data!V23)+(0))/(0.5*(Inputs!$C$39+Inputs!$C$40))))+Inputs!$C$38*SIN(2*PI()*(Scenario_Data!V23)/Inputs!$C$39)*SIN(2*PI()*(0)/Inputs!$C$40)+-Inputs!$C$41*EXP(-(((0)-Inputs!$C$43)^2)/(2*Inputs!$C$44^2))*EXP(-(((Scenario_Data!V23)-Inputs!$C$42)^2)/(2*Inputs!$C$45^2))+Inputs!$C$48*(0.7*(0.45*SIN(2*PI()*(((Scenario_Data!V23)/Inputs!$C$49)+Inputs!$C$47*0.137))+0.35*COS(2*PI()*(((0)/Inputs!$C$50)+Inputs!$C$47*0.173))+0.2*SIN(2*PI()*((((Scenario_Data!V23)+(0))/(0.5*(Inputs!$C$49+Inputs!$C$50)))+Inputs!$C$47*0.097)))+0.3*(2*((SIN(((Scenario_Data!V23)*12.9898+(0)*78.233+Inputs!$C$47*37.719))*43758.5453)-INT((SIN(((Scenario_Data!V23)*12.9898+(0)*78.233+Inputs!$C$47*37.719))*43758.5453)))-1)))))/Inputs!$C$21*1000000</f>
        <v/>
      </c>
      <c r="AD23">
        <f>Scenario_Data!W23</f>
        <v/>
      </c>
      <c r="AE23">
        <f>2*((Scenario_Data!E23*1000)-(IF(OR(Inputs!$C$27=TRUE,Inputs!$C$27="TRUE",Inputs!$C$27=1),1,0)*(Inputs!$C$51*(115*EXP(-(((0)-25)^2)/(4.5^2))+70*EXP(-(((0)+38)^2)/(7^2))*(0.55+0.45*SIN(2*PI()*(Scenario_Data!W23)/45))+24*SIN(2*PI()*(0)/9+(Scenario_Data!W23)/18)*EXP(-(((0)+5)^2)/(22^2))+18*SIN(2*PI()*(Scenario_Data!W23)/70))+Inputs!$C$28*EXP(-(((Scenario_Data!W23)-Inputs!$C$29)^2)/(2*Inputs!$C$31^2))*EXP(-(((0)-Inputs!$C$30)^2)/(2*Inputs!$C$32^2))+-Inputs!$C$33*EXP(-(((((Scenario_Data!W23)-Inputs!$C$34)^2)+(((0)-Inputs!$C$35)^2))/(2*Inputs!$C$36^2)))+Inputs!$C$37*(0.55*SIN(2*PI()*(Scenario_Data!W23)/Inputs!$C$39)+0.35*COS(2*PI()*(0)/Inputs!$C$40)+0.2*SIN(2*PI()*((Scenario_Data!W23)+(0))/(0.5*(Inputs!$C$39+Inputs!$C$40))))+Inputs!$C$38*SIN(2*PI()*(Scenario_Data!W23)/Inputs!$C$39)*SIN(2*PI()*(0)/Inputs!$C$40)+-Inputs!$C$41*EXP(-(((0)-Inputs!$C$43)^2)/(2*Inputs!$C$44^2))*EXP(-(((Scenario_Data!W23)-Inputs!$C$42)^2)/(2*Inputs!$C$45^2))+Inputs!$C$48*(0.7*(0.45*SIN(2*PI()*(((Scenario_Data!W23)/Inputs!$C$49)+Inputs!$C$47*0.137))+0.35*COS(2*PI()*(((0)/Inputs!$C$50)+Inputs!$C$47*0.173))+0.2*SIN(2*PI()*((((Scenario_Data!W23)+(0))/(0.5*(Inputs!$C$49+Inputs!$C$50)))+Inputs!$C$47*0.097)))+0.3*(2*((SIN(((Scenario_Data!W23)*12.9898+(0)*78.233+Inputs!$C$47*37.719))*43758.5453)-INT((SIN(((Scenario_Data!W23)*12.9898+(0)*78.233+Inputs!$C$47*37.719))*43758.5453)))-1)))))/Inputs!$C$21*1000000</f>
        <v/>
      </c>
      <c r="AG23">
        <f>Scenario_Data!T23</f>
        <v/>
      </c>
      <c r="AH23">
        <f>2*(SQRT((Inputs!$C$52+(Scenario_Data!B23))^2+Inputs!$C$52^2-2*(Inputs!$C$52+(Scenario_Data!B23))*Inputs!$C$52*COS(SQRT((Scenario_Data!T23)^2+Inputs!$C$6^2)/Inputs!$C$52))*1000)/Inputs!$C$21*1000000</f>
        <v/>
      </c>
      <c r="AI23">
        <f>Scenario_Data!U23</f>
        <v/>
      </c>
      <c r="AJ23">
        <f>2*(SQRT((Inputs!$C$52+(Scenario_Data!C23))^2+Inputs!$C$52^2-2*(Inputs!$C$52+(Scenario_Data!C23))*Inputs!$C$52*COS(SQRT((Scenario_Data!U23)^2+Inputs!$C$6^2)/Inputs!$C$52))*1000)/Inputs!$C$21*1000000</f>
        <v/>
      </c>
      <c r="AK23">
        <f>Scenario_Data!V23</f>
        <v/>
      </c>
      <c r="AL23">
        <f>2*(SQRT((Inputs!$C$52+(Scenario_Data!D23))^2+Inputs!$C$52^2-2*(Inputs!$C$52+(Scenario_Data!D23))*Inputs!$C$52*COS(SQRT((Scenario_Data!V23)^2+Inputs!$C$6^2)/Inputs!$C$52))*1000)/Inputs!$C$21*1000000</f>
        <v/>
      </c>
      <c r="AM23">
        <f>Scenario_Data!W23</f>
        <v/>
      </c>
      <c r="AN23">
        <f>2*(SQRT((Inputs!$C$52+(Scenario_Data!E23))^2+Inputs!$C$52^2-2*(Inputs!$C$52+(Scenario_Data!E23))*Inputs!$C$52*COS(SQRT((Scenario_Data!W23)^2+Inputs!$C$6^2)/Inputs!$C$52))*1000)/Inputs!$C$21*1000000</f>
        <v/>
      </c>
      <c r="AP23">
        <f>Scenario_Data!T23</f>
        <v/>
      </c>
      <c r="AQ23">
        <f>2*(SQRT((Inputs!$C$52+(Scenario_Data!B23))^2+(Inputs!$C$52+((IF(OR(Inputs!$C$27=TRUE,Inputs!$C$27="TRUE",Inputs!$C$27=1),1,0)*(Inputs!$C$51*(115*EXP(-(((Inputs!$C$6)-25)^2)/(4.5^2))+70*EXP(-(((Inputs!$C$6)+38)^2)/(7^2))*(0.55+0.45*SIN(2*PI()*(Scenario_Data!T23)/45))+24*SIN(2*PI()*(Inputs!$C$6)/9+(Scenario_Data!T23)/18)*EXP(-(((Inputs!$C$6)+5)^2)/(22^2))+18*SIN(2*PI()*(Scenario_Data!T23)/70))+Inputs!$C$28*EXP(-(((Scenario_Data!T23)-Inputs!$C$29)^2)/(2*Inputs!$C$31^2))*EXP(-(((Inputs!$C$6)-Inputs!$C$30)^2)/(2*Inputs!$C$32^2))+-Inputs!$C$33*EXP(-(((((Scenario_Data!T23)-Inputs!$C$34)^2)+(((Inputs!$C$6)-Inputs!$C$35)^2))/(2*Inputs!$C$36^2)))+Inputs!$C$37*(0.55*SIN(2*PI()*(Scenario_Data!T23)/Inputs!$C$39)+0.35*COS(2*PI()*(Inputs!$C$6)/Inputs!$C$40)+0.2*SIN(2*PI()*((Scenario_Data!T23)+(Inputs!$C$6))/(0.5*(Inputs!$C$39+Inputs!$C$40))))+Inputs!$C$38*SIN(2*PI()*(Scenario_Data!T23)/Inputs!$C$39)*SIN(2*PI()*(Inputs!$C$6)/Inputs!$C$40)+-Inputs!$C$41*EXP(-(((Inputs!$C$6)-Inputs!$C$43)^2)/(2*Inputs!$C$44^2))*EXP(-(((Scenario_Data!T23)-Inputs!$C$42)^2)/(2*Inputs!$C$45^2))+Inputs!$C$48*(0.7*(0.45*SIN(2*PI()*(((Scenario_Data!T23)/Inputs!$C$49)+Inputs!$C$47*0.137))+0.35*COS(2*PI()*(((Inputs!$C$6)/Inputs!$C$50)+Inputs!$C$47*0.173))+0.2*SIN(2*PI()*((((Scenario_Data!T23)+(Inputs!$C$6))/(0.5*(Inputs!$C$49+Inputs!$C$50)))+Inputs!$C$47*0.097)))+0.3*(2*((SIN(((Scenario_Data!T23)*12.9898+(Inputs!$C$6)*78.233+Inputs!$C$47*37.719))*43758.5453)-INT((SIN(((Scenario_Data!T23)*12.9898+(Inputs!$C$6)*78.233+Inputs!$C$47*37.719))*43758.5453)))-1))))/1000))^2-2*(Inputs!$C$52+(Scenario_Data!B23))*(Inputs!$C$52+((IF(OR(Inputs!$C$27=TRUE,Inputs!$C$27="TRUE",Inputs!$C$27=1),1,0)*(Inputs!$C$51*(115*EXP(-(((Inputs!$C$6)-25)^2)/(4.5^2))+70*EXP(-(((Inputs!$C$6)+38)^2)/(7^2))*(0.55+0.45*SIN(2*PI()*(Scenario_Data!T23)/45))+24*SIN(2*PI()*(Inputs!$C$6)/9+(Scenario_Data!T23)/18)*EXP(-(((Inputs!$C$6)+5)^2)/(22^2))+18*SIN(2*PI()*(Scenario_Data!T23)/70))+Inputs!$C$28*EXP(-(((Scenario_Data!T23)-Inputs!$C$29)^2)/(2*Inputs!$C$31^2))*EXP(-(((Inputs!$C$6)-Inputs!$C$30)^2)/(2*Inputs!$C$32^2))+-Inputs!$C$33*EXP(-(((((Scenario_Data!T23)-Inputs!$C$34)^2)+(((Inputs!$C$6)-Inputs!$C$35)^2))/(2*Inputs!$C$36^2)))+Inputs!$C$37*(0.55*SIN(2*PI()*(Scenario_Data!T23)/Inputs!$C$39)+0.35*COS(2*PI()*(Inputs!$C$6)/Inputs!$C$40)+0.2*SIN(2*PI()*((Scenario_Data!T23)+(Inputs!$C$6))/(0.5*(Inputs!$C$39+Inputs!$C$40))))+Inputs!$C$38*SIN(2*PI()*(Scenario_Data!T23)/Inputs!$C$39)*SIN(2*PI()*(Inputs!$C$6)/Inputs!$C$40)+-Inputs!$C$41*EXP(-(((Inputs!$C$6)-Inputs!$C$43)^2)/(2*Inputs!$C$44^2))*EXP(-(((Scenario_Data!T23)-Inputs!$C$42)^2)/(2*Inputs!$C$45^2))+Inputs!$C$48*(0.7*(0.45*SIN(2*PI()*(((Scenario_Data!T23)/Inputs!$C$49)+Inputs!$C$47*0.137))+0.35*COS(2*PI()*(((Inputs!$C$6)/Inputs!$C$50)+Inputs!$C$47*0.173))+0.2*SIN(2*PI()*((((Scenario_Data!T23)+(Inputs!$C$6))/(0.5*(Inputs!$C$49+Inputs!$C$50)))+Inputs!$C$47*0.097)))+0.3*(2*((SIN(((Scenario_Data!T23)*12.9898+(Inputs!$C$6)*78.233+Inputs!$C$47*37.719))*43758.5453)-INT((SIN(((Scenario_Data!T23)*12.9898+(Inputs!$C$6)*78.233+Inputs!$C$47*37.719))*43758.5453)))-1))))/1000))*COS(SQRT((Scenario_Data!T23)^2+Inputs!$C$6^2)/Inputs!$C$52))*1000)/Inputs!$C$21*1000000</f>
        <v/>
      </c>
      <c r="AR23">
        <f>Scenario_Data!U23</f>
        <v/>
      </c>
      <c r="AS23">
        <f>2*(SQRT((Inputs!$C$52+(Scenario_Data!C23))^2+(Inputs!$C$52+((IF(OR(Inputs!$C$27=TRUE,Inputs!$C$27="TRUE",Inputs!$C$27=1),1,0)*(Inputs!$C$51*(115*EXP(-(((Inputs!$C$6)-25)^2)/(4.5^2))+70*EXP(-(((Inputs!$C$6)+38)^2)/(7^2))*(0.55+0.45*SIN(2*PI()*(Scenario_Data!U23)/45))+24*SIN(2*PI()*(Inputs!$C$6)/9+(Scenario_Data!U23)/18)*EXP(-(((Inputs!$C$6)+5)^2)/(22^2))+18*SIN(2*PI()*(Scenario_Data!U23)/70))+Inputs!$C$28*EXP(-(((Scenario_Data!U23)-Inputs!$C$29)^2)/(2*Inputs!$C$31^2))*EXP(-(((Inputs!$C$6)-Inputs!$C$30)^2)/(2*Inputs!$C$32^2))+-Inputs!$C$33*EXP(-(((((Scenario_Data!U23)-Inputs!$C$34)^2)+(((Inputs!$C$6)-Inputs!$C$35)^2))/(2*Inputs!$C$36^2)))+Inputs!$C$37*(0.55*SIN(2*PI()*(Scenario_Data!U23)/Inputs!$C$39)+0.35*COS(2*PI()*(Inputs!$C$6)/Inputs!$C$40)+0.2*SIN(2*PI()*((Scenario_Data!U23)+(Inputs!$C$6))/(0.5*(Inputs!$C$39+Inputs!$C$40))))+Inputs!$C$38*SIN(2*PI()*(Scenario_Data!U23)/Inputs!$C$39)*SIN(2*PI()*(Inputs!$C$6)/Inputs!$C$40)+-Inputs!$C$41*EXP(-(((Inputs!$C$6)-Inputs!$C$43)^2)/(2*Inputs!$C$44^2))*EXP(-(((Scenario_Data!U23)-Inputs!$C$42)^2)/(2*Inputs!$C$45^2))+Inputs!$C$48*(0.7*(0.45*SIN(2*PI()*(((Scenario_Data!U23)/Inputs!$C$49)+Inputs!$C$47*0.137))+0.35*COS(2*PI()*(((Inputs!$C$6)/Inputs!$C$50)+Inputs!$C$47*0.173))+0.2*SIN(2*PI()*((((Scenario_Data!U23)+(Inputs!$C$6))/(0.5*(Inputs!$C$49+Inputs!$C$50)))+Inputs!$C$47*0.097)))+0.3*(2*((SIN(((Scenario_Data!U23)*12.9898+(Inputs!$C$6)*78.233+Inputs!$C$47*37.719))*43758.5453)-INT((SIN(((Scenario_Data!U23)*12.9898+(Inputs!$C$6)*78.233+Inputs!$C$47*37.719))*43758.5453)))-1))))/1000))^2-2*(Inputs!$C$52+(Scenario_Data!C23))*(Inputs!$C$52+((IF(OR(Inputs!$C$27=TRUE,Inputs!$C$27="TRUE",Inputs!$C$27=1),1,0)*(Inputs!$C$51*(115*EXP(-(((Inputs!$C$6)-25)^2)/(4.5^2))+70*EXP(-(((Inputs!$C$6)+38)^2)/(7^2))*(0.55+0.45*SIN(2*PI()*(Scenario_Data!U23)/45))+24*SIN(2*PI()*(Inputs!$C$6)/9+(Scenario_Data!U23)/18)*EXP(-(((Inputs!$C$6)+5)^2)/(22^2))+18*SIN(2*PI()*(Scenario_Data!U23)/70))+Inputs!$C$28*EXP(-(((Scenario_Data!U23)-Inputs!$C$29)^2)/(2*Inputs!$C$31^2))*EXP(-(((Inputs!$C$6)-Inputs!$C$30)^2)/(2*Inputs!$C$32^2))+-Inputs!$C$33*EXP(-(((((Scenario_Data!U23)-Inputs!$C$34)^2)+(((Inputs!$C$6)-Inputs!$C$35)^2))/(2*Inputs!$C$36^2)))+Inputs!$C$37*(0.55*SIN(2*PI()*(Scenario_Data!U23)/Inputs!$C$39)+0.35*COS(2*PI()*(Inputs!$C$6)/Inputs!$C$40)+0.2*SIN(2*PI()*((Scenario_Data!U23)+(Inputs!$C$6))/(0.5*(Inputs!$C$39+Inputs!$C$40))))+Inputs!$C$38*SIN(2*PI()*(Scenario_Data!U23)/Inputs!$C$39)*SIN(2*PI()*(Inputs!$C$6)/Inputs!$C$40)+-Inputs!$C$41*EXP(-(((Inputs!$C$6)-Inputs!$C$43)^2)/(2*Inputs!$C$44^2))*EXP(-(((Scenario_Data!U23)-Inputs!$C$42)^2)/(2*Inputs!$C$45^2))+Inputs!$C$48*(0.7*(0.45*SIN(2*PI()*(((Scenario_Data!U23)/Inputs!$C$49)+Inputs!$C$47*0.137))+0.35*COS(2*PI()*(((Inputs!$C$6)/Inputs!$C$50)+Inputs!$C$47*0.173))+0.2*SIN(2*PI()*((((Scenario_Data!U23)+(Inputs!$C$6))/(0.5*(Inputs!$C$49+Inputs!$C$50)))+Inputs!$C$47*0.097)))+0.3*(2*((SIN(((Scenario_Data!U23)*12.9898+(Inputs!$C$6)*78.233+Inputs!$C$47*37.719))*43758.5453)-INT((SIN(((Scenario_Data!U23)*12.9898+(Inputs!$C$6)*78.233+Inputs!$C$47*37.719))*43758.5453)))-1))))/1000))*COS(SQRT((Scenario_Data!U23)^2+Inputs!$C$6^2)/Inputs!$C$52))*1000)/Inputs!$C$21*1000000</f>
        <v/>
      </c>
      <c r="AT23">
        <f>Scenario_Data!V23</f>
        <v/>
      </c>
      <c r="AU23">
        <f>2*(SQRT((Inputs!$C$52+(Scenario_Data!D23))^2+(Inputs!$C$52+((IF(OR(Inputs!$C$27=TRUE,Inputs!$C$27="TRUE",Inputs!$C$27=1),1,0)*(Inputs!$C$51*(115*EXP(-(((Inputs!$C$6)-25)^2)/(4.5^2))+70*EXP(-(((Inputs!$C$6)+38)^2)/(7^2))*(0.55+0.45*SIN(2*PI()*(Scenario_Data!V23)/45))+24*SIN(2*PI()*(Inputs!$C$6)/9+(Scenario_Data!V23)/18)*EXP(-(((Inputs!$C$6)+5)^2)/(22^2))+18*SIN(2*PI()*(Scenario_Data!V23)/70))+Inputs!$C$28*EXP(-(((Scenario_Data!V23)-Inputs!$C$29)^2)/(2*Inputs!$C$31^2))*EXP(-(((Inputs!$C$6)-Inputs!$C$30)^2)/(2*Inputs!$C$32^2))+-Inputs!$C$33*EXP(-(((((Scenario_Data!V23)-Inputs!$C$34)^2)+(((Inputs!$C$6)-Inputs!$C$35)^2))/(2*Inputs!$C$36^2)))+Inputs!$C$37*(0.55*SIN(2*PI()*(Scenario_Data!V23)/Inputs!$C$39)+0.35*COS(2*PI()*(Inputs!$C$6)/Inputs!$C$40)+0.2*SIN(2*PI()*((Scenario_Data!V23)+(Inputs!$C$6))/(0.5*(Inputs!$C$39+Inputs!$C$40))))+Inputs!$C$38*SIN(2*PI()*(Scenario_Data!V23)/Inputs!$C$39)*SIN(2*PI()*(Inputs!$C$6)/Inputs!$C$40)+-Inputs!$C$41*EXP(-(((Inputs!$C$6)-Inputs!$C$43)^2)/(2*Inputs!$C$44^2))*EXP(-(((Scenario_Data!V23)-Inputs!$C$42)^2)/(2*Inputs!$C$45^2))+Inputs!$C$48*(0.7*(0.45*SIN(2*PI()*(((Scenario_Data!V23)/Inputs!$C$49)+Inputs!$C$47*0.137))+0.35*COS(2*PI()*(((Inputs!$C$6)/Inputs!$C$50)+Inputs!$C$47*0.173))+0.2*SIN(2*PI()*((((Scenario_Data!V23)+(Inputs!$C$6))/(0.5*(Inputs!$C$49+Inputs!$C$50)))+Inputs!$C$47*0.097)))+0.3*(2*((SIN(((Scenario_Data!V23)*12.9898+(Inputs!$C$6)*78.233+Inputs!$C$47*37.719))*43758.5453)-INT((SIN(((Scenario_Data!V23)*12.9898+(Inputs!$C$6)*78.233+Inputs!$C$47*37.719))*43758.5453)))-1))))/1000))^2-2*(Inputs!$C$52+(Scenario_Data!D23))*(Inputs!$C$52+((IF(OR(Inputs!$C$27=TRUE,Inputs!$C$27="TRUE",Inputs!$C$27=1),1,0)*(Inputs!$C$51*(115*EXP(-(((Inputs!$C$6)-25)^2)/(4.5^2))+70*EXP(-(((Inputs!$C$6)+38)^2)/(7^2))*(0.55+0.45*SIN(2*PI()*(Scenario_Data!V23)/45))+24*SIN(2*PI()*(Inputs!$C$6)/9+(Scenario_Data!V23)/18)*EXP(-(((Inputs!$C$6)+5)^2)/(22^2))+18*SIN(2*PI()*(Scenario_Data!V23)/70))+Inputs!$C$28*EXP(-(((Scenario_Data!V23)-Inputs!$C$29)^2)/(2*Inputs!$C$31^2))*EXP(-(((Inputs!$C$6)-Inputs!$C$30)^2)/(2*Inputs!$C$32^2))+-Inputs!$C$33*EXP(-(((((Scenario_Data!V23)-Inputs!$C$34)^2)+(((Inputs!$C$6)-Inputs!$C$35)^2))/(2*Inputs!$C$36^2)))+Inputs!$C$37*(0.55*SIN(2*PI()*(Scenario_Data!V23)/Inputs!$C$39)+0.35*COS(2*PI()*(Inputs!$C$6)/Inputs!$C$40)+0.2*SIN(2*PI()*((Scenario_Data!V23)+(Inputs!$C$6))/(0.5*(Inputs!$C$39+Inputs!$C$40))))+Inputs!$C$38*SIN(2*PI()*(Scenario_Data!V23)/Inputs!$C$39)*SIN(2*PI()*(Inputs!$C$6)/Inputs!$C$40)+-Inputs!$C$41*EXP(-(((Inputs!$C$6)-Inputs!$C$43)^2)/(2*Inputs!$C$44^2))*EXP(-(((Scenario_Data!V23)-Inputs!$C$42)^2)/(2*Inputs!$C$45^2))+Inputs!$C$48*(0.7*(0.45*SIN(2*PI()*(((Scenario_Data!V23)/Inputs!$C$49)+Inputs!$C$47*0.137))+0.35*COS(2*PI()*(((Inputs!$C$6)/Inputs!$C$50)+Inputs!$C$47*0.173))+0.2*SIN(2*PI()*((((Scenario_Data!V23)+(Inputs!$C$6))/(0.5*(Inputs!$C$49+Inputs!$C$50)))+Inputs!$C$47*0.097)))+0.3*(2*((SIN(((Scenario_Data!V23)*12.9898+(Inputs!$C$6)*78.233+Inputs!$C$47*37.719))*43758.5453)-INT((SIN(((Scenario_Data!V23)*12.9898+(Inputs!$C$6)*78.233+Inputs!$C$47*37.719))*43758.5453)))-1))))/1000))*COS(SQRT((Scenario_Data!V23)^2+Inputs!$C$6^2)/Inputs!$C$52))*1000)/Inputs!$C$21*1000000</f>
        <v/>
      </c>
      <c r="AV23">
        <f>Scenario_Data!W23</f>
        <v/>
      </c>
      <c r="AW23">
        <f>2*(SQRT((Inputs!$C$52+(Scenario_Data!E23))^2+(Inputs!$C$52+((IF(OR(Inputs!$C$27=TRUE,Inputs!$C$27="TRUE",Inputs!$C$27=1),1,0)*(Inputs!$C$51*(115*EXP(-(((Inputs!$C$6)-25)^2)/(4.5^2))+70*EXP(-(((Inputs!$C$6)+38)^2)/(7^2))*(0.55+0.45*SIN(2*PI()*(Scenario_Data!W23)/45))+24*SIN(2*PI()*(Inputs!$C$6)/9+(Scenario_Data!W23)/18)*EXP(-(((Inputs!$C$6)+5)^2)/(22^2))+18*SIN(2*PI()*(Scenario_Data!W23)/70))+Inputs!$C$28*EXP(-(((Scenario_Data!W23)-Inputs!$C$29)^2)/(2*Inputs!$C$31^2))*EXP(-(((Inputs!$C$6)-Inputs!$C$30)^2)/(2*Inputs!$C$32^2))+-Inputs!$C$33*EXP(-(((((Scenario_Data!W23)-Inputs!$C$34)^2)+(((Inputs!$C$6)-Inputs!$C$35)^2))/(2*Inputs!$C$36^2)))+Inputs!$C$37*(0.55*SIN(2*PI()*(Scenario_Data!W23)/Inputs!$C$39)+0.35*COS(2*PI()*(Inputs!$C$6)/Inputs!$C$40)+0.2*SIN(2*PI()*((Scenario_Data!W23)+(Inputs!$C$6))/(0.5*(Inputs!$C$39+Inputs!$C$40))))+Inputs!$C$38*SIN(2*PI()*(Scenario_Data!W23)/Inputs!$C$39)*SIN(2*PI()*(Inputs!$C$6)/Inputs!$C$40)+-Inputs!$C$41*EXP(-(((Inputs!$C$6)-Inputs!$C$43)^2)/(2*Inputs!$C$44^2))*EXP(-(((Scenario_Data!W23)-Inputs!$C$42)^2)/(2*Inputs!$C$45^2))+Inputs!$C$48*(0.7*(0.45*SIN(2*PI()*(((Scenario_Data!W23)/Inputs!$C$49)+Inputs!$C$47*0.137))+0.35*COS(2*PI()*(((Inputs!$C$6)/Inputs!$C$50)+Inputs!$C$47*0.173))+0.2*SIN(2*PI()*((((Scenario_Data!W23)+(Inputs!$C$6))/(0.5*(Inputs!$C$49+Inputs!$C$50)))+Inputs!$C$47*0.097)))+0.3*(2*((SIN(((Scenario_Data!W23)*12.9898+(Inputs!$C$6)*78.233+Inputs!$C$47*37.719))*43758.5453)-INT((SIN(((Scenario_Data!W23)*12.9898+(Inputs!$C$6)*78.233+Inputs!$C$47*37.719))*43758.5453)))-1))))/1000))^2-2*(Inputs!$C$52+(Scenario_Data!E23))*(Inputs!$C$52+((IF(OR(Inputs!$C$27=TRUE,Inputs!$C$27="TRUE",Inputs!$C$27=1),1,0)*(Inputs!$C$51*(115*EXP(-(((Inputs!$C$6)-25)^2)/(4.5^2))+70*EXP(-(((Inputs!$C$6)+38)^2)/(7^2))*(0.55+0.45*SIN(2*PI()*(Scenario_Data!W23)/45))+24*SIN(2*PI()*(Inputs!$C$6)/9+(Scenario_Data!W23)/18)*EXP(-(((Inputs!$C$6)+5)^2)/(22^2))+18*SIN(2*PI()*(Scenario_Data!W23)/70))+Inputs!$C$28*EXP(-(((Scenario_Data!W23)-Inputs!$C$29)^2)/(2*Inputs!$C$31^2))*EXP(-(((Inputs!$C$6)-Inputs!$C$30)^2)/(2*Inputs!$C$32^2))+-Inputs!$C$33*EXP(-(((((Scenario_Data!W23)-Inputs!$C$34)^2)+(((Inputs!$C$6)-Inputs!$C$35)^2))/(2*Inputs!$C$36^2)))+Inputs!$C$37*(0.55*SIN(2*PI()*(Scenario_Data!W23)/Inputs!$C$39)+0.35*COS(2*PI()*(Inputs!$C$6)/Inputs!$C$40)+0.2*SIN(2*PI()*((Scenario_Data!W23)+(Inputs!$C$6))/(0.5*(Inputs!$C$39+Inputs!$C$40))))+Inputs!$C$38*SIN(2*PI()*(Scenario_Data!W23)/Inputs!$C$39)*SIN(2*PI()*(Inputs!$C$6)/Inputs!$C$40)+-Inputs!$C$41*EXP(-(((Inputs!$C$6)-Inputs!$C$43)^2)/(2*Inputs!$C$44^2))*EXP(-(((Scenario_Data!W23)-Inputs!$C$42)^2)/(2*Inputs!$C$45^2))+Inputs!$C$48*(0.7*(0.45*SIN(2*PI()*(((Scenario_Data!W23)/Inputs!$C$49)+Inputs!$C$47*0.137))+0.35*COS(2*PI()*(((Inputs!$C$6)/Inputs!$C$50)+Inputs!$C$47*0.173))+0.2*SIN(2*PI()*((((Scenario_Data!W23)+(Inputs!$C$6))/(0.5*(Inputs!$C$49+Inputs!$C$50)))+Inputs!$C$47*0.097)))+0.3*(2*((SIN(((Scenario_Data!W23)*12.9898+(Inputs!$C$6)*78.233+Inputs!$C$47*37.719))*43758.5453)-INT((SIN(((Scenario_Data!W23)*12.9898+(Inputs!$C$6)*78.233+Inputs!$C$47*37.719))*43758.5453)))-1))))/1000))*COS(SQRT((Scenario_Data!W23)^2+Inputs!$C$6^2)/Inputs!$C$52))*1000)/Inputs!$C$21*1000000</f>
        <v/>
      </c>
    </row>
    <row r="24">
      <c r="A24">
        <f>Chart_Data!K24</f>
        <v/>
      </c>
      <c r="B24">
        <f>Chart_Data!N24-Chart_Data!L24</f>
        <v/>
      </c>
      <c r="D24">
        <f>Chart_Data!G24</f>
        <v/>
      </c>
      <c r="E24">
        <f>Chart_Data!H24</f>
        <v/>
      </c>
      <c r="F24">
        <f>Chart_Data!I24</f>
        <v/>
      </c>
      <c r="G24">
        <f>Chart_Data!J24</f>
        <v/>
      </c>
      <c r="I24">
        <f>Scenario_Data!A24</f>
        <v/>
      </c>
      <c r="J24">
        <f>Scenario_Data!H24-(((SQRT((Inputs!$C$52+(Inputs!$H$6))^2+Inputs!$C$52^2-2*(Inputs!$C$52+(Inputs!$H$6))*Inputs!$C$52*COS(SQRT((Scenario_Data!T24)^2+Inputs!$C$6^2)/Inputs!$C$52)))-(Inputs!$H$6))*1000/Inputs!$C$12)</f>
        <v/>
      </c>
      <c r="K24">
        <f>Scenario_Data!I24-(((SQRT((Inputs!$C$52+(Inputs!$H$7))^2+Inputs!$C$52^2-2*(Inputs!$C$52+(Inputs!$H$7))*Inputs!$C$52*COS(SQRT((Scenario_Data!U24)^2+Inputs!$C$6^2)/Inputs!$C$52)))-(Inputs!$H$7))*1000/Inputs!$C$12)</f>
        <v/>
      </c>
      <c r="L24">
        <f>Scenario_Data!J24-(((SQRT((Inputs!$C$52+(Inputs!$H$8))^2+Inputs!$C$52^2-2*(Inputs!$C$52+(Inputs!$H$8))*Inputs!$C$52*COS(SQRT((Scenario_Data!V24)^2+Inputs!$C$6^2)/Inputs!$C$52)))-(Inputs!$H$8))*1000/Inputs!$C$12)</f>
        <v/>
      </c>
      <c r="M24">
        <f>Scenario_Data!K24-(((SQRT((Inputs!$C$52+(Inputs!$H$9))^2+Inputs!$C$52^2-2*(Inputs!$C$52+(Inputs!$H$9))*Inputs!$C$52*COS(SQRT((Scenario_Data!W24)^2+Inputs!$C$6^2)/Inputs!$C$52)))-(Inputs!$H$9))*1000/Inputs!$C$12)</f>
        <v/>
      </c>
      <c r="O24">
        <f>Scenario_Data!T24</f>
        <v/>
      </c>
      <c r="P24">
        <f>2*(Scenario_Data!B24*1000)/Inputs!$C$21*1000000</f>
        <v/>
      </c>
      <c r="Q24">
        <f>Scenario_Data!U24</f>
        <v/>
      </c>
      <c r="R24">
        <f>2*(Scenario_Data!C24*1000)/Inputs!$C$21*1000000</f>
        <v/>
      </c>
      <c r="S24">
        <f>Scenario_Data!V24</f>
        <v/>
      </c>
      <c r="T24">
        <f>2*(Scenario_Data!D24*1000)/Inputs!$C$21*1000000</f>
        <v/>
      </c>
      <c r="U24">
        <f>Scenario_Data!W24</f>
        <v/>
      </c>
      <c r="V24">
        <f>2*(Scenario_Data!E24*1000)/Inputs!$C$21*1000000</f>
        <v/>
      </c>
      <c r="X24">
        <f>Scenario_Data!T24</f>
        <v/>
      </c>
      <c r="Y24">
        <f>2*((Scenario_Data!B24*1000)-(IF(OR(Inputs!$C$27=TRUE,Inputs!$C$27="TRUE",Inputs!$C$27=1),1,0)*(Inputs!$C$51*(115*EXP(-(((0)-25)^2)/(4.5^2))+70*EXP(-(((0)+38)^2)/(7^2))*(0.55+0.45*SIN(2*PI()*(Scenario_Data!T24)/45))+24*SIN(2*PI()*(0)/9+(Scenario_Data!T24)/18)*EXP(-(((0)+5)^2)/(22^2))+18*SIN(2*PI()*(Scenario_Data!T24)/70))+Inputs!$C$28*EXP(-(((Scenario_Data!T24)-Inputs!$C$29)^2)/(2*Inputs!$C$31^2))*EXP(-(((0)-Inputs!$C$30)^2)/(2*Inputs!$C$32^2))+-Inputs!$C$33*EXP(-(((((Scenario_Data!T24)-Inputs!$C$34)^2)+(((0)-Inputs!$C$35)^2))/(2*Inputs!$C$36^2)))+Inputs!$C$37*(0.55*SIN(2*PI()*(Scenario_Data!T24)/Inputs!$C$39)+0.35*COS(2*PI()*(0)/Inputs!$C$40)+0.2*SIN(2*PI()*((Scenario_Data!T24)+(0))/(0.5*(Inputs!$C$39+Inputs!$C$40))))+Inputs!$C$38*SIN(2*PI()*(Scenario_Data!T24)/Inputs!$C$39)*SIN(2*PI()*(0)/Inputs!$C$40)+-Inputs!$C$41*EXP(-(((0)-Inputs!$C$43)^2)/(2*Inputs!$C$44^2))*EXP(-(((Scenario_Data!T24)-Inputs!$C$42)^2)/(2*Inputs!$C$45^2))+Inputs!$C$48*(0.7*(0.45*SIN(2*PI()*(((Scenario_Data!T24)/Inputs!$C$49)+Inputs!$C$47*0.137))+0.35*COS(2*PI()*(((0)/Inputs!$C$50)+Inputs!$C$47*0.173))+0.2*SIN(2*PI()*((((Scenario_Data!T24)+(0))/(0.5*(Inputs!$C$49+Inputs!$C$50)))+Inputs!$C$47*0.097)))+0.3*(2*((SIN(((Scenario_Data!T24)*12.9898+(0)*78.233+Inputs!$C$47*37.719))*43758.5453)-INT((SIN(((Scenario_Data!T24)*12.9898+(0)*78.233+Inputs!$C$47*37.719))*43758.5453)))-1)))))/Inputs!$C$21*1000000</f>
        <v/>
      </c>
      <c r="Z24">
        <f>Scenario_Data!U24</f>
        <v/>
      </c>
      <c r="AA24">
        <f>2*((Scenario_Data!C24*1000)-(IF(OR(Inputs!$C$27=TRUE,Inputs!$C$27="TRUE",Inputs!$C$27=1),1,0)*(Inputs!$C$51*(115*EXP(-(((0)-25)^2)/(4.5^2))+70*EXP(-(((0)+38)^2)/(7^2))*(0.55+0.45*SIN(2*PI()*(Scenario_Data!U24)/45))+24*SIN(2*PI()*(0)/9+(Scenario_Data!U24)/18)*EXP(-(((0)+5)^2)/(22^2))+18*SIN(2*PI()*(Scenario_Data!U24)/70))+Inputs!$C$28*EXP(-(((Scenario_Data!U24)-Inputs!$C$29)^2)/(2*Inputs!$C$31^2))*EXP(-(((0)-Inputs!$C$30)^2)/(2*Inputs!$C$32^2))+-Inputs!$C$33*EXP(-(((((Scenario_Data!U24)-Inputs!$C$34)^2)+(((0)-Inputs!$C$35)^2))/(2*Inputs!$C$36^2)))+Inputs!$C$37*(0.55*SIN(2*PI()*(Scenario_Data!U24)/Inputs!$C$39)+0.35*COS(2*PI()*(0)/Inputs!$C$40)+0.2*SIN(2*PI()*((Scenario_Data!U24)+(0))/(0.5*(Inputs!$C$39+Inputs!$C$40))))+Inputs!$C$38*SIN(2*PI()*(Scenario_Data!U24)/Inputs!$C$39)*SIN(2*PI()*(0)/Inputs!$C$40)+-Inputs!$C$41*EXP(-(((0)-Inputs!$C$43)^2)/(2*Inputs!$C$44^2))*EXP(-(((Scenario_Data!U24)-Inputs!$C$42)^2)/(2*Inputs!$C$45^2))+Inputs!$C$48*(0.7*(0.45*SIN(2*PI()*(((Scenario_Data!U24)/Inputs!$C$49)+Inputs!$C$47*0.137))+0.35*COS(2*PI()*(((0)/Inputs!$C$50)+Inputs!$C$47*0.173))+0.2*SIN(2*PI()*((((Scenario_Data!U24)+(0))/(0.5*(Inputs!$C$49+Inputs!$C$50)))+Inputs!$C$47*0.097)))+0.3*(2*((SIN(((Scenario_Data!U24)*12.9898+(0)*78.233+Inputs!$C$47*37.719))*43758.5453)-INT((SIN(((Scenario_Data!U24)*12.9898+(0)*78.233+Inputs!$C$47*37.719))*43758.5453)))-1)))))/Inputs!$C$21*1000000</f>
        <v/>
      </c>
      <c r="AB24">
        <f>Scenario_Data!V24</f>
        <v/>
      </c>
      <c r="AC24">
        <f>2*((Scenario_Data!D24*1000)-(IF(OR(Inputs!$C$27=TRUE,Inputs!$C$27="TRUE",Inputs!$C$27=1),1,0)*(Inputs!$C$51*(115*EXP(-(((0)-25)^2)/(4.5^2))+70*EXP(-(((0)+38)^2)/(7^2))*(0.55+0.45*SIN(2*PI()*(Scenario_Data!V24)/45))+24*SIN(2*PI()*(0)/9+(Scenario_Data!V24)/18)*EXP(-(((0)+5)^2)/(22^2))+18*SIN(2*PI()*(Scenario_Data!V24)/70))+Inputs!$C$28*EXP(-(((Scenario_Data!V24)-Inputs!$C$29)^2)/(2*Inputs!$C$31^2))*EXP(-(((0)-Inputs!$C$30)^2)/(2*Inputs!$C$32^2))+-Inputs!$C$33*EXP(-(((((Scenario_Data!V24)-Inputs!$C$34)^2)+(((0)-Inputs!$C$35)^2))/(2*Inputs!$C$36^2)))+Inputs!$C$37*(0.55*SIN(2*PI()*(Scenario_Data!V24)/Inputs!$C$39)+0.35*COS(2*PI()*(0)/Inputs!$C$40)+0.2*SIN(2*PI()*((Scenario_Data!V24)+(0))/(0.5*(Inputs!$C$39+Inputs!$C$40))))+Inputs!$C$38*SIN(2*PI()*(Scenario_Data!V24)/Inputs!$C$39)*SIN(2*PI()*(0)/Inputs!$C$40)+-Inputs!$C$41*EXP(-(((0)-Inputs!$C$43)^2)/(2*Inputs!$C$44^2))*EXP(-(((Scenario_Data!V24)-Inputs!$C$42)^2)/(2*Inputs!$C$45^2))+Inputs!$C$48*(0.7*(0.45*SIN(2*PI()*(((Scenario_Data!V24)/Inputs!$C$49)+Inputs!$C$47*0.137))+0.35*COS(2*PI()*(((0)/Inputs!$C$50)+Inputs!$C$47*0.173))+0.2*SIN(2*PI()*((((Scenario_Data!V24)+(0))/(0.5*(Inputs!$C$49+Inputs!$C$50)))+Inputs!$C$47*0.097)))+0.3*(2*((SIN(((Scenario_Data!V24)*12.9898+(0)*78.233+Inputs!$C$47*37.719))*43758.5453)-INT((SIN(((Scenario_Data!V24)*12.9898+(0)*78.233+Inputs!$C$47*37.719))*43758.5453)))-1)))))/Inputs!$C$21*1000000</f>
        <v/>
      </c>
      <c r="AD24">
        <f>Scenario_Data!W24</f>
        <v/>
      </c>
      <c r="AE24">
        <f>2*((Scenario_Data!E24*1000)-(IF(OR(Inputs!$C$27=TRUE,Inputs!$C$27="TRUE",Inputs!$C$27=1),1,0)*(Inputs!$C$51*(115*EXP(-(((0)-25)^2)/(4.5^2))+70*EXP(-(((0)+38)^2)/(7^2))*(0.55+0.45*SIN(2*PI()*(Scenario_Data!W24)/45))+24*SIN(2*PI()*(0)/9+(Scenario_Data!W24)/18)*EXP(-(((0)+5)^2)/(22^2))+18*SIN(2*PI()*(Scenario_Data!W24)/70))+Inputs!$C$28*EXP(-(((Scenario_Data!W24)-Inputs!$C$29)^2)/(2*Inputs!$C$31^2))*EXP(-(((0)-Inputs!$C$30)^2)/(2*Inputs!$C$32^2))+-Inputs!$C$33*EXP(-(((((Scenario_Data!W24)-Inputs!$C$34)^2)+(((0)-Inputs!$C$35)^2))/(2*Inputs!$C$36^2)))+Inputs!$C$37*(0.55*SIN(2*PI()*(Scenario_Data!W24)/Inputs!$C$39)+0.35*COS(2*PI()*(0)/Inputs!$C$40)+0.2*SIN(2*PI()*((Scenario_Data!W24)+(0))/(0.5*(Inputs!$C$39+Inputs!$C$40))))+Inputs!$C$38*SIN(2*PI()*(Scenario_Data!W24)/Inputs!$C$39)*SIN(2*PI()*(0)/Inputs!$C$40)+-Inputs!$C$41*EXP(-(((0)-Inputs!$C$43)^2)/(2*Inputs!$C$44^2))*EXP(-(((Scenario_Data!W24)-Inputs!$C$42)^2)/(2*Inputs!$C$45^2))+Inputs!$C$48*(0.7*(0.45*SIN(2*PI()*(((Scenario_Data!W24)/Inputs!$C$49)+Inputs!$C$47*0.137))+0.35*COS(2*PI()*(((0)/Inputs!$C$50)+Inputs!$C$47*0.173))+0.2*SIN(2*PI()*((((Scenario_Data!W24)+(0))/(0.5*(Inputs!$C$49+Inputs!$C$50)))+Inputs!$C$47*0.097)))+0.3*(2*((SIN(((Scenario_Data!W24)*12.9898+(0)*78.233+Inputs!$C$47*37.719))*43758.5453)-INT((SIN(((Scenario_Data!W24)*12.9898+(0)*78.233+Inputs!$C$47*37.719))*43758.5453)))-1)))))/Inputs!$C$21*1000000</f>
        <v/>
      </c>
      <c r="AG24">
        <f>Scenario_Data!T24</f>
        <v/>
      </c>
      <c r="AH24">
        <f>2*(SQRT((Inputs!$C$52+(Scenario_Data!B24))^2+Inputs!$C$52^2-2*(Inputs!$C$52+(Scenario_Data!B24))*Inputs!$C$52*COS(SQRT((Scenario_Data!T24)^2+Inputs!$C$6^2)/Inputs!$C$52))*1000)/Inputs!$C$21*1000000</f>
        <v/>
      </c>
      <c r="AI24">
        <f>Scenario_Data!U24</f>
        <v/>
      </c>
      <c r="AJ24">
        <f>2*(SQRT((Inputs!$C$52+(Scenario_Data!C24))^2+Inputs!$C$52^2-2*(Inputs!$C$52+(Scenario_Data!C24))*Inputs!$C$52*COS(SQRT((Scenario_Data!U24)^2+Inputs!$C$6^2)/Inputs!$C$52))*1000)/Inputs!$C$21*1000000</f>
        <v/>
      </c>
      <c r="AK24">
        <f>Scenario_Data!V24</f>
        <v/>
      </c>
      <c r="AL24">
        <f>2*(SQRT((Inputs!$C$52+(Scenario_Data!D24))^2+Inputs!$C$52^2-2*(Inputs!$C$52+(Scenario_Data!D24))*Inputs!$C$52*COS(SQRT((Scenario_Data!V24)^2+Inputs!$C$6^2)/Inputs!$C$52))*1000)/Inputs!$C$21*1000000</f>
        <v/>
      </c>
      <c r="AM24">
        <f>Scenario_Data!W24</f>
        <v/>
      </c>
      <c r="AN24">
        <f>2*(SQRT((Inputs!$C$52+(Scenario_Data!E24))^2+Inputs!$C$52^2-2*(Inputs!$C$52+(Scenario_Data!E24))*Inputs!$C$52*COS(SQRT((Scenario_Data!W24)^2+Inputs!$C$6^2)/Inputs!$C$52))*1000)/Inputs!$C$21*1000000</f>
        <v/>
      </c>
      <c r="AP24">
        <f>Scenario_Data!T24</f>
        <v/>
      </c>
      <c r="AQ24">
        <f>2*(SQRT((Inputs!$C$52+(Scenario_Data!B24))^2+(Inputs!$C$52+((IF(OR(Inputs!$C$27=TRUE,Inputs!$C$27="TRUE",Inputs!$C$27=1),1,0)*(Inputs!$C$51*(115*EXP(-(((Inputs!$C$6)-25)^2)/(4.5^2))+70*EXP(-(((Inputs!$C$6)+38)^2)/(7^2))*(0.55+0.45*SIN(2*PI()*(Scenario_Data!T24)/45))+24*SIN(2*PI()*(Inputs!$C$6)/9+(Scenario_Data!T24)/18)*EXP(-(((Inputs!$C$6)+5)^2)/(22^2))+18*SIN(2*PI()*(Scenario_Data!T24)/70))+Inputs!$C$28*EXP(-(((Scenario_Data!T24)-Inputs!$C$29)^2)/(2*Inputs!$C$31^2))*EXP(-(((Inputs!$C$6)-Inputs!$C$30)^2)/(2*Inputs!$C$32^2))+-Inputs!$C$33*EXP(-(((((Scenario_Data!T24)-Inputs!$C$34)^2)+(((Inputs!$C$6)-Inputs!$C$35)^2))/(2*Inputs!$C$36^2)))+Inputs!$C$37*(0.55*SIN(2*PI()*(Scenario_Data!T24)/Inputs!$C$39)+0.35*COS(2*PI()*(Inputs!$C$6)/Inputs!$C$40)+0.2*SIN(2*PI()*((Scenario_Data!T24)+(Inputs!$C$6))/(0.5*(Inputs!$C$39+Inputs!$C$40))))+Inputs!$C$38*SIN(2*PI()*(Scenario_Data!T24)/Inputs!$C$39)*SIN(2*PI()*(Inputs!$C$6)/Inputs!$C$40)+-Inputs!$C$41*EXP(-(((Inputs!$C$6)-Inputs!$C$43)^2)/(2*Inputs!$C$44^2))*EXP(-(((Scenario_Data!T24)-Inputs!$C$42)^2)/(2*Inputs!$C$45^2))+Inputs!$C$48*(0.7*(0.45*SIN(2*PI()*(((Scenario_Data!T24)/Inputs!$C$49)+Inputs!$C$47*0.137))+0.35*COS(2*PI()*(((Inputs!$C$6)/Inputs!$C$50)+Inputs!$C$47*0.173))+0.2*SIN(2*PI()*((((Scenario_Data!T24)+(Inputs!$C$6))/(0.5*(Inputs!$C$49+Inputs!$C$50)))+Inputs!$C$47*0.097)))+0.3*(2*((SIN(((Scenario_Data!T24)*12.9898+(Inputs!$C$6)*78.233+Inputs!$C$47*37.719))*43758.5453)-INT((SIN(((Scenario_Data!T24)*12.9898+(Inputs!$C$6)*78.233+Inputs!$C$47*37.719))*43758.5453)))-1))))/1000))^2-2*(Inputs!$C$52+(Scenario_Data!B24))*(Inputs!$C$52+((IF(OR(Inputs!$C$27=TRUE,Inputs!$C$27="TRUE",Inputs!$C$27=1),1,0)*(Inputs!$C$51*(115*EXP(-(((Inputs!$C$6)-25)^2)/(4.5^2))+70*EXP(-(((Inputs!$C$6)+38)^2)/(7^2))*(0.55+0.45*SIN(2*PI()*(Scenario_Data!T24)/45))+24*SIN(2*PI()*(Inputs!$C$6)/9+(Scenario_Data!T24)/18)*EXP(-(((Inputs!$C$6)+5)^2)/(22^2))+18*SIN(2*PI()*(Scenario_Data!T24)/70))+Inputs!$C$28*EXP(-(((Scenario_Data!T24)-Inputs!$C$29)^2)/(2*Inputs!$C$31^2))*EXP(-(((Inputs!$C$6)-Inputs!$C$30)^2)/(2*Inputs!$C$32^2))+-Inputs!$C$33*EXP(-(((((Scenario_Data!T24)-Inputs!$C$34)^2)+(((Inputs!$C$6)-Inputs!$C$35)^2))/(2*Inputs!$C$36^2)))+Inputs!$C$37*(0.55*SIN(2*PI()*(Scenario_Data!T24)/Inputs!$C$39)+0.35*COS(2*PI()*(Inputs!$C$6)/Inputs!$C$40)+0.2*SIN(2*PI()*((Scenario_Data!T24)+(Inputs!$C$6))/(0.5*(Inputs!$C$39+Inputs!$C$40))))+Inputs!$C$38*SIN(2*PI()*(Scenario_Data!T24)/Inputs!$C$39)*SIN(2*PI()*(Inputs!$C$6)/Inputs!$C$40)+-Inputs!$C$41*EXP(-(((Inputs!$C$6)-Inputs!$C$43)^2)/(2*Inputs!$C$44^2))*EXP(-(((Scenario_Data!T24)-Inputs!$C$42)^2)/(2*Inputs!$C$45^2))+Inputs!$C$48*(0.7*(0.45*SIN(2*PI()*(((Scenario_Data!T24)/Inputs!$C$49)+Inputs!$C$47*0.137))+0.35*COS(2*PI()*(((Inputs!$C$6)/Inputs!$C$50)+Inputs!$C$47*0.173))+0.2*SIN(2*PI()*((((Scenario_Data!T24)+(Inputs!$C$6))/(0.5*(Inputs!$C$49+Inputs!$C$50)))+Inputs!$C$47*0.097)))+0.3*(2*((SIN(((Scenario_Data!T24)*12.9898+(Inputs!$C$6)*78.233+Inputs!$C$47*37.719))*43758.5453)-INT((SIN(((Scenario_Data!T24)*12.9898+(Inputs!$C$6)*78.233+Inputs!$C$47*37.719))*43758.5453)))-1))))/1000))*COS(SQRT((Scenario_Data!T24)^2+Inputs!$C$6^2)/Inputs!$C$52))*1000)/Inputs!$C$21*1000000</f>
        <v/>
      </c>
      <c r="AR24">
        <f>Scenario_Data!U24</f>
        <v/>
      </c>
      <c r="AS24">
        <f>2*(SQRT((Inputs!$C$52+(Scenario_Data!C24))^2+(Inputs!$C$52+((IF(OR(Inputs!$C$27=TRUE,Inputs!$C$27="TRUE",Inputs!$C$27=1),1,0)*(Inputs!$C$51*(115*EXP(-(((Inputs!$C$6)-25)^2)/(4.5^2))+70*EXP(-(((Inputs!$C$6)+38)^2)/(7^2))*(0.55+0.45*SIN(2*PI()*(Scenario_Data!U24)/45))+24*SIN(2*PI()*(Inputs!$C$6)/9+(Scenario_Data!U24)/18)*EXP(-(((Inputs!$C$6)+5)^2)/(22^2))+18*SIN(2*PI()*(Scenario_Data!U24)/70))+Inputs!$C$28*EXP(-(((Scenario_Data!U24)-Inputs!$C$29)^2)/(2*Inputs!$C$31^2))*EXP(-(((Inputs!$C$6)-Inputs!$C$30)^2)/(2*Inputs!$C$32^2))+-Inputs!$C$33*EXP(-(((((Scenario_Data!U24)-Inputs!$C$34)^2)+(((Inputs!$C$6)-Inputs!$C$35)^2))/(2*Inputs!$C$36^2)))+Inputs!$C$37*(0.55*SIN(2*PI()*(Scenario_Data!U24)/Inputs!$C$39)+0.35*COS(2*PI()*(Inputs!$C$6)/Inputs!$C$40)+0.2*SIN(2*PI()*((Scenario_Data!U24)+(Inputs!$C$6))/(0.5*(Inputs!$C$39+Inputs!$C$40))))+Inputs!$C$38*SIN(2*PI()*(Scenario_Data!U24)/Inputs!$C$39)*SIN(2*PI()*(Inputs!$C$6)/Inputs!$C$40)+-Inputs!$C$41*EXP(-(((Inputs!$C$6)-Inputs!$C$43)^2)/(2*Inputs!$C$44^2))*EXP(-(((Scenario_Data!U24)-Inputs!$C$42)^2)/(2*Inputs!$C$45^2))+Inputs!$C$48*(0.7*(0.45*SIN(2*PI()*(((Scenario_Data!U24)/Inputs!$C$49)+Inputs!$C$47*0.137))+0.35*COS(2*PI()*(((Inputs!$C$6)/Inputs!$C$50)+Inputs!$C$47*0.173))+0.2*SIN(2*PI()*((((Scenario_Data!U24)+(Inputs!$C$6))/(0.5*(Inputs!$C$49+Inputs!$C$50)))+Inputs!$C$47*0.097)))+0.3*(2*((SIN(((Scenario_Data!U24)*12.9898+(Inputs!$C$6)*78.233+Inputs!$C$47*37.719))*43758.5453)-INT((SIN(((Scenario_Data!U24)*12.9898+(Inputs!$C$6)*78.233+Inputs!$C$47*37.719))*43758.5453)))-1))))/1000))^2-2*(Inputs!$C$52+(Scenario_Data!C24))*(Inputs!$C$52+((IF(OR(Inputs!$C$27=TRUE,Inputs!$C$27="TRUE",Inputs!$C$27=1),1,0)*(Inputs!$C$51*(115*EXP(-(((Inputs!$C$6)-25)^2)/(4.5^2))+70*EXP(-(((Inputs!$C$6)+38)^2)/(7^2))*(0.55+0.45*SIN(2*PI()*(Scenario_Data!U24)/45))+24*SIN(2*PI()*(Inputs!$C$6)/9+(Scenario_Data!U24)/18)*EXP(-(((Inputs!$C$6)+5)^2)/(22^2))+18*SIN(2*PI()*(Scenario_Data!U24)/70))+Inputs!$C$28*EXP(-(((Scenario_Data!U24)-Inputs!$C$29)^2)/(2*Inputs!$C$31^2))*EXP(-(((Inputs!$C$6)-Inputs!$C$30)^2)/(2*Inputs!$C$32^2))+-Inputs!$C$33*EXP(-(((((Scenario_Data!U24)-Inputs!$C$34)^2)+(((Inputs!$C$6)-Inputs!$C$35)^2))/(2*Inputs!$C$36^2)))+Inputs!$C$37*(0.55*SIN(2*PI()*(Scenario_Data!U24)/Inputs!$C$39)+0.35*COS(2*PI()*(Inputs!$C$6)/Inputs!$C$40)+0.2*SIN(2*PI()*((Scenario_Data!U24)+(Inputs!$C$6))/(0.5*(Inputs!$C$39+Inputs!$C$40))))+Inputs!$C$38*SIN(2*PI()*(Scenario_Data!U24)/Inputs!$C$39)*SIN(2*PI()*(Inputs!$C$6)/Inputs!$C$40)+-Inputs!$C$41*EXP(-(((Inputs!$C$6)-Inputs!$C$43)^2)/(2*Inputs!$C$44^2))*EXP(-(((Scenario_Data!U24)-Inputs!$C$42)^2)/(2*Inputs!$C$45^2))+Inputs!$C$48*(0.7*(0.45*SIN(2*PI()*(((Scenario_Data!U24)/Inputs!$C$49)+Inputs!$C$47*0.137))+0.35*COS(2*PI()*(((Inputs!$C$6)/Inputs!$C$50)+Inputs!$C$47*0.173))+0.2*SIN(2*PI()*((((Scenario_Data!U24)+(Inputs!$C$6))/(0.5*(Inputs!$C$49+Inputs!$C$50)))+Inputs!$C$47*0.097)))+0.3*(2*((SIN(((Scenario_Data!U24)*12.9898+(Inputs!$C$6)*78.233+Inputs!$C$47*37.719))*43758.5453)-INT((SIN(((Scenario_Data!U24)*12.9898+(Inputs!$C$6)*78.233+Inputs!$C$47*37.719))*43758.5453)))-1))))/1000))*COS(SQRT((Scenario_Data!U24)^2+Inputs!$C$6^2)/Inputs!$C$52))*1000)/Inputs!$C$21*1000000</f>
        <v/>
      </c>
      <c r="AT24">
        <f>Scenario_Data!V24</f>
        <v/>
      </c>
      <c r="AU24">
        <f>2*(SQRT((Inputs!$C$52+(Scenario_Data!D24))^2+(Inputs!$C$52+((IF(OR(Inputs!$C$27=TRUE,Inputs!$C$27="TRUE",Inputs!$C$27=1),1,0)*(Inputs!$C$51*(115*EXP(-(((Inputs!$C$6)-25)^2)/(4.5^2))+70*EXP(-(((Inputs!$C$6)+38)^2)/(7^2))*(0.55+0.45*SIN(2*PI()*(Scenario_Data!V24)/45))+24*SIN(2*PI()*(Inputs!$C$6)/9+(Scenario_Data!V24)/18)*EXP(-(((Inputs!$C$6)+5)^2)/(22^2))+18*SIN(2*PI()*(Scenario_Data!V24)/70))+Inputs!$C$28*EXP(-(((Scenario_Data!V24)-Inputs!$C$29)^2)/(2*Inputs!$C$31^2))*EXP(-(((Inputs!$C$6)-Inputs!$C$30)^2)/(2*Inputs!$C$32^2))+-Inputs!$C$33*EXP(-(((((Scenario_Data!V24)-Inputs!$C$34)^2)+(((Inputs!$C$6)-Inputs!$C$35)^2))/(2*Inputs!$C$36^2)))+Inputs!$C$37*(0.55*SIN(2*PI()*(Scenario_Data!V24)/Inputs!$C$39)+0.35*COS(2*PI()*(Inputs!$C$6)/Inputs!$C$40)+0.2*SIN(2*PI()*((Scenario_Data!V24)+(Inputs!$C$6))/(0.5*(Inputs!$C$39+Inputs!$C$40))))+Inputs!$C$38*SIN(2*PI()*(Scenario_Data!V24)/Inputs!$C$39)*SIN(2*PI()*(Inputs!$C$6)/Inputs!$C$40)+-Inputs!$C$41*EXP(-(((Inputs!$C$6)-Inputs!$C$43)^2)/(2*Inputs!$C$44^2))*EXP(-(((Scenario_Data!V24)-Inputs!$C$42)^2)/(2*Inputs!$C$45^2))+Inputs!$C$48*(0.7*(0.45*SIN(2*PI()*(((Scenario_Data!V24)/Inputs!$C$49)+Inputs!$C$47*0.137))+0.35*COS(2*PI()*(((Inputs!$C$6)/Inputs!$C$50)+Inputs!$C$47*0.173))+0.2*SIN(2*PI()*((((Scenario_Data!V24)+(Inputs!$C$6))/(0.5*(Inputs!$C$49+Inputs!$C$50)))+Inputs!$C$47*0.097)))+0.3*(2*((SIN(((Scenario_Data!V24)*12.9898+(Inputs!$C$6)*78.233+Inputs!$C$47*37.719))*43758.5453)-INT((SIN(((Scenario_Data!V24)*12.9898+(Inputs!$C$6)*78.233+Inputs!$C$47*37.719))*43758.5453)))-1))))/1000))^2-2*(Inputs!$C$52+(Scenario_Data!D24))*(Inputs!$C$52+((IF(OR(Inputs!$C$27=TRUE,Inputs!$C$27="TRUE",Inputs!$C$27=1),1,0)*(Inputs!$C$51*(115*EXP(-(((Inputs!$C$6)-25)^2)/(4.5^2))+70*EXP(-(((Inputs!$C$6)+38)^2)/(7^2))*(0.55+0.45*SIN(2*PI()*(Scenario_Data!V24)/45))+24*SIN(2*PI()*(Inputs!$C$6)/9+(Scenario_Data!V24)/18)*EXP(-(((Inputs!$C$6)+5)^2)/(22^2))+18*SIN(2*PI()*(Scenario_Data!V24)/70))+Inputs!$C$28*EXP(-(((Scenario_Data!V24)-Inputs!$C$29)^2)/(2*Inputs!$C$31^2))*EXP(-(((Inputs!$C$6)-Inputs!$C$30)^2)/(2*Inputs!$C$32^2))+-Inputs!$C$33*EXP(-(((((Scenario_Data!V24)-Inputs!$C$34)^2)+(((Inputs!$C$6)-Inputs!$C$35)^2))/(2*Inputs!$C$36^2)))+Inputs!$C$37*(0.55*SIN(2*PI()*(Scenario_Data!V24)/Inputs!$C$39)+0.35*COS(2*PI()*(Inputs!$C$6)/Inputs!$C$40)+0.2*SIN(2*PI()*((Scenario_Data!V24)+(Inputs!$C$6))/(0.5*(Inputs!$C$39+Inputs!$C$40))))+Inputs!$C$38*SIN(2*PI()*(Scenario_Data!V24)/Inputs!$C$39)*SIN(2*PI()*(Inputs!$C$6)/Inputs!$C$40)+-Inputs!$C$41*EXP(-(((Inputs!$C$6)-Inputs!$C$43)^2)/(2*Inputs!$C$44^2))*EXP(-(((Scenario_Data!V24)-Inputs!$C$42)^2)/(2*Inputs!$C$45^2))+Inputs!$C$48*(0.7*(0.45*SIN(2*PI()*(((Scenario_Data!V24)/Inputs!$C$49)+Inputs!$C$47*0.137))+0.35*COS(2*PI()*(((Inputs!$C$6)/Inputs!$C$50)+Inputs!$C$47*0.173))+0.2*SIN(2*PI()*((((Scenario_Data!V24)+(Inputs!$C$6))/(0.5*(Inputs!$C$49+Inputs!$C$50)))+Inputs!$C$47*0.097)))+0.3*(2*((SIN(((Scenario_Data!V24)*12.9898+(Inputs!$C$6)*78.233+Inputs!$C$47*37.719))*43758.5453)-INT((SIN(((Scenario_Data!V24)*12.9898+(Inputs!$C$6)*78.233+Inputs!$C$47*37.719))*43758.5453)))-1))))/1000))*COS(SQRT((Scenario_Data!V24)^2+Inputs!$C$6^2)/Inputs!$C$52))*1000)/Inputs!$C$21*1000000</f>
        <v/>
      </c>
      <c r="AV24">
        <f>Scenario_Data!W24</f>
        <v/>
      </c>
      <c r="AW24">
        <f>2*(SQRT((Inputs!$C$52+(Scenario_Data!E24))^2+(Inputs!$C$52+((IF(OR(Inputs!$C$27=TRUE,Inputs!$C$27="TRUE",Inputs!$C$27=1),1,0)*(Inputs!$C$51*(115*EXP(-(((Inputs!$C$6)-25)^2)/(4.5^2))+70*EXP(-(((Inputs!$C$6)+38)^2)/(7^2))*(0.55+0.45*SIN(2*PI()*(Scenario_Data!W24)/45))+24*SIN(2*PI()*(Inputs!$C$6)/9+(Scenario_Data!W24)/18)*EXP(-(((Inputs!$C$6)+5)^2)/(22^2))+18*SIN(2*PI()*(Scenario_Data!W24)/70))+Inputs!$C$28*EXP(-(((Scenario_Data!W24)-Inputs!$C$29)^2)/(2*Inputs!$C$31^2))*EXP(-(((Inputs!$C$6)-Inputs!$C$30)^2)/(2*Inputs!$C$32^2))+-Inputs!$C$33*EXP(-(((((Scenario_Data!W24)-Inputs!$C$34)^2)+(((Inputs!$C$6)-Inputs!$C$35)^2))/(2*Inputs!$C$36^2)))+Inputs!$C$37*(0.55*SIN(2*PI()*(Scenario_Data!W24)/Inputs!$C$39)+0.35*COS(2*PI()*(Inputs!$C$6)/Inputs!$C$40)+0.2*SIN(2*PI()*((Scenario_Data!W24)+(Inputs!$C$6))/(0.5*(Inputs!$C$39+Inputs!$C$40))))+Inputs!$C$38*SIN(2*PI()*(Scenario_Data!W24)/Inputs!$C$39)*SIN(2*PI()*(Inputs!$C$6)/Inputs!$C$40)+-Inputs!$C$41*EXP(-(((Inputs!$C$6)-Inputs!$C$43)^2)/(2*Inputs!$C$44^2))*EXP(-(((Scenario_Data!W24)-Inputs!$C$42)^2)/(2*Inputs!$C$45^2))+Inputs!$C$48*(0.7*(0.45*SIN(2*PI()*(((Scenario_Data!W24)/Inputs!$C$49)+Inputs!$C$47*0.137))+0.35*COS(2*PI()*(((Inputs!$C$6)/Inputs!$C$50)+Inputs!$C$47*0.173))+0.2*SIN(2*PI()*((((Scenario_Data!W24)+(Inputs!$C$6))/(0.5*(Inputs!$C$49+Inputs!$C$50)))+Inputs!$C$47*0.097)))+0.3*(2*((SIN(((Scenario_Data!W24)*12.9898+(Inputs!$C$6)*78.233+Inputs!$C$47*37.719))*43758.5453)-INT((SIN(((Scenario_Data!W24)*12.9898+(Inputs!$C$6)*78.233+Inputs!$C$47*37.719))*43758.5453)))-1))))/1000))^2-2*(Inputs!$C$52+(Scenario_Data!E24))*(Inputs!$C$52+((IF(OR(Inputs!$C$27=TRUE,Inputs!$C$27="TRUE",Inputs!$C$27=1),1,0)*(Inputs!$C$51*(115*EXP(-(((Inputs!$C$6)-25)^2)/(4.5^2))+70*EXP(-(((Inputs!$C$6)+38)^2)/(7^2))*(0.55+0.45*SIN(2*PI()*(Scenario_Data!W24)/45))+24*SIN(2*PI()*(Inputs!$C$6)/9+(Scenario_Data!W24)/18)*EXP(-(((Inputs!$C$6)+5)^2)/(22^2))+18*SIN(2*PI()*(Scenario_Data!W24)/70))+Inputs!$C$28*EXP(-(((Scenario_Data!W24)-Inputs!$C$29)^2)/(2*Inputs!$C$31^2))*EXP(-(((Inputs!$C$6)-Inputs!$C$30)^2)/(2*Inputs!$C$32^2))+-Inputs!$C$33*EXP(-(((((Scenario_Data!W24)-Inputs!$C$34)^2)+(((Inputs!$C$6)-Inputs!$C$35)^2))/(2*Inputs!$C$36^2)))+Inputs!$C$37*(0.55*SIN(2*PI()*(Scenario_Data!W24)/Inputs!$C$39)+0.35*COS(2*PI()*(Inputs!$C$6)/Inputs!$C$40)+0.2*SIN(2*PI()*((Scenario_Data!W24)+(Inputs!$C$6))/(0.5*(Inputs!$C$39+Inputs!$C$40))))+Inputs!$C$38*SIN(2*PI()*(Scenario_Data!W24)/Inputs!$C$39)*SIN(2*PI()*(Inputs!$C$6)/Inputs!$C$40)+-Inputs!$C$41*EXP(-(((Inputs!$C$6)-Inputs!$C$43)^2)/(2*Inputs!$C$44^2))*EXP(-(((Scenario_Data!W24)-Inputs!$C$42)^2)/(2*Inputs!$C$45^2))+Inputs!$C$48*(0.7*(0.45*SIN(2*PI()*(((Scenario_Data!W24)/Inputs!$C$49)+Inputs!$C$47*0.137))+0.35*COS(2*PI()*(((Inputs!$C$6)/Inputs!$C$50)+Inputs!$C$47*0.173))+0.2*SIN(2*PI()*((((Scenario_Data!W24)+(Inputs!$C$6))/(0.5*(Inputs!$C$49+Inputs!$C$50)))+Inputs!$C$47*0.097)))+0.3*(2*((SIN(((Scenario_Data!W24)*12.9898+(Inputs!$C$6)*78.233+Inputs!$C$47*37.719))*43758.5453)-INT((SIN(((Scenario_Data!W24)*12.9898+(Inputs!$C$6)*78.233+Inputs!$C$47*37.719))*43758.5453)))-1))))/1000))*COS(SQRT((Scenario_Data!W24)^2+Inputs!$C$6^2)/Inputs!$C$52))*1000)/Inputs!$C$21*1000000</f>
        <v/>
      </c>
    </row>
    <row r="25">
      <c r="A25">
        <f>Chart_Data!K25</f>
        <v/>
      </c>
      <c r="B25">
        <f>Chart_Data!N25-Chart_Data!L25</f>
        <v/>
      </c>
      <c r="D25">
        <f>Chart_Data!G25</f>
        <v/>
      </c>
      <c r="E25">
        <f>Chart_Data!H25</f>
        <v/>
      </c>
      <c r="F25">
        <f>Chart_Data!I25</f>
        <v/>
      </c>
      <c r="G25">
        <f>Chart_Data!J25</f>
        <v/>
      </c>
      <c r="I25">
        <f>Scenario_Data!A25</f>
        <v/>
      </c>
      <c r="J25">
        <f>Scenario_Data!H25-(((SQRT((Inputs!$C$52+(Inputs!$H$6))^2+Inputs!$C$52^2-2*(Inputs!$C$52+(Inputs!$H$6))*Inputs!$C$52*COS(SQRT((Scenario_Data!T25)^2+Inputs!$C$6^2)/Inputs!$C$52)))-(Inputs!$H$6))*1000/Inputs!$C$12)</f>
        <v/>
      </c>
      <c r="K25">
        <f>Scenario_Data!I25-(((SQRT((Inputs!$C$52+(Inputs!$H$7))^2+Inputs!$C$52^2-2*(Inputs!$C$52+(Inputs!$H$7))*Inputs!$C$52*COS(SQRT((Scenario_Data!U25)^2+Inputs!$C$6^2)/Inputs!$C$52)))-(Inputs!$H$7))*1000/Inputs!$C$12)</f>
        <v/>
      </c>
      <c r="L25">
        <f>Scenario_Data!J25-(((SQRT((Inputs!$C$52+(Inputs!$H$8))^2+Inputs!$C$52^2-2*(Inputs!$C$52+(Inputs!$H$8))*Inputs!$C$52*COS(SQRT((Scenario_Data!V25)^2+Inputs!$C$6^2)/Inputs!$C$52)))-(Inputs!$H$8))*1000/Inputs!$C$12)</f>
        <v/>
      </c>
      <c r="M25">
        <f>Scenario_Data!K25-(((SQRT((Inputs!$C$52+(Inputs!$H$9))^2+Inputs!$C$52^2-2*(Inputs!$C$52+(Inputs!$H$9))*Inputs!$C$52*COS(SQRT((Scenario_Data!W25)^2+Inputs!$C$6^2)/Inputs!$C$52)))-(Inputs!$H$9))*1000/Inputs!$C$12)</f>
        <v/>
      </c>
      <c r="O25">
        <f>Scenario_Data!T25</f>
        <v/>
      </c>
      <c r="P25">
        <f>2*(Scenario_Data!B25*1000)/Inputs!$C$21*1000000</f>
        <v/>
      </c>
      <c r="Q25">
        <f>Scenario_Data!U25</f>
        <v/>
      </c>
      <c r="R25">
        <f>2*(Scenario_Data!C25*1000)/Inputs!$C$21*1000000</f>
        <v/>
      </c>
      <c r="S25">
        <f>Scenario_Data!V25</f>
        <v/>
      </c>
      <c r="T25">
        <f>2*(Scenario_Data!D25*1000)/Inputs!$C$21*1000000</f>
        <v/>
      </c>
      <c r="U25">
        <f>Scenario_Data!W25</f>
        <v/>
      </c>
      <c r="V25">
        <f>2*(Scenario_Data!E25*1000)/Inputs!$C$21*1000000</f>
        <v/>
      </c>
      <c r="X25">
        <f>Scenario_Data!T25</f>
        <v/>
      </c>
      <c r="Y25">
        <f>2*((Scenario_Data!B25*1000)-(IF(OR(Inputs!$C$27=TRUE,Inputs!$C$27="TRUE",Inputs!$C$27=1),1,0)*(Inputs!$C$51*(115*EXP(-(((0)-25)^2)/(4.5^2))+70*EXP(-(((0)+38)^2)/(7^2))*(0.55+0.45*SIN(2*PI()*(Scenario_Data!T25)/45))+24*SIN(2*PI()*(0)/9+(Scenario_Data!T25)/18)*EXP(-(((0)+5)^2)/(22^2))+18*SIN(2*PI()*(Scenario_Data!T25)/70))+Inputs!$C$28*EXP(-(((Scenario_Data!T25)-Inputs!$C$29)^2)/(2*Inputs!$C$31^2))*EXP(-(((0)-Inputs!$C$30)^2)/(2*Inputs!$C$32^2))+-Inputs!$C$33*EXP(-(((((Scenario_Data!T25)-Inputs!$C$34)^2)+(((0)-Inputs!$C$35)^2))/(2*Inputs!$C$36^2)))+Inputs!$C$37*(0.55*SIN(2*PI()*(Scenario_Data!T25)/Inputs!$C$39)+0.35*COS(2*PI()*(0)/Inputs!$C$40)+0.2*SIN(2*PI()*((Scenario_Data!T25)+(0))/(0.5*(Inputs!$C$39+Inputs!$C$40))))+Inputs!$C$38*SIN(2*PI()*(Scenario_Data!T25)/Inputs!$C$39)*SIN(2*PI()*(0)/Inputs!$C$40)+-Inputs!$C$41*EXP(-(((0)-Inputs!$C$43)^2)/(2*Inputs!$C$44^2))*EXP(-(((Scenario_Data!T25)-Inputs!$C$42)^2)/(2*Inputs!$C$45^2))+Inputs!$C$48*(0.7*(0.45*SIN(2*PI()*(((Scenario_Data!T25)/Inputs!$C$49)+Inputs!$C$47*0.137))+0.35*COS(2*PI()*(((0)/Inputs!$C$50)+Inputs!$C$47*0.173))+0.2*SIN(2*PI()*((((Scenario_Data!T25)+(0))/(0.5*(Inputs!$C$49+Inputs!$C$50)))+Inputs!$C$47*0.097)))+0.3*(2*((SIN(((Scenario_Data!T25)*12.9898+(0)*78.233+Inputs!$C$47*37.719))*43758.5453)-INT((SIN(((Scenario_Data!T25)*12.9898+(0)*78.233+Inputs!$C$47*37.719))*43758.5453)))-1)))))/Inputs!$C$21*1000000</f>
        <v/>
      </c>
      <c r="Z25">
        <f>Scenario_Data!U25</f>
        <v/>
      </c>
      <c r="AA25">
        <f>2*((Scenario_Data!C25*1000)-(IF(OR(Inputs!$C$27=TRUE,Inputs!$C$27="TRUE",Inputs!$C$27=1),1,0)*(Inputs!$C$51*(115*EXP(-(((0)-25)^2)/(4.5^2))+70*EXP(-(((0)+38)^2)/(7^2))*(0.55+0.45*SIN(2*PI()*(Scenario_Data!U25)/45))+24*SIN(2*PI()*(0)/9+(Scenario_Data!U25)/18)*EXP(-(((0)+5)^2)/(22^2))+18*SIN(2*PI()*(Scenario_Data!U25)/70))+Inputs!$C$28*EXP(-(((Scenario_Data!U25)-Inputs!$C$29)^2)/(2*Inputs!$C$31^2))*EXP(-(((0)-Inputs!$C$30)^2)/(2*Inputs!$C$32^2))+-Inputs!$C$33*EXP(-(((((Scenario_Data!U25)-Inputs!$C$34)^2)+(((0)-Inputs!$C$35)^2))/(2*Inputs!$C$36^2)))+Inputs!$C$37*(0.55*SIN(2*PI()*(Scenario_Data!U25)/Inputs!$C$39)+0.35*COS(2*PI()*(0)/Inputs!$C$40)+0.2*SIN(2*PI()*((Scenario_Data!U25)+(0))/(0.5*(Inputs!$C$39+Inputs!$C$40))))+Inputs!$C$38*SIN(2*PI()*(Scenario_Data!U25)/Inputs!$C$39)*SIN(2*PI()*(0)/Inputs!$C$40)+-Inputs!$C$41*EXP(-(((0)-Inputs!$C$43)^2)/(2*Inputs!$C$44^2))*EXP(-(((Scenario_Data!U25)-Inputs!$C$42)^2)/(2*Inputs!$C$45^2))+Inputs!$C$48*(0.7*(0.45*SIN(2*PI()*(((Scenario_Data!U25)/Inputs!$C$49)+Inputs!$C$47*0.137))+0.35*COS(2*PI()*(((0)/Inputs!$C$50)+Inputs!$C$47*0.173))+0.2*SIN(2*PI()*((((Scenario_Data!U25)+(0))/(0.5*(Inputs!$C$49+Inputs!$C$50)))+Inputs!$C$47*0.097)))+0.3*(2*((SIN(((Scenario_Data!U25)*12.9898+(0)*78.233+Inputs!$C$47*37.719))*43758.5453)-INT((SIN(((Scenario_Data!U25)*12.9898+(0)*78.233+Inputs!$C$47*37.719))*43758.5453)))-1)))))/Inputs!$C$21*1000000</f>
        <v/>
      </c>
      <c r="AB25">
        <f>Scenario_Data!V25</f>
        <v/>
      </c>
      <c r="AC25">
        <f>2*((Scenario_Data!D25*1000)-(IF(OR(Inputs!$C$27=TRUE,Inputs!$C$27="TRUE",Inputs!$C$27=1),1,0)*(Inputs!$C$51*(115*EXP(-(((0)-25)^2)/(4.5^2))+70*EXP(-(((0)+38)^2)/(7^2))*(0.55+0.45*SIN(2*PI()*(Scenario_Data!V25)/45))+24*SIN(2*PI()*(0)/9+(Scenario_Data!V25)/18)*EXP(-(((0)+5)^2)/(22^2))+18*SIN(2*PI()*(Scenario_Data!V25)/70))+Inputs!$C$28*EXP(-(((Scenario_Data!V25)-Inputs!$C$29)^2)/(2*Inputs!$C$31^2))*EXP(-(((0)-Inputs!$C$30)^2)/(2*Inputs!$C$32^2))+-Inputs!$C$33*EXP(-(((((Scenario_Data!V25)-Inputs!$C$34)^2)+(((0)-Inputs!$C$35)^2))/(2*Inputs!$C$36^2)))+Inputs!$C$37*(0.55*SIN(2*PI()*(Scenario_Data!V25)/Inputs!$C$39)+0.35*COS(2*PI()*(0)/Inputs!$C$40)+0.2*SIN(2*PI()*((Scenario_Data!V25)+(0))/(0.5*(Inputs!$C$39+Inputs!$C$40))))+Inputs!$C$38*SIN(2*PI()*(Scenario_Data!V25)/Inputs!$C$39)*SIN(2*PI()*(0)/Inputs!$C$40)+-Inputs!$C$41*EXP(-(((0)-Inputs!$C$43)^2)/(2*Inputs!$C$44^2))*EXP(-(((Scenario_Data!V25)-Inputs!$C$42)^2)/(2*Inputs!$C$45^2))+Inputs!$C$48*(0.7*(0.45*SIN(2*PI()*(((Scenario_Data!V25)/Inputs!$C$49)+Inputs!$C$47*0.137))+0.35*COS(2*PI()*(((0)/Inputs!$C$50)+Inputs!$C$47*0.173))+0.2*SIN(2*PI()*((((Scenario_Data!V25)+(0))/(0.5*(Inputs!$C$49+Inputs!$C$50)))+Inputs!$C$47*0.097)))+0.3*(2*((SIN(((Scenario_Data!V25)*12.9898+(0)*78.233+Inputs!$C$47*37.719))*43758.5453)-INT((SIN(((Scenario_Data!V25)*12.9898+(0)*78.233+Inputs!$C$47*37.719))*43758.5453)))-1)))))/Inputs!$C$21*1000000</f>
        <v/>
      </c>
      <c r="AD25">
        <f>Scenario_Data!W25</f>
        <v/>
      </c>
      <c r="AE25">
        <f>2*((Scenario_Data!E25*1000)-(IF(OR(Inputs!$C$27=TRUE,Inputs!$C$27="TRUE",Inputs!$C$27=1),1,0)*(Inputs!$C$51*(115*EXP(-(((0)-25)^2)/(4.5^2))+70*EXP(-(((0)+38)^2)/(7^2))*(0.55+0.45*SIN(2*PI()*(Scenario_Data!W25)/45))+24*SIN(2*PI()*(0)/9+(Scenario_Data!W25)/18)*EXP(-(((0)+5)^2)/(22^2))+18*SIN(2*PI()*(Scenario_Data!W25)/70))+Inputs!$C$28*EXP(-(((Scenario_Data!W25)-Inputs!$C$29)^2)/(2*Inputs!$C$31^2))*EXP(-(((0)-Inputs!$C$30)^2)/(2*Inputs!$C$32^2))+-Inputs!$C$33*EXP(-(((((Scenario_Data!W25)-Inputs!$C$34)^2)+(((0)-Inputs!$C$35)^2))/(2*Inputs!$C$36^2)))+Inputs!$C$37*(0.55*SIN(2*PI()*(Scenario_Data!W25)/Inputs!$C$39)+0.35*COS(2*PI()*(0)/Inputs!$C$40)+0.2*SIN(2*PI()*((Scenario_Data!W25)+(0))/(0.5*(Inputs!$C$39+Inputs!$C$40))))+Inputs!$C$38*SIN(2*PI()*(Scenario_Data!W25)/Inputs!$C$39)*SIN(2*PI()*(0)/Inputs!$C$40)+-Inputs!$C$41*EXP(-(((0)-Inputs!$C$43)^2)/(2*Inputs!$C$44^2))*EXP(-(((Scenario_Data!W25)-Inputs!$C$42)^2)/(2*Inputs!$C$45^2))+Inputs!$C$48*(0.7*(0.45*SIN(2*PI()*(((Scenario_Data!W25)/Inputs!$C$49)+Inputs!$C$47*0.137))+0.35*COS(2*PI()*(((0)/Inputs!$C$50)+Inputs!$C$47*0.173))+0.2*SIN(2*PI()*((((Scenario_Data!W25)+(0))/(0.5*(Inputs!$C$49+Inputs!$C$50)))+Inputs!$C$47*0.097)))+0.3*(2*((SIN(((Scenario_Data!W25)*12.9898+(0)*78.233+Inputs!$C$47*37.719))*43758.5453)-INT((SIN(((Scenario_Data!W25)*12.9898+(0)*78.233+Inputs!$C$47*37.719))*43758.5453)))-1)))))/Inputs!$C$21*1000000</f>
        <v/>
      </c>
      <c r="AG25">
        <f>Scenario_Data!T25</f>
        <v/>
      </c>
      <c r="AH25">
        <f>2*(SQRT((Inputs!$C$52+(Scenario_Data!B25))^2+Inputs!$C$52^2-2*(Inputs!$C$52+(Scenario_Data!B25))*Inputs!$C$52*COS(SQRT((Scenario_Data!T25)^2+Inputs!$C$6^2)/Inputs!$C$52))*1000)/Inputs!$C$21*1000000</f>
        <v/>
      </c>
      <c r="AI25">
        <f>Scenario_Data!U25</f>
        <v/>
      </c>
      <c r="AJ25">
        <f>2*(SQRT((Inputs!$C$52+(Scenario_Data!C25))^2+Inputs!$C$52^2-2*(Inputs!$C$52+(Scenario_Data!C25))*Inputs!$C$52*COS(SQRT((Scenario_Data!U25)^2+Inputs!$C$6^2)/Inputs!$C$52))*1000)/Inputs!$C$21*1000000</f>
        <v/>
      </c>
      <c r="AK25">
        <f>Scenario_Data!V25</f>
        <v/>
      </c>
      <c r="AL25">
        <f>2*(SQRT((Inputs!$C$52+(Scenario_Data!D25))^2+Inputs!$C$52^2-2*(Inputs!$C$52+(Scenario_Data!D25))*Inputs!$C$52*COS(SQRT((Scenario_Data!V25)^2+Inputs!$C$6^2)/Inputs!$C$52))*1000)/Inputs!$C$21*1000000</f>
        <v/>
      </c>
      <c r="AM25">
        <f>Scenario_Data!W25</f>
        <v/>
      </c>
      <c r="AN25">
        <f>2*(SQRT((Inputs!$C$52+(Scenario_Data!E25))^2+Inputs!$C$52^2-2*(Inputs!$C$52+(Scenario_Data!E25))*Inputs!$C$52*COS(SQRT((Scenario_Data!W25)^2+Inputs!$C$6^2)/Inputs!$C$52))*1000)/Inputs!$C$21*1000000</f>
        <v/>
      </c>
      <c r="AP25">
        <f>Scenario_Data!T25</f>
        <v/>
      </c>
      <c r="AQ25">
        <f>2*(SQRT((Inputs!$C$52+(Scenario_Data!B25))^2+(Inputs!$C$52+((IF(OR(Inputs!$C$27=TRUE,Inputs!$C$27="TRUE",Inputs!$C$27=1),1,0)*(Inputs!$C$51*(115*EXP(-(((Inputs!$C$6)-25)^2)/(4.5^2))+70*EXP(-(((Inputs!$C$6)+38)^2)/(7^2))*(0.55+0.45*SIN(2*PI()*(Scenario_Data!T25)/45))+24*SIN(2*PI()*(Inputs!$C$6)/9+(Scenario_Data!T25)/18)*EXP(-(((Inputs!$C$6)+5)^2)/(22^2))+18*SIN(2*PI()*(Scenario_Data!T25)/70))+Inputs!$C$28*EXP(-(((Scenario_Data!T25)-Inputs!$C$29)^2)/(2*Inputs!$C$31^2))*EXP(-(((Inputs!$C$6)-Inputs!$C$30)^2)/(2*Inputs!$C$32^2))+-Inputs!$C$33*EXP(-(((((Scenario_Data!T25)-Inputs!$C$34)^2)+(((Inputs!$C$6)-Inputs!$C$35)^2))/(2*Inputs!$C$36^2)))+Inputs!$C$37*(0.55*SIN(2*PI()*(Scenario_Data!T25)/Inputs!$C$39)+0.35*COS(2*PI()*(Inputs!$C$6)/Inputs!$C$40)+0.2*SIN(2*PI()*((Scenario_Data!T25)+(Inputs!$C$6))/(0.5*(Inputs!$C$39+Inputs!$C$40))))+Inputs!$C$38*SIN(2*PI()*(Scenario_Data!T25)/Inputs!$C$39)*SIN(2*PI()*(Inputs!$C$6)/Inputs!$C$40)+-Inputs!$C$41*EXP(-(((Inputs!$C$6)-Inputs!$C$43)^2)/(2*Inputs!$C$44^2))*EXP(-(((Scenario_Data!T25)-Inputs!$C$42)^2)/(2*Inputs!$C$45^2))+Inputs!$C$48*(0.7*(0.45*SIN(2*PI()*(((Scenario_Data!T25)/Inputs!$C$49)+Inputs!$C$47*0.137))+0.35*COS(2*PI()*(((Inputs!$C$6)/Inputs!$C$50)+Inputs!$C$47*0.173))+0.2*SIN(2*PI()*((((Scenario_Data!T25)+(Inputs!$C$6))/(0.5*(Inputs!$C$49+Inputs!$C$50)))+Inputs!$C$47*0.097)))+0.3*(2*((SIN(((Scenario_Data!T25)*12.9898+(Inputs!$C$6)*78.233+Inputs!$C$47*37.719))*43758.5453)-INT((SIN(((Scenario_Data!T25)*12.9898+(Inputs!$C$6)*78.233+Inputs!$C$47*37.719))*43758.5453)))-1))))/1000))^2-2*(Inputs!$C$52+(Scenario_Data!B25))*(Inputs!$C$52+((IF(OR(Inputs!$C$27=TRUE,Inputs!$C$27="TRUE",Inputs!$C$27=1),1,0)*(Inputs!$C$51*(115*EXP(-(((Inputs!$C$6)-25)^2)/(4.5^2))+70*EXP(-(((Inputs!$C$6)+38)^2)/(7^2))*(0.55+0.45*SIN(2*PI()*(Scenario_Data!T25)/45))+24*SIN(2*PI()*(Inputs!$C$6)/9+(Scenario_Data!T25)/18)*EXP(-(((Inputs!$C$6)+5)^2)/(22^2))+18*SIN(2*PI()*(Scenario_Data!T25)/70))+Inputs!$C$28*EXP(-(((Scenario_Data!T25)-Inputs!$C$29)^2)/(2*Inputs!$C$31^2))*EXP(-(((Inputs!$C$6)-Inputs!$C$30)^2)/(2*Inputs!$C$32^2))+-Inputs!$C$33*EXP(-(((((Scenario_Data!T25)-Inputs!$C$34)^2)+(((Inputs!$C$6)-Inputs!$C$35)^2))/(2*Inputs!$C$36^2)))+Inputs!$C$37*(0.55*SIN(2*PI()*(Scenario_Data!T25)/Inputs!$C$39)+0.35*COS(2*PI()*(Inputs!$C$6)/Inputs!$C$40)+0.2*SIN(2*PI()*((Scenario_Data!T25)+(Inputs!$C$6))/(0.5*(Inputs!$C$39+Inputs!$C$40))))+Inputs!$C$38*SIN(2*PI()*(Scenario_Data!T25)/Inputs!$C$39)*SIN(2*PI()*(Inputs!$C$6)/Inputs!$C$40)+-Inputs!$C$41*EXP(-(((Inputs!$C$6)-Inputs!$C$43)^2)/(2*Inputs!$C$44^2))*EXP(-(((Scenario_Data!T25)-Inputs!$C$42)^2)/(2*Inputs!$C$45^2))+Inputs!$C$48*(0.7*(0.45*SIN(2*PI()*(((Scenario_Data!T25)/Inputs!$C$49)+Inputs!$C$47*0.137))+0.35*COS(2*PI()*(((Inputs!$C$6)/Inputs!$C$50)+Inputs!$C$47*0.173))+0.2*SIN(2*PI()*((((Scenario_Data!T25)+(Inputs!$C$6))/(0.5*(Inputs!$C$49+Inputs!$C$50)))+Inputs!$C$47*0.097)))+0.3*(2*((SIN(((Scenario_Data!T25)*12.9898+(Inputs!$C$6)*78.233+Inputs!$C$47*37.719))*43758.5453)-INT((SIN(((Scenario_Data!T25)*12.9898+(Inputs!$C$6)*78.233+Inputs!$C$47*37.719))*43758.5453)))-1))))/1000))*COS(SQRT((Scenario_Data!T25)^2+Inputs!$C$6^2)/Inputs!$C$52))*1000)/Inputs!$C$21*1000000</f>
        <v/>
      </c>
      <c r="AR25">
        <f>Scenario_Data!U25</f>
        <v/>
      </c>
      <c r="AS25">
        <f>2*(SQRT((Inputs!$C$52+(Scenario_Data!C25))^2+(Inputs!$C$52+((IF(OR(Inputs!$C$27=TRUE,Inputs!$C$27="TRUE",Inputs!$C$27=1),1,0)*(Inputs!$C$51*(115*EXP(-(((Inputs!$C$6)-25)^2)/(4.5^2))+70*EXP(-(((Inputs!$C$6)+38)^2)/(7^2))*(0.55+0.45*SIN(2*PI()*(Scenario_Data!U25)/45))+24*SIN(2*PI()*(Inputs!$C$6)/9+(Scenario_Data!U25)/18)*EXP(-(((Inputs!$C$6)+5)^2)/(22^2))+18*SIN(2*PI()*(Scenario_Data!U25)/70))+Inputs!$C$28*EXP(-(((Scenario_Data!U25)-Inputs!$C$29)^2)/(2*Inputs!$C$31^2))*EXP(-(((Inputs!$C$6)-Inputs!$C$30)^2)/(2*Inputs!$C$32^2))+-Inputs!$C$33*EXP(-(((((Scenario_Data!U25)-Inputs!$C$34)^2)+(((Inputs!$C$6)-Inputs!$C$35)^2))/(2*Inputs!$C$36^2)))+Inputs!$C$37*(0.55*SIN(2*PI()*(Scenario_Data!U25)/Inputs!$C$39)+0.35*COS(2*PI()*(Inputs!$C$6)/Inputs!$C$40)+0.2*SIN(2*PI()*((Scenario_Data!U25)+(Inputs!$C$6))/(0.5*(Inputs!$C$39+Inputs!$C$40))))+Inputs!$C$38*SIN(2*PI()*(Scenario_Data!U25)/Inputs!$C$39)*SIN(2*PI()*(Inputs!$C$6)/Inputs!$C$40)+-Inputs!$C$41*EXP(-(((Inputs!$C$6)-Inputs!$C$43)^2)/(2*Inputs!$C$44^2))*EXP(-(((Scenario_Data!U25)-Inputs!$C$42)^2)/(2*Inputs!$C$45^2))+Inputs!$C$48*(0.7*(0.45*SIN(2*PI()*(((Scenario_Data!U25)/Inputs!$C$49)+Inputs!$C$47*0.137))+0.35*COS(2*PI()*(((Inputs!$C$6)/Inputs!$C$50)+Inputs!$C$47*0.173))+0.2*SIN(2*PI()*((((Scenario_Data!U25)+(Inputs!$C$6))/(0.5*(Inputs!$C$49+Inputs!$C$50)))+Inputs!$C$47*0.097)))+0.3*(2*((SIN(((Scenario_Data!U25)*12.9898+(Inputs!$C$6)*78.233+Inputs!$C$47*37.719))*43758.5453)-INT((SIN(((Scenario_Data!U25)*12.9898+(Inputs!$C$6)*78.233+Inputs!$C$47*37.719))*43758.5453)))-1))))/1000))^2-2*(Inputs!$C$52+(Scenario_Data!C25))*(Inputs!$C$52+((IF(OR(Inputs!$C$27=TRUE,Inputs!$C$27="TRUE",Inputs!$C$27=1),1,0)*(Inputs!$C$51*(115*EXP(-(((Inputs!$C$6)-25)^2)/(4.5^2))+70*EXP(-(((Inputs!$C$6)+38)^2)/(7^2))*(0.55+0.45*SIN(2*PI()*(Scenario_Data!U25)/45))+24*SIN(2*PI()*(Inputs!$C$6)/9+(Scenario_Data!U25)/18)*EXP(-(((Inputs!$C$6)+5)^2)/(22^2))+18*SIN(2*PI()*(Scenario_Data!U25)/70))+Inputs!$C$28*EXP(-(((Scenario_Data!U25)-Inputs!$C$29)^2)/(2*Inputs!$C$31^2))*EXP(-(((Inputs!$C$6)-Inputs!$C$30)^2)/(2*Inputs!$C$32^2))+-Inputs!$C$33*EXP(-(((((Scenario_Data!U25)-Inputs!$C$34)^2)+(((Inputs!$C$6)-Inputs!$C$35)^2))/(2*Inputs!$C$36^2)))+Inputs!$C$37*(0.55*SIN(2*PI()*(Scenario_Data!U25)/Inputs!$C$39)+0.35*COS(2*PI()*(Inputs!$C$6)/Inputs!$C$40)+0.2*SIN(2*PI()*((Scenario_Data!U25)+(Inputs!$C$6))/(0.5*(Inputs!$C$39+Inputs!$C$40))))+Inputs!$C$38*SIN(2*PI()*(Scenario_Data!U25)/Inputs!$C$39)*SIN(2*PI()*(Inputs!$C$6)/Inputs!$C$40)+-Inputs!$C$41*EXP(-(((Inputs!$C$6)-Inputs!$C$43)^2)/(2*Inputs!$C$44^2))*EXP(-(((Scenario_Data!U25)-Inputs!$C$42)^2)/(2*Inputs!$C$45^2))+Inputs!$C$48*(0.7*(0.45*SIN(2*PI()*(((Scenario_Data!U25)/Inputs!$C$49)+Inputs!$C$47*0.137))+0.35*COS(2*PI()*(((Inputs!$C$6)/Inputs!$C$50)+Inputs!$C$47*0.173))+0.2*SIN(2*PI()*((((Scenario_Data!U25)+(Inputs!$C$6))/(0.5*(Inputs!$C$49+Inputs!$C$50)))+Inputs!$C$47*0.097)))+0.3*(2*((SIN(((Scenario_Data!U25)*12.9898+(Inputs!$C$6)*78.233+Inputs!$C$47*37.719))*43758.5453)-INT((SIN(((Scenario_Data!U25)*12.9898+(Inputs!$C$6)*78.233+Inputs!$C$47*37.719))*43758.5453)))-1))))/1000))*COS(SQRT((Scenario_Data!U25)^2+Inputs!$C$6^2)/Inputs!$C$52))*1000)/Inputs!$C$21*1000000</f>
        <v/>
      </c>
      <c r="AT25">
        <f>Scenario_Data!V25</f>
        <v/>
      </c>
      <c r="AU25">
        <f>2*(SQRT((Inputs!$C$52+(Scenario_Data!D25))^2+(Inputs!$C$52+((IF(OR(Inputs!$C$27=TRUE,Inputs!$C$27="TRUE",Inputs!$C$27=1),1,0)*(Inputs!$C$51*(115*EXP(-(((Inputs!$C$6)-25)^2)/(4.5^2))+70*EXP(-(((Inputs!$C$6)+38)^2)/(7^2))*(0.55+0.45*SIN(2*PI()*(Scenario_Data!V25)/45))+24*SIN(2*PI()*(Inputs!$C$6)/9+(Scenario_Data!V25)/18)*EXP(-(((Inputs!$C$6)+5)^2)/(22^2))+18*SIN(2*PI()*(Scenario_Data!V25)/70))+Inputs!$C$28*EXP(-(((Scenario_Data!V25)-Inputs!$C$29)^2)/(2*Inputs!$C$31^2))*EXP(-(((Inputs!$C$6)-Inputs!$C$30)^2)/(2*Inputs!$C$32^2))+-Inputs!$C$33*EXP(-(((((Scenario_Data!V25)-Inputs!$C$34)^2)+(((Inputs!$C$6)-Inputs!$C$35)^2))/(2*Inputs!$C$36^2)))+Inputs!$C$37*(0.55*SIN(2*PI()*(Scenario_Data!V25)/Inputs!$C$39)+0.35*COS(2*PI()*(Inputs!$C$6)/Inputs!$C$40)+0.2*SIN(2*PI()*((Scenario_Data!V25)+(Inputs!$C$6))/(0.5*(Inputs!$C$39+Inputs!$C$40))))+Inputs!$C$38*SIN(2*PI()*(Scenario_Data!V25)/Inputs!$C$39)*SIN(2*PI()*(Inputs!$C$6)/Inputs!$C$40)+-Inputs!$C$41*EXP(-(((Inputs!$C$6)-Inputs!$C$43)^2)/(2*Inputs!$C$44^2))*EXP(-(((Scenario_Data!V25)-Inputs!$C$42)^2)/(2*Inputs!$C$45^2))+Inputs!$C$48*(0.7*(0.45*SIN(2*PI()*(((Scenario_Data!V25)/Inputs!$C$49)+Inputs!$C$47*0.137))+0.35*COS(2*PI()*(((Inputs!$C$6)/Inputs!$C$50)+Inputs!$C$47*0.173))+0.2*SIN(2*PI()*((((Scenario_Data!V25)+(Inputs!$C$6))/(0.5*(Inputs!$C$49+Inputs!$C$50)))+Inputs!$C$47*0.097)))+0.3*(2*((SIN(((Scenario_Data!V25)*12.9898+(Inputs!$C$6)*78.233+Inputs!$C$47*37.719))*43758.5453)-INT((SIN(((Scenario_Data!V25)*12.9898+(Inputs!$C$6)*78.233+Inputs!$C$47*37.719))*43758.5453)))-1))))/1000))^2-2*(Inputs!$C$52+(Scenario_Data!D25))*(Inputs!$C$52+((IF(OR(Inputs!$C$27=TRUE,Inputs!$C$27="TRUE",Inputs!$C$27=1),1,0)*(Inputs!$C$51*(115*EXP(-(((Inputs!$C$6)-25)^2)/(4.5^2))+70*EXP(-(((Inputs!$C$6)+38)^2)/(7^2))*(0.55+0.45*SIN(2*PI()*(Scenario_Data!V25)/45))+24*SIN(2*PI()*(Inputs!$C$6)/9+(Scenario_Data!V25)/18)*EXP(-(((Inputs!$C$6)+5)^2)/(22^2))+18*SIN(2*PI()*(Scenario_Data!V25)/70))+Inputs!$C$28*EXP(-(((Scenario_Data!V25)-Inputs!$C$29)^2)/(2*Inputs!$C$31^2))*EXP(-(((Inputs!$C$6)-Inputs!$C$30)^2)/(2*Inputs!$C$32^2))+-Inputs!$C$33*EXP(-(((((Scenario_Data!V25)-Inputs!$C$34)^2)+(((Inputs!$C$6)-Inputs!$C$35)^2))/(2*Inputs!$C$36^2)))+Inputs!$C$37*(0.55*SIN(2*PI()*(Scenario_Data!V25)/Inputs!$C$39)+0.35*COS(2*PI()*(Inputs!$C$6)/Inputs!$C$40)+0.2*SIN(2*PI()*((Scenario_Data!V25)+(Inputs!$C$6))/(0.5*(Inputs!$C$39+Inputs!$C$40))))+Inputs!$C$38*SIN(2*PI()*(Scenario_Data!V25)/Inputs!$C$39)*SIN(2*PI()*(Inputs!$C$6)/Inputs!$C$40)+-Inputs!$C$41*EXP(-(((Inputs!$C$6)-Inputs!$C$43)^2)/(2*Inputs!$C$44^2))*EXP(-(((Scenario_Data!V25)-Inputs!$C$42)^2)/(2*Inputs!$C$45^2))+Inputs!$C$48*(0.7*(0.45*SIN(2*PI()*(((Scenario_Data!V25)/Inputs!$C$49)+Inputs!$C$47*0.137))+0.35*COS(2*PI()*(((Inputs!$C$6)/Inputs!$C$50)+Inputs!$C$47*0.173))+0.2*SIN(2*PI()*((((Scenario_Data!V25)+(Inputs!$C$6))/(0.5*(Inputs!$C$49+Inputs!$C$50)))+Inputs!$C$47*0.097)))+0.3*(2*((SIN(((Scenario_Data!V25)*12.9898+(Inputs!$C$6)*78.233+Inputs!$C$47*37.719))*43758.5453)-INT((SIN(((Scenario_Data!V25)*12.9898+(Inputs!$C$6)*78.233+Inputs!$C$47*37.719))*43758.5453)))-1))))/1000))*COS(SQRT((Scenario_Data!V25)^2+Inputs!$C$6^2)/Inputs!$C$52))*1000)/Inputs!$C$21*1000000</f>
        <v/>
      </c>
      <c r="AV25">
        <f>Scenario_Data!W25</f>
        <v/>
      </c>
      <c r="AW25">
        <f>2*(SQRT((Inputs!$C$52+(Scenario_Data!E25))^2+(Inputs!$C$52+((IF(OR(Inputs!$C$27=TRUE,Inputs!$C$27="TRUE",Inputs!$C$27=1),1,0)*(Inputs!$C$51*(115*EXP(-(((Inputs!$C$6)-25)^2)/(4.5^2))+70*EXP(-(((Inputs!$C$6)+38)^2)/(7^2))*(0.55+0.45*SIN(2*PI()*(Scenario_Data!W25)/45))+24*SIN(2*PI()*(Inputs!$C$6)/9+(Scenario_Data!W25)/18)*EXP(-(((Inputs!$C$6)+5)^2)/(22^2))+18*SIN(2*PI()*(Scenario_Data!W25)/70))+Inputs!$C$28*EXP(-(((Scenario_Data!W25)-Inputs!$C$29)^2)/(2*Inputs!$C$31^2))*EXP(-(((Inputs!$C$6)-Inputs!$C$30)^2)/(2*Inputs!$C$32^2))+-Inputs!$C$33*EXP(-(((((Scenario_Data!W25)-Inputs!$C$34)^2)+(((Inputs!$C$6)-Inputs!$C$35)^2))/(2*Inputs!$C$36^2)))+Inputs!$C$37*(0.55*SIN(2*PI()*(Scenario_Data!W25)/Inputs!$C$39)+0.35*COS(2*PI()*(Inputs!$C$6)/Inputs!$C$40)+0.2*SIN(2*PI()*((Scenario_Data!W25)+(Inputs!$C$6))/(0.5*(Inputs!$C$39+Inputs!$C$40))))+Inputs!$C$38*SIN(2*PI()*(Scenario_Data!W25)/Inputs!$C$39)*SIN(2*PI()*(Inputs!$C$6)/Inputs!$C$40)+-Inputs!$C$41*EXP(-(((Inputs!$C$6)-Inputs!$C$43)^2)/(2*Inputs!$C$44^2))*EXP(-(((Scenario_Data!W25)-Inputs!$C$42)^2)/(2*Inputs!$C$45^2))+Inputs!$C$48*(0.7*(0.45*SIN(2*PI()*(((Scenario_Data!W25)/Inputs!$C$49)+Inputs!$C$47*0.137))+0.35*COS(2*PI()*(((Inputs!$C$6)/Inputs!$C$50)+Inputs!$C$47*0.173))+0.2*SIN(2*PI()*((((Scenario_Data!W25)+(Inputs!$C$6))/(0.5*(Inputs!$C$49+Inputs!$C$50)))+Inputs!$C$47*0.097)))+0.3*(2*((SIN(((Scenario_Data!W25)*12.9898+(Inputs!$C$6)*78.233+Inputs!$C$47*37.719))*43758.5453)-INT((SIN(((Scenario_Data!W25)*12.9898+(Inputs!$C$6)*78.233+Inputs!$C$47*37.719))*43758.5453)))-1))))/1000))^2-2*(Inputs!$C$52+(Scenario_Data!E25))*(Inputs!$C$52+((IF(OR(Inputs!$C$27=TRUE,Inputs!$C$27="TRUE",Inputs!$C$27=1),1,0)*(Inputs!$C$51*(115*EXP(-(((Inputs!$C$6)-25)^2)/(4.5^2))+70*EXP(-(((Inputs!$C$6)+38)^2)/(7^2))*(0.55+0.45*SIN(2*PI()*(Scenario_Data!W25)/45))+24*SIN(2*PI()*(Inputs!$C$6)/9+(Scenario_Data!W25)/18)*EXP(-(((Inputs!$C$6)+5)^2)/(22^2))+18*SIN(2*PI()*(Scenario_Data!W25)/70))+Inputs!$C$28*EXP(-(((Scenario_Data!W25)-Inputs!$C$29)^2)/(2*Inputs!$C$31^2))*EXP(-(((Inputs!$C$6)-Inputs!$C$30)^2)/(2*Inputs!$C$32^2))+-Inputs!$C$33*EXP(-(((((Scenario_Data!W25)-Inputs!$C$34)^2)+(((Inputs!$C$6)-Inputs!$C$35)^2))/(2*Inputs!$C$36^2)))+Inputs!$C$37*(0.55*SIN(2*PI()*(Scenario_Data!W25)/Inputs!$C$39)+0.35*COS(2*PI()*(Inputs!$C$6)/Inputs!$C$40)+0.2*SIN(2*PI()*((Scenario_Data!W25)+(Inputs!$C$6))/(0.5*(Inputs!$C$39+Inputs!$C$40))))+Inputs!$C$38*SIN(2*PI()*(Scenario_Data!W25)/Inputs!$C$39)*SIN(2*PI()*(Inputs!$C$6)/Inputs!$C$40)+-Inputs!$C$41*EXP(-(((Inputs!$C$6)-Inputs!$C$43)^2)/(2*Inputs!$C$44^2))*EXP(-(((Scenario_Data!W25)-Inputs!$C$42)^2)/(2*Inputs!$C$45^2))+Inputs!$C$48*(0.7*(0.45*SIN(2*PI()*(((Scenario_Data!W25)/Inputs!$C$49)+Inputs!$C$47*0.137))+0.35*COS(2*PI()*(((Inputs!$C$6)/Inputs!$C$50)+Inputs!$C$47*0.173))+0.2*SIN(2*PI()*((((Scenario_Data!W25)+(Inputs!$C$6))/(0.5*(Inputs!$C$49+Inputs!$C$50)))+Inputs!$C$47*0.097)))+0.3*(2*((SIN(((Scenario_Data!W25)*12.9898+(Inputs!$C$6)*78.233+Inputs!$C$47*37.719))*43758.5453)-INT((SIN(((Scenario_Data!W25)*12.9898+(Inputs!$C$6)*78.233+Inputs!$C$47*37.719))*43758.5453)))-1))))/1000))*COS(SQRT((Scenario_Data!W25)^2+Inputs!$C$6^2)/Inputs!$C$52))*1000)/Inputs!$C$21*1000000</f>
        <v/>
      </c>
    </row>
    <row r="26">
      <c r="A26">
        <f>Chart_Data!K26</f>
        <v/>
      </c>
      <c r="B26">
        <f>Chart_Data!N26-Chart_Data!L26</f>
        <v/>
      </c>
      <c r="D26">
        <f>Chart_Data!G26</f>
        <v/>
      </c>
      <c r="E26">
        <f>Chart_Data!H26</f>
        <v/>
      </c>
      <c r="F26">
        <f>Chart_Data!I26</f>
        <v/>
      </c>
      <c r="G26">
        <f>Chart_Data!J26</f>
        <v/>
      </c>
      <c r="I26">
        <f>Scenario_Data!A26</f>
        <v/>
      </c>
      <c r="J26">
        <f>Scenario_Data!H26-(((SQRT((Inputs!$C$52+(Inputs!$H$6))^2+Inputs!$C$52^2-2*(Inputs!$C$52+(Inputs!$H$6))*Inputs!$C$52*COS(SQRT((Scenario_Data!T26)^2+Inputs!$C$6^2)/Inputs!$C$52)))-(Inputs!$H$6))*1000/Inputs!$C$12)</f>
        <v/>
      </c>
      <c r="K26">
        <f>Scenario_Data!I26-(((SQRT((Inputs!$C$52+(Inputs!$H$7))^2+Inputs!$C$52^2-2*(Inputs!$C$52+(Inputs!$H$7))*Inputs!$C$52*COS(SQRT((Scenario_Data!U26)^2+Inputs!$C$6^2)/Inputs!$C$52)))-(Inputs!$H$7))*1000/Inputs!$C$12)</f>
        <v/>
      </c>
      <c r="L26">
        <f>Scenario_Data!J26-(((SQRT((Inputs!$C$52+(Inputs!$H$8))^2+Inputs!$C$52^2-2*(Inputs!$C$52+(Inputs!$H$8))*Inputs!$C$52*COS(SQRT((Scenario_Data!V26)^2+Inputs!$C$6^2)/Inputs!$C$52)))-(Inputs!$H$8))*1000/Inputs!$C$12)</f>
        <v/>
      </c>
      <c r="M26">
        <f>Scenario_Data!K26-(((SQRT((Inputs!$C$52+(Inputs!$H$9))^2+Inputs!$C$52^2-2*(Inputs!$C$52+(Inputs!$H$9))*Inputs!$C$52*COS(SQRT((Scenario_Data!W26)^2+Inputs!$C$6^2)/Inputs!$C$52)))-(Inputs!$H$9))*1000/Inputs!$C$12)</f>
        <v/>
      </c>
      <c r="O26">
        <f>Scenario_Data!T26</f>
        <v/>
      </c>
      <c r="P26">
        <f>2*(Scenario_Data!B26*1000)/Inputs!$C$21*1000000</f>
        <v/>
      </c>
      <c r="Q26">
        <f>Scenario_Data!U26</f>
        <v/>
      </c>
      <c r="R26">
        <f>2*(Scenario_Data!C26*1000)/Inputs!$C$21*1000000</f>
        <v/>
      </c>
      <c r="S26">
        <f>Scenario_Data!V26</f>
        <v/>
      </c>
      <c r="T26">
        <f>2*(Scenario_Data!D26*1000)/Inputs!$C$21*1000000</f>
        <v/>
      </c>
      <c r="U26">
        <f>Scenario_Data!W26</f>
        <v/>
      </c>
      <c r="V26">
        <f>2*(Scenario_Data!E26*1000)/Inputs!$C$21*1000000</f>
        <v/>
      </c>
      <c r="X26">
        <f>Scenario_Data!T26</f>
        <v/>
      </c>
      <c r="Y26">
        <f>2*((Scenario_Data!B26*1000)-(IF(OR(Inputs!$C$27=TRUE,Inputs!$C$27="TRUE",Inputs!$C$27=1),1,0)*(Inputs!$C$51*(115*EXP(-(((0)-25)^2)/(4.5^2))+70*EXP(-(((0)+38)^2)/(7^2))*(0.55+0.45*SIN(2*PI()*(Scenario_Data!T26)/45))+24*SIN(2*PI()*(0)/9+(Scenario_Data!T26)/18)*EXP(-(((0)+5)^2)/(22^2))+18*SIN(2*PI()*(Scenario_Data!T26)/70))+Inputs!$C$28*EXP(-(((Scenario_Data!T26)-Inputs!$C$29)^2)/(2*Inputs!$C$31^2))*EXP(-(((0)-Inputs!$C$30)^2)/(2*Inputs!$C$32^2))+-Inputs!$C$33*EXP(-(((((Scenario_Data!T26)-Inputs!$C$34)^2)+(((0)-Inputs!$C$35)^2))/(2*Inputs!$C$36^2)))+Inputs!$C$37*(0.55*SIN(2*PI()*(Scenario_Data!T26)/Inputs!$C$39)+0.35*COS(2*PI()*(0)/Inputs!$C$40)+0.2*SIN(2*PI()*((Scenario_Data!T26)+(0))/(0.5*(Inputs!$C$39+Inputs!$C$40))))+Inputs!$C$38*SIN(2*PI()*(Scenario_Data!T26)/Inputs!$C$39)*SIN(2*PI()*(0)/Inputs!$C$40)+-Inputs!$C$41*EXP(-(((0)-Inputs!$C$43)^2)/(2*Inputs!$C$44^2))*EXP(-(((Scenario_Data!T26)-Inputs!$C$42)^2)/(2*Inputs!$C$45^2))+Inputs!$C$48*(0.7*(0.45*SIN(2*PI()*(((Scenario_Data!T26)/Inputs!$C$49)+Inputs!$C$47*0.137))+0.35*COS(2*PI()*(((0)/Inputs!$C$50)+Inputs!$C$47*0.173))+0.2*SIN(2*PI()*((((Scenario_Data!T26)+(0))/(0.5*(Inputs!$C$49+Inputs!$C$50)))+Inputs!$C$47*0.097)))+0.3*(2*((SIN(((Scenario_Data!T26)*12.9898+(0)*78.233+Inputs!$C$47*37.719))*43758.5453)-INT((SIN(((Scenario_Data!T26)*12.9898+(0)*78.233+Inputs!$C$47*37.719))*43758.5453)))-1)))))/Inputs!$C$21*1000000</f>
        <v/>
      </c>
      <c r="Z26">
        <f>Scenario_Data!U26</f>
        <v/>
      </c>
      <c r="AA26">
        <f>2*((Scenario_Data!C26*1000)-(IF(OR(Inputs!$C$27=TRUE,Inputs!$C$27="TRUE",Inputs!$C$27=1),1,0)*(Inputs!$C$51*(115*EXP(-(((0)-25)^2)/(4.5^2))+70*EXP(-(((0)+38)^2)/(7^2))*(0.55+0.45*SIN(2*PI()*(Scenario_Data!U26)/45))+24*SIN(2*PI()*(0)/9+(Scenario_Data!U26)/18)*EXP(-(((0)+5)^2)/(22^2))+18*SIN(2*PI()*(Scenario_Data!U26)/70))+Inputs!$C$28*EXP(-(((Scenario_Data!U26)-Inputs!$C$29)^2)/(2*Inputs!$C$31^2))*EXP(-(((0)-Inputs!$C$30)^2)/(2*Inputs!$C$32^2))+-Inputs!$C$33*EXP(-(((((Scenario_Data!U26)-Inputs!$C$34)^2)+(((0)-Inputs!$C$35)^2))/(2*Inputs!$C$36^2)))+Inputs!$C$37*(0.55*SIN(2*PI()*(Scenario_Data!U26)/Inputs!$C$39)+0.35*COS(2*PI()*(0)/Inputs!$C$40)+0.2*SIN(2*PI()*((Scenario_Data!U26)+(0))/(0.5*(Inputs!$C$39+Inputs!$C$40))))+Inputs!$C$38*SIN(2*PI()*(Scenario_Data!U26)/Inputs!$C$39)*SIN(2*PI()*(0)/Inputs!$C$40)+-Inputs!$C$41*EXP(-(((0)-Inputs!$C$43)^2)/(2*Inputs!$C$44^2))*EXP(-(((Scenario_Data!U26)-Inputs!$C$42)^2)/(2*Inputs!$C$45^2))+Inputs!$C$48*(0.7*(0.45*SIN(2*PI()*(((Scenario_Data!U26)/Inputs!$C$49)+Inputs!$C$47*0.137))+0.35*COS(2*PI()*(((0)/Inputs!$C$50)+Inputs!$C$47*0.173))+0.2*SIN(2*PI()*((((Scenario_Data!U26)+(0))/(0.5*(Inputs!$C$49+Inputs!$C$50)))+Inputs!$C$47*0.097)))+0.3*(2*((SIN(((Scenario_Data!U26)*12.9898+(0)*78.233+Inputs!$C$47*37.719))*43758.5453)-INT((SIN(((Scenario_Data!U26)*12.9898+(0)*78.233+Inputs!$C$47*37.719))*43758.5453)))-1)))))/Inputs!$C$21*1000000</f>
        <v/>
      </c>
      <c r="AB26">
        <f>Scenario_Data!V26</f>
        <v/>
      </c>
      <c r="AC26">
        <f>2*((Scenario_Data!D26*1000)-(IF(OR(Inputs!$C$27=TRUE,Inputs!$C$27="TRUE",Inputs!$C$27=1),1,0)*(Inputs!$C$51*(115*EXP(-(((0)-25)^2)/(4.5^2))+70*EXP(-(((0)+38)^2)/(7^2))*(0.55+0.45*SIN(2*PI()*(Scenario_Data!V26)/45))+24*SIN(2*PI()*(0)/9+(Scenario_Data!V26)/18)*EXP(-(((0)+5)^2)/(22^2))+18*SIN(2*PI()*(Scenario_Data!V26)/70))+Inputs!$C$28*EXP(-(((Scenario_Data!V26)-Inputs!$C$29)^2)/(2*Inputs!$C$31^2))*EXP(-(((0)-Inputs!$C$30)^2)/(2*Inputs!$C$32^2))+-Inputs!$C$33*EXP(-(((((Scenario_Data!V26)-Inputs!$C$34)^2)+(((0)-Inputs!$C$35)^2))/(2*Inputs!$C$36^2)))+Inputs!$C$37*(0.55*SIN(2*PI()*(Scenario_Data!V26)/Inputs!$C$39)+0.35*COS(2*PI()*(0)/Inputs!$C$40)+0.2*SIN(2*PI()*((Scenario_Data!V26)+(0))/(0.5*(Inputs!$C$39+Inputs!$C$40))))+Inputs!$C$38*SIN(2*PI()*(Scenario_Data!V26)/Inputs!$C$39)*SIN(2*PI()*(0)/Inputs!$C$40)+-Inputs!$C$41*EXP(-(((0)-Inputs!$C$43)^2)/(2*Inputs!$C$44^2))*EXP(-(((Scenario_Data!V26)-Inputs!$C$42)^2)/(2*Inputs!$C$45^2))+Inputs!$C$48*(0.7*(0.45*SIN(2*PI()*(((Scenario_Data!V26)/Inputs!$C$49)+Inputs!$C$47*0.137))+0.35*COS(2*PI()*(((0)/Inputs!$C$50)+Inputs!$C$47*0.173))+0.2*SIN(2*PI()*((((Scenario_Data!V26)+(0))/(0.5*(Inputs!$C$49+Inputs!$C$50)))+Inputs!$C$47*0.097)))+0.3*(2*((SIN(((Scenario_Data!V26)*12.9898+(0)*78.233+Inputs!$C$47*37.719))*43758.5453)-INT((SIN(((Scenario_Data!V26)*12.9898+(0)*78.233+Inputs!$C$47*37.719))*43758.5453)))-1)))))/Inputs!$C$21*1000000</f>
        <v/>
      </c>
      <c r="AD26">
        <f>Scenario_Data!W26</f>
        <v/>
      </c>
      <c r="AE26">
        <f>2*((Scenario_Data!E26*1000)-(IF(OR(Inputs!$C$27=TRUE,Inputs!$C$27="TRUE",Inputs!$C$27=1),1,0)*(Inputs!$C$51*(115*EXP(-(((0)-25)^2)/(4.5^2))+70*EXP(-(((0)+38)^2)/(7^2))*(0.55+0.45*SIN(2*PI()*(Scenario_Data!W26)/45))+24*SIN(2*PI()*(0)/9+(Scenario_Data!W26)/18)*EXP(-(((0)+5)^2)/(22^2))+18*SIN(2*PI()*(Scenario_Data!W26)/70))+Inputs!$C$28*EXP(-(((Scenario_Data!W26)-Inputs!$C$29)^2)/(2*Inputs!$C$31^2))*EXP(-(((0)-Inputs!$C$30)^2)/(2*Inputs!$C$32^2))+-Inputs!$C$33*EXP(-(((((Scenario_Data!W26)-Inputs!$C$34)^2)+(((0)-Inputs!$C$35)^2))/(2*Inputs!$C$36^2)))+Inputs!$C$37*(0.55*SIN(2*PI()*(Scenario_Data!W26)/Inputs!$C$39)+0.35*COS(2*PI()*(0)/Inputs!$C$40)+0.2*SIN(2*PI()*((Scenario_Data!W26)+(0))/(0.5*(Inputs!$C$39+Inputs!$C$40))))+Inputs!$C$38*SIN(2*PI()*(Scenario_Data!W26)/Inputs!$C$39)*SIN(2*PI()*(0)/Inputs!$C$40)+-Inputs!$C$41*EXP(-(((0)-Inputs!$C$43)^2)/(2*Inputs!$C$44^2))*EXP(-(((Scenario_Data!W26)-Inputs!$C$42)^2)/(2*Inputs!$C$45^2))+Inputs!$C$48*(0.7*(0.45*SIN(2*PI()*(((Scenario_Data!W26)/Inputs!$C$49)+Inputs!$C$47*0.137))+0.35*COS(2*PI()*(((0)/Inputs!$C$50)+Inputs!$C$47*0.173))+0.2*SIN(2*PI()*((((Scenario_Data!W26)+(0))/(0.5*(Inputs!$C$49+Inputs!$C$50)))+Inputs!$C$47*0.097)))+0.3*(2*((SIN(((Scenario_Data!W26)*12.9898+(0)*78.233+Inputs!$C$47*37.719))*43758.5453)-INT((SIN(((Scenario_Data!W26)*12.9898+(0)*78.233+Inputs!$C$47*37.719))*43758.5453)))-1)))))/Inputs!$C$21*1000000</f>
        <v/>
      </c>
      <c r="AG26">
        <f>Scenario_Data!T26</f>
        <v/>
      </c>
      <c r="AH26">
        <f>2*(SQRT((Inputs!$C$52+(Scenario_Data!B26))^2+Inputs!$C$52^2-2*(Inputs!$C$52+(Scenario_Data!B26))*Inputs!$C$52*COS(SQRT((Scenario_Data!T26)^2+Inputs!$C$6^2)/Inputs!$C$52))*1000)/Inputs!$C$21*1000000</f>
        <v/>
      </c>
      <c r="AI26">
        <f>Scenario_Data!U26</f>
        <v/>
      </c>
      <c r="AJ26">
        <f>2*(SQRT((Inputs!$C$52+(Scenario_Data!C26))^2+Inputs!$C$52^2-2*(Inputs!$C$52+(Scenario_Data!C26))*Inputs!$C$52*COS(SQRT((Scenario_Data!U26)^2+Inputs!$C$6^2)/Inputs!$C$52))*1000)/Inputs!$C$21*1000000</f>
        <v/>
      </c>
      <c r="AK26">
        <f>Scenario_Data!V26</f>
        <v/>
      </c>
      <c r="AL26">
        <f>2*(SQRT((Inputs!$C$52+(Scenario_Data!D26))^2+Inputs!$C$52^2-2*(Inputs!$C$52+(Scenario_Data!D26))*Inputs!$C$52*COS(SQRT((Scenario_Data!V26)^2+Inputs!$C$6^2)/Inputs!$C$52))*1000)/Inputs!$C$21*1000000</f>
        <v/>
      </c>
      <c r="AM26">
        <f>Scenario_Data!W26</f>
        <v/>
      </c>
      <c r="AN26">
        <f>2*(SQRT((Inputs!$C$52+(Scenario_Data!E26))^2+Inputs!$C$52^2-2*(Inputs!$C$52+(Scenario_Data!E26))*Inputs!$C$52*COS(SQRT((Scenario_Data!W26)^2+Inputs!$C$6^2)/Inputs!$C$52))*1000)/Inputs!$C$21*1000000</f>
        <v/>
      </c>
      <c r="AP26">
        <f>Scenario_Data!T26</f>
        <v/>
      </c>
      <c r="AQ26">
        <f>2*(SQRT((Inputs!$C$52+(Scenario_Data!B26))^2+(Inputs!$C$52+((IF(OR(Inputs!$C$27=TRUE,Inputs!$C$27="TRUE",Inputs!$C$27=1),1,0)*(Inputs!$C$51*(115*EXP(-(((Inputs!$C$6)-25)^2)/(4.5^2))+70*EXP(-(((Inputs!$C$6)+38)^2)/(7^2))*(0.55+0.45*SIN(2*PI()*(Scenario_Data!T26)/45))+24*SIN(2*PI()*(Inputs!$C$6)/9+(Scenario_Data!T26)/18)*EXP(-(((Inputs!$C$6)+5)^2)/(22^2))+18*SIN(2*PI()*(Scenario_Data!T26)/70))+Inputs!$C$28*EXP(-(((Scenario_Data!T26)-Inputs!$C$29)^2)/(2*Inputs!$C$31^2))*EXP(-(((Inputs!$C$6)-Inputs!$C$30)^2)/(2*Inputs!$C$32^2))+-Inputs!$C$33*EXP(-(((((Scenario_Data!T26)-Inputs!$C$34)^2)+(((Inputs!$C$6)-Inputs!$C$35)^2))/(2*Inputs!$C$36^2)))+Inputs!$C$37*(0.55*SIN(2*PI()*(Scenario_Data!T26)/Inputs!$C$39)+0.35*COS(2*PI()*(Inputs!$C$6)/Inputs!$C$40)+0.2*SIN(2*PI()*((Scenario_Data!T26)+(Inputs!$C$6))/(0.5*(Inputs!$C$39+Inputs!$C$40))))+Inputs!$C$38*SIN(2*PI()*(Scenario_Data!T26)/Inputs!$C$39)*SIN(2*PI()*(Inputs!$C$6)/Inputs!$C$40)+-Inputs!$C$41*EXP(-(((Inputs!$C$6)-Inputs!$C$43)^2)/(2*Inputs!$C$44^2))*EXP(-(((Scenario_Data!T26)-Inputs!$C$42)^2)/(2*Inputs!$C$45^2))+Inputs!$C$48*(0.7*(0.45*SIN(2*PI()*(((Scenario_Data!T26)/Inputs!$C$49)+Inputs!$C$47*0.137))+0.35*COS(2*PI()*(((Inputs!$C$6)/Inputs!$C$50)+Inputs!$C$47*0.173))+0.2*SIN(2*PI()*((((Scenario_Data!T26)+(Inputs!$C$6))/(0.5*(Inputs!$C$49+Inputs!$C$50)))+Inputs!$C$47*0.097)))+0.3*(2*((SIN(((Scenario_Data!T26)*12.9898+(Inputs!$C$6)*78.233+Inputs!$C$47*37.719))*43758.5453)-INT((SIN(((Scenario_Data!T26)*12.9898+(Inputs!$C$6)*78.233+Inputs!$C$47*37.719))*43758.5453)))-1))))/1000))^2-2*(Inputs!$C$52+(Scenario_Data!B26))*(Inputs!$C$52+((IF(OR(Inputs!$C$27=TRUE,Inputs!$C$27="TRUE",Inputs!$C$27=1),1,0)*(Inputs!$C$51*(115*EXP(-(((Inputs!$C$6)-25)^2)/(4.5^2))+70*EXP(-(((Inputs!$C$6)+38)^2)/(7^2))*(0.55+0.45*SIN(2*PI()*(Scenario_Data!T26)/45))+24*SIN(2*PI()*(Inputs!$C$6)/9+(Scenario_Data!T26)/18)*EXP(-(((Inputs!$C$6)+5)^2)/(22^2))+18*SIN(2*PI()*(Scenario_Data!T26)/70))+Inputs!$C$28*EXP(-(((Scenario_Data!T26)-Inputs!$C$29)^2)/(2*Inputs!$C$31^2))*EXP(-(((Inputs!$C$6)-Inputs!$C$30)^2)/(2*Inputs!$C$32^2))+-Inputs!$C$33*EXP(-(((((Scenario_Data!T26)-Inputs!$C$34)^2)+(((Inputs!$C$6)-Inputs!$C$35)^2))/(2*Inputs!$C$36^2)))+Inputs!$C$37*(0.55*SIN(2*PI()*(Scenario_Data!T26)/Inputs!$C$39)+0.35*COS(2*PI()*(Inputs!$C$6)/Inputs!$C$40)+0.2*SIN(2*PI()*((Scenario_Data!T26)+(Inputs!$C$6))/(0.5*(Inputs!$C$39+Inputs!$C$40))))+Inputs!$C$38*SIN(2*PI()*(Scenario_Data!T26)/Inputs!$C$39)*SIN(2*PI()*(Inputs!$C$6)/Inputs!$C$40)+-Inputs!$C$41*EXP(-(((Inputs!$C$6)-Inputs!$C$43)^2)/(2*Inputs!$C$44^2))*EXP(-(((Scenario_Data!T26)-Inputs!$C$42)^2)/(2*Inputs!$C$45^2))+Inputs!$C$48*(0.7*(0.45*SIN(2*PI()*(((Scenario_Data!T26)/Inputs!$C$49)+Inputs!$C$47*0.137))+0.35*COS(2*PI()*(((Inputs!$C$6)/Inputs!$C$50)+Inputs!$C$47*0.173))+0.2*SIN(2*PI()*((((Scenario_Data!T26)+(Inputs!$C$6))/(0.5*(Inputs!$C$49+Inputs!$C$50)))+Inputs!$C$47*0.097)))+0.3*(2*((SIN(((Scenario_Data!T26)*12.9898+(Inputs!$C$6)*78.233+Inputs!$C$47*37.719))*43758.5453)-INT((SIN(((Scenario_Data!T26)*12.9898+(Inputs!$C$6)*78.233+Inputs!$C$47*37.719))*43758.5453)))-1))))/1000))*COS(SQRT((Scenario_Data!T26)^2+Inputs!$C$6^2)/Inputs!$C$52))*1000)/Inputs!$C$21*1000000</f>
        <v/>
      </c>
      <c r="AR26">
        <f>Scenario_Data!U26</f>
        <v/>
      </c>
      <c r="AS26">
        <f>2*(SQRT((Inputs!$C$52+(Scenario_Data!C26))^2+(Inputs!$C$52+((IF(OR(Inputs!$C$27=TRUE,Inputs!$C$27="TRUE",Inputs!$C$27=1),1,0)*(Inputs!$C$51*(115*EXP(-(((Inputs!$C$6)-25)^2)/(4.5^2))+70*EXP(-(((Inputs!$C$6)+38)^2)/(7^2))*(0.55+0.45*SIN(2*PI()*(Scenario_Data!U26)/45))+24*SIN(2*PI()*(Inputs!$C$6)/9+(Scenario_Data!U26)/18)*EXP(-(((Inputs!$C$6)+5)^2)/(22^2))+18*SIN(2*PI()*(Scenario_Data!U26)/70))+Inputs!$C$28*EXP(-(((Scenario_Data!U26)-Inputs!$C$29)^2)/(2*Inputs!$C$31^2))*EXP(-(((Inputs!$C$6)-Inputs!$C$30)^2)/(2*Inputs!$C$32^2))+-Inputs!$C$33*EXP(-(((((Scenario_Data!U26)-Inputs!$C$34)^2)+(((Inputs!$C$6)-Inputs!$C$35)^2))/(2*Inputs!$C$36^2)))+Inputs!$C$37*(0.55*SIN(2*PI()*(Scenario_Data!U26)/Inputs!$C$39)+0.35*COS(2*PI()*(Inputs!$C$6)/Inputs!$C$40)+0.2*SIN(2*PI()*((Scenario_Data!U26)+(Inputs!$C$6))/(0.5*(Inputs!$C$39+Inputs!$C$40))))+Inputs!$C$38*SIN(2*PI()*(Scenario_Data!U26)/Inputs!$C$39)*SIN(2*PI()*(Inputs!$C$6)/Inputs!$C$40)+-Inputs!$C$41*EXP(-(((Inputs!$C$6)-Inputs!$C$43)^2)/(2*Inputs!$C$44^2))*EXP(-(((Scenario_Data!U26)-Inputs!$C$42)^2)/(2*Inputs!$C$45^2))+Inputs!$C$48*(0.7*(0.45*SIN(2*PI()*(((Scenario_Data!U26)/Inputs!$C$49)+Inputs!$C$47*0.137))+0.35*COS(2*PI()*(((Inputs!$C$6)/Inputs!$C$50)+Inputs!$C$47*0.173))+0.2*SIN(2*PI()*((((Scenario_Data!U26)+(Inputs!$C$6))/(0.5*(Inputs!$C$49+Inputs!$C$50)))+Inputs!$C$47*0.097)))+0.3*(2*((SIN(((Scenario_Data!U26)*12.9898+(Inputs!$C$6)*78.233+Inputs!$C$47*37.719))*43758.5453)-INT((SIN(((Scenario_Data!U26)*12.9898+(Inputs!$C$6)*78.233+Inputs!$C$47*37.719))*43758.5453)))-1))))/1000))^2-2*(Inputs!$C$52+(Scenario_Data!C26))*(Inputs!$C$52+((IF(OR(Inputs!$C$27=TRUE,Inputs!$C$27="TRUE",Inputs!$C$27=1),1,0)*(Inputs!$C$51*(115*EXP(-(((Inputs!$C$6)-25)^2)/(4.5^2))+70*EXP(-(((Inputs!$C$6)+38)^2)/(7^2))*(0.55+0.45*SIN(2*PI()*(Scenario_Data!U26)/45))+24*SIN(2*PI()*(Inputs!$C$6)/9+(Scenario_Data!U26)/18)*EXP(-(((Inputs!$C$6)+5)^2)/(22^2))+18*SIN(2*PI()*(Scenario_Data!U26)/70))+Inputs!$C$28*EXP(-(((Scenario_Data!U26)-Inputs!$C$29)^2)/(2*Inputs!$C$31^2))*EXP(-(((Inputs!$C$6)-Inputs!$C$30)^2)/(2*Inputs!$C$32^2))+-Inputs!$C$33*EXP(-(((((Scenario_Data!U26)-Inputs!$C$34)^2)+(((Inputs!$C$6)-Inputs!$C$35)^2))/(2*Inputs!$C$36^2)))+Inputs!$C$37*(0.55*SIN(2*PI()*(Scenario_Data!U26)/Inputs!$C$39)+0.35*COS(2*PI()*(Inputs!$C$6)/Inputs!$C$40)+0.2*SIN(2*PI()*((Scenario_Data!U26)+(Inputs!$C$6))/(0.5*(Inputs!$C$39+Inputs!$C$40))))+Inputs!$C$38*SIN(2*PI()*(Scenario_Data!U26)/Inputs!$C$39)*SIN(2*PI()*(Inputs!$C$6)/Inputs!$C$40)+-Inputs!$C$41*EXP(-(((Inputs!$C$6)-Inputs!$C$43)^2)/(2*Inputs!$C$44^2))*EXP(-(((Scenario_Data!U26)-Inputs!$C$42)^2)/(2*Inputs!$C$45^2))+Inputs!$C$48*(0.7*(0.45*SIN(2*PI()*(((Scenario_Data!U26)/Inputs!$C$49)+Inputs!$C$47*0.137))+0.35*COS(2*PI()*(((Inputs!$C$6)/Inputs!$C$50)+Inputs!$C$47*0.173))+0.2*SIN(2*PI()*((((Scenario_Data!U26)+(Inputs!$C$6))/(0.5*(Inputs!$C$49+Inputs!$C$50)))+Inputs!$C$47*0.097)))+0.3*(2*((SIN(((Scenario_Data!U26)*12.9898+(Inputs!$C$6)*78.233+Inputs!$C$47*37.719))*43758.5453)-INT((SIN(((Scenario_Data!U26)*12.9898+(Inputs!$C$6)*78.233+Inputs!$C$47*37.719))*43758.5453)))-1))))/1000))*COS(SQRT((Scenario_Data!U26)^2+Inputs!$C$6^2)/Inputs!$C$52))*1000)/Inputs!$C$21*1000000</f>
        <v/>
      </c>
      <c r="AT26">
        <f>Scenario_Data!V26</f>
        <v/>
      </c>
      <c r="AU26">
        <f>2*(SQRT((Inputs!$C$52+(Scenario_Data!D26))^2+(Inputs!$C$52+((IF(OR(Inputs!$C$27=TRUE,Inputs!$C$27="TRUE",Inputs!$C$27=1),1,0)*(Inputs!$C$51*(115*EXP(-(((Inputs!$C$6)-25)^2)/(4.5^2))+70*EXP(-(((Inputs!$C$6)+38)^2)/(7^2))*(0.55+0.45*SIN(2*PI()*(Scenario_Data!V26)/45))+24*SIN(2*PI()*(Inputs!$C$6)/9+(Scenario_Data!V26)/18)*EXP(-(((Inputs!$C$6)+5)^2)/(22^2))+18*SIN(2*PI()*(Scenario_Data!V26)/70))+Inputs!$C$28*EXP(-(((Scenario_Data!V26)-Inputs!$C$29)^2)/(2*Inputs!$C$31^2))*EXP(-(((Inputs!$C$6)-Inputs!$C$30)^2)/(2*Inputs!$C$32^2))+-Inputs!$C$33*EXP(-(((((Scenario_Data!V26)-Inputs!$C$34)^2)+(((Inputs!$C$6)-Inputs!$C$35)^2))/(2*Inputs!$C$36^2)))+Inputs!$C$37*(0.55*SIN(2*PI()*(Scenario_Data!V26)/Inputs!$C$39)+0.35*COS(2*PI()*(Inputs!$C$6)/Inputs!$C$40)+0.2*SIN(2*PI()*((Scenario_Data!V26)+(Inputs!$C$6))/(0.5*(Inputs!$C$39+Inputs!$C$40))))+Inputs!$C$38*SIN(2*PI()*(Scenario_Data!V26)/Inputs!$C$39)*SIN(2*PI()*(Inputs!$C$6)/Inputs!$C$40)+-Inputs!$C$41*EXP(-(((Inputs!$C$6)-Inputs!$C$43)^2)/(2*Inputs!$C$44^2))*EXP(-(((Scenario_Data!V26)-Inputs!$C$42)^2)/(2*Inputs!$C$45^2))+Inputs!$C$48*(0.7*(0.45*SIN(2*PI()*(((Scenario_Data!V26)/Inputs!$C$49)+Inputs!$C$47*0.137))+0.35*COS(2*PI()*(((Inputs!$C$6)/Inputs!$C$50)+Inputs!$C$47*0.173))+0.2*SIN(2*PI()*((((Scenario_Data!V26)+(Inputs!$C$6))/(0.5*(Inputs!$C$49+Inputs!$C$50)))+Inputs!$C$47*0.097)))+0.3*(2*((SIN(((Scenario_Data!V26)*12.9898+(Inputs!$C$6)*78.233+Inputs!$C$47*37.719))*43758.5453)-INT((SIN(((Scenario_Data!V26)*12.9898+(Inputs!$C$6)*78.233+Inputs!$C$47*37.719))*43758.5453)))-1))))/1000))^2-2*(Inputs!$C$52+(Scenario_Data!D26))*(Inputs!$C$52+((IF(OR(Inputs!$C$27=TRUE,Inputs!$C$27="TRUE",Inputs!$C$27=1),1,0)*(Inputs!$C$51*(115*EXP(-(((Inputs!$C$6)-25)^2)/(4.5^2))+70*EXP(-(((Inputs!$C$6)+38)^2)/(7^2))*(0.55+0.45*SIN(2*PI()*(Scenario_Data!V26)/45))+24*SIN(2*PI()*(Inputs!$C$6)/9+(Scenario_Data!V26)/18)*EXP(-(((Inputs!$C$6)+5)^2)/(22^2))+18*SIN(2*PI()*(Scenario_Data!V26)/70))+Inputs!$C$28*EXP(-(((Scenario_Data!V26)-Inputs!$C$29)^2)/(2*Inputs!$C$31^2))*EXP(-(((Inputs!$C$6)-Inputs!$C$30)^2)/(2*Inputs!$C$32^2))+-Inputs!$C$33*EXP(-(((((Scenario_Data!V26)-Inputs!$C$34)^2)+(((Inputs!$C$6)-Inputs!$C$35)^2))/(2*Inputs!$C$36^2)))+Inputs!$C$37*(0.55*SIN(2*PI()*(Scenario_Data!V26)/Inputs!$C$39)+0.35*COS(2*PI()*(Inputs!$C$6)/Inputs!$C$40)+0.2*SIN(2*PI()*((Scenario_Data!V26)+(Inputs!$C$6))/(0.5*(Inputs!$C$39+Inputs!$C$40))))+Inputs!$C$38*SIN(2*PI()*(Scenario_Data!V26)/Inputs!$C$39)*SIN(2*PI()*(Inputs!$C$6)/Inputs!$C$40)+-Inputs!$C$41*EXP(-(((Inputs!$C$6)-Inputs!$C$43)^2)/(2*Inputs!$C$44^2))*EXP(-(((Scenario_Data!V26)-Inputs!$C$42)^2)/(2*Inputs!$C$45^2))+Inputs!$C$48*(0.7*(0.45*SIN(2*PI()*(((Scenario_Data!V26)/Inputs!$C$49)+Inputs!$C$47*0.137))+0.35*COS(2*PI()*(((Inputs!$C$6)/Inputs!$C$50)+Inputs!$C$47*0.173))+0.2*SIN(2*PI()*((((Scenario_Data!V26)+(Inputs!$C$6))/(0.5*(Inputs!$C$49+Inputs!$C$50)))+Inputs!$C$47*0.097)))+0.3*(2*((SIN(((Scenario_Data!V26)*12.9898+(Inputs!$C$6)*78.233+Inputs!$C$47*37.719))*43758.5453)-INT((SIN(((Scenario_Data!V26)*12.9898+(Inputs!$C$6)*78.233+Inputs!$C$47*37.719))*43758.5453)))-1))))/1000))*COS(SQRT((Scenario_Data!V26)^2+Inputs!$C$6^2)/Inputs!$C$52))*1000)/Inputs!$C$21*1000000</f>
        <v/>
      </c>
      <c r="AV26">
        <f>Scenario_Data!W26</f>
        <v/>
      </c>
      <c r="AW26">
        <f>2*(SQRT((Inputs!$C$52+(Scenario_Data!E26))^2+(Inputs!$C$52+((IF(OR(Inputs!$C$27=TRUE,Inputs!$C$27="TRUE",Inputs!$C$27=1),1,0)*(Inputs!$C$51*(115*EXP(-(((Inputs!$C$6)-25)^2)/(4.5^2))+70*EXP(-(((Inputs!$C$6)+38)^2)/(7^2))*(0.55+0.45*SIN(2*PI()*(Scenario_Data!W26)/45))+24*SIN(2*PI()*(Inputs!$C$6)/9+(Scenario_Data!W26)/18)*EXP(-(((Inputs!$C$6)+5)^2)/(22^2))+18*SIN(2*PI()*(Scenario_Data!W26)/70))+Inputs!$C$28*EXP(-(((Scenario_Data!W26)-Inputs!$C$29)^2)/(2*Inputs!$C$31^2))*EXP(-(((Inputs!$C$6)-Inputs!$C$30)^2)/(2*Inputs!$C$32^2))+-Inputs!$C$33*EXP(-(((((Scenario_Data!W26)-Inputs!$C$34)^2)+(((Inputs!$C$6)-Inputs!$C$35)^2))/(2*Inputs!$C$36^2)))+Inputs!$C$37*(0.55*SIN(2*PI()*(Scenario_Data!W26)/Inputs!$C$39)+0.35*COS(2*PI()*(Inputs!$C$6)/Inputs!$C$40)+0.2*SIN(2*PI()*((Scenario_Data!W26)+(Inputs!$C$6))/(0.5*(Inputs!$C$39+Inputs!$C$40))))+Inputs!$C$38*SIN(2*PI()*(Scenario_Data!W26)/Inputs!$C$39)*SIN(2*PI()*(Inputs!$C$6)/Inputs!$C$40)+-Inputs!$C$41*EXP(-(((Inputs!$C$6)-Inputs!$C$43)^2)/(2*Inputs!$C$44^2))*EXP(-(((Scenario_Data!W26)-Inputs!$C$42)^2)/(2*Inputs!$C$45^2))+Inputs!$C$48*(0.7*(0.45*SIN(2*PI()*(((Scenario_Data!W26)/Inputs!$C$49)+Inputs!$C$47*0.137))+0.35*COS(2*PI()*(((Inputs!$C$6)/Inputs!$C$50)+Inputs!$C$47*0.173))+0.2*SIN(2*PI()*((((Scenario_Data!W26)+(Inputs!$C$6))/(0.5*(Inputs!$C$49+Inputs!$C$50)))+Inputs!$C$47*0.097)))+0.3*(2*((SIN(((Scenario_Data!W26)*12.9898+(Inputs!$C$6)*78.233+Inputs!$C$47*37.719))*43758.5453)-INT((SIN(((Scenario_Data!W26)*12.9898+(Inputs!$C$6)*78.233+Inputs!$C$47*37.719))*43758.5453)))-1))))/1000))^2-2*(Inputs!$C$52+(Scenario_Data!E26))*(Inputs!$C$52+((IF(OR(Inputs!$C$27=TRUE,Inputs!$C$27="TRUE",Inputs!$C$27=1),1,0)*(Inputs!$C$51*(115*EXP(-(((Inputs!$C$6)-25)^2)/(4.5^2))+70*EXP(-(((Inputs!$C$6)+38)^2)/(7^2))*(0.55+0.45*SIN(2*PI()*(Scenario_Data!W26)/45))+24*SIN(2*PI()*(Inputs!$C$6)/9+(Scenario_Data!W26)/18)*EXP(-(((Inputs!$C$6)+5)^2)/(22^2))+18*SIN(2*PI()*(Scenario_Data!W26)/70))+Inputs!$C$28*EXP(-(((Scenario_Data!W26)-Inputs!$C$29)^2)/(2*Inputs!$C$31^2))*EXP(-(((Inputs!$C$6)-Inputs!$C$30)^2)/(2*Inputs!$C$32^2))+-Inputs!$C$33*EXP(-(((((Scenario_Data!W26)-Inputs!$C$34)^2)+(((Inputs!$C$6)-Inputs!$C$35)^2))/(2*Inputs!$C$36^2)))+Inputs!$C$37*(0.55*SIN(2*PI()*(Scenario_Data!W26)/Inputs!$C$39)+0.35*COS(2*PI()*(Inputs!$C$6)/Inputs!$C$40)+0.2*SIN(2*PI()*((Scenario_Data!W26)+(Inputs!$C$6))/(0.5*(Inputs!$C$39+Inputs!$C$40))))+Inputs!$C$38*SIN(2*PI()*(Scenario_Data!W26)/Inputs!$C$39)*SIN(2*PI()*(Inputs!$C$6)/Inputs!$C$40)+-Inputs!$C$41*EXP(-(((Inputs!$C$6)-Inputs!$C$43)^2)/(2*Inputs!$C$44^2))*EXP(-(((Scenario_Data!W26)-Inputs!$C$42)^2)/(2*Inputs!$C$45^2))+Inputs!$C$48*(0.7*(0.45*SIN(2*PI()*(((Scenario_Data!W26)/Inputs!$C$49)+Inputs!$C$47*0.137))+0.35*COS(2*PI()*(((Inputs!$C$6)/Inputs!$C$50)+Inputs!$C$47*0.173))+0.2*SIN(2*PI()*((((Scenario_Data!W26)+(Inputs!$C$6))/(0.5*(Inputs!$C$49+Inputs!$C$50)))+Inputs!$C$47*0.097)))+0.3*(2*((SIN(((Scenario_Data!W26)*12.9898+(Inputs!$C$6)*78.233+Inputs!$C$47*37.719))*43758.5453)-INT((SIN(((Scenario_Data!W26)*12.9898+(Inputs!$C$6)*78.233+Inputs!$C$47*37.719))*43758.5453)))-1))))/1000))*COS(SQRT((Scenario_Data!W26)^2+Inputs!$C$6^2)/Inputs!$C$52))*1000)/Inputs!$C$21*1000000</f>
        <v/>
      </c>
    </row>
    <row r="27">
      <c r="A27">
        <f>Chart_Data!K27</f>
        <v/>
      </c>
      <c r="B27">
        <f>Chart_Data!N27-Chart_Data!L27</f>
        <v/>
      </c>
      <c r="D27">
        <f>Chart_Data!G27</f>
        <v/>
      </c>
      <c r="E27">
        <f>Chart_Data!H27</f>
        <v/>
      </c>
      <c r="F27">
        <f>Chart_Data!I27</f>
        <v/>
      </c>
      <c r="G27">
        <f>Chart_Data!J27</f>
        <v/>
      </c>
      <c r="I27">
        <f>Scenario_Data!A27</f>
        <v/>
      </c>
      <c r="J27">
        <f>Scenario_Data!H27-(((SQRT((Inputs!$C$52+(Inputs!$H$6))^2+Inputs!$C$52^2-2*(Inputs!$C$52+(Inputs!$H$6))*Inputs!$C$52*COS(SQRT((Scenario_Data!T27)^2+Inputs!$C$6^2)/Inputs!$C$52)))-(Inputs!$H$6))*1000/Inputs!$C$12)</f>
        <v/>
      </c>
      <c r="K27">
        <f>Scenario_Data!I27-(((SQRT((Inputs!$C$52+(Inputs!$H$7))^2+Inputs!$C$52^2-2*(Inputs!$C$52+(Inputs!$H$7))*Inputs!$C$52*COS(SQRT((Scenario_Data!U27)^2+Inputs!$C$6^2)/Inputs!$C$52)))-(Inputs!$H$7))*1000/Inputs!$C$12)</f>
        <v/>
      </c>
      <c r="L27">
        <f>Scenario_Data!J27-(((SQRT((Inputs!$C$52+(Inputs!$H$8))^2+Inputs!$C$52^2-2*(Inputs!$C$52+(Inputs!$H$8))*Inputs!$C$52*COS(SQRT((Scenario_Data!V27)^2+Inputs!$C$6^2)/Inputs!$C$52)))-(Inputs!$H$8))*1000/Inputs!$C$12)</f>
        <v/>
      </c>
      <c r="M27">
        <f>Scenario_Data!K27-(((SQRT((Inputs!$C$52+(Inputs!$H$9))^2+Inputs!$C$52^2-2*(Inputs!$C$52+(Inputs!$H$9))*Inputs!$C$52*COS(SQRT((Scenario_Data!W27)^2+Inputs!$C$6^2)/Inputs!$C$52)))-(Inputs!$H$9))*1000/Inputs!$C$12)</f>
        <v/>
      </c>
      <c r="O27">
        <f>Scenario_Data!T27</f>
        <v/>
      </c>
      <c r="P27">
        <f>2*(Scenario_Data!B27*1000)/Inputs!$C$21*1000000</f>
        <v/>
      </c>
      <c r="Q27">
        <f>Scenario_Data!U27</f>
        <v/>
      </c>
      <c r="R27">
        <f>2*(Scenario_Data!C27*1000)/Inputs!$C$21*1000000</f>
        <v/>
      </c>
      <c r="S27">
        <f>Scenario_Data!V27</f>
        <v/>
      </c>
      <c r="T27">
        <f>2*(Scenario_Data!D27*1000)/Inputs!$C$21*1000000</f>
        <v/>
      </c>
      <c r="U27">
        <f>Scenario_Data!W27</f>
        <v/>
      </c>
      <c r="V27">
        <f>2*(Scenario_Data!E27*1000)/Inputs!$C$21*1000000</f>
        <v/>
      </c>
      <c r="X27">
        <f>Scenario_Data!T27</f>
        <v/>
      </c>
      <c r="Y27">
        <f>2*((Scenario_Data!B27*1000)-(IF(OR(Inputs!$C$27=TRUE,Inputs!$C$27="TRUE",Inputs!$C$27=1),1,0)*(Inputs!$C$51*(115*EXP(-(((0)-25)^2)/(4.5^2))+70*EXP(-(((0)+38)^2)/(7^2))*(0.55+0.45*SIN(2*PI()*(Scenario_Data!T27)/45))+24*SIN(2*PI()*(0)/9+(Scenario_Data!T27)/18)*EXP(-(((0)+5)^2)/(22^2))+18*SIN(2*PI()*(Scenario_Data!T27)/70))+Inputs!$C$28*EXP(-(((Scenario_Data!T27)-Inputs!$C$29)^2)/(2*Inputs!$C$31^2))*EXP(-(((0)-Inputs!$C$30)^2)/(2*Inputs!$C$32^2))+-Inputs!$C$33*EXP(-(((((Scenario_Data!T27)-Inputs!$C$34)^2)+(((0)-Inputs!$C$35)^2))/(2*Inputs!$C$36^2)))+Inputs!$C$37*(0.55*SIN(2*PI()*(Scenario_Data!T27)/Inputs!$C$39)+0.35*COS(2*PI()*(0)/Inputs!$C$40)+0.2*SIN(2*PI()*((Scenario_Data!T27)+(0))/(0.5*(Inputs!$C$39+Inputs!$C$40))))+Inputs!$C$38*SIN(2*PI()*(Scenario_Data!T27)/Inputs!$C$39)*SIN(2*PI()*(0)/Inputs!$C$40)+-Inputs!$C$41*EXP(-(((0)-Inputs!$C$43)^2)/(2*Inputs!$C$44^2))*EXP(-(((Scenario_Data!T27)-Inputs!$C$42)^2)/(2*Inputs!$C$45^2))+Inputs!$C$48*(0.7*(0.45*SIN(2*PI()*(((Scenario_Data!T27)/Inputs!$C$49)+Inputs!$C$47*0.137))+0.35*COS(2*PI()*(((0)/Inputs!$C$50)+Inputs!$C$47*0.173))+0.2*SIN(2*PI()*((((Scenario_Data!T27)+(0))/(0.5*(Inputs!$C$49+Inputs!$C$50)))+Inputs!$C$47*0.097)))+0.3*(2*((SIN(((Scenario_Data!T27)*12.9898+(0)*78.233+Inputs!$C$47*37.719))*43758.5453)-INT((SIN(((Scenario_Data!T27)*12.9898+(0)*78.233+Inputs!$C$47*37.719))*43758.5453)))-1)))))/Inputs!$C$21*1000000</f>
        <v/>
      </c>
      <c r="Z27">
        <f>Scenario_Data!U27</f>
        <v/>
      </c>
      <c r="AA27">
        <f>2*((Scenario_Data!C27*1000)-(IF(OR(Inputs!$C$27=TRUE,Inputs!$C$27="TRUE",Inputs!$C$27=1),1,0)*(Inputs!$C$51*(115*EXP(-(((0)-25)^2)/(4.5^2))+70*EXP(-(((0)+38)^2)/(7^2))*(0.55+0.45*SIN(2*PI()*(Scenario_Data!U27)/45))+24*SIN(2*PI()*(0)/9+(Scenario_Data!U27)/18)*EXP(-(((0)+5)^2)/(22^2))+18*SIN(2*PI()*(Scenario_Data!U27)/70))+Inputs!$C$28*EXP(-(((Scenario_Data!U27)-Inputs!$C$29)^2)/(2*Inputs!$C$31^2))*EXP(-(((0)-Inputs!$C$30)^2)/(2*Inputs!$C$32^2))+-Inputs!$C$33*EXP(-(((((Scenario_Data!U27)-Inputs!$C$34)^2)+(((0)-Inputs!$C$35)^2))/(2*Inputs!$C$36^2)))+Inputs!$C$37*(0.55*SIN(2*PI()*(Scenario_Data!U27)/Inputs!$C$39)+0.35*COS(2*PI()*(0)/Inputs!$C$40)+0.2*SIN(2*PI()*((Scenario_Data!U27)+(0))/(0.5*(Inputs!$C$39+Inputs!$C$40))))+Inputs!$C$38*SIN(2*PI()*(Scenario_Data!U27)/Inputs!$C$39)*SIN(2*PI()*(0)/Inputs!$C$40)+-Inputs!$C$41*EXP(-(((0)-Inputs!$C$43)^2)/(2*Inputs!$C$44^2))*EXP(-(((Scenario_Data!U27)-Inputs!$C$42)^2)/(2*Inputs!$C$45^2))+Inputs!$C$48*(0.7*(0.45*SIN(2*PI()*(((Scenario_Data!U27)/Inputs!$C$49)+Inputs!$C$47*0.137))+0.35*COS(2*PI()*(((0)/Inputs!$C$50)+Inputs!$C$47*0.173))+0.2*SIN(2*PI()*((((Scenario_Data!U27)+(0))/(0.5*(Inputs!$C$49+Inputs!$C$50)))+Inputs!$C$47*0.097)))+0.3*(2*((SIN(((Scenario_Data!U27)*12.9898+(0)*78.233+Inputs!$C$47*37.719))*43758.5453)-INT((SIN(((Scenario_Data!U27)*12.9898+(0)*78.233+Inputs!$C$47*37.719))*43758.5453)))-1)))))/Inputs!$C$21*1000000</f>
        <v/>
      </c>
      <c r="AB27">
        <f>Scenario_Data!V27</f>
        <v/>
      </c>
      <c r="AC27">
        <f>2*((Scenario_Data!D27*1000)-(IF(OR(Inputs!$C$27=TRUE,Inputs!$C$27="TRUE",Inputs!$C$27=1),1,0)*(Inputs!$C$51*(115*EXP(-(((0)-25)^2)/(4.5^2))+70*EXP(-(((0)+38)^2)/(7^2))*(0.55+0.45*SIN(2*PI()*(Scenario_Data!V27)/45))+24*SIN(2*PI()*(0)/9+(Scenario_Data!V27)/18)*EXP(-(((0)+5)^2)/(22^2))+18*SIN(2*PI()*(Scenario_Data!V27)/70))+Inputs!$C$28*EXP(-(((Scenario_Data!V27)-Inputs!$C$29)^2)/(2*Inputs!$C$31^2))*EXP(-(((0)-Inputs!$C$30)^2)/(2*Inputs!$C$32^2))+-Inputs!$C$33*EXP(-(((((Scenario_Data!V27)-Inputs!$C$34)^2)+(((0)-Inputs!$C$35)^2))/(2*Inputs!$C$36^2)))+Inputs!$C$37*(0.55*SIN(2*PI()*(Scenario_Data!V27)/Inputs!$C$39)+0.35*COS(2*PI()*(0)/Inputs!$C$40)+0.2*SIN(2*PI()*((Scenario_Data!V27)+(0))/(0.5*(Inputs!$C$39+Inputs!$C$40))))+Inputs!$C$38*SIN(2*PI()*(Scenario_Data!V27)/Inputs!$C$39)*SIN(2*PI()*(0)/Inputs!$C$40)+-Inputs!$C$41*EXP(-(((0)-Inputs!$C$43)^2)/(2*Inputs!$C$44^2))*EXP(-(((Scenario_Data!V27)-Inputs!$C$42)^2)/(2*Inputs!$C$45^2))+Inputs!$C$48*(0.7*(0.45*SIN(2*PI()*(((Scenario_Data!V27)/Inputs!$C$49)+Inputs!$C$47*0.137))+0.35*COS(2*PI()*(((0)/Inputs!$C$50)+Inputs!$C$47*0.173))+0.2*SIN(2*PI()*((((Scenario_Data!V27)+(0))/(0.5*(Inputs!$C$49+Inputs!$C$50)))+Inputs!$C$47*0.097)))+0.3*(2*((SIN(((Scenario_Data!V27)*12.9898+(0)*78.233+Inputs!$C$47*37.719))*43758.5453)-INT((SIN(((Scenario_Data!V27)*12.9898+(0)*78.233+Inputs!$C$47*37.719))*43758.5453)))-1)))))/Inputs!$C$21*1000000</f>
        <v/>
      </c>
      <c r="AD27">
        <f>Scenario_Data!W27</f>
        <v/>
      </c>
      <c r="AE27">
        <f>2*((Scenario_Data!E27*1000)-(IF(OR(Inputs!$C$27=TRUE,Inputs!$C$27="TRUE",Inputs!$C$27=1),1,0)*(Inputs!$C$51*(115*EXP(-(((0)-25)^2)/(4.5^2))+70*EXP(-(((0)+38)^2)/(7^2))*(0.55+0.45*SIN(2*PI()*(Scenario_Data!W27)/45))+24*SIN(2*PI()*(0)/9+(Scenario_Data!W27)/18)*EXP(-(((0)+5)^2)/(22^2))+18*SIN(2*PI()*(Scenario_Data!W27)/70))+Inputs!$C$28*EXP(-(((Scenario_Data!W27)-Inputs!$C$29)^2)/(2*Inputs!$C$31^2))*EXP(-(((0)-Inputs!$C$30)^2)/(2*Inputs!$C$32^2))+-Inputs!$C$33*EXP(-(((((Scenario_Data!W27)-Inputs!$C$34)^2)+(((0)-Inputs!$C$35)^2))/(2*Inputs!$C$36^2)))+Inputs!$C$37*(0.55*SIN(2*PI()*(Scenario_Data!W27)/Inputs!$C$39)+0.35*COS(2*PI()*(0)/Inputs!$C$40)+0.2*SIN(2*PI()*((Scenario_Data!W27)+(0))/(0.5*(Inputs!$C$39+Inputs!$C$40))))+Inputs!$C$38*SIN(2*PI()*(Scenario_Data!W27)/Inputs!$C$39)*SIN(2*PI()*(0)/Inputs!$C$40)+-Inputs!$C$41*EXP(-(((0)-Inputs!$C$43)^2)/(2*Inputs!$C$44^2))*EXP(-(((Scenario_Data!W27)-Inputs!$C$42)^2)/(2*Inputs!$C$45^2))+Inputs!$C$48*(0.7*(0.45*SIN(2*PI()*(((Scenario_Data!W27)/Inputs!$C$49)+Inputs!$C$47*0.137))+0.35*COS(2*PI()*(((0)/Inputs!$C$50)+Inputs!$C$47*0.173))+0.2*SIN(2*PI()*((((Scenario_Data!W27)+(0))/(0.5*(Inputs!$C$49+Inputs!$C$50)))+Inputs!$C$47*0.097)))+0.3*(2*((SIN(((Scenario_Data!W27)*12.9898+(0)*78.233+Inputs!$C$47*37.719))*43758.5453)-INT((SIN(((Scenario_Data!W27)*12.9898+(0)*78.233+Inputs!$C$47*37.719))*43758.5453)))-1)))))/Inputs!$C$21*1000000</f>
        <v/>
      </c>
      <c r="AG27">
        <f>Scenario_Data!T27</f>
        <v/>
      </c>
      <c r="AH27">
        <f>2*(SQRT((Inputs!$C$52+(Scenario_Data!B27))^2+Inputs!$C$52^2-2*(Inputs!$C$52+(Scenario_Data!B27))*Inputs!$C$52*COS(SQRT((Scenario_Data!T27)^2+Inputs!$C$6^2)/Inputs!$C$52))*1000)/Inputs!$C$21*1000000</f>
        <v/>
      </c>
      <c r="AI27">
        <f>Scenario_Data!U27</f>
        <v/>
      </c>
      <c r="AJ27">
        <f>2*(SQRT((Inputs!$C$52+(Scenario_Data!C27))^2+Inputs!$C$52^2-2*(Inputs!$C$52+(Scenario_Data!C27))*Inputs!$C$52*COS(SQRT((Scenario_Data!U27)^2+Inputs!$C$6^2)/Inputs!$C$52))*1000)/Inputs!$C$21*1000000</f>
        <v/>
      </c>
      <c r="AK27">
        <f>Scenario_Data!V27</f>
        <v/>
      </c>
      <c r="AL27">
        <f>2*(SQRT((Inputs!$C$52+(Scenario_Data!D27))^2+Inputs!$C$52^2-2*(Inputs!$C$52+(Scenario_Data!D27))*Inputs!$C$52*COS(SQRT((Scenario_Data!V27)^2+Inputs!$C$6^2)/Inputs!$C$52))*1000)/Inputs!$C$21*1000000</f>
        <v/>
      </c>
      <c r="AM27">
        <f>Scenario_Data!W27</f>
        <v/>
      </c>
      <c r="AN27">
        <f>2*(SQRT((Inputs!$C$52+(Scenario_Data!E27))^2+Inputs!$C$52^2-2*(Inputs!$C$52+(Scenario_Data!E27))*Inputs!$C$52*COS(SQRT((Scenario_Data!W27)^2+Inputs!$C$6^2)/Inputs!$C$52))*1000)/Inputs!$C$21*1000000</f>
        <v/>
      </c>
      <c r="AP27">
        <f>Scenario_Data!T27</f>
        <v/>
      </c>
      <c r="AQ27">
        <f>2*(SQRT((Inputs!$C$52+(Scenario_Data!B27))^2+(Inputs!$C$52+((IF(OR(Inputs!$C$27=TRUE,Inputs!$C$27="TRUE",Inputs!$C$27=1),1,0)*(Inputs!$C$51*(115*EXP(-(((Inputs!$C$6)-25)^2)/(4.5^2))+70*EXP(-(((Inputs!$C$6)+38)^2)/(7^2))*(0.55+0.45*SIN(2*PI()*(Scenario_Data!T27)/45))+24*SIN(2*PI()*(Inputs!$C$6)/9+(Scenario_Data!T27)/18)*EXP(-(((Inputs!$C$6)+5)^2)/(22^2))+18*SIN(2*PI()*(Scenario_Data!T27)/70))+Inputs!$C$28*EXP(-(((Scenario_Data!T27)-Inputs!$C$29)^2)/(2*Inputs!$C$31^2))*EXP(-(((Inputs!$C$6)-Inputs!$C$30)^2)/(2*Inputs!$C$32^2))+-Inputs!$C$33*EXP(-(((((Scenario_Data!T27)-Inputs!$C$34)^2)+(((Inputs!$C$6)-Inputs!$C$35)^2))/(2*Inputs!$C$36^2)))+Inputs!$C$37*(0.55*SIN(2*PI()*(Scenario_Data!T27)/Inputs!$C$39)+0.35*COS(2*PI()*(Inputs!$C$6)/Inputs!$C$40)+0.2*SIN(2*PI()*((Scenario_Data!T27)+(Inputs!$C$6))/(0.5*(Inputs!$C$39+Inputs!$C$40))))+Inputs!$C$38*SIN(2*PI()*(Scenario_Data!T27)/Inputs!$C$39)*SIN(2*PI()*(Inputs!$C$6)/Inputs!$C$40)+-Inputs!$C$41*EXP(-(((Inputs!$C$6)-Inputs!$C$43)^2)/(2*Inputs!$C$44^2))*EXP(-(((Scenario_Data!T27)-Inputs!$C$42)^2)/(2*Inputs!$C$45^2))+Inputs!$C$48*(0.7*(0.45*SIN(2*PI()*(((Scenario_Data!T27)/Inputs!$C$49)+Inputs!$C$47*0.137))+0.35*COS(2*PI()*(((Inputs!$C$6)/Inputs!$C$50)+Inputs!$C$47*0.173))+0.2*SIN(2*PI()*((((Scenario_Data!T27)+(Inputs!$C$6))/(0.5*(Inputs!$C$49+Inputs!$C$50)))+Inputs!$C$47*0.097)))+0.3*(2*((SIN(((Scenario_Data!T27)*12.9898+(Inputs!$C$6)*78.233+Inputs!$C$47*37.719))*43758.5453)-INT((SIN(((Scenario_Data!T27)*12.9898+(Inputs!$C$6)*78.233+Inputs!$C$47*37.719))*43758.5453)))-1))))/1000))^2-2*(Inputs!$C$52+(Scenario_Data!B27))*(Inputs!$C$52+((IF(OR(Inputs!$C$27=TRUE,Inputs!$C$27="TRUE",Inputs!$C$27=1),1,0)*(Inputs!$C$51*(115*EXP(-(((Inputs!$C$6)-25)^2)/(4.5^2))+70*EXP(-(((Inputs!$C$6)+38)^2)/(7^2))*(0.55+0.45*SIN(2*PI()*(Scenario_Data!T27)/45))+24*SIN(2*PI()*(Inputs!$C$6)/9+(Scenario_Data!T27)/18)*EXP(-(((Inputs!$C$6)+5)^2)/(22^2))+18*SIN(2*PI()*(Scenario_Data!T27)/70))+Inputs!$C$28*EXP(-(((Scenario_Data!T27)-Inputs!$C$29)^2)/(2*Inputs!$C$31^2))*EXP(-(((Inputs!$C$6)-Inputs!$C$30)^2)/(2*Inputs!$C$32^2))+-Inputs!$C$33*EXP(-(((((Scenario_Data!T27)-Inputs!$C$34)^2)+(((Inputs!$C$6)-Inputs!$C$35)^2))/(2*Inputs!$C$36^2)))+Inputs!$C$37*(0.55*SIN(2*PI()*(Scenario_Data!T27)/Inputs!$C$39)+0.35*COS(2*PI()*(Inputs!$C$6)/Inputs!$C$40)+0.2*SIN(2*PI()*((Scenario_Data!T27)+(Inputs!$C$6))/(0.5*(Inputs!$C$39+Inputs!$C$40))))+Inputs!$C$38*SIN(2*PI()*(Scenario_Data!T27)/Inputs!$C$39)*SIN(2*PI()*(Inputs!$C$6)/Inputs!$C$40)+-Inputs!$C$41*EXP(-(((Inputs!$C$6)-Inputs!$C$43)^2)/(2*Inputs!$C$44^2))*EXP(-(((Scenario_Data!T27)-Inputs!$C$42)^2)/(2*Inputs!$C$45^2))+Inputs!$C$48*(0.7*(0.45*SIN(2*PI()*(((Scenario_Data!T27)/Inputs!$C$49)+Inputs!$C$47*0.137))+0.35*COS(2*PI()*(((Inputs!$C$6)/Inputs!$C$50)+Inputs!$C$47*0.173))+0.2*SIN(2*PI()*((((Scenario_Data!T27)+(Inputs!$C$6))/(0.5*(Inputs!$C$49+Inputs!$C$50)))+Inputs!$C$47*0.097)))+0.3*(2*((SIN(((Scenario_Data!T27)*12.9898+(Inputs!$C$6)*78.233+Inputs!$C$47*37.719))*43758.5453)-INT((SIN(((Scenario_Data!T27)*12.9898+(Inputs!$C$6)*78.233+Inputs!$C$47*37.719))*43758.5453)))-1))))/1000))*COS(SQRT((Scenario_Data!T27)^2+Inputs!$C$6^2)/Inputs!$C$52))*1000)/Inputs!$C$21*1000000</f>
        <v/>
      </c>
      <c r="AR27">
        <f>Scenario_Data!U27</f>
        <v/>
      </c>
      <c r="AS27">
        <f>2*(SQRT((Inputs!$C$52+(Scenario_Data!C27))^2+(Inputs!$C$52+((IF(OR(Inputs!$C$27=TRUE,Inputs!$C$27="TRUE",Inputs!$C$27=1),1,0)*(Inputs!$C$51*(115*EXP(-(((Inputs!$C$6)-25)^2)/(4.5^2))+70*EXP(-(((Inputs!$C$6)+38)^2)/(7^2))*(0.55+0.45*SIN(2*PI()*(Scenario_Data!U27)/45))+24*SIN(2*PI()*(Inputs!$C$6)/9+(Scenario_Data!U27)/18)*EXP(-(((Inputs!$C$6)+5)^2)/(22^2))+18*SIN(2*PI()*(Scenario_Data!U27)/70))+Inputs!$C$28*EXP(-(((Scenario_Data!U27)-Inputs!$C$29)^2)/(2*Inputs!$C$31^2))*EXP(-(((Inputs!$C$6)-Inputs!$C$30)^2)/(2*Inputs!$C$32^2))+-Inputs!$C$33*EXP(-(((((Scenario_Data!U27)-Inputs!$C$34)^2)+(((Inputs!$C$6)-Inputs!$C$35)^2))/(2*Inputs!$C$36^2)))+Inputs!$C$37*(0.55*SIN(2*PI()*(Scenario_Data!U27)/Inputs!$C$39)+0.35*COS(2*PI()*(Inputs!$C$6)/Inputs!$C$40)+0.2*SIN(2*PI()*((Scenario_Data!U27)+(Inputs!$C$6))/(0.5*(Inputs!$C$39+Inputs!$C$40))))+Inputs!$C$38*SIN(2*PI()*(Scenario_Data!U27)/Inputs!$C$39)*SIN(2*PI()*(Inputs!$C$6)/Inputs!$C$40)+-Inputs!$C$41*EXP(-(((Inputs!$C$6)-Inputs!$C$43)^2)/(2*Inputs!$C$44^2))*EXP(-(((Scenario_Data!U27)-Inputs!$C$42)^2)/(2*Inputs!$C$45^2))+Inputs!$C$48*(0.7*(0.45*SIN(2*PI()*(((Scenario_Data!U27)/Inputs!$C$49)+Inputs!$C$47*0.137))+0.35*COS(2*PI()*(((Inputs!$C$6)/Inputs!$C$50)+Inputs!$C$47*0.173))+0.2*SIN(2*PI()*((((Scenario_Data!U27)+(Inputs!$C$6))/(0.5*(Inputs!$C$49+Inputs!$C$50)))+Inputs!$C$47*0.097)))+0.3*(2*((SIN(((Scenario_Data!U27)*12.9898+(Inputs!$C$6)*78.233+Inputs!$C$47*37.719))*43758.5453)-INT((SIN(((Scenario_Data!U27)*12.9898+(Inputs!$C$6)*78.233+Inputs!$C$47*37.719))*43758.5453)))-1))))/1000))^2-2*(Inputs!$C$52+(Scenario_Data!C27))*(Inputs!$C$52+((IF(OR(Inputs!$C$27=TRUE,Inputs!$C$27="TRUE",Inputs!$C$27=1),1,0)*(Inputs!$C$51*(115*EXP(-(((Inputs!$C$6)-25)^2)/(4.5^2))+70*EXP(-(((Inputs!$C$6)+38)^2)/(7^2))*(0.55+0.45*SIN(2*PI()*(Scenario_Data!U27)/45))+24*SIN(2*PI()*(Inputs!$C$6)/9+(Scenario_Data!U27)/18)*EXP(-(((Inputs!$C$6)+5)^2)/(22^2))+18*SIN(2*PI()*(Scenario_Data!U27)/70))+Inputs!$C$28*EXP(-(((Scenario_Data!U27)-Inputs!$C$29)^2)/(2*Inputs!$C$31^2))*EXP(-(((Inputs!$C$6)-Inputs!$C$30)^2)/(2*Inputs!$C$32^2))+-Inputs!$C$33*EXP(-(((((Scenario_Data!U27)-Inputs!$C$34)^2)+(((Inputs!$C$6)-Inputs!$C$35)^2))/(2*Inputs!$C$36^2)))+Inputs!$C$37*(0.55*SIN(2*PI()*(Scenario_Data!U27)/Inputs!$C$39)+0.35*COS(2*PI()*(Inputs!$C$6)/Inputs!$C$40)+0.2*SIN(2*PI()*((Scenario_Data!U27)+(Inputs!$C$6))/(0.5*(Inputs!$C$39+Inputs!$C$40))))+Inputs!$C$38*SIN(2*PI()*(Scenario_Data!U27)/Inputs!$C$39)*SIN(2*PI()*(Inputs!$C$6)/Inputs!$C$40)+-Inputs!$C$41*EXP(-(((Inputs!$C$6)-Inputs!$C$43)^2)/(2*Inputs!$C$44^2))*EXP(-(((Scenario_Data!U27)-Inputs!$C$42)^2)/(2*Inputs!$C$45^2))+Inputs!$C$48*(0.7*(0.45*SIN(2*PI()*(((Scenario_Data!U27)/Inputs!$C$49)+Inputs!$C$47*0.137))+0.35*COS(2*PI()*(((Inputs!$C$6)/Inputs!$C$50)+Inputs!$C$47*0.173))+0.2*SIN(2*PI()*((((Scenario_Data!U27)+(Inputs!$C$6))/(0.5*(Inputs!$C$49+Inputs!$C$50)))+Inputs!$C$47*0.097)))+0.3*(2*((SIN(((Scenario_Data!U27)*12.9898+(Inputs!$C$6)*78.233+Inputs!$C$47*37.719))*43758.5453)-INT((SIN(((Scenario_Data!U27)*12.9898+(Inputs!$C$6)*78.233+Inputs!$C$47*37.719))*43758.5453)))-1))))/1000))*COS(SQRT((Scenario_Data!U27)^2+Inputs!$C$6^2)/Inputs!$C$52))*1000)/Inputs!$C$21*1000000</f>
        <v/>
      </c>
      <c r="AT27">
        <f>Scenario_Data!V27</f>
        <v/>
      </c>
      <c r="AU27">
        <f>2*(SQRT((Inputs!$C$52+(Scenario_Data!D27))^2+(Inputs!$C$52+((IF(OR(Inputs!$C$27=TRUE,Inputs!$C$27="TRUE",Inputs!$C$27=1),1,0)*(Inputs!$C$51*(115*EXP(-(((Inputs!$C$6)-25)^2)/(4.5^2))+70*EXP(-(((Inputs!$C$6)+38)^2)/(7^2))*(0.55+0.45*SIN(2*PI()*(Scenario_Data!V27)/45))+24*SIN(2*PI()*(Inputs!$C$6)/9+(Scenario_Data!V27)/18)*EXP(-(((Inputs!$C$6)+5)^2)/(22^2))+18*SIN(2*PI()*(Scenario_Data!V27)/70))+Inputs!$C$28*EXP(-(((Scenario_Data!V27)-Inputs!$C$29)^2)/(2*Inputs!$C$31^2))*EXP(-(((Inputs!$C$6)-Inputs!$C$30)^2)/(2*Inputs!$C$32^2))+-Inputs!$C$33*EXP(-(((((Scenario_Data!V27)-Inputs!$C$34)^2)+(((Inputs!$C$6)-Inputs!$C$35)^2))/(2*Inputs!$C$36^2)))+Inputs!$C$37*(0.55*SIN(2*PI()*(Scenario_Data!V27)/Inputs!$C$39)+0.35*COS(2*PI()*(Inputs!$C$6)/Inputs!$C$40)+0.2*SIN(2*PI()*((Scenario_Data!V27)+(Inputs!$C$6))/(0.5*(Inputs!$C$39+Inputs!$C$40))))+Inputs!$C$38*SIN(2*PI()*(Scenario_Data!V27)/Inputs!$C$39)*SIN(2*PI()*(Inputs!$C$6)/Inputs!$C$40)+-Inputs!$C$41*EXP(-(((Inputs!$C$6)-Inputs!$C$43)^2)/(2*Inputs!$C$44^2))*EXP(-(((Scenario_Data!V27)-Inputs!$C$42)^2)/(2*Inputs!$C$45^2))+Inputs!$C$48*(0.7*(0.45*SIN(2*PI()*(((Scenario_Data!V27)/Inputs!$C$49)+Inputs!$C$47*0.137))+0.35*COS(2*PI()*(((Inputs!$C$6)/Inputs!$C$50)+Inputs!$C$47*0.173))+0.2*SIN(2*PI()*((((Scenario_Data!V27)+(Inputs!$C$6))/(0.5*(Inputs!$C$49+Inputs!$C$50)))+Inputs!$C$47*0.097)))+0.3*(2*((SIN(((Scenario_Data!V27)*12.9898+(Inputs!$C$6)*78.233+Inputs!$C$47*37.719))*43758.5453)-INT((SIN(((Scenario_Data!V27)*12.9898+(Inputs!$C$6)*78.233+Inputs!$C$47*37.719))*43758.5453)))-1))))/1000))^2-2*(Inputs!$C$52+(Scenario_Data!D27))*(Inputs!$C$52+((IF(OR(Inputs!$C$27=TRUE,Inputs!$C$27="TRUE",Inputs!$C$27=1),1,0)*(Inputs!$C$51*(115*EXP(-(((Inputs!$C$6)-25)^2)/(4.5^2))+70*EXP(-(((Inputs!$C$6)+38)^2)/(7^2))*(0.55+0.45*SIN(2*PI()*(Scenario_Data!V27)/45))+24*SIN(2*PI()*(Inputs!$C$6)/9+(Scenario_Data!V27)/18)*EXP(-(((Inputs!$C$6)+5)^2)/(22^2))+18*SIN(2*PI()*(Scenario_Data!V27)/70))+Inputs!$C$28*EXP(-(((Scenario_Data!V27)-Inputs!$C$29)^2)/(2*Inputs!$C$31^2))*EXP(-(((Inputs!$C$6)-Inputs!$C$30)^2)/(2*Inputs!$C$32^2))+-Inputs!$C$33*EXP(-(((((Scenario_Data!V27)-Inputs!$C$34)^2)+(((Inputs!$C$6)-Inputs!$C$35)^2))/(2*Inputs!$C$36^2)))+Inputs!$C$37*(0.55*SIN(2*PI()*(Scenario_Data!V27)/Inputs!$C$39)+0.35*COS(2*PI()*(Inputs!$C$6)/Inputs!$C$40)+0.2*SIN(2*PI()*((Scenario_Data!V27)+(Inputs!$C$6))/(0.5*(Inputs!$C$39+Inputs!$C$40))))+Inputs!$C$38*SIN(2*PI()*(Scenario_Data!V27)/Inputs!$C$39)*SIN(2*PI()*(Inputs!$C$6)/Inputs!$C$40)+-Inputs!$C$41*EXP(-(((Inputs!$C$6)-Inputs!$C$43)^2)/(2*Inputs!$C$44^2))*EXP(-(((Scenario_Data!V27)-Inputs!$C$42)^2)/(2*Inputs!$C$45^2))+Inputs!$C$48*(0.7*(0.45*SIN(2*PI()*(((Scenario_Data!V27)/Inputs!$C$49)+Inputs!$C$47*0.137))+0.35*COS(2*PI()*(((Inputs!$C$6)/Inputs!$C$50)+Inputs!$C$47*0.173))+0.2*SIN(2*PI()*((((Scenario_Data!V27)+(Inputs!$C$6))/(0.5*(Inputs!$C$49+Inputs!$C$50)))+Inputs!$C$47*0.097)))+0.3*(2*((SIN(((Scenario_Data!V27)*12.9898+(Inputs!$C$6)*78.233+Inputs!$C$47*37.719))*43758.5453)-INT((SIN(((Scenario_Data!V27)*12.9898+(Inputs!$C$6)*78.233+Inputs!$C$47*37.719))*43758.5453)))-1))))/1000))*COS(SQRT((Scenario_Data!V27)^2+Inputs!$C$6^2)/Inputs!$C$52))*1000)/Inputs!$C$21*1000000</f>
        <v/>
      </c>
      <c r="AV27">
        <f>Scenario_Data!W27</f>
        <v/>
      </c>
      <c r="AW27">
        <f>2*(SQRT((Inputs!$C$52+(Scenario_Data!E27))^2+(Inputs!$C$52+((IF(OR(Inputs!$C$27=TRUE,Inputs!$C$27="TRUE",Inputs!$C$27=1),1,0)*(Inputs!$C$51*(115*EXP(-(((Inputs!$C$6)-25)^2)/(4.5^2))+70*EXP(-(((Inputs!$C$6)+38)^2)/(7^2))*(0.55+0.45*SIN(2*PI()*(Scenario_Data!W27)/45))+24*SIN(2*PI()*(Inputs!$C$6)/9+(Scenario_Data!W27)/18)*EXP(-(((Inputs!$C$6)+5)^2)/(22^2))+18*SIN(2*PI()*(Scenario_Data!W27)/70))+Inputs!$C$28*EXP(-(((Scenario_Data!W27)-Inputs!$C$29)^2)/(2*Inputs!$C$31^2))*EXP(-(((Inputs!$C$6)-Inputs!$C$30)^2)/(2*Inputs!$C$32^2))+-Inputs!$C$33*EXP(-(((((Scenario_Data!W27)-Inputs!$C$34)^2)+(((Inputs!$C$6)-Inputs!$C$35)^2))/(2*Inputs!$C$36^2)))+Inputs!$C$37*(0.55*SIN(2*PI()*(Scenario_Data!W27)/Inputs!$C$39)+0.35*COS(2*PI()*(Inputs!$C$6)/Inputs!$C$40)+0.2*SIN(2*PI()*((Scenario_Data!W27)+(Inputs!$C$6))/(0.5*(Inputs!$C$39+Inputs!$C$40))))+Inputs!$C$38*SIN(2*PI()*(Scenario_Data!W27)/Inputs!$C$39)*SIN(2*PI()*(Inputs!$C$6)/Inputs!$C$40)+-Inputs!$C$41*EXP(-(((Inputs!$C$6)-Inputs!$C$43)^2)/(2*Inputs!$C$44^2))*EXP(-(((Scenario_Data!W27)-Inputs!$C$42)^2)/(2*Inputs!$C$45^2))+Inputs!$C$48*(0.7*(0.45*SIN(2*PI()*(((Scenario_Data!W27)/Inputs!$C$49)+Inputs!$C$47*0.137))+0.35*COS(2*PI()*(((Inputs!$C$6)/Inputs!$C$50)+Inputs!$C$47*0.173))+0.2*SIN(2*PI()*((((Scenario_Data!W27)+(Inputs!$C$6))/(0.5*(Inputs!$C$49+Inputs!$C$50)))+Inputs!$C$47*0.097)))+0.3*(2*((SIN(((Scenario_Data!W27)*12.9898+(Inputs!$C$6)*78.233+Inputs!$C$47*37.719))*43758.5453)-INT((SIN(((Scenario_Data!W27)*12.9898+(Inputs!$C$6)*78.233+Inputs!$C$47*37.719))*43758.5453)))-1))))/1000))^2-2*(Inputs!$C$52+(Scenario_Data!E27))*(Inputs!$C$52+((IF(OR(Inputs!$C$27=TRUE,Inputs!$C$27="TRUE",Inputs!$C$27=1),1,0)*(Inputs!$C$51*(115*EXP(-(((Inputs!$C$6)-25)^2)/(4.5^2))+70*EXP(-(((Inputs!$C$6)+38)^2)/(7^2))*(0.55+0.45*SIN(2*PI()*(Scenario_Data!W27)/45))+24*SIN(2*PI()*(Inputs!$C$6)/9+(Scenario_Data!W27)/18)*EXP(-(((Inputs!$C$6)+5)^2)/(22^2))+18*SIN(2*PI()*(Scenario_Data!W27)/70))+Inputs!$C$28*EXP(-(((Scenario_Data!W27)-Inputs!$C$29)^2)/(2*Inputs!$C$31^2))*EXP(-(((Inputs!$C$6)-Inputs!$C$30)^2)/(2*Inputs!$C$32^2))+-Inputs!$C$33*EXP(-(((((Scenario_Data!W27)-Inputs!$C$34)^2)+(((Inputs!$C$6)-Inputs!$C$35)^2))/(2*Inputs!$C$36^2)))+Inputs!$C$37*(0.55*SIN(2*PI()*(Scenario_Data!W27)/Inputs!$C$39)+0.35*COS(2*PI()*(Inputs!$C$6)/Inputs!$C$40)+0.2*SIN(2*PI()*((Scenario_Data!W27)+(Inputs!$C$6))/(0.5*(Inputs!$C$39+Inputs!$C$40))))+Inputs!$C$38*SIN(2*PI()*(Scenario_Data!W27)/Inputs!$C$39)*SIN(2*PI()*(Inputs!$C$6)/Inputs!$C$40)+-Inputs!$C$41*EXP(-(((Inputs!$C$6)-Inputs!$C$43)^2)/(2*Inputs!$C$44^2))*EXP(-(((Scenario_Data!W27)-Inputs!$C$42)^2)/(2*Inputs!$C$45^2))+Inputs!$C$48*(0.7*(0.45*SIN(2*PI()*(((Scenario_Data!W27)/Inputs!$C$49)+Inputs!$C$47*0.137))+0.35*COS(2*PI()*(((Inputs!$C$6)/Inputs!$C$50)+Inputs!$C$47*0.173))+0.2*SIN(2*PI()*((((Scenario_Data!W27)+(Inputs!$C$6))/(0.5*(Inputs!$C$49+Inputs!$C$50)))+Inputs!$C$47*0.097)))+0.3*(2*((SIN(((Scenario_Data!W27)*12.9898+(Inputs!$C$6)*78.233+Inputs!$C$47*37.719))*43758.5453)-INT((SIN(((Scenario_Data!W27)*12.9898+(Inputs!$C$6)*78.233+Inputs!$C$47*37.719))*43758.5453)))-1))))/1000))*COS(SQRT((Scenario_Data!W27)^2+Inputs!$C$6^2)/Inputs!$C$52))*1000)/Inputs!$C$21*1000000</f>
        <v/>
      </c>
    </row>
    <row r="28">
      <c r="A28">
        <f>Chart_Data!K28</f>
        <v/>
      </c>
      <c r="B28">
        <f>Chart_Data!N28-Chart_Data!L28</f>
        <v/>
      </c>
      <c r="D28">
        <f>Chart_Data!G28</f>
        <v/>
      </c>
      <c r="E28">
        <f>Chart_Data!H28</f>
        <v/>
      </c>
      <c r="F28">
        <f>Chart_Data!I28</f>
        <v/>
      </c>
      <c r="G28">
        <f>Chart_Data!J28</f>
        <v/>
      </c>
      <c r="I28">
        <f>Scenario_Data!A28</f>
        <v/>
      </c>
      <c r="J28">
        <f>Scenario_Data!H28-(((SQRT((Inputs!$C$52+(Inputs!$H$6))^2+Inputs!$C$52^2-2*(Inputs!$C$52+(Inputs!$H$6))*Inputs!$C$52*COS(SQRT((Scenario_Data!T28)^2+Inputs!$C$6^2)/Inputs!$C$52)))-(Inputs!$H$6))*1000/Inputs!$C$12)</f>
        <v/>
      </c>
      <c r="K28">
        <f>Scenario_Data!I28-(((SQRT((Inputs!$C$52+(Inputs!$H$7))^2+Inputs!$C$52^2-2*(Inputs!$C$52+(Inputs!$H$7))*Inputs!$C$52*COS(SQRT((Scenario_Data!U28)^2+Inputs!$C$6^2)/Inputs!$C$52)))-(Inputs!$H$7))*1000/Inputs!$C$12)</f>
        <v/>
      </c>
      <c r="L28">
        <f>Scenario_Data!J28-(((SQRT((Inputs!$C$52+(Inputs!$H$8))^2+Inputs!$C$52^2-2*(Inputs!$C$52+(Inputs!$H$8))*Inputs!$C$52*COS(SQRT((Scenario_Data!V28)^2+Inputs!$C$6^2)/Inputs!$C$52)))-(Inputs!$H$8))*1000/Inputs!$C$12)</f>
        <v/>
      </c>
      <c r="M28">
        <f>Scenario_Data!K28-(((SQRT((Inputs!$C$52+(Inputs!$H$9))^2+Inputs!$C$52^2-2*(Inputs!$C$52+(Inputs!$H$9))*Inputs!$C$52*COS(SQRT((Scenario_Data!W28)^2+Inputs!$C$6^2)/Inputs!$C$52)))-(Inputs!$H$9))*1000/Inputs!$C$12)</f>
        <v/>
      </c>
      <c r="O28">
        <f>Scenario_Data!T28</f>
        <v/>
      </c>
      <c r="P28">
        <f>2*(Scenario_Data!B28*1000)/Inputs!$C$21*1000000</f>
        <v/>
      </c>
      <c r="Q28">
        <f>Scenario_Data!U28</f>
        <v/>
      </c>
      <c r="R28">
        <f>2*(Scenario_Data!C28*1000)/Inputs!$C$21*1000000</f>
        <v/>
      </c>
      <c r="S28">
        <f>Scenario_Data!V28</f>
        <v/>
      </c>
      <c r="T28">
        <f>2*(Scenario_Data!D28*1000)/Inputs!$C$21*1000000</f>
        <v/>
      </c>
      <c r="U28">
        <f>Scenario_Data!W28</f>
        <v/>
      </c>
      <c r="V28">
        <f>2*(Scenario_Data!E28*1000)/Inputs!$C$21*1000000</f>
        <v/>
      </c>
      <c r="X28">
        <f>Scenario_Data!T28</f>
        <v/>
      </c>
      <c r="Y28">
        <f>2*((Scenario_Data!B28*1000)-(IF(OR(Inputs!$C$27=TRUE,Inputs!$C$27="TRUE",Inputs!$C$27=1),1,0)*(Inputs!$C$51*(115*EXP(-(((0)-25)^2)/(4.5^2))+70*EXP(-(((0)+38)^2)/(7^2))*(0.55+0.45*SIN(2*PI()*(Scenario_Data!T28)/45))+24*SIN(2*PI()*(0)/9+(Scenario_Data!T28)/18)*EXP(-(((0)+5)^2)/(22^2))+18*SIN(2*PI()*(Scenario_Data!T28)/70))+Inputs!$C$28*EXP(-(((Scenario_Data!T28)-Inputs!$C$29)^2)/(2*Inputs!$C$31^2))*EXP(-(((0)-Inputs!$C$30)^2)/(2*Inputs!$C$32^2))+-Inputs!$C$33*EXP(-(((((Scenario_Data!T28)-Inputs!$C$34)^2)+(((0)-Inputs!$C$35)^2))/(2*Inputs!$C$36^2)))+Inputs!$C$37*(0.55*SIN(2*PI()*(Scenario_Data!T28)/Inputs!$C$39)+0.35*COS(2*PI()*(0)/Inputs!$C$40)+0.2*SIN(2*PI()*((Scenario_Data!T28)+(0))/(0.5*(Inputs!$C$39+Inputs!$C$40))))+Inputs!$C$38*SIN(2*PI()*(Scenario_Data!T28)/Inputs!$C$39)*SIN(2*PI()*(0)/Inputs!$C$40)+-Inputs!$C$41*EXP(-(((0)-Inputs!$C$43)^2)/(2*Inputs!$C$44^2))*EXP(-(((Scenario_Data!T28)-Inputs!$C$42)^2)/(2*Inputs!$C$45^2))+Inputs!$C$48*(0.7*(0.45*SIN(2*PI()*(((Scenario_Data!T28)/Inputs!$C$49)+Inputs!$C$47*0.137))+0.35*COS(2*PI()*(((0)/Inputs!$C$50)+Inputs!$C$47*0.173))+0.2*SIN(2*PI()*((((Scenario_Data!T28)+(0))/(0.5*(Inputs!$C$49+Inputs!$C$50)))+Inputs!$C$47*0.097)))+0.3*(2*((SIN(((Scenario_Data!T28)*12.9898+(0)*78.233+Inputs!$C$47*37.719))*43758.5453)-INT((SIN(((Scenario_Data!T28)*12.9898+(0)*78.233+Inputs!$C$47*37.719))*43758.5453)))-1)))))/Inputs!$C$21*1000000</f>
        <v/>
      </c>
      <c r="Z28">
        <f>Scenario_Data!U28</f>
        <v/>
      </c>
      <c r="AA28">
        <f>2*((Scenario_Data!C28*1000)-(IF(OR(Inputs!$C$27=TRUE,Inputs!$C$27="TRUE",Inputs!$C$27=1),1,0)*(Inputs!$C$51*(115*EXP(-(((0)-25)^2)/(4.5^2))+70*EXP(-(((0)+38)^2)/(7^2))*(0.55+0.45*SIN(2*PI()*(Scenario_Data!U28)/45))+24*SIN(2*PI()*(0)/9+(Scenario_Data!U28)/18)*EXP(-(((0)+5)^2)/(22^2))+18*SIN(2*PI()*(Scenario_Data!U28)/70))+Inputs!$C$28*EXP(-(((Scenario_Data!U28)-Inputs!$C$29)^2)/(2*Inputs!$C$31^2))*EXP(-(((0)-Inputs!$C$30)^2)/(2*Inputs!$C$32^2))+-Inputs!$C$33*EXP(-(((((Scenario_Data!U28)-Inputs!$C$34)^2)+(((0)-Inputs!$C$35)^2))/(2*Inputs!$C$36^2)))+Inputs!$C$37*(0.55*SIN(2*PI()*(Scenario_Data!U28)/Inputs!$C$39)+0.35*COS(2*PI()*(0)/Inputs!$C$40)+0.2*SIN(2*PI()*((Scenario_Data!U28)+(0))/(0.5*(Inputs!$C$39+Inputs!$C$40))))+Inputs!$C$38*SIN(2*PI()*(Scenario_Data!U28)/Inputs!$C$39)*SIN(2*PI()*(0)/Inputs!$C$40)+-Inputs!$C$41*EXP(-(((0)-Inputs!$C$43)^2)/(2*Inputs!$C$44^2))*EXP(-(((Scenario_Data!U28)-Inputs!$C$42)^2)/(2*Inputs!$C$45^2))+Inputs!$C$48*(0.7*(0.45*SIN(2*PI()*(((Scenario_Data!U28)/Inputs!$C$49)+Inputs!$C$47*0.137))+0.35*COS(2*PI()*(((0)/Inputs!$C$50)+Inputs!$C$47*0.173))+0.2*SIN(2*PI()*((((Scenario_Data!U28)+(0))/(0.5*(Inputs!$C$49+Inputs!$C$50)))+Inputs!$C$47*0.097)))+0.3*(2*((SIN(((Scenario_Data!U28)*12.9898+(0)*78.233+Inputs!$C$47*37.719))*43758.5453)-INT((SIN(((Scenario_Data!U28)*12.9898+(0)*78.233+Inputs!$C$47*37.719))*43758.5453)))-1)))))/Inputs!$C$21*1000000</f>
        <v/>
      </c>
      <c r="AB28">
        <f>Scenario_Data!V28</f>
        <v/>
      </c>
      <c r="AC28">
        <f>2*((Scenario_Data!D28*1000)-(IF(OR(Inputs!$C$27=TRUE,Inputs!$C$27="TRUE",Inputs!$C$27=1),1,0)*(Inputs!$C$51*(115*EXP(-(((0)-25)^2)/(4.5^2))+70*EXP(-(((0)+38)^2)/(7^2))*(0.55+0.45*SIN(2*PI()*(Scenario_Data!V28)/45))+24*SIN(2*PI()*(0)/9+(Scenario_Data!V28)/18)*EXP(-(((0)+5)^2)/(22^2))+18*SIN(2*PI()*(Scenario_Data!V28)/70))+Inputs!$C$28*EXP(-(((Scenario_Data!V28)-Inputs!$C$29)^2)/(2*Inputs!$C$31^2))*EXP(-(((0)-Inputs!$C$30)^2)/(2*Inputs!$C$32^2))+-Inputs!$C$33*EXP(-(((((Scenario_Data!V28)-Inputs!$C$34)^2)+(((0)-Inputs!$C$35)^2))/(2*Inputs!$C$36^2)))+Inputs!$C$37*(0.55*SIN(2*PI()*(Scenario_Data!V28)/Inputs!$C$39)+0.35*COS(2*PI()*(0)/Inputs!$C$40)+0.2*SIN(2*PI()*((Scenario_Data!V28)+(0))/(0.5*(Inputs!$C$39+Inputs!$C$40))))+Inputs!$C$38*SIN(2*PI()*(Scenario_Data!V28)/Inputs!$C$39)*SIN(2*PI()*(0)/Inputs!$C$40)+-Inputs!$C$41*EXP(-(((0)-Inputs!$C$43)^2)/(2*Inputs!$C$44^2))*EXP(-(((Scenario_Data!V28)-Inputs!$C$42)^2)/(2*Inputs!$C$45^2))+Inputs!$C$48*(0.7*(0.45*SIN(2*PI()*(((Scenario_Data!V28)/Inputs!$C$49)+Inputs!$C$47*0.137))+0.35*COS(2*PI()*(((0)/Inputs!$C$50)+Inputs!$C$47*0.173))+0.2*SIN(2*PI()*((((Scenario_Data!V28)+(0))/(0.5*(Inputs!$C$49+Inputs!$C$50)))+Inputs!$C$47*0.097)))+0.3*(2*((SIN(((Scenario_Data!V28)*12.9898+(0)*78.233+Inputs!$C$47*37.719))*43758.5453)-INT((SIN(((Scenario_Data!V28)*12.9898+(0)*78.233+Inputs!$C$47*37.719))*43758.5453)))-1)))))/Inputs!$C$21*1000000</f>
        <v/>
      </c>
      <c r="AD28">
        <f>Scenario_Data!W28</f>
        <v/>
      </c>
      <c r="AE28">
        <f>2*((Scenario_Data!E28*1000)-(IF(OR(Inputs!$C$27=TRUE,Inputs!$C$27="TRUE",Inputs!$C$27=1),1,0)*(Inputs!$C$51*(115*EXP(-(((0)-25)^2)/(4.5^2))+70*EXP(-(((0)+38)^2)/(7^2))*(0.55+0.45*SIN(2*PI()*(Scenario_Data!W28)/45))+24*SIN(2*PI()*(0)/9+(Scenario_Data!W28)/18)*EXP(-(((0)+5)^2)/(22^2))+18*SIN(2*PI()*(Scenario_Data!W28)/70))+Inputs!$C$28*EXP(-(((Scenario_Data!W28)-Inputs!$C$29)^2)/(2*Inputs!$C$31^2))*EXP(-(((0)-Inputs!$C$30)^2)/(2*Inputs!$C$32^2))+-Inputs!$C$33*EXP(-(((((Scenario_Data!W28)-Inputs!$C$34)^2)+(((0)-Inputs!$C$35)^2))/(2*Inputs!$C$36^2)))+Inputs!$C$37*(0.55*SIN(2*PI()*(Scenario_Data!W28)/Inputs!$C$39)+0.35*COS(2*PI()*(0)/Inputs!$C$40)+0.2*SIN(2*PI()*((Scenario_Data!W28)+(0))/(0.5*(Inputs!$C$39+Inputs!$C$40))))+Inputs!$C$38*SIN(2*PI()*(Scenario_Data!W28)/Inputs!$C$39)*SIN(2*PI()*(0)/Inputs!$C$40)+-Inputs!$C$41*EXP(-(((0)-Inputs!$C$43)^2)/(2*Inputs!$C$44^2))*EXP(-(((Scenario_Data!W28)-Inputs!$C$42)^2)/(2*Inputs!$C$45^2))+Inputs!$C$48*(0.7*(0.45*SIN(2*PI()*(((Scenario_Data!W28)/Inputs!$C$49)+Inputs!$C$47*0.137))+0.35*COS(2*PI()*(((0)/Inputs!$C$50)+Inputs!$C$47*0.173))+0.2*SIN(2*PI()*((((Scenario_Data!W28)+(0))/(0.5*(Inputs!$C$49+Inputs!$C$50)))+Inputs!$C$47*0.097)))+0.3*(2*((SIN(((Scenario_Data!W28)*12.9898+(0)*78.233+Inputs!$C$47*37.719))*43758.5453)-INT((SIN(((Scenario_Data!W28)*12.9898+(0)*78.233+Inputs!$C$47*37.719))*43758.5453)))-1)))))/Inputs!$C$21*1000000</f>
        <v/>
      </c>
      <c r="AG28">
        <f>Scenario_Data!T28</f>
        <v/>
      </c>
      <c r="AH28">
        <f>2*(SQRT((Inputs!$C$52+(Scenario_Data!B28))^2+Inputs!$C$52^2-2*(Inputs!$C$52+(Scenario_Data!B28))*Inputs!$C$52*COS(SQRT((Scenario_Data!T28)^2+Inputs!$C$6^2)/Inputs!$C$52))*1000)/Inputs!$C$21*1000000</f>
        <v/>
      </c>
      <c r="AI28">
        <f>Scenario_Data!U28</f>
        <v/>
      </c>
      <c r="AJ28">
        <f>2*(SQRT((Inputs!$C$52+(Scenario_Data!C28))^2+Inputs!$C$52^2-2*(Inputs!$C$52+(Scenario_Data!C28))*Inputs!$C$52*COS(SQRT((Scenario_Data!U28)^2+Inputs!$C$6^2)/Inputs!$C$52))*1000)/Inputs!$C$21*1000000</f>
        <v/>
      </c>
      <c r="AK28">
        <f>Scenario_Data!V28</f>
        <v/>
      </c>
      <c r="AL28">
        <f>2*(SQRT((Inputs!$C$52+(Scenario_Data!D28))^2+Inputs!$C$52^2-2*(Inputs!$C$52+(Scenario_Data!D28))*Inputs!$C$52*COS(SQRT((Scenario_Data!V28)^2+Inputs!$C$6^2)/Inputs!$C$52))*1000)/Inputs!$C$21*1000000</f>
        <v/>
      </c>
      <c r="AM28">
        <f>Scenario_Data!W28</f>
        <v/>
      </c>
      <c r="AN28">
        <f>2*(SQRT((Inputs!$C$52+(Scenario_Data!E28))^2+Inputs!$C$52^2-2*(Inputs!$C$52+(Scenario_Data!E28))*Inputs!$C$52*COS(SQRT((Scenario_Data!W28)^2+Inputs!$C$6^2)/Inputs!$C$52))*1000)/Inputs!$C$21*1000000</f>
        <v/>
      </c>
      <c r="AP28">
        <f>Scenario_Data!T28</f>
        <v/>
      </c>
      <c r="AQ28">
        <f>2*(SQRT((Inputs!$C$52+(Scenario_Data!B28))^2+(Inputs!$C$52+((IF(OR(Inputs!$C$27=TRUE,Inputs!$C$27="TRUE",Inputs!$C$27=1),1,0)*(Inputs!$C$51*(115*EXP(-(((Inputs!$C$6)-25)^2)/(4.5^2))+70*EXP(-(((Inputs!$C$6)+38)^2)/(7^2))*(0.55+0.45*SIN(2*PI()*(Scenario_Data!T28)/45))+24*SIN(2*PI()*(Inputs!$C$6)/9+(Scenario_Data!T28)/18)*EXP(-(((Inputs!$C$6)+5)^2)/(22^2))+18*SIN(2*PI()*(Scenario_Data!T28)/70))+Inputs!$C$28*EXP(-(((Scenario_Data!T28)-Inputs!$C$29)^2)/(2*Inputs!$C$31^2))*EXP(-(((Inputs!$C$6)-Inputs!$C$30)^2)/(2*Inputs!$C$32^2))+-Inputs!$C$33*EXP(-(((((Scenario_Data!T28)-Inputs!$C$34)^2)+(((Inputs!$C$6)-Inputs!$C$35)^2))/(2*Inputs!$C$36^2)))+Inputs!$C$37*(0.55*SIN(2*PI()*(Scenario_Data!T28)/Inputs!$C$39)+0.35*COS(2*PI()*(Inputs!$C$6)/Inputs!$C$40)+0.2*SIN(2*PI()*((Scenario_Data!T28)+(Inputs!$C$6))/(0.5*(Inputs!$C$39+Inputs!$C$40))))+Inputs!$C$38*SIN(2*PI()*(Scenario_Data!T28)/Inputs!$C$39)*SIN(2*PI()*(Inputs!$C$6)/Inputs!$C$40)+-Inputs!$C$41*EXP(-(((Inputs!$C$6)-Inputs!$C$43)^2)/(2*Inputs!$C$44^2))*EXP(-(((Scenario_Data!T28)-Inputs!$C$42)^2)/(2*Inputs!$C$45^2))+Inputs!$C$48*(0.7*(0.45*SIN(2*PI()*(((Scenario_Data!T28)/Inputs!$C$49)+Inputs!$C$47*0.137))+0.35*COS(2*PI()*(((Inputs!$C$6)/Inputs!$C$50)+Inputs!$C$47*0.173))+0.2*SIN(2*PI()*((((Scenario_Data!T28)+(Inputs!$C$6))/(0.5*(Inputs!$C$49+Inputs!$C$50)))+Inputs!$C$47*0.097)))+0.3*(2*((SIN(((Scenario_Data!T28)*12.9898+(Inputs!$C$6)*78.233+Inputs!$C$47*37.719))*43758.5453)-INT((SIN(((Scenario_Data!T28)*12.9898+(Inputs!$C$6)*78.233+Inputs!$C$47*37.719))*43758.5453)))-1))))/1000))^2-2*(Inputs!$C$52+(Scenario_Data!B28))*(Inputs!$C$52+((IF(OR(Inputs!$C$27=TRUE,Inputs!$C$27="TRUE",Inputs!$C$27=1),1,0)*(Inputs!$C$51*(115*EXP(-(((Inputs!$C$6)-25)^2)/(4.5^2))+70*EXP(-(((Inputs!$C$6)+38)^2)/(7^2))*(0.55+0.45*SIN(2*PI()*(Scenario_Data!T28)/45))+24*SIN(2*PI()*(Inputs!$C$6)/9+(Scenario_Data!T28)/18)*EXP(-(((Inputs!$C$6)+5)^2)/(22^2))+18*SIN(2*PI()*(Scenario_Data!T28)/70))+Inputs!$C$28*EXP(-(((Scenario_Data!T28)-Inputs!$C$29)^2)/(2*Inputs!$C$31^2))*EXP(-(((Inputs!$C$6)-Inputs!$C$30)^2)/(2*Inputs!$C$32^2))+-Inputs!$C$33*EXP(-(((((Scenario_Data!T28)-Inputs!$C$34)^2)+(((Inputs!$C$6)-Inputs!$C$35)^2))/(2*Inputs!$C$36^2)))+Inputs!$C$37*(0.55*SIN(2*PI()*(Scenario_Data!T28)/Inputs!$C$39)+0.35*COS(2*PI()*(Inputs!$C$6)/Inputs!$C$40)+0.2*SIN(2*PI()*((Scenario_Data!T28)+(Inputs!$C$6))/(0.5*(Inputs!$C$39+Inputs!$C$40))))+Inputs!$C$38*SIN(2*PI()*(Scenario_Data!T28)/Inputs!$C$39)*SIN(2*PI()*(Inputs!$C$6)/Inputs!$C$40)+-Inputs!$C$41*EXP(-(((Inputs!$C$6)-Inputs!$C$43)^2)/(2*Inputs!$C$44^2))*EXP(-(((Scenario_Data!T28)-Inputs!$C$42)^2)/(2*Inputs!$C$45^2))+Inputs!$C$48*(0.7*(0.45*SIN(2*PI()*(((Scenario_Data!T28)/Inputs!$C$49)+Inputs!$C$47*0.137))+0.35*COS(2*PI()*(((Inputs!$C$6)/Inputs!$C$50)+Inputs!$C$47*0.173))+0.2*SIN(2*PI()*((((Scenario_Data!T28)+(Inputs!$C$6))/(0.5*(Inputs!$C$49+Inputs!$C$50)))+Inputs!$C$47*0.097)))+0.3*(2*((SIN(((Scenario_Data!T28)*12.9898+(Inputs!$C$6)*78.233+Inputs!$C$47*37.719))*43758.5453)-INT((SIN(((Scenario_Data!T28)*12.9898+(Inputs!$C$6)*78.233+Inputs!$C$47*37.719))*43758.5453)))-1))))/1000))*COS(SQRT((Scenario_Data!T28)^2+Inputs!$C$6^2)/Inputs!$C$52))*1000)/Inputs!$C$21*1000000</f>
        <v/>
      </c>
      <c r="AR28">
        <f>Scenario_Data!U28</f>
        <v/>
      </c>
      <c r="AS28">
        <f>2*(SQRT((Inputs!$C$52+(Scenario_Data!C28))^2+(Inputs!$C$52+((IF(OR(Inputs!$C$27=TRUE,Inputs!$C$27="TRUE",Inputs!$C$27=1),1,0)*(Inputs!$C$51*(115*EXP(-(((Inputs!$C$6)-25)^2)/(4.5^2))+70*EXP(-(((Inputs!$C$6)+38)^2)/(7^2))*(0.55+0.45*SIN(2*PI()*(Scenario_Data!U28)/45))+24*SIN(2*PI()*(Inputs!$C$6)/9+(Scenario_Data!U28)/18)*EXP(-(((Inputs!$C$6)+5)^2)/(22^2))+18*SIN(2*PI()*(Scenario_Data!U28)/70))+Inputs!$C$28*EXP(-(((Scenario_Data!U28)-Inputs!$C$29)^2)/(2*Inputs!$C$31^2))*EXP(-(((Inputs!$C$6)-Inputs!$C$30)^2)/(2*Inputs!$C$32^2))+-Inputs!$C$33*EXP(-(((((Scenario_Data!U28)-Inputs!$C$34)^2)+(((Inputs!$C$6)-Inputs!$C$35)^2))/(2*Inputs!$C$36^2)))+Inputs!$C$37*(0.55*SIN(2*PI()*(Scenario_Data!U28)/Inputs!$C$39)+0.35*COS(2*PI()*(Inputs!$C$6)/Inputs!$C$40)+0.2*SIN(2*PI()*((Scenario_Data!U28)+(Inputs!$C$6))/(0.5*(Inputs!$C$39+Inputs!$C$40))))+Inputs!$C$38*SIN(2*PI()*(Scenario_Data!U28)/Inputs!$C$39)*SIN(2*PI()*(Inputs!$C$6)/Inputs!$C$40)+-Inputs!$C$41*EXP(-(((Inputs!$C$6)-Inputs!$C$43)^2)/(2*Inputs!$C$44^2))*EXP(-(((Scenario_Data!U28)-Inputs!$C$42)^2)/(2*Inputs!$C$45^2))+Inputs!$C$48*(0.7*(0.45*SIN(2*PI()*(((Scenario_Data!U28)/Inputs!$C$49)+Inputs!$C$47*0.137))+0.35*COS(2*PI()*(((Inputs!$C$6)/Inputs!$C$50)+Inputs!$C$47*0.173))+0.2*SIN(2*PI()*((((Scenario_Data!U28)+(Inputs!$C$6))/(0.5*(Inputs!$C$49+Inputs!$C$50)))+Inputs!$C$47*0.097)))+0.3*(2*((SIN(((Scenario_Data!U28)*12.9898+(Inputs!$C$6)*78.233+Inputs!$C$47*37.719))*43758.5453)-INT((SIN(((Scenario_Data!U28)*12.9898+(Inputs!$C$6)*78.233+Inputs!$C$47*37.719))*43758.5453)))-1))))/1000))^2-2*(Inputs!$C$52+(Scenario_Data!C28))*(Inputs!$C$52+((IF(OR(Inputs!$C$27=TRUE,Inputs!$C$27="TRUE",Inputs!$C$27=1),1,0)*(Inputs!$C$51*(115*EXP(-(((Inputs!$C$6)-25)^2)/(4.5^2))+70*EXP(-(((Inputs!$C$6)+38)^2)/(7^2))*(0.55+0.45*SIN(2*PI()*(Scenario_Data!U28)/45))+24*SIN(2*PI()*(Inputs!$C$6)/9+(Scenario_Data!U28)/18)*EXP(-(((Inputs!$C$6)+5)^2)/(22^2))+18*SIN(2*PI()*(Scenario_Data!U28)/70))+Inputs!$C$28*EXP(-(((Scenario_Data!U28)-Inputs!$C$29)^2)/(2*Inputs!$C$31^2))*EXP(-(((Inputs!$C$6)-Inputs!$C$30)^2)/(2*Inputs!$C$32^2))+-Inputs!$C$33*EXP(-(((((Scenario_Data!U28)-Inputs!$C$34)^2)+(((Inputs!$C$6)-Inputs!$C$35)^2))/(2*Inputs!$C$36^2)))+Inputs!$C$37*(0.55*SIN(2*PI()*(Scenario_Data!U28)/Inputs!$C$39)+0.35*COS(2*PI()*(Inputs!$C$6)/Inputs!$C$40)+0.2*SIN(2*PI()*((Scenario_Data!U28)+(Inputs!$C$6))/(0.5*(Inputs!$C$39+Inputs!$C$40))))+Inputs!$C$38*SIN(2*PI()*(Scenario_Data!U28)/Inputs!$C$39)*SIN(2*PI()*(Inputs!$C$6)/Inputs!$C$40)+-Inputs!$C$41*EXP(-(((Inputs!$C$6)-Inputs!$C$43)^2)/(2*Inputs!$C$44^2))*EXP(-(((Scenario_Data!U28)-Inputs!$C$42)^2)/(2*Inputs!$C$45^2))+Inputs!$C$48*(0.7*(0.45*SIN(2*PI()*(((Scenario_Data!U28)/Inputs!$C$49)+Inputs!$C$47*0.137))+0.35*COS(2*PI()*(((Inputs!$C$6)/Inputs!$C$50)+Inputs!$C$47*0.173))+0.2*SIN(2*PI()*((((Scenario_Data!U28)+(Inputs!$C$6))/(0.5*(Inputs!$C$49+Inputs!$C$50)))+Inputs!$C$47*0.097)))+0.3*(2*((SIN(((Scenario_Data!U28)*12.9898+(Inputs!$C$6)*78.233+Inputs!$C$47*37.719))*43758.5453)-INT((SIN(((Scenario_Data!U28)*12.9898+(Inputs!$C$6)*78.233+Inputs!$C$47*37.719))*43758.5453)))-1))))/1000))*COS(SQRT((Scenario_Data!U28)^2+Inputs!$C$6^2)/Inputs!$C$52))*1000)/Inputs!$C$21*1000000</f>
        <v/>
      </c>
      <c r="AT28">
        <f>Scenario_Data!V28</f>
        <v/>
      </c>
      <c r="AU28">
        <f>2*(SQRT((Inputs!$C$52+(Scenario_Data!D28))^2+(Inputs!$C$52+((IF(OR(Inputs!$C$27=TRUE,Inputs!$C$27="TRUE",Inputs!$C$27=1),1,0)*(Inputs!$C$51*(115*EXP(-(((Inputs!$C$6)-25)^2)/(4.5^2))+70*EXP(-(((Inputs!$C$6)+38)^2)/(7^2))*(0.55+0.45*SIN(2*PI()*(Scenario_Data!V28)/45))+24*SIN(2*PI()*(Inputs!$C$6)/9+(Scenario_Data!V28)/18)*EXP(-(((Inputs!$C$6)+5)^2)/(22^2))+18*SIN(2*PI()*(Scenario_Data!V28)/70))+Inputs!$C$28*EXP(-(((Scenario_Data!V28)-Inputs!$C$29)^2)/(2*Inputs!$C$31^2))*EXP(-(((Inputs!$C$6)-Inputs!$C$30)^2)/(2*Inputs!$C$32^2))+-Inputs!$C$33*EXP(-(((((Scenario_Data!V28)-Inputs!$C$34)^2)+(((Inputs!$C$6)-Inputs!$C$35)^2))/(2*Inputs!$C$36^2)))+Inputs!$C$37*(0.55*SIN(2*PI()*(Scenario_Data!V28)/Inputs!$C$39)+0.35*COS(2*PI()*(Inputs!$C$6)/Inputs!$C$40)+0.2*SIN(2*PI()*((Scenario_Data!V28)+(Inputs!$C$6))/(0.5*(Inputs!$C$39+Inputs!$C$40))))+Inputs!$C$38*SIN(2*PI()*(Scenario_Data!V28)/Inputs!$C$39)*SIN(2*PI()*(Inputs!$C$6)/Inputs!$C$40)+-Inputs!$C$41*EXP(-(((Inputs!$C$6)-Inputs!$C$43)^2)/(2*Inputs!$C$44^2))*EXP(-(((Scenario_Data!V28)-Inputs!$C$42)^2)/(2*Inputs!$C$45^2))+Inputs!$C$48*(0.7*(0.45*SIN(2*PI()*(((Scenario_Data!V28)/Inputs!$C$49)+Inputs!$C$47*0.137))+0.35*COS(2*PI()*(((Inputs!$C$6)/Inputs!$C$50)+Inputs!$C$47*0.173))+0.2*SIN(2*PI()*((((Scenario_Data!V28)+(Inputs!$C$6))/(0.5*(Inputs!$C$49+Inputs!$C$50)))+Inputs!$C$47*0.097)))+0.3*(2*((SIN(((Scenario_Data!V28)*12.9898+(Inputs!$C$6)*78.233+Inputs!$C$47*37.719))*43758.5453)-INT((SIN(((Scenario_Data!V28)*12.9898+(Inputs!$C$6)*78.233+Inputs!$C$47*37.719))*43758.5453)))-1))))/1000))^2-2*(Inputs!$C$52+(Scenario_Data!D28))*(Inputs!$C$52+((IF(OR(Inputs!$C$27=TRUE,Inputs!$C$27="TRUE",Inputs!$C$27=1),1,0)*(Inputs!$C$51*(115*EXP(-(((Inputs!$C$6)-25)^2)/(4.5^2))+70*EXP(-(((Inputs!$C$6)+38)^2)/(7^2))*(0.55+0.45*SIN(2*PI()*(Scenario_Data!V28)/45))+24*SIN(2*PI()*(Inputs!$C$6)/9+(Scenario_Data!V28)/18)*EXP(-(((Inputs!$C$6)+5)^2)/(22^2))+18*SIN(2*PI()*(Scenario_Data!V28)/70))+Inputs!$C$28*EXP(-(((Scenario_Data!V28)-Inputs!$C$29)^2)/(2*Inputs!$C$31^2))*EXP(-(((Inputs!$C$6)-Inputs!$C$30)^2)/(2*Inputs!$C$32^2))+-Inputs!$C$33*EXP(-(((((Scenario_Data!V28)-Inputs!$C$34)^2)+(((Inputs!$C$6)-Inputs!$C$35)^2))/(2*Inputs!$C$36^2)))+Inputs!$C$37*(0.55*SIN(2*PI()*(Scenario_Data!V28)/Inputs!$C$39)+0.35*COS(2*PI()*(Inputs!$C$6)/Inputs!$C$40)+0.2*SIN(2*PI()*((Scenario_Data!V28)+(Inputs!$C$6))/(0.5*(Inputs!$C$39+Inputs!$C$40))))+Inputs!$C$38*SIN(2*PI()*(Scenario_Data!V28)/Inputs!$C$39)*SIN(2*PI()*(Inputs!$C$6)/Inputs!$C$40)+-Inputs!$C$41*EXP(-(((Inputs!$C$6)-Inputs!$C$43)^2)/(2*Inputs!$C$44^2))*EXP(-(((Scenario_Data!V28)-Inputs!$C$42)^2)/(2*Inputs!$C$45^2))+Inputs!$C$48*(0.7*(0.45*SIN(2*PI()*(((Scenario_Data!V28)/Inputs!$C$49)+Inputs!$C$47*0.137))+0.35*COS(2*PI()*(((Inputs!$C$6)/Inputs!$C$50)+Inputs!$C$47*0.173))+0.2*SIN(2*PI()*((((Scenario_Data!V28)+(Inputs!$C$6))/(0.5*(Inputs!$C$49+Inputs!$C$50)))+Inputs!$C$47*0.097)))+0.3*(2*((SIN(((Scenario_Data!V28)*12.9898+(Inputs!$C$6)*78.233+Inputs!$C$47*37.719))*43758.5453)-INT((SIN(((Scenario_Data!V28)*12.9898+(Inputs!$C$6)*78.233+Inputs!$C$47*37.719))*43758.5453)))-1))))/1000))*COS(SQRT((Scenario_Data!V28)^2+Inputs!$C$6^2)/Inputs!$C$52))*1000)/Inputs!$C$21*1000000</f>
        <v/>
      </c>
      <c r="AV28">
        <f>Scenario_Data!W28</f>
        <v/>
      </c>
      <c r="AW28">
        <f>2*(SQRT((Inputs!$C$52+(Scenario_Data!E28))^2+(Inputs!$C$52+((IF(OR(Inputs!$C$27=TRUE,Inputs!$C$27="TRUE",Inputs!$C$27=1),1,0)*(Inputs!$C$51*(115*EXP(-(((Inputs!$C$6)-25)^2)/(4.5^2))+70*EXP(-(((Inputs!$C$6)+38)^2)/(7^2))*(0.55+0.45*SIN(2*PI()*(Scenario_Data!W28)/45))+24*SIN(2*PI()*(Inputs!$C$6)/9+(Scenario_Data!W28)/18)*EXP(-(((Inputs!$C$6)+5)^2)/(22^2))+18*SIN(2*PI()*(Scenario_Data!W28)/70))+Inputs!$C$28*EXP(-(((Scenario_Data!W28)-Inputs!$C$29)^2)/(2*Inputs!$C$31^2))*EXP(-(((Inputs!$C$6)-Inputs!$C$30)^2)/(2*Inputs!$C$32^2))+-Inputs!$C$33*EXP(-(((((Scenario_Data!W28)-Inputs!$C$34)^2)+(((Inputs!$C$6)-Inputs!$C$35)^2))/(2*Inputs!$C$36^2)))+Inputs!$C$37*(0.55*SIN(2*PI()*(Scenario_Data!W28)/Inputs!$C$39)+0.35*COS(2*PI()*(Inputs!$C$6)/Inputs!$C$40)+0.2*SIN(2*PI()*((Scenario_Data!W28)+(Inputs!$C$6))/(0.5*(Inputs!$C$39+Inputs!$C$40))))+Inputs!$C$38*SIN(2*PI()*(Scenario_Data!W28)/Inputs!$C$39)*SIN(2*PI()*(Inputs!$C$6)/Inputs!$C$40)+-Inputs!$C$41*EXP(-(((Inputs!$C$6)-Inputs!$C$43)^2)/(2*Inputs!$C$44^2))*EXP(-(((Scenario_Data!W28)-Inputs!$C$42)^2)/(2*Inputs!$C$45^2))+Inputs!$C$48*(0.7*(0.45*SIN(2*PI()*(((Scenario_Data!W28)/Inputs!$C$49)+Inputs!$C$47*0.137))+0.35*COS(2*PI()*(((Inputs!$C$6)/Inputs!$C$50)+Inputs!$C$47*0.173))+0.2*SIN(2*PI()*((((Scenario_Data!W28)+(Inputs!$C$6))/(0.5*(Inputs!$C$49+Inputs!$C$50)))+Inputs!$C$47*0.097)))+0.3*(2*((SIN(((Scenario_Data!W28)*12.9898+(Inputs!$C$6)*78.233+Inputs!$C$47*37.719))*43758.5453)-INT((SIN(((Scenario_Data!W28)*12.9898+(Inputs!$C$6)*78.233+Inputs!$C$47*37.719))*43758.5453)))-1))))/1000))^2-2*(Inputs!$C$52+(Scenario_Data!E28))*(Inputs!$C$52+((IF(OR(Inputs!$C$27=TRUE,Inputs!$C$27="TRUE",Inputs!$C$27=1),1,0)*(Inputs!$C$51*(115*EXP(-(((Inputs!$C$6)-25)^2)/(4.5^2))+70*EXP(-(((Inputs!$C$6)+38)^2)/(7^2))*(0.55+0.45*SIN(2*PI()*(Scenario_Data!W28)/45))+24*SIN(2*PI()*(Inputs!$C$6)/9+(Scenario_Data!W28)/18)*EXP(-(((Inputs!$C$6)+5)^2)/(22^2))+18*SIN(2*PI()*(Scenario_Data!W28)/70))+Inputs!$C$28*EXP(-(((Scenario_Data!W28)-Inputs!$C$29)^2)/(2*Inputs!$C$31^2))*EXP(-(((Inputs!$C$6)-Inputs!$C$30)^2)/(2*Inputs!$C$32^2))+-Inputs!$C$33*EXP(-(((((Scenario_Data!W28)-Inputs!$C$34)^2)+(((Inputs!$C$6)-Inputs!$C$35)^2))/(2*Inputs!$C$36^2)))+Inputs!$C$37*(0.55*SIN(2*PI()*(Scenario_Data!W28)/Inputs!$C$39)+0.35*COS(2*PI()*(Inputs!$C$6)/Inputs!$C$40)+0.2*SIN(2*PI()*((Scenario_Data!W28)+(Inputs!$C$6))/(0.5*(Inputs!$C$39+Inputs!$C$40))))+Inputs!$C$38*SIN(2*PI()*(Scenario_Data!W28)/Inputs!$C$39)*SIN(2*PI()*(Inputs!$C$6)/Inputs!$C$40)+-Inputs!$C$41*EXP(-(((Inputs!$C$6)-Inputs!$C$43)^2)/(2*Inputs!$C$44^2))*EXP(-(((Scenario_Data!W28)-Inputs!$C$42)^2)/(2*Inputs!$C$45^2))+Inputs!$C$48*(0.7*(0.45*SIN(2*PI()*(((Scenario_Data!W28)/Inputs!$C$49)+Inputs!$C$47*0.137))+0.35*COS(2*PI()*(((Inputs!$C$6)/Inputs!$C$50)+Inputs!$C$47*0.173))+0.2*SIN(2*PI()*((((Scenario_Data!W28)+(Inputs!$C$6))/(0.5*(Inputs!$C$49+Inputs!$C$50)))+Inputs!$C$47*0.097)))+0.3*(2*((SIN(((Scenario_Data!W28)*12.9898+(Inputs!$C$6)*78.233+Inputs!$C$47*37.719))*43758.5453)-INT((SIN(((Scenario_Data!W28)*12.9898+(Inputs!$C$6)*78.233+Inputs!$C$47*37.719))*43758.5453)))-1))))/1000))*COS(SQRT((Scenario_Data!W28)^2+Inputs!$C$6^2)/Inputs!$C$52))*1000)/Inputs!$C$21*1000000</f>
        <v/>
      </c>
    </row>
    <row r="29">
      <c r="A29">
        <f>Chart_Data!K29</f>
        <v/>
      </c>
      <c r="B29">
        <f>Chart_Data!N29-Chart_Data!L29</f>
        <v/>
      </c>
      <c r="D29">
        <f>Chart_Data!G29</f>
        <v/>
      </c>
      <c r="E29">
        <f>Chart_Data!H29</f>
        <v/>
      </c>
      <c r="F29">
        <f>Chart_Data!I29</f>
        <v/>
      </c>
      <c r="G29">
        <f>Chart_Data!J29</f>
        <v/>
      </c>
      <c r="I29">
        <f>Scenario_Data!A29</f>
        <v/>
      </c>
      <c r="J29">
        <f>Scenario_Data!H29-(((SQRT((Inputs!$C$52+(Inputs!$H$6))^2+Inputs!$C$52^2-2*(Inputs!$C$52+(Inputs!$H$6))*Inputs!$C$52*COS(SQRT((Scenario_Data!T29)^2+Inputs!$C$6^2)/Inputs!$C$52)))-(Inputs!$H$6))*1000/Inputs!$C$12)</f>
        <v/>
      </c>
      <c r="K29">
        <f>Scenario_Data!I29-(((SQRT((Inputs!$C$52+(Inputs!$H$7))^2+Inputs!$C$52^2-2*(Inputs!$C$52+(Inputs!$H$7))*Inputs!$C$52*COS(SQRT((Scenario_Data!U29)^2+Inputs!$C$6^2)/Inputs!$C$52)))-(Inputs!$H$7))*1000/Inputs!$C$12)</f>
        <v/>
      </c>
      <c r="L29">
        <f>Scenario_Data!J29-(((SQRT((Inputs!$C$52+(Inputs!$H$8))^2+Inputs!$C$52^2-2*(Inputs!$C$52+(Inputs!$H$8))*Inputs!$C$52*COS(SQRT((Scenario_Data!V29)^2+Inputs!$C$6^2)/Inputs!$C$52)))-(Inputs!$H$8))*1000/Inputs!$C$12)</f>
        <v/>
      </c>
      <c r="M29">
        <f>Scenario_Data!K29-(((SQRT((Inputs!$C$52+(Inputs!$H$9))^2+Inputs!$C$52^2-2*(Inputs!$C$52+(Inputs!$H$9))*Inputs!$C$52*COS(SQRT((Scenario_Data!W29)^2+Inputs!$C$6^2)/Inputs!$C$52)))-(Inputs!$H$9))*1000/Inputs!$C$12)</f>
        <v/>
      </c>
      <c r="O29">
        <f>Scenario_Data!T29</f>
        <v/>
      </c>
      <c r="P29">
        <f>2*(Scenario_Data!B29*1000)/Inputs!$C$21*1000000</f>
        <v/>
      </c>
      <c r="Q29">
        <f>Scenario_Data!U29</f>
        <v/>
      </c>
      <c r="R29">
        <f>2*(Scenario_Data!C29*1000)/Inputs!$C$21*1000000</f>
        <v/>
      </c>
      <c r="S29">
        <f>Scenario_Data!V29</f>
        <v/>
      </c>
      <c r="T29">
        <f>2*(Scenario_Data!D29*1000)/Inputs!$C$21*1000000</f>
        <v/>
      </c>
      <c r="U29">
        <f>Scenario_Data!W29</f>
        <v/>
      </c>
      <c r="V29">
        <f>2*(Scenario_Data!E29*1000)/Inputs!$C$21*1000000</f>
        <v/>
      </c>
      <c r="X29">
        <f>Scenario_Data!T29</f>
        <v/>
      </c>
      <c r="Y29">
        <f>2*((Scenario_Data!B29*1000)-(IF(OR(Inputs!$C$27=TRUE,Inputs!$C$27="TRUE",Inputs!$C$27=1),1,0)*(Inputs!$C$51*(115*EXP(-(((0)-25)^2)/(4.5^2))+70*EXP(-(((0)+38)^2)/(7^2))*(0.55+0.45*SIN(2*PI()*(Scenario_Data!T29)/45))+24*SIN(2*PI()*(0)/9+(Scenario_Data!T29)/18)*EXP(-(((0)+5)^2)/(22^2))+18*SIN(2*PI()*(Scenario_Data!T29)/70))+Inputs!$C$28*EXP(-(((Scenario_Data!T29)-Inputs!$C$29)^2)/(2*Inputs!$C$31^2))*EXP(-(((0)-Inputs!$C$30)^2)/(2*Inputs!$C$32^2))+-Inputs!$C$33*EXP(-(((((Scenario_Data!T29)-Inputs!$C$34)^2)+(((0)-Inputs!$C$35)^2))/(2*Inputs!$C$36^2)))+Inputs!$C$37*(0.55*SIN(2*PI()*(Scenario_Data!T29)/Inputs!$C$39)+0.35*COS(2*PI()*(0)/Inputs!$C$40)+0.2*SIN(2*PI()*((Scenario_Data!T29)+(0))/(0.5*(Inputs!$C$39+Inputs!$C$40))))+Inputs!$C$38*SIN(2*PI()*(Scenario_Data!T29)/Inputs!$C$39)*SIN(2*PI()*(0)/Inputs!$C$40)+-Inputs!$C$41*EXP(-(((0)-Inputs!$C$43)^2)/(2*Inputs!$C$44^2))*EXP(-(((Scenario_Data!T29)-Inputs!$C$42)^2)/(2*Inputs!$C$45^2))+Inputs!$C$48*(0.7*(0.45*SIN(2*PI()*(((Scenario_Data!T29)/Inputs!$C$49)+Inputs!$C$47*0.137))+0.35*COS(2*PI()*(((0)/Inputs!$C$50)+Inputs!$C$47*0.173))+0.2*SIN(2*PI()*((((Scenario_Data!T29)+(0))/(0.5*(Inputs!$C$49+Inputs!$C$50)))+Inputs!$C$47*0.097)))+0.3*(2*((SIN(((Scenario_Data!T29)*12.9898+(0)*78.233+Inputs!$C$47*37.719))*43758.5453)-INT((SIN(((Scenario_Data!T29)*12.9898+(0)*78.233+Inputs!$C$47*37.719))*43758.5453)))-1)))))/Inputs!$C$21*1000000</f>
        <v/>
      </c>
      <c r="Z29">
        <f>Scenario_Data!U29</f>
        <v/>
      </c>
      <c r="AA29">
        <f>2*((Scenario_Data!C29*1000)-(IF(OR(Inputs!$C$27=TRUE,Inputs!$C$27="TRUE",Inputs!$C$27=1),1,0)*(Inputs!$C$51*(115*EXP(-(((0)-25)^2)/(4.5^2))+70*EXP(-(((0)+38)^2)/(7^2))*(0.55+0.45*SIN(2*PI()*(Scenario_Data!U29)/45))+24*SIN(2*PI()*(0)/9+(Scenario_Data!U29)/18)*EXP(-(((0)+5)^2)/(22^2))+18*SIN(2*PI()*(Scenario_Data!U29)/70))+Inputs!$C$28*EXP(-(((Scenario_Data!U29)-Inputs!$C$29)^2)/(2*Inputs!$C$31^2))*EXP(-(((0)-Inputs!$C$30)^2)/(2*Inputs!$C$32^2))+-Inputs!$C$33*EXP(-(((((Scenario_Data!U29)-Inputs!$C$34)^2)+(((0)-Inputs!$C$35)^2))/(2*Inputs!$C$36^2)))+Inputs!$C$37*(0.55*SIN(2*PI()*(Scenario_Data!U29)/Inputs!$C$39)+0.35*COS(2*PI()*(0)/Inputs!$C$40)+0.2*SIN(2*PI()*((Scenario_Data!U29)+(0))/(0.5*(Inputs!$C$39+Inputs!$C$40))))+Inputs!$C$38*SIN(2*PI()*(Scenario_Data!U29)/Inputs!$C$39)*SIN(2*PI()*(0)/Inputs!$C$40)+-Inputs!$C$41*EXP(-(((0)-Inputs!$C$43)^2)/(2*Inputs!$C$44^2))*EXP(-(((Scenario_Data!U29)-Inputs!$C$42)^2)/(2*Inputs!$C$45^2))+Inputs!$C$48*(0.7*(0.45*SIN(2*PI()*(((Scenario_Data!U29)/Inputs!$C$49)+Inputs!$C$47*0.137))+0.35*COS(2*PI()*(((0)/Inputs!$C$50)+Inputs!$C$47*0.173))+0.2*SIN(2*PI()*((((Scenario_Data!U29)+(0))/(0.5*(Inputs!$C$49+Inputs!$C$50)))+Inputs!$C$47*0.097)))+0.3*(2*((SIN(((Scenario_Data!U29)*12.9898+(0)*78.233+Inputs!$C$47*37.719))*43758.5453)-INT((SIN(((Scenario_Data!U29)*12.9898+(0)*78.233+Inputs!$C$47*37.719))*43758.5453)))-1)))))/Inputs!$C$21*1000000</f>
        <v/>
      </c>
      <c r="AB29">
        <f>Scenario_Data!V29</f>
        <v/>
      </c>
      <c r="AC29">
        <f>2*((Scenario_Data!D29*1000)-(IF(OR(Inputs!$C$27=TRUE,Inputs!$C$27="TRUE",Inputs!$C$27=1),1,0)*(Inputs!$C$51*(115*EXP(-(((0)-25)^2)/(4.5^2))+70*EXP(-(((0)+38)^2)/(7^2))*(0.55+0.45*SIN(2*PI()*(Scenario_Data!V29)/45))+24*SIN(2*PI()*(0)/9+(Scenario_Data!V29)/18)*EXP(-(((0)+5)^2)/(22^2))+18*SIN(2*PI()*(Scenario_Data!V29)/70))+Inputs!$C$28*EXP(-(((Scenario_Data!V29)-Inputs!$C$29)^2)/(2*Inputs!$C$31^2))*EXP(-(((0)-Inputs!$C$30)^2)/(2*Inputs!$C$32^2))+-Inputs!$C$33*EXP(-(((((Scenario_Data!V29)-Inputs!$C$34)^2)+(((0)-Inputs!$C$35)^2))/(2*Inputs!$C$36^2)))+Inputs!$C$37*(0.55*SIN(2*PI()*(Scenario_Data!V29)/Inputs!$C$39)+0.35*COS(2*PI()*(0)/Inputs!$C$40)+0.2*SIN(2*PI()*((Scenario_Data!V29)+(0))/(0.5*(Inputs!$C$39+Inputs!$C$40))))+Inputs!$C$38*SIN(2*PI()*(Scenario_Data!V29)/Inputs!$C$39)*SIN(2*PI()*(0)/Inputs!$C$40)+-Inputs!$C$41*EXP(-(((0)-Inputs!$C$43)^2)/(2*Inputs!$C$44^2))*EXP(-(((Scenario_Data!V29)-Inputs!$C$42)^2)/(2*Inputs!$C$45^2))+Inputs!$C$48*(0.7*(0.45*SIN(2*PI()*(((Scenario_Data!V29)/Inputs!$C$49)+Inputs!$C$47*0.137))+0.35*COS(2*PI()*(((0)/Inputs!$C$50)+Inputs!$C$47*0.173))+0.2*SIN(2*PI()*((((Scenario_Data!V29)+(0))/(0.5*(Inputs!$C$49+Inputs!$C$50)))+Inputs!$C$47*0.097)))+0.3*(2*((SIN(((Scenario_Data!V29)*12.9898+(0)*78.233+Inputs!$C$47*37.719))*43758.5453)-INT((SIN(((Scenario_Data!V29)*12.9898+(0)*78.233+Inputs!$C$47*37.719))*43758.5453)))-1)))))/Inputs!$C$21*1000000</f>
        <v/>
      </c>
      <c r="AD29">
        <f>Scenario_Data!W29</f>
        <v/>
      </c>
      <c r="AE29">
        <f>2*((Scenario_Data!E29*1000)-(IF(OR(Inputs!$C$27=TRUE,Inputs!$C$27="TRUE",Inputs!$C$27=1),1,0)*(Inputs!$C$51*(115*EXP(-(((0)-25)^2)/(4.5^2))+70*EXP(-(((0)+38)^2)/(7^2))*(0.55+0.45*SIN(2*PI()*(Scenario_Data!W29)/45))+24*SIN(2*PI()*(0)/9+(Scenario_Data!W29)/18)*EXP(-(((0)+5)^2)/(22^2))+18*SIN(2*PI()*(Scenario_Data!W29)/70))+Inputs!$C$28*EXP(-(((Scenario_Data!W29)-Inputs!$C$29)^2)/(2*Inputs!$C$31^2))*EXP(-(((0)-Inputs!$C$30)^2)/(2*Inputs!$C$32^2))+-Inputs!$C$33*EXP(-(((((Scenario_Data!W29)-Inputs!$C$34)^2)+(((0)-Inputs!$C$35)^2))/(2*Inputs!$C$36^2)))+Inputs!$C$37*(0.55*SIN(2*PI()*(Scenario_Data!W29)/Inputs!$C$39)+0.35*COS(2*PI()*(0)/Inputs!$C$40)+0.2*SIN(2*PI()*((Scenario_Data!W29)+(0))/(0.5*(Inputs!$C$39+Inputs!$C$40))))+Inputs!$C$38*SIN(2*PI()*(Scenario_Data!W29)/Inputs!$C$39)*SIN(2*PI()*(0)/Inputs!$C$40)+-Inputs!$C$41*EXP(-(((0)-Inputs!$C$43)^2)/(2*Inputs!$C$44^2))*EXP(-(((Scenario_Data!W29)-Inputs!$C$42)^2)/(2*Inputs!$C$45^2))+Inputs!$C$48*(0.7*(0.45*SIN(2*PI()*(((Scenario_Data!W29)/Inputs!$C$49)+Inputs!$C$47*0.137))+0.35*COS(2*PI()*(((0)/Inputs!$C$50)+Inputs!$C$47*0.173))+0.2*SIN(2*PI()*((((Scenario_Data!W29)+(0))/(0.5*(Inputs!$C$49+Inputs!$C$50)))+Inputs!$C$47*0.097)))+0.3*(2*((SIN(((Scenario_Data!W29)*12.9898+(0)*78.233+Inputs!$C$47*37.719))*43758.5453)-INT((SIN(((Scenario_Data!W29)*12.9898+(0)*78.233+Inputs!$C$47*37.719))*43758.5453)))-1)))))/Inputs!$C$21*1000000</f>
        <v/>
      </c>
      <c r="AG29">
        <f>Scenario_Data!T29</f>
        <v/>
      </c>
      <c r="AH29">
        <f>2*(SQRT((Inputs!$C$52+(Scenario_Data!B29))^2+Inputs!$C$52^2-2*(Inputs!$C$52+(Scenario_Data!B29))*Inputs!$C$52*COS(SQRT((Scenario_Data!T29)^2+Inputs!$C$6^2)/Inputs!$C$52))*1000)/Inputs!$C$21*1000000</f>
        <v/>
      </c>
      <c r="AI29">
        <f>Scenario_Data!U29</f>
        <v/>
      </c>
      <c r="AJ29">
        <f>2*(SQRT((Inputs!$C$52+(Scenario_Data!C29))^2+Inputs!$C$52^2-2*(Inputs!$C$52+(Scenario_Data!C29))*Inputs!$C$52*COS(SQRT((Scenario_Data!U29)^2+Inputs!$C$6^2)/Inputs!$C$52))*1000)/Inputs!$C$21*1000000</f>
        <v/>
      </c>
      <c r="AK29">
        <f>Scenario_Data!V29</f>
        <v/>
      </c>
      <c r="AL29">
        <f>2*(SQRT((Inputs!$C$52+(Scenario_Data!D29))^2+Inputs!$C$52^2-2*(Inputs!$C$52+(Scenario_Data!D29))*Inputs!$C$52*COS(SQRT((Scenario_Data!V29)^2+Inputs!$C$6^2)/Inputs!$C$52))*1000)/Inputs!$C$21*1000000</f>
        <v/>
      </c>
      <c r="AM29">
        <f>Scenario_Data!W29</f>
        <v/>
      </c>
      <c r="AN29">
        <f>2*(SQRT((Inputs!$C$52+(Scenario_Data!E29))^2+Inputs!$C$52^2-2*(Inputs!$C$52+(Scenario_Data!E29))*Inputs!$C$52*COS(SQRT((Scenario_Data!W29)^2+Inputs!$C$6^2)/Inputs!$C$52))*1000)/Inputs!$C$21*1000000</f>
        <v/>
      </c>
      <c r="AP29">
        <f>Scenario_Data!T29</f>
        <v/>
      </c>
      <c r="AQ29">
        <f>2*(SQRT((Inputs!$C$52+(Scenario_Data!B29))^2+(Inputs!$C$52+((IF(OR(Inputs!$C$27=TRUE,Inputs!$C$27="TRUE",Inputs!$C$27=1),1,0)*(Inputs!$C$51*(115*EXP(-(((Inputs!$C$6)-25)^2)/(4.5^2))+70*EXP(-(((Inputs!$C$6)+38)^2)/(7^2))*(0.55+0.45*SIN(2*PI()*(Scenario_Data!T29)/45))+24*SIN(2*PI()*(Inputs!$C$6)/9+(Scenario_Data!T29)/18)*EXP(-(((Inputs!$C$6)+5)^2)/(22^2))+18*SIN(2*PI()*(Scenario_Data!T29)/70))+Inputs!$C$28*EXP(-(((Scenario_Data!T29)-Inputs!$C$29)^2)/(2*Inputs!$C$31^2))*EXP(-(((Inputs!$C$6)-Inputs!$C$30)^2)/(2*Inputs!$C$32^2))+-Inputs!$C$33*EXP(-(((((Scenario_Data!T29)-Inputs!$C$34)^2)+(((Inputs!$C$6)-Inputs!$C$35)^2))/(2*Inputs!$C$36^2)))+Inputs!$C$37*(0.55*SIN(2*PI()*(Scenario_Data!T29)/Inputs!$C$39)+0.35*COS(2*PI()*(Inputs!$C$6)/Inputs!$C$40)+0.2*SIN(2*PI()*((Scenario_Data!T29)+(Inputs!$C$6))/(0.5*(Inputs!$C$39+Inputs!$C$40))))+Inputs!$C$38*SIN(2*PI()*(Scenario_Data!T29)/Inputs!$C$39)*SIN(2*PI()*(Inputs!$C$6)/Inputs!$C$40)+-Inputs!$C$41*EXP(-(((Inputs!$C$6)-Inputs!$C$43)^2)/(2*Inputs!$C$44^2))*EXP(-(((Scenario_Data!T29)-Inputs!$C$42)^2)/(2*Inputs!$C$45^2))+Inputs!$C$48*(0.7*(0.45*SIN(2*PI()*(((Scenario_Data!T29)/Inputs!$C$49)+Inputs!$C$47*0.137))+0.35*COS(2*PI()*(((Inputs!$C$6)/Inputs!$C$50)+Inputs!$C$47*0.173))+0.2*SIN(2*PI()*((((Scenario_Data!T29)+(Inputs!$C$6))/(0.5*(Inputs!$C$49+Inputs!$C$50)))+Inputs!$C$47*0.097)))+0.3*(2*((SIN(((Scenario_Data!T29)*12.9898+(Inputs!$C$6)*78.233+Inputs!$C$47*37.719))*43758.5453)-INT((SIN(((Scenario_Data!T29)*12.9898+(Inputs!$C$6)*78.233+Inputs!$C$47*37.719))*43758.5453)))-1))))/1000))^2-2*(Inputs!$C$52+(Scenario_Data!B29))*(Inputs!$C$52+((IF(OR(Inputs!$C$27=TRUE,Inputs!$C$27="TRUE",Inputs!$C$27=1),1,0)*(Inputs!$C$51*(115*EXP(-(((Inputs!$C$6)-25)^2)/(4.5^2))+70*EXP(-(((Inputs!$C$6)+38)^2)/(7^2))*(0.55+0.45*SIN(2*PI()*(Scenario_Data!T29)/45))+24*SIN(2*PI()*(Inputs!$C$6)/9+(Scenario_Data!T29)/18)*EXP(-(((Inputs!$C$6)+5)^2)/(22^2))+18*SIN(2*PI()*(Scenario_Data!T29)/70))+Inputs!$C$28*EXP(-(((Scenario_Data!T29)-Inputs!$C$29)^2)/(2*Inputs!$C$31^2))*EXP(-(((Inputs!$C$6)-Inputs!$C$30)^2)/(2*Inputs!$C$32^2))+-Inputs!$C$33*EXP(-(((((Scenario_Data!T29)-Inputs!$C$34)^2)+(((Inputs!$C$6)-Inputs!$C$35)^2))/(2*Inputs!$C$36^2)))+Inputs!$C$37*(0.55*SIN(2*PI()*(Scenario_Data!T29)/Inputs!$C$39)+0.35*COS(2*PI()*(Inputs!$C$6)/Inputs!$C$40)+0.2*SIN(2*PI()*((Scenario_Data!T29)+(Inputs!$C$6))/(0.5*(Inputs!$C$39+Inputs!$C$40))))+Inputs!$C$38*SIN(2*PI()*(Scenario_Data!T29)/Inputs!$C$39)*SIN(2*PI()*(Inputs!$C$6)/Inputs!$C$40)+-Inputs!$C$41*EXP(-(((Inputs!$C$6)-Inputs!$C$43)^2)/(2*Inputs!$C$44^2))*EXP(-(((Scenario_Data!T29)-Inputs!$C$42)^2)/(2*Inputs!$C$45^2))+Inputs!$C$48*(0.7*(0.45*SIN(2*PI()*(((Scenario_Data!T29)/Inputs!$C$49)+Inputs!$C$47*0.137))+0.35*COS(2*PI()*(((Inputs!$C$6)/Inputs!$C$50)+Inputs!$C$47*0.173))+0.2*SIN(2*PI()*((((Scenario_Data!T29)+(Inputs!$C$6))/(0.5*(Inputs!$C$49+Inputs!$C$50)))+Inputs!$C$47*0.097)))+0.3*(2*((SIN(((Scenario_Data!T29)*12.9898+(Inputs!$C$6)*78.233+Inputs!$C$47*37.719))*43758.5453)-INT((SIN(((Scenario_Data!T29)*12.9898+(Inputs!$C$6)*78.233+Inputs!$C$47*37.719))*43758.5453)))-1))))/1000))*COS(SQRT((Scenario_Data!T29)^2+Inputs!$C$6^2)/Inputs!$C$52))*1000)/Inputs!$C$21*1000000</f>
        <v/>
      </c>
      <c r="AR29">
        <f>Scenario_Data!U29</f>
        <v/>
      </c>
      <c r="AS29">
        <f>2*(SQRT((Inputs!$C$52+(Scenario_Data!C29))^2+(Inputs!$C$52+((IF(OR(Inputs!$C$27=TRUE,Inputs!$C$27="TRUE",Inputs!$C$27=1),1,0)*(Inputs!$C$51*(115*EXP(-(((Inputs!$C$6)-25)^2)/(4.5^2))+70*EXP(-(((Inputs!$C$6)+38)^2)/(7^2))*(0.55+0.45*SIN(2*PI()*(Scenario_Data!U29)/45))+24*SIN(2*PI()*(Inputs!$C$6)/9+(Scenario_Data!U29)/18)*EXP(-(((Inputs!$C$6)+5)^2)/(22^2))+18*SIN(2*PI()*(Scenario_Data!U29)/70))+Inputs!$C$28*EXP(-(((Scenario_Data!U29)-Inputs!$C$29)^2)/(2*Inputs!$C$31^2))*EXP(-(((Inputs!$C$6)-Inputs!$C$30)^2)/(2*Inputs!$C$32^2))+-Inputs!$C$33*EXP(-(((((Scenario_Data!U29)-Inputs!$C$34)^2)+(((Inputs!$C$6)-Inputs!$C$35)^2))/(2*Inputs!$C$36^2)))+Inputs!$C$37*(0.55*SIN(2*PI()*(Scenario_Data!U29)/Inputs!$C$39)+0.35*COS(2*PI()*(Inputs!$C$6)/Inputs!$C$40)+0.2*SIN(2*PI()*((Scenario_Data!U29)+(Inputs!$C$6))/(0.5*(Inputs!$C$39+Inputs!$C$40))))+Inputs!$C$38*SIN(2*PI()*(Scenario_Data!U29)/Inputs!$C$39)*SIN(2*PI()*(Inputs!$C$6)/Inputs!$C$40)+-Inputs!$C$41*EXP(-(((Inputs!$C$6)-Inputs!$C$43)^2)/(2*Inputs!$C$44^2))*EXP(-(((Scenario_Data!U29)-Inputs!$C$42)^2)/(2*Inputs!$C$45^2))+Inputs!$C$48*(0.7*(0.45*SIN(2*PI()*(((Scenario_Data!U29)/Inputs!$C$49)+Inputs!$C$47*0.137))+0.35*COS(2*PI()*(((Inputs!$C$6)/Inputs!$C$50)+Inputs!$C$47*0.173))+0.2*SIN(2*PI()*((((Scenario_Data!U29)+(Inputs!$C$6))/(0.5*(Inputs!$C$49+Inputs!$C$50)))+Inputs!$C$47*0.097)))+0.3*(2*((SIN(((Scenario_Data!U29)*12.9898+(Inputs!$C$6)*78.233+Inputs!$C$47*37.719))*43758.5453)-INT((SIN(((Scenario_Data!U29)*12.9898+(Inputs!$C$6)*78.233+Inputs!$C$47*37.719))*43758.5453)))-1))))/1000))^2-2*(Inputs!$C$52+(Scenario_Data!C29))*(Inputs!$C$52+((IF(OR(Inputs!$C$27=TRUE,Inputs!$C$27="TRUE",Inputs!$C$27=1),1,0)*(Inputs!$C$51*(115*EXP(-(((Inputs!$C$6)-25)^2)/(4.5^2))+70*EXP(-(((Inputs!$C$6)+38)^2)/(7^2))*(0.55+0.45*SIN(2*PI()*(Scenario_Data!U29)/45))+24*SIN(2*PI()*(Inputs!$C$6)/9+(Scenario_Data!U29)/18)*EXP(-(((Inputs!$C$6)+5)^2)/(22^2))+18*SIN(2*PI()*(Scenario_Data!U29)/70))+Inputs!$C$28*EXP(-(((Scenario_Data!U29)-Inputs!$C$29)^2)/(2*Inputs!$C$31^2))*EXP(-(((Inputs!$C$6)-Inputs!$C$30)^2)/(2*Inputs!$C$32^2))+-Inputs!$C$33*EXP(-(((((Scenario_Data!U29)-Inputs!$C$34)^2)+(((Inputs!$C$6)-Inputs!$C$35)^2))/(2*Inputs!$C$36^2)))+Inputs!$C$37*(0.55*SIN(2*PI()*(Scenario_Data!U29)/Inputs!$C$39)+0.35*COS(2*PI()*(Inputs!$C$6)/Inputs!$C$40)+0.2*SIN(2*PI()*((Scenario_Data!U29)+(Inputs!$C$6))/(0.5*(Inputs!$C$39+Inputs!$C$40))))+Inputs!$C$38*SIN(2*PI()*(Scenario_Data!U29)/Inputs!$C$39)*SIN(2*PI()*(Inputs!$C$6)/Inputs!$C$40)+-Inputs!$C$41*EXP(-(((Inputs!$C$6)-Inputs!$C$43)^2)/(2*Inputs!$C$44^2))*EXP(-(((Scenario_Data!U29)-Inputs!$C$42)^2)/(2*Inputs!$C$45^2))+Inputs!$C$48*(0.7*(0.45*SIN(2*PI()*(((Scenario_Data!U29)/Inputs!$C$49)+Inputs!$C$47*0.137))+0.35*COS(2*PI()*(((Inputs!$C$6)/Inputs!$C$50)+Inputs!$C$47*0.173))+0.2*SIN(2*PI()*((((Scenario_Data!U29)+(Inputs!$C$6))/(0.5*(Inputs!$C$49+Inputs!$C$50)))+Inputs!$C$47*0.097)))+0.3*(2*((SIN(((Scenario_Data!U29)*12.9898+(Inputs!$C$6)*78.233+Inputs!$C$47*37.719))*43758.5453)-INT((SIN(((Scenario_Data!U29)*12.9898+(Inputs!$C$6)*78.233+Inputs!$C$47*37.719))*43758.5453)))-1))))/1000))*COS(SQRT((Scenario_Data!U29)^2+Inputs!$C$6^2)/Inputs!$C$52))*1000)/Inputs!$C$21*1000000</f>
        <v/>
      </c>
      <c r="AT29">
        <f>Scenario_Data!V29</f>
        <v/>
      </c>
      <c r="AU29">
        <f>2*(SQRT((Inputs!$C$52+(Scenario_Data!D29))^2+(Inputs!$C$52+((IF(OR(Inputs!$C$27=TRUE,Inputs!$C$27="TRUE",Inputs!$C$27=1),1,0)*(Inputs!$C$51*(115*EXP(-(((Inputs!$C$6)-25)^2)/(4.5^2))+70*EXP(-(((Inputs!$C$6)+38)^2)/(7^2))*(0.55+0.45*SIN(2*PI()*(Scenario_Data!V29)/45))+24*SIN(2*PI()*(Inputs!$C$6)/9+(Scenario_Data!V29)/18)*EXP(-(((Inputs!$C$6)+5)^2)/(22^2))+18*SIN(2*PI()*(Scenario_Data!V29)/70))+Inputs!$C$28*EXP(-(((Scenario_Data!V29)-Inputs!$C$29)^2)/(2*Inputs!$C$31^2))*EXP(-(((Inputs!$C$6)-Inputs!$C$30)^2)/(2*Inputs!$C$32^2))+-Inputs!$C$33*EXP(-(((((Scenario_Data!V29)-Inputs!$C$34)^2)+(((Inputs!$C$6)-Inputs!$C$35)^2))/(2*Inputs!$C$36^2)))+Inputs!$C$37*(0.55*SIN(2*PI()*(Scenario_Data!V29)/Inputs!$C$39)+0.35*COS(2*PI()*(Inputs!$C$6)/Inputs!$C$40)+0.2*SIN(2*PI()*((Scenario_Data!V29)+(Inputs!$C$6))/(0.5*(Inputs!$C$39+Inputs!$C$40))))+Inputs!$C$38*SIN(2*PI()*(Scenario_Data!V29)/Inputs!$C$39)*SIN(2*PI()*(Inputs!$C$6)/Inputs!$C$40)+-Inputs!$C$41*EXP(-(((Inputs!$C$6)-Inputs!$C$43)^2)/(2*Inputs!$C$44^2))*EXP(-(((Scenario_Data!V29)-Inputs!$C$42)^2)/(2*Inputs!$C$45^2))+Inputs!$C$48*(0.7*(0.45*SIN(2*PI()*(((Scenario_Data!V29)/Inputs!$C$49)+Inputs!$C$47*0.137))+0.35*COS(2*PI()*(((Inputs!$C$6)/Inputs!$C$50)+Inputs!$C$47*0.173))+0.2*SIN(2*PI()*((((Scenario_Data!V29)+(Inputs!$C$6))/(0.5*(Inputs!$C$49+Inputs!$C$50)))+Inputs!$C$47*0.097)))+0.3*(2*((SIN(((Scenario_Data!V29)*12.9898+(Inputs!$C$6)*78.233+Inputs!$C$47*37.719))*43758.5453)-INT((SIN(((Scenario_Data!V29)*12.9898+(Inputs!$C$6)*78.233+Inputs!$C$47*37.719))*43758.5453)))-1))))/1000))^2-2*(Inputs!$C$52+(Scenario_Data!D29))*(Inputs!$C$52+((IF(OR(Inputs!$C$27=TRUE,Inputs!$C$27="TRUE",Inputs!$C$27=1),1,0)*(Inputs!$C$51*(115*EXP(-(((Inputs!$C$6)-25)^2)/(4.5^2))+70*EXP(-(((Inputs!$C$6)+38)^2)/(7^2))*(0.55+0.45*SIN(2*PI()*(Scenario_Data!V29)/45))+24*SIN(2*PI()*(Inputs!$C$6)/9+(Scenario_Data!V29)/18)*EXP(-(((Inputs!$C$6)+5)^2)/(22^2))+18*SIN(2*PI()*(Scenario_Data!V29)/70))+Inputs!$C$28*EXP(-(((Scenario_Data!V29)-Inputs!$C$29)^2)/(2*Inputs!$C$31^2))*EXP(-(((Inputs!$C$6)-Inputs!$C$30)^2)/(2*Inputs!$C$32^2))+-Inputs!$C$33*EXP(-(((((Scenario_Data!V29)-Inputs!$C$34)^2)+(((Inputs!$C$6)-Inputs!$C$35)^2))/(2*Inputs!$C$36^2)))+Inputs!$C$37*(0.55*SIN(2*PI()*(Scenario_Data!V29)/Inputs!$C$39)+0.35*COS(2*PI()*(Inputs!$C$6)/Inputs!$C$40)+0.2*SIN(2*PI()*((Scenario_Data!V29)+(Inputs!$C$6))/(0.5*(Inputs!$C$39+Inputs!$C$40))))+Inputs!$C$38*SIN(2*PI()*(Scenario_Data!V29)/Inputs!$C$39)*SIN(2*PI()*(Inputs!$C$6)/Inputs!$C$40)+-Inputs!$C$41*EXP(-(((Inputs!$C$6)-Inputs!$C$43)^2)/(2*Inputs!$C$44^2))*EXP(-(((Scenario_Data!V29)-Inputs!$C$42)^2)/(2*Inputs!$C$45^2))+Inputs!$C$48*(0.7*(0.45*SIN(2*PI()*(((Scenario_Data!V29)/Inputs!$C$49)+Inputs!$C$47*0.137))+0.35*COS(2*PI()*(((Inputs!$C$6)/Inputs!$C$50)+Inputs!$C$47*0.173))+0.2*SIN(2*PI()*((((Scenario_Data!V29)+(Inputs!$C$6))/(0.5*(Inputs!$C$49+Inputs!$C$50)))+Inputs!$C$47*0.097)))+0.3*(2*((SIN(((Scenario_Data!V29)*12.9898+(Inputs!$C$6)*78.233+Inputs!$C$47*37.719))*43758.5453)-INT((SIN(((Scenario_Data!V29)*12.9898+(Inputs!$C$6)*78.233+Inputs!$C$47*37.719))*43758.5453)))-1))))/1000))*COS(SQRT((Scenario_Data!V29)^2+Inputs!$C$6^2)/Inputs!$C$52))*1000)/Inputs!$C$21*1000000</f>
        <v/>
      </c>
      <c r="AV29">
        <f>Scenario_Data!W29</f>
        <v/>
      </c>
      <c r="AW29">
        <f>2*(SQRT((Inputs!$C$52+(Scenario_Data!E29))^2+(Inputs!$C$52+((IF(OR(Inputs!$C$27=TRUE,Inputs!$C$27="TRUE",Inputs!$C$27=1),1,0)*(Inputs!$C$51*(115*EXP(-(((Inputs!$C$6)-25)^2)/(4.5^2))+70*EXP(-(((Inputs!$C$6)+38)^2)/(7^2))*(0.55+0.45*SIN(2*PI()*(Scenario_Data!W29)/45))+24*SIN(2*PI()*(Inputs!$C$6)/9+(Scenario_Data!W29)/18)*EXP(-(((Inputs!$C$6)+5)^2)/(22^2))+18*SIN(2*PI()*(Scenario_Data!W29)/70))+Inputs!$C$28*EXP(-(((Scenario_Data!W29)-Inputs!$C$29)^2)/(2*Inputs!$C$31^2))*EXP(-(((Inputs!$C$6)-Inputs!$C$30)^2)/(2*Inputs!$C$32^2))+-Inputs!$C$33*EXP(-(((((Scenario_Data!W29)-Inputs!$C$34)^2)+(((Inputs!$C$6)-Inputs!$C$35)^2))/(2*Inputs!$C$36^2)))+Inputs!$C$37*(0.55*SIN(2*PI()*(Scenario_Data!W29)/Inputs!$C$39)+0.35*COS(2*PI()*(Inputs!$C$6)/Inputs!$C$40)+0.2*SIN(2*PI()*((Scenario_Data!W29)+(Inputs!$C$6))/(0.5*(Inputs!$C$39+Inputs!$C$40))))+Inputs!$C$38*SIN(2*PI()*(Scenario_Data!W29)/Inputs!$C$39)*SIN(2*PI()*(Inputs!$C$6)/Inputs!$C$40)+-Inputs!$C$41*EXP(-(((Inputs!$C$6)-Inputs!$C$43)^2)/(2*Inputs!$C$44^2))*EXP(-(((Scenario_Data!W29)-Inputs!$C$42)^2)/(2*Inputs!$C$45^2))+Inputs!$C$48*(0.7*(0.45*SIN(2*PI()*(((Scenario_Data!W29)/Inputs!$C$49)+Inputs!$C$47*0.137))+0.35*COS(2*PI()*(((Inputs!$C$6)/Inputs!$C$50)+Inputs!$C$47*0.173))+0.2*SIN(2*PI()*((((Scenario_Data!W29)+(Inputs!$C$6))/(0.5*(Inputs!$C$49+Inputs!$C$50)))+Inputs!$C$47*0.097)))+0.3*(2*((SIN(((Scenario_Data!W29)*12.9898+(Inputs!$C$6)*78.233+Inputs!$C$47*37.719))*43758.5453)-INT((SIN(((Scenario_Data!W29)*12.9898+(Inputs!$C$6)*78.233+Inputs!$C$47*37.719))*43758.5453)))-1))))/1000))^2-2*(Inputs!$C$52+(Scenario_Data!E29))*(Inputs!$C$52+((IF(OR(Inputs!$C$27=TRUE,Inputs!$C$27="TRUE",Inputs!$C$27=1),1,0)*(Inputs!$C$51*(115*EXP(-(((Inputs!$C$6)-25)^2)/(4.5^2))+70*EXP(-(((Inputs!$C$6)+38)^2)/(7^2))*(0.55+0.45*SIN(2*PI()*(Scenario_Data!W29)/45))+24*SIN(2*PI()*(Inputs!$C$6)/9+(Scenario_Data!W29)/18)*EXP(-(((Inputs!$C$6)+5)^2)/(22^2))+18*SIN(2*PI()*(Scenario_Data!W29)/70))+Inputs!$C$28*EXP(-(((Scenario_Data!W29)-Inputs!$C$29)^2)/(2*Inputs!$C$31^2))*EXP(-(((Inputs!$C$6)-Inputs!$C$30)^2)/(2*Inputs!$C$32^2))+-Inputs!$C$33*EXP(-(((((Scenario_Data!W29)-Inputs!$C$34)^2)+(((Inputs!$C$6)-Inputs!$C$35)^2))/(2*Inputs!$C$36^2)))+Inputs!$C$37*(0.55*SIN(2*PI()*(Scenario_Data!W29)/Inputs!$C$39)+0.35*COS(2*PI()*(Inputs!$C$6)/Inputs!$C$40)+0.2*SIN(2*PI()*((Scenario_Data!W29)+(Inputs!$C$6))/(0.5*(Inputs!$C$39+Inputs!$C$40))))+Inputs!$C$38*SIN(2*PI()*(Scenario_Data!W29)/Inputs!$C$39)*SIN(2*PI()*(Inputs!$C$6)/Inputs!$C$40)+-Inputs!$C$41*EXP(-(((Inputs!$C$6)-Inputs!$C$43)^2)/(2*Inputs!$C$44^2))*EXP(-(((Scenario_Data!W29)-Inputs!$C$42)^2)/(2*Inputs!$C$45^2))+Inputs!$C$48*(0.7*(0.45*SIN(2*PI()*(((Scenario_Data!W29)/Inputs!$C$49)+Inputs!$C$47*0.137))+0.35*COS(2*PI()*(((Inputs!$C$6)/Inputs!$C$50)+Inputs!$C$47*0.173))+0.2*SIN(2*PI()*((((Scenario_Data!W29)+(Inputs!$C$6))/(0.5*(Inputs!$C$49+Inputs!$C$50)))+Inputs!$C$47*0.097)))+0.3*(2*((SIN(((Scenario_Data!W29)*12.9898+(Inputs!$C$6)*78.233+Inputs!$C$47*37.719))*43758.5453)-INT((SIN(((Scenario_Data!W29)*12.9898+(Inputs!$C$6)*78.233+Inputs!$C$47*37.719))*43758.5453)))-1))))/1000))*COS(SQRT((Scenario_Data!W29)^2+Inputs!$C$6^2)/Inputs!$C$52))*1000)/Inputs!$C$21*1000000</f>
        <v/>
      </c>
    </row>
    <row r="30">
      <c r="A30">
        <f>Chart_Data!K30</f>
        <v/>
      </c>
      <c r="B30">
        <f>Chart_Data!N30-Chart_Data!L30</f>
        <v/>
      </c>
      <c r="D30">
        <f>Chart_Data!G30</f>
        <v/>
      </c>
      <c r="E30">
        <f>Chart_Data!H30</f>
        <v/>
      </c>
      <c r="F30">
        <f>Chart_Data!I30</f>
        <v/>
      </c>
      <c r="G30">
        <f>Chart_Data!J30</f>
        <v/>
      </c>
      <c r="I30">
        <f>Scenario_Data!A30</f>
        <v/>
      </c>
      <c r="J30">
        <f>Scenario_Data!H30-(((SQRT((Inputs!$C$52+(Inputs!$H$6))^2+Inputs!$C$52^2-2*(Inputs!$C$52+(Inputs!$H$6))*Inputs!$C$52*COS(SQRT((Scenario_Data!T30)^2+Inputs!$C$6^2)/Inputs!$C$52)))-(Inputs!$H$6))*1000/Inputs!$C$12)</f>
        <v/>
      </c>
      <c r="K30">
        <f>Scenario_Data!I30-(((SQRT((Inputs!$C$52+(Inputs!$H$7))^2+Inputs!$C$52^2-2*(Inputs!$C$52+(Inputs!$H$7))*Inputs!$C$52*COS(SQRT((Scenario_Data!U30)^2+Inputs!$C$6^2)/Inputs!$C$52)))-(Inputs!$H$7))*1000/Inputs!$C$12)</f>
        <v/>
      </c>
      <c r="L30">
        <f>Scenario_Data!J30-(((SQRT((Inputs!$C$52+(Inputs!$H$8))^2+Inputs!$C$52^2-2*(Inputs!$C$52+(Inputs!$H$8))*Inputs!$C$52*COS(SQRT((Scenario_Data!V30)^2+Inputs!$C$6^2)/Inputs!$C$52)))-(Inputs!$H$8))*1000/Inputs!$C$12)</f>
        <v/>
      </c>
      <c r="M30">
        <f>Scenario_Data!K30-(((SQRT((Inputs!$C$52+(Inputs!$H$9))^2+Inputs!$C$52^2-2*(Inputs!$C$52+(Inputs!$H$9))*Inputs!$C$52*COS(SQRT((Scenario_Data!W30)^2+Inputs!$C$6^2)/Inputs!$C$52)))-(Inputs!$H$9))*1000/Inputs!$C$12)</f>
        <v/>
      </c>
      <c r="O30">
        <f>Scenario_Data!T30</f>
        <v/>
      </c>
      <c r="P30">
        <f>2*(Scenario_Data!B30*1000)/Inputs!$C$21*1000000</f>
        <v/>
      </c>
      <c r="Q30">
        <f>Scenario_Data!U30</f>
        <v/>
      </c>
      <c r="R30">
        <f>2*(Scenario_Data!C30*1000)/Inputs!$C$21*1000000</f>
        <v/>
      </c>
      <c r="S30">
        <f>Scenario_Data!V30</f>
        <v/>
      </c>
      <c r="T30">
        <f>2*(Scenario_Data!D30*1000)/Inputs!$C$21*1000000</f>
        <v/>
      </c>
      <c r="U30">
        <f>Scenario_Data!W30</f>
        <v/>
      </c>
      <c r="V30">
        <f>2*(Scenario_Data!E30*1000)/Inputs!$C$21*1000000</f>
        <v/>
      </c>
      <c r="X30">
        <f>Scenario_Data!T30</f>
        <v/>
      </c>
      <c r="Y30">
        <f>2*((Scenario_Data!B30*1000)-(IF(OR(Inputs!$C$27=TRUE,Inputs!$C$27="TRUE",Inputs!$C$27=1),1,0)*(Inputs!$C$51*(115*EXP(-(((0)-25)^2)/(4.5^2))+70*EXP(-(((0)+38)^2)/(7^2))*(0.55+0.45*SIN(2*PI()*(Scenario_Data!T30)/45))+24*SIN(2*PI()*(0)/9+(Scenario_Data!T30)/18)*EXP(-(((0)+5)^2)/(22^2))+18*SIN(2*PI()*(Scenario_Data!T30)/70))+Inputs!$C$28*EXP(-(((Scenario_Data!T30)-Inputs!$C$29)^2)/(2*Inputs!$C$31^2))*EXP(-(((0)-Inputs!$C$30)^2)/(2*Inputs!$C$32^2))+-Inputs!$C$33*EXP(-(((((Scenario_Data!T30)-Inputs!$C$34)^2)+(((0)-Inputs!$C$35)^2))/(2*Inputs!$C$36^2)))+Inputs!$C$37*(0.55*SIN(2*PI()*(Scenario_Data!T30)/Inputs!$C$39)+0.35*COS(2*PI()*(0)/Inputs!$C$40)+0.2*SIN(2*PI()*((Scenario_Data!T30)+(0))/(0.5*(Inputs!$C$39+Inputs!$C$40))))+Inputs!$C$38*SIN(2*PI()*(Scenario_Data!T30)/Inputs!$C$39)*SIN(2*PI()*(0)/Inputs!$C$40)+-Inputs!$C$41*EXP(-(((0)-Inputs!$C$43)^2)/(2*Inputs!$C$44^2))*EXP(-(((Scenario_Data!T30)-Inputs!$C$42)^2)/(2*Inputs!$C$45^2))+Inputs!$C$48*(0.7*(0.45*SIN(2*PI()*(((Scenario_Data!T30)/Inputs!$C$49)+Inputs!$C$47*0.137))+0.35*COS(2*PI()*(((0)/Inputs!$C$50)+Inputs!$C$47*0.173))+0.2*SIN(2*PI()*((((Scenario_Data!T30)+(0))/(0.5*(Inputs!$C$49+Inputs!$C$50)))+Inputs!$C$47*0.097)))+0.3*(2*((SIN(((Scenario_Data!T30)*12.9898+(0)*78.233+Inputs!$C$47*37.719))*43758.5453)-INT((SIN(((Scenario_Data!T30)*12.9898+(0)*78.233+Inputs!$C$47*37.719))*43758.5453)))-1)))))/Inputs!$C$21*1000000</f>
        <v/>
      </c>
      <c r="Z30">
        <f>Scenario_Data!U30</f>
        <v/>
      </c>
      <c r="AA30">
        <f>2*((Scenario_Data!C30*1000)-(IF(OR(Inputs!$C$27=TRUE,Inputs!$C$27="TRUE",Inputs!$C$27=1),1,0)*(Inputs!$C$51*(115*EXP(-(((0)-25)^2)/(4.5^2))+70*EXP(-(((0)+38)^2)/(7^2))*(0.55+0.45*SIN(2*PI()*(Scenario_Data!U30)/45))+24*SIN(2*PI()*(0)/9+(Scenario_Data!U30)/18)*EXP(-(((0)+5)^2)/(22^2))+18*SIN(2*PI()*(Scenario_Data!U30)/70))+Inputs!$C$28*EXP(-(((Scenario_Data!U30)-Inputs!$C$29)^2)/(2*Inputs!$C$31^2))*EXP(-(((0)-Inputs!$C$30)^2)/(2*Inputs!$C$32^2))+-Inputs!$C$33*EXP(-(((((Scenario_Data!U30)-Inputs!$C$34)^2)+(((0)-Inputs!$C$35)^2))/(2*Inputs!$C$36^2)))+Inputs!$C$37*(0.55*SIN(2*PI()*(Scenario_Data!U30)/Inputs!$C$39)+0.35*COS(2*PI()*(0)/Inputs!$C$40)+0.2*SIN(2*PI()*((Scenario_Data!U30)+(0))/(0.5*(Inputs!$C$39+Inputs!$C$40))))+Inputs!$C$38*SIN(2*PI()*(Scenario_Data!U30)/Inputs!$C$39)*SIN(2*PI()*(0)/Inputs!$C$40)+-Inputs!$C$41*EXP(-(((0)-Inputs!$C$43)^2)/(2*Inputs!$C$44^2))*EXP(-(((Scenario_Data!U30)-Inputs!$C$42)^2)/(2*Inputs!$C$45^2))+Inputs!$C$48*(0.7*(0.45*SIN(2*PI()*(((Scenario_Data!U30)/Inputs!$C$49)+Inputs!$C$47*0.137))+0.35*COS(2*PI()*(((0)/Inputs!$C$50)+Inputs!$C$47*0.173))+0.2*SIN(2*PI()*((((Scenario_Data!U30)+(0))/(0.5*(Inputs!$C$49+Inputs!$C$50)))+Inputs!$C$47*0.097)))+0.3*(2*((SIN(((Scenario_Data!U30)*12.9898+(0)*78.233+Inputs!$C$47*37.719))*43758.5453)-INT((SIN(((Scenario_Data!U30)*12.9898+(0)*78.233+Inputs!$C$47*37.719))*43758.5453)))-1)))))/Inputs!$C$21*1000000</f>
        <v/>
      </c>
      <c r="AB30">
        <f>Scenario_Data!V30</f>
        <v/>
      </c>
      <c r="AC30">
        <f>2*((Scenario_Data!D30*1000)-(IF(OR(Inputs!$C$27=TRUE,Inputs!$C$27="TRUE",Inputs!$C$27=1),1,0)*(Inputs!$C$51*(115*EXP(-(((0)-25)^2)/(4.5^2))+70*EXP(-(((0)+38)^2)/(7^2))*(0.55+0.45*SIN(2*PI()*(Scenario_Data!V30)/45))+24*SIN(2*PI()*(0)/9+(Scenario_Data!V30)/18)*EXP(-(((0)+5)^2)/(22^2))+18*SIN(2*PI()*(Scenario_Data!V30)/70))+Inputs!$C$28*EXP(-(((Scenario_Data!V30)-Inputs!$C$29)^2)/(2*Inputs!$C$31^2))*EXP(-(((0)-Inputs!$C$30)^2)/(2*Inputs!$C$32^2))+-Inputs!$C$33*EXP(-(((((Scenario_Data!V30)-Inputs!$C$34)^2)+(((0)-Inputs!$C$35)^2))/(2*Inputs!$C$36^2)))+Inputs!$C$37*(0.55*SIN(2*PI()*(Scenario_Data!V30)/Inputs!$C$39)+0.35*COS(2*PI()*(0)/Inputs!$C$40)+0.2*SIN(2*PI()*((Scenario_Data!V30)+(0))/(0.5*(Inputs!$C$39+Inputs!$C$40))))+Inputs!$C$38*SIN(2*PI()*(Scenario_Data!V30)/Inputs!$C$39)*SIN(2*PI()*(0)/Inputs!$C$40)+-Inputs!$C$41*EXP(-(((0)-Inputs!$C$43)^2)/(2*Inputs!$C$44^2))*EXP(-(((Scenario_Data!V30)-Inputs!$C$42)^2)/(2*Inputs!$C$45^2))+Inputs!$C$48*(0.7*(0.45*SIN(2*PI()*(((Scenario_Data!V30)/Inputs!$C$49)+Inputs!$C$47*0.137))+0.35*COS(2*PI()*(((0)/Inputs!$C$50)+Inputs!$C$47*0.173))+0.2*SIN(2*PI()*((((Scenario_Data!V30)+(0))/(0.5*(Inputs!$C$49+Inputs!$C$50)))+Inputs!$C$47*0.097)))+0.3*(2*((SIN(((Scenario_Data!V30)*12.9898+(0)*78.233+Inputs!$C$47*37.719))*43758.5453)-INT((SIN(((Scenario_Data!V30)*12.9898+(0)*78.233+Inputs!$C$47*37.719))*43758.5453)))-1)))))/Inputs!$C$21*1000000</f>
        <v/>
      </c>
      <c r="AD30">
        <f>Scenario_Data!W30</f>
        <v/>
      </c>
      <c r="AE30">
        <f>2*((Scenario_Data!E30*1000)-(IF(OR(Inputs!$C$27=TRUE,Inputs!$C$27="TRUE",Inputs!$C$27=1),1,0)*(Inputs!$C$51*(115*EXP(-(((0)-25)^2)/(4.5^2))+70*EXP(-(((0)+38)^2)/(7^2))*(0.55+0.45*SIN(2*PI()*(Scenario_Data!W30)/45))+24*SIN(2*PI()*(0)/9+(Scenario_Data!W30)/18)*EXP(-(((0)+5)^2)/(22^2))+18*SIN(2*PI()*(Scenario_Data!W30)/70))+Inputs!$C$28*EXP(-(((Scenario_Data!W30)-Inputs!$C$29)^2)/(2*Inputs!$C$31^2))*EXP(-(((0)-Inputs!$C$30)^2)/(2*Inputs!$C$32^2))+-Inputs!$C$33*EXP(-(((((Scenario_Data!W30)-Inputs!$C$34)^2)+(((0)-Inputs!$C$35)^2))/(2*Inputs!$C$36^2)))+Inputs!$C$37*(0.55*SIN(2*PI()*(Scenario_Data!W30)/Inputs!$C$39)+0.35*COS(2*PI()*(0)/Inputs!$C$40)+0.2*SIN(2*PI()*((Scenario_Data!W30)+(0))/(0.5*(Inputs!$C$39+Inputs!$C$40))))+Inputs!$C$38*SIN(2*PI()*(Scenario_Data!W30)/Inputs!$C$39)*SIN(2*PI()*(0)/Inputs!$C$40)+-Inputs!$C$41*EXP(-(((0)-Inputs!$C$43)^2)/(2*Inputs!$C$44^2))*EXP(-(((Scenario_Data!W30)-Inputs!$C$42)^2)/(2*Inputs!$C$45^2))+Inputs!$C$48*(0.7*(0.45*SIN(2*PI()*(((Scenario_Data!W30)/Inputs!$C$49)+Inputs!$C$47*0.137))+0.35*COS(2*PI()*(((0)/Inputs!$C$50)+Inputs!$C$47*0.173))+0.2*SIN(2*PI()*((((Scenario_Data!W30)+(0))/(0.5*(Inputs!$C$49+Inputs!$C$50)))+Inputs!$C$47*0.097)))+0.3*(2*((SIN(((Scenario_Data!W30)*12.9898+(0)*78.233+Inputs!$C$47*37.719))*43758.5453)-INT((SIN(((Scenario_Data!W30)*12.9898+(0)*78.233+Inputs!$C$47*37.719))*43758.5453)))-1)))))/Inputs!$C$21*1000000</f>
        <v/>
      </c>
      <c r="AG30">
        <f>Scenario_Data!T30</f>
        <v/>
      </c>
      <c r="AH30">
        <f>2*(SQRT((Inputs!$C$52+(Scenario_Data!B30))^2+Inputs!$C$52^2-2*(Inputs!$C$52+(Scenario_Data!B30))*Inputs!$C$52*COS(SQRT((Scenario_Data!T30)^2+Inputs!$C$6^2)/Inputs!$C$52))*1000)/Inputs!$C$21*1000000</f>
        <v/>
      </c>
      <c r="AI30">
        <f>Scenario_Data!U30</f>
        <v/>
      </c>
      <c r="AJ30">
        <f>2*(SQRT((Inputs!$C$52+(Scenario_Data!C30))^2+Inputs!$C$52^2-2*(Inputs!$C$52+(Scenario_Data!C30))*Inputs!$C$52*COS(SQRT((Scenario_Data!U30)^2+Inputs!$C$6^2)/Inputs!$C$52))*1000)/Inputs!$C$21*1000000</f>
        <v/>
      </c>
      <c r="AK30">
        <f>Scenario_Data!V30</f>
        <v/>
      </c>
      <c r="AL30">
        <f>2*(SQRT((Inputs!$C$52+(Scenario_Data!D30))^2+Inputs!$C$52^2-2*(Inputs!$C$52+(Scenario_Data!D30))*Inputs!$C$52*COS(SQRT((Scenario_Data!V30)^2+Inputs!$C$6^2)/Inputs!$C$52))*1000)/Inputs!$C$21*1000000</f>
        <v/>
      </c>
      <c r="AM30">
        <f>Scenario_Data!W30</f>
        <v/>
      </c>
      <c r="AN30">
        <f>2*(SQRT((Inputs!$C$52+(Scenario_Data!E30))^2+Inputs!$C$52^2-2*(Inputs!$C$52+(Scenario_Data!E30))*Inputs!$C$52*COS(SQRT((Scenario_Data!W30)^2+Inputs!$C$6^2)/Inputs!$C$52))*1000)/Inputs!$C$21*1000000</f>
        <v/>
      </c>
      <c r="AP30">
        <f>Scenario_Data!T30</f>
        <v/>
      </c>
      <c r="AQ30">
        <f>2*(SQRT((Inputs!$C$52+(Scenario_Data!B30))^2+(Inputs!$C$52+((IF(OR(Inputs!$C$27=TRUE,Inputs!$C$27="TRUE",Inputs!$C$27=1),1,0)*(Inputs!$C$51*(115*EXP(-(((Inputs!$C$6)-25)^2)/(4.5^2))+70*EXP(-(((Inputs!$C$6)+38)^2)/(7^2))*(0.55+0.45*SIN(2*PI()*(Scenario_Data!T30)/45))+24*SIN(2*PI()*(Inputs!$C$6)/9+(Scenario_Data!T30)/18)*EXP(-(((Inputs!$C$6)+5)^2)/(22^2))+18*SIN(2*PI()*(Scenario_Data!T30)/70))+Inputs!$C$28*EXP(-(((Scenario_Data!T30)-Inputs!$C$29)^2)/(2*Inputs!$C$31^2))*EXP(-(((Inputs!$C$6)-Inputs!$C$30)^2)/(2*Inputs!$C$32^2))+-Inputs!$C$33*EXP(-(((((Scenario_Data!T30)-Inputs!$C$34)^2)+(((Inputs!$C$6)-Inputs!$C$35)^2))/(2*Inputs!$C$36^2)))+Inputs!$C$37*(0.55*SIN(2*PI()*(Scenario_Data!T30)/Inputs!$C$39)+0.35*COS(2*PI()*(Inputs!$C$6)/Inputs!$C$40)+0.2*SIN(2*PI()*((Scenario_Data!T30)+(Inputs!$C$6))/(0.5*(Inputs!$C$39+Inputs!$C$40))))+Inputs!$C$38*SIN(2*PI()*(Scenario_Data!T30)/Inputs!$C$39)*SIN(2*PI()*(Inputs!$C$6)/Inputs!$C$40)+-Inputs!$C$41*EXP(-(((Inputs!$C$6)-Inputs!$C$43)^2)/(2*Inputs!$C$44^2))*EXP(-(((Scenario_Data!T30)-Inputs!$C$42)^2)/(2*Inputs!$C$45^2))+Inputs!$C$48*(0.7*(0.45*SIN(2*PI()*(((Scenario_Data!T30)/Inputs!$C$49)+Inputs!$C$47*0.137))+0.35*COS(2*PI()*(((Inputs!$C$6)/Inputs!$C$50)+Inputs!$C$47*0.173))+0.2*SIN(2*PI()*((((Scenario_Data!T30)+(Inputs!$C$6))/(0.5*(Inputs!$C$49+Inputs!$C$50)))+Inputs!$C$47*0.097)))+0.3*(2*((SIN(((Scenario_Data!T30)*12.9898+(Inputs!$C$6)*78.233+Inputs!$C$47*37.719))*43758.5453)-INT((SIN(((Scenario_Data!T30)*12.9898+(Inputs!$C$6)*78.233+Inputs!$C$47*37.719))*43758.5453)))-1))))/1000))^2-2*(Inputs!$C$52+(Scenario_Data!B30))*(Inputs!$C$52+((IF(OR(Inputs!$C$27=TRUE,Inputs!$C$27="TRUE",Inputs!$C$27=1),1,0)*(Inputs!$C$51*(115*EXP(-(((Inputs!$C$6)-25)^2)/(4.5^2))+70*EXP(-(((Inputs!$C$6)+38)^2)/(7^2))*(0.55+0.45*SIN(2*PI()*(Scenario_Data!T30)/45))+24*SIN(2*PI()*(Inputs!$C$6)/9+(Scenario_Data!T30)/18)*EXP(-(((Inputs!$C$6)+5)^2)/(22^2))+18*SIN(2*PI()*(Scenario_Data!T30)/70))+Inputs!$C$28*EXP(-(((Scenario_Data!T30)-Inputs!$C$29)^2)/(2*Inputs!$C$31^2))*EXP(-(((Inputs!$C$6)-Inputs!$C$30)^2)/(2*Inputs!$C$32^2))+-Inputs!$C$33*EXP(-(((((Scenario_Data!T30)-Inputs!$C$34)^2)+(((Inputs!$C$6)-Inputs!$C$35)^2))/(2*Inputs!$C$36^2)))+Inputs!$C$37*(0.55*SIN(2*PI()*(Scenario_Data!T30)/Inputs!$C$39)+0.35*COS(2*PI()*(Inputs!$C$6)/Inputs!$C$40)+0.2*SIN(2*PI()*((Scenario_Data!T30)+(Inputs!$C$6))/(0.5*(Inputs!$C$39+Inputs!$C$40))))+Inputs!$C$38*SIN(2*PI()*(Scenario_Data!T30)/Inputs!$C$39)*SIN(2*PI()*(Inputs!$C$6)/Inputs!$C$40)+-Inputs!$C$41*EXP(-(((Inputs!$C$6)-Inputs!$C$43)^2)/(2*Inputs!$C$44^2))*EXP(-(((Scenario_Data!T30)-Inputs!$C$42)^2)/(2*Inputs!$C$45^2))+Inputs!$C$48*(0.7*(0.45*SIN(2*PI()*(((Scenario_Data!T30)/Inputs!$C$49)+Inputs!$C$47*0.137))+0.35*COS(2*PI()*(((Inputs!$C$6)/Inputs!$C$50)+Inputs!$C$47*0.173))+0.2*SIN(2*PI()*((((Scenario_Data!T30)+(Inputs!$C$6))/(0.5*(Inputs!$C$49+Inputs!$C$50)))+Inputs!$C$47*0.097)))+0.3*(2*((SIN(((Scenario_Data!T30)*12.9898+(Inputs!$C$6)*78.233+Inputs!$C$47*37.719))*43758.5453)-INT((SIN(((Scenario_Data!T30)*12.9898+(Inputs!$C$6)*78.233+Inputs!$C$47*37.719))*43758.5453)))-1))))/1000))*COS(SQRT((Scenario_Data!T30)^2+Inputs!$C$6^2)/Inputs!$C$52))*1000)/Inputs!$C$21*1000000</f>
        <v/>
      </c>
      <c r="AR30">
        <f>Scenario_Data!U30</f>
        <v/>
      </c>
      <c r="AS30">
        <f>2*(SQRT((Inputs!$C$52+(Scenario_Data!C30))^2+(Inputs!$C$52+((IF(OR(Inputs!$C$27=TRUE,Inputs!$C$27="TRUE",Inputs!$C$27=1),1,0)*(Inputs!$C$51*(115*EXP(-(((Inputs!$C$6)-25)^2)/(4.5^2))+70*EXP(-(((Inputs!$C$6)+38)^2)/(7^2))*(0.55+0.45*SIN(2*PI()*(Scenario_Data!U30)/45))+24*SIN(2*PI()*(Inputs!$C$6)/9+(Scenario_Data!U30)/18)*EXP(-(((Inputs!$C$6)+5)^2)/(22^2))+18*SIN(2*PI()*(Scenario_Data!U30)/70))+Inputs!$C$28*EXP(-(((Scenario_Data!U30)-Inputs!$C$29)^2)/(2*Inputs!$C$31^2))*EXP(-(((Inputs!$C$6)-Inputs!$C$30)^2)/(2*Inputs!$C$32^2))+-Inputs!$C$33*EXP(-(((((Scenario_Data!U30)-Inputs!$C$34)^2)+(((Inputs!$C$6)-Inputs!$C$35)^2))/(2*Inputs!$C$36^2)))+Inputs!$C$37*(0.55*SIN(2*PI()*(Scenario_Data!U30)/Inputs!$C$39)+0.35*COS(2*PI()*(Inputs!$C$6)/Inputs!$C$40)+0.2*SIN(2*PI()*((Scenario_Data!U30)+(Inputs!$C$6))/(0.5*(Inputs!$C$39+Inputs!$C$40))))+Inputs!$C$38*SIN(2*PI()*(Scenario_Data!U30)/Inputs!$C$39)*SIN(2*PI()*(Inputs!$C$6)/Inputs!$C$40)+-Inputs!$C$41*EXP(-(((Inputs!$C$6)-Inputs!$C$43)^2)/(2*Inputs!$C$44^2))*EXP(-(((Scenario_Data!U30)-Inputs!$C$42)^2)/(2*Inputs!$C$45^2))+Inputs!$C$48*(0.7*(0.45*SIN(2*PI()*(((Scenario_Data!U30)/Inputs!$C$49)+Inputs!$C$47*0.137))+0.35*COS(2*PI()*(((Inputs!$C$6)/Inputs!$C$50)+Inputs!$C$47*0.173))+0.2*SIN(2*PI()*((((Scenario_Data!U30)+(Inputs!$C$6))/(0.5*(Inputs!$C$49+Inputs!$C$50)))+Inputs!$C$47*0.097)))+0.3*(2*((SIN(((Scenario_Data!U30)*12.9898+(Inputs!$C$6)*78.233+Inputs!$C$47*37.719))*43758.5453)-INT((SIN(((Scenario_Data!U30)*12.9898+(Inputs!$C$6)*78.233+Inputs!$C$47*37.719))*43758.5453)))-1))))/1000))^2-2*(Inputs!$C$52+(Scenario_Data!C30))*(Inputs!$C$52+((IF(OR(Inputs!$C$27=TRUE,Inputs!$C$27="TRUE",Inputs!$C$27=1),1,0)*(Inputs!$C$51*(115*EXP(-(((Inputs!$C$6)-25)^2)/(4.5^2))+70*EXP(-(((Inputs!$C$6)+38)^2)/(7^2))*(0.55+0.45*SIN(2*PI()*(Scenario_Data!U30)/45))+24*SIN(2*PI()*(Inputs!$C$6)/9+(Scenario_Data!U30)/18)*EXP(-(((Inputs!$C$6)+5)^2)/(22^2))+18*SIN(2*PI()*(Scenario_Data!U30)/70))+Inputs!$C$28*EXP(-(((Scenario_Data!U30)-Inputs!$C$29)^2)/(2*Inputs!$C$31^2))*EXP(-(((Inputs!$C$6)-Inputs!$C$30)^2)/(2*Inputs!$C$32^2))+-Inputs!$C$33*EXP(-(((((Scenario_Data!U30)-Inputs!$C$34)^2)+(((Inputs!$C$6)-Inputs!$C$35)^2))/(2*Inputs!$C$36^2)))+Inputs!$C$37*(0.55*SIN(2*PI()*(Scenario_Data!U30)/Inputs!$C$39)+0.35*COS(2*PI()*(Inputs!$C$6)/Inputs!$C$40)+0.2*SIN(2*PI()*((Scenario_Data!U30)+(Inputs!$C$6))/(0.5*(Inputs!$C$39+Inputs!$C$40))))+Inputs!$C$38*SIN(2*PI()*(Scenario_Data!U30)/Inputs!$C$39)*SIN(2*PI()*(Inputs!$C$6)/Inputs!$C$40)+-Inputs!$C$41*EXP(-(((Inputs!$C$6)-Inputs!$C$43)^2)/(2*Inputs!$C$44^2))*EXP(-(((Scenario_Data!U30)-Inputs!$C$42)^2)/(2*Inputs!$C$45^2))+Inputs!$C$48*(0.7*(0.45*SIN(2*PI()*(((Scenario_Data!U30)/Inputs!$C$49)+Inputs!$C$47*0.137))+0.35*COS(2*PI()*(((Inputs!$C$6)/Inputs!$C$50)+Inputs!$C$47*0.173))+0.2*SIN(2*PI()*((((Scenario_Data!U30)+(Inputs!$C$6))/(0.5*(Inputs!$C$49+Inputs!$C$50)))+Inputs!$C$47*0.097)))+0.3*(2*((SIN(((Scenario_Data!U30)*12.9898+(Inputs!$C$6)*78.233+Inputs!$C$47*37.719))*43758.5453)-INT((SIN(((Scenario_Data!U30)*12.9898+(Inputs!$C$6)*78.233+Inputs!$C$47*37.719))*43758.5453)))-1))))/1000))*COS(SQRT((Scenario_Data!U30)^2+Inputs!$C$6^2)/Inputs!$C$52))*1000)/Inputs!$C$21*1000000</f>
        <v/>
      </c>
      <c r="AT30">
        <f>Scenario_Data!V30</f>
        <v/>
      </c>
      <c r="AU30">
        <f>2*(SQRT((Inputs!$C$52+(Scenario_Data!D30))^2+(Inputs!$C$52+((IF(OR(Inputs!$C$27=TRUE,Inputs!$C$27="TRUE",Inputs!$C$27=1),1,0)*(Inputs!$C$51*(115*EXP(-(((Inputs!$C$6)-25)^2)/(4.5^2))+70*EXP(-(((Inputs!$C$6)+38)^2)/(7^2))*(0.55+0.45*SIN(2*PI()*(Scenario_Data!V30)/45))+24*SIN(2*PI()*(Inputs!$C$6)/9+(Scenario_Data!V30)/18)*EXP(-(((Inputs!$C$6)+5)^2)/(22^2))+18*SIN(2*PI()*(Scenario_Data!V30)/70))+Inputs!$C$28*EXP(-(((Scenario_Data!V30)-Inputs!$C$29)^2)/(2*Inputs!$C$31^2))*EXP(-(((Inputs!$C$6)-Inputs!$C$30)^2)/(2*Inputs!$C$32^2))+-Inputs!$C$33*EXP(-(((((Scenario_Data!V30)-Inputs!$C$34)^2)+(((Inputs!$C$6)-Inputs!$C$35)^2))/(2*Inputs!$C$36^2)))+Inputs!$C$37*(0.55*SIN(2*PI()*(Scenario_Data!V30)/Inputs!$C$39)+0.35*COS(2*PI()*(Inputs!$C$6)/Inputs!$C$40)+0.2*SIN(2*PI()*((Scenario_Data!V30)+(Inputs!$C$6))/(0.5*(Inputs!$C$39+Inputs!$C$40))))+Inputs!$C$38*SIN(2*PI()*(Scenario_Data!V30)/Inputs!$C$39)*SIN(2*PI()*(Inputs!$C$6)/Inputs!$C$40)+-Inputs!$C$41*EXP(-(((Inputs!$C$6)-Inputs!$C$43)^2)/(2*Inputs!$C$44^2))*EXP(-(((Scenario_Data!V30)-Inputs!$C$42)^2)/(2*Inputs!$C$45^2))+Inputs!$C$48*(0.7*(0.45*SIN(2*PI()*(((Scenario_Data!V30)/Inputs!$C$49)+Inputs!$C$47*0.137))+0.35*COS(2*PI()*(((Inputs!$C$6)/Inputs!$C$50)+Inputs!$C$47*0.173))+0.2*SIN(2*PI()*((((Scenario_Data!V30)+(Inputs!$C$6))/(0.5*(Inputs!$C$49+Inputs!$C$50)))+Inputs!$C$47*0.097)))+0.3*(2*((SIN(((Scenario_Data!V30)*12.9898+(Inputs!$C$6)*78.233+Inputs!$C$47*37.719))*43758.5453)-INT((SIN(((Scenario_Data!V30)*12.9898+(Inputs!$C$6)*78.233+Inputs!$C$47*37.719))*43758.5453)))-1))))/1000))^2-2*(Inputs!$C$52+(Scenario_Data!D30))*(Inputs!$C$52+((IF(OR(Inputs!$C$27=TRUE,Inputs!$C$27="TRUE",Inputs!$C$27=1),1,0)*(Inputs!$C$51*(115*EXP(-(((Inputs!$C$6)-25)^2)/(4.5^2))+70*EXP(-(((Inputs!$C$6)+38)^2)/(7^2))*(0.55+0.45*SIN(2*PI()*(Scenario_Data!V30)/45))+24*SIN(2*PI()*(Inputs!$C$6)/9+(Scenario_Data!V30)/18)*EXP(-(((Inputs!$C$6)+5)^2)/(22^2))+18*SIN(2*PI()*(Scenario_Data!V30)/70))+Inputs!$C$28*EXP(-(((Scenario_Data!V30)-Inputs!$C$29)^2)/(2*Inputs!$C$31^2))*EXP(-(((Inputs!$C$6)-Inputs!$C$30)^2)/(2*Inputs!$C$32^2))+-Inputs!$C$33*EXP(-(((((Scenario_Data!V30)-Inputs!$C$34)^2)+(((Inputs!$C$6)-Inputs!$C$35)^2))/(2*Inputs!$C$36^2)))+Inputs!$C$37*(0.55*SIN(2*PI()*(Scenario_Data!V30)/Inputs!$C$39)+0.35*COS(2*PI()*(Inputs!$C$6)/Inputs!$C$40)+0.2*SIN(2*PI()*((Scenario_Data!V30)+(Inputs!$C$6))/(0.5*(Inputs!$C$39+Inputs!$C$40))))+Inputs!$C$38*SIN(2*PI()*(Scenario_Data!V30)/Inputs!$C$39)*SIN(2*PI()*(Inputs!$C$6)/Inputs!$C$40)+-Inputs!$C$41*EXP(-(((Inputs!$C$6)-Inputs!$C$43)^2)/(2*Inputs!$C$44^2))*EXP(-(((Scenario_Data!V30)-Inputs!$C$42)^2)/(2*Inputs!$C$45^2))+Inputs!$C$48*(0.7*(0.45*SIN(2*PI()*(((Scenario_Data!V30)/Inputs!$C$49)+Inputs!$C$47*0.137))+0.35*COS(2*PI()*(((Inputs!$C$6)/Inputs!$C$50)+Inputs!$C$47*0.173))+0.2*SIN(2*PI()*((((Scenario_Data!V30)+(Inputs!$C$6))/(0.5*(Inputs!$C$49+Inputs!$C$50)))+Inputs!$C$47*0.097)))+0.3*(2*((SIN(((Scenario_Data!V30)*12.9898+(Inputs!$C$6)*78.233+Inputs!$C$47*37.719))*43758.5453)-INT((SIN(((Scenario_Data!V30)*12.9898+(Inputs!$C$6)*78.233+Inputs!$C$47*37.719))*43758.5453)))-1))))/1000))*COS(SQRT((Scenario_Data!V30)^2+Inputs!$C$6^2)/Inputs!$C$52))*1000)/Inputs!$C$21*1000000</f>
        <v/>
      </c>
      <c r="AV30">
        <f>Scenario_Data!W30</f>
        <v/>
      </c>
      <c r="AW30">
        <f>2*(SQRT((Inputs!$C$52+(Scenario_Data!E30))^2+(Inputs!$C$52+((IF(OR(Inputs!$C$27=TRUE,Inputs!$C$27="TRUE",Inputs!$C$27=1),1,0)*(Inputs!$C$51*(115*EXP(-(((Inputs!$C$6)-25)^2)/(4.5^2))+70*EXP(-(((Inputs!$C$6)+38)^2)/(7^2))*(0.55+0.45*SIN(2*PI()*(Scenario_Data!W30)/45))+24*SIN(2*PI()*(Inputs!$C$6)/9+(Scenario_Data!W30)/18)*EXP(-(((Inputs!$C$6)+5)^2)/(22^2))+18*SIN(2*PI()*(Scenario_Data!W30)/70))+Inputs!$C$28*EXP(-(((Scenario_Data!W30)-Inputs!$C$29)^2)/(2*Inputs!$C$31^2))*EXP(-(((Inputs!$C$6)-Inputs!$C$30)^2)/(2*Inputs!$C$32^2))+-Inputs!$C$33*EXP(-(((((Scenario_Data!W30)-Inputs!$C$34)^2)+(((Inputs!$C$6)-Inputs!$C$35)^2))/(2*Inputs!$C$36^2)))+Inputs!$C$37*(0.55*SIN(2*PI()*(Scenario_Data!W30)/Inputs!$C$39)+0.35*COS(2*PI()*(Inputs!$C$6)/Inputs!$C$40)+0.2*SIN(2*PI()*((Scenario_Data!W30)+(Inputs!$C$6))/(0.5*(Inputs!$C$39+Inputs!$C$40))))+Inputs!$C$38*SIN(2*PI()*(Scenario_Data!W30)/Inputs!$C$39)*SIN(2*PI()*(Inputs!$C$6)/Inputs!$C$40)+-Inputs!$C$41*EXP(-(((Inputs!$C$6)-Inputs!$C$43)^2)/(2*Inputs!$C$44^2))*EXP(-(((Scenario_Data!W30)-Inputs!$C$42)^2)/(2*Inputs!$C$45^2))+Inputs!$C$48*(0.7*(0.45*SIN(2*PI()*(((Scenario_Data!W30)/Inputs!$C$49)+Inputs!$C$47*0.137))+0.35*COS(2*PI()*(((Inputs!$C$6)/Inputs!$C$50)+Inputs!$C$47*0.173))+0.2*SIN(2*PI()*((((Scenario_Data!W30)+(Inputs!$C$6))/(0.5*(Inputs!$C$49+Inputs!$C$50)))+Inputs!$C$47*0.097)))+0.3*(2*((SIN(((Scenario_Data!W30)*12.9898+(Inputs!$C$6)*78.233+Inputs!$C$47*37.719))*43758.5453)-INT((SIN(((Scenario_Data!W30)*12.9898+(Inputs!$C$6)*78.233+Inputs!$C$47*37.719))*43758.5453)))-1))))/1000))^2-2*(Inputs!$C$52+(Scenario_Data!E30))*(Inputs!$C$52+((IF(OR(Inputs!$C$27=TRUE,Inputs!$C$27="TRUE",Inputs!$C$27=1),1,0)*(Inputs!$C$51*(115*EXP(-(((Inputs!$C$6)-25)^2)/(4.5^2))+70*EXP(-(((Inputs!$C$6)+38)^2)/(7^2))*(0.55+0.45*SIN(2*PI()*(Scenario_Data!W30)/45))+24*SIN(2*PI()*(Inputs!$C$6)/9+(Scenario_Data!W30)/18)*EXP(-(((Inputs!$C$6)+5)^2)/(22^2))+18*SIN(2*PI()*(Scenario_Data!W30)/70))+Inputs!$C$28*EXP(-(((Scenario_Data!W30)-Inputs!$C$29)^2)/(2*Inputs!$C$31^2))*EXP(-(((Inputs!$C$6)-Inputs!$C$30)^2)/(2*Inputs!$C$32^2))+-Inputs!$C$33*EXP(-(((((Scenario_Data!W30)-Inputs!$C$34)^2)+(((Inputs!$C$6)-Inputs!$C$35)^2))/(2*Inputs!$C$36^2)))+Inputs!$C$37*(0.55*SIN(2*PI()*(Scenario_Data!W30)/Inputs!$C$39)+0.35*COS(2*PI()*(Inputs!$C$6)/Inputs!$C$40)+0.2*SIN(2*PI()*((Scenario_Data!W30)+(Inputs!$C$6))/(0.5*(Inputs!$C$39+Inputs!$C$40))))+Inputs!$C$38*SIN(2*PI()*(Scenario_Data!W30)/Inputs!$C$39)*SIN(2*PI()*(Inputs!$C$6)/Inputs!$C$40)+-Inputs!$C$41*EXP(-(((Inputs!$C$6)-Inputs!$C$43)^2)/(2*Inputs!$C$44^2))*EXP(-(((Scenario_Data!W30)-Inputs!$C$42)^2)/(2*Inputs!$C$45^2))+Inputs!$C$48*(0.7*(0.45*SIN(2*PI()*(((Scenario_Data!W30)/Inputs!$C$49)+Inputs!$C$47*0.137))+0.35*COS(2*PI()*(((Inputs!$C$6)/Inputs!$C$50)+Inputs!$C$47*0.173))+0.2*SIN(2*PI()*((((Scenario_Data!W30)+(Inputs!$C$6))/(0.5*(Inputs!$C$49+Inputs!$C$50)))+Inputs!$C$47*0.097)))+0.3*(2*((SIN(((Scenario_Data!W30)*12.9898+(Inputs!$C$6)*78.233+Inputs!$C$47*37.719))*43758.5453)-INT((SIN(((Scenario_Data!W30)*12.9898+(Inputs!$C$6)*78.233+Inputs!$C$47*37.719))*43758.5453)))-1))))/1000))*COS(SQRT((Scenario_Data!W30)^2+Inputs!$C$6^2)/Inputs!$C$52))*1000)/Inputs!$C$21*1000000</f>
        <v/>
      </c>
    </row>
    <row r="31">
      <c r="A31">
        <f>Chart_Data!K31</f>
        <v/>
      </c>
      <c r="B31">
        <f>Chart_Data!N31-Chart_Data!L31</f>
        <v/>
      </c>
      <c r="D31">
        <f>Chart_Data!G31</f>
        <v/>
      </c>
      <c r="E31">
        <f>Chart_Data!H31</f>
        <v/>
      </c>
      <c r="F31">
        <f>Chart_Data!I31</f>
        <v/>
      </c>
      <c r="G31">
        <f>Chart_Data!J31</f>
        <v/>
      </c>
      <c r="I31">
        <f>Scenario_Data!A31</f>
        <v/>
      </c>
      <c r="J31">
        <f>Scenario_Data!H31-(((SQRT((Inputs!$C$52+(Inputs!$H$6))^2+Inputs!$C$52^2-2*(Inputs!$C$52+(Inputs!$H$6))*Inputs!$C$52*COS(SQRT((Scenario_Data!T31)^2+Inputs!$C$6^2)/Inputs!$C$52)))-(Inputs!$H$6))*1000/Inputs!$C$12)</f>
        <v/>
      </c>
      <c r="K31">
        <f>Scenario_Data!I31-(((SQRT((Inputs!$C$52+(Inputs!$H$7))^2+Inputs!$C$52^2-2*(Inputs!$C$52+(Inputs!$H$7))*Inputs!$C$52*COS(SQRT((Scenario_Data!U31)^2+Inputs!$C$6^2)/Inputs!$C$52)))-(Inputs!$H$7))*1000/Inputs!$C$12)</f>
        <v/>
      </c>
      <c r="L31">
        <f>Scenario_Data!J31-(((SQRT((Inputs!$C$52+(Inputs!$H$8))^2+Inputs!$C$52^2-2*(Inputs!$C$52+(Inputs!$H$8))*Inputs!$C$52*COS(SQRT((Scenario_Data!V31)^2+Inputs!$C$6^2)/Inputs!$C$52)))-(Inputs!$H$8))*1000/Inputs!$C$12)</f>
        <v/>
      </c>
      <c r="M31">
        <f>Scenario_Data!K31-(((SQRT((Inputs!$C$52+(Inputs!$H$9))^2+Inputs!$C$52^2-2*(Inputs!$C$52+(Inputs!$H$9))*Inputs!$C$52*COS(SQRT((Scenario_Data!W31)^2+Inputs!$C$6^2)/Inputs!$C$52)))-(Inputs!$H$9))*1000/Inputs!$C$12)</f>
        <v/>
      </c>
      <c r="O31">
        <f>Scenario_Data!T31</f>
        <v/>
      </c>
      <c r="P31">
        <f>2*(Scenario_Data!B31*1000)/Inputs!$C$21*1000000</f>
        <v/>
      </c>
      <c r="Q31">
        <f>Scenario_Data!U31</f>
        <v/>
      </c>
      <c r="R31">
        <f>2*(Scenario_Data!C31*1000)/Inputs!$C$21*1000000</f>
        <v/>
      </c>
      <c r="S31">
        <f>Scenario_Data!V31</f>
        <v/>
      </c>
      <c r="T31">
        <f>2*(Scenario_Data!D31*1000)/Inputs!$C$21*1000000</f>
        <v/>
      </c>
      <c r="U31">
        <f>Scenario_Data!W31</f>
        <v/>
      </c>
      <c r="V31">
        <f>2*(Scenario_Data!E31*1000)/Inputs!$C$21*1000000</f>
        <v/>
      </c>
      <c r="X31">
        <f>Scenario_Data!T31</f>
        <v/>
      </c>
      <c r="Y31">
        <f>2*((Scenario_Data!B31*1000)-(IF(OR(Inputs!$C$27=TRUE,Inputs!$C$27="TRUE",Inputs!$C$27=1),1,0)*(Inputs!$C$51*(115*EXP(-(((0)-25)^2)/(4.5^2))+70*EXP(-(((0)+38)^2)/(7^2))*(0.55+0.45*SIN(2*PI()*(Scenario_Data!T31)/45))+24*SIN(2*PI()*(0)/9+(Scenario_Data!T31)/18)*EXP(-(((0)+5)^2)/(22^2))+18*SIN(2*PI()*(Scenario_Data!T31)/70))+Inputs!$C$28*EXP(-(((Scenario_Data!T31)-Inputs!$C$29)^2)/(2*Inputs!$C$31^2))*EXP(-(((0)-Inputs!$C$30)^2)/(2*Inputs!$C$32^2))+-Inputs!$C$33*EXP(-(((((Scenario_Data!T31)-Inputs!$C$34)^2)+(((0)-Inputs!$C$35)^2))/(2*Inputs!$C$36^2)))+Inputs!$C$37*(0.55*SIN(2*PI()*(Scenario_Data!T31)/Inputs!$C$39)+0.35*COS(2*PI()*(0)/Inputs!$C$40)+0.2*SIN(2*PI()*((Scenario_Data!T31)+(0))/(0.5*(Inputs!$C$39+Inputs!$C$40))))+Inputs!$C$38*SIN(2*PI()*(Scenario_Data!T31)/Inputs!$C$39)*SIN(2*PI()*(0)/Inputs!$C$40)+-Inputs!$C$41*EXP(-(((0)-Inputs!$C$43)^2)/(2*Inputs!$C$44^2))*EXP(-(((Scenario_Data!T31)-Inputs!$C$42)^2)/(2*Inputs!$C$45^2))+Inputs!$C$48*(0.7*(0.45*SIN(2*PI()*(((Scenario_Data!T31)/Inputs!$C$49)+Inputs!$C$47*0.137))+0.35*COS(2*PI()*(((0)/Inputs!$C$50)+Inputs!$C$47*0.173))+0.2*SIN(2*PI()*((((Scenario_Data!T31)+(0))/(0.5*(Inputs!$C$49+Inputs!$C$50)))+Inputs!$C$47*0.097)))+0.3*(2*((SIN(((Scenario_Data!T31)*12.9898+(0)*78.233+Inputs!$C$47*37.719))*43758.5453)-INT((SIN(((Scenario_Data!T31)*12.9898+(0)*78.233+Inputs!$C$47*37.719))*43758.5453)))-1)))))/Inputs!$C$21*1000000</f>
        <v/>
      </c>
      <c r="Z31">
        <f>Scenario_Data!U31</f>
        <v/>
      </c>
      <c r="AA31">
        <f>2*((Scenario_Data!C31*1000)-(IF(OR(Inputs!$C$27=TRUE,Inputs!$C$27="TRUE",Inputs!$C$27=1),1,0)*(Inputs!$C$51*(115*EXP(-(((0)-25)^2)/(4.5^2))+70*EXP(-(((0)+38)^2)/(7^2))*(0.55+0.45*SIN(2*PI()*(Scenario_Data!U31)/45))+24*SIN(2*PI()*(0)/9+(Scenario_Data!U31)/18)*EXP(-(((0)+5)^2)/(22^2))+18*SIN(2*PI()*(Scenario_Data!U31)/70))+Inputs!$C$28*EXP(-(((Scenario_Data!U31)-Inputs!$C$29)^2)/(2*Inputs!$C$31^2))*EXP(-(((0)-Inputs!$C$30)^2)/(2*Inputs!$C$32^2))+-Inputs!$C$33*EXP(-(((((Scenario_Data!U31)-Inputs!$C$34)^2)+(((0)-Inputs!$C$35)^2))/(2*Inputs!$C$36^2)))+Inputs!$C$37*(0.55*SIN(2*PI()*(Scenario_Data!U31)/Inputs!$C$39)+0.35*COS(2*PI()*(0)/Inputs!$C$40)+0.2*SIN(2*PI()*((Scenario_Data!U31)+(0))/(0.5*(Inputs!$C$39+Inputs!$C$40))))+Inputs!$C$38*SIN(2*PI()*(Scenario_Data!U31)/Inputs!$C$39)*SIN(2*PI()*(0)/Inputs!$C$40)+-Inputs!$C$41*EXP(-(((0)-Inputs!$C$43)^2)/(2*Inputs!$C$44^2))*EXP(-(((Scenario_Data!U31)-Inputs!$C$42)^2)/(2*Inputs!$C$45^2))+Inputs!$C$48*(0.7*(0.45*SIN(2*PI()*(((Scenario_Data!U31)/Inputs!$C$49)+Inputs!$C$47*0.137))+0.35*COS(2*PI()*(((0)/Inputs!$C$50)+Inputs!$C$47*0.173))+0.2*SIN(2*PI()*((((Scenario_Data!U31)+(0))/(0.5*(Inputs!$C$49+Inputs!$C$50)))+Inputs!$C$47*0.097)))+0.3*(2*((SIN(((Scenario_Data!U31)*12.9898+(0)*78.233+Inputs!$C$47*37.719))*43758.5453)-INT((SIN(((Scenario_Data!U31)*12.9898+(0)*78.233+Inputs!$C$47*37.719))*43758.5453)))-1)))))/Inputs!$C$21*1000000</f>
        <v/>
      </c>
      <c r="AB31">
        <f>Scenario_Data!V31</f>
        <v/>
      </c>
      <c r="AC31">
        <f>2*((Scenario_Data!D31*1000)-(IF(OR(Inputs!$C$27=TRUE,Inputs!$C$27="TRUE",Inputs!$C$27=1),1,0)*(Inputs!$C$51*(115*EXP(-(((0)-25)^2)/(4.5^2))+70*EXP(-(((0)+38)^2)/(7^2))*(0.55+0.45*SIN(2*PI()*(Scenario_Data!V31)/45))+24*SIN(2*PI()*(0)/9+(Scenario_Data!V31)/18)*EXP(-(((0)+5)^2)/(22^2))+18*SIN(2*PI()*(Scenario_Data!V31)/70))+Inputs!$C$28*EXP(-(((Scenario_Data!V31)-Inputs!$C$29)^2)/(2*Inputs!$C$31^2))*EXP(-(((0)-Inputs!$C$30)^2)/(2*Inputs!$C$32^2))+-Inputs!$C$33*EXP(-(((((Scenario_Data!V31)-Inputs!$C$34)^2)+(((0)-Inputs!$C$35)^2))/(2*Inputs!$C$36^2)))+Inputs!$C$37*(0.55*SIN(2*PI()*(Scenario_Data!V31)/Inputs!$C$39)+0.35*COS(2*PI()*(0)/Inputs!$C$40)+0.2*SIN(2*PI()*((Scenario_Data!V31)+(0))/(0.5*(Inputs!$C$39+Inputs!$C$40))))+Inputs!$C$38*SIN(2*PI()*(Scenario_Data!V31)/Inputs!$C$39)*SIN(2*PI()*(0)/Inputs!$C$40)+-Inputs!$C$41*EXP(-(((0)-Inputs!$C$43)^2)/(2*Inputs!$C$44^2))*EXP(-(((Scenario_Data!V31)-Inputs!$C$42)^2)/(2*Inputs!$C$45^2))+Inputs!$C$48*(0.7*(0.45*SIN(2*PI()*(((Scenario_Data!V31)/Inputs!$C$49)+Inputs!$C$47*0.137))+0.35*COS(2*PI()*(((0)/Inputs!$C$50)+Inputs!$C$47*0.173))+0.2*SIN(2*PI()*((((Scenario_Data!V31)+(0))/(0.5*(Inputs!$C$49+Inputs!$C$50)))+Inputs!$C$47*0.097)))+0.3*(2*((SIN(((Scenario_Data!V31)*12.9898+(0)*78.233+Inputs!$C$47*37.719))*43758.5453)-INT((SIN(((Scenario_Data!V31)*12.9898+(0)*78.233+Inputs!$C$47*37.719))*43758.5453)))-1)))))/Inputs!$C$21*1000000</f>
        <v/>
      </c>
      <c r="AD31">
        <f>Scenario_Data!W31</f>
        <v/>
      </c>
      <c r="AE31">
        <f>2*((Scenario_Data!E31*1000)-(IF(OR(Inputs!$C$27=TRUE,Inputs!$C$27="TRUE",Inputs!$C$27=1),1,0)*(Inputs!$C$51*(115*EXP(-(((0)-25)^2)/(4.5^2))+70*EXP(-(((0)+38)^2)/(7^2))*(0.55+0.45*SIN(2*PI()*(Scenario_Data!W31)/45))+24*SIN(2*PI()*(0)/9+(Scenario_Data!W31)/18)*EXP(-(((0)+5)^2)/(22^2))+18*SIN(2*PI()*(Scenario_Data!W31)/70))+Inputs!$C$28*EXP(-(((Scenario_Data!W31)-Inputs!$C$29)^2)/(2*Inputs!$C$31^2))*EXP(-(((0)-Inputs!$C$30)^2)/(2*Inputs!$C$32^2))+-Inputs!$C$33*EXP(-(((((Scenario_Data!W31)-Inputs!$C$34)^2)+(((0)-Inputs!$C$35)^2))/(2*Inputs!$C$36^2)))+Inputs!$C$37*(0.55*SIN(2*PI()*(Scenario_Data!W31)/Inputs!$C$39)+0.35*COS(2*PI()*(0)/Inputs!$C$40)+0.2*SIN(2*PI()*((Scenario_Data!W31)+(0))/(0.5*(Inputs!$C$39+Inputs!$C$40))))+Inputs!$C$38*SIN(2*PI()*(Scenario_Data!W31)/Inputs!$C$39)*SIN(2*PI()*(0)/Inputs!$C$40)+-Inputs!$C$41*EXP(-(((0)-Inputs!$C$43)^2)/(2*Inputs!$C$44^2))*EXP(-(((Scenario_Data!W31)-Inputs!$C$42)^2)/(2*Inputs!$C$45^2))+Inputs!$C$48*(0.7*(0.45*SIN(2*PI()*(((Scenario_Data!W31)/Inputs!$C$49)+Inputs!$C$47*0.137))+0.35*COS(2*PI()*(((0)/Inputs!$C$50)+Inputs!$C$47*0.173))+0.2*SIN(2*PI()*((((Scenario_Data!W31)+(0))/(0.5*(Inputs!$C$49+Inputs!$C$50)))+Inputs!$C$47*0.097)))+0.3*(2*((SIN(((Scenario_Data!W31)*12.9898+(0)*78.233+Inputs!$C$47*37.719))*43758.5453)-INT((SIN(((Scenario_Data!W31)*12.9898+(0)*78.233+Inputs!$C$47*37.719))*43758.5453)))-1)))))/Inputs!$C$21*1000000</f>
        <v/>
      </c>
      <c r="AG31">
        <f>Scenario_Data!T31</f>
        <v/>
      </c>
      <c r="AH31">
        <f>2*(SQRT((Inputs!$C$52+(Scenario_Data!B31))^2+Inputs!$C$52^2-2*(Inputs!$C$52+(Scenario_Data!B31))*Inputs!$C$52*COS(SQRT((Scenario_Data!T31)^2+Inputs!$C$6^2)/Inputs!$C$52))*1000)/Inputs!$C$21*1000000</f>
        <v/>
      </c>
      <c r="AI31">
        <f>Scenario_Data!U31</f>
        <v/>
      </c>
      <c r="AJ31">
        <f>2*(SQRT((Inputs!$C$52+(Scenario_Data!C31))^2+Inputs!$C$52^2-2*(Inputs!$C$52+(Scenario_Data!C31))*Inputs!$C$52*COS(SQRT((Scenario_Data!U31)^2+Inputs!$C$6^2)/Inputs!$C$52))*1000)/Inputs!$C$21*1000000</f>
        <v/>
      </c>
      <c r="AK31">
        <f>Scenario_Data!V31</f>
        <v/>
      </c>
      <c r="AL31">
        <f>2*(SQRT((Inputs!$C$52+(Scenario_Data!D31))^2+Inputs!$C$52^2-2*(Inputs!$C$52+(Scenario_Data!D31))*Inputs!$C$52*COS(SQRT((Scenario_Data!V31)^2+Inputs!$C$6^2)/Inputs!$C$52))*1000)/Inputs!$C$21*1000000</f>
        <v/>
      </c>
      <c r="AM31">
        <f>Scenario_Data!W31</f>
        <v/>
      </c>
      <c r="AN31">
        <f>2*(SQRT((Inputs!$C$52+(Scenario_Data!E31))^2+Inputs!$C$52^2-2*(Inputs!$C$52+(Scenario_Data!E31))*Inputs!$C$52*COS(SQRT((Scenario_Data!W31)^2+Inputs!$C$6^2)/Inputs!$C$52))*1000)/Inputs!$C$21*1000000</f>
        <v/>
      </c>
      <c r="AP31">
        <f>Scenario_Data!T31</f>
        <v/>
      </c>
      <c r="AQ31">
        <f>2*(SQRT((Inputs!$C$52+(Scenario_Data!B31))^2+(Inputs!$C$52+((IF(OR(Inputs!$C$27=TRUE,Inputs!$C$27="TRUE",Inputs!$C$27=1),1,0)*(Inputs!$C$51*(115*EXP(-(((Inputs!$C$6)-25)^2)/(4.5^2))+70*EXP(-(((Inputs!$C$6)+38)^2)/(7^2))*(0.55+0.45*SIN(2*PI()*(Scenario_Data!T31)/45))+24*SIN(2*PI()*(Inputs!$C$6)/9+(Scenario_Data!T31)/18)*EXP(-(((Inputs!$C$6)+5)^2)/(22^2))+18*SIN(2*PI()*(Scenario_Data!T31)/70))+Inputs!$C$28*EXP(-(((Scenario_Data!T31)-Inputs!$C$29)^2)/(2*Inputs!$C$31^2))*EXP(-(((Inputs!$C$6)-Inputs!$C$30)^2)/(2*Inputs!$C$32^2))+-Inputs!$C$33*EXP(-(((((Scenario_Data!T31)-Inputs!$C$34)^2)+(((Inputs!$C$6)-Inputs!$C$35)^2))/(2*Inputs!$C$36^2)))+Inputs!$C$37*(0.55*SIN(2*PI()*(Scenario_Data!T31)/Inputs!$C$39)+0.35*COS(2*PI()*(Inputs!$C$6)/Inputs!$C$40)+0.2*SIN(2*PI()*((Scenario_Data!T31)+(Inputs!$C$6))/(0.5*(Inputs!$C$39+Inputs!$C$40))))+Inputs!$C$38*SIN(2*PI()*(Scenario_Data!T31)/Inputs!$C$39)*SIN(2*PI()*(Inputs!$C$6)/Inputs!$C$40)+-Inputs!$C$41*EXP(-(((Inputs!$C$6)-Inputs!$C$43)^2)/(2*Inputs!$C$44^2))*EXP(-(((Scenario_Data!T31)-Inputs!$C$42)^2)/(2*Inputs!$C$45^2))+Inputs!$C$48*(0.7*(0.45*SIN(2*PI()*(((Scenario_Data!T31)/Inputs!$C$49)+Inputs!$C$47*0.137))+0.35*COS(2*PI()*(((Inputs!$C$6)/Inputs!$C$50)+Inputs!$C$47*0.173))+0.2*SIN(2*PI()*((((Scenario_Data!T31)+(Inputs!$C$6))/(0.5*(Inputs!$C$49+Inputs!$C$50)))+Inputs!$C$47*0.097)))+0.3*(2*((SIN(((Scenario_Data!T31)*12.9898+(Inputs!$C$6)*78.233+Inputs!$C$47*37.719))*43758.5453)-INT((SIN(((Scenario_Data!T31)*12.9898+(Inputs!$C$6)*78.233+Inputs!$C$47*37.719))*43758.5453)))-1))))/1000))^2-2*(Inputs!$C$52+(Scenario_Data!B31))*(Inputs!$C$52+((IF(OR(Inputs!$C$27=TRUE,Inputs!$C$27="TRUE",Inputs!$C$27=1),1,0)*(Inputs!$C$51*(115*EXP(-(((Inputs!$C$6)-25)^2)/(4.5^2))+70*EXP(-(((Inputs!$C$6)+38)^2)/(7^2))*(0.55+0.45*SIN(2*PI()*(Scenario_Data!T31)/45))+24*SIN(2*PI()*(Inputs!$C$6)/9+(Scenario_Data!T31)/18)*EXP(-(((Inputs!$C$6)+5)^2)/(22^2))+18*SIN(2*PI()*(Scenario_Data!T31)/70))+Inputs!$C$28*EXP(-(((Scenario_Data!T31)-Inputs!$C$29)^2)/(2*Inputs!$C$31^2))*EXP(-(((Inputs!$C$6)-Inputs!$C$30)^2)/(2*Inputs!$C$32^2))+-Inputs!$C$33*EXP(-(((((Scenario_Data!T31)-Inputs!$C$34)^2)+(((Inputs!$C$6)-Inputs!$C$35)^2))/(2*Inputs!$C$36^2)))+Inputs!$C$37*(0.55*SIN(2*PI()*(Scenario_Data!T31)/Inputs!$C$39)+0.35*COS(2*PI()*(Inputs!$C$6)/Inputs!$C$40)+0.2*SIN(2*PI()*((Scenario_Data!T31)+(Inputs!$C$6))/(0.5*(Inputs!$C$39+Inputs!$C$40))))+Inputs!$C$38*SIN(2*PI()*(Scenario_Data!T31)/Inputs!$C$39)*SIN(2*PI()*(Inputs!$C$6)/Inputs!$C$40)+-Inputs!$C$41*EXP(-(((Inputs!$C$6)-Inputs!$C$43)^2)/(2*Inputs!$C$44^2))*EXP(-(((Scenario_Data!T31)-Inputs!$C$42)^2)/(2*Inputs!$C$45^2))+Inputs!$C$48*(0.7*(0.45*SIN(2*PI()*(((Scenario_Data!T31)/Inputs!$C$49)+Inputs!$C$47*0.137))+0.35*COS(2*PI()*(((Inputs!$C$6)/Inputs!$C$50)+Inputs!$C$47*0.173))+0.2*SIN(2*PI()*((((Scenario_Data!T31)+(Inputs!$C$6))/(0.5*(Inputs!$C$49+Inputs!$C$50)))+Inputs!$C$47*0.097)))+0.3*(2*((SIN(((Scenario_Data!T31)*12.9898+(Inputs!$C$6)*78.233+Inputs!$C$47*37.719))*43758.5453)-INT((SIN(((Scenario_Data!T31)*12.9898+(Inputs!$C$6)*78.233+Inputs!$C$47*37.719))*43758.5453)))-1))))/1000))*COS(SQRT((Scenario_Data!T31)^2+Inputs!$C$6^2)/Inputs!$C$52))*1000)/Inputs!$C$21*1000000</f>
        <v/>
      </c>
      <c r="AR31">
        <f>Scenario_Data!U31</f>
        <v/>
      </c>
      <c r="AS31">
        <f>2*(SQRT((Inputs!$C$52+(Scenario_Data!C31))^2+(Inputs!$C$52+((IF(OR(Inputs!$C$27=TRUE,Inputs!$C$27="TRUE",Inputs!$C$27=1),1,0)*(Inputs!$C$51*(115*EXP(-(((Inputs!$C$6)-25)^2)/(4.5^2))+70*EXP(-(((Inputs!$C$6)+38)^2)/(7^2))*(0.55+0.45*SIN(2*PI()*(Scenario_Data!U31)/45))+24*SIN(2*PI()*(Inputs!$C$6)/9+(Scenario_Data!U31)/18)*EXP(-(((Inputs!$C$6)+5)^2)/(22^2))+18*SIN(2*PI()*(Scenario_Data!U31)/70))+Inputs!$C$28*EXP(-(((Scenario_Data!U31)-Inputs!$C$29)^2)/(2*Inputs!$C$31^2))*EXP(-(((Inputs!$C$6)-Inputs!$C$30)^2)/(2*Inputs!$C$32^2))+-Inputs!$C$33*EXP(-(((((Scenario_Data!U31)-Inputs!$C$34)^2)+(((Inputs!$C$6)-Inputs!$C$35)^2))/(2*Inputs!$C$36^2)))+Inputs!$C$37*(0.55*SIN(2*PI()*(Scenario_Data!U31)/Inputs!$C$39)+0.35*COS(2*PI()*(Inputs!$C$6)/Inputs!$C$40)+0.2*SIN(2*PI()*((Scenario_Data!U31)+(Inputs!$C$6))/(0.5*(Inputs!$C$39+Inputs!$C$40))))+Inputs!$C$38*SIN(2*PI()*(Scenario_Data!U31)/Inputs!$C$39)*SIN(2*PI()*(Inputs!$C$6)/Inputs!$C$40)+-Inputs!$C$41*EXP(-(((Inputs!$C$6)-Inputs!$C$43)^2)/(2*Inputs!$C$44^2))*EXP(-(((Scenario_Data!U31)-Inputs!$C$42)^2)/(2*Inputs!$C$45^2))+Inputs!$C$48*(0.7*(0.45*SIN(2*PI()*(((Scenario_Data!U31)/Inputs!$C$49)+Inputs!$C$47*0.137))+0.35*COS(2*PI()*(((Inputs!$C$6)/Inputs!$C$50)+Inputs!$C$47*0.173))+0.2*SIN(2*PI()*((((Scenario_Data!U31)+(Inputs!$C$6))/(0.5*(Inputs!$C$49+Inputs!$C$50)))+Inputs!$C$47*0.097)))+0.3*(2*((SIN(((Scenario_Data!U31)*12.9898+(Inputs!$C$6)*78.233+Inputs!$C$47*37.719))*43758.5453)-INT((SIN(((Scenario_Data!U31)*12.9898+(Inputs!$C$6)*78.233+Inputs!$C$47*37.719))*43758.5453)))-1))))/1000))^2-2*(Inputs!$C$52+(Scenario_Data!C31))*(Inputs!$C$52+((IF(OR(Inputs!$C$27=TRUE,Inputs!$C$27="TRUE",Inputs!$C$27=1),1,0)*(Inputs!$C$51*(115*EXP(-(((Inputs!$C$6)-25)^2)/(4.5^2))+70*EXP(-(((Inputs!$C$6)+38)^2)/(7^2))*(0.55+0.45*SIN(2*PI()*(Scenario_Data!U31)/45))+24*SIN(2*PI()*(Inputs!$C$6)/9+(Scenario_Data!U31)/18)*EXP(-(((Inputs!$C$6)+5)^2)/(22^2))+18*SIN(2*PI()*(Scenario_Data!U31)/70))+Inputs!$C$28*EXP(-(((Scenario_Data!U31)-Inputs!$C$29)^2)/(2*Inputs!$C$31^2))*EXP(-(((Inputs!$C$6)-Inputs!$C$30)^2)/(2*Inputs!$C$32^2))+-Inputs!$C$33*EXP(-(((((Scenario_Data!U31)-Inputs!$C$34)^2)+(((Inputs!$C$6)-Inputs!$C$35)^2))/(2*Inputs!$C$36^2)))+Inputs!$C$37*(0.55*SIN(2*PI()*(Scenario_Data!U31)/Inputs!$C$39)+0.35*COS(2*PI()*(Inputs!$C$6)/Inputs!$C$40)+0.2*SIN(2*PI()*((Scenario_Data!U31)+(Inputs!$C$6))/(0.5*(Inputs!$C$39+Inputs!$C$40))))+Inputs!$C$38*SIN(2*PI()*(Scenario_Data!U31)/Inputs!$C$39)*SIN(2*PI()*(Inputs!$C$6)/Inputs!$C$40)+-Inputs!$C$41*EXP(-(((Inputs!$C$6)-Inputs!$C$43)^2)/(2*Inputs!$C$44^2))*EXP(-(((Scenario_Data!U31)-Inputs!$C$42)^2)/(2*Inputs!$C$45^2))+Inputs!$C$48*(0.7*(0.45*SIN(2*PI()*(((Scenario_Data!U31)/Inputs!$C$49)+Inputs!$C$47*0.137))+0.35*COS(2*PI()*(((Inputs!$C$6)/Inputs!$C$50)+Inputs!$C$47*0.173))+0.2*SIN(2*PI()*((((Scenario_Data!U31)+(Inputs!$C$6))/(0.5*(Inputs!$C$49+Inputs!$C$50)))+Inputs!$C$47*0.097)))+0.3*(2*((SIN(((Scenario_Data!U31)*12.9898+(Inputs!$C$6)*78.233+Inputs!$C$47*37.719))*43758.5453)-INT((SIN(((Scenario_Data!U31)*12.9898+(Inputs!$C$6)*78.233+Inputs!$C$47*37.719))*43758.5453)))-1))))/1000))*COS(SQRT((Scenario_Data!U31)^2+Inputs!$C$6^2)/Inputs!$C$52))*1000)/Inputs!$C$21*1000000</f>
        <v/>
      </c>
      <c r="AT31">
        <f>Scenario_Data!V31</f>
        <v/>
      </c>
      <c r="AU31">
        <f>2*(SQRT((Inputs!$C$52+(Scenario_Data!D31))^2+(Inputs!$C$52+((IF(OR(Inputs!$C$27=TRUE,Inputs!$C$27="TRUE",Inputs!$C$27=1),1,0)*(Inputs!$C$51*(115*EXP(-(((Inputs!$C$6)-25)^2)/(4.5^2))+70*EXP(-(((Inputs!$C$6)+38)^2)/(7^2))*(0.55+0.45*SIN(2*PI()*(Scenario_Data!V31)/45))+24*SIN(2*PI()*(Inputs!$C$6)/9+(Scenario_Data!V31)/18)*EXP(-(((Inputs!$C$6)+5)^2)/(22^2))+18*SIN(2*PI()*(Scenario_Data!V31)/70))+Inputs!$C$28*EXP(-(((Scenario_Data!V31)-Inputs!$C$29)^2)/(2*Inputs!$C$31^2))*EXP(-(((Inputs!$C$6)-Inputs!$C$30)^2)/(2*Inputs!$C$32^2))+-Inputs!$C$33*EXP(-(((((Scenario_Data!V31)-Inputs!$C$34)^2)+(((Inputs!$C$6)-Inputs!$C$35)^2))/(2*Inputs!$C$36^2)))+Inputs!$C$37*(0.55*SIN(2*PI()*(Scenario_Data!V31)/Inputs!$C$39)+0.35*COS(2*PI()*(Inputs!$C$6)/Inputs!$C$40)+0.2*SIN(2*PI()*((Scenario_Data!V31)+(Inputs!$C$6))/(0.5*(Inputs!$C$39+Inputs!$C$40))))+Inputs!$C$38*SIN(2*PI()*(Scenario_Data!V31)/Inputs!$C$39)*SIN(2*PI()*(Inputs!$C$6)/Inputs!$C$40)+-Inputs!$C$41*EXP(-(((Inputs!$C$6)-Inputs!$C$43)^2)/(2*Inputs!$C$44^2))*EXP(-(((Scenario_Data!V31)-Inputs!$C$42)^2)/(2*Inputs!$C$45^2))+Inputs!$C$48*(0.7*(0.45*SIN(2*PI()*(((Scenario_Data!V31)/Inputs!$C$49)+Inputs!$C$47*0.137))+0.35*COS(2*PI()*(((Inputs!$C$6)/Inputs!$C$50)+Inputs!$C$47*0.173))+0.2*SIN(2*PI()*((((Scenario_Data!V31)+(Inputs!$C$6))/(0.5*(Inputs!$C$49+Inputs!$C$50)))+Inputs!$C$47*0.097)))+0.3*(2*((SIN(((Scenario_Data!V31)*12.9898+(Inputs!$C$6)*78.233+Inputs!$C$47*37.719))*43758.5453)-INT((SIN(((Scenario_Data!V31)*12.9898+(Inputs!$C$6)*78.233+Inputs!$C$47*37.719))*43758.5453)))-1))))/1000))^2-2*(Inputs!$C$52+(Scenario_Data!D31))*(Inputs!$C$52+((IF(OR(Inputs!$C$27=TRUE,Inputs!$C$27="TRUE",Inputs!$C$27=1),1,0)*(Inputs!$C$51*(115*EXP(-(((Inputs!$C$6)-25)^2)/(4.5^2))+70*EXP(-(((Inputs!$C$6)+38)^2)/(7^2))*(0.55+0.45*SIN(2*PI()*(Scenario_Data!V31)/45))+24*SIN(2*PI()*(Inputs!$C$6)/9+(Scenario_Data!V31)/18)*EXP(-(((Inputs!$C$6)+5)^2)/(22^2))+18*SIN(2*PI()*(Scenario_Data!V31)/70))+Inputs!$C$28*EXP(-(((Scenario_Data!V31)-Inputs!$C$29)^2)/(2*Inputs!$C$31^2))*EXP(-(((Inputs!$C$6)-Inputs!$C$30)^2)/(2*Inputs!$C$32^2))+-Inputs!$C$33*EXP(-(((((Scenario_Data!V31)-Inputs!$C$34)^2)+(((Inputs!$C$6)-Inputs!$C$35)^2))/(2*Inputs!$C$36^2)))+Inputs!$C$37*(0.55*SIN(2*PI()*(Scenario_Data!V31)/Inputs!$C$39)+0.35*COS(2*PI()*(Inputs!$C$6)/Inputs!$C$40)+0.2*SIN(2*PI()*((Scenario_Data!V31)+(Inputs!$C$6))/(0.5*(Inputs!$C$39+Inputs!$C$40))))+Inputs!$C$38*SIN(2*PI()*(Scenario_Data!V31)/Inputs!$C$39)*SIN(2*PI()*(Inputs!$C$6)/Inputs!$C$40)+-Inputs!$C$41*EXP(-(((Inputs!$C$6)-Inputs!$C$43)^2)/(2*Inputs!$C$44^2))*EXP(-(((Scenario_Data!V31)-Inputs!$C$42)^2)/(2*Inputs!$C$45^2))+Inputs!$C$48*(0.7*(0.45*SIN(2*PI()*(((Scenario_Data!V31)/Inputs!$C$49)+Inputs!$C$47*0.137))+0.35*COS(2*PI()*(((Inputs!$C$6)/Inputs!$C$50)+Inputs!$C$47*0.173))+0.2*SIN(2*PI()*((((Scenario_Data!V31)+(Inputs!$C$6))/(0.5*(Inputs!$C$49+Inputs!$C$50)))+Inputs!$C$47*0.097)))+0.3*(2*((SIN(((Scenario_Data!V31)*12.9898+(Inputs!$C$6)*78.233+Inputs!$C$47*37.719))*43758.5453)-INT((SIN(((Scenario_Data!V31)*12.9898+(Inputs!$C$6)*78.233+Inputs!$C$47*37.719))*43758.5453)))-1))))/1000))*COS(SQRT((Scenario_Data!V31)^2+Inputs!$C$6^2)/Inputs!$C$52))*1000)/Inputs!$C$21*1000000</f>
        <v/>
      </c>
      <c r="AV31">
        <f>Scenario_Data!W31</f>
        <v/>
      </c>
      <c r="AW31">
        <f>2*(SQRT((Inputs!$C$52+(Scenario_Data!E31))^2+(Inputs!$C$52+((IF(OR(Inputs!$C$27=TRUE,Inputs!$C$27="TRUE",Inputs!$C$27=1),1,0)*(Inputs!$C$51*(115*EXP(-(((Inputs!$C$6)-25)^2)/(4.5^2))+70*EXP(-(((Inputs!$C$6)+38)^2)/(7^2))*(0.55+0.45*SIN(2*PI()*(Scenario_Data!W31)/45))+24*SIN(2*PI()*(Inputs!$C$6)/9+(Scenario_Data!W31)/18)*EXP(-(((Inputs!$C$6)+5)^2)/(22^2))+18*SIN(2*PI()*(Scenario_Data!W31)/70))+Inputs!$C$28*EXP(-(((Scenario_Data!W31)-Inputs!$C$29)^2)/(2*Inputs!$C$31^2))*EXP(-(((Inputs!$C$6)-Inputs!$C$30)^2)/(2*Inputs!$C$32^2))+-Inputs!$C$33*EXP(-(((((Scenario_Data!W31)-Inputs!$C$34)^2)+(((Inputs!$C$6)-Inputs!$C$35)^2))/(2*Inputs!$C$36^2)))+Inputs!$C$37*(0.55*SIN(2*PI()*(Scenario_Data!W31)/Inputs!$C$39)+0.35*COS(2*PI()*(Inputs!$C$6)/Inputs!$C$40)+0.2*SIN(2*PI()*((Scenario_Data!W31)+(Inputs!$C$6))/(0.5*(Inputs!$C$39+Inputs!$C$40))))+Inputs!$C$38*SIN(2*PI()*(Scenario_Data!W31)/Inputs!$C$39)*SIN(2*PI()*(Inputs!$C$6)/Inputs!$C$40)+-Inputs!$C$41*EXP(-(((Inputs!$C$6)-Inputs!$C$43)^2)/(2*Inputs!$C$44^2))*EXP(-(((Scenario_Data!W31)-Inputs!$C$42)^2)/(2*Inputs!$C$45^2))+Inputs!$C$48*(0.7*(0.45*SIN(2*PI()*(((Scenario_Data!W31)/Inputs!$C$49)+Inputs!$C$47*0.137))+0.35*COS(2*PI()*(((Inputs!$C$6)/Inputs!$C$50)+Inputs!$C$47*0.173))+0.2*SIN(2*PI()*((((Scenario_Data!W31)+(Inputs!$C$6))/(0.5*(Inputs!$C$49+Inputs!$C$50)))+Inputs!$C$47*0.097)))+0.3*(2*((SIN(((Scenario_Data!W31)*12.9898+(Inputs!$C$6)*78.233+Inputs!$C$47*37.719))*43758.5453)-INT((SIN(((Scenario_Data!W31)*12.9898+(Inputs!$C$6)*78.233+Inputs!$C$47*37.719))*43758.5453)))-1))))/1000))^2-2*(Inputs!$C$52+(Scenario_Data!E31))*(Inputs!$C$52+((IF(OR(Inputs!$C$27=TRUE,Inputs!$C$27="TRUE",Inputs!$C$27=1),1,0)*(Inputs!$C$51*(115*EXP(-(((Inputs!$C$6)-25)^2)/(4.5^2))+70*EXP(-(((Inputs!$C$6)+38)^2)/(7^2))*(0.55+0.45*SIN(2*PI()*(Scenario_Data!W31)/45))+24*SIN(2*PI()*(Inputs!$C$6)/9+(Scenario_Data!W31)/18)*EXP(-(((Inputs!$C$6)+5)^2)/(22^2))+18*SIN(2*PI()*(Scenario_Data!W31)/70))+Inputs!$C$28*EXP(-(((Scenario_Data!W31)-Inputs!$C$29)^2)/(2*Inputs!$C$31^2))*EXP(-(((Inputs!$C$6)-Inputs!$C$30)^2)/(2*Inputs!$C$32^2))+-Inputs!$C$33*EXP(-(((((Scenario_Data!W31)-Inputs!$C$34)^2)+(((Inputs!$C$6)-Inputs!$C$35)^2))/(2*Inputs!$C$36^2)))+Inputs!$C$37*(0.55*SIN(2*PI()*(Scenario_Data!W31)/Inputs!$C$39)+0.35*COS(2*PI()*(Inputs!$C$6)/Inputs!$C$40)+0.2*SIN(2*PI()*((Scenario_Data!W31)+(Inputs!$C$6))/(0.5*(Inputs!$C$39+Inputs!$C$40))))+Inputs!$C$38*SIN(2*PI()*(Scenario_Data!W31)/Inputs!$C$39)*SIN(2*PI()*(Inputs!$C$6)/Inputs!$C$40)+-Inputs!$C$41*EXP(-(((Inputs!$C$6)-Inputs!$C$43)^2)/(2*Inputs!$C$44^2))*EXP(-(((Scenario_Data!W31)-Inputs!$C$42)^2)/(2*Inputs!$C$45^2))+Inputs!$C$48*(0.7*(0.45*SIN(2*PI()*(((Scenario_Data!W31)/Inputs!$C$49)+Inputs!$C$47*0.137))+0.35*COS(2*PI()*(((Inputs!$C$6)/Inputs!$C$50)+Inputs!$C$47*0.173))+0.2*SIN(2*PI()*((((Scenario_Data!W31)+(Inputs!$C$6))/(0.5*(Inputs!$C$49+Inputs!$C$50)))+Inputs!$C$47*0.097)))+0.3*(2*((SIN(((Scenario_Data!W31)*12.9898+(Inputs!$C$6)*78.233+Inputs!$C$47*37.719))*43758.5453)-INT((SIN(((Scenario_Data!W31)*12.9898+(Inputs!$C$6)*78.233+Inputs!$C$47*37.719))*43758.5453)))-1))))/1000))*COS(SQRT((Scenario_Data!W31)^2+Inputs!$C$6^2)/Inputs!$C$52))*1000)/Inputs!$C$21*1000000</f>
        <v/>
      </c>
    </row>
    <row r="32">
      <c r="A32">
        <f>Chart_Data!K32</f>
        <v/>
      </c>
      <c r="B32">
        <f>Chart_Data!N32-Chart_Data!L32</f>
        <v/>
      </c>
      <c r="D32">
        <f>Chart_Data!G32</f>
        <v/>
      </c>
      <c r="E32">
        <f>Chart_Data!H32</f>
        <v/>
      </c>
      <c r="F32">
        <f>Chart_Data!I32</f>
        <v/>
      </c>
      <c r="G32">
        <f>Chart_Data!J32</f>
        <v/>
      </c>
      <c r="I32">
        <f>Scenario_Data!A32</f>
        <v/>
      </c>
      <c r="J32">
        <f>Scenario_Data!H32-(((SQRT((Inputs!$C$52+(Inputs!$H$6))^2+Inputs!$C$52^2-2*(Inputs!$C$52+(Inputs!$H$6))*Inputs!$C$52*COS(SQRT((Scenario_Data!T32)^2+Inputs!$C$6^2)/Inputs!$C$52)))-(Inputs!$H$6))*1000/Inputs!$C$12)</f>
        <v/>
      </c>
      <c r="K32">
        <f>Scenario_Data!I32-(((SQRT((Inputs!$C$52+(Inputs!$H$7))^2+Inputs!$C$52^2-2*(Inputs!$C$52+(Inputs!$H$7))*Inputs!$C$52*COS(SQRT((Scenario_Data!U32)^2+Inputs!$C$6^2)/Inputs!$C$52)))-(Inputs!$H$7))*1000/Inputs!$C$12)</f>
        <v/>
      </c>
      <c r="L32">
        <f>Scenario_Data!J32-(((SQRT((Inputs!$C$52+(Inputs!$H$8))^2+Inputs!$C$52^2-2*(Inputs!$C$52+(Inputs!$H$8))*Inputs!$C$52*COS(SQRT((Scenario_Data!V32)^2+Inputs!$C$6^2)/Inputs!$C$52)))-(Inputs!$H$8))*1000/Inputs!$C$12)</f>
        <v/>
      </c>
      <c r="M32">
        <f>Scenario_Data!K32-(((SQRT((Inputs!$C$52+(Inputs!$H$9))^2+Inputs!$C$52^2-2*(Inputs!$C$52+(Inputs!$H$9))*Inputs!$C$52*COS(SQRT((Scenario_Data!W32)^2+Inputs!$C$6^2)/Inputs!$C$52)))-(Inputs!$H$9))*1000/Inputs!$C$12)</f>
        <v/>
      </c>
      <c r="O32">
        <f>Scenario_Data!T32</f>
        <v/>
      </c>
      <c r="P32">
        <f>2*(Scenario_Data!B32*1000)/Inputs!$C$21*1000000</f>
        <v/>
      </c>
      <c r="Q32">
        <f>Scenario_Data!U32</f>
        <v/>
      </c>
      <c r="R32">
        <f>2*(Scenario_Data!C32*1000)/Inputs!$C$21*1000000</f>
        <v/>
      </c>
      <c r="S32">
        <f>Scenario_Data!V32</f>
        <v/>
      </c>
      <c r="T32">
        <f>2*(Scenario_Data!D32*1000)/Inputs!$C$21*1000000</f>
        <v/>
      </c>
      <c r="U32">
        <f>Scenario_Data!W32</f>
        <v/>
      </c>
      <c r="V32">
        <f>2*(Scenario_Data!E32*1000)/Inputs!$C$21*1000000</f>
        <v/>
      </c>
      <c r="X32">
        <f>Scenario_Data!T32</f>
        <v/>
      </c>
      <c r="Y32">
        <f>2*((Scenario_Data!B32*1000)-(IF(OR(Inputs!$C$27=TRUE,Inputs!$C$27="TRUE",Inputs!$C$27=1),1,0)*(Inputs!$C$51*(115*EXP(-(((0)-25)^2)/(4.5^2))+70*EXP(-(((0)+38)^2)/(7^2))*(0.55+0.45*SIN(2*PI()*(Scenario_Data!T32)/45))+24*SIN(2*PI()*(0)/9+(Scenario_Data!T32)/18)*EXP(-(((0)+5)^2)/(22^2))+18*SIN(2*PI()*(Scenario_Data!T32)/70))+Inputs!$C$28*EXP(-(((Scenario_Data!T32)-Inputs!$C$29)^2)/(2*Inputs!$C$31^2))*EXP(-(((0)-Inputs!$C$30)^2)/(2*Inputs!$C$32^2))+-Inputs!$C$33*EXP(-(((((Scenario_Data!T32)-Inputs!$C$34)^2)+(((0)-Inputs!$C$35)^2))/(2*Inputs!$C$36^2)))+Inputs!$C$37*(0.55*SIN(2*PI()*(Scenario_Data!T32)/Inputs!$C$39)+0.35*COS(2*PI()*(0)/Inputs!$C$40)+0.2*SIN(2*PI()*((Scenario_Data!T32)+(0))/(0.5*(Inputs!$C$39+Inputs!$C$40))))+Inputs!$C$38*SIN(2*PI()*(Scenario_Data!T32)/Inputs!$C$39)*SIN(2*PI()*(0)/Inputs!$C$40)+-Inputs!$C$41*EXP(-(((0)-Inputs!$C$43)^2)/(2*Inputs!$C$44^2))*EXP(-(((Scenario_Data!T32)-Inputs!$C$42)^2)/(2*Inputs!$C$45^2))+Inputs!$C$48*(0.7*(0.45*SIN(2*PI()*(((Scenario_Data!T32)/Inputs!$C$49)+Inputs!$C$47*0.137))+0.35*COS(2*PI()*(((0)/Inputs!$C$50)+Inputs!$C$47*0.173))+0.2*SIN(2*PI()*((((Scenario_Data!T32)+(0))/(0.5*(Inputs!$C$49+Inputs!$C$50)))+Inputs!$C$47*0.097)))+0.3*(2*((SIN(((Scenario_Data!T32)*12.9898+(0)*78.233+Inputs!$C$47*37.719))*43758.5453)-INT((SIN(((Scenario_Data!T32)*12.9898+(0)*78.233+Inputs!$C$47*37.719))*43758.5453)))-1)))))/Inputs!$C$21*1000000</f>
        <v/>
      </c>
      <c r="Z32">
        <f>Scenario_Data!U32</f>
        <v/>
      </c>
      <c r="AA32">
        <f>2*((Scenario_Data!C32*1000)-(IF(OR(Inputs!$C$27=TRUE,Inputs!$C$27="TRUE",Inputs!$C$27=1),1,0)*(Inputs!$C$51*(115*EXP(-(((0)-25)^2)/(4.5^2))+70*EXP(-(((0)+38)^2)/(7^2))*(0.55+0.45*SIN(2*PI()*(Scenario_Data!U32)/45))+24*SIN(2*PI()*(0)/9+(Scenario_Data!U32)/18)*EXP(-(((0)+5)^2)/(22^2))+18*SIN(2*PI()*(Scenario_Data!U32)/70))+Inputs!$C$28*EXP(-(((Scenario_Data!U32)-Inputs!$C$29)^2)/(2*Inputs!$C$31^2))*EXP(-(((0)-Inputs!$C$30)^2)/(2*Inputs!$C$32^2))+-Inputs!$C$33*EXP(-(((((Scenario_Data!U32)-Inputs!$C$34)^2)+(((0)-Inputs!$C$35)^2))/(2*Inputs!$C$36^2)))+Inputs!$C$37*(0.55*SIN(2*PI()*(Scenario_Data!U32)/Inputs!$C$39)+0.35*COS(2*PI()*(0)/Inputs!$C$40)+0.2*SIN(2*PI()*((Scenario_Data!U32)+(0))/(0.5*(Inputs!$C$39+Inputs!$C$40))))+Inputs!$C$38*SIN(2*PI()*(Scenario_Data!U32)/Inputs!$C$39)*SIN(2*PI()*(0)/Inputs!$C$40)+-Inputs!$C$41*EXP(-(((0)-Inputs!$C$43)^2)/(2*Inputs!$C$44^2))*EXP(-(((Scenario_Data!U32)-Inputs!$C$42)^2)/(2*Inputs!$C$45^2))+Inputs!$C$48*(0.7*(0.45*SIN(2*PI()*(((Scenario_Data!U32)/Inputs!$C$49)+Inputs!$C$47*0.137))+0.35*COS(2*PI()*(((0)/Inputs!$C$50)+Inputs!$C$47*0.173))+0.2*SIN(2*PI()*((((Scenario_Data!U32)+(0))/(0.5*(Inputs!$C$49+Inputs!$C$50)))+Inputs!$C$47*0.097)))+0.3*(2*((SIN(((Scenario_Data!U32)*12.9898+(0)*78.233+Inputs!$C$47*37.719))*43758.5453)-INT((SIN(((Scenario_Data!U32)*12.9898+(0)*78.233+Inputs!$C$47*37.719))*43758.5453)))-1)))))/Inputs!$C$21*1000000</f>
        <v/>
      </c>
      <c r="AB32">
        <f>Scenario_Data!V32</f>
        <v/>
      </c>
      <c r="AC32">
        <f>2*((Scenario_Data!D32*1000)-(IF(OR(Inputs!$C$27=TRUE,Inputs!$C$27="TRUE",Inputs!$C$27=1),1,0)*(Inputs!$C$51*(115*EXP(-(((0)-25)^2)/(4.5^2))+70*EXP(-(((0)+38)^2)/(7^2))*(0.55+0.45*SIN(2*PI()*(Scenario_Data!V32)/45))+24*SIN(2*PI()*(0)/9+(Scenario_Data!V32)/18)*EXP(-(((0)+5)^2)/(22^2))+18*SIN(2*PI()*(Scenario_Data!V32)/70))+Inputs!$C$28*EXP(-(((Scenario_Data!V32)-Inputs!$C$29)^2)/(2*Inputs!$C$31^2))*EXP(-(((0)-Inputs!$C$30)^2)/(2*Inputs!$C$32^2))+-Inputs!$C$33*EXP(-(((((Scenario_Data!V32)-Inputs!$C$34)^2)+(((0)-Inputs!$C$35)^2))/(2*Inputs!$C$36^2)))+Inputs!$C$37*(0.55*SIN(2*PI()*(Scenario_Data!V32)/Inputs!$C$39)+0.35*COS(2*PI()*(0)/Inputs!$C$40)+0.2*SIN(2*PI()*((Scenario_Data!V32)+(0))/(0.5*(Inputs!$C$39+Inputs!$C$40))))+Inputs!$C$38*SIN(2*PI()*(Scenario_Data!V32)/Inputs!$C$39)*SIN(2*PI()*(0)/Inputs!$C$40)+-Inputs!$C$41*EXP(-(((0)-Inputs!$C$43)^2)/(2*Inputs!$C$44^2))*EXP(-(((Scenario_Data!V32)-Inputs!$C$42)^2)/(2*Inputs!$C$45^2))+Inputs!$C$48*(0.7*(0.45*SIN(2*PI()*(((Scenario_Data!V32)/Inputs!$C$49)+Inputs!$C$47*0.137))+0.35*COS(2*PI()*(((0)/Inputs!$C$50)+Inputs!$C$47*0.173))+0.2*SIN(2*PI()*((((Scenario_Data!V32)+(0))/(0.5*(Inputs!$C$49+Inputs!$C$50)))+Inputs!$C$47*0.097)))+0.3*(2*((SIN(((Scenario_Data!V32)*12.9898+(0)*78.233+Inputs!$C$47*37.719))*43758.5453)-INT((SIN(((Scenario_Data!V32)*12.9898+(0)*78.233+Inputs!$C$47*37.719))*43758.5453)))-1)))))/Inputs!$C$21*1000000</f>
        <v/>
      </c>
      <c r="AD32">
        <f>Scenario_Data!W32</f>
        <v/>
      </c>
      <c r="AE32">
        <f>2*((Scenario_Data!E32*1000)-(IF(OR(Inputs!$C$27=TRUE,Inputs!$C$27="TRUE",Inputs!$C$27=1),1,0)*(Inputs!$C$51*(115*EXP(-(((0)-25)^2)/(4.5^2))+70*EXP(-(((0)+38)^2)/(7^2))*(0.55+0.45*SIN(2*PI()*(Scenario_Data!W32)/45))+24*SIN(2*PI()*(0)/9+(Scenario_Data!W32)/18)*EXP(-(((0)+5)^2)/(22^2))+18*SIN(2*PI()*(Scenario_Data!W32)/70))+Inputs!$C$28*EXP(-(((Scenario_Data!W32)-Inputs!$C$29)^2)/(2*Inputs!$C$31^2))*EXP(-(((0)-Inputs!$C$30)^2)/(2*Inputs!$C$32^2))+-Inputs!$C$33*EXP(-(((((Scenario_Data!W32)-Inputs!$C$34)^2)+(((0)-Inputs!$C$35)^2))/(2*Inputs!$C$36^2)))+Inputs!$C$37*(0.55*SIN(2*PI()*(Scenario_Data!W32)/Inputs!$C$39)+0.35*COS(2*PI()*(0)/Inputs!$C$40)+0.2*SIN(2*PI()*((Scenario_Data!W32)+(0))/(0.5*(Inputs!$C$39+Inputs!$C$40))))+Inputs!$C$38*SIN(2*PI()*(Scenario_Data!W32)/Inputs!$C$39)*SIN(2*PI()*(0)/Inputs!$C$40)+-Inputs!$C$41*EXP(-(((0)-Inputs!$C$43)^2)/(2*Inputs!$C$44^2))*EXP(-(((Scenario_Data!W32)-Inputs!$C$42)^2)/(2*Inputs!$C$45^2))+Inputs!$C$48*(0.7*(0.45*SIN(2*PI()*(((Scenario_Data!W32)/Inputs!$C$49)+Inputs!$C$47*0.137))+0.35*COS(2*PI()*(((0)/Inputs!$C$50)+Inputs!$C$47*0.173))+0.2*SIN(2*PI()*((((Scenario_Data!W32)+(0))/(0.5*(Inputs!$C$49+Inputs!$C$50)))+Inputs!$C$47*0.097)))+0.3*(2*((SIN(((Scenario_Data!W32)*12.9898+(0)*78.233+Inputs!$C$47*37.719))*43758.5453)-INT((SIN(((Scenario_Data!W32)*12.9898+(0)*78.233+Inputs!$C$47*37.719))*43758.5453)))-1)))))/Inputs!$C$21*1000000</f>
        <v/>
      </c>
      <c r="AG32">
        <f>Scenario_Data!T32</f>
        <v/>
      </c>
      <c r="AH32">
        <f>2*(SQRT((Inputs!$C$52+(Scenario_Data!B32))^2+Inputs!$C$52^2-2*(Inputs!$C$52+(Scenario_Data!B32))*Inputs!$C$52*COS(SQRT((Scenario_Data!T32)^2+Inputs!$C$6^2)/Inputs!$C$52))*1000)/Inputs!$C$21*1000000</f>
        <v/>
      </c>
      <c r="AI32">
        <f>Scenario_Data!U32</f>
        <v/>
      </c>
      <c r="AJ32">
        <f>2*(SQRT((Inputs!$C$52+(Scenario_Data!C32))^2+Inputs!$C$52^2-2*(Inputs!$C$52+(Scenario_Data!C32))*Inputs!$C$52*COS(SQRT((Scenario_Data!U32)^2+Inputs!$C$6^2)/Inputs!$C$52))*1000)/Inputs!$C$21*1000000</f>
        <v/>
      </c>
      <c r="AK32">
        <f>Scenario_Data!V32</f>
        <v/>
      </c>
      <c r="AL32">
        <f>2*(SQRT((Inputs!$C$52+(Scenario_Data!D32))^2+Inputs!$C$52^2-2*(Inputs!$C$52+(Scenario_Data!D32))*Inputs!$C$52*COS(SQRT((Scenario_Data!V32)^2+Inputs!$C$6^2)/Inputs!$C$52))*1000)/Inputs!$C$21*1000000</f>
        <v/>
      </c>
      <c r="AM32">
        <f>Scenario_Data!W32</f>
        <v/>
      </c>
      <c r="AN32">
        <f>2*(SQRT((Inputs!$C$52+(Scenario_Data!E32))^2+Inputs!$C$52^2-2*(Inputs!$C$52+(Scenario_Data!E32))*Inputs!$C$52*COS(SQRT((Scenario_Data!W32)^2+Inputs!$C$6^2)/Inputs!$C$52))*1000)/Inputs!$C$21*1000000</f>
        <v/>
      </c>
      <c r="AP32">
        <f>Scenario_Data!T32</f>
        <v/>
      </c>
      <c r="AQ32">
        <f>2*(SQRT((Inputs!$C$52+(Scenario_Data!B32))^2+(Inputs!$C$52+((IF(OR(Inputs!$C$27=TRUE,Inputs!$C$27="TRUE",Inputs!$C$27=1),1,0)*(Inputs!$C$51*(115*EXP(-(((Inputs!$C$6)-25)^2)/(4.5^2))+70*EXP(-(((Inputs!$C$6)+38)^2)/(7^2))*(0.55+0.45*SIN(2*PI()*(Scenario_Data!T32)/45))+24*SIN(2*PI()*(Inputs!$C$6)/9+(Scenario_Data!T32)/18)*EXP(-(((Inputs!$C$6)+5)^2)/(22^2))+18*SIN(2*PI()*(Scenario_Data!T32)/70))+Inputs!$C$28*EXP(-(((Scenario_Data!T32)-Inputs!$C$29)^2)/(2*Inputs!$C$31^2))*EXP(-(((Inputs!$C$6)-Inputs!$C$30)^2)/(2*Inputs!$C$32^2))+-Inputs!$C$33*EXP(-(((((Scenario_Data!T32)-Inputs!$C$34)^2)+(((Inputs!$C$6)-Inputs!$C$35)^2))/(2*Inputs!$C$36^2)))+Inputs!$C$37*(0.55*SIN(2*PI()*(Scenario_Data!T32)/Inputs!$C$39)+0.35*COS(2*PI()*(Inputs!$C$6)/Inputs!$C$40)+0.2*SIN(2*PI()*((Scenario_Data!T32)+(Inputs!$C$6))/(0.5*(Inputs!$C$39+Inputs!$C$40))))+Inputs!$C$38*SIN(2*PI()*(Scenario_Data!T32)/Inputs!$C$39)*SIN(2*PI()*(Inputs!$C$6)/Inputs!$C$40)+-Inputs!$C$41*EXP(-(((Inputs!$C$6)-Inputs!$C$43)^2)/(2*Inputs!$C$44^2))*EXP(-(((Scenario_Data!T32)-Inputs!$C$42)^2)/(2*Inputs!$C$45^2))+Inputs!$C$48*(0.7*(0.45*SIN(2*PI()*(((Scenario_Data!T32)/Inputs!$C$49)+Inputs!$C$47*0.137))+0.35*COS(2*PI()*(((Inputs!$C$6)/Inputs!$C$50)+Inputs!$C$47*0.173))+0.2*SIN(2*PI()*((((Scenario_Data!T32)+(Inputs!$C$6))/(0.5*(Inputs!$C$49+Inputs!$C$50)))+Inputs!$C$47*0.097)))+0.3*(2*((SIN(((Scenario_Data!T32)*12.9898+(Inputs!$C$6)*78.233+Inputs!$C$47*37.719))*43758.5453)-INT((SIN(((Scenario_Data!T32)*12.9898+(Inputs!$C$6)*78.233+Inputs!$C$47*37.719))*43758.5453)))-1))))/1000))^2-2*(Inputs!$C$52+(Scenario_Data!B32))*(Inputs!$C$52+((IF(OR(Inputs!$C$27=TRUE,Inputs!$C$27="TRUE",Inputs!$C$27=1),1,0)*(Inputs!$C$51*(115*EXP(-(((Inputs!$C$6)-25)^2)/(4.5^2))+70*EXP(-(((Inputs!$C$6)+38)^2)/(7^2))*(0.55+0.45*SIN(2*PI()*(Scenario_Data!T32)/45))+24*SIN(2*PI()*(Inputs!$C$6)/9+(Scenario_Data!T32)/18)*EXP(-(((Inputs!$C$6)+5)^2)/(22^2))+18*SIN(2*PI()*(Scenario_Data!T32)/70))+Inputs!$C$28*EXP(-(((Scenario_Data!T32)-Inputs!$C$29)^2)/(2*Inputs!$C$31^2))*EXP(-(((Inputs!$C$6)-Inputs!$C$30)^2)/(2*Inputs!$C$32^2))+-Inputs!$C$33*EXP(-(((((Scenario_Data!T32)-Inputs!$C$34)^2)+(((Inputs!$C$6)-Inputs!$C$35)^2))/(2*Inputs!$C$36^2)))+Inputs!$C$37*(0.55*SIN(2*PI()*(Scenario_Data!T32)/Inputs!$C$39)+0.35*COS(2*PI()*(Inputs!$C$6)/Inputs!$C$40)+0.2*SIN(2*PI()*((Scenario_Data!T32)+(Inputs!$C$6))/(0.5*(Inputs!$C$39+Inputs!$C$40))))+Inputs!$C$38*SIN(2*PI()*(Scenario_Data!T32)/Inputs!$C$39)*SIN(2*PI()*(Inputs!$C$6)/Inputs!$C$40)+-Inputs!$C$41*EXP(-(((Inputs!$C$6)-Inputs!$C$43)^2)/(2*Inputs!$C$44^2))*EXP(-(((Scenario_Data!T32)-Inputs!$C$42)^2)/(2*Inputs!$C$45^2))+Inputs!$C$48*(0.7*(0.45*SIN(2*PI()*(((Scenario_Data!T32)/Inputs!$C$49)+Inputs!$C$47*0.137))+0.35*COS(2*PI()*(((Inputs!$C$6)/Inputs!$C$50)+Inputs!$C$47*0.173))+0.2*SIN(2*PI()*((((Scenario_Data!T32)+(Inputs!$C$6))/(0.5*(Inputs!$C$49+Inputs!$C$50)))+Inputs!$C$47*0.097)))+0.3*(2*((SIN(((Scenario_Data!T32)*12.9898+(Inputs!$C$6)*78.233+Inputs!$C$47*37.719))*43758.5453)-INT((SIN(((Scenario_Data!T32)*12.9898+(Inputs!$C$6)*78.233+Inputs!$C$47*37.719))*43758.5453)))-1))))/1000))*COS(SQRT((Scenario_Data!T32)^2+Inputs!$C$6^2)/Inputs!$C$52))*1000)/Inputs!$C$21*1000000</f>
        <v/>
      </c>
      <c r="AR32">
        <f>Scenario_Data!U32</f>
        <v/>
      </c>
      <c r="AS32">
        <f>2*(SQRT((Inputs!$C$52+(Scenario_Data!C32))^2+(Inputs!$C$52+((IF(OR(Inputs!$C$27=TRUE,Inputs!$C$27="TRUE",Inputs!$C$27=1),1,0)*(Inputs!$C$51*(115*EXP(-(((Inputs!$C$6)-25)^2)/(4.5^2))+70*EXP(-(((Inputs!$C$6)+38)^2)/(7^2))*(0.55+0.45*SIN(2*PI()*(Scenario_Data!U32)/45))+24*SIN(2*PI()*(Inputs!$C$6)/9+(Scenario_Data!U32)/18)*EXP(-(((Inputs!$C$6)+5)^2)/(22^2))+18*SIN(2*PI()*(Scenario_Data!U32)/70))+Inputs!$C$28*EXP(-(((Scenario_Data!U32)-Inputs!$C$29)^2)/(2*Inputs!$C$31^2))*EXP(-(((Inputs!$C$6)-Inputs!$C$30)^2)/(2*Inputs!$C$32^2))+-Inputs!$C$33*EXP(-(((((Scenario_Data!U32)-Inputs!$C$34)^2)+(((Inputs!$C$6)-Inputs!$C$35)^2))/(2*Inputs!$C$36^2)))+Inputs!$C$37*(0.55*SIN(2*PI()*(Scenario_Data!U32)/Inputs!$C$39)+0.35*COS(2*PI()*(Inputs!$C$6)/Inputs!$C$40)+0.2*SIN(2*PI()*((Scenario_Data!U32)+(Inputs!$C$6))/(0.5*(Inputs!$C$39+Inputs!$C$40))))+Inputs!$C$38*SIN(2*PI()*(Scenario_Data!U32)/Inputs!$C$39)*SIN(2*PI()*(Inputs!$C$6)/Inputs!$C$40)+-Inputs!$C$41*EXP(-(((Inputs!$C$6)-Inputs!$C$43)^2)/(2*Inputs!$C$44^2))*EXP(-(((Scenario_Data!U32)-Inputs!$C$42)^2)/(2*Inputs!$C$45^2))+Inputs!$C$48*(0.7*(0.45*SIN(2*PI()*(((Scenario_Data!U32)/Inputs!$C$49)+Inputs!$C$47*0.137))+0.35*COS(2*PI()*(((Inputs!$C$6)/Inputs!$C$50)+Inputs!$C$47*0.173))+0.2*SIN(2*PI()*((((Scenario_Data!U32)+(Inputs!$C$6))/(0.5*(Inputs!$C$49+Inputs!$C$50)))+Inputs!$C$47*0.097)))+0.3*(2*((SIN(((Scenario_Data!U32)*12.9898+(Inputs!$C$6)*78.233+Inputs!$C$47*37.719))*43758.5453)-INT((SIN(((Scenario_Data!U32)*12.9898+(Inputs!$C$6)*78.233+Inputs!$C$47*37.719))*43758.5453)))-1))))/1000))^2-2*(Inputs!$C$52+(Scenario_Data!C32))*(Inputs!$C$52+((IF(OR(Inputs!$C$27=TRUE,Inputs!$C$27="TRUE",Inputs!$C$27=1),1,0)*(Inputs!$C$51*(115*EXP(-(((Inputs!$C$6)-25)^2)/(4.5^2))+70*EXP(-(((Inputs!$C$6)+38)^2)/(7^2))*(0.55+0.45*SIN(2*PI()*(Scenario_Data!U32)/45))+24*SIN(2*PI()*(Inputs!$C$6)/9+(Scenario_Data!U32)/18)*EXP(-(((Inputs!$C$6)+5)^2)/(22^2))+18*SIN(2*PI()*(Scenario_Data!U32)/70))+Inputs!$C$28*EXP(-(((Scenario_Data!U32)-Inputs!$C$29)^2)/(2*Inputs!$C$31^2))*EXP(-(((Inputs!$C$6)-Inputs!$C$30)^2)/(2*Inputs!$C$32^2))+-Inputs!$C$33*EXP(-(((((Scenario_Data!U32)-Inputs!$C$34)^2)+(((Inputs!$C$6)-Inputs!$C$35)^2))/(2*Inputs!$C$36^2)))+Inputs!$C$37*(0.55*SIN(2*PI()*(Scenario_Data!U32)/Inputs!$C$39)+0.35*COS(2*PI()*(Inputs!$C$6)/Inputs!$C$40)+0.2*SIN(2*PI()*((Scenario_Data!U32)+(Inputs!$C$6))/(0.5*(Inputs!$C$39+Inputs!$C$40))))+Inputs!$C$38*SIN(2*PI()*(Scenario_Data!U32)/Inputs!$C$39)*SIN(2*PI()*(Inputs!$C$6)/Inputs!$C$40)+-Inputs!$C$41*EXP(-(((Inputs!$C$6)-Inputs!$C$43)^2)/(2*Inputs!$C$44^2))*EXP(-(((Scenario_Data!U32)-Inputs!$C$42)^2)/(2*Inputs!$C$45^2))+Inputs!$C$48*(0.7*(0.45*SIN(2*PI()*(((Scenario_Data!U32)/Inputs!$C$49)+Inputs!$C$47*0.137))+0.35*COS(2*PI()*(((Inputs!$C$6)/Inputs!$C$50)+Inputs!$C$47*0.173))+0.2*SIN(2*PI()*((((Scenario_Data!U32)+(Inputs!$C$6))/(0.5*(Inputs!$C$49+Inputs!$C$50)))+Inputs!$C$47*0.097)))+0.3*(2*((SIN(((Scenario_Data!U32)*12.9898+(Inputs!$C$6)*78.233+Inputs!$C$47*37.719))*43758.5453)-INT((SIN(((Scenario_Data!U32)*12.9898+(Inputs!$C$6)*78.233+Inputs!$C$47*37.719))*43758.5453)))-1))))/1000))*COS(SQRT((Scenario_Data!U32)^2+Inputs!$C$6^2)/Inputs!$C$52))*1000)/Inputs!$C$21*1000000</f>
        <v/>
      </c>
      <c r="AT32">
        <f>Scenario_Data!V32</f>
        <v/>
      </c>
      <c r="AU32">
        <f>2*(SQRT((Inputs!$C$52+(Scenario_Data!D32))^2+(Inputs!$C$52+((IF(OR(Inputs!$C$27=TRUE,Inputs!$C$27="TRUE",Inputs!$C$27=1),1,0)*(Inputs!$C$51*(115*EXP(-(((Inputs!$C$6)-25)^2)/(4.5^2))+70*EXP(-(((Inputs!$C$6)+38)^2)/(7^2))*(0.55+0.45*SIN(2*PI()*(Scenario_Data!V32)/45))+24*SIN(2*PI()*(Inputs!$C$6)/9+(Scenario_Data!V32)/18)*EXP(-(((Inputs!$C$6)+5)^2)/(22^2))+18*SIN(2*PI()*(Scenario_Data!V32)/70))+Inputs!$C$28*EXP(-(((Scenario_Data!V32)-Inputs!$C$29)^2)/(2*Inputs!$C$31^2))*EXP(-(((Inputs!$C$6)-Inputs!$C$30)^2)/(2*Inputs!$C$32^2))+-Inputs!$C$33*EXP(-(((((Scenario_Data!V32)-Inputs!$C$34)^2)+(((Inputs!$C$6)-Inputs!$C$35)^2))/(2*Inputs!$C$36^2)))+Inputs!$C$37*(0.55*SIN(2*PI()*(Scenario_Data!V32)/Inputs!$C$39)+0.35*COS(2*PI()*(Inputs!$C$6)/Inputs!$C$40)+0.2*SIN(2*PI()*((Scenario_Data!V32)+(Inputs!$C$6))/(0.5*(Inputs!$C$39+Inputs!$C$40))))+Inputs!$C$38*SIN(2*PI()*(Scenario_Data!V32)/Inputs!$C$39)*SIN(2*PI()*(Inputs!$C$6)/Inputs!$C$40)+-Inputs!$C$41*EXP(-(((Inputs!$C$6)-Inputs!$C$43)^2)/(2*Inputs!$C$44^2))*EXP(-(((Scenario_Data!V32)-Inputs!$C$42)^2)/(2*Inputs!$C$45^2))+Inputs!$C$48*(0.7*(0.45*SIN(2*PI()*(((Scenario_Data!V32)/Inputs!$C$49)+Inputs!$C$47*0.137))+0.35*COS(2*PI()*(((Inputs!$C$6)/Inputs!$C$50)+Inputs!$C$47*0.173))+0.2*SIN(2*PI()*((((Scenario_Data!V32)+(Inputs!$C$6))/(0.5*(Inputs!$C$49+Inputs!$C$50)))+Inputs!$C$47*0.097)))+0.3*(2*((SIN(((Scenario_Data!V32)*12.9898+(Inputs!$C$6)*78.233+Inputs!$C$47*37.719))*43758.5453)-INT((SIN(((Scenario_Data!V32)*12.9898+(Inputs!$C$6)*78.233+Inputs!$C$47*37.719))*43758.5453)))-1))))/1000))^2-2*(Inputs!$C$52+(Scenario_Data!D32))*(Inputs!$C$52+((IF(OR(Inputs!$C$27=TRUE,Inputs!$C$27="TRUE",Inputs!$C$27=1),1,0)*(Inputs!$C$51*(115*EXP(-(((Inputs!$C$6)-25)^2)/(4.5^2))+70*EXP(-(((Inputs!$C$6)+38)^2)/(7^2))*(0.55+0.45*SIN(2*PI()*(Scenario_Data!V32)/45))+24*SIN(2*PI()*(Inputs!$C$6)/9+(Scenario_Data!V32)/18)*EXP(-(((Inputs!$C$6)+5)^2)/(22^2))+18*SIN(2*PI()*(Scenario_Data!V32)/70))+Inputs!$C$28*EXP(-(((Scenario_Data!V32)-Inputs!$C$29)^2)/(2*Inputs!$C$31^2))*EXP(-(((Inputs!$C$6)-Inputs!$C$30)^2)/(2*Inputs!$C$32^2))+-Inputs!$C$33*EXP(-(((((Scenario_Data!V32)-Inputs!$C$34)^2)+(((Inputs!$C$6)-Inputs!$C$35)^2))/(2*Inputs!$C$36^2)))+Inputs!$C$37*(0.55*SIN(2*PI()*(Scenario_Data!V32)/Inputs!$C$39)+0.35*COS(2*PI()*(Inputs!$C$6)/Inputs!$C$40)+0.2*SIN(2*PI()*((Scenario_Data!V32)+(Inputs!$C$6))/(0.5*(Inputs!$C$39+Inputs!$C$40))))+Inputs!$C$38*SIN(2*PI()*(Scenario_Data!V32)/Inputs!$C$39)*SIN(2*PI()*(Inputs!$C$6)/Inputs!$C$40)+-Inputs!$C$41*EXP(-(((Inputs!$C$6)-Inputs!$C$43)^2)/(2*Inputs!$C$44^2))*EXP(-(((Scenario_Data!V32)-Inputs!$C$42)^2)/(2*Inputs!$C$45^2))+Inputs!$C$48*(0.7*(0.45*SIN(2*PI()*(((Scenario_Data!V32)/Inputs!$C$49)+Inputs!$C$47*0.137))+0.35*COS(2*PI()*(((Inputs!$C$6)/Inputs!$C$50)+Inputs!$C$47*0.173))+0.2*SIN(2*PI()*((((Scenario_Data!V32)+(Inputs!$C$6))/(0.5*(Inputs!$C$49+Inputs!$C$50)))+Inputs!$C$47*0.097)))+0.3*(2*((SIN(((Scenario_Data!V32)*12.9898+(Inputs!$C$6)*78.233+Inputs!$C$47*37.719))*43758.5453)-INT((SIN(((Scenario_Data!V32)*12.9898+(Inputs!$C$6)*78.233+Inputs!$C$47*37.719))*43758.5453)))-1))))/1000))*COS(SQRT((Scenario_Data!V32)^2+Inputs!$C$6^2)/Inputs!$C$52))*1000)/Inputs!$C$21*1000000</f>
        <v/>
      </c>
      <c r="AV32">
        <f>Scenario_Data!W32</f>
        <v/>
      </c>
      <c r="AW32">
        <f>2*(SQRT((Inputs!$C$52+(Scenario_Data!E32))^2+(Inputs!$C$52+((IF(OR(Inputs!$C$27=TRUE,Inputs!$C$27="TRUE",Inputs!$C$27=1),1,0)*(Inputs!$C$51*(115*EXP(-(((Inputs!$C$6)-25)^2)/(4.5^2))+70*EXP(-(((Inputs!$C$6)+38)^2)/(7^2))*(0.55+0.45*SIN(2*PI()*(Scenario_Data!W32)/45))+24*SIN(2*PI()*(Inputs!$C$6)/9+(Scenario_Data!W32)/18)*EXP(-(((Inputs!$C$6)+5)^2)/(22^2))+18*SIN(2*PI()*(Scenario_Data!W32)/70))+Inputs!$C$28*EXP(-(((Scenario_Data!W32)-Inputs!$C$29)^2)/(2*Inputs!$C$31^2))*EXP(-(((Inputs!$C$6)-Inputs!$C$30)^2)/(2*Inputs!$C$32^2))+-Inputs!$C$33*EXP(-(((((Scenario_Data!W32)-Inputs!$C$34)^2)+(((Inputs!$C$6)-Inputs!$C$35)^2))/(2*Inputs!$C$36^2)))+Inputs!$C$37*(0.55*SIN(2*PI()*(Scenario_Data!W32)/Inputs!$C$39)+0.35*COS(2*PI()*(Inputs!$C$6)/Inputs!$C$40)+0.2*SIN(2*PI()*((Scenario_Data!W32)+(Inputs!$C$6))/(0.5*(Inputs!$C$39+Inputs!$C$40))))+Inputs!$C$38*SIN(2*PI()*(Scenario_Data!W32)/Inputs!$C$39)*SIN(2*PI()*(Inputs!$C$6)/Inputs!$C$40)+-Inputs!$C$41*EXP(-(((Inputs!$C$6)-Inputs!$C$43)^2)/(2*Inputs!$C$44^2))*EXP(-(((Scenario_Data!W32)-Inputs!$C$42)^2)/(2*Inputs!$C$45^2))+Inputs!$C$48*(0.7*(0.45*SIN(2*PI()*(((Scenario_Data!W32)/Inputs!$C$49)+Inputs!$C$47*0.137))+0.35*COS(2*PI()*(((Inputs!$C$6)/Inputs!$C$50)+Inputs!$C$47*0.173))+0.2*SIN(2*PI()*((((Scenario_Data!W32)+(Inputs!$C$6))/(0.5*(Inputs!$C$49+Inputs!$C$50)))+Inputs!$C$47*0.097)))+0.3*(2*((SIN(((Scenario_Data!W32)*12.9898+(Inputs!$C$6)*78.233+Inputs!$C$47*37.719))*43758.5453)-INT((SIN(((Scenario_Data!W32)*12.9898+(Inputs!$C$6)*78.233+Inputs!$C$47*37.719))*43758.5453)))-1))))/1000))^2-2*(Inputs!$C$52+(Scenario_Data!E32))*(Inputs!$C$52+((IF(OR(Inputs!$C$27=TRUE,Inputs!$C$27="TRUE",Inputs!$C$27=1),1,0)*(Inputs!$C$51*(115*EXP(-(((Inputs!$C$6)-25)^2)/(4.5^2))+70*EXP(-(((Inputs!$C$6)+38)^2)/(7^2))*(0.55+0.45*SIN(2*PI()*(Scenario_Data!W32)/45))+24*SIN(2*PI()*(Inputs!$C$6)/9+(Scenario_Data!W32)/18)*EXP(-(((Inputs!$C$6)+5)^2)/(22^2))+18*SIN(2*PI()*(Scenario_Data!W32)/70))+Inputs!$C$28*EXP(-(((Scenario_Data!W32)-Inputs!$C$29)^2)/(2*Inputs!$C$31^2))*EXP(-(((Inputs!$C$6)-Inputs!$C$30)^2)/(2*Inputs!$C$32^2))+-Inputs!$C$33*EXP(-(((((Scenario_Data!W32)-Inputs!$C$34)^2)+(((Inputs!$C$6)-Inputs!$C$35)^2))/(2*Inputs!$C$36^2)))+Inputs!$C$37*(0.55*SIN(2*PI()*(Scenario_Data!W32)/Inputs!$C$39)+0.35*COS(2*PI()*(Inputs!$C$6)/Inputs!$C$40)+0.2*SIN(2*PI()*((Scenario_Data!W32)+(Inputs!$C$6))/(0.5*(Inputs!$C$39+Inputs!$C$40))))+Inputs!$C$38*SIN(2*PI()*(Scenario_Data!W32)/Inputs!$C$39)*SIN(2*PI()*(Inputs!$C$6)/Inputs!$C$40)+-Inputs!$C$41*EXP(-(((Inputs!$C$6)-Inputs!$C$43)^2)/(2*Inputs!$C$44^2))*EXP(-(((Scenario_Data!W32)-Inputs!$C$42)^2)/(2*Inputs!$C$45^2))+Inputs!$C$48*(0.7*(0.45*SIN(2*PI()*(((Scenario_Data!W32)/Inputs!$C$49)+Inputs!$C$47*0.137))+0.35*COS(2*PI()*(((Inputs!$C$6)/Inputs!$C$50)+Inputs!$C$47*0.173))+0.2*SIN(2*PI()*((((Scenario_Data!W32)+(Inputs!$C$6))/(0.5*(Inputs!$C$49+Inputs!$C$50)))+Inputs!$C$47*0.097)))+0.3*(2*((SIN(((Scenario_Data!W32)*12.9898+(Inputs!$C$6)*78.233+Inputs!$C$47*37.719))*43758.5453)-INT((SIN(((Scenario_Data!W32)*12.9898+(Inputs!$C$6)*78.233+Inputs!$C$47*37.719))*43758.5453)))-1))))/1000))*COS(SQRT((Scenario_Data!W32)^2+Inputs!$C$6^2)/Inputs!$C$52))*1000)/Inputs!$C$21*1000000</f>
        <v/>
      </c>
    </row>
    <row r="33">
      <c r="A33">
        <f>Chart_Data!K33</f>
        <v/>
      </c>
      <c r="B33">
        <f>Chart_Data!N33-Chart_Data!L33</f>
        <v/>
      </c>
      <c r="D33">
        <f>Chart_Data!G33</f>
        <v/>
      </c>
      <c r="E33">
        <f>Chart_Data!H33</f>
        <v/>
      </c>
      <c r="F33">
        <f>Chart_Data!I33</f>
        <v/>
      </c>
      <c r="G33">
        <f>Chart_Data!J33</f>
        <v/>
      </c>
      <c r="I33">
        <f>Scenario_Data!A33</f>
        <v/>
      </c>
      <c r="J33">
        <f>Scenario_Data!H33-(((SQRT((Inputs!$C$52+(Inputs!$H$6))^2+Inputs!$C$52^2-2*(Inputs!$C$52+(Inputs!$H$6))*Inputs!$C$52*COS(SQRT((Scenario_Data!T33)^2+Inputs!$C$6^2)/Inputs!$C$52)))-(Inputs!$H$6))*1000/Inputs!$C$12)</f>
        <v/>
      </c>
      <c r="K33">
        <f>Scenario_Data!I33-(((SQRT((Inputs!$C$52+(Inputs!$H$7))^2+Inputs!$C$52^2-2*(Inputs!$C$52+(Inputs!$H$7))*Inputs!$C$52*COS(SQRT((Scenario_Data!U33)^2+Inputs!$C$6^2)/Inputs!$C$52)))-(Inputs!$H$7))*1000/Inputs!$C$12)</f>
        <v/>
      </c>
      <c r="L33">
        <f>Scenario_Data!J33-(((SQRT((Inputs!$C$52+(Inputs!$H$8))^2+Inputs!$C$52^2-2*(Inputs!$C$52+(Inputs!$H$8))*Inputs!$C$52*COS(SQRT((Scenario_Data!V33)^2+Inputs!$C$6^2)/Inputs!$C$52)))-(Inputs!$H$8))*1000/Inputs!$C$12)</f>
        <v/>
      </c>
      <c r="M33">
        <f>Scenario_Data!K33-(((SQRT((Inputs!$C$52+(Inputs!$H$9))^2+Inputs!$C$52^2-2*(Inputs!$C$52+(Inputs!$H$9))*Inputs!$C$52*COS(SQRT((Scenario_Data!W33)^2+Inputs!$C$6^2)/Inputs!$C$52)))-(Inputs!$H$9))*1000/Inputs!$C$12)</f>
        <v/>
      </c>
      <c r="O33">
        <f>Scenario_Data!T33</f>
        <v/>
      </c>
      <c r="P33">
        <f>2*(Scenario_Data!B33*1000)/Inputs!$C$21*1000000</f>
        <v/>
      </c>
      <c r="Q33">
        <f>Scenario_Data!U33</f>
        <v/>
      </c>
      <c r="R33">
        <f>2*(Scenario_Data!C33*1000)/Inputs!$C$21*1000000</f>
        <v/>
      </c>
      <c r="S33">
        <f>Scenario_Data!V33</f>
        <v/>
      </c>
      <c r="T33">
        <f>2*(Scenario_Data!D33*1000)/Inputs!$C$21*1000000</f>
        <v/>
      </c>
      <c r="U33">
        <f>Scenario_Data!W33</f>
        <v/>
      </c>
      <c r="V33">
        <f>2*(Scenario_Data!E33*1000)/Inputs!$C$21*1000000</f>
        <v/>
      </c>
      <c r="X33">
        <f>Scenario_Data!T33</f>
        <v/>
      </c>
      <c r="Y33">
        <f>2*((Scenario_Data!B33*1000)-(IF(OR(Inputs!$C$27=TRUE,Inputs!$C$27="TRUE",Inputs!$C$27=1),1,0)*(Inputs!$C$51*(115*EXP(-(((0)-25)^2)/(4.5^2))+70*EXP(-(((0)+38)^2)/(7^2))*(0.55+0.45*SIN(2*PI()*(Scenario_Data!T33)/45))+24*SIN(2*PI()*(0)/9+(Scenario_Data!T33)/18)*EXP(-(((0)+5)^2)/(22^2))+18*SIN(2*PI()*(Scenario_Data!T33)/70))+Inputs!$C$28*EXP(-(((Scenario_Data!T33)-Inputs!$C$29)^2)/(2*Inputs!$C$31^2))*EXP(-(((0)-Inputs!$C$30)^2)/(2*Inputs!$C$32^2))+-Inputs!$C$33*EXP(-(((((Scenario_Data!T33)-Inputs!$C$34)^2)+(((0)-Inputs!$C$35)^2))/(2*Inputs!$C$36^2)))+Inputs!$C$37*(0.55*SIN(2*PI()*(Scenario_Data!T33)/Inputs!$C$39)+0.35*COS(2*PI()*(0)/Inputs!$C$40)+0.2*SIN(2*PI()*((Scenario_Data!T33)+(0))/(0.5*(Inputs!$C$39+Inputs!$C$40))))+Inputs!$C$38*SIN(2*PI()*(Scenario_Data!T33)/Inputs!$C$39)*SIN(2*PI()*(0)/Inputs!$C$40)+-Inputs!$C$41*EXP(-(((0)-Inputs!$C$43)^2)/(2*Inputs!$C$44^2))*EXP(-(((Scenario_Data!T33)-Inputs!$C$42)^2)/(2*Inputs!$C$45^2))+Inputs!$C$48*(0.7*(0.45*SIN(2*PI()*(((Scenario_Data!T33)/Inputs!$C$49)+Inputs!$C$47*0.137))+0.35*COS(2*PI()*(((0)/Inputs!$C$50)+Inputs!$C$47*0.173))+0.2*SIN(2*PI()*((((Scenario_Data!T33)+(0))/(0.5*(Inputs!$C$49+Inputs!$C$50)))+Inputs!$C$47*0.097)))+0.3*(2*((SIN(((Scenario_Data!T33)*12.9898+(0)*78.233+Inputs!$C$47*37.719))*43758.5453)-INT((SIN(((Scenario_Data!T33)*12.9898+(0)*78.233+Inputs!$C$47*37.719))*43758.5453)))-1)))))/Inputs!$C$21*1000000</f>
        <v/>
      </c>
      <c r="Z33">
        <f>Scenario_Data!U33</f>
        <v/>
      </c>
      <c r="AA33">
        <f>2*((Scenario_Data!C33*1000)-(IF(OR(Inputs!$C$27=TRUE,Inputs!$C$27="TRUE",Inputs!$C$27=1),1,0)*(Inputs!$C$51*(115*EXP(-(((0)-25)^2)/(4.5^2))+70*EXP(-(((0)+38)^2)/(7^2))*(0.55+0.45*SIN(2*PI()*(Scenario_Data!U33)/45))+24*SIN(2*PI()*(0)/9+(Scenario_Data!U33)/18)*EXP(-(((0)+5)^2)/(22^2))+18*SIN(2*PI()*(Scenario_Data!U33)/70))+Inputs!$C$28*EXP(-(((Scenario_Data!U33)-Inputs!$C$29)^2)/(2*Inputs!$C$31^2))*EXP(-(((0)-Inputs!$C$30)^2)/(2*Inputs!$C$32^2))+-Inputs!$C$33*EXP(-(((((Scenario_Data!U33)-Inputs!$C$34)^2)+(((0)-Inputs!$C$35)^2))/(2*Inputs!$C$36^2)))+Inputs!$C$37*(0.55*SIN(2*PI()*(Scenario_Data!U33)/Inputs!$C$39)+0.35*COS(2*PI()*(0)/Inputs!$C$40)+0.2*SIN(2*PI()*((Scenario_Data!U33)+(0))/(0.5*(Inputs!$C$39+Inputs!$C$40))))+Inputs!$C$38*SIN(2*PI()*(Scenario_Data!U33)/Inputs!$C$39)*SIN(2*PI()*(0)/Inputs!$C$40)+-Inputs!$C$41*EXP(-(((0)-Inputs!$C$43)^2)/(2*Inputs!$C$44^2))*EXP(-(((Scenario_Data!U33)-Inputs!$C$42)^2)/(2*Inputs!$C$45^2))+Inputs!$C$48*(0.7*(0.45*SIN(2*PI()*(((Scenario_Data!U33)/Inputs!$C$49)+Inputs!$C$47*0.137))+0.35*COS(2*PI()*(((0)/Inputs!$C$50)+Inputs!$C$47*0.173))+0.2*SIN(2*PI()*((((Scenario_Data!U33)+(0))/(0.5*(Inputs!$C$49+Inputs!$C$50)))+Inputs!$C$47*0.097)))+0.3*(2*((SIN(((Scenario_Data!U33)*12.9898+(0)*78.233+Inputs!$C$47*37.719))*43758.5453)-INT((SIN(((Scenario_Data!U33)*12.9898+(0)*78.233+Inputs!$C$47*37.719))*43758.5453)))-1)))))/Inputs!$C$21*1000000</f>
        <v/>
      </c>
      <c r="AB33">
        <f>Scenario_Data!V33</f>
        <v/>
      </c>
      <c r="AC33">
        <f>2*((Scenario_Data!D33*1000)-(IF(OR(Inputs!$C$27=TRUE,Inputs!$C$27="TRUE",Inputs!$C$27=1),1,0)*(Inputs!$C$51*(115*EXP(-(((0)-25)^2)/(4.5^2))+70*EXP(-(((0)+38)^2)/(7^2))*(0.55+0.45*SIN(2*PI()*(Scenario_Data!V33)/45))+24*SIN(2*PI()*(0)/9+(Scenario_Data!V33)/18)*EXP(-(((0)+5)^2)/(22^2))+18*SIN(2*PI()*(Scenario_Data!V33)/70))+Inputs!$C$28*EXP(-(((Scenario_Data!V33)-Inputs!$C$29)^2)/(2*Inputs!$C$31^2))*EXP(-(((0)-Inputs!$C$30)^2)/(2*Inputs!$C$32^2))+-Inputs!$C$33*EXP(-(((((Scenario_Data!V33)-Inputs!$C$34)^2)+(((0)-Inputs!$C$35)^2))/(2*Inputs!$C$36^2)))+Inputs!$C$37*(0.55*SIN(2*PI()*(Scenario_Data!V33)/Inputs!$C$39)+0.35*COS(2*PI()*(0)/Inputs!$C$40)+0.2*SIN(2*PI()*((Scenario_Data!V33)+(0))/(0.5*(Inputs!$C$39+Inputs!$C$40))))+Inputs!$C$38*SIN(2*PI()*(Scenario_Data!V33)/Inputs!$C$39)*SIN(2*PI()*(0)/Inputs!$C$40)+-Inputs!$C$41*EXP(-(((0)-Inputs!$C$43)^2)/(2*Inputs!$C$44^2))*EXP(-(((Scenario_Data!V33)-Inputs!$C$42)^2)/(2*Inputs!$C$45^2))+Inputs!$C$48*(0.7*(0.45*SIN(2*PI()*(((Scenario_Data!V33)/Inputs!$C$49)+Inputs!$C$47*0.137))+0.35*COS(2*PI()*(((0)/Inputs!$C$50)+Inputs!$C$47*0.173))+0.2*SIN(2*PI()*((((Scenario_Data!V33)+(0))/(0.5*(Inputs!$C$49+Inputs!$C$50)))+Inputs!$C$47*0.097)))+0.3*(2*((SIN(((Scenario_Data!V33)*12.9898+(0)*78.233+Inputs!$C$47*37.719))*43758.5453)-INT((SIN(((Scenario_Data!V33)*12.9898+(0)*78.233+Inputs!$C$47*37.719))*43758.5453)))-1)))))/Inputs!$C$21*1000000</f>
        <v/>
      </c>
      <c r="AD33">
        <f>Scenario_Data!W33</f>
        <v/>
      </c>
      <c r="AE33">
        <f>2*((Scenario_Data!E33*1000)-(IF(OR(Inputs!$C$27=TRUE,Inputs!$C$27="TRUE",Inputs!$C$27=1),1,0)*(Inputs!$C$51*(115*EXP(-(((0)-25)^2)/(4.5^2))+70*EXP(-(((0)+38)^2)/(7^2))*(0.55+0.45*SIN(2*PI()*(Scenario_Data!W33)/45))+24*SIN(2*PI()*(0)/9+(Scenario_Data!W33)/18)*EXP(-(((0)+5)^2)/(22^2))+18*SIN(2*PI()*(Scenario_Data!W33)/70))+Inputs!$C$28*EXP(-(((Scenario_Data!W33)-Inputs!$C$29)^2)/(2*Inputs!$C$31^2))*EXP(-(((0)-Inputs!$C$30)^2)/(2*Inputs!$C$32^2))+-Inputs!$C$33*EXP(-(((((Scenario_Data!W33)-Inputs!$C$34)^2)+(((0)-Inputs!$C$35)^2))/(2*Inputs!$C$36^2)))+Inputs!$C$37*(0.55*SIN(2*PI()*(Scenario_Data!W33)/Inputs!$C$39)+0.35*COS(2*PI()*(0)/Inputs!$C$40)+0.2*SIN(2*PI()*((Scenario_Data!W33)+(0))/(0.5*(Inputs!$C$39+Inputs!$C$40))))+Inputs!$C$38*SIN(2*PI()*(Scenario_Data!W33)/Inputs!$C$39)*SIN(2*PI()*(0)/Inputs!$C$40)+-Inputs!$C$41*EXP(-(((0)-Inputs!$C$43)^2)/(2*Inputs!$C$44^2))*EXP(-(((Scenario_Data!W33)-Inputs!$C$42)^2)/(2*Inputs!$C$45^2))+Inputs!$C$48*(0.7*(0.45*SIN(2*PI()*(((Scenario_Data!W33)/Inputs!$C$49)+Inputs!$C$47*0.137))+0.35*COS(2*PI()*(((0)/Inputs!$C$50)+Inputs!$C$47*0.173))+0.2*SIN(2*PI()*((((Scenario_Data!W33)+(0))/(0.5*(Inputs!$C$49+Inputs!$C$50)))+Inputs!$C$47*0.097)))+0.3*(2*((SIN(((Scenario_Data!W33)*12.9898+(0)*78.233+Inputs!$C$47*37.719))*43758.5453)-INT((SIN(((Scenario_Data!W33)*12.9898+(0)*78.233+Inputs!$C$47*37.719))*43758.5453)))-1)))))/Inputs!$C$21*1000000</f>
        <v/>
      </c>
      <c r="AG33">
        <f>Scenario_Data!T33</f>
        <v/>
      </c>
      <c r="AH33">
        <f>2*(SQRT((Inputs!$C$52+(Scenario_Data!B33))^2+Inputs!$C$52^2-2*(Inputs!$C$52+(Scenario_Data!B33))*Inputs!$C$52*COS(SQRT((Scenario_Data!T33)^2+Inputs!$C$6^2)/Inputs!$C$52))*1000)/Inputs!$C$21*1000000</f>
        <v/>
      </c>
      <c r="AI33">
        <f>Scenario_Data!U33</f>
        <v/>
      </c>
      <c r="AJ33">
        <f>2*(SQRT((Inputs!$C$52+(Scenario_Data!C33))^2+Inputs!$C$52^2-2*(Inputs!$C$52+(Scenario_Data!C33))*Inputs!$C$52*COS(SQRT((Scenario_Data!U33)^2+Inputs!$C$6^2)/Inputs!$C$52))*1000)/Inputs!$C$21*1000000</f>
        <v/>
      </c>
      <c r="AK33">
        <f>Scenario_Data!V33</f>
        <v/>
      </c>
      <c r="AL33">
        <f>2*(SQRT((Inputs!$C$52+(Scenario_Data!D33))^2+Inputs!$C$52^2-2*(Inputs!$C$52+(Scenario_Data!D33))*Inputs!$C$52*COS(SQRT((Scenario_Data!V33)^2+Inputs!$C$6^2)/Inputs!$C$52))*1000)/Inputs!$C$21*1000000</f>
        <v/>
      </c>
      <c r="AM33">
        <f>Scenario_Data!W33</f>
        <v/>
      </c>
      <c r="AN33">
        <f>2*(SQRT((Inputs!$C$52+(Scenario_Data!E33))^2+Inputs!$C$52^2-2*(Inputs!$C$52+(Scenario_Data!E33))*Inputs!$C$52*COS(SQRT((Scenario_Data!W33)^2+Inputs!$C$6^2)/Inputs!$C$52))*1000)/Inputs!$C$21*1000000</f>
        <v/>
      </c>
      <c r="AP33">
        <f>Scenario_Data!T33</f>
        <v/>
      </c>
      <c r="AQ33">
        <f>2*(SQRT((Inputs!$C$52+(Scenario_Data!B33))^2+(Inputs!$C$52+((IF(OR(Inputs!$C$27=TRUE,Inputs!$C$27="TRUE",Inputs!$C$27=1),1,0)*(Inputs!$C$51*(115*EXP(-(((Inputs!$C$6)-25)^2)/(4.5^2))+70*EXP(-(((Inputs!$C$6)+38)^2)/(7^2))*(0.55+0.45*SIN(2*PI()*(Scenario_Data!T33)/45))+24*SIN(2*PI()*(Inputs!$C$6)/9+(Scenario_Data!T33)/18)*EXP(-(((Inputs!$C$6)+5)^2)/(22^2))+18*SIN(2*PI()*(Scenario_Data!T33)/70))+Inputs!$C$28*EXP(-(((Scenario_Data!T33)-Inputs!$C$29)^2)/(2*Inputs!$C$31^2))*EXP(-(((Inputs!$C$6)-Inputs!$C$30)^2)/(2*Inputs!$C$32^2))+-Inputs!$C$33*EXP(-(((((Scenario_Data!T33)-Inputs!$C$34)^2)+(((Inputs!$C$6)-Inputs!$C$35)^2))/(2*Inputs!$C$36^2)))+Inputs!$C$37*(0.55*SIN(2*PI()*(Scenario_Data!T33)/Inputs!$C$39)+0.35*COS(2*PI()*(Inputs!$C$6)/Inputs!$C$40)+0.2*SIN(2*PI()*((Scenario_Data!T33)+(Inputs!$C$6))/(0.5*(Inputs!$C$39+Inputs!$C$40))))+Inputs!$C$38*SIN(2*PI()*(Scenario_Data!T33)/Inputs!$C$39)*SIN(2*PI()*(Inputs!$C$6)/Inputs!$C$40)+-Inputs!$C$41*EXP(-(((Inputs!$C$6)-Inputs!$C$43)^2)/(2*Inputs!$C$44^2))*EXP(-(((Scenario_Data!T33)-Inputs!$C$42)^2)/(2*Inputs!$C$45^2))+Inputs!$C$48*(0.7*(0.45*SIN(2*PI()*(((Scenario_Data!T33)/Inputs!$C$49)+Inputs!$C$47*0.137))+0.35*COS(2*PI()*(((Inputs!$C$6)/Inputs!$C$50)+Inputs!$C$47*0.173))+0.2*SIN(2*PI()*((((Scenario_Data!T33)+(Inputs!$C$6))/(0.5*(Inputs!$C$49+Inputs!$C$50)))+Inputs!$C$47*0.097)))+0.3*(2*((SIN(((Scenario_Data!T33)*12.9898+(Inputs!$C$6)*78.233+Inputs!$C$47*37.719))*43758.5453)-INT((SIN(((Scenario_Data!T33)*12.9898+(Inputs!$C$6)*78.233+Inputs!$C$47*37.719))*43758.5453)))-1))))/1000))^2-2*(Inputs!$C$52+(Scenario_Data!B33))*(Inputs!$C$52+((IF(OR(Inputs!$C$27=TRUE,Inputs!$C$27="TRUE",Inputs!$C$27=1),1,0)*(Inputs!$C$51*(115*EXP(-(((Inputs!$C$6)-25)^2)/(4.5^2))+70*EXP(-(((Inputs!$C$6)+38)^2)/(7^2))*(0.55+0.45*SIN(2*PI()*(Scenario_Data!T33)/45))+24*SIN(2*PI()*(Inputs!$C$6)/9+(Scenario_Data!T33)/18)*EXP(-(((Inputs!$C$6)+5)^2)/(22^2))+18*SIN(2*PI()*(Scenario_Data!T33)/70))+Inputs!$C$28*EXP(-(((Scenario_Data!T33)-Inputs!$C$29)^2)/(2*Inputs!$C$31^2))*EXP(-(((Inputs!$C$6)-Inputs!$C$30)^2)/(2*Inputs!$C$32^2))+-Inputs!$C$33*EXP(-(((((Scenario_Data!T33)-Inputs!$C$34)^2)+(((Inputs!$C$6)-Inputs!$C$35)^2))/(2*Inputs!$C$36^2)))+Inputs!$C$37*(0.55*SIN(2*PI()*(Scenario_Data!T33)/Inputs!$C$39)+0.35*COS(2*PI()*(Inputs!$C$6)/Inputs!$C$40)+0.2*SIN(2*PI()*((Scenario_Data!T33)+(Inputs!$C$6))/(0.5*(Inputs!$C$39+Inputs!$C$40))))+Inputs!$C$38*SIN(2*PI()*(Scenario_Data!T33)/Inputs!$C$39)*SIN(2*PI()*(Inputs!$C$6)/Inputs!$C$40)+-Inputs!$C$41*EXP(-(((Inputs!$C$6)-Inputs!$C$43)^2)/(2*Inputs!$C$44^2))*EXP(-(((Scenario_Data!T33)-Inputs!$C$42)^2)/(2*Inputs!$C$45^2))+Inputs!$C$48*(0.7*(0.45*SIN(2*PI()*(((Scenario_Data!T33)/Inputs!$C$49)+Inputs!$C$47*0.137))+0.35*COS(2*PI()*(((Inputs!$C$6)/Inputs!$C$50)+Inputs!$C$47*0.173))+0.2*SIN(2*PI()*((((Scenario_Data!T33)+(Inputs!$C$6))/(0.5*(Inputs!$C$49+Inputs!$C$50)))+Inputs!$C$47*0.097)))+0.3*(2*((SIN(((Scenario_Data!T33)*12.9898+(Inputs!$C$6)*78.233+Inputs!$C$47*37.719))*43758.5453)-INT((SIN(((Scenario_Data!T33)*12.9898+(Inputs!$C$6)*78.233+Inputs!$C$47*37.719))*43758.5453)))-1))))/1000))*COS(SQRT((Scenario_Data!T33)^2+Inputs!$C$6^2)/Inputs!$C$52))*1000)/Inputs!$C$21*1000000</f>
        <v/>
      </c>
      <c r="AR33">
        <f>Scenario_Data!U33</f>
        <v/>
      </c>
      <c r="AS33">
        <f>2*(SQRT((Inputs!$C$52+(Scenario_Data!C33))^2+(Inputs!$C$52+((IF(OR(Inputs!$C$27=TRUE,Inputs!$C$27="TRUE",Inputs!$C$27=1),1,0)*(Inputs!$C$51*(115*EXP(-(((Inputs!$C$6)-25)^2)/(4.5^2))+70*EXP(-(((Inputs!$C$6)+38)^2)/(7^2))*(0.55+0.45*SIN(2*PI()*(Scenario_Data!U33)/45))+24*SIN(2*PI()*(Inputs!$C$6)/9+(Scenario_Data!U33)/18)*EXP(-(((Inputs!$C$6)+5)^2)/(22^2))+18*SIN(2*PI()*(Scenario_Data!U33)/70))+Inputs!$C$28*EXP(-(((Scenario_Data!U33)-Inputs!$C$29)^2)/(2*Inputs!$C$31^2))*EXP(-(((Inputs!$C$6)-Inputs!$C$30)^2)/(2*Inputs!$C$32^2))+-Inputs!$C$33*EXP(-(((((Scenario_Data!U33)-Inputs!$C$34)^2)+(((Inputs!$C$6)-Inputs!$C$35)^2))/(2*Inputs!$C$36^2)))+Inputs!$C$37*(0.55*SIN(2*PI()*(Scenario_Data!U33)/Inputs!$C$39)+0.35*COS(2*PI()*(Inputs!$C$6)/Inputs!$C$40)+0.2*SIN(2*PI()*((Scenario_Data!U33)+(Inputs!$C$6))/(0.5*(Inputs!$C$39+Inputs!$C$40))))+Inputs!$C$38*SIN(2*PI()*(Scenario_Data!U33)/Inputs!$C$39)*SIN(2*PI()*(Inputs!$C$6)/Inputs!$C$40)+-Inputs!$C$41*EXP(-(((Inputs!$C$6)-Inputs!$C$43)^2)/(2*Inputs!$C$44^2))*EXP(-(((Scenario_Data!U33)-Inputs!$C$42)^2)/(2*Inputs!$C$45^2))+Inputs!$C$48*(0.7*(0.45*SIN(2*PI()*(((Scenario_Data!U33)/Inputs!$C$49)+Inputs!$C$47*0.137))+0.35*COS(2*PI()*(((Inputs!$C$6)/Inputs!$C$50)+Inputs!$C$47*0.173))+0.2*SIN(2*PI()*((((Scenario_Data!U33)+(Inputs!$C$6))/(0.5*(Inputs!$C$49+Inputs!$C$50)))+Inputs!$C$47*0.097)))+0.3*(2*((SIN(((Scenario_Data!U33)*12.9898+(Inputs!$C$6)*78.233+Inputs!$C$47*37.719))*43758.5453)-INT((SIN(((Scenario_Data!U33)*12.9898+(Inputs!$C$6)*78.233+Inputs!$C$47*37.719))*43758.5453)))-1))))/1000))^2-2*(Inputs!$C$52+(Scenario_Data!C33))*(Inputs!$C$52+((IF(OR(Inputs!$C$27=TRUE,Inputs!$C$27="TRUE",Inputs!$C$27=1),1,0)*(Inputs!$C$51*(115*EXP(-(((Inputs!$C$6)-25)^2)/(4.5^2))+70*EXP(-(((Inputs!$C$6)+38)^2)/(7^2))*(0.55+0.45*SIN(2*PI()*(Scenario_Data!U33)/45))+24*SIN(2*PI()*(Inputs!$C$6)/9+(Scenario_Data!U33)/18)*EXP(-(((Inputs!$C$6)+5)^2)/(22^2))+18*SIN(2*PI()*(Scenario_Data!U33)/70))+Inputs!$C$28*EXP(-(((Scenario_Data!U33)-Inputs!$C$29)^2)/(2*Inputs!$C$31^2))*EXP(-(((Inputs!$C$6)-Inputs!$C$30)^2)/(2*Inputs!$C$32^2))+-Inputs!$C$33*EXP(-(((((Scenario_Data!U33)-Inputs!$C$34)^2)+(((Inputs!$C$6)-Inputs!$C$35)^2))/(2*Inputs!$C$36^2)))+Inputs!$C$37*(0.55*SIN(2*PI()*(Scenario_Data!U33)/Inputs!$C$39)+0.35*COS(2*PI()*(Inputs!$C$6)/Inputs!$C$40)+0.2*SIN(2*PI()*((Scenario_Data!U33)+(Inputs!$C$6))/(0.5*(Inputs!$C$39+Inputs!$C$40))))+Inputs!$C$38*SIN(2*PI()*(Scenario_Data!U33)/Inputs!$C$39)*SIN(2*PI()*(Inputs!$C$6)/Inputs!$C$40)+-Inputs!$C$41*EXP(-(((Inputs!$C$6)-Inputs!$C$43)^2)/(2*Inputs!$C$44^2))*EXP(-(((Scenario_Data!U33)-Inputs!$C$42)^2)/(2*Inputs!$C$45^2))+Inputs!$C$48*(0.7*(0.45*SIN(2*PI()*(((Scenario_Data!U33)/Inputs!$C$49)+Inputs!$C$47*0.137))+0.35*COS(2*PI()*(((Inputs!$C$6)/Inputs!$C$50)+Inputs!$C$47*0.173))+0.2*SIN(2*PI()*((((Scenario_Data!U33)+(Inputs!$C$6))/(0.5*(Inputs!$C$49+Inputs!$C$50)))+Inputs!$C$47*0.097)))+0.3*(2*((SIN(((Scenario_Data!U33)*12.9898+(Inputs!$C$6)*78.233+Inputs!$C$47*37.719))*43758.5453)-INT((SIN(((Scenario_Data!U33)*12.9898+(Inputs!$C$6)*78.233+Inputs!$C$47*37.719))*43758.5453)))-1))))/1000))*COS(SQRT((Scenario_Data!U33)^2+Inputs!$C$6^2)/Inputs!$C$52))*1000)/Inputs!$C$21*1000000</f>
        <v/>
      </c>
      <c r="AT33">
        <f>Scenario_Data!V33</f>
        <v/>
      </c>
      <c r="AU33">
        <f>2*(SQRT((Inputs!$C$52+(Scenario_Data!D33))^2+(Inputs!$C$52+((IF(OR(Inputs!$C$27=TRUE,Inputs!$C$27="TRUE",Inputs!$C$27=1),1,0)*(Inputs!$C$51*(115*EXP(-(((Inputs!$C$6)-25)^2)/(4.5^2))+70*EXP(-(((Inputs!$C$6)+38)^2)/(7^2))*(0.55+0.45*SIN(2*PI()*(Scenario_Data!V33)/45))+24*SIN(2*PI()*(Inputs!$C$6)/9+(Scenario_Data!V33)/18)*EXP(-(((Inputs!$C$6)+5)^2)/(22^2))+18*SIN(2*PI()*(Scenario_Data!V33)/70))+Inputs!$C$28*EXP(-(((Scenario_Data!V33)-Inputs!$C$29)^2)/(2*Inputs!$C$31^2))*EXP(-(((Inputs!$C$6)-Inputs!$C$30)^2)/(2*Inputs!$C$32^2))+-Inputs!$C$33*EXP(-(((((Scenario_Data!V33)-Inputs!$C$34)^2)+(((Inputs!$C$6)-Inputs!$C$35)^2))/(2*Inputs!$C$36^2)))+Inputs!$C$37*(0.55*SIN(2*PI()*(Scenario_Data!V33)/Inputs!$C$39)+0.35*COS(2*PI()*(Inputs!$C$6)/Inputs!$C$40)+0.2*SIN(2*PI()*((Scenario_Data!V33)+(Inputs!$C$6))/(0.5*(Inputs!$C$39+Inputs!$C$40))))+Inputs!$C$38*SIN(2*PI()*(Scenario_Data!V33)/Inputs!$C$39)*SIN(2*PI()*(Inputs!$C$6)/Inputs!$C$40)+-Inputs!$C$41*EXP(-(((Inputs!$C$6)-Inputs!$C$43)^2)/(2*Inputs!$C$44^2))*EXP(-(((Scenario_Data!V33)-Inputs!$C$42)^2)/(2*Inputs!$C$45^2))+Inputs!$C$48*(0.7*(0.45*SIN(2*PI()*(((Scenario_Data!V33)/Inputs!$C$49)+Inputs!$C$47*0.137))+0.35*COS(2*PI()*(((Inputs!$C$6)/Inputs!$C$50)+Inputs!$C$47*0.173))+0.2*SIN(2*PI()*((((Scenario_Data!V33)+(Inputs!$C$6))/(0.5*(Inputs!$C$49+Inputs!$C$50)))+Inputs!$C$47*0.097)))+0.3*(2*((SIN(((Scenario_Data!V33)*12.9898+(Inputs!$C$6)*78.233+Inputs!$C$47*37.719))*43758.5453)-INT((SIN(((Scenario_Data!V33)*12.9898+(Inputs!$C$6)*78.233+Inputs!$C$47*37.719))*43758.5453)))-1))))/1000))^2-2*(Inputs!$C$52+(Scenario_Data!D33))*(Inputs!$C$52+((IF(OR(Inputs!$C$27=TRUE,Inputs!$C$27="TRUE",Inputs!$C$27=1),1,0)*(Inputs!$C$51*(115*EXP(-(((Inputs!$C$6)-25)^2)/(4.5^2))+70*EXP(-(((Inputs!$C$6)+38)^2)/(7^2))*(0.55+0.45*SIN(2*PI()*(Scenario_Data!V33)/45))+24*SIN(2*PI()*(Inputs!$C$6)/9+(Scenario_Data!V33)/18)*EXP(-(((Inputs!$C$6)+5)^2)/(22^2))+18*SIN(2*PI()*(Scenario_Data!V33)/70))+Inputs!$C$28*EXP(-(((Scenario_Data!V33)-Inputs!$C$29)^2)/(2*Inputs!$C$31^2))*EXP(-(((Inputs!$C$6)-Inputs!$C$30)^2)/(2*Inputs!$C$32^2))+-Inputs!$C$33*EXP(-(((((Scenario_Data!V33)-Inputs!$C$34)^2)+(((Inputs!$C$6)-Inputs!$C$35)^2))/(2*Inputs!$C$36^2)))+Inputs!$C$37*(0.55*SIN(2*PI()*(Scenario_Data!V33)/Inputs!$C$39)+0.35*COS(2*PI()*(Inputs!$C$6)/Inputs!$C$40)+0.2*SIN(2*PI()*((Scenario_Data!V33)+(Inputs!$C$6))/(0.5*(Inputs!$C$39+Inputs!$C$40))))+Inputs!$C$38*SIN(2*PI()*(Scenario_Data!V33)/Inputs!$C$39)*SIN(2*PI()*(Inputs!$C$6)/Inputs!$C$40)+-Inputs!$C$41*EXP(-(((Inputs!$C$6)-Inputs!$C$43)^2)/(2*Inputs!$C$44^2))*EXP(-(((Scenario_Data!V33)-Inputs!$C$42)^2)/(2*Inputs!$C$45^2))+Inputs!$C$48*(0.7*(0.45*SIN(2*PI()*(((Scenario_Data!V33)/Inputs!$C$49)+Inputs!$C$47*0.137))+0.35*COS(2*PI()*(((Inputs!$C$6)/Inputs!$C$50)+Inputs!$C$47*0.173))+0.2*SIN(2*PI()*((((Scenario_Data!V33)+(Inputs!$C$6))/(0.5*(Inputs!$C$49+Inputs!$C$50)))+Inputs!$C$47*0.097)))+0.3*(2*((SIN(((Scenario_Data!V33)*12.9898+(Inputs!$C$6)*78.233+Inputs!$C$47*37.719))*43758.5453)-INT((SIN(((Scenario_Data!V33)*12.9898+(Inputs!$C$6)*78.233+Inputs!$C$47*37.719))*43758.5453)))-1))))/1000))*COS(SQRT((Scenario_Data!V33)^2+Inputs!$C$6^2)/Inputs!$C$52))*1000)/Inputs!$C$21*1000000</f>
        <v/>
      </c>
      <c r="AV33">
        <f>Scenario_Data!W33</f>
        <v/>
      </c>
      <c r="AW33">
        <f>2*(SQRT((Inputs!$C$52+(Scenario_Data!E33))^2+(Inputs!$C$52+((IF(OR(Inputs!$C$27=TRUE,Inputs!$C$27="TRUE",Inputs!$C$27=1),1,0)*(Inputs!$C$51*(115*EXP(-(((Inputs!$C$6)-25)^2)/(4.5^2))+70*EXP(-(((Inputs!$C$6)+38)^2)/(7^2))*(0.55+0.45*SIN(2*PI()*(Scenario_Data!W33)/45))+24*SIN(2*PI()*(Inputs!$C$6)/9+(Scenario_Data!W33)/18)*EXP(-(((Inputs!$C$6)+5)^2)/(22^2))+18*SIN(2*PI()*(Scenario_Data!W33)/70))+Inputs!$C$28*EXP(-(((Scenario_Data!W33)-Inputs!$C$29)^2)/(2*Inputs!$C$31^2))*EXP(-(((Inputs!$C$6)-Inputs!$C$30)^2)/(2*Inputs!$C$32^2))+-Inputs!$C$33*EXP(-(((((Scenario_Data!W33)-Inputs!$C$34)^2)+(((Inputs!$C$6)-Inputs!$C$35)^2))/(2*Inputs!$C$36^2)))+Inputs!$C$37*(0.55*SIN(2*PI()*(Scenario_Data!W33)/Inputs!$C$39)+0.35*COS(2*PI()*(Inputs!$C$6)/Inputs!$C$40)+0.2*SIN(2*PI()*((Scenario_Data!W33)+(Inputs!$C$6))/(0.5*(Inputs!$C$39+Inputs!$C$40))))+Inputs!$C$38*SIN(2*PI()*(Scenario_Data!W33)/Inputs!$C$39)*SIN(2*PI()*(Inputs!$C$6)/Inputs!$C$40)+-Inputs!$C$41*EXP(-(((Inputs!$C$6)-Inputs!$C$43)^2)/(2*Inputs!$C$44^2))*EXP(-(((Scenario_Data!W33)-Inputs!$C$42)^2)/(2*Inputs!$C$45^2))+Inputs!$C$48*(0.7*(0.45*SIN(2*PI()*(((Scenario_Data!W33)/Inputs!$C$49)+Inputs!$C$47*0.137))+0.35*COS(2*PI()*(((Inputs!$C$6)/Inputs!$C$50)+Inputs!$C$47*0.173))+0.2*SIN(2*PI()*((((Scenario_Data!W33)+(Inputs!$C$6))/(0.5*(Inputs!$C$49+Inputs!$C$50)))+Inputs!$C$47*0.097)))+0.3*(2*((SIN(((Scenario_Data!W33)*12.9898+(Inputs!$C$6)*78.233+Inputs!$C$47*37.719))*43758.5453)-INT((SIN(((Scenario_Data!W33)*12.9898+(Inputs!$C$6)*78.233+Inputs!$C$47*37.719))*43758.5453)))-1))))/1000))^2-2*(Inputs!$C$52+(Scenario_Data!E33))*(Inputs!$C$52+((IF(OR(Inputs!$C$27=TRUE,Inputs!$C$27="TRUE",Inputs!$C$27=1),1,0)*(Inputs!$C$51*(115*EXP(-(((Inputs!$C$6)-25)^2)/(4.5^2))+70*EXP(-(((Inputs!$C$6)+38)^2)/(7^2))*(0.55+0.45*SIN(2*PI()*(Scenario_Data!W33)/45))+24*SIN(2*PI()*(Inputs!$C$6)/9+(Scenario_Data!W33)/18)*EXP(-(((Inputs!$C$6)+5)^2)/(22^2))+18*SIN(2*PI()*(Scenario_Data!W33)/70))+Inputs!$C$28*EXP(-(((Scenario_Data!W33)-Inputs!$C$29)^2)/(2*Inputs!$C$31^2))*EXP(-(((Inputs!$C$6)-Inputs!$C$30)^2)/(2*Inputs!$C$32^2))+-Inputs!$C$33*EXP(-(((((Scenario_Data!W33)-Inputs!$C$34)^2)+(((Inputs!$C$6)-Inputs!$C$35)^2))/(2*Inputs!$C$36^2)))+Inputs!$C$37*(0.55*SIN(2*PI()*(Scenario_Data!W33)/Inputs!$C$39)+0.35*COS(2*PI()*(Inputs!$C$6)/Inputs!$C$40)+0.2*SIN(2*PI()*((Scenario_Data!W33)+(Inputs!$C$6))/(0.5*(Inputs!$C$39+Inputs!$C$40))))+Inputs!$C$38*SIN(2*PI()*(Scenario_Data!W33)/Inputs!$C$39)*SIN(2*PI()*(Inputs!$C$6)/Inputs!$C$40)+-Inputs!$C$41*EXP(-(((Inputs!$C$6)-Inputs!$C$43)^2)/(2*Inputs!$C$44^2))*EXP(-(((Scenario_Data!W33)-Inputs!$C$42)^2)/(2*Inputs!$C$45^2))+Inputs!$C$48*(0.7*(0.45*SIN(2*PI()*(((Scenario_Data!W33)/Inputs!$C$49)+Inputs!$C$47*0.137))+0.35*COS(2*PI()*(((Inputs!$C$6)/Inputs!$C$50)+Inputs!$C$47*0.173))+0.2*SIN(2*PI()*((((Scenario_Data!W33)+(Inputs!$C$6))/(0.5*(Inputs!$C$49+Inputs!$C$50)))+Inputs!$C$47*0.097)))+0.3*(2*((SIN(((Scenario_Data!W33)*12.9898+(Inputs!$C$6)*78.233+Inputs!$C$47*37.719))*43758.5453)-INT((SIN(((Scenario_Data!W33)*12.9898+(Inputs!$C$6)*78.233+Inputs!$C$47*37.719))*43758.5453)))-1))))/1000))*COS(SQRT((Scenario_Data!W33)^2+Inputs!$C$6^2)/Inputs!$C$52))*1000)/Inputs!$C$21*1000000</f>
        <v/>
      </c>
    </row>
    <row r="34">
      <c r="A34">
        <f>Chart_Data!K34</f>
        <v/>
      </c>
      <c r="B34">
        <f>Chart_Data!N34-Chart_Data!L34</f>
        <v/>
      </c>
      <c r="D34">
        <f>Chart_Data!G34</f>
        <v/>
      </c>
      <c r="E34">
        <f>Chart_Data!H34</f>
        <v/>
      </c>
      <c r="F34">
        <f>Chart_Data!I34</f>
        <v/>
      </c>
      <c r="G34">
        <f>Chart_Data!J34</f>
        <v/>
      </c>
      <c r="I34">
        <f>Scenario_Data!A34</f>
        <v/>
      </c>
      <c r="J34">
        <f>Scenario_Data!H34-(((SQRT((Inputs!$C$52+(Inputs!$H$6))^2+Inputs!$C$52^2-2*(Inputs!$C$52+(Inputs!$H$6))*Inputs!$C$52*COS(SQRT((Scenario_Data!T34)^2+Inputs!$C$6^2)/Inputs!$C$52)))-(Inputs!$H$6))*1000/Inputs!$C$12)</f>
        <v/>
      </c>
      <c r="K34">
        <f>Scenario_Data!I34-(((SQRT((Inputs!$C$52+(Inputs!$H$7))^2+Inputs!$C$52^2-2*(Inputs!$C$52+(Inputs!$H$7))*Inputs!$C$52*COS(SQRT((Scenario_Data!U34)^2+Inputs!$C$6^2)/Inputs!$C$52)))-(Inputs!$H$7))*1000/Inputs!$C$12)</f>
        <v/>
      </c>
      <c r="L34">
        <f>Scenario_Data!J34-(((SQRT((Inputs!$C$52+(Inputs!$H$8))^2+Inputs!$C$52^2-2*(Inputs!$C$52+(Inputs!$H$8))*Inputs!$C$52*COS(SQRT((Scenario_Data!V34)^2+Inputs!$C$6^2)/Inputs!$C$52)))-(Inputs!$H$8))*1000/Inputs!$C$12)</f>
        <v/>
      </c>
      <c r="M34">
        <f>Scenario_Data!K34-(((SQRT((Inputs!$C$52+(Inputs!$H$9))^2+Inputs!$C$52^2-2*(Inputs!$C$52+(Inputs!$H$9))*Inputs!$C$52*COS(SQRT((Scenario_Data!W34)^2+Inputs!$C$6^2)/Inputs!$C$52)))-(Inputs!$H$9))*1000/Inputs!$C$12)</f>
        <v/>
      </c>
      <c r="O34">
        <f>Scenario_Data!T34</f>
        <v/>
      </c>
      <c r="P34">
        <f>2*(Scenario_Data!B34*1000)/Inputs!$C$21*1000000</f>
        <v/>
      </c>
      <c r="Q34">
        <f>Scenario_Data!U34</f>
        <v/>
      </c>
      <c r="R34">
        <f>2*(Scenario_Data!C34*1000)/Inputs!$C$21*1000000</f>
        <v/>
      </c>
      <c r="S34">
        <f>Scenario_Data!V34</f>
        <v/>
      </c>
      <c r="T34">
        <f>2*(Scenario_Data!D34*1000)/Inputs!$C$21*1000000</f>
        <v/>
      </c>
      <c r="U34">
        <f>Scenario_Data!W34</f>
        <v/>
      </c>
      <c r="V34">
        <f>2*(Scenario_Data!E34*1000)/Inputs!$C$21*1000000</f>
        <v/>
      </c>
      <c r="X34">
        <f>Scenario_Data!T34</f>
        <v/>
      </c>
      <c r="Y34">
        <f>2*((Scenario_Data!B34*1000)-(IF(OR(Inputs!$C$27=TRUE,Inputs!$C$27="TRUE",Inputs!$C$27=1),1,0)*(Inputs!$C$51*(115*EXP(-(((0)-25)^2)/(4.5^2))+70*EXP(-(((0)+38)^2)/(7^2))*(0.55+0.45*SIN(2*PI()*(Scenario_Data!T34)/45))+24*SIN(2*PI()*(0)/9+(Scenario_Data!T34)/18)*EXP(-(((0)+5)^2)/(22^2))+18*SIN(2*PI()*(Scenario_Data!T34)/70))+Inputs!$C$28*EXP(-(((Scenario_Data!T34)-Inputs!$C$29)^2)/(2*Inputs!$C$31^2))*EXP(-(((0)-Inputs!$C$30)^2)/(2*Inputs!$C$32^2))+-Inputs!$C$33*EXP(-(((((Scenario_Data!T34)-Inputs!$C$34)^2)+(((0)-Inputs!$C$35)^2))/(2*Inputs!$C$36^2)))+Inputs!$C$37*(0.55*SIN(2*PI()*(Scenario_Data!T34)/Inputs!$C$39)+0.35*COS(2*PI()*(0)/Inputs!$C$40)+0.2*SIN(2*PI()*((Scenario_Data!T34)+(0))/(0.5*(Inputs!$C$39+Inputs!$C$40))))+Inputs!$C$38*SIN(2*PI()*(Scenario_Data!T34)/Inputs!$C$39)*SIN(2*PI()*(0)/Inputs!$C$40)+-Inputs!$C$41*EXP(-(((0)-Inputs!$C$43)^2)/(2*Inputs!$C$44^2))*EXP(-(((Scenario_Data!T34)-Inputs!$C$42)^2)/(2*Inputs!$C$45^2))+Inputs!$C$48*(0.7*(0.45*SIN(2*PI()*(((Scenario_Data!T34)/Inputs!$C$49)+Inputs!$C$47*0.137))+0.35*COS(2*PI()*(((0)/Inputs!$C$50)+Inputs!$C$47*0.173))+0.2*SIN(2*PI()*((((Scenario_Data!T34)+(0))/(0.5*(Inputs!$C$49+Inputs!$C$50)))+Inputs!$C$47*0.097)))+0.3*(2*((SIN(((Scenario_Data!T34)*12.9898+(0)*78.233+Inputs!$C$47*37.719))*43758.5453)-INT((SIN(((Scenario_Data!T34)*12.9898+(0)*78.233+Inputs!$C$47*37.719))*43758.5453)))-1)))))/Inputs!$C$21*1000000</f>
        <v/>
      </c>
      <c r="Z34">
        <f>Scenario_Data!U34</f>
        <v/>
      </c>
      <c r="AA34">
        <f>2*((Scenario_Data!C34*1000)-(IF(OR(Inputs!$C$27=TRUE,Inputs!$C$27="TRUE",Inputs!$C$27=1),1,0)*(Inputs!$C$51*(115*EXP(-(((0)-25)^2)/(4.5^2))+70*EXP(-(((0)+38)^2)/(7^2))*(0.55+0.45*SIN(2*PI()*(Scenario_Data!U34)/45))+24*SIN(2*PI()*(0)/9+(Scenario_Data!U34)/18)*EXP(-(((0)+5)^2)/(22^2))+18*SIN(2*PI()*(Scenario_Data!U34)/70))+Inputs!$C$28*EXP(-(((Scenario_Data!U34)-Inputs!$C$29)^2)/(2*Inputs!$C$31^2))*EXP(-(((0)-Inputs!$C$30)^2)/(2*Inputs!$C$32^2))+-Inputs!$C$33*EXP(-(((((Scenario_Data!U34)-Inputs!$C$34)^2)+(((0)-Inputs!$C$35)^2))/(2*Inputs!$C$36^2)))+Inputs!$C$37*(0.55*SIN(2*PI()*(Scenario_Data!U34)/Inputs!$C$39)+0.35*COS(2*PI()*(0)/Inputs!$C$40)+0.2*SIN(2*PI()*((Scenario_Data!U34)+(0))/(0.5*(Inputs!$C$39+Inputs!$C$40))))+Inputs!$C$38*SIN(2*PI()*(Scenario_Data!U34)/Inputs!$C$39)*SIN(2*PI()*(0)/Inputs!$C$40)+-Inputs!$C$41*EXP(-(((0)-Inputs!$C$43)^2)/(2*Inputs!$C$44^2))*EXP(-(((Scenario_Data!U34)-Inputs!$C$42)^2)/(2*Inputs!$C$45^2))+Inputs!$C$48*(0.7*(0.45*SIN(2*PI()*(((Scenario_Data!U34)/Inputs!$C$49)+Inputs!$C$47*0.137))+0.35*COS(2*PI()*(((0)/Inputs!$C$50)+Inputs!$C$47*0.173))+0.2*SIN(2*PI()*((((Scenario_Data!U34)+(0))/(0.5*(Inputs!$C$49+Inputs!$C$50)))+Inputs!$C$47*0.097)))+0.3*(2*((SIN(((Scenario_Data!U34)*12.9898+(0)*78.233+Inputs!$C$47*37.719))*43758.5453)-INT((SIN(((Scenario_Data!U34)*12.9898+(0)*78.233+Inputs!$C$47*37.719))*43758.5453)))-1)))))/Inputs!$C$21*1000000</f>
        <v/>
      </c>
      <c r="AB34">
        <f>Scenario_Data!V34</f>
        <v/>
      </c>
      <c r="AC34">
        <f>2*((Scenario_Data!D34*1000)-(IF(OR(Inputs!$C$27=TRUE,Inputs!$C$27="TRUE",Inputs!$C$27=1),1,0)*(Inputs!$C$51*(115*EXP(-(((0)-25)^2)/(4.5^2))+70*EXP(-(((0)+38)^2)/(7^2))*(0.55+0.45*SIN(2*PI()*(Scenario_Data!V34)/45))+24*SIN(2*PI()*(0)/9+(Scenario_Data!V34)/18)*EXP(-(((0)+5)^2)/(22^2))+18*SIN(2*PI()*(Scenario_Data!V34)/70))+Inputs!$C$28*EXP(-(((Scenario_Data!V34)-Inputs!$C$29)^2)/(2*Inputs!$C$31^2))*EXP(-(((0)-Inputs!$C$30)^2)/(2*Inputs!$C$32^2))+-Inputs!$C$33*EXP(-(((((Scenario_Data!V34)-Inputs!$C$34)^2)+(((0)-Inputs!$C$35)^2))/(2*Inputs!$C$36^2)))+Inputs!$C$37*(0.55*SIN(2*PI()*(Scenario_Data!V34)/Inputs!$C$39)+0.35*COS(2*PI()*(0)/Inputs!$C$40)+0.2*SIN(2*PI()*((Scenario_Data!V34)+(0))/(0.5*(Inputs!$C$39+Inputs!$C$40))))+Inputs!$C$38*SIN(2*PI()*(Scenario_Data!V34)/Inputs!$C$39)*SIN(2*PI()*(0)/Inputs!$C$40)+-Inputs!$C$41*EXP(-(((0)-Inputs!$C$43)^2)/(2*Inputs!$C$44^2))*EXP(-(((Scenario_Data!V34)-Inputs!$C$42)^2)/(2*Inputs!$C$45^2))+Inputs!$C$48*(0.7*(0.45*SIN(2*PI()*(((Scenario_Data!V34)/Inputs!$C$49)+Inputs!$C$47*0.137))+0.35*COS(2*PI()*(((0)/Inputs!$C$50)+Inputs!$C$47*0.173))+0.2*SIN(2*PI()*((((Scenario_Data!V34)+(0))/(0.5*(Inputs!$C$49+Inputs!$C$50)))+Inputs!$C$47*0.097)))+0.3*(2*((SIN(((Scenario_Data!V34)*12.9898+(0)*78.233+Inputs!$C$47*37.719))*43758.5453)-INT((SIN(((Scenario_Data!V34)*12.9898+(0)*78.233+Inputs!$C$47*37.719))*43758.5453)))-1)))))/Inputs!$C$21*1000000</f>
        <v/>
      </c>
      <c r="AD34">
        <f>Scenario_Data!W34</f>
        <v/>
      </c>
      <c r="AE34">
        <f>2*((Scenario_Data!E34*1000)-(IF(OR(Inputs!$C$27=TRUE,Inputs!$C$27="TRUE",Inputs!$C$27=1),1,0)*(Inputs!$C$51*(115*EXP(-(((0)-25)^2)/(4.5^2))+70*EXP(-(((0)+38)^2)/(7^2))*(0.55+0.45*SIN(2*PI()*(Scenario_Data!W34)/45))+24*SIN(2*PI()*(0)/9+(Scenario_Data!W34)/18)*EXP(-(((0)+5)^2)/(22^2))+18*SIN(2*PI()*(Scenario_Data!W34)/70))+Inputs!$C$28*EXP(-(((Scenario_Data!W34)-Inputs!$C$29)^2)/(2*Inputs!$C$31^2))*EXP(-(((0)-Inputs!$C$30)^2)/(2*Inputs!$C$32^2))+-Inputs!$C$33*EXP(-(((((Scenario_Data!W34)-Inputs!$C$34)^2)+(((0)-Inputs!$C$35)^2))/(2*Inputs!$C$36^2)))+Inputs!$C$37*(0.55*SIN(2*PI()*(Scenario_Data!W34)/Inputs!$C$39)+0.35*COS(2*PI()*(0)/Inputs!$C$40)+0.2*SIN(2*PI()*((Scenario_Data!W34)+(0))/(0.5*(Inputs!$C$39+Inputs!$C$40))))+Inputs!$C$38*SIN(2*PI()*(Scenario_Data!W34)/Inputs!$C$39)*SIN(2*PI()*(0)/Inputs!$C$40)+-Inputs!$C$41*EXP(-(((0)-Inputs!$C$43)^2)/(2*Inputs!$C$44^2))*EXP(-(((Scenario_Data!W34)-Inputs!$C$42)^2)/(2*Inputs!$C$45^2))+Inputs!$C$48*(0.7*(0.45*SIN(2*PI()*(((Scenario_Data!W34)/Inputs!$C$49)+Inputs!$C$47*0.137))+0.35*COS(2*PI()*(((0)/Inputs!$C$50)+Inputs!$C$47*0.173))+0.2*SIN(2*PI()*((((Scenario_Data!W34)+(0))/(0.5*(Inputs!$C$49+Inputs!$C$50)))+Inputs!$C$47*0.097)))+0.3*(2*((SIN(((Scenario_Data!W34)*12.9898+(0)*78.233+Inputs!$C$47*37.719))*43758.5453)-INT((SIN(((Scenario_Data!W34)*12.9898+(0)*78.233+Inputs!$C$47*37.719))*43758.5453)))-1)))))/Inputs!$C$21*1000000</f>
        <v/>
      </c>
      <c r="AG34">
        <f>Scenario_Data!T34</f>
        <v/>
      </c>
      <c r="AH34">
        <f>2*(SQRT((Inputs!$C$52+(Scenario_Data!B34))^2+Inputs!$C$52^2-2*(Inputs!$C$52+(Scenario_Data!B34))*Inputs!$C$52*COS(SQRT((Scenario_Data!T34)^2+Inputs!$C$6^2)/Inputs!$C$52))*1000)/Inputs!$C$21*1000000</f>
        <v/>
      </c>
      <c r="AI34">
        <f>Scenario_Data!U34</f>
        <v/>
      </c>
      <c r="AJ34">
        <f>2*(SQRT((Inputs!$C$52+(Scenario_Data!C34))^2+Inputs!$C$52^2-2*(Inputs!$C$52+(Scenario_Data!C34))*Inputs!$C$52*COS(SQRT((Scenario_Data!U34)^2+Inputs!$C$6^2)/Inputs!$C$52))*1000)/Inputs!$C$21*1000000</f>
        <v/>
      </c>
      <c r="AK34">
        <f>Scenario_Data!V34</f>
        <v/>
      </c>
      <c r="AL34">
        <f>2*(SQRT((Inputs!$C$52+(Scenario_Data!D34))^2+Inputs!$C$52^2-2*(Inputs!$C$52+(Scenario_Data!D34))*Inputs!$C$52*COS(SQRT((Scenario_Data!V34)^2+Inputs!$C$6^2)/Inputs!$C$52))*1000)/Inputs!$C$21*1000000</f>
        <v/>
      </c>
      <c r="AM34">
        <f>Scenario_Data!W34</f>
        <v/>
      </c>
      <c r="AN34">
        <f>2*(SQRT((Inputs!$C$52+(Scenario_Data!E34))^2+Inputs!$C$52^2-2*(Inputs!$C$52+(Scenario_Data!E34))*Inputs!$C$52*COS(SQRT((Scenario_Data!W34)^2+Inputs!$C$6^2)/Inputs!$C$52))*1000)/Inputs!$C$21*1000000</f>
        <v/>
      </c>
      <c r="AP34">
        <f>Scenario_Data!T34</f>
        <v/>
      </c>
      <c r="AQ34">
        <f>2*(SQRT((Inputs!$C$52+(Scenario_Data!B34))^2+(Inputs!$C$52+((IF(OR(Inputs!$C$27=TRUE,Inputs!$C$27="TRUE",Inputs!$C$27=1),1,0)*(Inputs!$C$51*(115*EXP(-(((Inputs!$C$6)-25)^2)/(4.5^2))+70*EXP(-(((Inputs!$C$6)+38)^2)/(7^2))*(0.55+0.45*SIN(2*PI()*(Scenario_Data!T34)/45))+24*SIN(2*PI()*(Inputs!$C$6)/9+(Scenario_Data!T34)/18)*EXP(-(((Inputs!$C$6)+5)^2)/(22^2))+18*SIN(2*PI()*(Scenario_Data!T34)/70))+Inputs!$C$28*EXP(-(((Scenario_Data!T34)-Inputs!$C$29)^2)/(2*Inputs!$C$31^2))*EXP(-(((Inputs!$C$6)-Inputs!$C$30)^2)/(2*Inputs!$C$32^2))+-Inputs!$C$33*EXP(-(((((Scenario_Data!T34)-Inputs!$C$34)^2)+(((Inputs!$C$6)-Inputs!$C$35)^2))/(2*Inputs!$C$36^2)))+Inputs!$C$37*(0.55*SIN(2*PI()*(Scenario_Data!T34)/Inputs!$C$39)+0.35*COS(2*PI()*(Inputs!$C$6)/Inputs!$C$40)+0.2*SIN(2*PI()*((Scenario_Data!T34)+(Inputs!$C$6))/(0.5*(Inputs!$C$39+Inputs!$C$40))))+Inputs!$C$38*SIN(2*PI()*(Scenario_Data!T34)/Inputs!$C$39)*SIN(2*PI()*(Inputs!$C$6)/Inputs!$C$40)+-Inputs!$C$41*EXP(-(((Inputs!$C$6)-Inputs!$C$43)^2)/(2*Inputs!$C$44^2))*EXP(-(((Scenario_Data!T34)-Inputs!$C$42)^2)/(2*Inputs!$C$45^2))+Inputs!$C$48*(0.7*(0.45*SIN(2*PI()*(((Scenario_Data!T34)/Inputs!$C$49)+Inputs!$C$47*0.137))+0.35*COS(2*PI()*(((Inputs!$C$6)/Inputs!$C$50)+Inputs!$C$47*0.173))+0.2*SIN(2*PI()*((((Scenario_Data!T34)+(Inputs!$C$6))/(0.5*(Inputs!$C$49+Inputs!$C$50)))+Inputs!$C$47*0.097)))+0.3*(2*((SIN(((Scenario_Data!T34)*12.9898+(Inputs!$C$6)*78.233+Inputs!$C$47*37.719))*43758.5453)-INT((SIN(((Scenario_Data!T34)*12.9898+(Inputs!$C$6)*78.233+Inputs!$C$47*37.719))*43758.5453)))-1))))/1000))^2-2*(Inputs!$C$52+(Scenario_Data!B34))*(Inputs!$C$52+((IF(OR(Inputs!$C$27=TRUE,Inputs!$C$27="TRUE",Inputs!$C$27=1),1,0)*(Inputs!$C$51*(115*EXP(-(((Inputs!$C$6)-25)^2)/(4.5^2))+70*EXP(-(((Inputs!$C$6)+38)^2)/(7^2))*(0.55+0.45*SIN(2*PI()*(Scenario_Data!T34)/45))+24*SIN(2*PI()*(Inputs!$C$6)/9+(Scenario_Data!T34)/18)*EXP(-(((Inputs!$C$6)+5)^2)/(22^2))+18*SIN(2*PI()*(Scenario_Data!T34)/70))+Inputs!$C$28*EXP(-(((Scenario_Data!T34)-Inputs!$C$29)^2)/(2*Inputs!$C$31^2))*EXP(-(((Inputs!$C$6)-Inputs!$C$30)^2)/(2*Inputs!$C$32^2))+-Inputs!$C$33*EXP(-(((((Scenario_Data!T34)-Inputs!$C$34)^2)+(((Inputs!$C$6)-Inputs!$C$35)^2))/(2*Inputs!$C$36^2)))+Inputs!$C$37*(0.55*SIN(2*PI()*(Scenario_Data!T34)/Inputs!$C$39)+0.35*COS(2*PI()*(Inputs!$C$6)/Inputs!$C$40)+0.2*SIN(2*PI()*((Scenario_Data!T34)+(Inputs!$C$6))/(0.5*(Inputs!$C$39+Inputs!$C$40))))+Inputs!$C$38*SIN(2*PI()*(Scenario_Data!T34)/Inputs!$C$39)*SIN(2*PI()*(Inputs!$C$6)/Inputs!$C$40)+-Inputs!$C$41*EXP(-(((Inputs!$C$6)-Inputs!$C$43)^2)/(2*Inputs!$C$44^2))*EXP(-(((Scenario_Data!T34)-Inputs!$C$42)^2)/(2*Inputs!$C$45^2))+Inputs!$C$48*(0.7*(0.45*SIN(2*PI()*(((Scenario_Data!T34)/Inputs!$C$49)+Inputs!$C$47*0.137))+0.35*COS(2*PI()*(((Inputs!$C$6)/Inputs!$C$50)+Inputs!$C$47*0.173))+0.2*SIN(2*PI()*((((Scenario_Data!T34)+(Inputs!$C$6))/(0.5*(Inputs!$C$49+Inputs!$C$50)))+Inputs!$C$47*0.097)))+0.3*(2*((SIN(((Scenario_Data!T34)*12.9898+(Inputs!$C$6)*78.233+Inputs!$C$47*37.719))*43758.5453)-INT((SIN(((Scenario_Data!T34)*12.9898+(Inputs!$C$6)*78.233+Inputs!$C$47*37.719))*43758.5453)))-1))))/1000))*COS(SQRT((Scenario_Data!T34)^2+Inputs!$C$6^2)/Inputs!$C$52))*1000)/Inputs!$C$21*1000000</f>
        <v/>
      </c>
      <c r="AR34">
        <f>Scenario_Data!U34</f>
        <v/>
      </c>
      <c r="AS34">
        <f>2*(SQRT((Inputs!$C$52+(Scenario_Data!C34))^2+(Inputs!$C$52+((IF(OR(Inputs!$C$27=TRUE,Inputs!$C$27="TRUE",Inputs!$C$27=1),1,0)*(Inputs!$C$51*(115*EXP(-(((Inputs!$C$6)-25)^2)/(4.5^2))+70*EXP(-(((Inputs!$C$6)+38)^2)/(7^2))*(0.55+0.45*SIN(2*PI()*(Scenario_Data!U34)/45))+24*SIN(2*PI()*(Inputs!$C$6)/9+(Scenario_Data!U34)/18)*EXP(-(((Inputs!$C$6)+5)^2)/(22^2))+18*SIN(2*PI()*(Scenario_Data!U34)/70))+Inputs!$C$28*EXP(-(((Scenario_Data!U34)-Inputs!$C$29)^2)/(2*Inputs!$C$31^2))*EXP(-(((Inputs!$C$6)-Inputs!$C$30)^2)/(2*Inputs!$C$32^2))+-Inputs!$C$33*EXP(-(((((Scenario_Data!U34)-Inputs!$C$34)^2)+(((Inputs!$C$6)-Inputs!$C$35)^2))/(2*Inputs!$C$36^2)))+Inputs!$C$37*(0.55*SIN(2*PI()*(Scenario_Data!U34)/Inputs!$C$39)+0.35*COS(2*PI()*(Inputs!$C$6)/Inputs!$C$40)+0.2*SIN(2*PI()*((Scenario_Data!U34)+(Inputs!$C$6))/(0.5*(Inputs!$C$39+Inputs!$C$40))))+Inputs!$C$38*SIN(2*PI()*(Scenario_Data!U34)/Inputs!$C$39)*SIN(2*PI()*(Inputs!$C$6)/Inputs!$C$40)+-Inputs!$C$41*EXP(-(((Inputs!$C$6)-Inputs!$C$43)^2)/(2*Inputs!$C$44^2))*EXP(-(((Scenario_Data!U34)-Inputs!$C$42)^2)/(2*Inputs!$C$45^2))+Inputs!$C$48*(0.7*(0.45*SIN(2*PI()*(((Scenario_Data!U34)/Inputs!$C$49)+Inputs!$C$47*0.137))+0.35*COS(2*PI()*(((Inputs!$C$6)/Inputs!$C$50)+Inputs!$C$47*0.173))+0.2*SIN(2*PI()*((((Scenario_Data!U34)+(Inputs!$C$6))/(0.5*(Inputs!$C$49+Inputs!$C$50)))+Inputs!$C$47*0.097)))+0.3*(2*((SIN(((Scenario_Data!U34)*12.9898+(Inputs!$C$6)*78.233+Inputs!$C$47*37.719))*43758.5453)-INT((SIN(((Scenario_Data!U34)*12.9898+(Inputs!$C$6)*78.233+Inputs!$C$47*37.719))*43758.5453)))-1))))/1000))^2-2*(Inputs!$C$52+(Scenario_Data!C34))*(Inputs!$C$52+((IF(OR(Inputs!$C$27=TRUE,Inputs!$C$27="TRUE",Inputs!$C$27=1),1,0)*(Inputs!$C$51*(115*EXP(-(((Inputs!$C$6)-25)^2)/(4.5^2))+70*EXP(-(((Inputs!$C$6)+38)^2)/(7^2))*(0.55+0.45*SIN(2*PI()*(Scenario_Data!U34)/45))+24*SIN(2*PI()*(Inputs!$C$6)/9+(Scenario_Data!U34)/18)*EXP(-(((Inputs!$C$6)+5)^2)/(22^2))+18*SIN(2*PI()*(Scenario_Data!U34)/70))+Inputs!$C$28*EXP(-(((Scenario_Data!U34)-Inputs!$C$29)^2)/(2*Inputs!$C$31^2))*EXP(-(((Inputs!$C$6)-Inputs!$C$30)^2)/(2*Inputs!$C$32^2))+-Inputs!$C$33*EXP(-(((((Scenario_Data!U34)-Inputs!$C$34)^2)+(((Inputs!$C$6)-Inputs!$C$35)^2))/(2*Inputs!$C$36^2)))+Inputs!$C$37*(0.55*SIN(2*PI()*(Scenario_Data!U34)/Inputs!$C$39)+0.35*COS(2*PI()*(Inputs!$C$6)/Inputs!$C$40)+0.2*SIN(2*PI()*((Scenario_Data!U34)+(Inputs!$C$6))/(0.5*(Inputs!$C$39+Inputs!$C$40))))+Inputs!$C$38*SIN(2*PI()*(Scenario_Data!U34)/Inputs!$C$39)*SIN(2*PI()*(Inputs!$C$6)/Inputs!$C$40)+-Inputs!$C$41*EXP(-(((Inputs!$C$6)-Inputs!$C$43)^2)/(2*Inputs!$C$44^2))*EXP(-(((Scenario_Data!U34)-Inputs!$C$42)^2)/(2*Inputs!$C$45^2))+Inputs!$C$48*(0.7*(0.45*SIN(2*PI()*(((Scenario_Data!U34)/Inputs!$C$49)+Inputs!$C$47*0.137))+0.35*COS(2*PI()*(((Inputs!$C$6)/Inputs!$C$50)+Inputs!$C$47*0.173))+0.2*SIN(2*PI()*((((Scenario_Data!U34)+(Inputs!$C$6))/(0.5*(Inputs!$C$49+Inputs!$C$50)))+Inputs!$C$47*0.097)))+0.3*(2*((SIN(((Scenario_Data!U34)*12.9898+(Inputs!$C$6)*78.233+Inputs!$C$47*37.719))*43758.5453)-INT((SIN(((Scenario_Data!U34)*12.9898+(Inputs!$C$6)*78.233+Inputs!$C$47*37.719))*43758.5453)))-1))))/1000))*COS(SQRT((Scenario_Data!U34)^2+Inputs!$C$6^2)/Inputs!$C$52))*1000)/Inputs!$C$21*1000000</f>
        <v/>
      </c>
      <c r="AT34">
        <f>Scenario_Data!V34</f>
        <v/>
      </c>
      <c r="AU34">
        <f>2*(SQRT((Inputs!$C$52+(Scenario_Data!D34))^2+(Inputs!$C$52+((IF(OR(Inputs!$C$27=TRUE,Inputs!$C$27="TRUE",Inputs!$C$27=1),1,0)*(Inputs!$C$51*(115*EXP(-(((Inputs!$C$6)-25)^2)/(4.5^2))+70*EXP(-(((Inputs!$C$6)+38)^2)/(7^2))*(0.55+0.45*SIN(2*PI()*(Scenario_Data!V34)/45))+24*SIN(2*PI()*(Inputs!$C$6)/9+(Scenario_Data!V34)/18)*EXP(-(((Inputs!$C$6)+5)^2)/(22^2))+18*SIN(2*PI()*(Scenario_Data!V34)/70))+Inputs!$C$28*EXP(-(((Scenario_Data!V34)-Inputs!$C$29)^2)/(2*Inputs!$C$31^2))*EXP(-(((Inputs!$C$6)-Inputs!$C$30)^2)/(2*Inputs!$C$32^2))+-Inputs!$C$33*EXP(-(((((Scenario_Data!V34)-Inputs!$C$34)^2)+(((Inputs!$C$6)-Inputs!$C$35)^2))/(2*Inputs!$C$36^2)))+Inputs!$C$37*(0.55*SIN(2*PI()*(Scenario_Data!V34)/Inputs!$C$39)+0.35*COS(2*PI()*(Inputs!$C$6)/Inputs!$C$40)+0.2*SIN(2*PI()*((Scenario_Data!V34)+(Inputs!$C$6))/(0.5*(Inputs!$C$39+Inputs!$C$40))))+Inputs!$C$38*SIN(2*PI()*(Scenario_Data!V34)/Inputs!$C$39)*SIN(2*PI()*(Inputs!$C$6)/Inputs!$C$40)+-Inputs!$C$41*EXP(-(((Inputs!$C$6)-Inputs!$C$43)^2)/(2*Inputs!$C$44^2))*EXP(-(((Scenario_Data!V34)-Inputs!$C$42)^2)/(2*Inputs!$C$45^2))+Inputs!$C$48*(0.7*(0.45*SIN(2*PI()*(((Scenario_Data!V34)/Inputs!$C$49)+Inputs!$C$47*0.137))+0.35*COS(2*PI()*(((Inputs!$C$6)/Inputs!$C$50)+Inputs!$C$47*0.173))+0.2*SIN(2*PI()*((((Scenario_Data!V34)+(Inputs!$C$6))/(0.5*(Inputs!$C$49+Inputs!$C$50)))+Inputs!$C$47*0.097)))+0.3*(2*((SIN(((Scenario_Data!V34)*12.9898+(Inputs!$C$6)*78.233+Inputs!$C$47*37.719))*43758.5453)-INT((SIN(((Scenario_Data!V34)*12.9898+(Inputs!$C$6)*78.233+Inputs!$C$47*37.719))*43758.5453)))-1))))/1000))^2-2*(Inputs!$C$52+(Scenario_Data!D34))*(Inputs!$C$52+((IF(OR(Inputs!$C$27=TRUE,Inputs!$C$27="TRUE",Inputs!$C$27=1),1,0)*(Inputs!$C$51*(115*EXP(-(((Inputs!$C$6)-25)^2)/(4.5^2))+70*EXP(-(((Inputs!$C$6)+38)^2)/(7^2))*(0.55+0.45*SIN(2*PI()*(Scenario_Data!V34)/45))+24*SIN(2*PI()*(Inputs!$C$6)/9+(Scenario_Data!V34)/18)*EXP(-(((Inputs!$C$6)+5)^2)/(22^2))+18*SIN(2*PI()*(Scenario_Data!V34)/70))+Inputs!$C$28*EXP(-(((Scenario_Data!V34)-Inputs!$C$29)^2)/(2*Inputs!$C$31^2))*EXP(-(((Inputs!$C$6)-Inputs!$C$30)^2)/(2*Inputs!$C$32^2))+-Inputs!$C$33*EXP(-(((((Scenario_Data!V34)-Inputs!$C$34)^2)+(((Inputs!$C$6)-Inputs!$C$35)^2))/(2*Inputs!$C$36^2)))+Inputs!$C$37*(0.55*SIN(2*PI()*(Scenario_Data!V34)/Inputs!$C$39)+0.35*COS(2*PI()*(Inputs!$C$6)/Inputs!$C$40)+0.2*SIN(2*PI()*((Scenario_Data!V34)+(Inputs!$C$6))/(0.5*(Inputs!$C$39+Inputs!$C$40))))+Inputs!$C$38*SIN(2*PI()*(Scenario_Data!V34)/Inputs!$C$39)*SIN(2*PI()*(Inputs!$C$6)/Inputs!$C$40)+-Inputs!$C$41*EXP(-(((Inputs!$C$6)-Inputs!$C$43)^2)/(2*Inputs!$C$44^2))*EXP(-(((Scenario_Data!V34)-Inputs!$C$42)^2)/(2*Inputs!$C$45^2))+Inputs!$C$48*(0.7*(0.45*SIN(2*PI()*(((Scenario_Data!V34)/Inputs!$C$49)+Inputs!$C$47*0.137))+0.35*COS(2*PI()*(((Inputs!$C$6)/Inputs!$C$50)+Inputs!$C$47*0.173))+0.2*SIN(2*PI()*((((Scenario_Data!V34)+(Inputs!$C$6))/(0.5*(Inputs!$C$49+Inputs!$C$50)))+Inputs!$C$47*0.097)))+0.3*(2*((SIN(((Scenario_Data!V34)*12.9898+(Inputs!$C$6)*78.233+Inputs!$C$47*37.719))*43758.5453)-INT((SIN(((Scenario_Data!V34)*12.9898+(Inputs!$C$6)*78.233+Inputs!$C$47*37.719))*43758.5453)))-1))))/1000))*COS(SQRT((Scenario_Data!V34)^2+Inputs!$C$6^2)/Inputs!$C$52))*1000)/Inputs!$C$21*1000000</f>
        <v/>
      </c>
      <c r="AV34">
        <f>Scenario_Data!W34</f>
        <v/>
      </c>
      <c r="AW34">
        <f>2*(SQRT((Inputs!$C$52+(Scenario_Data!E34))^2+(Inputs!$C$52+((IF(OR(Inputs!$C$27=TRUE,Inputs!$C$27="TRUE",Inputs!$C$27=1),1,0)*(Inputs!$C$51*(115*EXP(-(((Inputs!$C$6)-25)^2)/(4.5^2))+70*EXP(-(((Inputs!$C$6)+38)^2)/(7^2))*(0.55+0.45*SIN(2*PI()*(Scenario_Data!W34)/45))+24*SIN(2*PI()*(Inputs!$C$6)/9+(Scenario_Data!W34)/18)*EXP(-(((Inputs!$C$6)+5)^2)/(22^2))+18*SIN(2*PI()*(Scenario_Data!W34)/70))+Inputs!$C$28*EXP(-(((Scenario_Data!W34)-Inputs!$C$29)^2)/(2*Inputs!$C$31^2))*EXP(-(((Inputs!$C$6)-Inputs!$C$30)^2)/(2*Inputs!$C$32^2))+-Inputs!$C$33*EXP(-(((((Scenario_Data!W34)-Inputs!$C$34)^2)+(((Inputs!$C$6)-Inputs!$C$35)^2))/(2*Inputs!$C$36^2)))+Inputs!$C$37*(0.55*SIN(2*PI()*(Scenario_Data!W34)/Inputs!$C$39)+0.35*COS(2*PI()*(Inputs!$C$6)/Inputs!$C$40)+0.2*SIN(2*PI()*((Scenario_Data!W34)+(Inputs!$C$6))/(0.5*(Inputs!$C$39+Inputs!$C$40))))+Inputs!$C$38*SIN(2*PI()*(Scenario_Data!W34)/Inputs!$C$39)*SIN(2*PI()*(Inputs!$C$6)/Inputs!$C$40)+-Inputs!$C$41*EXP(-(((Inputs!$C$6)-Inputs!$C$43)^2)/(2*Inputs!$C$44^2))*EXP(-(((Scenario_Data!W34)-Inputs!$C$42)^2)/(2*Inputs!$C$45^2))+Inputs!$C$48*(0.7*(0.45*SIN(2*PI()*(((Scenario_Data!W34)/Inputs!$C$49)+Inputs!$C$47*0.137))+0.35*COS(2*PI()*(((Inputs!$C$6)/Inputs!$C$50)+Inputs!$C$47*0.173))+0.2*SIN(2*PI()*((((Scenario_Data!W34)+(Inputs!$C$6))/(0.5*(Inputs!$C$49+Inputs!$C$50)))+Inputs!$C$47*0.097)))+0.3*(2*((SIN(((Scenario_Data!W34)*12.9898+(Inputs!$C$6)*78.233+Inputs!$C$47*37.719))*43758.5453)-INT((SIN(((Scenario_Data!W34)*12.9898+(Inputs!$C$6)*78.233+Inputs!$C$47*37.719))*43758.5453)))-1))))/1000))^2-2*(Inputs!$C$52+(Scenario_Data!E34))*(Inputs!$C$52+((IF(OR(Inputs!$C$27=TRUE,Inputs!$C$27="TRUE",Inputs!$C$27=1),1,0)*(Inputs!$C$51*(115*EXP(-(((Inputs!$C$6)-25)^2)/(4.5^2))+70*EXP(-(((Inputs!$C$6)+38)^2)/(7^2))*(0.55+0.45*SIN(2*PI()*(Scenario_Data!W34)/45))+24*SIN(2*PI()*(Inputs!$C$6)/9+(Scenario_Data!W34)/18)*EXP(-(((Inputs!$C$6)+5)^2)/(22^2))+18*SIN(2*PI()*(Scenario_Data!W34)/70))+Inputs!$C$28*EXP(-(((Scenario_Data!W34)-Inputs!$C$29)^2)/(2*Inputs!$C$31^2))*EXP(-(((Inputs!$C$6)-Inputs!$C$30)^2)/(2*Inputs!$C$32^2))+-Inputs!$C$33*EXP(-(((((Scenario_Data!W34)-Inputs!$C$34)^2)+(((Inputs!$C$6)-Inputs!$C$35)^2))/(2*Inputs!$C$36^2)))+Inputs!$C$37*(0.55*SIN(2*PI()*(Scenario_Data!W34)/Inputs!$C$39)+0.35*COS(2*PI()*(Inputs!$C$6)/Inputs!$C$40)+0.2*SIN(2*PI()*((Scenario_Data!W34)+(Inputs!$C$6))/(0.5*(Inputs!$C$39+Inputs!$C$40))))+Inputs!$C$38*SIN(2*PI()*(Scenario_Data!W34)/Inputs!$C$39)*SIN(2*PI()*(Inputs!$C$6)/Inputs!$C$40)+-Inputs!$C$41*EXP(-(((Inputs!$C$6)-Inputs!$C$43)^2)/(2*Inputs!$C$44^2))*EXP(-(((Scenario_Data!W34)-Inputs!$C$42)^2)/(2*Inputs!$C$45^2))+Inputs!$C$48*(0.7*(0.45*SIN(2*PI()*(((Scenario_Data!W34)/Inputs!$C$49)+Inputs!$C$47*0.137))+0.35*COS(2*PI()*(((Inputs!$C$6)/Inputs!$C$50)+Inputs!$C$47*0.173))+0.2*SIN(2*PI()*((((Scenario_Data!W34)+(Inputs!$C$6))/(0.5*(Inputs!$C$49+Inputs!$C$50)))+Inputs!$C$47*0.097)))+0.3*(2*((SIN(((Scenario_Data!W34)*12.9898+(Inputs!$C$6)*78.233+Inputs!$C$47*37.719))*43758.5453)-INT((SIN(((Scenario_Data!W34)*12.9898+(Inputs!$C$6)*78.233+Inputs!$C$47*37.719))*43758.5453)))-1))))/1000))*COS(SQRT((Scenario_Data!W34)^2+Inputs!$C$6^2)/Inputs!$C$52))*1000)/Inputs!$C$21*1000000</f>
        <v/>
      </c>
    </row>
    <row r="35">
      <c r="A35">
        <f>Chart_Data!K35</f>
        <v/>
      </c>
      <c r="B35">
        <f>Chart_Data!N35-Chart_Data!L35</f>
        <v/>
      </c>
      <c r="D35">
        <f>Chart_Data!G35</f>
        <v/>
      </c>
      <c r="E35">
        <f>Chart_Data!H35</f>
        <v/>
      </c>
      <c r="F35">
        <f>Chart_Data!I35</f>
        <v/>
      </c>
      <c r="G35">
        <f>Chart_Data!J35</f>
        <v/>
      </c>
      <c r="I35">
        <f>Scenario_Data!A35</f>
        <v/>
      </c>
      <c r="J35">
        <f>Scenario_Data!H35-(((SQRT((Inputs!$C$52+(Inputs!$H$6))^2+Inputs!$C$52^2-2*(Inputs!$C$52+(Inputs!$H$6))*Inputs!$C$52*COS(SQRT((Scenario_Data!T35)^2+Inputs!$C$6^2)/Inputs!$C$52)))-(Inputs!$H$6))*1000/Inputs!$C$12)</f>
        <v/>
      </c>
      <c r="K35">
        <f>Scenario_Data!I35-(((SQRT((Inputs!$C$52+(Inputs!$H$7))^2+Inputs!$C$52^2-2*(Inputs!$C$52+(Inputs!$H$7))*Inputs!$C$52*COS(SQRT((Scenario_Data!U35)^2+Inputs!$C$6^2)/Inputs!$C$52)))-(Inputs!$H$7))*1000/Inputs!$C$12)</f>
        <v/>
      </c>
      <c r="L35">
        <f>Scenario_Data!J35-(((SQRT((Inputs!$C$52+(Inputs!$H$8))^2+Inputs!$C$52^2-2*(Inputs!$C$52+(Inputs!$H$8))*Inputs!$C$52*COS(SQRT((Scenario_Data!V35)^2+Inputs!$C$6^2)/Inputs!$C$52)))-(Inputs!$H$8))*1000/Inputs!$C$12)</f>
        <v/>
      </c>
      <c r="M35">
        <f>Scenario_Data!K35-(((SQRT((Inputs!$C$52+(Inputs!$H$9))^2+Inputs!$C$52^2-2*(Inputs!$C$52+(Inputs!$H$9))*Inputs!$C$52*COS(SQRT((Scenario_Data!W35)^2+Inputs!$C$6^2)/Inputs!$C$52)))-(Inputs!$H$9))*1000/Inputs!$C$12)</f>
        <v/>
      </c>
      <c r="O35">
        <f>Scenario_Data!T35</f>
        <v/>
      </c>
      <c r="P35">
        <f>2*(Scenario_Data!B35*1000)/Inputs!$C$21*1000000</f>
        <v/>
      </c>
      <c r="Q35">
        <f>Scenario_Data!U35</f>
        <v/>
      </c>
      <c r="R35">
        <f>2*(Scenario_Data!C35*1000)/Inputs!$C$21*1000000</f>
        <v/>
      </c>
      <c r="S35">
        <f>Scenario_Data!V35</f>
        <v/>
      </c>
      <c r="T35">
        <f>2*(Scenario_Data!D35*1000)/Inputs!$C$21*1000000</f>
        <v/>
      </c>
      <c r="U35">
        <f>Scenario_Data!W35</f>
        <v/>
      </c>
      <c r="V35">
        <f>2*(Scenario_Data!E35*1000)/Inputs!$C$21*1000000</f>
        <v/>
      </c>
      <c r="X35">
        <f>Scenario_Data!T35</f>
        <v/>
      </c>
      <c r="Y35">
        <f>2*((Scenario_Data!B35*1000)-(IF(OR(Inputs!$C$27=TRUE,Inputs!$C$27="TRUE",Inputs!$C$27=1),1,0)*(Inputs!$C$51*(115*EXP(-(((0)-25)^2)/(4.5^2))+70*EXP(-(((0)+38)^2)/(7^2))*(0.55+0.45*SIN(2*PI()*(Scenario_Data!T35)/45))+24*SIN(2*PI()*(0)/9+(Scenario_Data!T35)/18)*EXP(-(((0)+5)^2)/(22^2))+18*SIN(2*PI()*(Scenario_Data!T35)/70))+Inputs!$C$28*EXP(-(((Scenario_Data!T35)-Inputs!$C$29)^2)/(2*Inputs!$C$31^2))*EXP(-(((0)-Inputs!$C$30)^2)/(2*Inputs!$C$32^2))+-Inputs!$C$33*EXP(-(((((Scenario_Data!T35)-Inputs!$C$34)^2)+(((0)-Inputs!$C$35)^2))/(2*Inputs!$C$36^2)))+Inputs!$C$37*(0.55*SIN(2*PI()*(Scenario_Data!T35)/Inputs!$C$39)+0.35*COS(2*PI()*(0)/Inputs!$C$40)+0.2*SIN(2*PI()*((Scenario_Data!T35)+(0))/(0.5*(Inputs!$C$39+Inputs!$C$40))))+Inputs!$C$38*SIN(2*PI()*(Scenario_Data!T35)/Inputs!$C$39)*SIN(2*PI()*(0)/Inputs!$C$40)+-Inputs!$C$41*EXP(-(((0)-Inputs!$C$43)^2)/(2*Inputs!$C$44^2))*EXP(-(((Scenario_Data!T35)-Inputs!$C$42)^2)/(2*Inputs!$C$45^2))+Inputs!$C$48*(0.7*(0.45*SIN(2*PI()*(((Scenario_Data!T35)/Inputs!$C$49)+Inputs!$C$47*0.137))+0.35*COS(2*PI()*(((0)/Inputs!$C$50)+Inputs!$C$47*0.173))+0.2*SIN(2*PI()*((((Scenario_Data!T35)+(0))/(0.5*(Inputs!$C$49+Inputs!$C$50)))+Inputs!$C$47*0.097)))+0.3*(2*((SIN(((Scenario_Data!T35)*12.9898+(0)*78.233+Inputs!$C$47*37.719))*43758.5453)-INT((SIN(((Scenario_Data!T35)*12.9898+(0)*78.233+Inputs!$C$47*37.719))*43758.5453)))-1)))))/Inputs!$C$21*1000000</f>
        <v/>
      </c>
      <c r="Z35">
        <f>Scenario_Data!U35</f>
        <v/>
      </c>
      <c r="AA35">
        <f>2*((Scenario_Data!C35*1000)-(IF(OR(Inputs!$C$27=TRUE,Inputs!$C$27="TRUE",Inputs!$C$27=1),1,0)*(Inputs!$C$51*(115*EXP(-(((0)-25)^2)/(4.5^2))+70*EXP(-(((0)+38)^2)/(7^2))*(0.55+0.45*SIN(2*PI()*(Scenario_Data!U35)/45))+24*SIN(2*PI()*(0)/9+(Scenario_Data!U35)/18)*EXP(-(((0)+5)^2)/(22^2))+18*SIN(2*PI()*(Scenario_Data!U35)/70))+Inputs!$C$28*EXP(-(((Scenario_Data!U35)-Inputs!$C$29)^2)/(2*Inputs!$C$31^2))*EXP(-(((0)-Inputs!$C$30)^2)/(2*Inputs!$C$32^2))+-Inputs!$C$33*EXP(-(((((Scenario_Data!U35)-Inputs!$C$34)^2)+(((0)-Inputs!$C$35)^2))/(2*Inputs!$C$36^2)))+Inputs!$C$37*(0.55*SIN(2*PI()*(Scenario_Data!U35)/Inputs!$C$39)+0.35*COS(2*PI()*(0)/Inputs!$C$40)+0.2*SIN(2*PI()*((Scenario_Data!U35)+(0))/(0.5*(Inputs!$C$39+Inputs!$C$40))))+Inputs!$C$38*SIN(2*PI()*(Scenario_Data!U35)/Inputs!$C$39)*SIN(2*PI()*(0)/Inputs!$C$40)+-Inputs!$C$41*EXP(-(((0)-Inputs!$C$43)^2)/(2*Inputs!$C$44^2))*EXP(-(((Scenario_Data!U35)-Inputs!$C$42)^2)/(2*Inputs!$C$45^2))+Inputs!$C$48*(0.7*(0.45*SIN(2*PI()*(((Scenario_Data!U35)/Inputs!$C$49)+Inputs!$C$47*0.137))+0.35*COS(2*PI()*(((0)/Inputs!$C$50)+Inputs!$C$47*0.173))+0.2*SIN(2*PI()*((((Scenario_Data!U35)+(0))/(0.5*(Inputs!$C$49+Inputs!$C$50)))+Inputs!$C$47*0.097)))+0.3*(2*((SIN(((Scenario_Data!U35)*12.9898+(0)*78.233+Inputs!$C$47*37.719))*43758.5453)-INT((SIN(((Scenario_Data!U35)*12.9898+(0)*78.233+Inputs!$C$47*37.719))*43758.5453)))-1)))))/Inputs!$C$21*1000000</f>
        <v/>
      </c>
      <c r="AB35">
        <f>Scenario_Data!V35</f>
        <v/>
      </c>
      <c r="AC35">
        <f>2*((Scenario_Data!D35*1000)-(IF(OR(Inputs!$C$27=TRUE,Inputs!$C$27="TRUE",Inputs!$C$27=1),1,0)*(Inputs!$C$51*(115*EXP(-(((0)-25)^2)/(4.5^2))+70*EXP(-(((0)+38)^2)/(7^2))*(0.55+0.45*SIN(2*PI()*(Scenario_Data!V35)/45))+24*SIN(2*PI()*(0)/9+(Scenario_Data!V35)/18)*EXP(-(((0)+5)^2)/(22^2))+18*SIN(2*PI()*(Scenario_Data!V35)/70))+Inputs!$C$28*EXP(-(((Scenario_Data!V35)-Inputs!$C$29)^2)/(2*Inputs!$C$31^2))*EXP(-(((0)-Inputs!$C$30)^2)/(2*Inputs!$C$32^2))+-Inputs!$C$33*EXP(-(((((Scenario_Data!V35)-Inputs!$C$34)^2)+(((0)-Inputs!$C$35)^2))/(2*Inputs!$C$36^2)))+Inputs!$C$37*(0.55*SIN(2*PI()*(Scenario_Data!V35)/Inputs!$C$39)+0.35*COS(2*PI()*(0)/Inputs!$C$40)+0.2*SIN(2*PI()*((Scenario_Data!V35)+(0))/(0.5*(Inputs!$C$39+Inputs!$C$40))))+Inputs!$C$38*SIN(2*PI()*(Scenario_Data!V35)/Inputs!$C$39)*SIN(2*PI()*(0)/Inputs!$C$40)+-Inputs!$C$41*EXP(-(((0)-Inputs!$C$43)^2)/(2*Inputs!$C$44^2))*EXP(-(((Scenario_Data!V35)-Inputs!$C$42)^2)/(2*Inputs!$C$45^2))+Inputs!$C$48*(0.7*(0.45*SIN(2*PI()*(((Scenario_Data!V35)/Inputs!$C$49)+Inputs!$C$47*0.137))+0.35*COS(2*PI()*(((0)/Inputs!$C$50)+Inputs!$C$47*0.173))+0.2*SIN(2*PI()*((((Scenario_Data!V35)+(0))/(0.5*(Inputs!$C$49+Inputs!$C$50)))+Inputs!$C$47*0.097)))+0.3*(2*((SIN(((Scenario_Data!V35)*12.9898+(0)*78.233+Inputs!$C$47*37.719))*43758.5453)-INT((SIN(((Scenario_Data!V35)*12.9898+(0)*78.233+Inputs!$C$47*37.719))*43758.5453)))-1)))))/Inputs!$C$21*1000000</f>
        <v/>
      </c>
      <c r="AD35">
        <f>Scenario_Data!W35</f>
        <v/>
      </c>
      <c r="AE35">
        <f>2*((Scenario_Data!E35*1000)-(IF(OR(Inputs!$C$27=TRUE,Inputs!$C$27="TRUE",Inputs!$C$27=1),1,0)*(Inputs!$C$51*(115*EXP(-(((0)-25)^2)/(4.5^2))+70*EXP(-(((0)+38)^2)/(7^2))*(0.55+0.45*SIN(2*PI()*(Scenario_Data!W35)/45))+24*SIN(2*PI()*(0)/9+(Scenario_Data!W35)/18)*EXP(-(((0)+5)^2)/(22^2))+18*SIN(2*PI()*(Scenario_Data!W35)/70))+Inputs!$C$28*EXP(-(((Scenario_Data!W35)-Inputs!$C$29)^2)/(2*Inputs!$C$31^2))*EXP(-(((0)-Inputs!$C$30)^2)/(2*Inputs!$C$32^2))+-Inputs!$C$33*EXP(-(((((Scenario_Data!W35)-Inputs!$C$34)^2)+(((0)-Inputs!$C$35)^2))/(2*Inputs!$C$36^2)))+Inputs!$C$37*(0.55*SIN(2*PI()*(Scenario_Data!W35)/Inputs!$C$39)+0.35*COS(2*PI()*(0)/Inputs!$C$40)+0.2*SIN(2*PI()*((Scenario_Data!W35)+(0))/(0.5*(Inputs!$C$39+Inputs!$C$40))))+Inputs!$C$38*SIN(2*PI()*(Scenario_Data!W35)/Inputs!$C$39)*SIN(2*PI()*(0)/Inputs!$C$40)+-Inputs!$C$41*EXP(-(((0)-Inputs!$C$43)^2)/(2*Inputs!$C$44^2))*EXP(-(((Scenario_Data!W35)-Inputs!$C$42)^2)/(2*Inputs!$C$45^2))+Inputs!$C$48*(0.7*(0.45*SIN(2*PI()*(((Scenario_Data!W35)/Inputs!$C$49)+Inputs!$C$47*0.137))+0.35*COS(2*PI()*(((0)/Inputs!$C$50)+Inputs!$C$47*0.173))+0.2*SIN(2*PI()*((((Scenario_Data!W35)+(0))/(0.5*(Inputs!$C$49+Inputs!$C$50)))+Inputs!$C$47*0.097)))+0.3*(2*((SIN(((Scenario_Data!W35)*12.9898+(0)*78.233+Inputs!$C$47*37.719))*43758.5453)-INT((SIN(((Scenario_Data!W35)*12.9898+(0)*78.233+Inputs!$C$47*37.719))*43758.5453)))-1)))))/Inputs!$C$21*1000000</f>
        <v/>
      </c>
      <c r="AG35">
        <f>Scenario_Data!T35</f>
        <v/>
      </c>
      <c r="AH35">
        <f>2*(SQRT((Inputs!$C$52+(Scenario_Data!B35))^2+Inputs!$C$52^2-2*(Inputs!$C$52+(Scenario_Data!B35))*Inputs!$C$52*COS(SQRT((Scenario_Data!T35)^2+Inputs!$C$6^2)/Inputs!$C$52))*1000)/Inputs!$C$21*1000000</f>
        <v/>
      </c>
      <c r="AI35">
        <f>Scenario_Data!U35</f>
        <v/>
      </c>
      <c r="AJ35">
        <f>2*(SQRT((Inputs!$C$52+(Scenario_Data!C35))^2+Inputs!$C$52^2-2*(Inputs!$C$52+(Scenario_Data!C35))*Inputs!$C$52*COS(SQRT((Scenario_Data!U35)^2+Inputs!$C$6^2)/Inputs!$C$52))*1000)/Inputs!$C$21*1000000</f>
        <v/>
      </c>
      <c r="AK35">
        <f>Scenario_Data!V35</f>
        <v/>
      </c>
      <c r="AL35">
        <f>2*(SQRT((Inputs!$C$52+(Scenario_Data!D35))^2+Inputs!$C$52^2-2*(Inputs!$C$52+(Scenario_Data!D35))*Inputs!$C$52*COS(SQRT((Scenario_Data!V35)^2+Inputs!$C$6^2)/Inputs!$C$52))*1000)/Inputs!$C$21*1000000</f>
        <v/>
      </c>
      <c r="AM35">
        <f>Scenario_Data!W35</f>
        <v/>
      </c>
      <c r="AN35">
        <f>2*(SQRT((Inputs!$C$52+(Scenario_Data!E35))^2+Inputs!$C$52^2-2*(Inputs!$C$52+(Scenario_Data!E35))*Inputs!$C$52*COS(SQRT((Scenario_Data!W35)^2+Inputs!$C$6^2)/Inputs!$C$52))*1000)/Inputs!$C$21*1000000</f>
        <v/>
      </c>
      <c r="AP35">
        <f>Scenario_Data!T35</f>
        <v/>
      </c>
      <c r="AQ35">
        <f>2*(SQRT((Inputs!$C$52+(Scenario_Data!B35))^2+(Inputs!$C$52+((IF(OR(Inputs!$C$27=TRUE,Inputs!$C$27="TRUE",Inputs!$C$27=1),1,0)*(Inputs!$C$51*(115*EXP(-(((Inputs!$C$6)-25)^2)/(4.5^2))+70*EXP(-(((Inputs!$C$6)+38)^2)/(7^2))*(0.55+0.45*SIN(2*PI()*(Scenario_Data!T35)/45))+24*SIN(2*PI()*(Inputs!$C$6)/9+(Scenario_Data!T35)/18)*EXP(-(((Inputs!$C$6)+5)^2)/(22^2))+18*SIN(2*PI()*(Scenario_Data!T35)/70))+Inputs!$C$28*EXP(-(((Scenario_Data!T35)-Inputs!$C$29)^2)/(2*Inputs!$C$31^2))*EXP(-(((Inputs!$C$6)-Inputs!$C$30)^2)/(2*Inputs!$C$32^2))+-Inputs!$C$33*EXP(-(((((Scenario_Data!T35)-Inputs!$C$34)^2)+(((Inputs!$C$6)-Inputs!$C$35)^2))/(2*Inputs!$C$36^2)))+Inputs!$C$37*(0.55*SIN(2*PI()*(Scenario_Data!T35)/Inputs!$C$39)+0.35*COS(2*PI()*(Inputs!$C$6)/Inputs!$C$40)+0.2*SIN(2*PI()*((Scenario_Data!T35)+(Inputs!$C$6))/(0.5*(Inputs!$C$39+Inputs!$C$40))))+Inputs!$C$38*SIN(2*PI()*(Scenario_Data!T35)/Inputs!$C$39)*SIN(2*PI()*(Inputs!$C$6)/Inputs!$C$40)+-Inputs!$C$41*EXP(-(((Inputs!$C$6)-Inputs!$C$43)^2)/(2*Inputs!$C$44^2))*EXP(-(((Scenario_Data!T35)-Inputs!$C$42)^2)/(2*Inputs!$C$45^2))+Inputs!$C$48*(0.7*(0.45*SIN(2*PI()*(((Scenario_Data!T35)/Inputs!$C$49)+Inputs!$C$47*0.137))+0.35*COS(2*PI()*(((Inputs!$C$6)/Inputs!$C$50)+Inputs!$C$47*0.173))+0.2*SIN(2*PI()*((((Scenario_Data!T35)+(Inputs!$C$6))/(0.5*(Inputs!$C$49+Inputs!$C$50)))+Inputs!$C$47*0.097)))+0.3*(2*((SIN(((Scenario_Data!T35)*12.9898+(Inputs!$C$6)*78.233+Inputs!$C$47*37.719))*43758.5453)-INT((SIN(((Scenario_Data!T35)*12.9898+(Inputs!$C$6)*78.233+Inputs!$C$47*37.719))*43758.5453)))-1))))/1000))^2-2*(Inputs!$C$52+(Scenario_Data!B35))*(Inputs!$C$52+((IF(OR(Inputs!$C$27=TRUE,Inputs!$C$27="TRUE",Inputs!$C$27=1),1,0)*(Inputs!$C$51*(115*EXP(-(((Inputs!$C$6)-25)^2)/(4.5^2))+70*EXP(-(((Inputs!$C$6)+38)^2)/(7^2))*(0.55+0.45*SIN(2*PI()*(Scenario_Data!T35)/45))+24*SIN(2*PI()*(Inputs!$C$6)/9+(Scenario_Data!T35)/18)*EXP(-(((Inputs!$C$6)+5)^2)/(22^2))+18*SIN(2*PI()*(Scenario_Data!T35)/70))+Inputs!$C$28*EXP(-(((Scenario_Data!T35)-Inputs!$C$29)^2)/(2*Inputs!$C$31^2))*EXP(-(((Inputs!$C$6)-Inputs!$C$30)^2)/(2*Inputs!$C$32^2))+-Inputs!$C$33*EXP(-(((((Scenario_Data!T35)-Inputs!$C$34)^2)+(((Inputs!$C$6)-Inputs!$C$35)^2))/(2*Inputs!$C$36^2)))+Inputs!$C$37*(0.55*SIN(2*PI()*(Scenario_Data!T35)/Inputs!$C$39)+0.35*COS(2*PI()*(Inputs!$C$6)/Inputs!$C$40)+0.2*SIN(2*PI()*((Scenario_Data!T35)+(Inputs!$C$6))/(0.5*(Inputs!$C$39+Inputs!$C$40))))+Inputs!$C$38*SIN(2*PI()*(Scenario_Data!T35)/Inputs!$C$39)*SIN(2*PI()*(Inputs!$C$6)/Inputs!$C$40)+-Inputs!$C$41*EXP(-(((Inputs!$C$6)-Inputs!$C$43)^2)/(2*Inputs!$C$44^2))*EXP(-(((Scenario_Data!T35)-Inputs!$C$42)^2)/(2*Inputs!$C$45^2))+Inputs!$C$48*(0.7*(0.45*SIN(2*PI()*(((Scenario_Data!T35)/Inputs!$C$49)+Inputs!$C$47*0.137))+0.35*COS(2*PI()*(((Inputs!$C$6)/Inputs!$C$50)+Inputs!$C$47*0.173))+0.2*SIN(2*PI()*((((Scenario_Data!T35)+(Inputs!$C$6))/(0.5*(Inputs!$C$49+Inputs!$C$50)))+Inputs!$C$47*0.097)))+0.3*(2*((SIN(((Scenario_Data!T35)*12.9898+(Inputs!$C$6)*78.233+Inputs!$C$47*37.719))*43758.5453)-INT((SIN(((Scenario_Data!T35)*12.9898+(Inputs!$C$6)*78.233+Inputs!$C$47*37.719))*43758.5453)))-1))))/1000))*COS(SQRT((Scenario_Data!T35)^2+Inputs!$C$6^2)/Inputs!$C$52))*1000)/Inputs!$C$21*1000000</f>
        <v/>
      </c>
      <c r="AR35">
        <f>Scenario_Data!U35</f>
        <v/>
      </c>
      <c r="AS35">
        <f>2*(SQRT((Inputs!$C$52+(Scenario_Data!C35))^2+(Inputs!$C$52+((IF(OR(Inputs!$C$27=TRUE,Inputs!$C$27="TRUE",Inputs!$C$27=1),1,0)*(Inputs!$C$51*(115*EXP(-(((Inputs!$C$6)-25)^2)/(4.5^2))+70*EXP(-(((Inputs!$C$6)+38)^2)/(7^2))*(0.55+0.45*SIN(2*PI()*(Scenario_Data!U35)/45))+24*SIN(2*PI()*(Inputs!$C$6)/9+(Scenario_Data!U35)/18)*EXP(-(((Inputs!$C$6)+5)^2)/(22^2))+18*SIN(2*PI()*(Scenario_Data!U35)/70))+Inputs!$C$28*EXP(-(((Scenario_Data!U35)-Inputs!$C$29)^2)/(2*Inputs!$C$31^2))*EXP(-(((Inputs!$C$6)-Inputs!$C$30)^2)/(2*Inputs!$C$32^2))+-Inputs!$C$33*EXP(-(((((Scenario_Data!U35)-Inputs!$C$34)^2)+(((Inputs!$C$6)-Inputs!$C$35)^2))/(2*Inputs!$C$36^2)))+Inputs!$C$37*(0.55*SIN(2*PI()*(Scenario_Data!U35)/Inputs!$C$39)+0.35*COS(2*PI()*(Inputs!$C$6)/Inputs!$C$40)+0.2*SIN(2*PI()*((Scenario_Data!U35)+(Inputs!$C$6))/(0.5*(Inputs!$C$39+Inputs!$C$40))))+Inputs!$C$38*SIN(2*PI()*(Scenario_Data!U35)/Inputs!$C$39)*SIN(2*PI()*(Inputs!$C$6)/Inputs!$C$40)+-Inputs!$C$41*EXP(-(((Inputs!$C$6)-Inputs!$C$43)^2)/(2*Inputs!$C$44^2))*EXP(-(((Scenario_Data!U35)-Inputs!$C$42)^2)/(2*Inputs!$C$45^2))+Inputs!$C$48*(0.7*(0.45*SIN(2*PI()*(((Scenario_Data!U35)/Inputs!$C$49)+Inputs!$C$47*0.137))+0.35*COS(2*PI()*(((Inputs!$C$6)/Inputs!$C$50)+Inputs!$C$47*0.173))+0.2*SIN(2*PI()*((((Scenario_Data!U35)+(Inputs!$C$6))/(0.5*(Inputs!$C$49+Inputs!$C$50)))+Inputs!$C$47*0.097)))+0.3*(2*((SIN(((Scenario_Data!U35)*12.9898+(Inputs!$C$6)*78.233+Inputs!$C$47*37.719))*43758.5453)-INT((SIN(((Scenario_Data!U35)*12.9898+(Inputs!$C$6)*78.233+Inputs!$C$47*37.719))*43758.5453)))-1))))/1000))^2-2*(Inputs!$C$52+(Scenario_Data!C35))*(Inputs!$C$52+((IF(OR(Inputs!$C$27=TRUE,Inputs!$C$27="TRUE",Inputs!$C$27=1),1,0)*(Inputs!$C$51*(115*EXP(-(((Inputs!$C$6)-25)^2)/(4.5^2))+70*EXP(-(((Inputs!$C$6)+38)^2)/(7^2))*(0.55+0.45*SIN(2*PI()*(Scenario_Data!U35)/45))+24*SIN(2*PI()*(Inputs!$C$6)/9+(Scenario_Data!U35)/18)*EXP(-(((Inputs!$C$6)+5)^2)/(22^2))+18*SIN(2*PI()*(Scenario_Data!U35)/70))+Inputs!$C$28*EXP(-(((Scenario_Data!U35)-Inputs!$C$29)^2)/(2*Inputs!$C$31^2))*EXP(-(((Inputs!$C$6)-Inputs!$C$30)^2)/(2*Inputs!$C$32^2))+-Inputs!$C$33*EXP(-(((((Scenario_Data!U35)-Inputs!$C$34)^2)+(((Inputs!$C$6)-Inputs!$C$35)^2))/(2*Inputs!$C$36^2)))+Inputs!$C$37*(0.55*SIN(2*PI()*(Scenario_Data!U35)/Inputs!$C$39)+0.35*COS(2*PI()*(Inputs!$C$6)/Inputs!$C$40)+0.2*SIN(2*PI()*((Scenario_Data!U35)+(Inputs!$C$6))/(0.5*(Inputs!$C$39+Inputs!$C$40))))+Inputs!$C$38*SIN(2*PI()*(Scenario_Data!U35)/Inputs!$C$39)*SIN(2*PI()*(Inputs!$C$6)/Inputs!$C$40)+-Inputs!$C$41*EXP(-(((Inputs!$C$6)-Inputs!$C$43)^2)/(2*Inputs!$C$44^2))*EXP(-(((Scenario_Data!U35)-Inputs!$C$42)^2)/(2*Inputs!$C$45^2))+Inputs!$C$48*(0.7*(0.45*SIN(2*PI()*(((Scenario_Data!U35)/Inputs!$C$49)+Inputs!$C$47*0.137))+0.35*COS(2*PI()*(((Inputs!$C$6)/Inputs!$C$50)+Inputs!$C$47*0.173))+0.2*SIN(2*PI()*((((Scenario_Data!U35)+(Inputs!$C$6))/(0.5*(Inputs!$C$49+Inputs!$C$50)))+Inputs!$C$47*0.097)))+0.3*(2*((SIN(((Scenario_Data!U35)*12.9898+(Inputs!$C$6)*78.233+Inputs!$C$47*37.719))*43758.5453)-INT((SIN(((Scenario_Data!U35)*12.9898+(Inputs!$C$6)*78.233+Inputs!$C$47*37.719))*43758.5453)))-1))))/1000))*COS(SQRT((Scenario_Data!U35)^2+Inputs!$C$6^2)/Inputs!$C$52))*1000)/Inputs!$C$21*1000000</f>
        <v/>
      </c>
      <c r="AT35">
        <f>Scenario_Data!V35</f>
        <v/>
      </c>
      <c r="AU35">
        <f>2*(SQRT((Inputs!$C$52+(Scenario_Data!D35))^2+(Inputs!$C$52+((IF(OR(Inputs!$C$27=TRUE,Inputs!$C$27="TRUE",Inputs!$C$27=1),1,0)*(Inputs!$C$51*(115*EXP(-(((Inputs!$C$6)-25)^2)/(4.5^2))+70*EXP(-(((Inputs!$C$6)+38)^2)/(7^2))*(0.55+0.45*SIN(2*PI()*(Scenario_Data!V35)/45))+24*SIN(2*PI()*(Inputs!$C$6)/9+(Scenario_Data!V35)/18)*EXP(-(((Inputs!$C$6)+5)^2)/(22^2))+18*SIN(2*PI()*(Scenario_Data!V35)/70))+Inputs!$C$28*EXP(-(((Scenario_Data!V35)-Inputs!$C$29)^2)/(2*Inputs!$C$31^2))*EXP(-(((Inputs!$C$6)-Inputs!$C$30)^2)/(2*Inputs!$C$32^2))+-Inputs!$C$33*EXP(-(((((Scenario_Data!V35)-Inputs!$C$34)^2)+(((Inputs!$C$6)-Inputs!$C$35)^2))/(2*Inputs!$C$36^2)))+Inputs!$C$37*(0.55*SIN(2*PI()*(Scenario_Data!V35)/Inputs!$C$39)+0.35*COS(2*PI()*(Inputs!$C$6)/Inputs!$C$40)+0.2*SIN(2*PI()*((Scenario_Data!V35)+(Inputs!$C$6))/(0.5*(Inputs!$C$39+Inputs!$C$40))))+Inputs!$C$38*SIN(2*PI()*(Scenario_Data!V35)/Inputs!$C$39)*SIN(2*PI()*(Inputs!$C$6)/Inputs!$C$40)+-Inputs!$C$41*EXP(-(((Inputs!$C$6)-Inputs!$C$43)^2)/(2*Inputs!$C$44^2))*EXP(-(((Scenario_Data!V35)-Inputs!$C$42)^2)/(2*Inputs!$C$45^2))+Inputs!$C$48*(0.7*(0.45*SIN(2*PI()*(((Scenario_Data!V35)/Inputs!$C$49)+Inputs!$C$47*0.137))+0.35*COS(2*PI()*(((Inputs!$C$6)/Inputs!$C$50)+Inputs!$C$47*0.173))+0.2*SIN(2*PI()*((((Scenario_Data!V35)+(Inputs!$C$6))/(0.5*(Inputs!$C$49+Inputs!$C$50)))+Inputs!$C$47*0.097)))+0.3*(2*((SIN(((Scenario_Data!V35)*12.9898+(Inputs!$C$6)*78.233+Inputs!$C$47*37.719))*43758.5453)-INT((SIN(((Scenario_Data!V35)*12.9898+(Inputs!$C$6)*78.233+Inputs!$C$47*37.719))*43758.5453)))-1))))/1000))^2-2*(Inputs!$C$52+(Scenario_Data!D35))*(Inputs!$C$52+((IF(OR(Inputs!$C$27=TRUE,Inputs!$C$27="TRUE",Inputs!$C$27=1),1,0)*(Inputs!$C$51*(115*EXP(-(((Inputs!$C$6)-25)^2)/(4.5^2))+70*EXP(-(((Inputs!$C$6)+38)^2)/(7^2))*(0.55+0.45*SIN(2*PI()*(Scenario_Data!V35)/45))+24*SIN(2*PI()*(Inputs!$C$6)/9+(Scenario_Data!V35)/18)*EXP(-(((Inputs!$C$6)+5)^2)/(22^2))+18*SIN(2*PI()*(Scenario_Data!V35)/70))+Inputs!$C$28*EXP(-(((Scenario_Data!V35)-Inputs!$C$29)^2)/(2*Inputs!$C$31^2))*EXP(-(((Inputs!$C$6)-Inputs!$C$30)^2)/(2*Inputs!$C$32^2))+-Inputs!$C$33*EXP(-(((((Scenario_Data!V35)-Inputs!$C$34)^2)+(((Inputs!$C$6)-Inputs!$C$35)^2))/(2*Inputs!$C$36^2)))+Inputs!$C$37*(0.55*SIN(2*PI()*(Scenario_Data!V35)/Inputs!$C$39)+0.35*COS(2*PI()*(Inputs!$C$6)/Inputs!$C$40)+0.2*SIN(2*PI()*((Scenario_Data!V35)+(Inputs!$C$6))/(0.5*(Inputs!$C$39+Inputs!$C$40))))+Inputs!$C$38*SIN(2*PI()*(Scenario_Data!V35)/Inputs!$C$39)*SIN(2*PI()*(Inputs!$C$6)/Inputs!$C$40)+-Inputs!$C$41*EXP(-(((Inputs!$C$6)-Inputs!$C$43)^2)/(2*Inputs!$C$44^2))*EXP(-(((Scenario_Data!V35)-Inputs!$C$42)^2)/(2*Inputs!$C$45^2))+Inputs!$C$48*(0.7*(0.45*SIN(2*PI()*(((Scenario_Data!V35)/Inputs!$C$49)+Inputs!$C$47*0.137))+0.35*COS(2*PI()*(((Inputs!$C$6)/Inputs!$C$50)+Inputs!$C$47*0.173))+0.2*SIN(2*PI()*((((Scenario_Data!V35)+(Inputs!$C$6))/(0.5*(Inputs!$C$49+Inputs!$C$50)))+Inputs!$C$47*0.097)))+0.3*(2*((SIN(((Scenario_Data!V35)*12.9898+(Inputs!$C$6)*78.233+Inputs!$C$47*37.719))*43758.5453)-INT((SIN(((Scenario_Data!V35)*12.9898+(Inputs!$C$6)*78.233+Inputs!$C$47*37.719))*43758.5453)))-1))))/1000))*COS(SQRT((Scenario_Data!V35)^2+Inputs!$C$6^2)/Inputs!$C$52))*1000)/Inputs!$C$21*1000000</f>
        <v/>
      </c>
      <c r="AV35">
        <f>Scenario_Data!W35</f>
        <v/>
      </c>
      <c r="AW35">
        <f>2*(SQRT((Inputs!$C$52+(Scenario_Data!E35))^2+(Inputs!$C$52+((IF(OR(Inputs!$C$27=TRUE,Inputs!$C$27="TRUE",Inputs!$C$27=1),1,0)*(Inputs!$C$51*(115*EXP(-(((Inputs!$C$6)-25)^2)/(4.5^2))+70*EXP(-(((Inputs!$C$6)+38)^2)/(7^2))*(0.55+0.45*SIN(2*PI()*(Scenario_Data!W35)/45))+24*SIN(2*PI()*(Inputs!$C$6)/9+(Scenario_Data!W35)/18)*EXP(-(((Inputs!$C$6)+5)^2)/(22^2))+18*SIN(2*PI()*(Scenario_Data!W35)/70))+Inputs!$C$28*EXP(-(((Scenario_Data!W35)-Inputs!$C$29)^2)/(2*Inputs!$C$31^2))*EXP(-(((Inputs!$C$6)-Inputs!$C$30)^2)/(2*Inputs!$C$32^2))+-Inputs!$C$33*EXP(-(((((Scenario_Data!W35)-Inputs!$C$34)^2)+(((Inputs!$C$6)-Inputs!$C$35)^2))/(2*Inputs!$C$36^2)))+Inputs!$C$37*(0.55*SIN(2*PI()*(Scenario_Data!W35)/Inputs!$C$39)+0.35*COS(2*PI()*(Inputs!$C$6)/Inputs!$C$40)+0.2*SIN(2*PI()*((Scenario_Data!W35)+(Inputs!$C$6))/(0.5*(Inputs!$C$39+Inputs!$C$40))))+Inputs!$C$38*SIN(2*PI()*(Scenario_Data!W35)/Inputs!$C$39)*SIN(2*PI()*(Inputs!$C$6)/Inputs!$C$40)+-Inputs!$C$41*EXP(-(((Inputs!$C$6)-Inputs!$C$43)^2)/(2*Inputs!$C$44^2))*EXP(-(((Scenario_Data!W35)-Inputs!$C$42)^2)/(2*Inputs!$C$45^2))+Inputs!$C$48*(0.7*(0.45*SIN(2*PI()*(((Scenario_Data!W35)/Inputs!$C$49)+Inputs!$C$47*0.137))+0.35*COS(2*PI()*(((Inputs!$C$6)/Inputs!$C$50)+Inputs!$C$47*0.173))+0.2*SIN(2*PI()*((((Scenario_Data!W35)+(Inputs!$C$6))/(0.5*(Inputs!$C$49+Inputs!$C$50)))+Inputs!$C$47*0.097)))+0.3*(2*((SIN(((Scenario_Data!W35)*12.9898+(Inputs!$C$6)*78.233+Inputs!$C$47*37.719))*43758.5453)-INT((SIN(((Scenario_Data!W35)*12.9898+(Inputs!$C$6)*78.233+Inputs!$C$47*37.719))*43758.5453)))-1))))/1000))^2-2*(Inputs!$C$52+(Scenario_Data!E35))*(Inputs!$C$52+((IF(OR(Inputs!$C$27=TRUE,Inputs!$C$27="TRUE",Inputs!$C$27=1),1,0)*(Inputs!$C$51*(115*EXP(-(((Inputs!$C$6)-25)^2)/(4.5^2))+70*EXP(-(((Inputs!$C$6)+38)^2)/(7^2))*(0.55+0.45*SIN(2*PI()*(Scenario_Data!W35)/45))+24*SIN(2*PI()*(Inputs!$C$6)/9+(Scenario_Data!W35)/18)*EXP(-(((Inputs!$C$6)+5)^2)/(22^2))+18*SIN(2*PI()*(Scenario_Data!W35)/70))+Inputs!$C$28*EXP(-(((Scenario_Data!W35)-Inputs!$C$29)^2)/(2*Inputs!$C$31^2))*EXP(-(((Inputs!$C$6)-Inputs!$C$30)^2)/(2*Inputs!$C$32^2))+-Inputs!$C$33*EXP(-(((((Scenario_Data!W35)-Inputs!$C$34)^2)+(((Inputs!$C$6)-Inputs!$C$35)^2))/(2*Inputs!$C$36^2)))+Inputs!$C$37*(0.55*SIN(2*PI()*(Scenario_Data!W35)/Inputs!$C$39)+0.35*COS(2*PI()*(Inputs!$C$6)/Inputs!$C$40)+0.2*SIN(2*PI()*((Scenario_Data!W35)+(Inputs!$C$6))/(0.5*(Inputs!$C$39+Inputs!$C$40))))+Inputs!$C$38*SIN(2*PI()*(Scenario_Data!W35)/Inputs!$C$39)*SIN(2*PI()*(Inputs!$C$6)/Inputs!$C$40)+-Inputs!$C$41*EXP(-(((Inputs!$C$6)-Inputs!$C$43)^2)/(2*Inputs!$C$44^2))*EXP(-(((Scenario_Data!W35)-Inputs!$C$42)^2)/(2*Inputs!$C$45^2))+Inputs!$C$48*(0.7*(0.45*SIN(2*PI()*(((Scenario_Data!W35)/Inputs!$C$49)+Inputs!$C$47*0.137))+0.35*COS(2*PI()*(((Inputs!$C$6)/Inputs!$C$50)+Inputs!$C$47*0.173))+0.2*SIN(2*PI()*((((Scenario_Data!W35)+(Inputs!$C$6))/(0.5*(Inputs!$C$49+Inputs!$C$50)))+Inputs!$C$47*0.097)))+0.3*(2*((SIN(((Scenario_Data!W35)*12.9898+(Inputs!$C$6)*78.233+Inputs!$C$47*37.719))*43758.5453)-INT((SIN(((Scenario_Data!W35)*12.9898+(Inputs!$C$6)*78.233+Inputs!$C$47*37.719))*43758.5453)))-1))))/1000))*COS(SQRT((Scenario_Data!W35)^2+Inputs!$C$6^2)/Inputs!$C$52))*1000)/Inputs!$C$21*1000000</f>
        <v/>
      </c>
    </row>
    <row r="36">
      <c r="A36">
        <f>Chart_Data!K36</f>
        <v/>
      </c>
      <c r="B36">
        <f>Chart_Data!N36-Chart_Data!L36</f>
        <v/>
      </c>
      <c r="D36">
        <f>Chart_Data!G36</f>
        <v/>
      </c>
      <c r="E36">
        <f>Chart_Data!H36</f>
        <v/>
      </c>
      <c r="F36">
        <f>Chart_Data!I36</f>
        <v/>
      </c>
      <c r="G36">
        <f>Chart_Data!J36</f>
        <v/>
      </c>
      <c r="I36">
        <f>Scenario_Data!A36</f>
        <v/>
      </c>
      <c r="J36">
        <f>Scenario_Data!H36-(((SQRT((Inputs!$C$52+(Inputs!$H$6))^2+Inputs!$C$52^2-2*(Inputs!$C$52+(Inputs!$H$6))*Inputs!$C$52*COS(SQRT((Scenario_Data!T36)^2+Inputs!$C$6^2)/Inputs!$C$52)))-(Inputs!$H$6))*1000/Inputs!$C$12)</f>
        <v/>
      </c>
      <c r="K36">
        <f>Scenario_Data!I36-(((SQRT((Inputs!$C$52+(Inputs!$H$7))^2+Inputs!$C$52^2-2*(Inputs!$C$52+(Inputs!$H$7))*Inputs!$C$52*COS(SQRT((Scenario_Data!U36)^2+Inputs!$C$6^2)/Inputs!$C$52)))-(Inputs!$H$7))*1000/Inputs!$C$12)</f>
        <v/>
      </c>
      <c r="L36">
        <f>Scenario_Data!J36-(((SQRT((Inputs!$C$52+(Inputs!$H$8))^2+Inputs!$C$52^2-2*(Inputs!$C$52+(Inputs!$H$8))*Inputs!$C$52*COS(SQRT((Scenario_Data!V36)^2+Inputs!$C$6^2)/Inputs!$C$52)))-(Inputs!$H$8))*1000/Inputs!$C$12)</f>
        <v/>
      </c>
      <c r="M36">
        <f>Scenario_Data!K36-(((SQRT((Inputs!$C$52+(Inputs!$H$9))^2+Inputs!$C$52^2-2*(Inputs!$C$52+(Inputs!$H$9))*Inputs!$C$52*COS(SQRT((Scenario_Data!W36)^2+Inputs!$C$6^2)/Inputs!$C$52)))-(Inputs!$H$9))*1000/Inputs!$C$12)</f>
        <v/>
      </c>
      <c r="O36">
        <f>Scenario_Data!T36</f>
        <v/>
      </c>
      <c r="P36">
        <f>2*(Scenario_Data!B36*1000)/Inputs!$C$21*1000000</f>
        <v/>
      </c>
      <c r="Q36">
        <f>Scenario_Data!U36</f>
        <v/>
      </c>
      <c r="R36">
        <f>2*(Scenario_Data!C36*1000)/Inputs!$C$21*1000000</f>
        <v/>
      </c>
      <c r="S36">
        <f>Scenario_Data!V36</f>
        <v/>
      </c>
      <c r="T36">
        <f>2*(Scenario_Data!D36*1000)/Inputs!$C$21*1000000</f>
        <v/>
      </c>
      <c r="U36">
        <f>Scenario_Data!W36</f>
        <v/>
      </c>
      <c r="V36">
        <f>2*(Scenario_Data!E36*1000)/Inputs!$C$21*1000000</f>
        <v/>
      </c>
      <c r="X36">
        <f>Scenario_Data!T36</f>
        <v/>
      </c>
      <c r="Y36">
        <f>2*((Scenario_Data!B36*1000)-(IF(OR(Inputs!$C$27=TRUE,Inputs!$C$27="TRUE",Inputs!$C$27=1),1,0)*(Inputs!$C$51*(115*EXP(-(((0)-25)^2)/(4.5^2))+70*EXP(-(((0)+38)^2)/(7^2))*(0.55+0.45*SIN(2*PI()*(Scenario_Data!T36)/45))+24*SIN(2*PI()*(0)/9+(Scenario_Data!T36)/18)*EXP(-(((0)+5)^2)/(22^2))+18*SIN(2*PI()*(Scenario_Data!T36)/70))+Inputs!$C$28*EXP(-(((Scenario_Data!T36)-Inputs!$C$29)^2)/(2*Inputs!$C$31^2))*EXP(-(((0)-Inputs!$C$30)^2)/(2*Inputs!$C$32^2))+-Inputs!$C$33*EXP(-(((((Scenario_Data!T36)-Inputs!$C$34)^2)+(((0)-Inputs!$C$35)^2))/(2*Inputs!$C$36^2)))+Inputs!$C$37*(0.55*SIN(2*PI()*(Scenario_Data!T36)/Inputs!$C$39)+0.35*COS(2*PI()*(0)/Inputs!$C$40)+0.2*SIN(2*PI()*((Scenario_Data!T36)+(0))/(0.5*(Inputs!$C$39+Inputs!$C$40))))+Inputs!$C$38*SIN(2*PI()*(Scenario_Data!T36)/Inputs!$C$39)*SIN(2*PI()*(0)/Inputs!$C$40)+-Inputs!$C$41*EXP(-(((0)-Inputs!$C$43)^2)/(2*Inputs!$C$44^2))*EXP(-(((Scenario_Data!T36)-Inputs!$C$42)^2)/(2*Inputs!$C$45^2))+Inputs!$C$48*(0.7*(0.45*SIN(2*PI()*(((Scenario_Data!T36)/Inputs!$C$49)+Inputs!$C$47*0.137))+0.35*COS(2*PI()*(((0)/Inputs!$C$50)+Inputs!$C$47*0.173))+0.2*SIN(2*PI()*((((Scenario_Data!T36)+(0))/(0.5*(Inputs!$C$49+Inputs!$C$50)))+Inputs!$C$47*0.097)))+0.3*(2*((SIN(((Scenario_Data!T36)*12.9898+(0)*78.233+Inputs!$C$47*37.719))*43758.5453)-INT((SIN(((Scenario_Data!T36)*12.9898+(0)*78.233+Inputs!$C$47*37.719))*43758.5453)))-1)))))/Inputs!$C$21*1000000</f>
        <v/>
      </c>
      <c r="Z36">
        <f>Scenario_Data!U36</f>
        <v/>
      </c>
      <c r="AA36">
        <f>2*((Scenario_Data!C36*1000)-(IF(OR(Inputs!$C$27=TRUE,Inputs!$C$27="TRUE",Inputs!$C$27=1),1,0)*(Inputs!$C$51*(115*EXP(-(((0)-25)^2)/(4.5^2))+70*EXP(-(((0)+38)^2)/(7^2))*(0.55+0.45*SIN(2*PI()*(Scenario_Data!U36)/45))+24*SIN(2*PI()*(0)/9+(Scenario_Data!U36)/18)*EXP(-(((0)+5)^2)/(22^2))+18*SIN(2*PI()*(Scenario_Data!U36)/70))+Inputs!$C$28*EXP(-(((Scenario_Data!U36)-Inputs!$C$29)^2)/(2*Inputs!$C$31^2))*EXP(-(((0)-Inputs!$C$30)^2)/(2*Inputs!$C$32^2))+-Inputs!$C$33*EXP(-(((((Scenario_Data!U36)-Inputs!$C$34)^2)+(((0)-Inputs!$C$35)^2))/(2*Inputs!$C$36^2)))+Inputs!$C$37*(0.55*SIN(2*PI()*(Scenario_Data!U36)/Inputs!$C$39)+0.35*COS(2*PI()*(0)/Inputs!$C$40)+0.2*SIN(2*PI()*((Scenario_Data!U36)+(0))/(0.5*(Inputs!$C$39+Inputs!$C$40))))+Inputs!$C$38*SIN(2*PI()*(Scenario_Data!U36)/Inputs!$C$39)*SIN(2*PI()*(0)/Inputs!$C$40)+-Inputs!$C$41*EXP(-(((0)-Inputs!$C$43)^2)/(2*Inputs!$C$44^2))*EXP(-(((Scenario_Data!U36)-Inputs!$C$42)^2)/(2*Inputs!$C$45^2))+Inputs!$C$48*(0.7*(0.45*SIN(2*PI()*(((Scenario_Data!U36)/Inputs!$C$49)+Inputs!$C$47*0.137))+0.35*COS(2*PI()*(((0)/Inputs!$C$50)+Inputs!$C$47*0.173))+0.2*SIN(2*PI()*((((Scenario_Data!U36)+(0))/(0.5*(Inputs!$C$49+Inputs!$C$50)))+Inputs!$C$47*0.097)))+0.3*(2*((SIN(((Scenario_Data!U36)*12.9898+(0)*78.233+Inputs!$C$47*37.719))*43758.5453)-INT((SIN(((Scenario_Data!U36)*12.9898+(0)*78.233+Inputs!$C$47*37.719))*43758.5453)))-1)))))/Inputs!$C$21*1000000</f>
        <v/>
      </c>
      <c r="AB36">
        <f>Scenario_Data!V36</f>
        <v/>
      </c>
      <c r="AC36">
        <f>2*((Scenario_Data!D36*1000)-(IF(OR(Inputs!$C$27=TRUE,Inputs!$C$27="TRUE",Inputs!$C$27=1),1,0)*(Inputs!$C$51*(115*EXP(-(((0)-25)^2)/(4.5^2))+70*EXP(-(((0)+38)^2)/(7^2))*(0.55+0.45*SIN(2*PI()*(Scenario_Data!V36)/45))+24*SIN(2*PI()*(0)/9+(Scenario_Data!V36)/18)*EXP(-(((0)+5)^2)/(22^2))+18*SIN(2*PI()*(Scenario_Data!V36)/70))+Inputs!$C$28*EXP(-(((Scenario_Data!V36)-Inputs!$C$29)^2)/(2*Inputs!$C$31^2))*EXP(-(((0)-Inputs!$C$30)^2)/(2*Inputs!$C$32^2))+-Inputs!$C$33*EXP(-(((((Scenario_Data!V36)-Inputs!$C$34)^2)+(((0)-Inputs!$C$35)^2))/(2*Inputs!$C$36^2)))+Inputs!$C$37*(0.55*SIN(2*PI()*(Scenario_Data!V36)/Inputs!$C$39)+0.35*COS(2*PI()*(0)/Inputs!$C$40)+0.2*SIN(2*PI()*((Scenario_Data!V36)+(0))/(0.5*(Inputs!$C$39+Inputs!$C$40))))+Inputs!$C$38*SIN(2*PI()*(Scenario_Data!V36)/Inputs!$C$39)*SIN(2*PI()*(0)/Inputs!$C$40)+-Inputs!$C$41*EXP(-(((0)-Inputs!$C$43)^2)/(2*Inputs!$C$44^2))*EXP(-(((Scenario_Data!V36)-Inputs!$C$42)^2)/(2*Inputs!$C$45^2))+Inputs!$C$48*(0.7*(0.45*SIN(2*PI()*(((Scenario_Data!V36)/Inputs!$C$49)+Inputs!$C$47*0.137))+0.35*COS(2*PI()*(((0)/Inputs!$C$50)+Inputs!$C$47*0.173))+0.2*SIN(2*PI()*((((Scenario_Data!V36)+(0))/(0.5*(Inputs!$C$49+Inputs!$C$50)))+Inputs!$C$47*0.097)))+0.3*(2*((SIN(((Scenario_Data!V36)*12.9898+(0)*78.233+Inputs!$C$47*37.719))*43758.5453)-INT((SIN(((Scenario_Data!V36)*12.9898+(0)*78.233+Inputs!$C$47*37.719))*43758.5453)))-1)))))/Inputs!$C$21*1000000</f>
        <v/>
      </c>
      <c r="AD36">
        <f>Scenario_Data!W36</f>
        <v/>
      </c>
      <c r="AE36">
        <f>2*((Scenario_Data!E36*1000)-(IF(OR(Inputs!$C$27=TRUE,Inputs!$C$27="TRUE",Inputs!$C$27=1),1,0)*(Inputs!$C$51*(115*EXP(-(((0)-25)^2)/(4.5^2))+70*EXP(-(((0)+38)^2)/(7^2))*(0.55+0.45*SIN(2*PI()*(Scenario_Data!W36)/45))+24*SIN(2*PI()*(0)/9+(Scenario_Data!W36)/18)*EXP(-(((0)+5)^2)/(22^2))+18*SIN(2*PI()*(Scenario_Data!W36)/70))+Inputs!$C$28*EXP(-(((Scenario_Data!W36)-Inputs!$C$29)^2)/(2*Inputs!$C$31^2))*EXP(-(((0)-Inputs!$C$30)^2)/(2*Inputs!$C$32^2))+-Inputs!$C$33*EXP(-(((((Scenario_Data!W36)-Inputs!$C$34)^2)+(((0)-Inputs!$C$35)^2))/(2*Inputs!$C$36^2)))+Inputs!$C$37*(0.55*SIN(2*PI()*(Scenario_Data!W36)/Inputs!$C$39)+0.35*COS(2*PI()*(0)/Inputs!$C$40)+0.2*SIN(2*PI()*((Scenario_Data!W36)+(0))/(0.5*(Inputs!$C$39+Inputs!$C$40))))+Inputs!$C$38*SIN(2*PI()*(Scenario_Data!W36)/Inputs!$C$39)*SIN(2*PI()*(0)/Inputs!$C$40)+-Inputs!$C$41*EXP(-(((0)-Inputs!$C$43)^2)/(2*Inputs!$C$44^2))*EXP(-(((Scenario_Data!W36)-Inputs!$C$42)^2)/(2*Inputs!$C$45^2))+Inputs!$C$48*(0.7*(0.45*SIN(2*PI()*(((Scenario_Data!W36)/Inputs!$C$49)+Inputs!$C$47*0.137))+0.35*COS(2*PI()*(((0)/Inputs!$C$50)+Inputs!$C$47*0.173))+0.2*SIN(2*PI()*((((Scenario_Data!W36)+(0))/(0.5*(Inputs!$C$49+Inputs!$C$50)))+Inputs!$C$47*0.097)))+0.3*(2*((SIN(((Scenario_Data!W36)*12.9898+(0)*78.233+Inputs!$C$47*37.719))*43758.5453)-INT((SIN(((Scenario_Data!W36)*12.9898+(0)*78.233+Inputs!$C$47*37.719))*43758.5453)))-1)))))/Inputs!$C$21*1000000</f>
        <v/>
      </c>
      <c r="AG36">
        <f>Scenario_Data!T36</f>
        <v/>
      </c>
      <c r="AH36">
        <f>2*(SQRT((Inputs!$C$52+(Scenario_Data!B36))^2+Inputs!$C$52^2-2*(Inputs!$C$52+(Scenario_Data!B36))*Inputs!$C$52*COS(SQRT((Scenario_Data!T36)^2+Inputs!$C$6^2)/Inputs!$C$52))*1000)/Inputs!$C$21*1000000</f>
        <v/>
      </c>
      <c r="AI36">
        <f>Scenario_Data!U36</f>
        <v/>
      </c>
      <c r="AJ36">
        <f>2*(SQRT((Inputs!$C$52+(Scenario_Data!C36))^2+Inputs!$C$52^2-2*(Inputs!$C$52+(Scenario_Data!C36))*Inputs!$C$52*COS(SQRT((Scenario_Data!U36)^2+Inputs!$C$6^2)/Inputs!$C$52))*1000)/Inputs!$C$21*1000000</f>
        <v/>
      </c>
      <c r="AK36">
        <f>Scenario_Data!V36</f>
        <v/>
      </c>
      <c r="AL36">
        <f>2*(SQRT((Inputs!$C$52+(Scenario_Data!D36))^2+Inputs!$C$52^2-2*(Inputs!$C$52+(Scenario_Data!D36))*Inputs!$C$52*COS(SQRT((Scenario_Data!V36)^2+Inputs!$C$6^2)/Inputs!$C$52))*1000)/Inputs!$C$21*1000000</f>
        <v/>
      </c>
      <c r="AM36">
        <f>Scenario_Data!W36</f>
        <v/>
      </c>
      <c r="AN36">
        <f>2*(SQRT((Inputs!$C$52+(Scenario_Data!E36))^2+Inputs!$C$52^2-2*(Inputs!$C$52+(Scenario_Data!E36))*Inputs!$C$52*COS(SQRT((Scenario_Data!W36)^2+Inputs!$C$6^2)/Inputs!$C$52))*1000)/Inputs!$C$21*1000000</f>
        <v/>
      </c>
      <c r="AP36">
        <f>Scenario_Data!T36</f>
        <v/>
      </c>
      <c r="AQ36">
        <f>2*(SQRT((Inputs!$C$52+(Scenario_Data!B36))^2+(Inputs!$C$52+((IF(OR(Inputs!$C$27=TRUE,Inputs!$C$27="TRUE",Inputs!$C$27=1),1,0)*(Inputs!$C$51*(115*EXP(-(((Inputs!$C$6)-25)^2)/(4.5^2))+70*EXP(-(((Inputs!$C$6)+38)^2)/(7^2))*(0.55+0.45*SIN(2*PI()*(Scenario_Data!T36)/45))+24*SIN(2*PI()*(Inputs!$C$6)/9+(Scenario_Data!T36)/18)*EXP(-(((Inputs!$C$6)+5)^2)/(22^2))+18*SIN(2*PI()*(Scenario_Data!T36)/70))+Inputs!$C$28*EXP(-(((Scenario_Data!T36)-Inputs!$C$29)^2)/(2*Inputs!$C$31^2))*EXP(-(((Inputs!$C$6)-Inputs!$C$30)^2)/(2*Inputs!$C$32^2))+-Inputs!$C$33*EXP(-(((((Scenario_Data!T36)-Inputs!$C$34)^2)+(((Inputs!$C$6)-Inputs!$C$35)^2))/(2*Inputs!$C$36^2)))+Inputs!$C$37*(0.55*SIN(2*PI()*(Scenario_Data!T36)/Inputs!$C$39)+0.35*COS(2*PI()*(Inputs!$C$6)/Inputs!$C$40)+0.2*SIN(2*PI()*((Scenario_Data!T36)+(Inputs!$C$6))/(0.5*(Inputs!$C$39+Inputs!$C$40))))+Inputs!$C$38*SIN(2*PI()*(Scenario_Data!T36)/Inputs!$C$39)*SIN(2*PI()*(Inputs!$C$6)/Inputs!$C$40)+-Inputs!$C$41*EXP(-(((Inputs!$C$6)-Inputs!$C$43)^2)/(2*Inputs!$C$44^2))*EXP(-(((Scenario_Data!T36)-Inputs!$C$42)^2)/(2*Inputs!$C$45^2))+Inputs!$C$48*(0.7*(0.45*SIN(2*PI()*(((Scenario_Data!T36)/Inputs!$C$49)+Inputs!$C$47*0.137))+0.35*COS(2*PI()*(((Inputs!$C$6)/Inputs!$C$50)+Inputs!$C$47*0.173))+0.2*SIN(2*PI()*((((Scenario_Data!T36)+(Inputs!$C$6))/(0.5*(Inputs!$C$49+Inputs!$C$50)))+Inputs!$C$47*0.097)))+0.3*(2*((SIN(((Scenario_Data!T36)*12.9898+(Inputs!$C$6)*78.233+Inputs!$C$47*37.719))*43758.5453)-INT((SIN(((Scenario_Data!T36)*12.9898+(Inputs!$C$6)*78.233+Inputs!$C$47*37.719))*43758.5453)))-1))))/1000))^2-2*(Inputs!$C$52+(Scenario_Data!B36))*(Inputs!$C$52+((IF(OR(Inputs!$C$27=TRUE,Inputs!$C$27="TRUE",Inputs!$C$27=1),1,0)*(Inputs!$C$51*(115*EXP(-(((Inputs!$C$6)-25)^2)/(4.5^2))+70*EXP(-(((Inputs!$C$6)+38)^2)/(7^2))*(0.55+0.45*SIN(2*PI()*(Scenario_Data!T36)/45))+24*SIN(2*PI()*(Inputs!$C$6)/9+(Scenario_Data!T36)/18)*EXP(-(((Inputs!$C$6)+5)^2)/(22^2))+18*SIN(2*PI()*(Scenario_Data!T36)/70))+Inputs!$C$28*EXP(-(((Scenario_Data!T36)-Inputs!$C$29)^2)/(2*Inputs!$C$31^2))*EXP(-(((Inputs!$C$6)-Inputs!$C$30)^2)/(2*Inputs!$C$32^2))+-Inputs!$C$33*EXP(-(((((Scenario_Data!T36)-Inputs!$C$34)^2)+(((Inputs!$C$6)-Inputs!$C$35)^2))/(2*Inputs!$C$36^2)))+Inputs!$C$37*(0.55*SIN(2*PI()*(Scenario_Data!T36)/Inputs!$C$39)+0.35*COS(2*PI()*(Inputs!$C$6)/Inputs!$C$40)+0.2*SIN(2*PI()*((Scenario_Data!T36)+(Inputs!$C$6))/(0.5*(Inputs!$C$39+Inputs!$C$40))))+Inputs!$C$38*SIN(2*PI()*(Scenario_Data!T36)/Inputs!$C$39)*SIN(2*PI()*(Inputs!$C$6)/Inputs!$C$40)+-Inputs!$C$41*EXP(-(((Inputs!$C$6)-Inputs!$C$43)^2)/(2*Inputs!$C$44^2))*EXP(-(((Scenario_Data!T36)-Inputs!$C$42)^2)/(2*Inputs!$C$45^2))+Inputs!$C$48*(0.7*(0.45*SIN(2*PI()*(((Scenario_Data!T36)/Inputs!$C$49)+Inputs!$C$47*0.137))+0.35*COS(2*PI()*(((Inputs!$C$6)/Inputs!$C$50)+Inputs!$C$47*0.173))+0.2*SIN(2*PI()*((((Scenario_Data!T36)+(Inputs!$C$6))/(0.5*(Inputs!$C$49+Inputs!$C$50)))+Inputs!$C$47*0.097)))+0.3*(2*((SIN(((Scenario_Data!T36)*12.9898+(Inputs!$C$6)*78.233+Inputs!$C$47*37.719))*43758.5453)-INT((SIN(((Scenario_Data!T36)*12.9898+(Inputs!$C$6)*78.233+Inputs!$C$47*37.719))*43758.5453)))-1))))/1000))*COS(SQRT((Scenario_Data!T36)^2+Inputs!$C$6^2)/Inputs!$C$52))*1000)/Inputs!$C$21*1000000</f>
        <v/>
      </c>
      <c r="AR36">
        <f>Scenario_Data!U36</f>
        <v/>
      </c>
      <c r="AS36">
        <f>2*(SQRT((Inputs!$C$52+(Scenario_Data!C36))^2+(Inputs!$C$52+((IF(OR(Inputs!$C$27=TRUE,Inputs!$C$27="TRUE",Inputs!$C$27=1),1,0)*(Inputs!$C$51*(115*EXP(-(((Inputs!$C$6)-25)^2)/(4.5^2))+70*EXP(-(((Inputs!$C$6)+38)^2)/(7^2))*(0.55+0.45*SIN(2*PI()*(Scenario_Data!U36)/45))+24*SIN(2*PI()*(Inputs!$C$6)/9+(Scenario_Data!U36)/18)*EXP(-(((Inputs!$C$6)+5)^2)/(22^2))+18*SIN(2*PI()*(Scenario_Data!U36)/70))+Inputs!$C$28*EXP(-(((Scenario_Data!U36)-Inputs!$C$29)^2)/(2*Inputs!$C$31^2))*EXP(-(((Inputs!$C$6)-Inputs!$C$30)^2)/(2*Inputs!$C$32^2))+-Inputs!$C$33*EXP(-(((((Scenario_Data!U36)-Inputs!$C$34)^2)+(((Inputs!$C$6)-Inputs!$C$35)^2))/(2*Inputs!$C$36^2)))+Inputs!$C$37*(0.55*SIN(2*PI()*(Scenario_Data!U36)/Inputs!$C$39)+0.35*COS(2*PI()*(Inputs!$C$6)/Inputs!$C$40)+0.2*SIN(2*PI()*((Scenario_Data!U36)+(Inputs!$C$6))/(0.5*(Inputs!$C$39+Inputs!$C$40))))+Inputs!$C$38*SIN(2*PI()*(Scenario_Data!U36)/Inputs!$C$39)*SIN(2*PI()*(Inputs!$C$6)/Inputs!$C$40)+-Inputs!$C$41*EXP(-(((Inputs!$C$6)-Inputs!$C$43)^2)/(2*Inputs!$C$44^2))*EXP(-(((Scenario_Data!U36)-Inputs!$C$42)^2)/(2*Inputs!$C$45^2))+Inputs!$C$48*(0.7*(0.45*SIN(2*PI()*(((Scenario_Data!U36)/Inputs!$C$49)+Inputs!$C$47*0.137))+0.35*COS(2*PI()*(((Inputs!$C$6)/Inputs!$C$50)+Inputs!$C$47*0.173))+0.2*SIN(2*PI()*((((Scenario_Data!U36)+(Inputs!$C$6))/(0.5*(Inputs!$C$49+Inputs!$C$50)))+Inputs!$C$47*0.097)))+0.3*(2*((SIN(((Scenario_Data!U36)*12.9898+(Inputs!$C$6)*78.233+Inputs!$C$47*37.719))*43758.5453)-INT((SIN(((Scenario_Data!U36)*12.9898+(Inputs!$C$6)*78.233+Inputs!$C$47*37.719))*43758.5453)))-1))))/1000))^2-2*(Inputs!$C$52+(Scenario_Data!C36))*(Inputs!$C$52+((IF(OR(Inputs!$C$27=TRUE,Inputs!$C$27="TRUE",Inputs!$C$27=1),1,0)*(Inputs!$C$51*(115*EXP(-(((Inputs!$C$6)-25)^2)/(4.5^2))+70*EXP(-(((Inputs!$C$6)+38)^2)/(7^2))*(0.55+0.45*SIN(2*PI()*(Scenario_Data!U36)/45))+24*SIN(2*PI()*(Inputs!$C$6)/9+(Scenario_Data!U36)/18)*EXP(-(((Inputs!$C$6)+5)^2)/(22^2))+18*SIN(2*PI()*(Scenario_Data!U36)/70))+Inputs!$C$28*EXP(-(((Scenario_Data!U36)-Inputs!$C$29)^2)/(2*Inputs!$C$31^2))*EXP(-(((Inputs!$C$6)-Inputs!$C$30)^2)/(2*Inputs!$C$32^2))+-Inputs!$C$33*EXP(-(((((Scenario_Data!U36)-Inputs!$C$34)^2)+(((Inputs!$C$6)-Inputs!$C$35)^2))/(2*Inputs!$C$36^2)))+Inputs!$C$37*(0.55*SIN(2*PI()*(Scenario_Data!U36)/Inputs!$C$39)+0.35*COS(2*PI()*(Inputs!$C$6)/Inputs!$C$40)+0.2*SIN(2*PI()*((Scenario_Data!U36)+(Inputs!$C$6))/(0.5*(Inputs!$C$39+Inputs!$C$40))))+Inputs!$C$38*SIN(2*PI()*(Scenario_Data!U36)/Inputs!$C$39)*SIN(2*PI()*(Inputs!$C$6)/Inputs!$C$40)+-Inputs!$C$41*EXP(-(((Inputs!$C$6)-Inputs!$C$43)^2)/(2*Inputs!$C$44^2))*EXP(-(((Scenario_Data!U36)-Inputs!$C$42)^2)/(2*Inputs!$C$45^2))+Inputs!$C$48*(0.7*(0.45*SIN(2*PI()*(((Scenario_Data!U36)/Inputs!$C$49)+Inputs!$C$47*0.137))+0.35*COS(2*PI()*(((Inputs!$C$6)/Inputs!$C$50)+Inputs!$C$47*0.173))+0.2*SIN(2*PI()*((((Scenario_Data!U36)+(Inputs!$C$6))/(0.5*(Inputs!$C$49+Inputs!$C$50)))+Inputs!$C$47*0.097)))+0.3*(2*((SIN(((Scenario_Data!U36)*12.9898+(Inputs!$C$6)*78.233+Inputs!$C$47*37.719))*43758.5453)-INT((SIN(((Scenario_Data!U36)*12.9898+(Inputs!$C$6)*78.233+Inputs!$C$47*37.719))*43758.5453)))-1))))/1000))*COS(SQRT((Scenario_Data!U36)^2+Inputs!$C$6^2)/Inputs!$C$52))*1000)/Inputs!$C$21*1000000</f>
        <v/>
      </c>
      <c r="AT36">
        <f>Scenario_Data!V36</f>
        <v/>
      </c>
      <c r="AU36">
        <f>2*(SQRT((Inputs!$C$52+(Scenario_Data!D36))^2+(Inputs!$C$52+((IF(OR(Inputs!$C$27=TRUE,Inputs!$C$27="TRUE",Inputs!$C$27=1),1,0)*(Inputs!$C$51*(115*EXP(-(((Inputs!$C$6)-25)^2)/(4.5^2))+70*EXP(-(((Inputs!$C$6)+38)^2)/(7^2))*(0.55+0.45*SIN(2*PI()*(Scenario_Data!V36)/45))+24*SIN(2*PI()*(Inputs!$C$6)/9+(Scenario_Data!V36)/18)*EXP(-(((Inputs!$C$6)+5)^2)/(22^2))+18*SIN(2*PI()*(Scenario_Data!V36)/70))+Inputs!$C$28*EXP(-(((Scenario_Data!V36)-Inputs!$C$29)^2)/(2*Inputs!$C$31^2))*EXP(-(((Inputs!$C$6)-Inputs!$C$30)^2)/(2*Inputs!$C$32^2))+-Inputs!$C$33*EXP(-(((((Scenario_Data!V36)-Inputs!$C$34)^2)+(((Inputs!$C$6)-Inputs!$C$35)^2))/(2*Inputs!$C$36^2)))+Inputs!$C$37*(0.55*SIN(2*PI()*(Scenario_Data!V36)/Inputs!$C$39)+0.35*COS(2*PI()*(Inputs!$C$6)/Inputs!$C$40)+0.2*SIN(2*PI()*((Scenario_Data!V36)+(Inputs!$C$6))/(0.5*(Inputs!$C$39+Inputs!$C$40))))+Inputs!$C$38*SIN(2*PI()*(Scenario_Data!V36)/Inputs!$C$39)*SIN(2*PI()*(Inputs!$C$6)/Inputs!$C$40)+-Inputs!$C$41*EXP(-(((Inputs!$C$6)-Inputs!$C$43)^2)/(2*Inputs!$C$44^2))*EXP(-(((Scenario_Data!V36)-Inputs!$C$42)^2)/(2*Inputs!$C$45^2))+Inputs!$C$48*(0.7*(0.45*SIN(2*PI()*(((Scenario_Data!V36)/Inputs!$C$49)+Inputs!$C$47*0.137))+0.35*COS(2*PI()*(((Inputs!$C$6)/Inputs!$C$50)+Inputs!$C$47*0.173))+0.2*SIN(2*PI()*((((Scenario_Data!V36)+(Inputs!$C$6))/(0.5*(Inputs!$C$49+Inputs!$C$50)))+Inputs!$C$47*0.097)))+0.3*(2*((SIN(((Scenario_Data!V36)*12.9898+(Inputs!$C$6)*78.233+Inputs!$C$47*37.719))*43758.5453)-INT((SIN(((Scenario_Data!V36)*12.9898+(Inputs!$C$6)*78.233+Inputs!$C$47*37.719))*43758.5453)))-1))))/1000))^2-2*(Inputs!$C$52+(Scenario_Data!D36))*(Inputs!$C$52+((IF(OR(Inputs!$C$27=TRUE,Inputs!$C$27="TRUE",Inputs!$C$27=1),1,0)*(Inputs!$C$51*(115*EXP(-(((Inputs!$C$6)-25)^2)/(4.5^2))+70*EXP(-(((Inputs!$C$6)+38)^2)/(7^2))*(0.55+0.45*SIN(2*PI()*(Scenario_Data!V36)/45))+24*SIN(2*PI()*(Inputs!$C$6)/9+(Scenario_Data!V36)/18)*EXP(-(((Inputs!$C$6)+5)^2)/(22^2))+18*SIN(2*PI()*(Scenario_Data!V36)/70))+Inputs!$C$28*EXP(-(((Scenario_Data!V36)-Inputs!$C$29)^2)/(2*Inputs!$C$31^2))*EXP(-(((Inputs!$C$6)-Inputs!$C$30)^2)/(2*Inputs!$C$32^2))+-Inputs!$C$33*EXP(-(((((Scenario_Data!V36)-Inputs!$C$34)^2)+(((Inputs!$C$6)-Inputs!$C$35)^2))/(2*Inputs!$C$36^2)))+Inputs!$C$37*(0.55*SIN(2*PI()*(Scenario_Data!V36)/Inputs!$C$39)+0.35*COS(2*PI()*(Inputs!$C$6)/Inputs!$C$40)+0.2*SIN(2*PI()*((Scenario_Data!V36)+(Inputs!$C$6))/(0.5*(Inputs!$C$39+Inputs!$C$40))))+Inputs!$C$38*SIN(2*PI()*(Scenario_Data!V36)/Inputs!$C$39)*SIN(2*PI()*(Inputs!$C$6)/Inputs!$C$40)+-Inputs!$C$41*EXP(-(((Inputs!$C$6)-Inputs!$C$43)^2)/(2*Inputs!$C$44^2))*EXP(-(((Scenario_Data!V36)-Inputs!$C$42)^2)/(2*Inputs!$C$45^2))+Inputs!$C$48*(0.7*(0.45*SIN(2*PI()*(((Scenario_Data!V36)/Inputs!$C$49)+Inputs!$C$47*0.137))+0.35*COS(2*PI()*(((Inputs!$C$6)/Inputs!$C$50)+Inputs!$C$47*0.173))+0.2*SIN(2*PI()*((((Scenario_Data!V36)+(Inputs!$C$6))/(0.5*(Inputs!$C$49+Inputs!$C$50)))+Inputs!$C$47*0.097)))+0.3*(2*((SIN(((Scenario_Data!V36)*12.9898+(Inputs!$C$6)*78.233+Inputs!$C$47*37.719))*43758.5453)-INT((SIN(((Scenario_Data!V36)*12.9898+(Inputs!$C$6)*78.233+Inputs!$C$47*37.719))*43758.5453)))-1))))/1000))*COS(SQRT((Scenario_Data!V36)^2+Inputs!$C$6^2)/Inputs!$C$52))*1000)/Inputs!$C$21*1000000</f>
        <v/>
      </c>
      <c r="AV36">
        <f>Scenario_Data!W36</f>
        <v/>
      </c>
      <c r="AW36">
        <f>2*(SQRT((Inputs!$C$52+(Scenario_Data!E36))^2+(Inputs!$C$52+((IF(OR(Inputs!$C$27=TRUE,Inputs!$C$27="TRUE",Inputs!$C$27=1),1,0)*(Inputs!$C$51*(115*EXP(-(((Inputs!$C$6)-25)^2)/(4.5^2))+70*EXP(-(((Inputs!$C$6)+38)^2)/(7^2))*(0.55+0.45*SIN(2*PI()*(Scenario_Data!W36)/45))+24*SIN(2*PI()*(Inputs!$C$6)/9+(Scenario_Data!W36)/18)*EXP(-(((Inputs!$C$6)+5)^2)/(22^2))+18*SIN(2*PI()*(Scenario_Data!W36)/70))+Inputs!$C$28*EXP(-(((Scenario_Data!W36)-Inputs!$C$29)^2)/(2*Inputs!$C$31^2))*EXP(-(((Inputs!$C$6)-Inputs!$C$30)^2)/(2*Inputs!$C$32^2))+-Inputs!$C$33*EXP(-(((((Scenario_Data!W36)-Inputs!$C$34)^2)+(((Inputs!$C$6)-Inputs!$C$35)^2))/(2*Inputs!$C$36^2)))+Inputs!$C$37*(0.55*SIN(2*PI()*(Scenario_Data!W36)/Inputs!$C$39)+0.35*COS(2*PI()*(Inputs!$C$6)/Inputs!$C$40)+0.2*SIN(2*PI()*((Scenario_Data!W36)+(Inputs!$C$6))/(0.5*(Inputs!$C$39+Inputs!$C$40))))+Inputs!$C$38*SIN(2*PI()*(Scenario_Data!W36)/Inputs!$C$39)*SIN(2*PI()*(Inputs!$C$6)/Inputs!$C$40)+-Inputs!$C$41*EXP(-(((Inputs!$C$6)-Inputs!$C$43)^2)/(2*Inputs!$C$44^2))*EXP(-(((Scenario_Data!W36)-Inputs!$C$42)^2)/(2*Inputs!$C$45^2))+Inputs!$C$48*(0.7*(0.45*SIN(2*PI()*(((Scenario_Data!W36)/Inputs!$C$49)+Inputs!$C$47*0.137))+0.35*COS(2*PI()*(((Inputs!$C$6)/Inputs!$C$50)+Inputs!$C$47*0.173))+0.2*SIN(2*PI()*((((Scenario_Data!W36)+(Inputs!$C$6))/(0.5*(Inputs!$C$49+Inputs!$C$50)))+Inputs!$C$47*0.097)))+0.3*(2*((SIN(((Scenario_Data!W36)*12.9898+(Inputs!$C$6)*78.233+Inputs!$C$47*37.719))*43758.5453)-INT((SIN(((Scenario_Data!W36)*12.9898+(Inputs!$C$6)*78.233+Inputs!$C$47*37.719))*43758.5453)))-1))))/1000))^2-2*(Inputs!$C$52+(Scenario_Data!E36))*(Inputs!$C$52+((IF(OR(Inputs!$C$27=TRUE,Inputs!$C$27="TRUE",Inputs!$C$27=1),1,0)*(Inputs!$C$51*(115*EXP(-(((Inputs!$C$6)-25)^2)/(4.5^2))+70*EXP(-(((Inputs!$C$6)+38)^2)/(7^2))*(0.55+0.45*SIN(2*PI()*(Scenario_Data!W36)/45))+24*SIN(2*PI()*(Inputs!$C$6)/9+(Scenario_Data!W36)/18)*EXP(-(((Inputs!$C$6)+5)^2)/(22^2))+18*SIN(2*PI()*(Scenario_Data!W36)/70))+Inputs!$C$28*EXP(-(((Scenario_Data!W36)-Inputs!$C$29)^2)/(2*Inputs!$C$31^2))*EXP(-(((Inputs!$C$6)-Inputs!$C$30)^2)/(2*Inputs!$C$32^2))+-Inputs!$C$33*EXP(-(((((Scenario_Data!W36)-Inputs!$C$34)^2)+(((Inputs!$C$6)-Inputs!$C$35)^2))/(2*Inputs!$C$36^2)))+Inputs!$C$37*(0.55*SIN(2*PI()*(Scenario_Data!W36)/Inputs!$C$39)+0.35*COS(2*PI()*(Inputs!$C$6)/Inputs!$C$40)+0.2*SIN(2*PI()*((Scenario_Data!W36)+(Inputs!$C$6))/(0.5*(Inputs!$C$39+Inputs!$C$40))))+Inputs!$C$38*SIN(2*PI()*(Scenario_Data!W36)/Inputs!$C$39)*SIN(2*PI()*(Inputs!$C$6)/Inputs!$C$40)+-Inputs!$C$41*EXP(-(((Inputs!$C$6)-Inputs!$C$43)^2)/(2*Inputs!$C$44^2))*EXP(-(((Scenario_Data!W36)-Inputs!$C$42)^2)/(2*Inputs!$C$45^2))+Inputs!$C$48*(0.7*(0.45*SIN(2*PI()*(((Scenario_Data!W36)/Inputs!$C$49)+Inputs!$C$47*0.137))+0.35*COS(2*PI()*(((Inputs!$C$6)/Inputs!$C$50)+Inputs!$C$47*0.173))+0.2*SIN(2*PI()*((((Scenario_Data!W36)+(Inputs!$C$6))/(0.5*(Inputs!$C$49+Inputs!$C$50)))+Inputs!$C$47*0.097)))+0.3*(2*((SIN(((Scenario_Data!W36)*12.9898+(Inputs!$C$6)*78.233+Inputs!$C$47*37.719))*43758.5453)-INT((SIN(((Scenario_Data!W36)*12.9898+(Inputs!$C$6)*78.233+Inputs!$C$47*37.719))*43758.5453)))-1))))/1000))*COS(SQRT((Scenario_Data!W36)^2+Inputs!$C$6^2)/Inputs!$C$52))*1000)/Inputs!$C$21*1000000</f>
        <v/>
      </c>
    </row>
    <row r="37">
      <c r="A37">
        <f>Chart_Data!K37</f>
        <v/>
      </c>
      <c r="B37">
        <f>Chart_Data!N37-Chart_Data!L37</f>
        <v/>
      </c>
      <c r="D37">
        <f>Chart_Data!G37</f>
        <v/>
      </c>
      <c r="E37">
        <f>Chart_Data!H37</f>
        <v/>
      </c>
      <c r="F37">
        <f>Chart_Data!I37</f>
        <v/>
      </c>
      <c r="G37">
        <f>Chart_Data!J37</f>
        <v/>
      </c>
      <c r="I37">
        <f>Scenario_Data!A37</f>
        <v/>
      </c>
      <c r="J37">
        <f>Scenario_Data!H37-(((SQRT((Inputs!$C$52+(Inputs!$H$6))^2+Inputs!$C$52^2-2*(Inputs!$C$52+(Inputs!$H$6))*Inputs!$C$52*COS(SQRT((Scenario_Data!T37)^2+Inputs!$C$6^2)/Inputs!$C$52)))-(Inputs!$H$6))*1000/Inputs!$C$12)</f>
        <v/>
      </c>
      <c r="K37">
        <f>Scenario_Data!I37-(((SQRT((Inputs!$C$52+(Inputs!$H$7))^2+Inputs!$C$52^2-2*(Inputs!$C$52+(Inputs!$H$7))*Inputs!$C$52*COS(SQRT((Scenario_Data!U37)^2+Inputs!$C$6^2)/Inputs!$C$52)))-(Inputs!$H$7))*1000/Inputs!$C$12)</f>
        <v/>
      </c>
      <c r="L37">
        <f>Scenario_Data!J37-(((SQRT((Inputs!$C$52+(Inputs!$H$8))^2+Inputs!$C$52^2-2*(Inputs!$C$52+(Inputs!$H$8))*Inputs!$C$52*COS(SQRT((Scenario_Data!V37)^2+Inputs!$C$6^2)/Inputs!$C$52)))-(Inputs!$H$8))*1000/Inputs!$C$12)</f>
        <v/>
      </c>
      <c r="M37">
        <f>Scenario_Data!K37-(((SQRT((Inputs!$C$52+(Inputs!$H$9))^2+Inputs!$C$52^2-2*(Inputs!$C$52+(Inputs!$H$9))*Inputs!$C$52*COS(SQRT((Scenario_Data!W37)^2+Inputs!$C$6^2)/Inputs!$C$52)))-(Inputs!$H$9))*1000/Inputs!$C$12)</f>
        <v/>
      </c>
      <c r="O37">
        <f>Scenario_Data!T37</f>
        <v/>
      </c>
      <c r="P37">
        <f>2*(Scenario_Data!B37*1000)/Inputs!$C$21*1000000</f>
        <v/>
      </c>
      <c r="Q37">
        <f>Scenario_Data!U37</f>
        <v/>
      </c>
      <c r="R37">
        <f>2*(Scenario_Data!C37*1000)/Inputs!$C$21*1000000</f>
        <v/>
      </c>
      <c r="S37">
        <f>Scenario_Data!V37</f>
        <v/>
      </c>
      <c r="T37">
        <f>2*(Scenario_Data!D37*1000)/Inputs!$C$21*1000000</f>
        <v/>
      </c>
      <c r="U37">
        <f>Scenario_Data!W37</f>
        <v/>
      </c>
      <c r="V37">
        <f>2*(Scenario_Data!E37*1000)/Inputs!$C$21*1000000</f>
        <v/>
      </c>
      <c r="X37">
        <f>Scenario_Data!T37</f>
        <v/>
      </c>
      <c r="Y37">
        <f>2*((Scenario_Data!B37*1000)-(IF(OR(Inputs!$C$27=TRUE,Inputs!$C$27="TRUE",Inputs!$C$27=1),1,0)*(Inputs!$C$51*(115*EXP(-(((0)-25)^2)/(4.5^2))+70*EXP(-(((0)+38)^2)/(7^2))*(0.55+0.45*SIN(2*PI()*(Scenario_Data!T37)/45))+24*SIN(2*PI()*(0)/9+(Scenario_Data!T37)/18)*EXP(-(((0)+5)^2)/(22^2))+18*SIN(2*PI()*(Scenario_Data!T37)/70))+Inputs!$C$28*EXP(-(((Scenario_Data!T37)-Inputs!$C$29)^2)/(2*Inputs!$C$31^2))*EXP(-(((0)-Inputs!$C$30)^2)/(2*Inputs!$C$32^2))+-Inputs!$C$33*EXP(-(((((Scenario_Data!T37)-Inputs!$C$34)^2)+(((0)-Inputs!$C$35)^2))/(2*Inputs!$C$36^2)))+Inputs!$C$37*(0.55*SIN(2*PI()*(Scenario_Data!T37)/Inputs!$C$39)+0.35*COS(2*PI()*(0)/Inputs!$C$40)+0.2*SIN(2*PI()*((Scenario_Data!T37)+(0))/(0.5*(Inputs!$C$39+Inputs!$C$40))))+Inputs!$C$38*SIN(2*PI()*(Scenario_Data!T37)/Inputs!$C$39)*SIN(2*PI()*(0)/Inputs!$C$40)+-Inputs!$C$41*EXP(-(((0)-Inputs!$C$43)^2)/(2*Inputs!$C$44^2))*EXP(-(((Scenario_Data!T37)-Inputs!$C$42)^2)/(2*Inputs!$C$45^2))+Inputs!$C$48*(0.7*(0.45*SIN(2*PI()*(((Scenario_Data!T37)/Inputs!$C$49)+Inputs!$C$47*0.137))+0.35*COS(2*PI()*(((0)/Inputs!$C$50)+Inputs!$C$47*0.173))+0.2*SIN(2*PI()*((((Scenario_Data!T37)+(0))/(0.5*(Inputs!$C$49+Inputs!$C$50)))+Inputs!$C$47*0.097)))+0.3*(2*((SIN(((Scenario_Data!T37)*12.9898+(0)*78.233+Inputs!$C$47*37.719))*43758.5453)-INT((SIN(((Scenario_Data!T37)*12.9898+(0)*78.233+Inputs!$C$47*37.719))*43758.5453)))-1)))))/Inputs!$C$21*1000000</f>
        <v/>
      </c>
      <c r="Z37">
        <f>Scenario_Data!U37</f>
        <v/>
      </c>
      <c r="AA37">
        <f>2*((Scenario_Data!C37*1000)-(IF(OR(Inputs!$C$27=TRUE,Inputs!$C$27="TRUE",Inputs!$C$27=1),1,0)*(Inputs!$C$51*(115*EXP(-(((0)-25)^2)/(4.5^2))+70*EXP(-(((0)+38)^2)/(7^2))*(0.55+0.45*SIN(2*PI()*(Scenario_Data!U37)/45))+24*SIN(2*PI()*(0)/9+(Scenario_Data!U37)/18)*EXP(-(((0)+5)^2)/(22^2))+18*SIN(2*PI()*(Scenario_Data!U37)/70))+Inputs!$C$28*EXP(-(((Scenario_Data!U37)-Inputs!$C$29)^2)/(2*Inputs!$C$31^2))*EXP(-(((0)-Inputs!$C$30)^2)/(2*Inputs!$C$32^2))+-Inputs!$C$33*EXP(-(((((Scenario_Data!U37)-Inputs!$C$34)^2)+(((0)-Inputs!$C$35)^2))/(2*Inputs!$C$36^2)))+Inputs!$C$37*(0.55*SIN(2*PI()*(Scenario_Data!U37)/Inputs!$C$39)+0.35*COS(2*PI()*(0)/Inputs!$C$40)+0.2*SIN(2*PI()*((Scenario_Data!U37)+(0))/(0.5*(Inputs!$C$39+Inputs!$C$40))))+Inputs!$C$38*SIN(2*PI()*(Scenario_Data!U37)/Inputs!$C$39)*SIN(2*PI()*(0)/Inputs!$C$40)+-Inputs!$C$41*EXP(-(((0)-Inputs!$C$43)^2)/(2*Inputs!$C$44^2))*EXP(-(((Scenario_Data!U37)-Inputs!$C$42)^2)/(2*Inputs!$C$45^2))+Inputs!$C$48*(0.7*(0.45*SIN(2*PI()*(((Scenario_Data!U37)/Inputs!$C$49)+Inputs!$C$47*0.137))+0.35*COS(2*PI()*(((0)/Inputs!$C$50)+Inputs!$C$47*0.173))+0.2*SIN(2*PI()*((((Scenario_Data!U37)+(0))/(0.5*(Inputs!$C$49+Inputs!$C$50)))+Inputs!$C$47*0.097)))+0.3*(2*((SIN(((Scenario_Data!U37)*12.9898+(0)*78.233+Inputs!$C$47*37.719))*43758.5453)-INT((SIN(((Scenario_Data!U37)*12.9898+(0)*78.233+Inputs!$C$47*37.719))*43758.5453)))-1)))))/Inputs!$C$21*1000000</f>
        <v/>
      </c>
      <c r="AB37">
        <f>Scenario_Data!V37</f>
        <v/>
      </c>
      <c r="AC37">
        <f>2*((Scenario_Data!D37*1000)-(IF(OR(Inputs!$C$27=TRUE,Inputs!$C$27="TRUE",Inputs!$C$27=1),1,0)*(Inputs!$C$51*(115*EXP(-(((0)-25)^2)/(4.5^2))+70*EXP(-(((0)+38)^2)/(7^2))*(0.55+0.45*SIN(2*PI()*(Scenario_Data!V37)/45))+24*SIN(2*PI()*(0)/9+(Scenario_Data!V37)/18)*EXP(-(((0)+5)^2)/(22^2))+18*SIN(2*PI()*(Scenario_Data!V37)/70))+Inputs!$C$28*EXP(-(((Scenario_Data!V37)-Inputs!$C$29)^2)/(2*Inputs!$C$31^2))*EXP(-(((0)-Inputs!$C$30)^2)/(2*Inputs!$C$32^2))+-Inputs!$C$33*EXP(-(((((Scenario_Data!V37)-Inputs!$C$34)^2)+(((0)-Inputs!$C$35)^2))/(2*Inputs!$C$36^2)))+Inputs!$C$37*(0.55*SIN(2*PI()*(Scenario_Data!V37)/Inputs!$C$39)+0.35*COS(2*PI()*(0)/Inputs!$C$40)+0.2*SIN(2*PI()*((Scenario_Data!V37)+(0))/(0.5*(Inputs!$C$39+Inputs!$C$40))))+Inputs!$C$38*SIN(2*PI()*(Scenario_Data!V37)/Inputs!$C$39)*SIN(2*PI()*(0)/Inputs!$C$40)+-Inputs!$C$41*EXP(-(((0)-Inputs!$C$43)^2)/(2*Inputs!$C$44^2))*EXP(-(((Scenario_Data!V37)-Inputs!$C$42)^2)/(2*Inputs!$C$45^2))+Inputs!$C$48*(0.7*(0.45*SIN(2*PI()*(((Scenario_Data!V37)/Inputs!$C$49)+Inputs!$C$47*0.137))+0.35*COS(2*PI()*(((0)/Inputs!$C$50)+Inputs!$C$47*0.173))+0.2*SIN(2*PI()*((((Scenario_Data!V37)+(0))/(0.5*(Inputs!$C$49+Inputs!$C$50)))+Inputs!$C$47*0.097)))+0.3*(2*((SIN(((Scenario_Data!V37)*12.9898+(0)*78.233+Inputs!$C$47*37.719))*43758.5453)-INT((SIN(((Scenario_Data!V37)*12.9898+(0)*78.233+Inputs!$C$47*37.719))*43758.5453)))-1)))))/Inputs!$C$21*1000000</f>
        <v/>
      </c>
      <c r="AD37">
        <f>Scenario_Data!W37</f>
        <v/>
      </c>
      <c r="AE37">
        <f>2*((Scenario_Data!E37*1000)-(IF(OR(Inputs!$C$27=TRUE,Inputs!$C$27="TRUE",Inputs!$C$27=1),1,0)*(Inputs!$C$51*(115*EXP(-(((0)-25)^2)/(4.5^2))+70*EXP(-(((0)+38)^2)/(7^2))*(0.55+0.45*SIN(2*PI()*(Scenario_Data!W37)/45))+24*SIN(2*PI()*(0)/9+(Scenario_Data!W37)/18)*EXP(-(((0)+5)^2)/(22^2))+18*SIN(2*PI()*(Scenario_Data!W37)/70))+Inputs!$C$28*EXP(-(((Scenario_Data!W37)-Inputs!$C$29)^2)/(2*Inputs!$C$31^2))*EXP(-(((0)-Inputs!$C$30)^2)/(2*Inputs!$C$32^2))+-Inputs!$C$33*EXP(-(((((Scenario_Data!W37)-Inputs!$C$34)^2)+(((0)-Inputs!$C$35)^2))/(2*Inputs!$C$36^2)))+Inputs!$C$37*(0.55*SIN(2*PI()*(Scenario_Data!W37)/Inputs!$C$39)+0.35*COS(2*PI()*(0)/Inputs!$C$40)+0.2*SIN(2*PI()*((Scenario_Data!W37)+(0))/(0.5*(Inputs!$C$39+Inputs!$C$40))))+Inputs!$C$38*SIN(2*PI()*(Scenario_Data!W37)/Inputs!$C$39)*SIN(2*PI()*(0)/Inputs!$C$40)+-Inputs!$C$41*EXP(-(((0)-Inputs!$C$43)^2)/(2*Inputs!$C$44^2))*EXP(-(((Scenario_Data!W37)-Inputs!$C$42)^2)/(2*Inputs!$C$45^2))+Inputs!$C$48*(0.7*(0.45*SIN(2*PI()*(((Scenario_Data!W37)/Inputs!$C$49)+Inputs!$C$47*0.137))+0.35*COS(2*PI()*(((0)/Inputs!$C$50)+Inputs!$C$47*0.173))+0.2*SIN(2*PI()*((((Scenario_Data!W37)+(0))/(0.5*(Inputs!$C$49+Inputs!$C$50)))+Inputs!$C$47*0.097)))+0.3*(2*((SIN(((Scenario_Data!W37)*12.9898+(0)*78.233+Inputs!$C$47*37.719))*43758.5453)-INT((SIN(((Scenario_Data!W37)*12.9898+(0)*78.233+Inputs!$C$47*37.719))*43758.5453)))-1)))))/Inputs!$C$21*1000000</f>
        <v/>
      </c>
      <c r="AG37">
        <f>Scenario_Data!T37</f>
        <v/>
      </c>
      <c r="AH37">
        <f>2*(SQRT((Inputs!$C$52+(Scenario_Data!B37))^2+Inputs!$C$52^2-2*(Inputs!$C$52+(Scenario_Data!B37))*Inputs!$C$52*COS(SQRT((Scenario_Data!T37)^2+Inputs!$C$6^2)/Inputs!$C$52))*1000)/Inputs!$C$21*1000000</f>
        <v/>
      </c>
      <c r="AI37">
        <f>Scenario_Data!U37</f>
        <v/>
      </c>
      <c r="AJ37">
        <f>2*(SQRT((Inputs!$C$52+(Scenario_Data!C37))^2+Inputs!$C$52^2-2*(Inputs!$C$52+(Scenario_Data!C37))*Inputs!$C$52*COS(SQRT((Scenario_Data!U37)^2+Inputs!$C$6^2)/Inputs!$C$52))*1000)/Inputs!$C$21*1000000</f>
        <v/>
      </c>
      <c r="AK37">
        <f>Scenario_Data!V37</f>
        <v/>
      </c>
      <c r="AL37">
        <f>2*(SQRT((Inputs!$C$52+(Scenario_Data!D37))^2+Inputs!$C$52^2-2*(Inputs!$C$52+(Scenario_Data!D37))*Inputs!$C$52*COS(SQRT((Scenario_Data!V37)^2+Inputs!$C$6^2)/Inputs!$C$52))*1000)/Inputs!$C$21*1000000</f>
        <v/>
      </c>
      <c r="AM37">
        <f>Scenario_Data!W37</f>
        <v/>
      </c>
      <c r="AN37">
        <f>2*(SQRT((Inputs!$C$52+(Scenario_Data!E37))^2+Inputs!$C$52^2-2*(Inputs!$C$52+(Scenario_Data!E37))*Inputs!$C$52*COS(SQRT((Scenario_Data!W37)^2+Inputs!$C$6^2)/Inputs!$C$52))*1000)/Inputs!$C$21*1000000</f>
        <v/>
      </c>
      <c r="AP37">
        <f>Scenario_Data!T37</f>
        <v/>
      </c>
      <c r="AQ37">
        <f>2*(SQRT((Inputs!$C$52+(Scenario_Data!B37))^2+(Inputs!$C$52+((IF(OR(Inputs!$C$27=TRUE,Inputs!$C$27="TRUE",Inputs!$C$27=1),1,0)*(Inputs!$C$51*(115*EXP(-(((Inputs!$C$6)-25)^2)/(4.5^2))+70*EXP(-(((Inputs!$C$6)+38)^2)/(7^2))*(0.55+0.45*SIN(2*PI()*(Scenario_Data!T37)/45))+24*SIN(2*PI()*(Inputs!$C$6)/9+(Scenario_Data!T37)/18)*EXP(-(((Inputs!$C$6)+5)^2)/(22^2))+18*SIN(2*PI()*(Scenario_Data!T37)/70))+Inputs!$C$28*EXP(-(((Scenario_Data!T37)-Inputs!$C$29)^2)/(2*Inputs!$C$31^2))*EXP(-(((Inputs!$C$6)-Inputs!$C$30)^2)/(2*Inputs!$C$32^2))+-Inputs!$C$33*EXP(-(((((Scenario_Data!T37)-Inputs!$C$34)^2)+(((Inputs!$C$6)-Inputs!$C$35)^2))/(2*Inputs!$C$36^2)))+Inputs!$C$37*(0.55*SIN(2*PI()*(Scenario_Data!T37)/Inputs!$C$39)+0.35*COS(2*PI()*(Inputs!$C$6)/Inputs!$C$40)+0.2*SIN(2*PI()*((Scenario_Data!T37)+(Inputs!$C$6))/(0.5*(Inputs!$C$39+Inputs!$C$40))))+Inputs!$C$38*SIN(2*PI()*(Scenario_Data!T37)/Inputs!$C$39)*SIN(2*PI()*(Inputs!$C$6)/Inputs!$C$40)+-Inputs!$C$41*EXP(-(((Inputs!$C$6)-Inputs!$C$43)^2)/(2*Inputs!$C$44^2))*EXP(-(((Scenario_Data!T37)-Inputs!$C$42)^2)/(2*Inputs!$C$45^2))+Inputs!$C$48*(0.7*(0.45*SIN(2*PI()*(((Scenario_Data!T37)/Inputs!$C$49)+Inputs!$C$47*0.137))+0.35*COS(2*PI()*(((Inputs!$C$6)/Inputs!$C$50)+Inputs!$C$47*0.173))+0.2*SIN(2*PI()*((((Scenario_Data!T37)+(Inputs!$C$6))/(0.5*(Inputs!$C$49+Inputs!$C$50)))+Inputs!$C$47*0.097)))+0.3*(2*((SIN(((Scenario_Data!T37)*12.9898+(Inputs!$C$6)*78.233+Inputs!$C$47*37.719))*43758.5453)-INT((SIN(((Scenario_Data!T37)*12.9898+(Inputs!$C$6)*78.233+Inputs!$C$47*37.719))*43758.5453)))-1))))/1000))^2-2*(Inputs!$C$52+(Scenario_Data!B37))*(Inputs!$C$52+((IF(OR(Inputs!$C$27=TRUE,Inputs!$C$27="TRUE",Inputs!$C$27=1),1,0)*(Inputs!$C$51*(115*EXP(-(((Inputs!$C$6)-25)^2)/(4.5^2))+70*EXP(-(((Inputs!$C$6)+38)^2)/(7^2))*(0.55+0.45*SIN(2*PI()*(Scenario_Data!T37)/45))+24*SIN(2*PI()*(Inputs!$C$6)/9+(Scenario_Data!T37)/18)*EXP(-(((Inputs!$C$6)+5)^2)/(22^2))+18*SIN(2*PI()*(Scenario_Data!T37)/70))+Inputs!$C$28*EXP(-(((Scenario_Data!T37)-Inputs!$C$29)^2)/(2*Inputs!$C$31^2))*EXP(-(((Inputs!$C$6)-Inputs!$C$30)^2)/(2*Inputs!$C$32^2))+-Inputs!$C$33*EXP(-(((((Scenario_Data!T37)-Inputs!$C$34)^2)+(((Inputs!$C$6)-Inputs!$C$35)^2))/(2*Inputs!$C$36^2)))+Inputs!$C$37*(0.55*SIN(2*PI()*(Scenario_Data!T37)/Inputs!$C$39)+0.35*COS(2*PI()*(Inputs!$C$6)/Inputs!$C$40)+0.2*SIN(2*PI()*((Scenario_Data!T37)+(Inputs!$C$6))/(0.5*(Inputs!$C$39+Inputs!$C$40))))+Inputs!$C$38*SIN(2*PI()*(Scenario_Data!T37)/Inputs!$C$39)*SIN(2*PI()*(Inputs!$C$6)/Inputs!$C$40)+-Inputs!$C$41*EXP(-(((Inputs!$C$6)-Inputs!$C$43)^2)/(2*Inputs!$C$44^2))*EXP(-(((Scenario_Data!T37)-Inputs!$C$42)^2)/(2*Inputs!$C$45^2))+Inputs!$C$48*(0.7*(0.45*SIN(2*PI()*(((Scenario_Data!T37)/Inputs!$C$49)+Inputs!$C$47*0.137))+0.35*COS(2*PI()*(((Inputs!$C$6)/Inputs!$C$50)+Inputs!$C$47*0.173))+0.2*SIN(2*PI()*((((Scenario_Data!T37)+(Inputs!$C$6))/(0.5*(Inputs!$C$49+Inputs!$C$50)))+Inputs!$C$47*0.097)))+0.3*(2*((SIN(((Scenario_Data!T37)*12.9898+(Inputs!$C$6)*78.233+Inputs!$C$47*37.719))*43758.5453)-INT((SIN(((Scenario_Data!T37)*12.9898+(Inputs!$C$6)*78.233+Inputs!$C$47*37.719))*43758.5453)))-1))))/1000))*COS(SQRT((Scenario_Data!T37)^2+Inputs!$C$6^2)/Inputs!$C$52))*1000)/Inputs!$C$21*1000000</f>
        <v/>
      </c>
      <c r="AR37">
        <f>Scenario_Data!U37</f>
        <v/>
      </c>
      <c r="AS37">
        <f>2*(SQRT((Inputs!$C$52+(Scenario_Data!C37))^2+(Inputs!$C$52+((IF(OR(Inputs!$C$27=TRUE,Inputs!$C$27="TRUE",Inputs!$C$27=1),1,0)*(Inputs!$C$51*(115*EXP(-(((Inputs!$C$6)-25)^2)/(4.5^2))+70*EXP(-(((Inputs!$C$6)+38)^2)/(7^2))*(0.55+0.45*SIN(2*PI()*(Scenario_Data!U37)/45))+24*SIN(2*PI()*(Inputs!$C$6)/9+(Scenario_Data!U37)/18)*EXP(-(((Inputs!$C$6)+5)^2)/(22^2))+18*SIN(2*PI()*(Scenario_Data!U37)/70))+Inputs!$C$28*EXP(-(((Scenario_Data!U37)-Inputs!$C$29)^2)/(2*Inputs!$C$31^2))*EXP(-(((Inputs!$C$6)-Inputs!$C$30)^2)/(2*Inputs!$C$32^2))+-Inputs!$C$33*EXP(-(((((Scenario_Data!U37)-Inputs!$C$34)^2)+(((Inputs!$C$6)-Inputs!$C$35)^2))/(2*Inputs!$C$36^2)))+Inputs!$C$37*(0.55*SIN(2*PI()*(Scenario_Data!U37)/Inputs!$C$39)+0.35*COS(2*PI()*(Inputs!$C$6)/Inputs!$C$40)+0.2*SIN(2*PI()*((Scenario_Data!U37)+(Inputs!$C$6))/(0.5*(Inputs!$C$39+Inputs!$C$40))))+Inputs!$C$38*SIN(2*PI()*(Scenario_Data!U37)/Inputs!$C$39)*SIN(2*PI()*(Inputs!$C$6)/Inputs!$C$40)+-Inputs!$C$41*EXP(-(((Inputs!$C$6)-Inputs!$C$43)^2)/(2*Inputs!$C$44^2))*EXP(-(((Scenario_Data!U37)-Inputs!$C$42)^2)/(2*Inputs!$C$45^2))+Inputs!$C$48*(0.7*(0.45*SIN(2*PI()*(((Scenario_Data!U37)/Inputs!$C$49)+Inputs!$C$47*0.137))+0.35*COS(2*PI()*(((Inputs!$C$6)/Inputs!$C$50)+Inputs!$C$47*0.173))+0.2*SIN(2*PI()*((((Scenario_Data!U37)+(Inputs!$C$6))/(0.5*(Inputs!$C$49+Inputs!$C$50)))+Inputs!$C$47*0.097)))+0.3*(2*((SIN(((Scenario_Data!U37)*12.9898+(Inputs!$C$6)*78.233+Inputs!$C$47*37.719))*43758.5453)-INT((SIN(((Scenario_Data!U37)*12.9898+(Inputs!$C$6)*78.233+Inputs!$C$47*37.719))*43758.5453)))-1))))/1000))^2-2*(Inputs!$C$52+(Scenario_Data!C37))*(Inputs!$C$52+((IF(OR(Inputs!$C$27=TRUE,Inputs!$C$27="TRUE",Inputs!$C$27=1),1,0)*(Inputs!$C$51*(115*EXP(-(((Inputs!$C$6)-25)^2)/(4.5^2))+70*EXP(-(((Inputs!$C$6)+38)^2)/(7^2))*(0.55+0.45*SIN(2*PI()*(Scenario_Data!U37)/45))+24*SIN(2*PI()*(Inputs!$C$6)/9+(Scenario_Data!U37)/18)*EXP(-(((Inputs!$C$6)+5)^2)/(22^2))+18*SIN(2*PI()*(Scenario_Data!U37)/70))+Inputs!$C$28*EXP(-(((Scenario_Data!U37)-Inputs!$C$29)^2)/(2*Inputs!$C$31^2))*EXP(-(((Inputs!$C$6)-Inputs!$C$30)^2)/(2*Inputs!$C$32^2))+-Inputs!$C$33*EXP(-(((((Scenario_Data!U37)-Inputs!$C$34)^2)+(((Inputs!$C$6)-Inputs!$C$35)^2))/(2*Inputs!$C$36^2)))+Inputs!$C$37*(0.55*SIN(2*PI()*(Scenario_Data!U37)/Inputs!$C$39)+0.35*COS(2*PI()*(Inputs!$C$6)/Inputs!$C$40)+0.2*SIN(2*PI()*((Scenario_Data!U37)+(Inputs!$C$6))/(0.5*(Inputs!$C$39+Inputs!$C$40))))+Inputs!$C$38*SIN(2*PI()*(Scenario_Data!U37)/Inputs!$C$39)*SIN(2*PI()*(Inputs!$C$6)/Inputs!$C$40)+-Inputs!$C$41*EXP(-(((Inputs!$C$6)-Inputs!$C$43)^2)/(2*Inputs!$C$44^2))*EXP(-(((Scenario_Data!U37)-Inputs!$C$42)^2)/(2*Inputs!$C$45^2))+Inputs!$C$48*(0.7*(0.45*SIN(2*PI()*(((Scenario_Data!U37)/Inputs!$C$49)+Inputs!$C$47*0.137))+0.35*COS(2*PI()*(((Inputs!$C$6)/Inputs!$C$50)+Inputs!$C$47*0.173))+0.2*SIN(2*PI()*((((Scenario_Data!U37)+(Inputs!$C$6))/(0.5*(Inputs!$C$49+Inputs!$C$50)))+Inputs!$C$47*0.097)))+0.3*(2*((SIN(((Scenario_Data!U37)*12.9898+(Inputs!$C$6)*78.233+Inputs!$C$47*37.719))*43758.5453)-INT((SIN(((Scenario_Data!U37)*12.9898+(Inputs!$C$6)*78.233+Inputs!$C$47*37.719))*43758.5453)))-1))))/1000))*COS(SQRT((Scenario_Data!U37)^2+Inputs!$C$6^2)/Inputs!$C$52))*1000)/Inputs!$C$21*1000000</f>
        <v/>
      </c>
      <c r="AT37">
        <f>Scenario_Data!V37</f>
        <v/>
      </c>
      <c r="AU37">
        <f>2*(SQRT((Inputs!$C$52+(Scenario_Data!D37))^2+(Inputs!$C$52+((IF(OR(Inputs!$C$27=TRUE,Inputs!$C$27="TRUE",Inputs!$C$27=1),1,0)*(Inputs!$C$51*(115*EXP(-(((Inputs!$C$6)-25)^2)/(4.5^2))+70*EXP(-(((Inputs!$C$6)+38)^2)/(7^2))*(0.55+0.45*SIN(2*PI()*(Scenario_Data!V37)/45))+24*SIN(2*PI()*(Inputs!$C$6)/9+(Scenario_Data!V37)/18)*EXP(-(((Inputs!$C$6)+5)^2)/(22^2))+18*SIN(2*PI()*(Scenario_Data!V37)/70))+Inputs!$C$28*EXP(-(((Scenario_Data!V37)-Inputs!$C$29)^2)/(2*Inputs!$C$31^2))*EXP(-(((Inputs!$C$6)-Inputs!$C$30)^2)/(2*Inputs!$C$32^2))+-Inputs!$C$33*EXP(-(((((Scenario_Data!V37)-Inputs!$C$34)^2)+(((Inputs!$C$6)-Inputs!$C$35)^2))/(2*Inputs!$C$36^2)))+Inputs!$C$37*(0.55*SIN(2*PI()*(Scenario_Data!V37)/Inputs!$C$39)+0.35*COS(2*PI()*(Inputs!$C$6)/Inputs!$C$40)+0.2*SIN(2*PI()*((Scenario_Data!V37)+(Inputs!$C$6))/(0.5*(Inputs!$C$39+Inputs!$C$40))))+Inputs!$C$38*SIN(2*PI()*(Scenario_Data!V37)/Inputs!$C$39)*SIN(2*PI()*(Inputs!$C$6)/Inputs!$C$40)+-Inputs!$C$41*EXP(-(((Inputs!$C$6)-Inputs!$C$43)^2)/(2*Inputs!$C$44^2))*EXP(-(((Scenario_Data!V37)-Inputs!$C$42)^2)/(2*Inputs!$C$45^2))+Inputs!$C$48*(0.7*(0.45*SIN(2*PI()*(((Scenario_Data!V37)/Inputs!$C$49)+Inputs!$C$47*0.137))+0.35*COS(2*PI()*(((Inputs!$C$6)/Inputs!$C$50)+Inputs!$C$47*0.173))+0.2*SIN(2*PI()*((((Scenario_Data!V37)+(Inputs!$C$6))/(0.5*(Inputs!$C$49+Inputs!$C$50)))+Inputs!$C$47*0.097)))+0.3*(2*((SIN(((Scenario_Data!V37)*12.9898+(Inputs!$C$6)*78.233+Inputs!$C$47*37.719))*43758.5453)-INT((SIN(((Scenario_Data!V37)*12.9898+(Inputs!$C$6)*78.233+Inputs!$C$47*37.719))*43758.5453)))-1))))/1000))^2-2*(Inputs!$C$52+(Scenario_Data!D37))*(Inputs!$C$52+((IF(OR(Inputs!$C$27=TRUE,Inputs!$C$27="TRUE",Inputs!$C$27=1),1,0)*(Inputs!$C$51*(115*EXP(-(((Inputs!$C$6)-25)^2)/(4.5^2))+70*EXP(-(((Inputs!$C$6)+38)^2)/(7^2))*(0.55+0.45*SIN(2*PI()*(Scenario_Data!V37)/45))+24*SIN(2*PI()*(Inputs!$C$6)/9+(Scenario_Data!V37)/18)*EXP(-(((Inputs!$C$6)+5)^2)/(22^2))+18*SIN(2*PI()*(Scenario_Data!V37)/70))+Inputs!$C$28*EXP(-(((Scenario_Data!V37)-Inputs!$C$29)^2)/(2*Inputs!$C$31^2))*EXP(-(((Inputs!$C$6)-Inputs!$C$30)^2)/(2*Inputs!$C$32^2))+-Inputs!$C$33*EXP(-(((((Scenario_Data!V37)-Inputs!$C$34)^2)+(((Inputs!$C$6)-Inputs!$C$35)^2))/(2*Inputs!$C$36^2)))+Inputs!$C$37*(0.55*SIN(2*PI()*(Scenario_Data!V37)/Inputs!$C$39)+0.35*COS(2*PI()*(Inputs!$C$6)/Inputs!$C$40)+0.2*SIN(2*PI()*((Scenario_Data!V37)+(Inputs!$C$6))/(0.5*(Inputs!$C$39+Inputs!$C$40))))+Inputs!$C$38*SIN(2*PI()*(Scenario_Data!V37)/Inputs!$C$39)*SIN(2*PI()*(Inputs!$C$6)/Inputs!$C$40)+-Inputs!$C$41*EXP(-(((Inputs!$C$6)-Inputs!$C$43)^2)/(2*Inputs!$C$44^2))*EXP(-(((Scenario_Data!V37)-Inputs!$C$42)^2)/(2*Inputs!$C$45^2))+Inputs!$C$48*(0.7*(0.45*SIN(2*PI()*(((Scenario_Data!V37)/Inputs!$C$49)+Inputs!$C$47*0.137))+0.35*COS(2*PI()*(((Inputs!$C$6)/Inputs!$C$50)+Inputs!$C$47*0.173))+0.2*SIN(2*PI()*((((Scenario_Data!V37)+(Inputs!$C$6))/(0.5*(Inputs!$C$49+Inputs!$C$50)))+Inputs!$C$47*0.097)))+0.3*(2*((SIN(((Scenario_Data!V37)*12.9898+(Inputs!$C$6)*78.233+Inputs!$C$47*37.719))*43758.5453)-INT((SIN(((Scenario_Data!V37)*12.9898+(Inputs!$C$6)*78.233+Inputs!$C$47*37.719))*43758.5453)))-1))))/1000))*COS(SQRT((Scenario_Data!V37)^2+Inputs!$C$6^2)/Inputs!$C$52))*1000)/Inputs!$C$21*1000000</f>
        <v/>
      </c>
      <c r="AV37">
        <f>Scenario_Data!W37</f>
        <v/>
      </c>
      <c r="AW37">
        <f>2*(SQRT((Inputs!$C$52+(Scenario_Data!E37))^2+(Inputs!$C$52+((IF(OR(Inputs!$C$27=TRUE,Inputs!$C$27="TRUE",Inputs!$C$27=1),1,0)*(Inputs!$C$51*(115*EXP(-(((Inputs!$C$6)-25)^2)/(4.5^2))+70*EXP(-(((Inputs!$C$6)+38)^2)/(7^2))*(0.55+0.45*SIN(2*PI()*(Scenario_Data!W37)/45))+24*SIN(2*PI()*(Inputs!$C$6)/9+(Scenario_Data!W37)/18)*EXP(-(((Inputs!$C$6)+5)^2)/(22^2))+18*SIN(2*PI()*(Scenario_Data!W37)/70))+Inputs!$C$28*EXP(-(((Scenario_Data!W37)-Inputs!$C$29)^2)/(2*Inputs!$C$31^2))*EXP(-(((Inputs!$C$6)-Inputs!$C$30)^2)/(2*Inputs!$C$32^2))+-Inputs!$C$33*EXP(-(((((Scenario_Data!W37)-Inputs!$C$34)^2)+(((Inputs!$C$6)-Inputs!$C$35)^2))/(2*Inputs!$C$36^2)))+Inputs!$C$37*(0.55*SIN(2*PI()*(Scenario_Data!W37)/Inputs!$C$39)+0.35*COS(2*PI()*(Inputs!$C$6)/Inputs!$C$40)+0.2*SIN(2*PI()*((Scenario_Data!W37)+(Inputs!$C$6))/(0.5*(Inputs!$C$39+Inputs!$C$40))))+Inputs!$C$38*SIN(2*PI()*(Scenario_Data!W37)/Inputs!$C$39)*SIN(2*PI()*(Inputs!$C$6)/Inputs!$C$40)+-Inputs!$C$41*EXP(-(((Inputs!$C$6)-Inputs!$C$43)^2)/(2*Inputs!$C$44^2))*EXP(-(((Scenario_Data!W37)-Inputs!$C$42)^2)/(2*Inputs!$C$45^2))+Inputs!$C$48*(0.7*(0.45*SIN(2*PI()*(((Scenario_Data!W37)/Inputs!$C$49)+Inputs!$C$47*0.137))+0.35*COS(2*PI()*(((Inputs!$C$6)/Inputs!$C$50)+Inputs!$C$47*0.173))+0.2*SIN(2*PI()*((((Scenario_Data!W37)+(Inputs!$C$6))/(0.5*(Inputs!$C$49+Inputs!$C$50)))+Inputs!$C$47*0.097)))+0.3*(2*((SIN(((Scenario_Data!W37)*12.9898+(Inputs!$C$6)*78.233+Inputs!$C$47*37.719))*43758.5453)-INT((SIN(((Scenario_Data!W37)*12.9898+(Inputs!$C$6)*78.233+Inputs!$C$47*37.719))*43758.5453)))-1))))/1000))^2-2*(Inputs!$C$52+(Scenario_Data!E37))*(Inputs!$C$52+((IF(OR(Inputs!$C$27=TRUE,Inputs!$C$27="TRUE",Inputs!$C$27=1),1,0)*(Inputs!$C$51*(115*EXP(-(((Inputs!$C$6)-25)^2)/(4.5^2))+70*EXP(-(((Inputs!$C$6)+38)^2)/(7^2))*(0.55+0.45*SIN(2*PI()*(Scenario_Data!W37)/45))+24*SIN(2*PI()*(Inputs!$C$6)/9+(Scenario_Data!W37)/18)*EXP(-(((Inputs!$C$6)+5)^2)/(22^2))+18*SIN(2*PI()*(Scenario_Data!W37)/70))+Inputs!$C$28*EXP(-(((Scenario_Data!W37)-Inputs!$C$29)^2)/(2*Inputs!$C$31^2))*EXP(-(((Inputs!$C$6)-Inputs!$C$30)^2)/(2*Inputs!$C$32^2))+-Inputs!$C$33*EXP(-(((((Scenario_Data!W37)-Inputs!$C$34)^2)+(((Inputs!$C$6)-Inputs!$C$35)^2))/(2*Inputs!$C$36^2)))+Inputs!$C$37*(0.55*SIN(2*PI()*(Scenario_Data!W37)/Inputs!$C$39)+0.35*COS(2*PI()*(Inputs!$C$6)/Inputs!$C$40)+0.2*SIN(2*PI()*((Scenario_Data!W37)+(Inputs!$C$6))/(0.5*(Inputs!$C$39+Inputs!$C$40))))+Inputs!$C$38*SIN(2*PI()*(Scenario_Data!W37)/Inputs!$C$39)*SIN(2*PI()*(Inputs!$C$6)/Inputs!$C$40)+-Inputs!$C$41*EXP(-(((Inputs!$C$6)-Inputs!$C$43)^2)/(2*Inputs!$C$44^2))*EXP(-(((Scenario_Data!W37)-Inputs!$C$42)^2)/(2*Inputs!$C$45^2))+Inputs!$C$48*(0.7*(0.45*SIN(2*PI()*(((Scenario_Data!W37)/Inputs!$C$49)+Inputs!$C$47*0.137))+0.35*COS(2*PI()*(((Inputs!$C$6)/Inputs!$C$50)+Inputs!$C$47*0.173))+0.2*SIN(2*PI()*((((Scenario_Data!W37)+(Inputs!$C$6))/(0.5*(Inputs!$C$49+Inputs!$C$50)))+Inputs!$C$47*0.097)))+0.3*(2*((SIN(((Scenario_Data!W37)*12.9898+(Inputs!$C$6)*78.233+Inputs!$C$47*37.719))*43758.5453)-INT((SIN(((Scenario_Data!W37)*12.9898+(Inputs!$C$6)*78.233+Inputs!$C$47*37.719))*43758.5453)))-1))))/1000))*COS(SQRT((Scenario_Data!W37)^2+Inputs!$C$6^2)/Inputs!$C$52))*1000)/Inputs!$C$21*1000000</f>
        <v/>
      </c>
    </row>
    <row r="38">
      <c r="A38">
        <f>Chart_Data!K38</f>
        <v/>
      </c>
      <c r="B38">
        <f>Chart_Data!N38-Chart_Data!L38</f>
        <v/>
      </c>
      <c r="D38">
        <f>Chart_Data!G38</f>
        <v/>
      </c>
      <c r="E38">
        <f>Chart_Data!H38</f>
        <v/>
      </c>
      <c r="F38">
        <f>Chart_Data!I38</f>
        <v/>
      </c>
      <c r="G38">
        <f>Chart_Data!J38</f>
        <v/>
      </c>
      <c r="I38">
        <f>Scenario_Data!A38</f>
        <v/>
      </c>
      <c r="J38">
        <f>Scenario_Data!H38-(((SQRT((Inputs!$C$52+(Inputs!$H$6))^2+Inputs!$C$52^2-2*(Inputs!$C$52+(Inputs!$H$6))*Inputs!$C$52*COS(SQRT((Scenario_Data!T38)^2+Inputs!$C$6^2)/Inputs!$C$52)))-(Inputs!$H$6))*1000/Inputs!$C$12)</f>
        <v/>
      </c>
      <c r="K38">
        <f>Scenario_Data!I38-(((SQRT((Inputs!$C$52+(Inputs!$H$7))^2+Inputs!$C$52^2-2*(Inputs!$C$52+(Inputs!$H$7))*Inputs!$C$52*COS(SQRT((Scenario_Data!U38)^2+Inputs!$C$6^2)/Inputs!$C$52)))-(Inputs!$H$7))*1000/Inputs!$C$12)</f>
        <v/>
      </c>
      <c r="L38">
        <f>Scenario_Data!J38-(((SQRT((Inputs!$C$52+(Inputs!$H$8))^2+Inputs!$C$52^2-2*(Inputs!$C$52+(Inputs!$H$8))*Inputs!$C$52*COS(SQRT((Scenario_Data!V38)^2+Inputs!$C$6^2)/Inputs!$C$52)))-(Inputs!$H$8))*1000/Inputs!$C$12)</f>
        <v/>
      </c>
      <c r="M38">
        <f>Scenario_Data!K38-(((SQRT((Inputs!$C$52+(Inputs!$H$9))^2+Inputs!$C$52^2-2*(Inputs!$C$52+(Inputs!$H$9))*Inputs!$C$52*COS(SQRT((Scenario_Data!W38)^2+Inputs!$C$6^2)/Inputs!$C$52)))-(Inputs!$H$9))*1000/Inputs!$C$12)</f>
        <v/>
      </c>
      <c r="O38">
        <f>Scenario_Data!T38</f>
        <v/>
      </c>
      <c r="P38">
        <f>2*(Scenario_Data!B38*1000)/Inputs!$C$21*1000000</f>
        <v/>
      </c>
      <c r="Q38">
        <f>Scenario_Data!U38</f>
        <v/>
      </c>
      <c r="R38">
        <f>2*(Scenario_Data!C38*1000)/Inputs!$C$21*1000000</f>
        <v/>
      </c>
      <c r="S38">
        <f>Scenario_Data!V38</f>
        <v/>
      </c>
      <c r="T38">
        <f>2*(Scenario_Data!D38*1000)/Inputs!$C$21*1000000</f>
        <v/>
      </c>
      <c r="U38">
        <f>Scenario_Data!W38</f>
        <v/>
      </c>
      <c r="V38">
        <f>2*(Scenario_Data!E38*1000)/Inputs!$C$21*1000000</f>
        <v/>
      </c>
      <c r="X38">
        <f>Scenario_Data!T38</f>
        <v/>
      </c>
      <c r="Y38">
        <f>2*((Scenario_Data!B38*1000)-(IF(OR(Inputs!$C$27=TRUE,Inputs!$C$27="TRUE",Inputs!$C$27=1),1,0)*(Inputs!$C$51*(115*EXP(-(((0)-25)^2)/(4.5^2))+70*EXP(-(((0)+38)^2)/(7^2))*(0.55+0.45*SIN(2*PI()*(Scenario_Data!T38)/45))+24*SIN(2*PI()*(0)/9+(Scenario_Data!T38)/18)*EXP(-(((0)+5)^2)/(22^2))+18*SIN(2*PI()*(Scenario_Data!T38)/70))+Inputs!$C$28*EXP(-(((Scenario_Data!T38)-Inputs!$C$29)^2)/(2*Inputs!$C$31^2))*EXP(-(((0)-Inputs!$C$30)^2)/(2*Inputs!$C$32^2))+-Inputs!$C$33*EXP(-(((((Scenario_Data!T38)-Inputs!$C$34)^2)+(((0)-Inputs!$C$35)^2))/(2*Inputs!$C$36^2)))+Inputs!$C$37*(0.55*SIN(2*PI()*(Scenario_Data!T38)/Inputs!$C$39)+0.35*COS(2*PI()*(0)/Inputs!$C$40)+0.2*SIN(2*PI()*((Scenario_Data!T38)+(0))/(0.5*(Inputs!$C$39+Inputs!$C$40))))+Inputs!$C$38*SIN(2*PI()*(Scenario_Data!T38)/Inputs!$C$39)*SIN(2*PI()*(0)/Inputs!$C$40)+-Inputs!$C$41*EXP(-(((0)-Inputs!$C$43)^2)/(2*Inputs!$C$44^2))*EXP(-(((Scenario_Data!T38)-Inputs!$C$42)^2)/(2*Inputs!$C$45^2))+Inputs!$C$48*(0.7*(0.45*SIN(2*PI()*(((Scenario_Data!T38)/Inputs!$C$49)+Inputs!$C$47*0.137))+0.35*COS(2*PI()*(((0)/Inputs!$C$50)+Inputs!$C$47*0.173))+0.2*SIN(2*PI()*((((Scenario_Data!T38)+(0))/(0.5*(Inputs!$C$49+Inputs!$C$50)))+Inputs!$C$47*0.097)))+0.3*(2*((SIN(((Scenario_Data!T38)*12.9898+(0)*78.233+Inputs!$C$47*37.719))*43758.5453)-INT((SIN(((Scenario_Data!T38)*12.9898+(0)*78.233+Inputs!$C$47*37.719))*43758.5453)))-1)))))/Inputs!$C$21*1000000</f>
        <v/>
      </c>
      <c r="Z38">
        <f>Scenario_Data!U38</f>
        <v/>
      </c>
      <c r="AA38">
        <f>2*((Scenario_Data!C38*1000)-(IF(OR(Inputs!$C$27=TRUE,Inputs!$C$27="TRUE",Inputs!$C$27=1),1,0)*(Inputs!$C$51*(115*EXP(-(((0)-25)^2)/(4.5^2))+70*EXP(-(((0)+38)^2)/(7^2))*(0.55+0.45*SIN(2*PI()*(Scenario_Data!U38)/45))+24*SIN(2*PI()*(0)/9+(Scenario_Data!U38)/18)*EXP(-(((0)+5)^2)/(22^2))+18*SIN(2*PI()*(Scenario_Data!U38)/70))+Inputs!$C$28*EXP(-(((Scenario_Data!U38)-Inputs!$C$29)^2)/(2*Inputs!$C$31^2))*EXP(-(((0)-Inputs!$C$30)^2)/(2*Inputs!$C$32^2))+-Inputs!$C$33*EXP(-(((((Scenario_Data!U38)-Inputs!$C$34)^2)+(((0)-Inputs!$C$35)^2))/(2*Inputs!$C$36^2)))+Inputs!$C$37*(0.55*SIN(2*PI()*(Scenario_Data!U38)/Inputs!$C$39)+0.35*COS(2*PI()*(0)/Inputs!$C$40)+0.2*SIN(2*PI()*((Scenario_Data!U38)+(0))/(0.5*(Inputs!$C$39+Inputs!$C$40))))+Inputs!$C$38*SIN(2*PI()*(Scenario_Data!U38)/Inputs!$C$39)*SIN(2*PI()*(0)/Inputs!$C$40)+-Inputs!$C$41*EXP(-(((0)-Inputs!$C$43)^2)/(2*Inputs!$C$44^2))*EXP(-(((Scenario_Data!U38)-Inputs!$C$42)^2)/(2*Inputs!$C$45^2))+Inputs!$C$48*(0.7*(0.45*SIN(2*PI()*(((Scenario_Data!U38)/Inputs!$C$49)+Inputs!$C$47*0.137))+0.35*COS(2*PI()*(((0)/Inputs!$C$50)+Inputs!$C$47*0.173))+0.2*SIN(2*PI()*((((Scenario_Data!U38)+(0))/(0.5*(Inputs!$C$49+Inputs!$C$50)))+Inputs!$C$47*0.097)))+0.3*(2*((SIN(((Scenario_Data!U38)*12.9898+(0)*78.233+Inputs!$C$47*37.719))*43758.5453)-INT((SIN(((Scenario_Data!U38)*12.9898+(0)*78.233+Inputs!$C$47*37.719))*43758.5453)))-1)))))/Inputs!$C$21*1000000</f>
        <v/>
      </c>
      <c r="AB38">
        <f>Scenario_Data!V38</f>
        <v/>
      </c>
      <c r="AC38">
        <f>2*((Scenario_Data!D38*1000)-(IF(OR(Inputs!$C$27=TRUE,Inputs!$C$27="TRUE",Inputs!$C$27=1),1,0)*(Inputs!$C$51*(115*EXP(-(((0)-25)^2)/(4.5^2))+70*EXP(-(((0)+38)^2)/(7^2))*(0.55+0.45*SIN(2*PI()*(Scenario_Data!V38)/45))+24*SIN(2*PI()*(0)/9+(Scenario_Data!V38)/18)*EXP(-(((0)+5)^2)/(22^2))+18*SIN(2*PI()*(Scenario_Data!V38)/70))+Inputs!$C$28*EXP(-(((Scenario_Data!V38)-Inputs!$C$29)^2)/(2*Inputs!$C$31^2))*EXP(-(((0)-Inputs!$C$30)^2)/(2*Inputs!$C$32^2))+-Inputs!$C$33*EXP(-(((((Scenario_Data!V38)-Inputs!$C$34)^2)+(((0)-Inputs!$C$35)^2))/(2*Inputs!$C$36^2)))+Inputs!$C$37*(0.55*SIN(2*PI()*(Scenario_Data!V38)/Inputs!$C$39)+0.35*COS(2*PI()*(0)/Inputs!$C$40)+0.2*SIN(2*PI()*((Scenario_Data!V38)+(0))/(0.5*(Inputs!$C$39+Inputs!$C$40))))+Inputs!$C$38*SIN(2*PI()*(Scenario_Data!V38)/Inputs!$C$39)*SIN(2*PI()*(0)/Inputs!$C$40)+-Inputs!$C$41*EXP(-(((0)-Inputs!$C$43)^2)/(2*Inputs!$C$44^2))*EXP(-(((Scenario_Data!V38)-Inputs!$C$42)^2)/(2*Inputs!$C$45^2))+Inputs!$C$48*(0.7*(0.45*SIN(2*PI()*(((Scenario_Data!V38)/Inputs!$C$49)+Inputs!$C$47*0.137))+0.35*COS(2*PI()*(((0)/Inputs!$C$50)+Inputs!$C$47*0.173))+0.2*SIN(2*PI()*((((Scenario_Data!V38)+(0))/(0.5*(Inputs!$C$49+Inputs!$C$50)))+Inputs!$C$47*0.097)))+0.3*(2*((SIN(((Scenario_Data!V38)*12.9898+(0)*78.233+Inputs!$C$47*37.719))*43758.5453)-INT((SIN(((Scenario_Data!V38)*12.9898+(0)*78.233+Inputs!$C$47*37.719))*43758.5453)))-1)))))/Inputs!$C$21*1000000</f>
        <v/>
      </c>
      <c r="AD38">
        <f>Scenario_Data!W38</f>
        <v/>
      </c>
      <c r="AE38">
        <f>2*((Scenario_Data!E38*1000)-(IF(OR(Inputs!$C$27=TRUE,Inputs!$C$27="TRUE",Inputs!$C$27=1),1,0)*(Inputs!$C$51*(115*EXP(-(((0)-25)^2)/(4.5^2))+70*EXP(-(((0)+38)^2)/(7^2))*(0.55+0.45*SIN(2*PI()*(Scenario_Data!W38)/45))+24*SIN(2*PI()*(0)/9+(Scenario_Data!W38)/18)*EXP(-(((0)+5)^2)/(22^2))+18*SIN(2*PI()*(Scenario_Data!W38)/70))+Inputs!$C$28*EXP(-(((Scenario_Data!W38)-Inputs!$C$29)^2)/(2*Inputs!$C$31^2))*EXP(-(((0)-Inputs!$C$30)^2)/(2*Inputs!$C$32^2))+-Inputs!$C$33*EXP(-(((((Scenario_Data!W38)-Inputs!$C$34)^2)+(((0)-Inputs!$C$35)^2))/(2*Inputs!$C$36^2)))+Inputs!$C$37*(0.55*SIN(2*PI()*(Scenario_Data!W38)/Inputs!$C$39)+0.35*COS(2*PI()*(0)/Inputs!$C$40)+0.2*SIN(2*PI()*((Scenario_Data!W38)+(0))/(0.5*(Inputs!$C$39+Inputs!$C$40))))+Inputs!$C$38*SIN(2*PI()*(Scenario_Data!W38)/Inputs!$C$39)*SIN(2*PI()*(0)/Inputs!$C$40)+-Inputs!$C$41*EXP(-(((0)-Inputs!$C$43)^2)/(2*Inputs!$C$44^2))*EXP(-(((Scenario_Data!W38)-Inputs!$C$42)^2)/(2*Inputs!$C$45^2))+Inputs!$C$48*(0.7*(0.45*SIN(2*PI()*(((Scenario_Data!W38)/Inputs!$C$49)+Inputs!$C$47*0.137))+0.35*COS(2*PI()*(((0)/Inputs!$C$50)+Inputs!$C$47*0.173))+0.2*SIN(2*PI()*((((Scenario_Data!W38)+(0))/(0.5*(Inputs!$C$49+Inputs!$C$50)))+Inputs!$C$47*0.097)))+0.3*(2*((SIN(((Scenario_Data!W38)*12.9898+(0)*78.233+Inputs!$C$47*37.719))*43758.5453)-INT((SIN(((Scenario_Data!W38)*12.9898+(0)*78.233+Inputs!$C$47*37.719))*43758.5453)))-1)))))/Inputs!$C$21*1000000</f>
        <v/>
      </c>
      <c r="AG38">
        <f>Scenario_Data!T38</f>
        <v/>
      </c>
      <c r="AH38">
        <f>2*(SQRT((Inputs!$C$52+(Scenario_Data!B38))^2+Inputs!$C$52^2-2*(Inputs!$C$52+(Scenario_Data!B38))*Inputs!$C$52*COS(SQRT((Scenario_Data!T38)^2+Inputs!$C$6^2)/Inputs!$C$52))*1000)/Inputs!$C$21*1000000</f>
        <v/>
      </c>
      <c r="AI38">
        <f>Scenario_Data!U38</f>
        <v/>
      </c>
      <c r="AJ38">
        <f>2*(SQRT((Inputs!$C$52+(Scenario_Data!C38))^2+Inputs!$C$52^2-2*(Inputs!$C$52+(Scenario_Data!C38))*Inputs!$C$52*COS(SQRT((Scenario_Data!U38)^2+Inputs!$C$6^2)/Inputs!$C$52))*1000)/Inputs!$C$21*1000000</f>
        <v/>
      </c>
      <c r="AK38">
        <f>Scenario_Data!V38</f>
        <v/>
      </c>
      <c r="AL38">
        <f>2*(SQRT((Inputs!$C$52+(Scenario_Data!D38))^2+Inputs!$C$52^2-2*(Inputs!$C$52+(Scenario_Data!D38))*Inputs!$C$52*COS(SQRT((Scenario_Data!V38)^2+Inputs!$C$6^2)/Inputs!$C$52))*1000)/Inputs!$C$21*1000000</f>
        <v/>
      </c>
      <c r="AM38">
        <f>Scenario_Data!W38</f>
        <v/>
      </c>
      <c r="AN38">
        <f>2*(SQRT((Inputs!$C$52+(Scenario_Data!E38))^2+Inputs!$C$52^2-2*(Inputs!$C$52+(Scenario_Data!E38))*Inputs!$C$52*COS(SQRT((Scenario_Data!W38)^2+Inputs!$C$6^2)/Inputs!$C$52))*1000)/Inputs!$C$21*1000000</f>
        <v/>
      </c>
      <c r="AP38">
        <f>Scenario_Data!T38</f>
        <v/>
      </c>
      <c r="AQ38">
        <f>2*(SQRT((Inputs!$C$52+(Scenario_Data!B38))^2+(Inputs!$C$52+((IF(OR(Inputs!$C$27=TRUE,Inputs!$C$27="TRUE",Inputs!$C$27=1),1,0)*(Inputs!$C$51*(115*EXP(-(((Inputs!$C$6)-25)^2)/(4.5^2))+70*EXP(-(((Inputs!$C$6)+38)^2)/(7^2))*(0.55+0.45*SIN(2*PI()*(Scenario_Data!T38)/45))+24*SIN(2*PI()*(Inputs!$C$6)/9+(Scenario_Data!T38)/18)*EXP(-(((Inputs!$C$6)+5)^2)/(22^2))+18*SIN(2*PI()*(Scenario_Data!T38)/70))+Inputs!$C$28*EXP(-(((Scenario_Data!T38)-Inputs!$C$29)^2)/(2*Inputs!$C$31^2))*EXP(-(((Inputs!$C$6)-Inputs!$C$30)^2)/(2*Inputs!$C$32^2))+-Inputs!$C$33*EXP(-(((((Scenario_Data!T38)-Inputs!$C$34)^2)+(((Inputs!$C$6)-Inputs!$C$35)^2))/(2*Inputs!$C$36^2)))+Inputs!$C$37*(0.55*SIN(2*PI()*(Scenario_Data!T38)/Inputs!$C$39)+0.35*COS(2*PI()*(Inputs!$C$6)/Inputs!$C$40)+0.2*SIN(2*PI()*((Scenario_Data!T38)+(Inputs!$C$6))/(0.5*(Inputs!$C$39+Inputs!$C$40))))+Inputs!$C$38*SIN(2*PI()*(Scenario_Data!T38)/Inputs!$C$39)*SIN(2*PI()*(Inputs!$C$6)/Inputs!$C$40)+-Inputs!$C$41*EXP(-(((Inputs!$C$6)-Inputs!$C$43)^2)/(2*Inputs!$C$44^2))*EXP(-(((Scenario_Data!T38)-Inputs!$C$42)^2)/(2*Inputs!$C$45^2))+Inputs!$C$48*(0.7*(0.45*SIN(2*PI()*(((Scenario_Data!T38)/Inputs!$C$49)+Inputs!$C$47*0.137))+0.35*COS(2*PI()*(((Inputs!$C$6)/Inputs!$C$50)+Inputs!$C$47*0.173))+0.2*SIN(2*PI()*((((Scenario_Data!T38)+(Inputs!$C$6))/(0.5*(Inputs!$C$49+Inputs!$C$50)))+Inputs!$C$47*0.097)))+0.3*(2*((SIN(((Scenario_Data!T38)*12.9898+(Inputs!$C$6)*78.233+Inputs!$C$47*37.719))*43758.5453)-INT((SIN(((Scenario_Data!T38)*12.9898+(Inputs!$C$6)*78.233+Inputs!$C$47*37.719))*43758.5453)))-1))))/1000))^2-2*(Inputs!$C$52+(Scenario_Data!B38))*(Inputs!$C$52+((IF(OR(Inputs!$C$27=TRUE,Inputs!$C$27="TRUE",Inputs!$C$27=1),1,0)*(Inputs!$C$51*(115*EXP(-(((Inputs!$C$6)-25)^2)/(4.5^2))+70*EXP(-(((Inputs!$C$6)+38)^2)/(7^2))*(0.55+0.45*SIN(2*PI()*(Scenario_Data!T38)/45))+24*SIN(2*PI()*(Inputs!$C$6)/9+(Scenario_Data!T38)/18)*EXP(-(((Inputs!$C$6)+5)^2)/(22^2))+18*SIN(2*PI()*(Scenario_Data!T38)/70))+Inputs!$C$28*EXP(-(((Scenario_Data!T38)-Inputs!$C$29)^2)/(2*Inputs!$C$31^2))*EXP(-(((Inputs!$C$6)-Inputs!$C$30)^2)/(2*Inputs!$C$32^2))+-Inputs!$C$33*EXP(-(((((Scenario_Data!T38)-Inputs!$C$34)^2)+(((Inputs!$C$6)-Inputs!$C$35)^2))/(2*Inputs!$C$36^2)))+Inputs!$C$37*(0.55*SIN(2*PI()*(Scenario_Data!T38)/Inputs!$C$39)+0.35*COS(2*PI()*(Inputs!$C$6)/Inputs!$C$40)+0.2*SIN(2*PI()*((Scenario_Data!T38)+(Inputs!$C$6))/(0.5*(Inputs!$C$39+Inputs!$C$40))))+Inputs!$C$38*SIN(2*PI()*(Scenario_Data!T38)/Inputs!$C$39)*SIN(2*PI()*(Inputs!$C$6)/Inputs!$C$40)+-Inputs!$C$41*EXP(-(((Inputs!$C$6)-Inputs!$C$43)^2)/(2*Inputs!$C$44^2))*EXP(-(((Scenario_Data!T38)-Inputs!$C$42)^2)/(2*Inputs!$C$45^2))+Inputs!$C$48*(0.7*(0.45*SIN(2*PI()*(((Scenario_Data!T38)/Inputs!$C$49)+Inputs!$C$47*0.137))+0.35*COS(2*PI()*(((Inputs!$C$6)/Inputs!$C$50)+Inputs!$C$47*0.173))+0.2*SIN(2*PI()*((((Scenario_Data!T38)+(Inputs!$C$6))/(0.5*(Inputs!$C$49+Inputs!$C$50)))+Inputs!$C$47*0.097)))+0.3*(2*((SIN(((Scenario_Data!T38)*12.9898+(Inputs!$C$6)*78.233+Inputs!$C$47*37.719))*43758.5453)-INT((SIN(((Scenario_Data!T38)*12.9898+(Inputs!$C$6)*78.233+Inputs!$C$47*37.719))*43758.5453)))-1))))/1000))*COS(SQRT((Scenario_Data!T38)^2+Inputs!$C$6^2)/Inputs!$C$52))*1000)/Inputs!$C$21*1000000</f>
        <v/>
      </c>
      <c r="AR38">
        <f>Scenario_Data!U38</f>
        <v/>
      </c>
      <c r="AS38">
        <f>2*(SQRT((Inputs!$C$52+(Scenario_Data!C38))^2+(Inputs!$C$52+((IF(OR(Inputs!$C$27=TRUE,Inputs!$C$27="TRUE",Inputs!$C$27=1),1,0)*(Inputs!$C$51*(115*EXP(-(((Inputs!$C$6)-25)^2)/(4.5^2))+70*EXP(-(((Inputs!$C$6)+38)^2)/(7^2))*(0.55+0.45*SIN(2*PI()*(Scenario_Data!U38)/45))+24*SIN(2*PI()*(Inputs!$C$6)/9+(Scenario_Data!U38)/18)*EXP(-(((Inputs!$C$6)+5)^2)/(22^2))+18*SIN(2*PI()*(Scenario_Data!U38)/70))+Inputs!$C$28*EXP(-(((Scenario_Data!U38)-Inputs!$C$29)^2)/(2*Inputs!$C$31^2))*EXP(-(((Inputs!$C$6)-Inputs!$C$30)^2)/(2*Inputs!$C$32^2))+-Inputs!$C$33*EXP(-(((((Scenario_Data!U38)-Inputs!$C$34)^2)+(((Inputs!$C$6)-Inputs!$C$35)^2))/(2*Inputs!$C$36^2)))+Inputs!$C$37*(0.55*SIN(2*PI()*(Scenario_Data!U38)/Inputs!$C$39)+0.35*COS(2*PI()*(Inputs!$C$6)/Inputs!$C$40)+0.2*SIN(2*PI()*((Scenario_Data!U38)+(Inputs!$C$6))/(0.5*(Inputs!$C$39+Inputs!$C$40))))+Inputs!$C$38*SIN(2*PI()*(Scenario_Data!U38)/Inputs!$C$39)*SIN(2*PI()*(Inputs!$C$6)/Inputs!$C$40)+-Inputs!$C$41*EXP(-(((Inputs!$C$6)-Inputs!$C$43)^2)/(2*Inputs!$C$44^2))*EXP(-(((Scenario_Data!U38)-Inputs!$C$42)^2)/(2*Inputs!$C$45^2))+Inputs!$C$48*(0.7*(0.45*SIN(2*PI()*(((Scenario_Data!U38)/Inputs!$C$49)+Inputs!$C$47*0.137))+0.35*COS(2*PI()*(((Inputs!$C$6)/Inputs!$C$50)+Inputs!$C$47*0.173))+0.2*SIN(2*PI()*((((Scenario_Data!U38)+(Inputs!$C$6))/(0.5*(Inputs!$C$49+Inputs!$C$50)))+Inputs!$C$47*0.097)))+0.3*(2*((SIN(((Scenario_Data!U38)*12.9898+(Inputs!$C$6)*78.233+Inputs!$C$47*37.719))*43758.5453)-INT((SIN(((Scenario_Data!U38)*12.9898+(Inputs!$C$6)*78.233+Inputs!$C$47*37.719))*43758.5453)))-1))))/1000))^2-2*(Inputs!$C$52+(Scenario_Data!C38))*(Inputs!$C$52+((IF(OR(Inputs!$C$27=TRUE,Inputs!$C$27="TRUE",Inputs!$C$27=1),1,0)*(Inputs!$C$51*(115*EXP(-(((Inputs!$C$6)-25)^2)/(4.5^2))+70*EXP(-(((Inputs!$C$6)+38)^2)/(7^2))*(0.55+0.45*SIN(2*PI()*(Scenario_Data!U38)/45))+24*SIN(2*PI()*(Inputs!$C$6)/9+(Scenario_Data!U38)/18)*EXP(-(((Inputs!$C$6)+5)^2)/(22^2))+18*SIN(2*PI()*(Scenario_Data!U38)/70))+Inputs!$C$28*EXP(-(((Scenario_Data!U38)-Inputs!$C$29)^2)/(2*Inputs!$C$31^2))*EXP(-(((Inputs!$C$6)-Inputs!$C$30)^2)/(2*Inputs!$C$32^2))+-Inputs!$C$33*EXP(-(((((Scenario_Data!U38)-Inputs!$C$34)^2)+(((Inputs!$C$6)-Inputs!$C$35)^2))/(2*Inputs!$C$36^2)))+Inputs!$C$37*(0.55*SIN(2*PI()*(Scenario_Data!U38)/Inputs!$C$39)+0.35*COS(2*PI()*(Inputs!$C$6)/Inputs!$C$40)+0.2*SIN(2*PI()*((Scenario_Data!U38)+(Inputs!$C$6))/(0.5*(Inputs!$C$39+Inputs!$C$40))))+Inputs!$C$38*SIN(2*PI()*(Scenario_Data!U38)/Inputs!$C$39)*SIN(2*PI()*(Inputs!$C$6)/Inputs!$C$40)+-Inputs!$C$41*EXP(-(((Inputs!$C$6)-Inputs!$C$43)^2)/(2*Inputs!$C$44^2))*EXP(-(((Scenario_Data!U38)-Inputs!$C$42)^2)/(2*Inputs!$C$45^2))+Inputs!$C$48*(0.7*(0.45*SIN(2*PI()*(((Scenario_Data!U38)/Inputs!$C$49)+Inputs!$C$47*0.137))+0.35*COS(2*PI()*(((Inputs!$C$6)/Inputs!$C$50)+Inputs!$C$47*0.173))+0.2*SIN(2*PI()*((((Scenario_Data!U38)+(Inputs!$C$6))/(0.5*(Inputs!$C$49+Inputs!$C$50)))+Inputs!$C$47*0.097)))+0.3*(2*((SIN(((Scenario_Data!U38)*12.9898+(Inputs!$C$6)*78.233+Inputs!$C$47*37.719))*43758.5453)-INT((SIN(((Scenario_Data!U38)*12.9898+(Inputs!$C$6)*78.233+Inputs!$C$47*37.719))*43758.5453)))-1))))/1000))*COS(SQRT((Scenario_Data!U38)^2+Inputs!$C$6^2)/Inputs!$C$52))*1000)/Inputs!$C$21*1000000</f>
        <v/>
      </c>
      <c r="AT38">
        <f>Scenario_Data!V38</f>
        <v/>
      </c>
      <c r="AU38">
        <f>2*(SQRT((Inputs!$C$52+(Scenario_Data!D38))^2+(Inputs!$C$52+((IF(OR(Inputs!$C$27=TRUE,Inputs!$C$27="TRUE",Inputs!$C$27=1),1,0)*(Inputs!$C$51*(115*EXP(-(((Inputs!$C$6)-25)^2)/(4.5^2))+70*EXP(-(((Inputs!$C$6)+38)^2)/(7^2))*(0.55+0.45*SIN(2*PI()*(Scenario_Data!V38)/45))+24*SIN(2*PI()*(Inputs!$C$6)/9+(Scenario_Data!V38)/18)*EXP(-(((Inputs!$C$6)+5)^2)/(22^2))+18*SIN(2*PI()*(Scenario_Data!V38)/70))+Inputs!$C$28*EXP(-(((Scenario_Data!V38)-Inputs!$C$29)^2)/(2*Inputs!$C$31^2))*EXP(-(((Inputs!$C$6)-Inputs!$C$30)^2)/(2*Inputs!$C$32^2))+-Inputs!$C$33*EXP(-(((((Scenario_Data!V38)-Inputs!$C$34)^2)+(((Inputs!$C$6)-Inputs!$C$35)^2))/(2*Inputs!$C$36^2)))+Inputs!$C$37*(0.55*SIN(2*PI()*(Scenario_Data!V38)/Inputs!$C$39)+0.35*COS(2*PI()*(Inputs!$C$6)/Inputs!$C$40)+0.2*SIN(2*PI()*((Scenario_Data!V38)+(Inputs!$C$6))/(0.5*(Inputs!$C$39+Inputs!$C$40))))+Inputs!$C$38*SIN(2*PI()*(Scenario_Data!V38)/Inputs!$C$39)*SIN(2*PI()*(Inputs!$C$6)/Inputs!$C$40)+-Inputs!$C$41*EXP(-(((Inputs!$C$6)-Inputs!$C$43)^2)/(2*Inputs!$C$44^2))*EXP(-(((Scenario_Data!V38)-Inputs!$C$42)^2)/(2*Inputs!$C$45^2))+Inputs!$C$48*(0.7*(0.45*SIN(2*PI()*(((Scenario_Data!V38)/Inputs!$C$49)+Inputs!$C$47*0.137))+0.35*COS(2*PI()*(((Inputs!$C$6)/Inputs!$C$50)+Inputs!$C$47*0.173))+0.2*SIN(2*PI()*((((Scenario_Data!V38)+(Inputs!$C$6))/(0.5*(Inputs!$C$49+Inputs!$C$50)))+Inputs!$C$47*0.097)))+0.3*(2*((SIN(((Scenario_Data!V38)*12.9898+(Inputs!$C$6)*78.233+Inputs!$C$47*37.719))*43758.5453)-INT((SIN(((Scenario_Data!V38)*12.9898+(Inputs!$C$6)*78.233+Inputs!$C$47*37.719))*43758.5453)))-1))))/1000))^2-2*(Inputs!$C$52+(Scenario_Data!D38))*(Inputs!$C$52+((IF(OR(Inputs!$C$27=TRUE,Inputs!$C$27="TRUE",Inputs!$C$27=1),1,0)*(Inputs!$C$51*(115*EXP(-(((Inputs!$C$6)-25)^2)/(4.5^2))+70*EXP(-(((Inputs!$C$6)+38)^2)/(7^2))*(0.55+0.45*SIN(2*PI()*(Scenario_Data!V38)/45))+24*SIN(2*PI()*(Inputs!$C$6)/9+(Scenario_Data!V38)/18)*EXP(-(((Inputs!$C$6)+5)^2)/(22^2))+18*SIN(2*PI()*(Scenario_Data!V38)/70))+Inputs!$C$28*EXP(-(((Scenario_Data!V38)-Inputs!$C$29)^2)/(2*Inputs!$C$31^2))*EXP(-(((Inputs!$C$6)-Inputs!$C$30)^2)/(2*Inputs!$C$32^2))+-Inputs!$C$33*EXP(-(((((Scenario_Data!V38)-Inputs!$C$34)^2)+(((Inputs!$C$6)-Inputs!$C$35)^2))/(2*Inputs!$C$36^2)))+Inputs!$C$37*(0.55*SIN(2*PI()*(Scenario_Data!V38)/Inputs!$C$39)+0.35*COS(2*PI()*(Inputs!$C$6)/Inputs!$C$40)+0.2*SIN(2*PI()*((Scenario_Data!V38)+(Inputs!$C$6))/(0.5*(Inputs!$C$39+Inputs!$C$40))))+Inputs!$C$38*SIN(2*PI()*(Scenario_Data!V38)/Inputs!$C$39)*SIN(2*PI()*(Inputs!$C$6)/Inputs!$C$40)+-Inputs!$C$41*EXP(-(((Inputs!$C$6)-Inputs!$C$43)^2)/(2*Inputs!$C$44^2))*EXP(-(((Scenario_Data!V38)-Inputs!$C$42)^2)/(2*Inputs!$C$45^2))+Inputs!$C$48*(0.7*(0.45*SIN(2*PI()*(((Scenario_Data!V38)/Inputs!$C$49)+Inputs!$C$47*0.137))+0.35*COS(2*PI()*(((Inputs!$C$6)/Inputs!$C$50)+Inputs!$C$47*0.173))+0.2*SIN(2*PI()*((((Scenario_Data!V38)+(Inputs!$C$6))/(0.5*(Inputs!$C$49+Inputs!$C$50)))+Inputs!$C$47*0.097)))+0.3*(2*((SIN(((Scenario_Data!V38)*12.9898+(Inputs!$C$6)*78.233+Inputs!$C$47*37.719))*43758.5453)-INT((SIN(((Scenario_Data!V38)*12.9898+(Inputs!$C$6)*78.233+Inputs!$C$47*37.719))*43758.5453)))-1))))/1000))*COS(SQRT((Scenario_Data!V38)^2+Inputs!$C$6^2)/Inputs!$C$52))*1000)/Inputs!$C$21*1000000</f>
        <v/>
      </c>
      <c r="AV38">
        <f>Scenario_Data!W38</f>
        <v/>
      </c>
      <c r="AW38">
        <f>2*(SQRT((Inputs!$C$52+(Scenario_Data!E38))^2+(Inputs!$C$52+((IF(OR(Inputs!$C$27=TRUE,Inputs!$C$27="TRUE",Inputs!$C$27=1),1,0)*(Inputs!$C$51*(115*EXP(-(((Inputs!$C$6)-25)^2)/(4.5^2))+70*EXP(-(((Inputs!$C$6)+38)^2)/(7^2))*(0.55+0.45*SIN(2*PI()*(Scenario_Data!W38)/45))+24*SIN(2*PI()*(Inputs!$C$6)/9+(Scenario_Data!W38)/18)*EXP(-(((Inputs!$C$6)+5)^2)/(22^2))+18*SIN(2*PI()*(Scenario_Data!W38)/70))+Inputs!$C$28*EXP(-(((Scenario_Data!W38)-Inputs!$C$29)^2)/(2*Inputs!$C$31^2))*EXP(-(((Inputs!$C$6)-Inputs!$C$30)^2)/(2*Inputs!$C$32^2))+-Inputs!$C$33*EXP(-(((((Scenario_Data!W38)-Inputs!$C$34)^2)+(((Inputs!$C$6)-Inputs!$C$35)^2))/(2*Inputs!$C$36^2)))+Inputs!$C$37*(0.55*SIN(2*PI()*(Scenario_Data!W38)/Inputs!$C$39)+0.35*COS(2*PI()*(Inputs!$C$6)/Inputs!$C$40)+0.2*SIN(2*PI()*((Scenario_Data!W38)+(Inputs!$C$6))/(0.5*(Inputs!$C$39+Inputs!$C$40))))+Inputs!$C$38*SIN(2*PI()*(Scenario_Data!W38)/Inputs!$C$39)*SIN(2*PI()*(Inputs!$C$6)/Inputs!$C$40)+-Inputs!$C$41*EXP(-(((Inputs!$C$6)-Inputs!$C$43)^2)/(2*Inputs!$C$44^2))*EXP(-(((Scenario_Data!W38)-Inputs!$C$42)^2)/(2*Inputs!$C$45^2))+Inputs!$C$48*(0.7*(0.45*SIN(2*PI()*(((Scenario_Data!W38)/Inputs!$C$49)+Inputs!$C$47*0.137))+0.35*COS(2*PI()*(((Inputs!$C$6)/Inputs!$C$50)+Inputs!$C$47*0.173))+0.2*SIN(2*PI()*((((Scenario_Data!W38)+(Inputs!$C$6))/(0.5*(Inputs!$C$49+Inputs!$C$50)))+Inputs!$C$47*0.097)))+0.3*(2*((SIN(((Scenario_Data!W38)*12.9898+(Inputs!$C$6)*78.233+Inputs!$C$47*37.719))*43758.5453)-INT((SIN(((Scenario_Data!W38)*12.9898+(Inputs!$C$6)*78.233+Inputs!$C$47*37.719))*43758.5453)))-1))))/1000))^2-2*(Inputs!$C$52+(Scenario_Data!E38))*(Inputs!$C$52+((IF(OR(Inputs!$C$27=TRUE,Inputs!$C$27="TRUE",Inputs!$C$27=1),1,0)*(Inputs!$C$51*(115*EXP(-(((Inputs!$C$6)-25)^2)/(4.5^2))+70*EXP(-(((Inputs!$C$6)+38)^2)/(7^2))*(0.55+0.45*SIN(2*PI()*(Scenario_Data!W38)/45))+24*SIN(2*PI()*(Inputs!$C$6)/9+(Scenario_Data!W38)/18)*EXP(-(((Inputs!$C$6)+5)^2)/(22^2))+18*SIN(2*PI()*(Scenario_Data!W38)/70))+Inputs!$C$28*EXP(-(((Scenario_Data!W38)-Inputs!$C$29)^2)/(2*Inputs!$C$31^2))*EXP(-(((Inputs!$C$6)-Inputs!$C$30)^2)/(2*Inputs!$C$32^2))+-Inputs!$C$33*EXP(-(((((Scenario_Data!W38)-Inputs!$C$34)^2)+(((Inputs!$C$6)-Inputs!$C$35)^2))/(2*Inputs!$C$36^2)))+Inputs!$C$37*(0.55*SIN(2*PI()*(Scenario_Data!W38)/Inputs!$C$39)+0.35*COS(2*PI()*(Inputs!$C$6)/Inputs!$C$40)+0.2*SIN(2*PI()*((Scenario_Data!W38)+(Inputs!$C$6))/(0.5*(Inputs!$C$39+Inputs!$C$40))))+Inputs!$C$38*SIN(2*PI()*(Scenario_Data!W38)/Inputs!$C$39)*SIN(2*PI()*(Inputs!$C$6)/Inputs!$C$40)+-Inputs!$C$41*EXP(-(((Inputs!$C$6)-Inputs!$C$43)^2)/(2*Inputs!$C$44^2))*EXP(-(((Scenario_Data!W38)-Inputs!$C$42)^2)/(2*Inputs!$C$45^2))+Inputs!$C$48*(0.7*(0.45*SIN(2*PI()*(((Scenario_Data!W38)/Inputs!$C$49)+Inputs!$C$47*0.137))+0.35*COS(2*PI()*(((Inputs!$C$6)/Inputs!$C$50)+Inputs!$C$47*0.173))+0.2*SIN(2*PI()*((((Scenario_Data!W38)+(Inputs!$C$6))/(0.5*(Inputs!$C$49+Inputs!$C$50)))+Inputs!$C$47*0.097)))+0.3*(2*((SIN(((Scenario_Data!W38)*12.9898+(Inputs!$C$6)*78.233+Inputs!$C$47*37.719))*43758.5453)-INT((SIN(((Scenario_Data!W38)*12.9898+(Inputs!$C$6)*78.233+Inputs!$C$47*37.719))*43758.5453)))-1))))/1000))*COS(SQRT((Scenario_Data!W38)^2+Inputs!$C$6^2)/Inputs!$C$52))*1000)/Inputs!$C$21*1000000</f>
        <v/>
      </c>
    </row>
    <row r="39">
      <c r="A39">
        <f>Chart_Data!K39</f>
        <v/>
      </c>
      <c r="B39">
        <f>Chart_Data!N39-Chart_Data!L39</f>
        <v/>
      </c>
      <c r="D39">
        <f>Chart_Data!G39</f>
        <v/>
      </c>
      <c r="E39">
        <f>Chart_Data!H39</f>
        <v/>
      </c>
      <c r="F39">
        <f>Chart_Data!I39</f>
        <v/>
      </c>
      <c r="G39">
        <f>Chart_Data!J39</f>
        <v/>
      </c>
      <c r="I39">
        <f>Scenario_Data!A39</f>
        <v/>
      </c>
      <c r="J39">
        <f>Scenario_Data!H39-(((SQRT((Inputs!$C$52+(Inputs!$H$6))^2+Inputs!$C$52^2-2*(Inputs!$C$52+(Inputs!$H$6))*Inputs!$C$52*COS(SQRT((Scenario_Data!T39)^2+Inputs!$C$6^2)/Inputs!$C$52)))-(Inputs!$H$6))*1000/Inputs!$C$12)</f>
        <v/>
      </c>
      <c r="K39">
        <f>Scenario_Data!I39-(((SQRT((Inputs!$C$52+(Inputs!$H$7))^2+Inputs!$C$52^2-2*(Inputs!$C$52+(Inputs!$H$7))*Inputs!$C$52*COS(SQRT((Scenario_Data!U39)^2+Inputs!$C$6^2)/Inputs!$C$52)))-(Inputs!$H$7))*1000/Inputs!$C$12)</f>
        <v/>
      </c>
      <c r="L39">
        <f>Scenario_Data!J39-(((SQRT((Inputs!$C$52+(Inputs!$H$8))^2+Inputs!$C$52^2-2*(Inputs!$C$52+(Inputs!$H$8))*Inputs!$C$52*COS(SQRT((Scenario_Data!V39)^2+Inputs!$C$6^2)/Inputs!$C$52)))-(Inputs!$H$8))*1000/Inputs!$C$12)</f>
        <v/>
      </c>
      <c r="M39">
        <f>Scenario_Data!K39-(((SQRT((Inputs!$C$52+(Inputs!$H$9))^2+Inputs!$C$52^2-2*(Inputs!$C$52+(Inputs!$H$9))*Inputs!$C$52*COS(SQRT((Scenario_Data!W39)^2+Inputs!$C$6^2)/Inputs!$C$52)))-(Inputs!$H$9))*1000/Inputs!$C$12)</f>
        <v/>
      </c>
      <c r="O39">
        <f>Scenario_Data!T39</f>
        <v/>
      </c>
      <c r="P39">
        <f>2*(Scenario_Data!B39*1000)/Inputs!$C$21*1000000</f>
        <v/>
      </c>
      <c r="Q39">
        <f>Scenario_Data!U39</f>
        <v/>
      </c>
      <c r="R39">
        <f>2*(Scenario_Data!C39*1000)/Inputs!$C$21*1000000</f>
        <v/>
      </c>
      <c r="S39">
        <f>Scenario_Data!V39</f>
        <v/>
      </c>
      <c r="T39">
        <f>2*(Scenario_Data!D39*1000)/Inputs!$C$21*1000000</f>
        <v/>
      </c>
      <c r="U39">
        <f>Scenario_Data!W39</f>
        <v/>
      </c>
      <c r="V39">
        <f>2*(Scenario_Data!E39*1000)/Inputs!$C$21*1000000</f>
        <v/>
      </c>
      <c r="X39">
        <f>Scenario_Data!T39</f>
        <v/>
      </c>
      <c r="Y39">
        <f>2*((Scenario_Data!B39*1000)-(IF(OR(Inputs!$C$27=TRUE,Inputs!$C$27="TRUE",Inputs!$C$27=1),1,0)*(Inputs!$C$51*(115*EXP(-(((0)-25)^2)/(4.5^2))+70*EXP(-(((0)+38)^2)/(7^2))*(0.55+0.45*SIN(2*PI()*(Scenario_Data!T39)/45))+24*SIN(2*PI()*(0)/9+(Scenario_Data!T39)/18)*EXP(-(((0)+5)^2)/(22^2))+18*SIN(2*PI()*(Scenario_Data!T39)/70))+Inputs!$C$28*EXP(-(((Scenario_Data!T39)-Inputs!$C$29)^2)/(2*Inputs!$C$31^2))*EXP(-(((0)-Inputs!$C$30)^2)/(2*Inputs!$C$32^2))+-Inputs!$C$33*EXP(-(((((Scenario_Data!T39)-Inputs!$C$34)^2)+(((0)-Inputs!$C$35)^2))/(2*Inputs!$C$36^2)))+Inputs!$C$37*(0.55*SIN(2*PI()*(Scenario_Data!T39)/Inputs!$C$39)+0.35*COS(2*PI()*(0)/Inputs!$C$40)+0.2*SIN(2*PI()*((Scenario_Data!T39)+(0))/(0.5*(Inputs!$C$39+Inputs!$C$40))))+Inputs!$C$38*SIN(2*PI()*(Scenario_Data!T39)/Inputs!$C$39)*SIN(2*PI()*(0)/Inputs!$C$40)+-Inputs!$C$41*EXP(-(((0)-Inputs!$C$43)^2)/(2*Inputs!$C$44^2))*EXP(-(((Scenario_Data!T39)-Inputs!$C$42)^2)/(2*Inputs!$C$45^2))+Inputs!$C$48*(0.7*(0.45*SIN(2*PI()*(((Scenario_Data!T39)/Inputs!$C$49)+Inputs!$C$47*0.137))+0.35*COS(2*PI()*(((0)/Inputs!$C$50)+Inputs!$C$47*0.173))+0.2*SIN(2*PI()*((((Scenario_Data!T39)+(0))/(0.5*(Inputs!$C$49+Inputs!$C$50)))+Inputs!$C$47*0.097)))+0.3*(2*((SIN(((Scenario_Data!T39)*12.9898+(0)*78.233+Inputs!$C$47*37.719))*43758.5453)-INT((SIN(((Scenario_Data!T39)*12.9898+(0)*78.233+Inputs!$C$47*37.719))*43758.5453)))-1)))))/Inputs!$C$21*1000000</f>
        <v/>
      </c>
      <c r="Z39">
        <f>Scenario_Data!U39</f>
        <v/>
      </c>
      <c r="AA39">
        <f>2*((Scenario_Data!C39*1000)-(IF(OR(Inputs!$C$27=TRUE,Inputs!$C$27="TRUE",Inputs!$C$27=1),1,0)*(Inputs!$C$51*(115*EXP(-(((0)-25)^2)/(4.5^2))+70*EXP(-(((0)+38)^2)/(7^2))*(0.55+0.45*SIN(2*PI()*(Scenario_Data!U39)/45))+24*SIN(2*PI()*(0)/9+(Scenario_Data!U39)/18)*EXP(-(((0)+5)^2)/(22^2))+18*SIN(2*PI()*(Scenario_Data!U39)/70))+Inputs!$C$28*EXP(-(((Scenario_Data!U39)-Inputs!$C$29)^2)/(2*Inputs!$C$31^2))*EXP(-(((0)-Inputs!$C$30)^2)/(2*Inputs!$C$32^2))+-Inputs!$C$33*EXP(-(((((Scenario_Data!U39)-Inputs!$C$34)^2)+(((0)-Inputs!$C$35)^2))/(2*Inputs!$C$36^2)))+Inputs!$C$37*(0.55*SIN(2*PI()*(Scenario_Data!U39)/Inputs!$C$39)+0.35*COS(2*PI()*(0)/Inputs!$C$40)+0.2*SIN(2*PI()*((Scenario_Data!U39)+(0))/(0.5*(Inputs!$C$39+Inputs!$C$40))))+Inputs!$C$38*SIN(2*PI()*(Scenario_Data!U39)/Inputs!$C$39)*SIN(2*PI()*(0)/Inputs!$C$40)+-Inputs!$C$41*EXP(-(((0)-Inputs!$C$43)^2)/(2*Inputs!$C$44^2))*EXP(-(((Scenario_Data!U39)-Inputs!$C$42)^2)/(2*Inputs!$C$45^2))+Inputs!$C$48*(0.7*(0.45*SIN(2*PI()*(((Scenario_Data!U39)/Inputs!$C$49)+Inputs!$C$47*0.137))+0.35*COS(2*PI()*(((0)/Inputs!$C$50)+Inputs!$C$47*0.173))+0.2*SIN(2*PI()*((((Scenario_Data!U39)+(0))/(0.5*(Inputs!$C$49+Inputs!$C$50)))+Inputs!$C$47*0.097)))+0.3*(2*((SIN(((Scenario_Data!U39)*12.9898+(0)*78.233+Inputs!$C$47*37.719))*43758.5453)-INT((SIN(((Scenario_Data!U39)*12.9898+(0)*78.233+Inputs!$C$47*37.719))*43758.5453)))-1)))))/Inputs!$C$21*1000000</f>
        <v/>
      </c>
      <c r="AB39">
        <f>Scenario_Data!V39</f>
        <v/>
      </c>
      <c r="AC39">
        <f>2*((Scenario_Data!D39*1000)-(IF(OR(Inputs!$C$27=TRUE,Inputs!$C$27="TRUE",Inputs!$C$27=1),1,0)*(Inputs!$C$51*(115*EXP(-(((0)-25)^2)/(4.5^2))+70*EXP(-(((0)+38)^2)/(7^2))*(0.55+0.45*SIN(2*PI()*(Scenario_Data!V39)/45))+24*SIN(2*PI()*(0)/9+(Scenario_Data!V39)/18)*EXP(-(((0)+5)^2)/(22^2))+18*SIN(2*PI()*(Scenario_Data!V39)/70))+Inputs!$C$28*EXP(-(((Scenario_Data!V39)-Inputs!$C$29)^2)/(2*Inputs!$C$31^2))*EXP(-(((0)-Inputs!$C$30)^2)/(2*Inputs!$C$32^2))+-Inputs!$C$33*EXP(-(((((Scenario_Data!V39)-Inputs!$C$34)^2)+(((0)-Inputs!$C$35)^2))/(2*Inputs!$C$36^2)))+Inputs!$C$37*(0.55*SIN(2*PI()*(Scenario_Data!V39)/Inputs!$C$39)+0.35*COS(2*PI()*(0)/Inputs!$C$40)+0.2*SIN(2*PI()*((Scenario_Data!V39)+(0))/(0.5*(Inputs!$C$39+Inputs!$C$40))))+Inputs!$C$38*SIN(2*PI()*(Scenario_Data!V39)/Inputs!$C$39)*SIN(2*PI()*(0)/Inputs!$C$40)+-Inputs!$C$41*EXP(-(((0)-Inputs!$C$43)^2)/(2*Inputs!$C$44^2))*EXP(-(((Scenario_Data!V39)-Inputs!$C$42)^2)/(2*Inputs!$C$45^2))+Inputs!$C$48*(0.7*(0.45*SIN(2*PI()*(((Scenario_Data!V39)/Inputs!$C$49)+Inputs!$C$47*0.137))+0.35*COS(2*PI()*(((0)/Inputs!$C$50)+Inputs!$C$47*0.173))+0.2*SIN(2*PI()*((((Scenario_Data!V39)+(0))/(0.5*(Inputs!$C$49+Inputs!$C$50)))+Inputs!$C$47*0.097)))+0.3*(2*((SIN(((Scenario_Data!V39)*12.9898+(0)*78.233+Inputs!$C$47*37.719))*43758.5453)-INT((SIN(((Scenario_Data!V39)*12.9898+(0)*78.233+Inputs!$C$47*37.719))*43758.5453)))-1)))))/Inputs!$C$21*1000000</f>
        <v/>
      </c>
      <c r="AD39">
        <f>Scenario_Data!W39</f>
        <v/>
      </c>
      <c r="AE39">
        <f>2*((Scenario_Data!E39*1000)-(IF(OR(Inputs!$C$27=TRUE,Inputs!$C$27="TRUE",Inputs!$C$27=1),1,0)*(Inputs!$C$51*(115*EXP(-(((0)-25)^2)/(4.5^2))+70*EXP(-(((0)+38)^2)/(7^2))*(0.55+0.45*SIN(2*PI()*(Scenario_Data!W39)/45))+24*SIN(2*PI()*(0)/9+(Scenario_Data!W39)/18)*EXP(-(((0)+5)^2)/(22^2))+18*SIN(2*PI()*(Scenario_Data!W39)/70))+Inputs!$C$28*EXP(-(((Scenario_Data!W39)-Inputs!$C$29)^2)/(2*Inputs!$C$31^2))*EXP(-(((0)-Inputs!$C$30)^2)/(2*Inputs!$C$32^2))+-Inputs!$C$33*EXP(-(((((Scenario_Data!W39)-Inputs!$C$34)^2)+(((0)-Inputs!$C$35)^2))/(2*Inputs!$C$36^2)))+Inputs!$C$37*(0.55*SIN(2*PI()*(Scenario_Data!W39)/Inputs!$C$39)+0.35*COS(2*PI()*(0)/Inputs!$C$40)+0.2*SIN(2*PI()*((Scenario_Data!W39)+(0))/(0.5*(Inputs!$C$39+Inputs!$C$40))))+Inputs!$C$38*SIN(2*PI()*(Scenario_Data!W39)/Inputs!$C$39)*SIN(2*PI()*(0)/Inputs!$C$40)+-Inputs!$C$41*EXP(-(((0)-Inputs!$C$43)^2)/(2*Inputs!$C$44^2))*EXP(-(((Scenario_Data!W39)-Inputs!$C$42)^2)/(2*Inputs!$C$45^2))+Inputs!$C$48*(0.7*(0.45*SIN(2*PI()*(((Scenario_Data!W39)/Inputs!$C$49)+Inputs!$C$47*0.137))+0.35*COS(2*PI()*(((0)/Inputs!$C$50)+Inputs!$C$47*0.173))+0.2*SIN(2*PI()*((((Scenario_Data!W39)+(0))/(0.5*(Inputs!$C$49+Inputs!$C$50)))+Inputs!$C$47*0.097)))+0.3*(2*((SIN(((Scenario_Data!W39)*12.9898+(0)*78.233+Inputs!$C$47*37.719))*43758.5453)-INT((SIN(((Scenario_Data!W39)*12.9898+(0)*78.233+Inputs!$C$47*37.719))*43758.5453)))-1)))))/Inputs!$C$21*1000000</f>
        <v/>
      </c>
      <c r="AG39">
        <f>Scenario_Data!T39</f>
        <v/>
      </c>
      <c r="AH39">
        <f>2*(SQRT((Inputs!$C$52+(Scenario_Data!B39))^2+Inputs!$C$52^2-2*(Inputs!$C$52+(Scenario_Data!B39))*Inputs!$C$52*COS(SQRT((Scenario_Data!T39)^2+Inputs!$C$6^2)/Inputs!$C$52))*1000)/Inputs!$C$21*1000000</f>
        <v/>
      </c>
      <c r="AI39">
        <f>Scenario_Data!U39</f>
        <v/>
      </c>
      <c r="AJ39">
        <f>2*(SQRT((Inputs!$C$52+(Scenario_Data!C39))^2+Inputs!$C$52^2-2*(Inputs!$C$52+(Scenario_Data!C39))*Inputs!$C$52*COS(SQRT((Scenario_Data!U39)^2+Inputs!$C$6^2)/Inputs!$C$52))*1000)/Inputs!$C$21*1000000</f>
        <v/>
      </c>
      <c r="AK39">
        <f>Scenario_Data!V39</f>
        <v/>
      </c>
      <c r="AL39">
        <f>2*(SQRT((Inputs!$C$52+(Scenario_Data!D39))^2+Inputs!$C$52^2-2*(Inputs!$C$52+(Scenario_Data!D39))*Inputs!$C$52*COS(SQRT((Scenario_Data!V39)^2+Inputs!$C$6^2)/Inputs!$C$52))*1000)/Inputs!$C$21*1000000</f>
        <v/>
      </c>
      <c r="AM39">
        <f>Scenario_Data!W39</f>
        <v/>
      </c>
      <c r="AN39">
        <f>2*(SQRT((Inputs!$C$52+(Scenario_Data!E39))^2+Inputs!$C$52^2-2*(Inputs!$C$52+(Scenario_Data!E39))*Inputs!$C$52*COS(SQRT((Scenario_Data!W39)^2+Inputs!$C$6^2)/Inputs!$C$52))*1000)/Inputs!$C$21*1000000</f>
        <v/>
      </c>
      <c r="AP39">
        <f>Scenario_Data!T39</f>
        <v/>
      </c>
      <c r="AQ39">
        <f>2*(SQRT((Inputs!$C$52+(Scenario_Data!B39))^2+(Inputs!$C$52+((IF(OR(Inputs!$C$27=TRUE,Inputs!$C$27="TRUE",Inputs!$C$27=1),1,0)*(Inputs!$C$51*(115*EXP(-(((Inputs!$C$6)-25)^2)/(4.5^2))+70*EXP(-(((Inputs!$C$6)+38)^2)/(7^2))*(0.55+0.45*SIN(2*PI()*(Scenario_Data!T39)/45))+24*SIN(2*PI()*(Inputs!$C$6)/9+(Scenario_Data!T39)/18)*EXP(-(((Inputs!$C$6)+5)^2)/(22^2))+18*SIN(2*PI()*(Scenario_Data!T39)/70))+Inputs!$C$28*EXP(-(((Scenario_Data!T39)-Inputs!$C$29)^2)/(2*Inputs!$C$31^2))*EXP(-(((Inputs!$C$6)-Inputs!$C$30)^2)/(2*Inputs!$C$32^2))+-Inputs!$C$33*EXP(-(((((Scenario_Data!T39)-Inputs!$C$34)^2)+(((Inputs!$C$6)-Inputs!$C$35)^2))/(2*Inputs!$C$36^2)))+Inputs!$C$37*(0.55*SIN(2*PI()*(Scenario_Data!T39)/Inputs!$C$39)+0.35*COS(2*PI()*(Inputs!$C$6)/Inputs!$C$40)+0.2*SIN(2*PI()*((Scenario_Data!T39)+(Inputs!$C$6))/(0.5*(Inputs!$C$39+Inputs!$C$40))))+Inputs!$C$38*SIN(2*PI()*(Scenario_Data!T39)/Inputs!$C$39)*SIN(2*PI()*(Inputs!$C$6)/Inputs!$C$40)+-Inputs!$C$41*EXP(-(((Inputs!$C$6)-Inputs!$C$43)^2)/(2*Inputs!$C$44^2))*EXP(-(((Scenario_Data!T39)-Inputs!$C$42)^2)/(2*Inputs!$C$45^2))+Inputs!$C$48*(0.7*(0.45*SIN(2*PI()*(((Scenario_Data!T39)/Inputs!$C$49)+Inputs!$C$47*0.137))+0.35*COS(2*PI()*(((Inputs!$C$6)/Inputs!$C$50)+Inputs!$C$47*0.173))+0.2*SIN(2*PI()*((((Scenario_Data!T39)+(Inputs!$C$6))/(0.5*(Inputs!$C$49+Inputs!$C$50)))+Inputs!$C$47*0.097)))+0.3*(2*((SIN(((Scenario_Data!T39)*12.9898+(Inputs!$C$6)*78.233+Inputs!$C$47*37.719))*43758.5453)-INT((SIN(((Scenario_Data!T39)*12.9898+(Inputs!$C$6)*78.233+Inputs!$C$47*37.719))*43758.5453)))-1))))/1000))^2-2*(Inputs!$C$52+(Scenario_Data!B39))*(Inputs!$C$52+((IF(OR(Inputs!$C$27=TRUE,Inputs!$C$27="TRUE",Inputs!$C$27=1),1,0)*(Inputs!$C$51*(115*EXP(-(((Inputs!$C$6)-25)^2)/(4.5^2))+70*EXP(-(((Inputs!$C$6)+38)^2)/(7^2))*(0.55+0.45*SIN(2*PI()*(Scenario_Data!T39)/45))+24*SIN(2*PI()*(Inputs!$C$6)/9+(Scenario_Data!T39)/18)*EXP(-(((Inputs!$C$6)+5)^2)/(22^2))+18*SIN(2*PI()*(Scenario_Data!T39)/70))+Inputs!$C$28*EXP(-(((Scenario_Data!T39)-Inputs!$C$29)^2)/(2*Inputs!$C$31^2))*EXP(-(((Inputs!$C$6)-Inputs!$C$30)^2)/(2*Inputs!$C$32^2))+-Inputs!$C$33*EXP(-(((((Scenario_Data!T39)-Inputs!$C$34)^2)+(((Inputs!$C$6)-Inputs!$C$35)^2))/(2*Inputs!$C$36^2)))+Inputs!$C$37*(0.55*SIN(2*PI()*(Scenario_Data!T39)/Inputs!$C$39)+0.35*COS(2*PI()*(Inputs!$C$6)/Inputs!$C$40)+0.2*SIN(2*PI()*((Scenario_Data!T39)+(Inputs!$C$6))/(0.5*(Inputs!$C$39+Inputs!$C$40))))+Inputs!$C$38*SIN(2*PI()*(Scenario_Data!T39)/Inputs!$C$39)*SIN(2*PI()*(Inputs!$C$6)/Inputs!$C$40)+-Inputs!$C$41*EXP(-(((Inputs!$C$6)-Inputs!$C$43)^2)/(2*Inputs!$C$44^2))*EXP(-(((Scenario_Data!T39)-Inputs!$C$42)^2)/(2*Inputs!$C$45^2))+Inputs!$C$48*(0.7*(0.45*SIN(2*PI()*(((Scenario_Data!T39)/Inputs!$C$49)+Inputs!$C$47*0.137))+0.35*COS(2*PI()*(((Inputs!$C$6)/Inputs!$C$50)+Inputs!$C$47*0.173))+0.2*SIN(2*PI()*((((Scenario_Data!T39)+(Inputs!$C$6))/(0.5*(Inputs!$C$49+Inputs!$C$50)))+Inputs!$C$47*0.097)))+0.3*(2*((SIN(((Scenario_Data!T39)*12.9898+(Inputs!$C$6)*78.233+Inputs!$C$47*37.719))*43758.5453)-INT((SIN(((Scenario_Data!T39)*12.9898+(Inputs!$C$6)*78.233+Inputs!$C$47*37.719))*43758.5453)))-1))))/1000))*COS(SQRT((Scenario_Data!T39)^2+Inputs!$C$6^2)/Inputs!$C$52))*1000)/Inputs!$C$21*1000000</f>
        <v/>
      </c>
      <c r="AR39">
        <f>Scenario_Data!U39</f>
        <v/>
      </c>
      <c r="AS39">
        <f>2*(SQRT((Inputs!$C$52+(Scenario_Data!C39))^2+(Inputs!$C$52+((IF(OR(Inputs!$C$27=TRUE,Inputs!$C$27="TRUE",Inputs!$C$27=1),1,0)*(Inputs!$C$51*(115*EXP(-(((Inputs!$C$6)-25)^2)/(4.5^2))+70*EXP(-(((Inputs!$C$6)+38)^2)/(7^2))*(0.55+0.45*SIN(2*PI()*(Scenario_Data!U39)/45))+24*SIN(2*PI()*(Inputs!$C$6)/9+(Scenario_Data!U39)/18)*EXP(-(((Inputs!$C$6)+5)^2)/(22^2))+18*SIN(2*PI()*(Scenario_Data!U39)/70))+Inputs!$C$28*EXP(-(((Scenario_Data!U39)-Inputs!$C$29)^2)/(2*Inputs!$C$31^2))*EXP(-(((Inputs!$C$6)-Inputs!$C$30)^2)/(2*Inputs!$C$32^2))+-Inputs!$C$33*EXP(-(((((Scenario_Data!U39)-Inputs!$C$34)^2)+(((Inputs!$C$6)-Inputs!$C$35)^2))/(2*Inputs!$C$36^2)))+Inputs!$C$37*(0.55*SIN(2*PI()*(Scenario_Data!U39)/Inputs!$C$39)+0.35*COS(2*PI()*(Inputs!$C$6)/Inputs!$C$40)+0.2*SIN(2*PI()*((Scenario_Data!U39)+(Inputs!$C$6))/(0.5*(Inputs!$C$39+Inputs!$C$40))))+Inputs!$C$38*SIN(2*PI()*(Scenario_Data!U39)/Inputs!$C$39)*SIN(2*PI()*(Inputs!$C$6)/Inputs!$C$40)+-Inputs!$C$41*EXP(-(((Inputs!$C$6)-Inputs!$C$43)^2)/(2*Inputs!$C$44^2))*EXP(-(((Scenario_Data!U39)-Inputs!$C$42)^2)/(2*Inputs!$C$45^2))+Inputs!$C$48*(0.7*(0.45*SIN(2*PI()*(((Scenario_Data!U39)/Inputs!$C$49)+Inputs!$C$47*0.137))+0.35*COS(2*PI()*(((Inputs!$C$6)/Inputs!$C$50)+Inputs!$C$47*0.173))+0.2*SIN(2*PI()*((((Scenario_Data!U39)+(Inputs!$C$6))/(0.5*(Inputs!$C$49+Inputs!$C$50)))+Inputs!$C$47*0.097)))+0.3*(2*((SIN(((Scenario_Data!U39)*12.9898+(Inputs!$C$6)*78.233+Inputs!$C$47*37.719))*43758.5453)-INT((SIN(((Scenario_Data!U39)*12.9898+(Inputs!$C$6)*78.233+Inputs!$C$47*37.719))*43758.5453)))-1))))/1000))^2-2*(Inputs!$C$52+(Scenario_Data!C39))*(Inputs!$C$52+((IF(OR(Inputs!$C$27=TRUE,Inputs!$C$27="TRUE",Inputs!$C$27=1),1,0)*(Inputs!$C$51*(115*EXP(-(((Inputs!$C$6)-25)^2)/(4.5^2))+70*EXP(-(((Inputs!$C$6)+38)^2)/(7^2))*(0.55+0.45*SIN(2*PI()*(Scenario_Data!U39)/45))+24*SIN(2*PI()*(Inputs!$C$6)/9+(Scenario_Data!U39)/18)*EXP(-(((Inputs!$C$6)+5)^2)/(22^2))+18*SIN(2*PI()*(Scenario_Data!U39)/70))+Inputs!$C$28*EXP(-(((Scenario_Data!U39)-Inputs!$C$29)^2)/(2*Inputs!$C$31^2))*EXP(-(((Inputs!$C$6)-Inputs!$C$30)^2)/(2*Inputs!$C$32^2))+-Inputs!$C$33*EXP(-(((((Scenario_Data!U39)-Inputs!$C$34)^2)+(((Inputs!$C$6)-Inputs!$C$35)^2))/(2*Inputs!$C$36^2)))+Inputs!$C$37*(0.55*SIN(2*PI()*(Scenario_Data!U39)/Inputs!$C$39)+0.35*COS(2*PI()*(Inputs!$C$6)/Inputs!$C$40)+0.2*SIN(2*PI()*((Scenario_Data!U39)+(Inputs!$C$6))/(0.5*(Inputs!$C$39+Inputs!$C$40))))+Inputs!$C$38*SIN(2*PI()*(Scenario_Data!U39)/Inputs!$C$39)*SIN(2*PI()*(Inputs!$C$6)/Inputs!$C$40)+-Inputs!$C$41*EXP(-(((Inputs!$C$6)-Inputs!$C$43)^2)/(2*Inputs!$C$44^2))*EXP(-(((Scenario_Data!U39)-Inputs!$C$42)^2)/(2*Inputs!$C$45^2))+Inputs!$C$48*(0.7*(0.45*SIN(2*PI()*(((Scenario_Data!U39)/Inputs!$C$49)+Inputs!$C$47*0.137))+0.35*COS(2*PI()*(((Inputs!$C$6)/Inputs!$C$50)+Inputs!$C$47*0.173))+0.2*SIN(2*PI()*((((Scenario_Data!U39)+(Inputs!$C$6))/(0.5*(Inputs!$C$49+Inputs!$C$50)))+Inputs!$C$47*0.097)))+0.3*(2*((SIN(((Scenario_Data!U39)*12.9898+(Inputs!$C$6)*78.233+Inputs!$C$47*37.719))*43758.5453)-INT((SIN(((Scenario_Data!U39)*12.9898+(Inputs!$C$6)*78.233+Inputs!$C$47*37.719))*43758.5453)))-1))))/1000))*COS(SQRT((Scenario_Data!U39)^2+Inputs!$C$6^2)/Inputs!$C$52))*1000)/Inputs!$C$21*1000000</f>
        <v/>
      </c>
      <c r="AT39">
        <f>Scenario_Data!V39</f>
        <v/>
      </c>
      <c r="AU39">
        <f>2*(SQRT((Inputs!$C$52+(Scenario_Data!D39))^2+(Inputs!$C$52+((IF(OR(Inputs!$C$27=TRUE,Inputs!$C$27="TRUE",Inputs!$C$27=1),1,0)*(Inputs!$C$51*(115*EXP(-(((Inputs!$C$6)-25)^2)/(4.5^2))+70*EXP(-(((Inputs!$C$6)+38)^2)/(7^2))*(0.55+0.45*SIN(2*PI()*(Scenario_Data!V39)/45))+24*SIN(2*PI()*(Inputs!$C$6)/9+(Scenario_Data!V39)/18)*EXP(-(((Inputs!$C$6)+5)^2)/(22^2))+18*SIN(2*PI()*(Scenario_Data!V39)/70))+Inputs!$C$28*EXP(-(((Scenario_Data!V39)-Inputs!$C$29)^2)/(2*Inputs!$C$31^2))*EXP(-(((Inputs!$C$6)-Inputs!$C$30)^2)/(2*Inputs!$C$32^2))+-Inputs!$C$33*EXP(-(((((Scenario_Data!V39)-Inputs!$C$34)^2)+(((Inputs!$C$6)-Inputs!$C$35)^2))/(2*Inputs!$C$36^2)))+Inputs!$C$37*(0.55*SIN(2*PI()*(Scenario_Data!V39)/Inputs!$C$39)+0.35*COS(2*PI()*(Inputs!$C$6)/Inputs!$C$40)+0.2*SIN(2*PI()*((Scenario_Data!V39)+(Inputs!$C$6))/(0.5*(Inputs!$C$39+Inputs!$C$40))))+Inputs!$C$38*SIN(2*PI()*(Scenario_Data!V39)/Inputs!$C$39)*SIN(2*PI()*(Inputs!$C$6)/Inputs!$C$40)+-Inputs!$C$41*EXP(-(((Inputs!$C$6)-Inputs!$C$43)^2)/(2*Inputs!$C$44^2))*EXP(-(((Scenario_Data!V39)-Inputs!$C$42)^2)/(2*Inputs!$C$45^2))+Inputs!$C$48*(0.7*(0.45*SIN(2*PI()*(((Scenario_Data!V39)/Inputs!$C$49)+Inputs!$C$47*0.137))+0.35*COS(2*PI()*(((Inputs!$C$6)/Inputs!$C$50)+Inputs!$C$47*0.173))+0.2*SIN(2*PI()*((((Scenario_Data!V39)+(Inputs!$C$6))/(0.5*(Inputs!$C$49+Inputs!$C$50)))+Inputs!$C$47*0.097)))+0.3*(2*((SIN(((Scenario_Data!V39)*12.9898+(Inputs!$C$6)*78.233+Inputs!$C$47*37.719))*43758.5453)-INT((SIN(((Scenario_Data!V39)*12.9898+(Inputs!$C$6)*78.233+Inputs!$C$47*37.719))*43758.5453)))-1))))/1000))^2-2*(Inputs!$C$52+(Scenario_Data!D39))*(Inputs!$C$52+((IF(OR(Inputs!$C$27=TRUE,Inputs!$C$27="TRUE",Inputs!$C$27=1),1,0)*(Inputs!$C$51*(115*EXP(-(((Inputs!$C$6)-25)^2)/(4.5^2))+70*EXP(-(((Inputs!$C$6)+38)^2)/(7^2))*(0.55+0.45*SIN(2*PI()*(Scenario_Data!V39)/45))+24*SIN(2*PI()*(Inputs!$C$6)/9+(Scenario_Data!V39)/18)*EXP(-(((Inputs!$C$6)+5)^2)/(22^2))+18*SIN(2*PI()*(Scenario_Data!V39)/70))+Inputs!$C$28*EXP(-(((Scenario_Data!V39)-Inputs!$C$29)^2)/(2*Inputs!$C$31^2))*EXP(-(((Inputs!$C$6)-Inputs!$C$30)^2)/(2*Inputs!$C$32^2))+-Inputs!$C$33*EXP(-(((((Scenario_Data!V39)-Inputs!$C$34)^2)+(((Inputs!$C$6)-Inputs!$C$35)^2))/(2*Inputs!$C$36^2)))+Inputs!$C$37*(0.55*SIN(2*PI()*(Scenario_Data!V39)/Inputs!$C$39)+0.35*COS(2*PI()*(Inputs!$C$6)/Inputs!$C$40)+0.2*SIN(2*PI()*((Scenario_Data!V39)+(Inputs!$C$6))/(0.5*(Inputs!$C$39+Inputs!$C$40))))+Inputs!$C$38*SIN(2*PI()*(Scenario_Data!V39)/Inputs!$C$39)*SIN(2*PI()*(Inputs!$C$6)/Inputs!$C$40)+-Inputs!$C$41*EXP(-(((Inputs!$C$6)-Inputs!$C$43)^2)/(2*Inputs!$C$44^2))*EXP(-(((Scenario_Data!V39)-Inputs!$C$42)^2)/(2*Inputs!$C$45^2))+Inputs!$C$48*(0.7*(0.45*SIN(2*PI()*(((Scenario_Data!V39)/Inputs!$C$49)+Inputs!$C$47*0.137))+0.35*COS(2*PI()*(((Inputs!$C$6)/Inputs!$C$50)+Inputs!$C$47*0.173))+0.2*SIN(2*PI()*((((Scenario_Data!V39)+(Inputs!$C$6))/(0.5*(Inputs!$C$49+Inputs!$C$50)))+Inputs!$C$47*0.097)))+0.3*(2*((SIN(((Scenario_Data!V39)*12.9898+(Inputs!$C$6)*78.233+Inputs!$C$47*37.719))*43758.5453)-INT((SIN(((Scenario_Data!V39)*12.9898+(Inputs!$C$6)*78.233+Inputs!$C$47*37.719))*43758.5453)))-1))))/1000))*COS(SQRT((Scenario_Data!V39)^2+Inputs!$C$6^2)/Inputs!$C$52))*1000)/Inputs!$C$21*1000000</f>
        <v/>
      </c>
      <c r="AV39">
        <f>Scenario_Data!W39</f>
        <v/>
      </c>
      <c r="AW39">
        <f>2*(SQRT((Inputs!$C$52+(Scenario_Data!E39))^2+(Inputs!$C$52+((IF(OR(Inputs!$C$27=TRUE,Inputs!$C$27="TRUE",Inputs!$C$27=1),1,0)*(Inputs!$C$51*(115*EXP(-(((Inputs!$C$6)-25)^2)/(4.5^2))+70*EXP(-(((Inputs!$C$6)+38)^2)/(7^2))*(0.55+0.45*SIN(2*PI()*(Scenario_Data!W39)/45))+24*SIN(2*PI()*(Inputs!$C$6)/9+(Scenario_Data!W39)/18)*EXP(-(((Inputs!$C$6)+5)^2)/(22^2))+18*SIN(2*PI()*(Scenario_Data!W39)/70))+Inputs!$C$28*EXP(-(((Scenario_Data!W39)-Inputs!$C$29)^2)/(2*Inputs!$C$31^2))*EXP(-(((Inputs!$C$6)-Inputs!$C$30)^2)/(2*Inputs!$C$32^2))+-Inputs!$C$33*EXP(-(((((Scenario_Data!W39)-Inputs!$C$34)^2)+(((Inputs!$C$6)-Inputs!$C$35)^2))/(2*Inputs!$C$36^2)))+Inputs!$C$37*(0.55*SIN(2*PI()*(Scenario_Data!W39)/Inputs!$C$39)+0.35*COS(2*PI()*(Inputs!$C$6)/Inputs!$C$40)+0.2*SIN(2*PI()*((Scenario_Data!W39)+(Inputs!$C$6))/(0.5*(Inputs!$C$39+Inputs!$C$40))))+Inputs!$C$38*SIN(2*PI()*(Scenario_Data!W39)/Inputs!$C$39)*SIN(2*PI()*(Inputs!$C$6)/Inputs!$C$40)+-Inputs!$C$41*EXP(-(((Inputs!$C$6)-Inputs!$C$43)^2)/(2*Inputs!$C$44^2))*EXP(-(((Scenario_Data!W39)-Inputs!$C$42)^2)/(2*Inputs!$C$45^2))+Inputs!$C$48*(0.7*(0.45*SIN(2*PI()*(((Scenario_Data!W39)/Inputs!$C$49)+Inputs!$C$47*0.137))+0.35*COS(2*PI()*(((Inputs!$C$6)/Inputs!$C$50)+Inputs!$C$47*0.173))+0.2*SIN(2*PI()*((((Scenario_Data!W39)+(Inputs!$C$6))/(0.5*(Inputs!$C$49+Inputs!$C$50)))+Inputs!$C$47*0.097)))+0.3*(2*((SIN(((Scenario_Data!W39)*12.9898+(Inputs!$C$6)*78.233+Inputs!$C$47*37.719))*43758.5453)-INT((SIN(((Scenario_Data!W39)*12.9898+(Inputs!$C$6)*78.233+Inputs!$C$47*37.719))*43758.5453)))-1))))/1000))^2-2*(Inputs!$C$52+(Scenario_Data!E39))*(Inputs!$C$52+((IF(OR(Inputs!$C$27=TRUE,Inputs!$C$27="TRUE",Inputs!$C$27=1),1,0)*(Inputs!$C$51*(115*EXP(-(((Inputs!$C$6)-25)^2)/(4.5^2))+70*EXP(-(((Inputs!$C$6)+38)^2)/(7^2))*(0.55+0.45*SIN(2*PI()*(Scenario_Data!W39)/45))+24*SIN(2*PI()*(Inputs!$C$6)/9+(Scenario_Data!W39)/18)*EXP(-(((Inputs!$C$6)+5)^2)/(22^2))+18*SIN(2*PI()*(Scenario_Data!W39)/70))+Inputs!$C$28*EXP(-(((Scenario_Data!W39)-Inputs!$C$29)^2)/(2*Inputs!$C$31^2))*EXP(-(((Inputs!$C$6)-Inputs!$C$30)^2)/(2*Inputs!$C$32^2))+-Inputs!$C$33*EXP(-(((((Scenario_Data!W39)-Inputs!$C$34)^2)+(((Inputs!$C$6)-Inputs!$C$35)^2))/(2*Inputs!$C$36^2)))+Inputs!$C$37*(0.55*SIN(2*PI()*(Scenario_Data!W39)/Inputs!$C$39)+0.35*COS(2*PI()*(Inputs!$C$6)/Inputs!$C$40)+0.2*SIN(2*PI()*((Scenario_Data!W39)+(Inputs!$C$6))/(0.5*(Inputs!$C$39+Inputs!$C$40))))+Inputs!$C$38*SIN(2*PI()*(Scenario_Data!W39)/Inputs!$C$39)*SIN(2*PI()*(Inputs!$C$6)/Inputs!$C$40)+-Inputs!$C$41*EXP(-(((Inputs!$C$6)-Inputs!$C$43)^2)/(2*Inputs!$C$44^2))*EXP(-(((Scenario_Data!W39)-Inputs!$C$42)^2)/(2*Inputs!$C$45^2))+Inputs!$C$48*(0.7*(0.45*SIN(2*PI()*(((Scenario_Data!W39)/Inputs!$C$49)+Inputs!$C$47*0.137))+0.35*COS(2*PI()*(((Inputs!$C$6)/Inputs!$C$50)+Inputs!$C$47*0.173))+0.2*SIN(2*PI()*((((Scenario_Data!W39)+(Inputs!$C$6))/(0.5*(Inputs!$C$49+Inputs!$C$50)))+Inputs!$C$47*0.097)))+0.3*(2*((SIN(((Scenario_Data!W39)*12.9898+(Inputs!$C$6)*78.233+Inputs!$C$47*37.719))*43758.5453)-INT((SIN(((Scenario_Data!W39)*12.9898+(Inputs!$C$6)*78.233+Inputs!$C$47*37.719))*43758.5453)))-1))))/1000))*COS(SQRT((Scenario_Data!W39)^2+Inputs!$C$6^2)/Inputs!$C$52))*1000)/Inputs!$C$21*1000000</f>
        <v/>
      </c>
    </row>
    <row r="40">
      <c r="A40">
        <f>Chart_Data!K40</f>
        <v/>
      </c>
      <c r="B40">
        <f>Chart_Data!N40-Chart_Data!L40</f>
        <v/>
      </c>
      <c r="D40">
        <f>Chart_Data!G40</f>
        <v/>
      </c>
      <c r="E40">
        <f>Chart_Data!H40</f>
        <v/>
      </c>
      <c r="F40">
        <f>Chart_Data!I40</f>
        <v/>
      </c>
      <c r="G40">
        <f>Chart_Data!J40</f>
        <v/>
      </c>
      <c r="I40">
        <f>Scenario_Data!A40</f>
        <v/>
      </c>
      <c r="J40">
        <f>Scenario_Data!H40-(((SQRT((Inputs!$C$52+(Inputs!$H$6))^2+Inputs!$C$52^2-2*(Inputs!$C$52+(Inputs!$H$6))*Inputs!$C$52*COS(SQRT((Scenario_Data!T40)^2+Inputs!$C$6^2)/Inputs!$C$52)))-(Inputs!$H$6))*1000/Inputs!$C$12)</f>
        <v/>
      </c>
      <c r="K40">
        <f>Scenario_Data!I40-(((SQRT((Inputs!$C$52+(Inputs!$H$7))^2+Inputs!$C$52^2-2*(Inputs!$C$52+(Inputs!$H$7))*Inputs!$C$52*COS(SQRT((Scenario_Data!U40)^2+Inputs!$C$6^2)/Inputs!$C$52)))-(Inputs!$H$7))*1000/Inputs!$C$12)</f>
        <v/>
      </c>
      <c r="L40">
        <f>Scenario_Data!J40-(((SQRT((Inputs!$C$52+(Inputs!$H$8))^2+Inputs!$C$52^2-2*(Inputs!$C$52+(Inputs!$H$8))*Inputs!$C$52*COS(SQRT((Scenario_Data!V40)^2+Inputs!$C$6^2)/Inputs!$C$52)))-(Inputs!$H$8))*1000/Inputs!$C$12)</f>
        <v/>
      </c>
      <c r="M40">
        <f>Scenario_Data!K40-(((SQRT((Inputs!$C$52+(Inputs!$H$9))^2+Inputs!$C$52^2-2*(Inputs!$C$52+(Inputs!$H$9))*Inputs!$C$52*COS(SQRT((Scenario_Data!W40)^2+Inputs!$C$6^2)/Inputs!$C$52)))-(Inputs!$H$9))*1000/Inputs!$C$12)</f>
        <v/>
      </c>
      <c r="O40">
        <f>Scenario_Data!T40</f>
        <v/>
      </c>
      <c r="P40">
        <f>2*(Scenario_Data!B40*1000)/Inputs!$C$21*1000000</f>
        <v/>
      </c>
      <c r="Q40">
        <f>Scenario_Data!U40</f>
        <v/>
      </c>
      <c r="R40">
        <f>2*(Scenario_Data!C40*1000)/Inputs!$C$21*1000000</f>
        <v/>
      </c>
      <c r="S40">
        <f>Scenario_Data!V40</f>
        <v/>
      </c>
      <c r="T40">
        <f>2*(Scenario_Data!D40*1000)/Inputs!$C$21*1000000</f>
        <v/>
      </c>
      <c r="U40">
        <f>Scenario_Data!W40</f>
        <v/>
      </c>
      <c r="V40">
        <f>2*(Scenario_Data!E40*1000)/Inputs!$C$21*1000000</f>
        <v/>
      </c>
      <c r="X40">
        <f>Scenario_Data!T40</f>
        <v/>
      </c>
      <c r="Y40">
        <f>2*((Scenario_Data!B40*1000)-(IF(OR(Inputs!$C$27=TRUE,Inputs!$C$27="TRUE",Inputs!$C$27=1),1,0)*(Inputs!$C$51*(115*EXP(-(((0)-25)^2)/(4.5^2))+70*EXP(-(((0)+38)^2)/(7^2))*(0.55+0.45*SIN(2*PI()*(Scenario_Data!T40)/45))+24*SIN(2*PI()*(0)/9+(Scenario_Data!T40)/18)*EXP(-(((0)+5)^2)/(22^2))+18*SIN(2*PI()*(Scenario_Data!T40)/70))+Inputs!$C$28*EXP(-(((Scenario_Data!T40)-Inputs!$C$29)^2)/(2*Inputs!$C$31^2))*EXP(-(((0)-Inputs!$C$30)^2)/(2*Inputs!$C$32^2))+-Inputs!$C$33*EXP(-(((((Scenario_Data!T40)-Inputs!$C$34)^2)+(((0)-Inputs!$C$35)^2))/(2*Inputs!$C$36^2)))+Inputs!$C$37*(0.55*SIN(2*PI()*(Scenario_Data!T40)/Inputs!$C$39)+0.35*COS(2*PI()*(0)/Inputs!$C$40)+0.2*SIN(2*PI()*((Scenario_Data!T40)+(0))/(0.5*(Inputs!$C$39+Inputs!$C$40))))+Inputs!$C$38*SIN(2*PI()*(Scenario_Data!T40)/Inputs!$C$39)*SIN(2*PI()*(0)/Inputs!$C$40)+-Inputs!$C$41*EXP(-(((0)-Inputs!$C$43)^2)/(2*Inputs!$C$44^2))*EXP(-(((Scenario_Data!T40)-Inputs!$C$42)^2)/(2*Inputs!$C$45^2))+Inputs!$C$48*(0.7*(0.45*SIN(2*PI()*(((Scenario_Data!T40)/Inputs!$C$49)+Inputs!$C$47*0.137))+0.35*COS(2*PI()*(((0)/Inputs!$C$50)+Inputs!$C$47*0.173))+0.2*SIN(2*PI()*((((Scenario_Data!T40)+(0))/(0.5*(Inputs!$C$49+Inputs!$C$50)))+Inputs!$C$47*0.097)))+0.3*(2*((SIN(((Scenario_Data!T40)*12.9898+(0)*78.233+Inputs!$C$47*37.719))*43758.5453)-INT((SIN(((Scenario_Data!T40)*12.9898+(0)*78.233+Inputs!$C$47*37.719))*43758.5453)))-1)))))/Inputs!$C$21*1000000</f>
        <v/>
      </c>
      <c r="Z40">
        <f>Scenario_Data!U40</f>
        <v/>
      </c>
      <c r="AA40">
        <f>2*((Scenario_Data!C40*1000)-(IF(OR(Inputs!$C$27=TRUE,Inputs!$C$27="TRUE",Inputs!$C$27=1),1,0)*(Inputs!$C$51*(115*EXP(-(((0)-25)^2)/(4.5^2))+70*EXP(-(((0)+38)^2)/(7^2))*(0.55+0.45*SIN(2*PI()*(Scenario_Data!U40)/45))+24*SIN(2*PI()*(0)/9+(Scenario_Data!U40)/18)*EXP(-(((0)+5)^2)/(22^2))+18*SIN(2*PI()*(Scenario_Data!U40)/70))+Inputs!$C$28*EXP(-(((Scenario_Data!U40)-Inputs!$C$29)^2)/(2*Inputs!$C$31^2))*EXP(-(((0)-Inputs!$C$30)^2)/(2*Inputs!$C$32^2))+-Inputs!$C$33*EXP(-(((((Scenario_Data!U40)-Inputs!$C$34)^2)+(((0)-Inputs!$C$35)^2))/(2*Inputs!$C$36^2)))+Inputs!$C$37*(0.55*SIN(2*PI()*(Scenario_Data!U40)/Inputs!$C$39)+0.35*COS(2*PI()*(0)/Inputs!$C$40)+0.2*SIN(2*PI()*((Scenario_Data!U40)+(0))/(0.5*(Inputs!$C$39+Inputs!$C$40))))+Inputs!$C$38*SIN(2*PI()*(Scenario_Data!U40)/Inputs!$C$39)*SIN(2*PI()*(0)/Inputs!$C$40)+-Inputs!$C$41*EXP(-(((0)-Inputs!$C$43)^2)/(2*Inputs!$C$44^2))*EXP(-(((Scenario_Data!U40)-Inputs!$C$42)^2)/(2*Inputs!$C$45^2))+Inputs!$C$48*(0.7*(0.45*SIN(2*PI()*(((Scenario_Data!U40)/Inputs!$C$49)+Inputs!$C$47*0.137))+0.35*COS(2*PI()*(((0)/Inputs!$C$50)+Inputs!$C$47*0.173))+0.2*SIN(2*PI()*((((Scenario_Data!U40)+(0))/(0.5*(Inputs!$C$49+Inputs!$C$50)))+Inputs!$C$47*0.097)))+0.3*(2*((SIN(((Scenario_Data!U40)*12.9898+(0)*78.233+Inputs!$C$47*37.719))*43758.5453)-INT((SIN(((Scenario_Data!U40)*12.9898+(0)*78.233+Inputs!$C$47*37.719))*43758.5453)))-1)))))/Inputs!$C$21*1000000</f>
        <v/>
      </c>
      <c r="AB40">
        <f>Scenario_Data!V40</f>
        <v/>
      </c>
      <c r="AC40">
        <f>2*((Scenario_Data!D40*1000)-(IF(OR(Inputs!$C$27=TRUE,Inputs!$C$27="TRUE",Inputs!$C$27=1),1,0)*(Inputs!$C$51*(115*EXP(-(((0)-25)^2)/(4.5^2))+70*EXP(-(((0)+38)^2)/(7^2))*(0.55+0.45*SIN(2*PI()*(Scenario_Data!V40)/45))+24*SIN(2*PI()*(0)/9+(Scenario_Data!V40)/18)*EXP(-(((0)+5)^2)/(22^2))+18*SIN(2*PI()*(Scenario_Data!V40)/70))+Inputs!$C$28*EXP(-(((Scenario_Data!V40)-Inputs!$C$29)^2)/(2*Inputs!$C$31^2))*EXP(-(((0)-Inputs!$C$30)^2)/(2*Inputs!$C$32^2))+-Inputs!$C$33*EXP(-(((((Scenario_Data!V40)-Inputs!$C$34)^2)+(((0)-Inputs!$C$35)^2))/(2*Inputs!$C$36^2)))+Inputs!$C$37*(0.55*SIN(2*PI()*(Scenario_Data!V40)/Inputs!$C$39)+0.35*COS(2*PI()*(0)/Inputs!$C$40)+0.2*SIN(2*PI()*((Scenario_Data!V40)+(0))/(0.5*(Inputs!$C$39+Inputs!$C$40))))+Inputs!$C$38*SIN(2*PI()*(Scenario_Data!V40)/Inputs!$C$39)*SIN(2*PI()*(0)/Inputs!$C$40)+-Inputs!$C$41*EXP(-(((0)-Inputs!$C$43)^2)/(2*Inputs!$C$44^2))*EXP(-(((Scenario_Data!V40)-Inputs!$C$42)^2)/(2*Inputs!$C$45^2))+Inputs!$C$48*(0.7*(0.45*SIN(2*PI()*(((Scenario_Data!V40)/Inputs!$C$49)+Inputs!$C$47*0.137))+0.35*COS(2*PI()*(((0)/Inputs!$C$50)+Inputs!$C$47*0.173))+0.2*SIN(2*PI()*((((Scenario_Data!V40)+(0))/(0.5*(Inputs!$C$49+Inputs!$C$50)))+Inputs!$C$47*0.097)))+0.3*(2*((SIN(((Scenario_Data!V40)*12.9898+(0)*78.233+Inputs!$C$47*37.719))*43758.5453)-INT((SIN(((Scenario_Data!V40)*12.9898+(0)*78.233+Inputs!$C$47*37.719))*43758.5453)))-1)))))/Inputs!$C$21*1000000</f>
        <v/>
      </c>
      <c r="AD40">
        <f>Scenario_Data!W40</f>
        <v/>
      </c>
      <c r="AE40">
        <f>2*((Scenario_Data!E40*1000)-(IF(OR(Inputs!$C$27=TRUE,Inputs!$C$27="TRUE",Inputs!$C$27=1),1,0)*(Inputs!$C$51*(115*EXP(-(((0)-25)^2)/(4.5^2))+70*EXP(-(((0)+38)^2)/(7^2))*(0.55+0.45*SIN(2*PI()*(Scenario_Data!W40)/45))+24*SIN(2*PI()*(0)/9+(Scenario_Data!W40)/18)*EXP(-(((0)+5)^2)/(22^2))+18*SIN(2*PI()*(Scenario_Data!W40)/70))+Inputs!$C$28*EXP(-(((Scenario_Data!W40)-Inputs!$C$29)^2)/(2*Inputs!$C$31^2))*EXP(-(((0)-Inputs!$C$30)^2)/(2*Inputs!$C$32^2))+-Inputs!$C$33*EXP(-(((((Scenario_Data!W40)-Inputs!$C$34)^2)+(((0)-Inputs!$C$35)^2))/(2*Inputs!$C$36^2)))+Inputs!$C$37*(0.55*SIN(2*PI()*(Scenario_Data!W40)/Inputs!$C$39)+0.35*COS(2*PI()*(0)/Inputs!$C$40)+0.2*SIN(2*PI()*((Scenario_Data!W40)+(0))/(0.5*(Inputs!$C$39+Inputs!$C$40))))+Inputs!$C$38*SIN(2*PI()*(Scenario_Data!W40)/Inputs!$C$39)*SIN(2*PI()*(0)/Inputs!$C$40)+-Inputs!$C$41*EXP(-(((0)-Inputs!$C$43)^2)/(2*Inputs!$C$44^2))*EXP(-(((Scenario_Data!W40)-Inputs!$C$42)^2)/(2*Inputs!$C$45^2))+Inputs!$C$48*(0.7*(0.45*SIN(2*PI()*(((Scenario_Data!W40)/Inputs!$C$49)+Inputs!$C$47*0.137))+0.35*COS(2*PI()*(((0)/Inputs!$C$50)+Inputs!$C$47*0.173))+0.2*SIN(2*PI()*((((Scenario_Data!W40)+(0))/(0.5*(Inputs!$C$49+Inputs!$C$50)))+Inputs!$C$47*0.097)))+0.3*(2*((SIN(((Scenario_Data!W40)*12.9898+(0)*78.233+Inputs!$C$47*37.719))*43758.5453)-INT((SIN(((Scenario_Data!W40)*12.9898+(0)*78.233+Inputs!$C$47*37.719))*43758.5453)))-1)))))/Inputs!$C$21*1000000</f>
        <v/>
      </c>
      <c r="AG40">
        <f>Scenario_Data!T40</f>
        <v/>
      </c>
      <c r="AH40">
        <f>2*(SQRT((Inputs!$C$52+(Scenario_Data!B40))^2+Inputs!$C$52^2-2*(Inputs!$C$52+(Scenario_Data!B40))*Inputs!$C$52*COS(SQRT((Scenario_Data!T40)^2+Inputs!$C$6^2)/Inputs!$C$52))*1000)/Inputs!$C$21*1000000</f>
        <v/>
      </c>
      <c r="AI40">
        <f>Scenario_Data!U40</f>
        <v/>
      </c>
      <c r="AJ40">
        <f>2*(SQRT((Inputs!$C$52+(Scenario_Data!C40))^2+Inputs!$C$52^2-2*(Inputs!$C$52+(Scenario_Data!C40))*Inputs!$C$52*COS(SQRT((Scenario_Data!U40)^2+Inputs!$C$6^2)/Inputs!$C$52))*1000)/Inputs!$C$21*1000000</f>
        <v/>
      </c>
      <c r="AK40">
        <f>Scenario_Data!V40</f>
        <v/>
      </c>
      <c r="AL40">
        <f>2*(SQRT((Inputs!$C$52+(Scenario_Data!D40))^2+Inputs!$C$52^2-2*(Inputs!$C$52+(Scenario_Data!D40))*Inputs!$C$52*COS(SQRT((Scenario_Data!V40)^2+Inputs!$C$6^2)/Inputs!$C$52))*1000)/Inputs!$C$21*1000000</f>
        <v/>
      </c>
      <c r="AM40">
        <f>Scenario_Data!W40</f>
        <v/>
      </c>
      <c r="AN40">
        <f>2*(SQRT((Inputs!$C$52+(Scenario_Data!E40))^2+Inputs!$C$52^2-2*(Inputs!$C$52+(Scenario_Data!E40))*Inputs!$C$52*COS(SQRT((Scenario_Data!W40)^2+Inputs!$C$6^2)/Inputs!$C$52))*1000)/Inputs!$C$21*1000000</f>
        <v/>
      </c>
      <c r="AP40">
        <f>Scenario_Data!T40</f>
        <v/>
      </c>
      <c r="AQ40">
        <f>2*(SQRT((Inputs!$C$52+(Scenario_Data!B40))^2+(Inputs!$C$52+((IF(OR(Inputs!$C$27=TRUE,Inputs!$C$27="TRUE",Inputs!$C$27=1),1,0)*(Inputs!$C$51*(115*EXP(-(((Inputs!$C$6)-25)^2)/(4.5^2))+70*EXP(-(((Inputs!$C$6)+38)^2)/(7^2))*(0.55+0.45*SIN(2*PI()*(Scenario_Data!T40)/45))+24*SIN(2*PI()*(Inputs!$C$6)/9+(Scenario_Data!T40)/18)*EXP(-(((Inputs!$C$6)+5)^2)/(22^2))+18*SIN(2*PI()*(Scenario_Data!T40)/70))+Inputs!$C$28*EXP(-(((Scenario_Data!T40)-Inputs!$C$29)^2)/(2*Inputs!$C$31^2))*EXP(-(((Inputs!$C$6)-Inputs!$C$30)^2)/(2*Inputs!$C$32^2))+-Inputs!$C$33*EXP(-(((((Scenario_Data!T40)-Inputs!$C$34)^2)+(((Inputs!$C$6)-Inputs!$C$35)^2))/(2*Inputs!$C$36^2)))+Inputs!$C$37*(0.55*SIN(2*PI()*(Scenario_Data!T40)/Inputs!$C$39)+0.35*COS(2*PI()*(Inputs!$C$6)/Inputs!$C$40)+0.2*SIN(2*PI()*((Scenario_Data!T40)+(Inputs!$C$6))/(0.5*(Inputs!$C$39+Inputs!$C$40))))+Inputs!$C$38*SIN(2*PI()*(Scenario_Data!T40)/Inputs!$C$39)*SIN(2*PI()*(Inputs!$C$6)/Inputs!$C$40)+-Inputs!$C$41*EXP(-(((Inputs!$C$6)-Inputs!$C$43)^2)/(2*Inputs!$C$44^2))*EXP(-(((Scenario_Data!T40)-Inputs!$C$42)^2)/(2*Inputs!$C$45^2))+Inputs!$C$48*(0.7*(0.45*SIN(2*PI()*(((Scenario_Data!T40)/Inputs!$C$49)+Inputs!$C$47*0.137))+0.35*COS(2*PI()*(((Inputs!$C$6)/Inputs!$C$50)+Inputs!$C$47*0.173))+0.2*SIN(2*PI()*((((Scenario_Data!T40)+(Inputs!$C$6))/(0.5*(Inputs!$C$49+Inputs!$C$50)))+Inputs!$C$47*0.097)))+0.3*(2*((SIN(((Scenario_Data!T40)*12.9898+(Inputs!$C$6)*78.233+Inputs!$C$47*37.719))*43758.5453)-INT((SIN(((Scenario_Data!T40)*12.9898+(Inputs!$C$6)*78.233+Inputs!$C$47*37.719))*43758.5453)))-1))))/1000))^2-2*(Inputs!$C$52+(Scenario_Data!B40))*(Inputs!$C$52+((IF(OR(Inputs!$C$27=TRUE,Inputs!$C$27="TRUE",Inputs!$C$27=1),1,0)*(Inputs!$C$51*(115*EXP(-(((Inputs!$C$6)-25)^2)/(4.5^2))+70*EXP(-(((Inputs!$C$6)+38)^2)/(7^2))*(0.55+0.45*SIN(2*PI()*(Scenario_Data!T40)/45))+24*SIN(2*PI()*(Inputs!$C$6)/9+(Scenario_Data!T40)/18)*EXP(-(((Inputs!$C$6)+5)^2)/(22^2))+18*SIN(2*PI()*(Scenario_Data!T40)/70))+Inputs!$C$28*EXP(-(((Scenario_Data!T40)-Inputs!$C$29)^2)/(2*Inputs!$C$31^2))*EXP(-(((Inputs!$C$6)-Inputs!$C$30)^2)/(2*Inputs!$C$32^2))+-Inputs!$C$33*EXP(-(((((Scenario_Data!T40)-Inputs!$C$34)^2)+(((Inputs!$C$6)-Inputs!$C$35)^2))/(2*Inputs!$C$36^2)))+Inputs!$C$37*(0.55*SIN(2*PI()*(Scenario_Data!T40)/Inputs!$C$39)+0.35*COS(2*PI()*(Inputs!$C$6)/Inputs!$C$40)+0.2*SIN(2*PI()*((Scenario_Data!T40)+(Inputs!$C$6))/(0.5*(Inputs!$C$39+Inputs!$C$40))))+Inputs!$C$38*SIN(2*PI()*(Scenario_Data!T40)/Inputs!$C$39)*SIN(2*PI()*(Inputs!$C$6)/Inputs!$C$40)+-Inputs!$C$41*EXP(-(((Inputs!$C$6)-Inputs!$C$43)^2)/(2*Inputs!$C$44^2))*EXP(-(((Scenario_Data!T40)-Inputs!$C$42)^2)/(2*Inputs!$C$45^2))+Inputs!$C$48*(0.7*(0.45*SIN(2*PI()*(((Scenario_Data!T40)/Inputs!$C$49)+Inputs!$C$47*0.137))+0.35*COS(2*PI()*(((Inputs!$C$6)/Inputs!$C$50)+Inputs!$C$47*0.173))+0.2*SIN(2*PI()*((((Scenario_Data!T40)+(Inputs!$C$6))/(0.5*(Inputs!$C$49+Inputs!$C$50)))+Inputs!$C$47*0.097)))+0.3*(2*((SIN(((Scenario_Data!T40)*12.9898+(Inputs!$C$6)*78.233+Inputs!$C$47*37.719))*43758.5453)-INT((SIN(((Scenario_Data!T40)*12.9898+(Inputs!$C$6)*78.233+Inputs!$C$47*37.719))*43758.5453)))-1))))/1000))*COS(SQRT((Scenario_Data!T40)^2+Inputs!$C$6^2)/Inputs!$C$52))*1000)/Inputs!$C$21*1000000</f>
        <v/>
      </c>
      <c r="AR40">
        <f>Scenario_Data!U40</f>
        <v/>
      </c>
      <c r="AS40">
        <f>2*(SQRT((Inputs!$C$52+(Scenario_Data!C40))^2+(Inputs!$C$52+((IF(OR(Inputs!$C$27=TRUE,Inputs!$C$27="TRUE",Inputs!$C$27=1),1,0)*(Inputs!$C$51*(115*EXP(-(((Inputs!$C$6)-25)^2)/(4.5^2))+70*EXP(-(((Inputs!$C$6)+38)^2)/(7^2))*(0.55+0.45*SIN(2*PI()*(Scenario_Data!U40)/45))+24*SIN(2*PI()*(Inputs!$C$6)/9+(Scenario_Data!U40)/18)*EXP(-(((Inputs!$C$6)+5)^2)/(22^2))+18*SIN(2*PI()*(Scenario_Data!U40)/70))+Inputs!$C$28*EXP(-(((Scenario_Data!U40)-Inputs!$C$29)^2)/(2*Inputs!$C$31^2))*EXP(-(((Inputs!$C$6)-Inputs!$C$30)^2)/(2*Inputs!$C$32^2))+-Inputs!$C$33*EXP(-(((((Scenario_Data!U40)-Inputs!$C$34)^2)+(((Inputs!$C$6)-Inputs!$C$35)^2))/(2*Inputs!$C$36^2)))+Inputs!$C$37*(0.55*SIN(2*PI()*(Scenario_Data!U40)/Inputs!$C$39)+0.35*COS(2*PI()*(Inputs!$C$6)/Inputs!$C$40)+0.2*SIN(2*PI()*((Scenario_Data!U40)+(Inputs!$C$6))/(0.5*(Inputs!$C$39+Inputs!$C$40))))+Inputs!$C$38*SIN(2*PI()*(Scenario_Data!U40)/Inputs!$C$39)*SIN(2*PI()*(Inputs!$C$6)/Inputs!$C$40)+-Inputs!$C$41*EXP(-(((Inputs!$C$6)-Inputs!$C$43)^2)/(2*Inputs!$C$44^2))*EXP(-(((Scenario_Data!U40)-Inputs!$C$42)^2)/(2*Inputs!$C$45^2))+Inputs!$C$48*(0.7*(0.45*SIN(2*PI()*(((Scenario_Data!U40)/Inputs!$C$49)+Inputs!$C$47*0.137))+0.35*COS(2*PI()*(((Inputs!$C$6)/Inputs!$C$50)+Inputs!$C$47*0.173))+0.2*SIN(2*PI()*((((Scenario_Data!U40)+(Inputs!$C$6))/(0.5*(Inputs!$C$49+Inputs!$C$50)))+Inputs!$C$47*0.097)))+0.3*(2*((SIN(((Scenario_Data!U40)*12.9898+(Inputs!$C$6)*78.233+Inputs!$C$47*37.719))*43758.5453)-INT((SIN(((Scenario_Data!U40)*12.9898+(Inputs!$C$6)*78.233+Inputs!$C$47*37.719))*43758.5453)))-1))))/1000))^2-2*(Inputs!$C$52+(Scenario_Data!C40))*(Inputs!$C$52+((IF(OR(Inputs!$C$27=TRUE,Inputs!$C$27="TRUE",Inputs!$C$27=1),1,0)*(Inputs!$C$51*(115*EXP(-(((Inputs!$C$6)-25)^2)/(4.5^2))+70*EXP(-(((Inputs!$C$6)+38)^2)/(7^2))*(0.55+0.45*SIN(2*PI()*(Scenario_Data!U40)/45))+24*SIN(2*PI()*(Inputs!$C$6)/9+(Scenario_Data!U40)/18)*EXP(-(((Inputs!$C$6)+5)^2)/(22^2))+18*SIN(2*PI()*(Scenario_Data!U40)/70))+Inputs!$C$28*EXP(-(((Scenario_Data!U40)-Inputs!$C$29)^2)/(2*Inputs!$C$31^2))*EXP(-(((Inputs!$C$6)-Inputs!$C$30)^2)/(2*Inputs!$C$32^2))+-Inputs!$C$33*EXP(-(((((Scenario_Data!U40)-Inputs!$C$34)^2)+(((Inputs!$C$6)-Inputs!$C$35)^2))/(2*Inputs!$C$36^2)))+Inputs!$C$37*(0.55*SIN(2*PI()*(Scenario_Data!U40)/Inputs!$C$39)+0.35*COS(2*PI()*(Inputs!$C$6)/Inputs!$C$40)+0.2*SIN(2*PI()*((Scenario_Data!U40)+(Inputs!$C$6))/(0.5*(Inputs!$C$39+Inputs!$C$40))))+Inputs!$C$38*SIN(2*PI()*(Scenario_Data!U40)/Inputs!$C$39)*SIN(2*PI()*(Inputs!$C$6)/Inputs!$C$40)+-Inputs!$C$41*EXP(-(((Inputs!$C$6)-Inputs!$C$43)^2)/(2*Inputs!$C$44^2))*EXP(-(((Scenario_Data!U40)-Inputs!$C$42)^2)/(2*Inputs!$C$45^2))+Inputs!$C$48*(0.7*(0.45*SIN(2*PI()*(((Scenario_Data!U40)/Inputs!$C$49)+Inputs!$C$47*0.137))+0.35*COS(2*PI()*(((Inputs!$C$6)/Inputs!$C$50)+Inputs!$C$47*0.173))+0.2*SIN(2*PI()*((((Scenario_Data!U40)+(Inputs!$C$6))/(0.5*(Inputs!$C$49+Inputs!$C$50)))+Inputs!$C$47*0.097)))+0.3*(2*((SIN(((Scenario_Data!U40)*12.9898+(Inputs!$C$6)*78.233+Inputs!$C$47*37.719))*43758.5453)-INT((SIN(((Scenario_Data!U40)*12.9898+(Inputs!$C$6)*78.233+Inputs!$C$47*37.719))*43758.5453)))-1))))/1000))*COS(SQRT((Scenario_Data!U40)^2+Inputs!$C$6^2)/Inputs!$C$52))*1000)/Inputs!$C$21*1000000</f>
        <v/>
      </c>
      <c r="AT40">
        <f>Scenario_Data!V40</f>
        <v/>
      </c>
      <c r="AU40">
        <f>2*(SQRT((Inputs!$C$52+(Scenario_Data!D40))^2+(Inputs!$C$52+((IF(OR(Inputs!$C$27=TRUE,Inputs!$C$27="TRUE",Inputs!$C$27=1),1,0)*(Inputs!$C$51*(115*EXP(-(((Inputs!$C$6)-25)^2)/(4.5^2))+70*EXP(-(((Inputs!$C$6)+38)^2)/(7^2))*(0.55+0.45*SIN(2*PI()*(Scenario_Data!V40)/45))+24*SIN(2*PI()*(Inputs!$C$6)/9+(Scenario_Data!V40)/18)*EXP(-(((Inputs!$C$6)+5)^2)/(22^2))+18*SIN(2*PI()*(Scenario_Data!V40)/70))+Inputs!$C$28*EXP(-(((Scenario_Data!V40)-Inputs!$C$29)^2)/(2*Inputs!$C$31^2))*EXP(-(((Inputs!$C$6)-Inputs!$C$30)^2)/(2*Inputs!$C$32^2))+-Inputs!$C$33*EXP(-(((((Scenario_Data!V40)-Inputs!$C$34)^2)+(((Inputs!$C$6)-Inputs!$C$35)^2))/(2*Inputs!$C$36^2)))+Inputs!$C$37*(0.55*SIN(2*PI()*(Scenario_Data!V40)/Inputs!$C$39)+0.35*COS(2*PI()*(Inputs!$C$6)/Inputs!$C$40)+0.2*SIN(2*PI()*((Scenario_Data!V40)+(Inputs!$C$6))/(0.5*(Inputs!$C$39+Inputs!$C$40))))+Inputs!$C$38*SIN(2*PI()*(Scenario_Data!V40)/Inputs!$C$39)*SIN(2*PI()*(Inputs!$C$6)/Inputs!$C$40)+-Inputs!$C$41*EXP(-(((Inputs!$C$6)-Inputs!$C$43)^2)/(2*Inputs!$C$44^2))*EXP(-(((Scenario_Data!V40)-Inputs!$C$42)^2)/(2*Inputs!$C$45^2))+Inputs!$C$48*(0.7*(0.45*SIN(2*PI()*(((Scenario_Data!V40)/Inputs!$C$49)+Inputs!$C$47*0.137))+0.35*COS(2*PI()*(((Inputs!$C$6)/Inputs!$C$50)+Inputs!$C$47*0.173))+0.2*SIN(2*PI()*((((Scenario_Data!V40)+(Inputs!$C$6))/(0.5*(Inputs!$C$49+Inputs!$C$50)))+Inputs!$C$47*0.097)))+0.3*(2*((SIN(((Scenario_Data!V40)*12.9898+(Inputs!$C$6)*78.233+Inputs!$C$47*37.719))*43758.5453)-INT((SIN(((Scenario_Data!V40)*12.9898+(Inputs!$C$6)*78.233+Inputs!$C$47*37.719))*43758.5453)))-1))))/1000))^2-2*(Inputs!$C$52+(Scenario_Data!D40))*(Inputs!$C$52+((IF(OR(Inputs!$C$27=TRUE,Inputs!$C$27="TRUE",Inputs!$C$27=1),1,0)*(Inputs!$C$51*(115*EXP(-(((Inputs!$C$6)-25)^2)/(4.5^2))+70*EXP(-(((Inputs!$C$6)+38)^2)/(7^2))*(0.55+0.45*SIN(2*PI()*(Scenario_Data!V40)/45))+24*SIN(2*PI()*(Inputs!$C$6)/9+(Scenario_Data!V40)/18)*EXP(-(((Inputs!$C$6)+5)^2)/(22^2))+18*SIN(2*PI()*(Scenario_Data!V40)/70))+Inputs!$C$28*EXP(-(((Scenario_Data!V40)-Inputs!$C$29)^2)/(2*Inputs!$C$31^2))*EXP(-(((Inputs!$C$6)-Inputs!$C$30)^2)/(2*Inputs!$C$32^2))+-Inputs!$C$33*EXP(-(((((Scenario_Data!V40)-Inputs!$C$34)^2)+(((Inputs!$C$6)-Inputs!$C$35)^2))/(2*Inputs!$C$36^2)))+Inputs!$C$37*(0.55*SIN(2*PI()*(Scenario_Data!V40)/Inputs!$C$39)+0.35*COS(2*PI()*(Inputs!$C$6)/Inputs!$C$40)+0.2*SIN(2*PI()*((Scenario_Data!V40)+(Inputs!$C$6))/(0.5*(Inputs!$C$39+Inputs!$C$40))))+Inputs!$C$38*SIN(2*PI()*(Scenario_Data!V40)/Inputs!$C$39)*SIN(2*PI()*(Inputs!$C$6)/Inputs!$C$40)+-Inputs!$C$41*EXP(-(((Inputs!$C$6)-Inputs!$C$43)^2)/(2*Inputs!$C$44^2))*EXP(-(((Scenario_Data!V40)-Inputs!$C$42)^2)/(2*Inputs!$C$45^2))+Inputs!$C$48*(0.7*(0.45*SIN(2*PI()*(((Scenario_Data!V40)/Inputs!$C$49)+Inputs!$C$47*0.137))+0.35*COS(2*PI()*(((Inputs!$C$6)/Inputs!$C$50)+Inputs!$C$47*0.173))+0.2*SIN(2*PI()*((((Scenario_Data!V40)+(Inputs!$C$6))/(0.5*(Inputs!$C$49+Inputs!$C$50)))+Inputs!$C$47*0.097)))+0.3*(2*((SIN(((Scenario_Data!V40)*12.9898+(Inputs!$C$6)*78.233+Inputs!$C$47*37.719))*43758.5453)-INT((SIN(((Scenario_Data!V40)*12.9898+(Inputs!$C$6)*78.233+Inputs!$C$47*37.719))*43758.5453)))-1))))/1000))*COS(SQRT((Scenario_Data!V40)^2+Inputs!$C$6^2)/Inputs!$C$52))*1000)/Inputs!$C$21*1000000</f>
        <v/>
      </c>
      <c r="AV40">
        <f>Scenario_Data!W40</f>
        <v/>
      </c>
      <c r="AW40">
        <f>2*(SQRT((Inputs!$C$52+(Scenario_Data!E40))^2+(Inputs!$C$52+((IF(OR(Inputs!$C$27=TRUE,Inputs!$C$27="TRUE",Inputs!$C$27=1),1,0)*(Inputs!$C$51*(115*EXP(-(((Inputs!$C$6)-25)^2)/(4.5^2))+70*EXP(-(((Inputs!$C$6)+38)^2)/(7^2))*(0.55+0.45*SIN(2*PI()*(Scenario_Data!W40)/45))+24*SIN(2*PI()*(Inputs!$C$6)/9+(Scenario_Data!W40)/18)*EXP(-(((Inputs!$C$6)+5)^2)/(22^2))+18*SIN(2*PI()*(Scenario_Data!W40)/70))+Inputs!$C$28*EXP(-(((Scenario_Data!W40)-Inputs!$C$29)^2)/(2*Inputs!$C$31^2))*EXP(-(((Inputs!$C$6)-Inputs!$C$30)^2)/(2*Inputs!$C$32^2))+-Inputs!$C$33*EXP(-(((((Scenario_Data!W40)-Inputs!$C$34)^2)+(((Inputs!$C$6)-Inputs!$C$35)^2))/(2*Inputs!$C$36^2)))+Inputs!$C$37*(0.55*SIN(2*PI()*(Scenario_Data!W40)/Inputs!$C$39)+0.35*COS(2*PI()*(Inputs!$C$6)/Inputs!$C$40)+0.2*SIN(2*PI()*((Scenario_Data!W40)+(Inputs!$C$6))/(0.5*(Inputs!$C$39+Inputs!$C$40))))+Inputs!$C$38*SIN(2*PI()*(Scenario_Data!W40)/Inputs!$C$39)*SIN(2*PI()*(Inputs!$C$6)/Inputs!$C$40)+-Inputs!$C$41*EXP(-(((Inputs!$C$6)-Inputs!$C$43)^2)/(2*Inputs!$C$44^2))*EXP(-(((Scenario_Data!W40)-Inputs!$C$42)^2)/(2*Inputs!$C$45^2))+Inputs!$C$48*(0.7*(0.45*SIN(2*PI()*(((Scenario_Data!W40)/Inputs!$C$49)+Inputs!$C$47*0.137))+0.35*COS(2*PI()*(((Inputs!$C$6)/Inputs!$C$50)+Inputs!$C$47*0.173))+0.2*SIN(2*PI()*((((Scenario_Data!W40)+(Inputs!$C$6))/(0.5*(Inputs!$C$49+Inputs!$C$50)))+Inputs!$C$47*0.097)))+0.3*(2*((SIN(((Scenario_Data!W40)*12.9898+(Inputs!$C$6)*78.233+Inputs!$C$47*37.719))*43758.5453)-INT((SIN(((Scenario_Data!W40)*12.9898+(Inputs!$C$6)*78.233+Inputs!$C$47*37.719))*43758.5453)))-1))))/1000))^2-2*(Inputs!$C$52+(Scenario_Data!E40))*(Inputs!$C$52+((IF(OR(Inputs!$C$27=TRUE,Inputs!$C$27="TRUE",Inputs!$C$27=1),1,0)*(Inputs!$C$51*(115*EXP(-(((Inputs!$C$6)-25)^2)/(4.5^2))+70*EXP(-(((Inputs!$C$6)+38)^2)/(7^2))*(0.55+0.45*SIN(2*PI()*(Scenario_Data!W40)/45))+24*SIN(2*PI()*(Inputs!$C$6)/9+(Scenario_Data!W40)/18)*EXP(-(((Inputs!$C$6)+5)^2)/(22^2))+18*SIN(2*PI()*(Scenario_Data!W40)/70))+Inputs!$C$28*EXP(-(((Scenario_Data!W40)-Inputs!$C$29)^2)/(2*Inputs!$C$31^2))*EXP(-(((Inputs!$C$6)-Inputs!$C$30)^2)/(2*Inputs!$C$32^2))+-Inputs!$C$33*EXP(-(((((Scenario_Data!W40)-Inputs!$C$34)^2)+(((Inputs!$C$6)-Inputs!$C$35)^2))/(2*Inputs!$C$36^2)))+Inputs!$C$37*(0.55*SIN(2*PI()*(Scenario_Data!W40)/Inputs!$C$39)+0.35*COS(2*PI()*(Inputs!$C$6)/Inputs!$C$40)+0.2*SIN(2*PI()*((Scenario_Data!W40)+(Inputs!$C$6))/(0.5*(Inputs!$C$39+Inputs!$C$40))))+Inputs!$C$38*SIN(2*PI()*(Scenario_Data!W40)/Inputs!$C$39)*SIN(2*PI()*(Inputs!$C$6)/Inputs!$C$40)+-Inputs!$C$41*EXP(-(((Inputs!$C$6)-Inputs!$C$43)^2)/(2*Inputs!$C$44^2))*EXP(-(((Scenario_Data!W40)-Inputs!$C$42)^2)/(2*Inputs!$C$45^2))+Inputs!$C$48*(0.7*(0.45*SIN(2*PI()*(((Scenario_Data!W40)/Inputs!$C$49)+Inputs!$C$47*0.137))+0.35*COS(2*PI()*(((Inputs!$C$6)/Inputs!$C$50)+Inputs!$C$47*0.173))+0.2*SIN(2*PI()*((((Scenario_Data!W40)+(Inputs!$C$6))/(0.5*(Inputs!$C$49+Inputs!$C$50)))+Inputs!$C$47*0.097)))+0.3*(2*((SIN(((Scenario_Data!W40)*12.9898+(Inputs!$C$6)*78.233+Inputs!$C$47*37.719))*43758.5453)-INT((SIN(((Scenario_Data!W40)*12.9898+(Inputs!$C$6)*78.233+Inputs!$C$47*37.719))*43758.5453)))-1))))/1000))*COS(SQRT((Scenario_Data!W40)^2+Inputs!$C$6^2)/Inputs!$C$52))*1000)/Inputs!$C$21*1000000</f>
        <v/>
      </c>
    </row>
    <row r="41">
      <c r="A41">
        <f>Chart_Data!K41</f>
        <v/>
      </c>
      <c r="B41">
        <f>Chart_Data!N41-Chart_Data!L41</f>
        <v/>
      </c>
      <c r="D41">
        <f>Chart_Data!G41</f>
        <v/>
      </c>
      <c r="E41">
        <f>Chart_Data!H41</f>
        <v/>
      </c>
      <c r="F41">
        <f>Chart_Data!I41</f>
        <v/>
      </c>
      <c r="G41">
        <f>Chart_Data!J41</f>
        <v/>
      </c>
      <c r="I41">
        <f>Scenario_Data!A41</f>
        <v/>
      </c>
      <c r="J41">
        <f>Scenario_Data!H41-(((SQRT((Inputs!$C$52+(Inputs!$H$6))^2+Inputs!$C$52^2-2*(Inputs!$C$52+(Inputs!$H$6))*Inputs!$C$52*COS(SQRT((Scenario_Data!T41)^2+Inputs!$C$6^2)/Inputs!$C$52)))-(Inputs!$H$6))*1000/Inputs!$C$12)</f>
        <v/>
      </c>
      <c r="K41">
        <f>Scenario_Data!I41-(((SQRT((Inputs!$C$52+(Inputs!$H$7))^2+Inputs!$C$52^2-2*(Inputs!$C$52+(Inputs!$H$7))*Inputs!$C$52*COS(SQRT((Scenario_Data!U41)^2+Inputs!$C$6^2)/Inputs!$C$52)))-(Inputs!$H$7))*1000/Inputs!$C$12)</f>
        <v/>
      </c>
      <c r="L41">
        <f>Scenario_Data!J41-(((SQRT((Inputs!$C$52+(Inputs!$H$8))^2+Inputs!$C$52^2-2*(Inputs!$C$52+(Inputs!$H$8))*Inputs!$C$52*COS(SQRT((Scenario_Data!V41)^2+Inputs!$C$6^2)/Inputs!$C$52)))-(Inputs!$H$8))*1000/Inputs!$C$12)</f>
        <v/>
      </c>
      <c r="M41">
        <f>Scenario_Data!K41-(((SQRT((Inputs!$C$52+(Inputs!$H$9))^2+Inputs!$C$52^2-2*(Inputs!$C$52+(Inputs!$H$9))*Inputs!$C$52*COS(SQRT((Scenario_Data!W41)^2+Inputs!$C$6^2)/Inputs!$C$52)))-(Inputs!$H$9))*1000/Inputs!$C$12)</f>
        <v/>
      </c>
      <c r="O41">
        <f>Scenario_Data!T41</f>
        <v/>
      </c>
      <c r="P41">
        <f>2*(Scenario_Data!B41*1000)/Inputs!$C$21*1000000</f>
        <v/>
      </c>
      <c r="Q41">
        <f>Scenario_Data!U41</f>
        <v/>
      </c>
      <c r="R41">
        <f>2*(Scenario_Data!C41*1000)/Inputs!$C$21*1000000</f>
        <v/>
      </c>
      <c r="S41">
        <f>Scenario_Data!V41</f>
        <v/>
      </c>
      <c r="T41">
        <f>2*(Scenario_Data!D41*1000)/Inputs!$C$21*1000000</f>
        <v/>
      </c>
      <c r="U41">
        <f>Scenario_Data!W41</f>
        <v/>
      </c>
      <c r="V41">
        <f>2*(Scenario_Data!E41*1000)/Inputs!$C$21*1000000</f>
        <v/>
      </c>
      <c r="X41">
        <f>Scenario_Data!T41</f>
        <v/>
      </c>
      <c r="Y41">
        <f>2*((Scenario_Data!B41*1000)-(IF(OR(Inputs!$C$27=TRUE,Inputs!$C$27="TRUE",Inputs!$C$27=1),1,0)*(Inputs!$C$51*(115*EXP(-(((0)-25)^2)/(4.5^2))+70*EXP(-(((0)+38)^2)/(7^2))*(0.55+0.45*SIN(2*PI()*(Scenario_Data!T41)/45))+24*SIN(2*PI()*(0)/9+(Scenario_Data!T41)/18)*EXP(-(((0)+5)^2)/(22^2))+18*SIN(2*PI()*(Scenario_Data!T41)/70))+Inputs!$C$28*EXP(-(((Scenario_Data!T41)-Inputs!$C$29)^2)/(2*Inputs!$C$31^2))*EXP(-(((0)-Inputs!$C$30)^2)/(2*Inputs!$C$32^2))+-Inputs!$C$33*EXP(-(((((Scenario_Data!T41)-Inputs!$C$34)^2)+(((0)-Inputs!$C$35)^2))/(2*Inputs!$C$36^2)))+Inputs!$C$37*(0.55*SIN(2*PI()*(Scenario_Data!T41)/Inputs!$C$39)+0.35*COS(2*PI()*(0)/Inputs!$C$40)+0.2*SIN(2*PI()*((Scenario_Data!T41)+(0))/(0.5*(Inputs!$C$39+Inputs!$C$40))))+Inputs!$C$38*SIN(2*PI()*(Scenario_Data!T41)/Inputs!$C$39)*SIN(2*PI()*(0)/Inputs!$C$40)+-Inputs!$C$41*EXP(-(((0)-Inputs!$C$43)^2)/(2*Inputs!$C$44^2))*EXP(-(((Scenario_Data!T41)-Inputs!$C$42)^2)/(2*Inputs!$C$45^2))+Inputs!$C$48*(0.7*(0.45*SIN(2*PI()*(((Scenario_Data!T41)/Inputs!$C$49)+Inputs!$C$47*0.137))+0.35*COS(2*PI()*(((0)/Inputs!$C$50)+Inputs!$C$47*0.173))+0.2*SIN(2*PI()*((((Scenario_Data!T41)+(0))/(0.5*(Inputs!$C$49+Inputs!$C$50)))+Inputs!$C$47*0.097)))+0.3*(2*((SIN(((Scenario_Data!T41)*12.9898+(0)*78.233+Inputs!$C$47*37.719))*43758.5453)-INT((SIN(((Scenario_Data!T41)*12.9898+(0)*78.233+Inputs!$C$47*37.719))*43758.5453)))-1)))))/Inputs!$C$21*1000000</f>
        <v/>
      </c>
      <c r="Z41">
        <f>Scenario_Data!U41</f>
        <v/>
      </c>
      <c r="AA41">
        <f>2*((Scenario_Data!C41*1000)-(IF(OR(Inputs!$C$27=TRUE,Inputs!$C$27="TRUE",Inputs!$C$27=1),1,0)*(Inputs!$C$51*(115*EXP(-(((0)-25)^2)/(4.5^2))+70*EXP(-(((0)+38)^2)/(7^2))*(0.55+0.45*SIN(2*PI()*(Scenario_Data!U41)/45))+24*SIN(2*PI()*(0)/9+(Scenario_Data!U41)/18)*EXP(-(((0)+5)^2)/(22^2))+18*SIN(2*PI()*(Scenario_Data!U41)/70))+Inputs!$C$28*EXP(-(((Scenario_Data!U41)-Inputs!$C$29)^2)/(2*Inputs!$C$31^2))*EXP(-(((0)-Inputs!$C$30)^2)/(2*Inputs!$C$32^2))+-Inputs!$C$33*EXP(-(((((Scenario_Data!U41)-Inputs!$C$34)^2)+(((0)-Inputs!$C$35)^2))/(2*Inputs!$C$36^2)))+Inputs!$C$37*(0.55*SIN(2*PI()*(Scenario_Data!U41)/Inputs!$C$39)+0.35*COS(2*PI()*(0)/Inputs!$C$40)+0.2*SIN(2*PI()*((Scenario_Data!U41)+(0))/(0.5*(Inputs!$C$39+Inputs!$C$40))))+Inputs!$C$38*SIN(2*PI()*(Scenario_Data!U41)/Inputs!$C$39)*SIN(2*PI()*(0)/Inputs!$C$40)+-Inputs!$C$41*EXP(-(((0)-Inputs!$C$43)^2)/(2*Inputs!$C$44^2))*EXP(-(((Scenario_Data!U41)-Inputs!$C$42)^2)/(2*Inputs!$C$45^2))+Inputs!$C$48*(0.7*(0.45*SIN(2*PI()*(((Scenario_Data!U41)/Inputs!$C$49)+Inputs!$C$47*0.137))+0.35*COS(2*PI()*(((0)/Inputs!$C$50)+Inputs!$C$47*0.173))+0.2*SIN(2*PI()*((((Scenario_Data!U41)+(0))/(0.5*(Inputs!$C$49+Inputs!$C$50)))+Inputs!$C$47*0.097)))+0.3*(2*((SIN(((Scenario_Data!U41)*12.9898+(0)*78.233+Inputs!$C$47*37.719))*43758.5453)-INT((SIN(((Scenario_Data!U41)*12.9898+(0)*78.233+Inputs!$C$47*37.719))*43758.5453)))-1)))))/Inputs!$C$21*1000000</f>
        <v/>
      </c>
      <c r="AB41">
        <f>Scenario_Data!V41</f>
        <v/>
      </c>
      <c r="AC41">
        <f>2*((Scenario_Data!D41*1000)-(IF(OR(Inputs!$C$27=TRUE,Inputs!$C$27="TRUE",Inputs!$C$27=1),1,0)*(Inputs!$C$51*(115*EXP(-(((0)-25)^2)/(4.5^2))+70*EXP(-(((0)+38)^2)/(7^2))*(0.55+0.45*SIN(2*PI()*(Scenario_Data!V41)/45))+24*SIN(2*PI()*(0)/9+(Scenario_Data!V41)/18)*EXP(-(((0)+5)^2)/(22^2))+18*SIN(2*PI()*(Scenario_Data!V41)/70))+Inputs!$C$28*EXP(-(((Scenario_Data!V41)-Inputs!$C$29)^2)/(2*Inputs!$C$31^2))*EXP(-(((0)-Inputs!$C$30)^2)/(2*Inputs!$C$32^2))+-Inputs!$C$33*EXP(-(((((Scenario_Data!V41)-Inputs!$C$34)^2)+(((0)-Inputs!$C$35)^2))/(2*Inputs!$C$36^2)))+Inputs!$C$37*(0.55*SIN(2*PI()*(Scenario_Data!V41)/Inputs!$C$39)+0.35*COS(2*PI()*(0)/Inputs!$C$40)+0.2*SIN(2*PI()*((Scenario_Data!V41)+(0))/(0.5*(Inputs!$C$39+Inputs!$C$40))))+Inputs!$C$38*SIN(2*PI()*(Scenario_Data!V41)/Inputs!$C$39)*SIN(2*PI()*(0)/Inputs!$C$40)+-Inputs!$C$41*EXP(-(((0)-Inputs!$C$43)^2)/(2*Inputs!$C$44^2))*EXP(-(((Scenario_Data!V41)-Inputs!$C$42)^2)/(2*Inputs!$C$45^2))+Inputs!$C$48*(0.7*(0.45*SIN(2*PI()*(((Scenario_Data!V41)/Inputs!$C$49)+Inputs!$C$47*0.137))+0.35*COS(2*PI()*(((0)/Inputs!$C$50)+Inputs!$C$47*0.173))+0.2*SIN(2*PI()*((((Scenario_Data!V41)+(0))/(0.5*(Inputs!$C$49+Inputs!$C$50)))+Inputs!$C$47*0.097)))+0.3*(2*((SIN(((Scenario_Data!V41)*12.9898+(0)*78.233+Inputs!$C$47*37.719))*43758.5453)-INT((SIN(((Scenario_Data!V41)*12.9898+(0)*78.233+Inputs!$C$47*37.719))*43758.5453)))-1)))))/Inputs!$C$21*1000000</f>
        <v/>
      </c>
      <c r="AD41">
        <f>Scenario_Data!W41</f>
        <v/>
      </c>
      <c r="AE41">
        <f>2*((Scenario_Data!E41*1000)-(IF(OR(Inputs!$C$27=TRUE,Inputs!$C$27="TRUE",Inputs!$C$27=1),1,0)*(Inputs!$C$51*(115*EXP(-(((0)-25)^2)/(4.5^2))+70*EXP(-(((0)+38)^2)/(7^2))*(0.55+0.45*SIN(2*PI()*(Scenario_Data!W41)/45))+24*SIN(2*PI()*(0)/9+(Scenario_Data!W41)/18)*EXP(-(((0)+5)^2)/(22^2))+18*SIN(2*PI()*(Scenario_Data!W41)/70))+Inputs!$C$28*EXP(-(((Scenario_Data!W41)-Inputs!$C$29)^2)/(2*Inputs!$C$31^2))*EXP(-(((0)-Inputs!$C$30)^2)/(2*Inputs!$C$32^2))+-Inputs!$C$33*EXP(-(((((Scenario_Data!W41)-Inputs!$C$34)^2)+(((0)-Inputs!$C$35)^2))/(2*Inputs!$C$36^2)))+Inputs!$C$37*(0.55*SIN(2*PI()*(Scenario_Data!W41)/Inputs!$C$39)+0.35*COS(2*PI()*(0)/Inputs!$C$40)+0.2*SIN(2*PI()*((Scenario_Data!W41)+(0))/(0.5*(Inputs!$C$39+Inputs!$C$40))))+Inputs!$C$38*SIN(2*PI()*(Scenario_Data!W41)/Inputs!$C$39)*SIN(2*PI()*(0)/Inputs!$C$40)+-Inputs!$C$41*EXP(-(((0)-Inputs!$C$43)^2)/(2*Inputs!$C$44^2))*EXP(-(((Scenario_Data!W41)-Inputs!$C$42)^2)/(2*Inputs!$C$45^2))+Inputs!$C$48*(0.7*(0.45*SIN(2*PI()*(((Scenario_Data!W41)/Inputs!$C$49)+Inputs!$C$47*0.137))+0.35*COS(2*PI()*(((0)/Inputs!$C$50)+Inputs!$C$47*0.173))+0.2*SIN(2*PI()*((((Scenario_Data!W41)+(0))/(0.5*(Inputs!$C$49+Inputs!$C$50)))+Inputs!$C$47*0.097)))+0.3*(2*((SIN(((Scenario_Data!W41)*12.9898+(0)*78.233+Inputs!$C$47*37.719))*43758.5453)-INT((SIN(((Scenario_Data!W41)*12.9898+(0)*78.233+Inputs!$C$47*37.719))*43758.5453)))-1)))))/Inputs!$C$21*1000000</f>
        <v/>
      </c>
      <c r="AG41">
        <f>Scenario_Data!T41</f>
        <v/>
      </c>
      <c r="AH41">
        <f>2*(SQRT((Inputs!$C$52+(Scenario_Data!B41))^2+Inputs!$C$52^2-2*(Inputs!$C$52+(Scenario_Data!B41))*Inputs!$C$52*COS(SQRT((Scenario_Data!T41)^2+Inputs!$C$6^2)/Inputs!$C$52))*1000)/Inputs!$C$21*1000000</f>
        <v/>
      </c>
      <c r="AI41">
        <f>Scenario_Data!U41</f>
        <v/>
      </c>
      <c r="AJ41">
        <f>2*(SQRT((Inputs!$C$52+(Scenario_Data!C41))^2+Inputs!$C$52^2-2*(Inputs!$C$52+(Scenario_Data!C41))*Inputs!$C$52*COS(SQRT((Scenario_Data!U41)^2+Inputs!$C$6^2)/Inputs!$C$52))*1000)/Inputs!$C$21*1000000</f>
        <v/>
      </c>
      <c r="AK41">
        <f>Scenario_Data!V41</f>
        <v/>
      </c>
      <c r="AL41">
        <f>2*(SQRT((Inputs!$C$52+(Scenario_Data!D41))^2+Inputs!$C$52^2-2*(Inputs!$C$52+(Scenario_Data!D41))*Inputs!$C$52*COS(SQRT((Scenario_Data!V41)^2+Inputs!$C$6^2)/Inputs!$C$52))*1000)/Inputs!$C$21*1000000</f>
        <v/>
      </c>
      <c r="AM41">
        <f>Scenario_Data!W41</f>
        <v/>
      </c>
      <c r="AN41">
        <f>2*(SQRT((Inputs!$C$52+(Scenario_Data!E41))^2+Inputs!$C$52^2-2*(Inputs!$C$52+(Scenario_Data!E41))*Inputs!$C$52*COS(SQRT((Scenario_Data!W41)^2+Inputs!$C$6^2)/Inputs!$C$52))*1000)/Inputs!$C$21*1000000</f>
        <v/>
      </c>
      <c r="AP41">
        <f>Scenario_Data!T41</f>
        <v/>
      </c>
      <c r="AQ41">
        <f>2*(SQRT((Inputs!$C$52+(Scenario_Data!B41))^2+(Inputs!$C$52+((IF(OR(Inputs!$C$27=TRUE,Inputs!$C$27="TRUE",Inputs!$C$27=1),1,0)*(Inputs!$C$51*(115*EXP(-(((Inputs!$C$6)-25)^2)/(4.5^2))+70*EXP(-(((Inputs!$C$6)+38)^2)/(7^2))*(0.55+0.45*SIN(2*PI()*(Scenario_Data!T41)/45))+24*SIN(2*PI()*(Inputs!$C$6)/9+(Scenario_Data!T41)/18)*EXP(-(((Inputs!$C$6)+5)^2)/(22^2))+18*SIN(2*PI()*(Scenario_Data!T41)/70))+Inputs!$C$28*EXP(-(((Scenario_Data!T41)-Inputs!$C$29)^2)/(2*Inputs!$C$31^2))*EXP(-(((Inputs!$C$6)-Inputs!$C$30)^2)/(2*Inputs!$C$32^2))+-Inputs!$C$33*EXP(-(((((Scenario_Data!T41)-Inputs!$C$34)^2)+(((Inputs!$C$6)-Inputs!$C$35)^2))/(2*Inputs!$C$36^2)))+Inputs!$C$37*(0.55*SIN(2*PI()*(Scenario_Data!T41)/Inputs!$C$39)+0.35*COS(2*PI()*(Inputs!$C$6)/Inputs!$C$40)+0.2*SIN(2*PI()*((Scenario_Data!T41)+(Inputs!$C$6))/(0.5*(Inputs!$C$39+Inputs!$C$40))))+Inputs!$C$38*SIN(2*PI()*(Scenario_Data!T41)/Inputs!$C$39)*SIN(2*PI()*(Inputs!$C$6)/Inputs!$C$40)+-Inputs!$C$41*EXP(-(((Inputs!$C$6)-Inputs!$C$43)^2)/(2*Inputs!$C$44^2))*EXP(-(((Scenario_Data!T41)-Inputs!$C$42)^2)/(2*Inputs!$C$45^2))+Inputs!$C$48*(0.7*(0.45*SIN(2*PI()*(((Scenario_Data!T41)/Inputs!$C$49)+Inputs!$C$47*0.137))+0.35*COS(2*PI()*(((Inputs!$C$6)/Inputs!$C$50)+Inputs!$C$47*0.173))+0.2*SIN(2*PI()*((((Scenario_Data!T41)+(Inputs!$C$6))/(0.5*(Inputs!$C$49+Inputs!$C$50)))+Inputs!$C$47*0.097)))+0.3*(2*((SIN(((Scenario_Data!T41)*12.9898+(Inputs!$C$6)*78.233+Inputs!$C$47*37.719))*43758.5453)-INT((SIN(((Scenario_Data!T41)*12.9898+(Inputs!$C$6)*78.233+Inputs!$C$47*37.719))*43758.5453)))-1))))/1000))^2-2*(Inputs!$C$52+(Scenario_Data!B41))*(Inputs!$C$52+((IF(OR(Inputs!$C$27=TRUE,Inputs!$C$27="TRUE",Inputs!$C$27=1),1,0)*(Inputs!$C$51*(115*EXP(-(((Inputs!$C$6)-25)^2)/(4.5^2))+70*EXP(-(((Inputs!$C$6)+38)^2)/(7^2))*(0.55+0.45*SIN(2*PI()*(Scenario_Data!T41)/45))+24*SIN(2*PI()*(Inputs!$C$6)/9+(Scenario_Data!T41)/18)*EXP(-(((Inputs!$C$6)+5)^2)/(22^2))+18*SIN(2*PI()*(Scenario_Data!T41)/70))+Inputs!$C$28*EXP(-(((Scenario_Data!T41)-Inputs!$C$29)^2)/(2*Inputs!$C$31^2))*EXP(-(((Inputs!$C$6)-Inputs!$C$30)^2)/(2*Inputs!$C$32^2))+-Inputs!$C$33*EXP(-(((((Scenario_Data!T41)-Inputs!$C$34)^2)+(((Inputs!$C$6)-Inputs!$C$35)^2))/(2*Inputs!$C$36^2)))+Inputs!$C$37*(0.55*SIN(2*PI()*(Scenario_Data!T41)/Inputs!$C$39)+0.35*COS(2*PI()*(Inputs!$C$6)/Inputs!$C$40)+0.2*SIN(2*PI()*((Scenario_Data!T41)+(Inputs!$C$6))/(0.5*(Inputs!$C$39+Inputs!$C$40))))+Inputs!$C$38*SIN(2*PI()*(Scenario_Data!T41)/Inputs!$C$39)*SIN(2*PI()*(Inputs!$C$6)/Inputs!$C$40)+-Inputs!$C$41*EXP(-(((Inputs!$C$6)-Inputs!$C$43)^2)/(2*Inputs!$C$44^2))*EXP(-(((Scenario_Data!T41)-Inputs!$C$42)^2)/(2*Inputs!$C$45^2))+Inputs!$C$48*(0.7*(0.45*SIN(2*PI()*(((Scenario_Data!T41)/Inputs!$C$49)+Inputs!$C$47*0.137))+0.35*COS(2*PI()*(((Inputs!$C$6)/Inputs!$C$50)+Inputs!$C$47*0.173))+0.2*SIN(2*PI()*((((Scenario_Data!T41)+(Inputs!$C$6))/(0.5*(Inputs!$C$49+Inputs!$C$50)))+Inputs!$C$47*0.097)))+0.3*(2*((SIN(((Scenario_Data!T41)*12.9898+(Inputs!$C$6)*78.233+Inputs!$C$47*37.719))*43758.5453)-INT((SIN(((Scenario_Data!T41)*12.9898+(Inputs!$C$6)*78.233+Inputs!$C$47*37.719))*43758.5453)))-1))))/1000))*COS(SQRT((Scenario_Data!T41)^2+Inputs!$C$6^2)/Inputs!$C$52))*1000)/Inputs!$C$21*1000000</f>
        <v/>
      </c>
      <c r="AR41">
        <f>Scenario_Data!U41</f>
        <v/>
      </c>
      <c r="AS41">
        <f>2*(SQRT((Inputs!$C$52+(Scenario_Data!C41))^2+(Inputs!$C$52+((IF(OR(Inputs!$C$27=TRUE,Inputs!$C$27="TRUE",Inputs!$C$27=1),1,0)*(Inputs!$C$51*(115*EXP(-(((Inputs!$C$6)-25)^2)/(4.5^2))+70*EXP(-(((Inputs!$C$6)+38)^2)/(7^2))*(0.55+0.45*SIN(2*PI()*(Scenario_Data!U41)/45))+24*SIN(2*PI()*(Inputs!$C$6)/9+(Scenario_Data!U41)/18)*EXP(-(((Inputs!$C$6)+5)^2)/(22^2))+18*SIN(2*PI()*(Scenario_Data!U41)/70))+Inputs!$C$28*EXP(-(((Scenario_Data!U41)-Inputs!$C$29)^2)/(2*Inputs!$C$31^2))*EXP(-(((Inputs!$C$6)-Inputs!$C$30)^2)/(2*Inputs!$C$32^2))+-Inputs!$C$33*EXP(-(((((Scenario_Data!U41)-Inputs!$C$34)^2)+(((Inputs!$C$6)-Inputs!$C$35)^2))/(2*Inputs!$C$36^2)))+Inputs!$C$37*(0.55*SIN(2*PI()*(Scenario_Data!U41)/Inputs!$C$39)+0.35*COS(2*PI()*(Inputs!$C$6)/Inputs!$C$40)+0.2*SIN(2*PI()*((Scenario_Data!U41)+(Inputs!$C$6))/(0.5*(Inputs!$C$39+Inputs!$C$40))))+Inputs!$C$38*SIN(2*PI()*(Scenario_Data!U41)/Inputs!$C$39)*SIN(2*PI()*(Inputs!$C$6)/Inputs!$C$40)+-Inputs!$C$41*EXP(-(((Inputs!$C$6)-Inputs!$C$43)^2)/(2*Inputs!$C$44^2))*EXP(-(((Scenario_Data!U41)-Inputs!$C$42)^2)/(2*Inputs!$C$45^2))+Inputs!$C$48*(0.7*(0.45*SIN(2*PI()*(((Scenario_Data!U41)/Inputs!$C$49)+Inputs!$C$47*0.137))+0.35*COS(2*PI()*(((Inputs!$C$6)/Inputs!$C$50)+Inputs!$C$47*0.173))+0.2*SIN(2*PI()*((((Scenario_Data!U41)+(Inputs!$C$6))/(0.5*(Inputs!$C$49+Inputs!$C$50)))+Inputs!$C$47*0.097)))+0.3*(2*((SIN(((Scenario_Data!U41)*12.9898+(Inputs!$C$6)*78.233+Inputs!$C$47*37.719))*43758.5453)-INT((SIN(((Scenario_Data!U41)*12.9898+(Inputs!$C$6)*78.233+Inputs!$C$47*37.719))*43758.5453)))-1))))/1000))^2-2*(Inputs!$C$52+(Scenario_Data!C41))*(Inputs!$C$52+((IF(OR(Inputs!$C$27=TRUE,Inputs!$C$27="TRUE",Inputs!$C$27=1),1,0)*(Inputs!$C$51*(115*EXP(-(((Inputs!$C$6)-25)^2)/(4.5^2))+70*EXP(-(((Inputs!$C$6)+38)^2)/(7^2))*(0.55+0.45*SIN(2*PI()*(Scenario_Data!U41)/45))+24*SIN(2*PI()*(Inputs!$C$6)/9+(Scenario_Data!U41)/18)*EXP(-(((Inputs!$C$6)+5)^2)/(22^2))+18*SIN(2*PI()*(Scenario_Data!U41)/70))+Inputs!$C$28*EXP(-(((Scenario_Data!U41)-Inputs!$C$29)^2)/(2*Inputs!$C$31^2))*EXP(-(((Inputs!$C$6)-Inputs!$C$30)^2)/(2*Inputs!$C$32^2))+-Inputs!$C$33*EXP(-(((((Scenario_Data!U41)-Inputs!$C$34)^2)+(((Inputs!$C$6)-Inputs!$C$35)^2))/(2*Inputs!$C$36^2)))+Inputs!$C$37*(0.55*SIN(2*PI()*(Scenario_Data!U41)/Inputs!$C$39)+0.35*COS(2*PI()*(Inputs!$C$6)/Inputs!$C$40)+0.2*SIN(2*PI()*((Scenario_Data!U41)+(Inputs!$C$6))/(0.5*(Inputs!$C$39+Inputs!$C$40))))+Inputs!$C$38*SIN(2*PI()*(Scenario_Data!U41)/Inputs!$C$39)*SIN(2*PI()*(Inputs!$C$6)/Inputs!$C$40)+-Inputs!$C$41*EXP(-(((Inputs!$C$6)-Inputs!$C$43)^2)/(2*Inputs!$C$44^2))*EXP(-(((Scenario_Data!U41)-Inputs!$C$42)^2)/(2*Inputs!$C$45^2))+Inputs!$C$48*(0.7*(0.45*SIN(2*PI()*(((Scenario_Data!U41)/Inputs!$C$49)+Inputs!$C$47*0.137))+0.35*COS(2*PI()*(((Inputs!$C$6)/Inputs!$C$50)+Inputs!$C$47*0.173))+0.2*SIN(2*PI()*((((Scenario_Data!U41)+(Inputs!$C$6))/(0.5*(Inputs!$C$49+Inputs!$C$50)))+Inputs!$C$47*0.097)))+0.3*(2*((SIN(((Scenario_Data!U41)*12.9898+(Inputs!$C$6)*78.233+Inputs!$C$47*37.719))*43758.5453)-INT((SIN(((Scenario_Data!U41)*12.9898+(Inputs!$C$6)*78.233+Inputs!$C$47*37.719))*43758.5453)))-1))))/1000))*COS(SQRT((Scenario_Data!U41)^2+Inputs!$C$6^2)/Inputs!$C$52))*1000)/Inputs!$C$21*1000000</f>
        <v/>
      </c>
      <c r="AT41">
        <f>Scenario_Data!V41</f>
        <v/>
      </c>
      <c r="AU41">
        <f>2*(SQRT((Inputs!$C$52+(Scenario_Data!D41))^2+(Inputs!$C$52+((IF(OR(Inputs!$C$27=TRUE,Inputs!$C$27="TRUE",Inputs!$C$27=1),1,0)*(Inputs!$C$51*(115*EXP(-(((Inputs!$C$6)-25)^2)/(4.5^2))+70*EXP(-(((Inputs!$C$6)+38)^2)/(7^2))*(0.55+0.45*SIN(2*PI()*(Scenario_Data!V41)/45))+24*SIN(2*PI()*(Inputs!$C$6)/9+(Scenario_Data!V41)/18)*EXP(-(((Inputs!$C$6)+5)^2)/(22^2))+18*SIN(2*PI()*(Scenario_Data!V41)/70))+Inputs!$C$28*EXP(-(((Scenario_Data!V41)-Inputs!$C$29)^2)/(2*Inputs!$C$31^2))*EXP(-(((Inputs!$C$6)-Inputs!$C$30)^2)/(2*Inputs!$C$32^2))+-Inputs!$C$33*EXP(-(((((Scenario_Data!V41)-Inputs!$C$34)^2)+(((Inputs!$C$6)-Inputs!$C$35)^2))/(2*Inputs!$C$36^2)))+Inputs!$C$37*(0.55*SIN(2*PI()*(Scenario_Data!V41)/Inputs!$C$39)+0.35*COS(2*PI()*(Inputs!$C$6)/Inputs!$C$40)+0.2*SIN(2*PI()*((Scenario_Data!V41)+(Inputs!$C$6))/(0.5*(Inputs!$C$39+Inputs!$C$40))))+Inputs!$C$38*SIN(2*PI()*(Scenario_Data!V41)/Inputs!$C$39)*SIN(2*PI()*(Inputs!$C$6)/Inputs!$C$40)+-Inputs!$C$41*EXP(-(((Inputs!$C$6)-Inputs!$C$43)^2)/(2*Inputs!$C$44^2))*EXP(-(((Scenario_Data!V41)-Inputs!$C$42)^2)/(2*Inputs!$C$45^2))+Inputs!$C$48*(0.7*(0.45*SIN(2*PI()*(((Scenario_Data!V41)/Inputs!$C$49)+Inputs!$C$47*0.137))+0.35*COS(2*PI()*(((Inputs!$C$6)/Inputs!$C$50)+Inputs!$C$47*0.173))+0.2*SIN(2*PI()*((((Scenario_Data!V41)+(Inputs!$C$6))/(0.5*(Inputs!$C$49+Inputs!$C$50)))+Inputs!$C$47*0.097)))+0.3*(2*((SIN(((Scenario_Data!V41)*12.9898+(Inputs!$C$6)*78.233+Inputs!$C$47*37.719))*43758.5453)-INT((SIN(((Scenario_Data!V41)*12.9898+(Inputs!$C$6)*78.233+Inputs!$C$47*37.719))*43758.5453)))-1))))/1000))^2-2*(Inputs!$C$52+(Scenario_Data!D41))*(Inputs!$C$52+((IF(OR(Inputs!$C$27=TRUE,Inputs!$C$27="TRUE",Inputs!$C$27=1),1,0)*(Inputs!$C$51*(115*EXP(-(((Inputs!$C$6)-25)^2)/(4.5^2))+70*EXP(-(((Inputs!$C$6)+38)^2)/(7^2))*(0.55+0.45*SIN(2*PI()*(Scenario_Data!V41)/45))+24*SIN(2*PI()*(Inputs!$C$6)/9+(Scenario_Data!V41)/18)*EXP(-(((Inputs!$C$6)+5)^2)/(22^2))+18*SIN(2*PI()*(Scenario_Data!V41)/70))+Inputs!$C$28*EXP(-(((Scenario_Data!V41)-Inputs!$C$29)^2)/(2*Inputs!$C$31^2))*EXP(-(((Inputs!$C$6)-Inputs!$C$30)^2)/(2*Inputs!$C$32^2))+-Inputs!$C$33*EXP(-(((((Scenario_Data!V41)-Inputs!$C$34)^2)+(((Inputs!$C$6)-Inputs!$C$35)^2))/(2*Inputs!$C$36^2)))+Inputs!$C$37*(0.55*SIN(2*PI()*(Scenario_Data!V41)/Inputs!$C$39)+0.35*COS(2*PI()*(Inputs!$C$6)/Inputs!$C$40)+0.2*SIN(2*PI()*((Scenario_Data!V41)+(Inputs!$C$6))/(0.5*(Inputs!$C$39+Inputs!$C$40))))+Inputs!$C$38*SIN(2*PI()*(Scenario_Data!V41)/Inputs!$C$39)*SIN(2*PI()*(Inputs!$C$6)/Inputs!$C$40)+-Inputs!$C$41*EXP(-(((Inputs!$C$6)-Inputs!$C$43)^2)/(2*Inputs!$C$44^2))*EXP(-(((Scenario_Data!V41)-Inputs!$C$42)^2)/(2*Inputs!$C$45^2))+Inputs!$C$48*(0.7*(0.45*SIN(2*PI()*(((Scenario_Data!V41)/Inputs!$C$49)+Inputs!$C$47*0.137))+0.35*COS(2*PI()*(((Inputs!$C$6)/Inputs!$C$50)+Inputs!$C$47*0.173))+0.2*SIN(2*PI()*((((Scenario_Data!V41)+(Inputs!$C$6))/(0.5*(Inputs!$C$49+Inputs!$C$50)))+Inputs!$C$47*0.097)))+0.3*(2*((SIN(((Scenario_Data!V41)*12.9898+(Inputs!$C$6)*78.233+Inputs!$C$47*37.719))*43758.5453)-INT((SIN(((Scenario_Data!V41)*12.9898+(Inputs!$C$6)*78.233+Inputs!$C$47*37.719))*43758.5453)))-1))))/1000))*COS(SQRT((Scenario_Data!V41)^2+Inputs!$C$6^2)/Inputs!$C$52))*1000)/Inputs!$C$21*1000000</f>
        <v/>
      </c>
      <c r="AV41">
        <f>Scenario_Data!W41</f>
        <v/>
      </c>
      <c r="AW41">
        <f>2*(SQRT((Inputs!$C$52+(Scenario_Data!E41))^2+(Inputs!$C$52+((IF(OR(Inputs!$C$27=TRUE,Inputs!$C$27="TRUE",Inputs!$C$27=1),1,0)*(Inputs!$C$51*(115*EXP(-(((Inputs!$C$6)-25)^2)/(4.5^2))+70*EXP(-(((Inputs!$C$6)+38)^2)/(7^2))*(0.55+0.45*SIN(2*PI()*(Scenario_Data!W41)/45))+24*SIN(2*PI()*(Inputs!$C$6)/9+(Scenario_Data!W41)/18)*EXP(-(((Inputs!$C$6)+5)^2)/(22^2))+18*SIN(2*PI()*(Scenario_Data!W41)/70))+Inputs!$C$28*EXP(-(((Scenario_Data!W41)-Inputs!$C$29)^2)/(2*Inputs!$C$31^2))*EXP(-(((Inputs!$C$6)-Inputs!$C$30)^2)/(2*Inputs!$C$32^2))+-Inputs!$C$33*EXP(-(((((Scenario_Data!W41)-Inputs!$C$34)^2)+(((Inputs!$C$6)-Inputs!$C$35)^2))/(2*Inputs!$C$36^2)))+Inputs!$C$37*(0.55*SIN(2*PI()*(Scenario_Data!W41)/Inputs!$C$39)+0.35*COS(2*PI()*(Inputs!$C$6)/Inputs!$C$40)+0.2*SIN(2*PI()*((Scenario_Data!W41)+(Inputs!$C$6))/(0.5*(Inputs!$C$39+Inputs!$C$40))))+Inputs!$C$38*SIN(2*PI()*(Scenario_Data!W41)/Inputs!$C$39)*SIN(2*PI()*(Inputs!$C$6)/Inputs!$C$40)+-Inputs!$C$41*EXP(-(((Inputs!$C$6)-Inputs!$C$43)^2)/(2*Inputs!$C$44^2))*EXP(-(((Scenario_Data!W41)-Inputs!$C$42)^2)/(2*Inputs!$C$45^2))+Inputs!$C$48*(0.7*(0.45*SIN(2*PI()*(((Scenario_Data!W41)/Inputs!$C$49)+Inputs!$C$47*0.137))+0.35*COS(2*PI()*(((Inputs!$C$6)/Inputs!$C$50)+Inputs!$C$47*0.173))+0.2*SIN(2*PI()*((((Scenario_Data!W41)+(Inputs!$C$6))/(0.5*(Inputs!$C$49+Inputs!$C$50)))+Inputs!$C$47*0.097)))+0.3*(2*((SIN(((Scenario_Data!W41)*12.9898+(Inputs!$C$6)*78.233+Inputs!$C$47*37.719))*43758.5453)-INT((SIN(((Scenario_Data!W41)*12.9898+(Inputs!$C$6)*78.233+Inputs!$C$47*37.719))*43758.5453)))-1))))/1000))^2-2*(Inputs!$C$52+(Scenario_Data!E41))*(Inputs!$C$52+((IF(OR(Inputs!$C$27=TRUE,Inputs!$C$27="TRUE",Inputs!$C$27=1),1,0)*(Inputs!$C$51*(115*EXP(-(((Inputs!$C$6)-25)^2)/(4.5^2))+70*EXP(-(((Inputs!$C$6)+38)^2)/(7^2))*(0.55+0.45*SIN(2*PI()*(Scenario_Data!W41)/45))+24*SIN(2*PI()*(Inputs!$C$6)/9+(Scenario_Data!W41)/18)*EXP(-(((Inputs!$C$6)+5)^2)/(22^2))+18*SIN(2*PI()*(Scenario_Data!W41)/70))+Inputs!$C$28*EXP(-(((Scenario_Data!W41)-Inputs!$C$29)^2)/(2*Inputs!$C$31^2))*EXP(-(((Inputs!$C$6)-Inputs!$C$30)^2)/(2*Inputs!$C$32^2))+-Inputs!$C$33*EXP(-(((((Scenario_Data!W41)-Inputs!$C$34)^2)+(((Inputs!$C$6)-Inputs!$C$35)^2))/(2*Inputs!$C$36^2)))+Inputs!$C$37*(0.55*SIN(2*PI()*(Scenario_Data!W41)/Inputs!$C$39)+0.35*COS(2*PI()*(Inputs!$C$6)/Inputs!$C$40)+0.2*SIN(2*PI()*((Scenario_Data!W41)+(Inputs!$C$6))/(0.5*(Inputs!$C$39+Inputs!$C$40))))+Inputs!$C$38*SIN(2*PI()*(Scenario_Data!W41)/Inputs!$C$39)*SIN(2*PI()*(Inputs!$C$6)/Inputs!$C$40)+-Inputs!$C$41*EXP(-(((Inputs!$C$6)-Inputs!$C$43)^2)/(2*Inputs!$C$44^2))*EXP(-(((Scenario_Data!W41)-Inputs!$C$42)^2)/(2*Inputs!$C$45^2))+Inputs!$C$48*(0.7*(0.45*SIN(2*PI()*(((Scenario_Data!W41)/Inputs!$C$49)+Inputs!$C$47*0.137))+0.35*COS(2*PI()*(((Inputs!$C$6)/Inputs!$C$50)+Inputs!$C$47*0.173))+0.2*SIN(2*PI()*((((Scenario_Data!W41)+(Inputs!$C$6))/(0.5*(Inputs!$C$49+Inputs!$C$50)))+Inputs!$C$47*0.097)))+0.3*(2*((SIN(((Scenario_Data!W41)*12.9898+(Inputs!$C$6)*78.233+Inputs!$C$47*37.719))*43758.5453)-INT((SIN(((Scenario_Data!W41)*12.9898+(Inputs!$C$6)*78.233+Inputs!$C$47*37.719))*43758.5453)))-1))))/1000))*COS(SQRT((Scenario_Data!W41)^2+Inputs!$C$6^2)/Inputs!$C$52))*1000)/Inputs!$C$21*1000000</f>
        <v/>
      </c>
    </row>
    <row r="42">
      <c r="A42">
        <f>Chart_Data!K42</f>
        <v/>
      </c>
      <c r="B42">
        <f>Chart_Data!N42-Chart_Data!L42</f>
        <v/>
      </c>
      <c r="D42">
        <f>Chart_Data!G42</f>
        <v/>
      </c>
      <c r="E42">
        <f>Chart_Data!H42</f>
        <v/>
      </c>
      <c r="F42">
        <f>Chart_Data!I42</f>
        <v/>
      </c>
      <c r="G42">
        <f>Chart_Data!J42</f>
        <v/>
      </c>
      <c r="I42">
        <f>Scenario_Data!A42</f>
        <v/>
      </c>
      <c r="J42">
        <f>Scenario_Data!H42-(((SQRT((Inputs!$C$52+(Inputs!$H$6))^2+Inputs!$C$52^2-2*(Inputs!$C$52+(Inputs!$H$6))*Inputs!$C$52*COS(SQRT((Scenario_Data!T42)^2+Inputs!$C$6^2)/Inputs!$C$52)))-(Inputs!$H$6))*1000/Inputs!$C$12)</f>
        <v/>
      </c>
      <c r="K42">
        <f>Scenario_Data!I42-(((SQRT((Inputs!$C$52+(Inputs!$H$7))^2+Inputs!$C$52^2-2*(Inputs!$C$52+(Inputs!$H$7))*Inputs!$C$52*COS(SQRT((Scenario_Data!U42)^2+Inputs!$C$6^2)/Inputs!$C$52)))-(Inputs!$H$7))*1000/Inputs!$C$12)</f>
        <v/>
      </c>
      <c r="L42">
        <f>Scenario_Data!J42-(((SQRT((Inputs!$C$52+(Inputs!$H$8))^2+Inputs!$C$52^2-2*(Inputs!$C$52+(Inputs!$H$8))*Inputs!$C$52*COS(SQRT((Scenario_Data!V42)^2+Inputs!$C$6^2)/Inputs!$C$52)))-(Inputs!$H$8))*1000/Inputs!$C$12)</f>
        <v/>
      </c>
      <c r="M42">
        <f>Scenario_Data!K42-(((SQRT((Inputs!$C$52+(Inputs!$H$9))^2+Inputs!$C$52^2-2*(Inputs!$C$52+(Inputs!$H$9))*Inputs!$C$52*COS(SQRT((Scenario_Data!W42)^2+Inputs!$C$6^2)/Inputs!$C$52)))-(Inputs!$H$9))*1000/Inputs!$C$12)</f>
        <v/>
      </c>
      <c r="O42">
        <f>Scenario_Data!T42</f>
        <v/>
      </c>
      <c r="P42">
        <f>2*(Scenario_Data!B42*1000)/Inputs!$C$21*1000000</f>
        <v/>
      </c>
      <c r="Q42">
        <f>Scenario_Data!U42</f>
        <v/>
      </c>
      <c r="R42">
        <f>2*(Scenario_Data!C42*1000)/Inputs!$C$21*1000000</f>
        <v/>
      </c>
      <c r="S42">
        <f>Scenario_Data!V42</f>
        <v/>
      </c>
      <c r="T42">
        <f>2*(Scenario_Data!D42*1000)/Inputs!$C$21*1000000</f>
        <v/>
      </c>
      <c r="U42">
        <f>Scenario_Data!W42</f>
        <v/>
      </c>
      <c r="V42">
        <f>2*(Scenario_Data!E42*1000)/Inputs!$C$21*1000000</f>
        <v/>
      </c>
      <c r="X42">
        <f>Scenario_Data!T42</f>
        <v/>
      </c>
      <c r="Y42">
        <f>2*((Scenario_Data!B42*1000)-(IF(OR(Inputs!$C$27=TRUE,Inputs!$C$27="TRUE",Inputs!$C$27=1),1,0)*(Inputs!$C$51*(115*EXP(-(((0)-25)^2)/(4.5^2))+70*EXP(-(((0)+38)^2)/(7^2))*(0.55+0.45*SIN(2*PI()*(Scenario_Data!T42)/45))+24*SIN(2*PI()*(0)/9+(Scenario_Data!T42)/18)*EXP(-(((0)+5)^2)/(22^2))+18*SIN(2*PI()*(Scenario_Data!T42)/70))+Inputs!$C$28*EXP(-(((Scenario_Data!T42)-Inputs!$C$29)^2)/(2*Inputs!$C$31^2))*EXP(-(((0)-Inputs!$C$30)^2)/(2*Inputs!$C$32^2))+-Inputs!$C$33*EXP(-(((((Scenario_Data!T42)-Inputs!$C$34)^2)+(((0)-Inputs!$C$35)^2))/(2*Inputs!$C$36^2)))+Inputs!$C$37*(0.55*SIN(2*PI()*(Scenario_Data!T42)/Inputs!$C$39)+0.35*COS(2*PI()*(0)/Inputs!$C$40)+0.2*SIN(2*PI()*((Scenario_Data!T42)+(0))/(0.5*(Inputs!$C$39+Inputs!$C$40))))+Inputs!$C$38*SIN(2*PI()*(Scenario_Data!T42)/Inputs!$C$39)*SIN(2*PI()*(0)/Inputs!$C$40)+-Inputs!$C$41*EXP(-(((0)-Inputs!$C$43)^2)/(2*Inputs!$C$44^2))*EXP(-(((Scenario_Data!T42)-Inputs!$C$42)^2)/(2*Inputs!$C$45^2))+Inputs!$C$48*(0.7*(0.45*SIN(2*PI()*(((Scenario_Data!T42)/Inputs!$C$49)+Inputs!$C$47*0.137))+0.35*COS(2*PI()*(((0)/Inputs!$C$50)+Inputs!$C$47*0.173))+0.2*SIN(2*PI()*((((Scenario_Data!T42)+(0))/(0.5*(Inputs!$C$49+Inputs!$C$50)))+Inputs!$C$47*0.097)))+0.3*(2*((SIN(((Scenario_Data!T42)*12.9898+(0)*78.233+Inputs!$C$47*37.719))*43758.5453)-INT((SIN(((Scenario_Data!T42)*12.9898+(0)*78.233+Inputs!$C$47*37.719))*43758.5453)))-1)))))/Inputs!$C$21*1000000</f>
        <v/>
      </c>
      <c r="Z42">
        <f>Scenario_Data!U42</f>
        <v/>
      </c>
      <c r="AA42">
        <f>2*((Scenario_Data!C42*1000)-(IF(OR(Inputs!$C$27=TRUE,Inputs!$C$27="TRUE",Inputs!$C$27=1),1,0)*(Inputs!$C$51*(115*EXP(-(((0)-25)^2)/(4.5^2))+70*EXP(-(((0)+38)^2)/(7^2))*(0.55+0.45*SIN(2*PI()*(Scenario_Data!U42)/45))+24*SIN(2*PI()*(0)/9+(Scenario_Data!U42)/18)*EXP(-(((0)+5)^2)/(22^2))+18*SIN(2*PI()*(Scenario_Data!U42)/70))+Inputs!$C$28*EXP(-(((Scenario_Data!U42)-Inputs!$C$29)^2)/(2*Inputs!$C$31^2))*EXP(-(((0)-Inputs!$C$30)^2)/(2*Inputs!$C$32^2))+-Inputs!$C$33*EXP(-(((((Scenario_Data!U42)-Inputs!$C$34)^2)+(((0)-Inputs!$C$35)^2))/(2*Inputs!$C$36^2)))+Inputs!$C$37*(0.55*SIN(2*PI()*(Scenario_Data!U42)/Inputs!$C$39)+0.35*COS(2*PI()*(0)/Inputs!$C$40)+0.2*SIN(2*PI()*((Scenario_Data!U42)+(0))/(0.5*(Inputs!$C$39+Inputs!$C$40))))+Inputs!$C$38*SIN(2*PI()*(Scenario_Data!U42)/Inputs!$C$39)*SIN(2*PI()*(0)/Inputs!$C$40)+-Inputs!$C$41*EXP(-(((0)-Inputs!$C$43)^2)/(2*Inputs!$C$44^2))*EXP(-(((Scenario_Data!U42)-Inputs!$C$42)^2)/(2*Inputs!$C$45^2))+Inputs!$C$48*(0.7*(0.45*SIN(2*PI()*(((Scenario_Data!U42)/Inputs!$C$49)+Inputs!$C$47*0.137))+0.35*COS(2*PI()*(((0)/Inputs!$C$50)+Inputs!$C$47*0.173))+0.2*SIN(2*PI()*((((Scenario_Data!U42)+(0))/(0.5*(Inputs!$C$49+Inputs!$C$50)))+Inputs!$C$47*0.097)))+0.3*(2*((SIN(((Scenario_Data!U42)*12.9898+(0)*78.233+Inputs!$C$47*37.719))*43758.5453)-INT((SIN(((Scenario_Data!U42)*12.9898+(0)*78.233+Inputs!$C$47*37.719))*43758.5453)))-1)))))/Inputs!$C$21*1000000</f>
        <v/>
      </c>
      <c r="AB42">
        <f>Scenario_Data!V42</f>
        <v/>
      </c>
      <c r="AC42">
        <f>2*((Scenario_Data!D42*1000)-(IF(OR(Inputs!$C$27=TRUE,Inputs!$C$27="TRUE",Inputs!$C$27=1),1,0)*(Inputs!$C$51*(115*EXP(-(((0)-25)^2)/(4.5^2))+70*EXP(-(((0)+38)^2)/(7^2))*(0.55+0.45*SIN(2*PI()*(Scenario_Data!V42)/45))+24*SIN(2*PI()*(0)/9+(Scenario_Data!V42)/18)*EXP(-(((0)+5)^2)/(22^2))+18*SIN(2*PI()*(Scenario_Data!V42)/70))+Inputs!$C$28*EXP(-(((Scenario_Data!V42)-Inputs!$C$29)^2)/(2*Inputs!$C$31^2))*EXP(-(((0)-Inputs!$C$30)^2)/(2*Inputs!$C$32^2))+-Inputs!$C$33*EXP(-(((((Scenario_Data!V42)-Inputs!$C$34)^2)+(((0)-Inputs!$C$35)^2))/(2*Inputs!$C$36^2)))+Inputs!$C$37*(0.55*SIN(2*PI()*(Scenario_Data!V42)/Inputs!$C$39)+0.35*COS(2*PI()*(0)/Inputs!$C$40)+0.2*SIN(2*PI()*((Scenario_Data!V42)+(0))/(0.5*(Inputs!$C$39+Inputs!$C$40))))+Inputs!$C$38*SIN(2*PI()*(Scenario_Data!V42)/Inputs!$C$39)*SIN(2*PI()*(0)/Inputs!$C$40)+-Inputs!$C$41*EXP(-(((0)-Inputs!$C$43)^2)/(2*Inputs!$C$44^2))*EXP(-(((Scenario_Data!V42)-Inputs!$C$42)^2)/(2*Inputs!$C$45^2))+Inputs!$C$48*(0.7*(0.45*SIN(2*PI()*(((Scenario_Data!V42)/Inputs!$C$49)+Inputs!$C$47*0.137))+0.35*COS(2*PI()*(((0)/Inputs!$C$50)+Inputs!$C$47*0.173))+0.2*SIN(2*PI()*((((Scenario_Data!V42)+(0))/(0.5*(Inputs!$C$49+Inputs!$C$50)))+Inputs!$C$47*0.097)))+0.3*(2*((SIN(((Scenario_Data!V42)*12.9898+(0)*78.233+Inputs!$C$47*37.719))*43758.5453)-INT((SIN(((Scenario_Data!V42)*12.9898+(0)*78.233+Inputs!$C$47*37.719))*43758.5453)))-1)))))/Inputs!$C$21*1000000</f>
        <v/>
      </c>
      <c r="AD42">
        <f>Scenario_Data!W42</f>
        <v/>
      </c>
      <c r="AE42">
        <f>2*((Scenario_Data!E42*1000)-(IF(OR(Inputs!$C$27=TRUE,Inputs!$C$27="TRUE",Inputs!$C$27=1),1,0)*(Inputs!$C$51*(115*EXP(-(((0)-25)^2)/(4.5^2))+70*EXP(-(((0)+38)^2)/(7^2))*(0.55+0.45*SIN(2*PI()*(Scenario_Data!W42)/45))+24*SIN(2*PI()*(0)/9+(Scenario_Data!W42)/18)*EXP(-(((0)+5)^2)/(22^2))+18*SIN(2*PI()*(Scenario_Data!W42)/70))+Inputs!$C$28*EXP(-(((Scenario_Data!W42)-Inputs!$C$29)^2)/(2*Inputs!$C$31^2))*EXP(-(((0)-Inputs!$C$30)^2)/(2*Inputs!$C$32^2))+-Inputs!$C$33*EXP(-(((((Scenario_Data!W42)-Inputs!$C$34)^2)+(((0)-Inputs!$C$35)^2))/(2*Inputs!$C$36^2)))+Inputs!$C$37*(0.55*SIN(2*PI()*(Scenario_Data!W42)/Inputs!$C$39)+0.35*COS(2*PI()*(0)/Inputs!$C$40)+0.2*SIN(2*PI()*((Scenario_Data!W42)+(0))/(0.5*(Inputs!$C$39+Inputs!$C$40))))+Inputs!$C$38*SIN(2*PI()*(Scenario_Data!W42)/Inputs!$C$39)*SIN(2*PI()*(0)/Inputs!$C$40)+-Inputs!$C$41*EXP(-(((0)-Inputs!$C$43)^2)/(2*Inputs!$C$44^2))*EXP(-(((Scenario_Data!W42)-Inputs!$C$42)^2)/(2*Inputs!$C$45^2))+Inputs!$C$48*(0.7*(0.45*SIN(2*PI()*(((Scenario_Data!W42)/Inputs!$C$49)+Inputs!$C$47*0.137))+0.35*COS(2*PI()*(((0)/Inputs!$C$50)+Inputs!$C$47*0.173))+0.2*SIN(2*PI()*((((Scenario_Data!W42)+(0))/(0.5*(Inputs!$C$49+Inputs!$C$50)))+Inputs!$C$47*0.097)))+0.3*(2*((SIN(((Scenario_Data!W42)*12.9898+(0)*78.233+Inputs!$C$47*37.719))*43758.5453)-INT((SIN(((Scenario_Data!W42)*12.9898+(0)*78.233+Inputs!$C$47*37.719))*43758.5453)))-1)))))/Inputs!$C$21*1000000</f>
        <v/>
      </c>
      <c r="AG42">
        <f>Scenario_Data!T42</f>
        <v/>
      </c>
      <c r="AH42">
        <f>2*(SQRT((Inputs!$C$52+(Scenario_Data!B42))^2+Inputs!$C$52^2-2*(Inputs!$C$52+(Scenario_Data!B42))*Inputs!$C$52*COS(SQRT((Scenario_Data!T42)^2+Inputs!$C$6^2)/Inputs!$C$52))*1000)/Inputs!$C$21*1000000</f>
        <v/>
      </c>
      <c r="AI42">
        <f>Scenario_Data!U42</f>
        <v/>
      </c>
      <c r="AJ42">
        <f>2*(SQRT((Inputs!$C$52+(Scenario_Data!C42))^2+Inputs!$C$52^2-2*(Inputs!$C$52+(Scenario_Data!C42))*Inputs!$C$52*COS(SQRT((Scenario_Data!U42)^2+Inputs!$C$6^2)/Inputs!$C$52))*1000)/Inputs!$C$21*1000000</f>
        <v/>
      </c>
      <c r="AK42">
        <f>Scenario_Data!V42</f>
        <v/>
      </c>
      <c r="AL42">
        <f>2*(SQRT((Inputs!$C$52+(Scenario_Data!D42))^2+Inputs!$C$52^2-2*(Inputs!$C$52+(Scenario_Data!D42))*Inputs!$C$52*COS(SQRT((Scenario_Data!V42)^2+Inputs!$C$6^2)/Inputs!$C$52))*1000)/Inputs!$C$21*1000000</f>
        <v/>
      </c>
      <c r="AM42">
        <f>Scenario_Data!W42</f>
        <v/>
      </c>
      <c r="AN42">
        <f>2*(SQRT((Inputs!$C$52+(Scenario_Data!E42))^2+Inputs!$C$52^2-2*(Inputs!$C$52+(Scenario_Data!E42))*Inputs!$C$52*COS(SQRT((Scenario_Data!W42)^2+Inputs!$C$6^2)/Inputs!$C$52))*1000)/Inputs!$C$21*1000000</f>
        <v/>
      </c>
      <c r="AP42">
        <f>Scenario_Data!T42</f>
        <v/>
      </c>
      <c r="AQ42">
        <f>2*(SQRT((Inputs!$C$52+(Scenario_Data!B42))^2+(Inputs!$C$52+((IF(OR(Inputs!$C$27=TRUE,Inputs!$C$27="TRUE",Inputs!$C$27=1),1,0)*(Inputs!$C$51*(115*EXP(-(((Inputs!$C$6)-25)^2)/(4.5^2))+70*EXP(-(((Inputs!$C$6)+38)^2)/(7^2))*(0.55+0.45*SIN(2*PI()*(Scenario_Data!T42)/45))+24*SIN(2*PI()*(Inputs!$C$6)/9+(Scenario_Data!T42)/18)*EXP(-(((Inputs!$C$6)+5)^2)/(22^2))+18*SIN(2*PI()*(Scenario_Data!T42)/70))+Inputs!$C$28*EXP(-(((Scenario_Data!T42)-Inputs!$C$29)^2)/(2*Inputs!$C$31^2))*EXP(-(((Inputs!$C$6)-Inputs!$C$30)^2)/(2*Inputs!$C$32^2))+-Inputs!$C$33*EXP(-(((((Scenario_Data!T42)-Inputs!$C$34)^2)+(((Inputs!$C$6)-Inputs!$C$35)^2))/(2*Inputs!$C$36^2)))+Inputs!$C$37*(0.55*SIN(2*PI()*(Scenario_Data!T42)/Inputs!$C$39)+0.35*COS(2*PI()*(Inputs!$C$6)/Inputs!$C$40)+0.2*SIN(2*PI()*((Scenario_Data!T42)+(Inputs!$C$6))/(0.5*(Inputs!$C$39+Inputs!$C$40))))+Inputs!$C$38*SIN(2*PI()*(Scenario_Data!T42)/Inputs!$C$39)*SIN(2*PI()*(Inputs!$C$6)/Inputs!$C$40)+-Inputs!$C$41*EXP(-(((Inputs!$C$6)-Inputs!$C$43)^2)/(2*Inputs!$C$44^2))*EXP(-(((Scenario_Data!T42)-Inputs!$C$42)^2)/(2*Inputs!$C$45^2))+Inputs!$C$48*(0.7*(0.45*SIN(2*PI()*(((Scenario_Data!T42)/Inputs!$C$49)+Inputs!$C$47*0.137))+0.35*COS(2*PI()*(((Inputs!$C$6)/Inputs!$C$50)+Inputs!$C$47*0.173))+0.2*SIN(2*PI()*((((Scenario_Data!T42)+(Inputs!$C$6))/(0.5*(Inputs!$C$49+Inputs!$C$50)))+Inputs!$C$47*0.097)))+0.3*(2*((SIN(((Scenario_Data!T42)*12.9898+(Inputs!$C$6)*78.233+Inputs!$C$47*37.719))*43758.5453)-INT((SIN(((Scenario_Data!T42)*12.9898+(Inputs!$C$6)*78.233+Inputs!$C$47*37.719))*43758.5453)))-1))))/1000))^2-2*(Inputs!$C$52+(Scenario_Data!B42))*(Inputs!$C$52+((IF(OR(Inputs!$C$27=TRUE,Inputs!$C$27="TRUE",Inputs!$C$27=1),1,0)*(Inputs!$C$51*(115*EXP(-(((Inputs!$C$6)-25)^2)/(4.5^2))+70*EXP(-(((Inputs!$C$6)+38)^2)/(7^2))*(0.55+0.45*SIN(2*PI()*(Scenario_Data!T42)/45))+24*SIN(2*PI()*(Inputs!$C$6)/9+(Scenario_Data!T42)/18)*EXP(-(((Inputs!$C$6)+5)^2)/(22^2))+18*SIN(2*PI()*(Scenario_Data!T42)/70))+Inputs!$C$28*EXP(-(((Scenario_Data!T42)-Inputs!$C$29)^2)/(2*Inputs!$C$31^2))*EXP(-(((Inputs!$C$6)-Inputs!$C$30)^2)/(2*Inputs!$C$32^2))+-Inputs!$C$33*EXP(-(((((Scenario_Data!T42)-Inputs!$C$34)^2)+(((Inputs!$C$6)-Inputs!$C$35)^2))/(2*Inputs!$C$36^2)))+Inputs!$C$37*(0.55*SIN(2*PI()*(Scenario_Data!T42)/Inputs!$C$39)+0.35*COS(2*PI()*(Inputs!$C$6)/Inputs!$C$40)+0.2*SIN(2*PI()*((Scenario_Data!T42)+(Inputs!$C$6))/(0.5*(Inputs!$C$39+Inputs!$C$40))))+Inputs!$C$38*SIN(2*PI()*(Scenario_Data!T42)/Inputs!$C$39)*SIN(2*PI()*(Inputs!$C$6)/Inputs!$C$40)+-Inputs!$C$41*EXP(-(((Inputs!$C$6)-Inputs!$C$43)^2)/(2*Inputs!$C$44^2))*EXP(-(((Scenario_Data!T42)-Inputs!$C$42)^2)/(2*Inputs!$C$45^2))+Inputs!$C$48*(0.7*(0.45*SIN(2*PI()*(((Scenario_Data!T42)/Inputs!$C$49)+Inputs!$C$47*0.137))+0.35*COS(2*PI()*(((Inputs!$C$6)/Inputs!$C$50)+Inputs!$C$47*0.173))+0.2*SIN(2*PI()*((((Scenario_Data!T42)+(Inputs!$C$6))/(0.5*(Inputs!$C$49+Inputs!$C$50)))+Inputs!$C$47*0.097)))+0.3*(2*((SIN(((Scenario_Data!T42)*12.9898+(Inputs!$C$6)*78.233+Inputs!$C$47*37.719))*43758.5453)-INT((SIN(((Scenario_Data!T42)*12.9898+(Inputs!$C$6)*78.233+Inputs!$C$47*37.719))*43758.5453)))-1))))/1000))*COS(SQRT((Scenario_Data!T42)^2+Inputs!$C$6^2)/Inputs!$C$52))*1000)/Inputs!$C$21*1000000</f>
        <v/>
      </c>
      <c r="AR42">
        <f>Scenario_Data!U42</f>
        <v/>
      </c>
      <c r="AS42">
        <f>2*(SQRT((Inputs!$C$52+(Scenario_Data!C42))^2+(Inputs!$C$52+((IF(OR(Inputs!$C$27=TRUE,Inputs!$C$27="TRUE",Inputs!$C$27=1),1,0)*(Inputs!$C$51*(115*EXP(-(((Inputs!$C$6)-25)^2)/(4.5^2))+70*EXP(-(((Inputs!$C$6)+38)^2)/(7^2))*(0.55+0.45*SIN(2*PI()*(Scenario_Data!U42)/45))+24*SIN(2*PI()*(Inputs!$C$6)/9+(Scenario_Data!U42)/18)*EXP(-(((Inputs!$C$6)+5)^2)/(22^2))+18*SIN(2*PI()*(Scenario_Data!U42)/70))+Inputs!$C$28*EXP(-(((Scenario_Data!U42)-Inputs!$C$29)^2)/(2*Inputs!$C$31^2))*EXP(-(((Inputs!$C$6)-Inputs!$C$30)^2)/(2*Inputs!$C$32^2))+-Inputs!$C$33*EXP(-(((((Scenario_Data!U42)-Inputs!$C$34)^2)+(((Inputs!$C$6)-Inputs!$C$35)^2))/(2*Inputs!$C$36^2)))+Inputs!$C$37*(0.55*SIN(2*PI()*(Scenario_Data!U42)/Inputs!$C$39)+0.35*COS(2*PI()*(Inputs!$C$6)/Inputs!$C$40)+0.2*SIN(2*PI()*((Scenario_Data!U42)+(Inputs!$C$6))/(0.5*(Inputs!$C$39+Inputs!$C$40))))+Inputs!$C$38*SIN(2*PI()*(Scenario_Data!U42)/Inputs!$C$39)*SIN(2*PI()*(Inputs!$C$6)/Inputs!$C$40)+-Inputs!$C$41*EXP(-(((Inputs!$C$6)-Inputs!$C$43)^2)/(2*Inputs!$C$44^2))*EXP(-(((Scenario_Data!U42)-Inputs!$C$42)^2)/(2*Inputs!$C$45^2))+Inputs!$C$48*(0.7*(0.45*SIN(2*PI()*(((Scenario_Data!U42)/Inputs!$C$49)+Inputs!$C$47*0.137))+0.35*COS(2*PI()*(((Inputs!$C$6)/Inputs!$C$50)+Inputs!$C$47*0.173))+0.2*SIN(2*PI()*((((Scenario_Data!U42)+(Inputs!$C$6))/(0.5*(Inputs!$C$49+Inputs!$C$50)))+Inputs!$C$47*0.097)))+0.3*(2*((SIN(((Scenario_Data!U42)*12.9898+(Inputs!$C$6)*78.233+Inputs!$C$47*37.719))*43758.5453)-INT((SIN(((Scenario_Data!U42)*12.9898+(Inputs!$C$6)*78.233+Inputs!$C$47*37.719))*43758.5453)))-1))))/1000))^2-2*(Inputs!$C$52+(Scenario_Data!C42))*(Inputs!$C$52+((IF(OR(Inputs!$C$27=TRUE,Inputs!$C$27="TRUE",Inputs!$C$27=1),1,0)*(Inputs!$C$51*(115*EXP(-(((Inputs!$C$6)-25)^2)/(4.5^2))+70*EXP(-(((Inputs!$C$6)+38)^2)/(7^2))*(0.55+0.45*SIN(2*PI()*(Scenario_Data!U42)/45))+24*SIN(2*PI()*(Inputs!$C$6)/9+(Scenario_Data!U42)/18)*EXP(-(((Inputs!$C$6)+5)^2)/(22^2))+18*SIN(2*PI()*(Scenario_Data!U42)/70))+Inputs!$C$28*EXP(-(((Scenario_Data!U42)-Inputs!$C$29)^2)/(2*Inputs!$C$31^2))*EXP(-(((Inputs!$C$6)-Inputs!$C$30)^2)/(2*Inputs!$C$32^2))+-Inputs!$C$33*EXP(-(((((Scenario_Data!U42)-Inputs!$C$34)^2)+(((Inputs!$C$6)-Inputs!$C$35)^2))/(2*Inputs!$C$36^2)))+Inputs!$C$37*(0.55*SIN(2*PI()*(Scenario_Data!U42)/Inputs!$C$39)+0.35*COS(2*PI()*(Inputs!$C$6)/Inputs!$C$40)+0.2*SIN(2*PI()*((Scenario_Data!U42)+(Inputs!$C$6))/(0.5*(Inputs!$C$39+Inputs!$C$40))))+Inputs!$C$38*SIN(2*PI()*(Scenario_Data!U42)/Inputs!$C$39)*SIN(2*PI()*(Inputs!$C$6)/Inputs!$C$40)+-Inputs!$C$41*EXP(-(((Inputs!$C$6)-Inputs!$C$43)^2)/(2*Inputs!$C$44^2))*EXP(-(((Scenario_Data!U42)-Inputs!$C$42)^2)/(2*Inputs!$C$45^2))+Inputs!$C$48*(0.7*(0.45*SIN(2*PI()*(((Scenario_Data!U42)/Inputs!$C$49)+Inputs!$C$47*0.137))+0.35*COS(2*PI()*(((Inputs!$C$6)/Inputs!$C$50)+Inputs!$C$47*0.173))+0.2*SIN(2*PI()*((((Scenario_Data!U42)+(Inputs!$C$6))/(0.5*(Inputs!$C$49+Inputs!$C$50)))+Inputs!$C$47*0.097)))+0.3*(2*((SIN(((Scenario_Data!U42)*12.9898+(Inputs!$C$6)*78.233+Inputs!$C$47*37.719))*43758.5453)-INT((SIN(((Scenario_Data!U42)*12.9898+(Inputs!$C$6)*78.233+Inputs!$C$47*37.719))*43758.5453)))-1))))/1000))*COS(SQRT((Scenario_Data!U42)^2+Inputs!$C$6^2)/Inputs!$C$52))*1000)/Inputs!$C$21*1000000</f>
        <v/>
      </c>
      <c r="AT42">
        <f>Scenario_Data!V42</f>
        <v/>
      </c>
      <c r="AU42">
        <f>2*(SQRT((Inputs!$C$52+(Scenario_Data!D42))^2+(Inputs!$C$52+((IF(OR(Inputs!$C$27=TRUE,Inputs!$C$27="TRUE",Inputs!$C$27=1),1,0)*(Inputs!$C$51*(115*EXP(-(((Inputs!$C$6)-25)^2)/(4.5^2))+70*EXP(-(((Inputs!$C$6)+38)^2)/(7^2))*(0.55+0.45*SIN(2*PI()*(Scenario_Data!V42)/45))+24*SIN(2*PI()*(Inputs!$C$6)/9+(Scenario_Data!V42)/18)*EXP(-(((Inputs!$C$6)+5)^2)/(22^2))+18*SIN(2*PI()*(Scenario_Data!V42)/70))+Inputs!$C$28*EXP(-(((Scenario_Data!V42)-Inputs!$C$29)^2)/(2*Inputs!$C$31^2))*EXP(-(((Inputs!$C$6)-Inputs!$C$30)^2)/(2*Inputs!$C$32^2))+-Inputs!$C$33*EXP(-(((((Scenario_Data!V42)-Inputs!$C$34)^2)+(((Inputs!$C$6)-Inputs!$C$35)^2))/(2*Inputs!$C$36^2)))+Inputs!$C$37*(0.55*SIN(2*PI()*(Scenario_Data!V42)/Inputs!$C$39)+0.35*COS(2*PI()*(Inputs!$C$6)/Inputs!$C$40)+0.2*SIN(2*PI()*((Scenario_Data!V42)+(Inputs!$C$6))/(0.5*(Inputs!$C$39+Inputs!$C$40))))+Inputs!$C$38*SIN(2*PI()*(Scenario_Data!V42)/Inputs!$C$39)*SIN(2*PI()*(Inputs!$C$6)/Inputs!$C$40)+-Inputs!$C$41*EXP(-(((Inputs!$C$6)-Inputs!$C$43)^2)/(2*Inputs!$C$44^2))*EXP(-(((Scenario_Data!V42)-Inputs!$C$42)^2)/(2*Inputs!$C$45^2))+Inputs!$C$48*(0.7*(0.45*SIN(2*PI()*(((Scenario_Data!V42)/Inputs!$C$49)+Inputs!$C$47*0.137))+0.35*COS(2*PI()*(((Inputs!$C$6)/Inputs!$C$50)+Inputs!$C$47*0.173))+0.2*SIN(2*PI()*((((Scenario_Data!V42)+(Inputs!$C$6))/(0.5*(Inputs!$C$49+Inputs!$C$50)))+Inputs!$C$47*0.097)))+0.3*(2*((SIN(((Scenario_Data!V42)*12.9898+(Inputs!$C$6)*78.233+Inputs!$C$47*37.719))*43758.5453)-INT((SIN(((Scenario_Data!V42)*12.9898+(Inputs!$C$6)*78.233+Inputs!$C$47*37.719))*43758.5453)))-1))))/1000))^2-2*(Inputs!$C$52+(Scenario_Data!D42))*(Inputs!$C$52+((IF(OR(Inputs!$C$27=TRUE,Inputs!$C$27="TRUE",Inputs!$C$27=1),1,0)*(Inputs!$C$51*(115*EXP(-(((Inputs!$C$6)-25)^2)/(4.5^2))+70*EXP(-(((Inputs!$C$6)+38)^2)/(7^2))*(0.55+0.45*SIN(2*PI()*(Scenario_Data!V42)/45))+24*SIN(2*PI()*(Inputs!$C$6)/9+(Scenario_Data!V42)/18)*EXP(-(((Inputs!$C$6)+5)^2)/(22^2))+18*SIN(2*PI()*(Scenario_Data!V42)/70))+Inputs!$C$28*EXP(-(((Scenario_Data!V42)-Inputs!$C$29)^2)/(2*Inputs!$C$31^2))*EXP(-(((Inputs!$C$6)-Inputs!$C$30)^2)/(2*Inputs!$C$32^2))+-Inputs!$C$33*EXP(-(((((Scenario_Data!V42)-Inputs!$C$34)^2)+(((Inputs!$C$6)-Inputs!$C$35)^2))/(2*Inputs!$C$36^2)))+Inputs!$C$37*(0.55*SIN(2*PI()*(Scenario_Data!V42)/Inputs!$C$39)+0.35*COS(2*PI()*(Inputs!$C$6)/Inputs!$C$40)+0.2*SIN(2*PI()*((Scenario_Data!V42)+(Inputs!$C$6))/(0.5*(Inputs!$C$39+Inputs!$C$40))))+Inputs!$C$38*SIN(2*PI()*(Scenario_Data!V42)/Inputs!$C$39)*SIN(2*PI()*(Inputs!$C$6)/Inputs!$C$40)+-Inputs!$C$41*EXP(-(((Inputs!$C$6)-Inputs!$C$43)^2)/(2*Inputs!$C$44^2))*EXP(-(((Scenario_Data!V42)-Inputs!$C$42)^2)/(2*Inputs!$C$45^2))+Inputs!$C$48*(0.7*(0.45*SIN(2*PI()*(((Scenario_Data!V42)/Inputs!$C$49)+Inputs!$C$47*0.137))+0.35*COS(2*PI()*(((Inputs!$C$6)/Inputs!$C$50)+Inputs!$C$47*0.173))+0.2*SIN(2*PI()*((((Scenario_Data!V42)+(Inputs!$C$6))/(0.5*(Inputs!$C$49+Inputs!$C$50)))+Inputs!$C$47*0.097)))+0.3*(2*((SIN(((Scenario_Data!V42)*12.9898+(Inputs!$C$6)*78.233+Inputs!$C$47*37.719))*43758.5453)-INT((SIN(((Scenario_Data!V42)*12.9898+(Inputs!$C$6)*78.233+Inputs!$C$47*37.719))*43758.5453)))-1))))/1000))*COS(SQRT((Scenario_Data!V42)^2+Inputs!$C$6^2)/Inputs!$C$52))*1000)/Inputs!$C$21*1000000</f>
        <v/>
      </c>
      <c r="AV42">
        <f>Scenario_Data!W42</f>
        <v/>
      </c>
      <c r="AW42">
        <f>2*(SQRT((Inputs!$C$52+(Scenario_Data!E42))^2+(Inputs!$C$52+((IF(OR(Inputs!$C$27=TRUE,Inputs!$C$27="TRUE",Inputs!$C$27=1),1,0)*(Inputs!$C$51*(115*EXP(-(((Inputs!$C$6)-25)^2)/(4.5^2))+70*EXP(-(((Inputs!$C$6)+38)^2)/(7^2))*(0.55+0.45*SIN(2*PI()*(Scenario_Data!W42)/45))+24*SIN(2*PI()*(Inputs!$C$6)/9+(Scenario_Data!W42)/18)*EXP(-(((Inputs!$C$6)+5)^2)/(22^2))+18*SIN(2*PI()*(Scenario_Data!W42)/70))+Inputs!$C$28*EXP(-(((Scenario_Data!W42)-Inputs!$C$29)^2)/(2*Inputs!$C$31^2))*EXP(-(((Inputs!$C$6)-Inputs!$C$30)^2)/(2*Inputs!$C$32^2))+-Inputs!$C$33*EXP(-(((((Scenario_Data!W42)-Inputs!$C$34)^2)+(((Inputs!$C$6)-Inputs!$C$35)^2))/(2*Inputs!$C$36^2)))+Inputs!$C$37*(0.55*SIN(2*PI()*(Scenario_Data!W42)/Inputs!$C$39)+0.35*COS(2*PI()*(Inputs!$C$6)/Inputs!$C$40)+0.2*SIN(2*PI()*((Scenario_Data!W42)+(Inputs!$C$6))/(0.5*(Inputs!$C$39+Inputs!$C$40))))+Inputs!$C$38*SIN(2*PI()*(Scenario_Data!W42)/Inputs!$C$39)*SIN(2*PI()*(Inputs!$C$6)/Inputs!$C$40)+-Inputs!$C$41*EXP(-(((Inputs!$C$6)-Inputs!$C$43)^2)/(2*Inputs!$C$44^2))*EXP(-(((Scenario_Data!W42)-Inputs!$C$42)^2)/(2*Inputs!$C$45^2))+Inputs!$C$48*(0.7*(0.45*SIN(2*PI()*(((Scenario_Data!W42)/Inputs!$C$49)+Inputs!$C$47*0.137))+0.35*COS(2*PI()*(((Inputs!$C$6)/Inputs!$C$50)+Inputs!$C$47*0.173))+0.2*SIN(2*PI()*((((Scenario_Data!W42)+(Inputs!$C$6))/(0.5*(Inputs!$C$49+Inputs!$C$50)))+Inputs!$C$47*0.097)))+0.3*(2*((SIN(((Scenario_Data!W42)*12.9898+(Inputs!$C$6)*78.233+Inputs!$C$47*37.719))*43758.5453)-INT((SIN(((Scenario_Data!W42)*12.9898+(Inputs!$C$6)*78.233+Inputs!$C$47*37.719))*43758.5453)))-1))))/1000))^2-2*(Inputs!$C$52+(Scenario_Data!E42))*(Inputs!$C$52+((IF(OR(Inputs!$C$27=TRUE,Inputs!$C$27="TRUE",Inputs!$C$27=1),1,0)*(Inputs!$C$51*(115*EXP(-(((Inputs!$C$6)-25)^2)/(4.5^2))+70*EXP(-(((Inputs!$C$6)+38)^2)/(7^2))*(0.55+0.45*SIN(2*PI()*(Scenario_Data!W42)/45))+24*SIN(2*PI()*(Inputs!$C$6)/9+(Scenario_Data!W42)/18)*EXP(-(((Inputs!$C$6)+5)^2)/(22^2))+18*SIN(2*PI()*(Scenario_Data!W42)/70))+Inputs!$C$28*EXP(-(((Scenario_Data!W42)-Inputs!$C$29)^2)/(2*Inputs!$C$31^2))*EXP(-(((Inputs!$C$6)-Inputs!$C$30)^2)/(2*Inputs!$C$32^2))+-Inputs!$C$33*EXP(-(((((Scenario_Data!W42)-Inputs!$C$34)^2)+(((Inputs!$C$6)-Inputs!$C$35)^2))/(2*Inputs!$C$36^2)))+Inputs!$C$37*(0.55*SIN(2*PI()*(Scenario_Data!W42)/Inputs!$C$39)+0.35*COS(2*PI()*(Inputs!$C$6)/Inputs!$C$40)+0.2*SIN(2*PI()*((Scenario_Data!W42)+(Inputs!$C$6))/(0.5*(Inputs!$C$39+Inputs!$C$40))))+Inputs!$C$38*SIN(2*PI()*(Scenario_Data!W42)/Inputs!$C$39)*SIN(2*PI()*(Inputs!$C$6)/Inputs!$C$40)+-Inputs!$C$41*EXP(-(((Inputs!$C$6)-Inputs!$C$43)^2)/(2*Inputs!$C$44^2))*EXP(-(((Scenario_Data!W42)-Inputs!$C$42)^2)/(2*Inputs!$C$45^2))+Inputs!$C$48*(0.7*(0.45*SIN(2*PI()*(((Scenario_Data!W42)/Inputs!$C$49)+Inputs!$C$47*0.137))+0.35*COS(2*PI()*(((Inputs!$C$6)/Inputs!$C$50)+Inputs!$C$47*0.173))+0.2*SIN(2*PI()*((((Scenario_Data!W42)+(Inputs!$C$6))/(0.5*(Inputs!$C$49+Inputs!$C$50)))+Inputs!$C$47*0.097)))+0.3*(2*((SIN(((Scenario_Data!W42)*12.9898+(Inputs!$C$6)*78.233+Inputs!$C$47*37.719))*43758.5453)-INT((SIN(((Scenario_Data!W42)*12.9898+(Inputs!$C$6)*78.233+Inputs!$C$47*37.719))*43758.5453)))-1))))/1000))*COS(SQRT((Scenario_Data!W42)^2+Inputs!$C$6^2)/Inputs!$C$52))*1000)/Inputs!$C$21*1000000</f>
        <v/>
      </c>
    </row>
    <row r="43">
      <c r="A43">
        <f>Chart_Data!K43</f>
        <v/>
      </c>
      <c r="B43">
        <f>Chart_Data!N43-Chart_Data!L43</f>
        <v/>
      </c>
      <c r="D43">
        <f>Chart_Data!G43</f>
        <v/>
      </c>
      <c r="E43">
        <f>Chart_Data!H43</f>
        <v/>
      </c>
      <c r="F43">
        <f>Chart_Data!I43</f>
        <v/>
      </c>
      <c r="G43">
        <f>Chart_Data!J43</f>
        <v/>
      </c>
      <c r="I43">
        <f>Scenario_Data!A43</f>
        <v/>
      </c>
      <c r="J43">
        <f>Scenario_Data!H43-(((SQRT((Inputs!$C$52+(Inputs!$H$6))^2+Inputs!$C$52^2-2*(Inputs!$C$52+(Inputs!$H$6))*Inputs!$C$52*COS(SQRT((Scenario_Data!T43)^2+Inputs!$C$6^2)/Inputs!$C$52)))-(Inputs!$H$6))*1000/Inputs!$C$12)</f>
        <v/>
      </c>
      <c r="K43">
        <f>Scenario_Data!I43-(((SQRT((Inputs!$C$52+(Inputs!$H$7))^2+Inputs!$C$52^2-2*(Inputs!$C$52+(Inputs!$H$7))*Inputs!$C$52*COS(SQRT((Scenario_Data!U43)^2+Inputs!$C$6^2)/Inputs!$C$52)))-(Inputs!$H$7))*1000/Inputs!$C$12)</f>
        <v/>
      </c>
      <c r="L43">
        <f>Scenario_Data!J43-(((SQRT((Inputs!$C$52+(Inputs!$H$8))^2+Inputs!$C$52^2-2*(Inputs!$C$52+(Inputs!$H$8))*Inputs!$C$52*COS(SQRT((Scenario_Data!V43)^2+Inputs!$C$6^2)/Inputs!$C$52)))-(Inputs!$H$8))*1000/Inputs!$C$12)</f>
        <v/>
      </c>
      <c r="M43">
        <f>Scenario_Data!K43-(((SQRT((Inputs!$C$52+(Inputs!$H$9))^2+Inputs!$C$52^2-2*(Inputs!$C$52+(Inputs!$H$9))*Inputs!$C$52*COS(SQRT((Scenario_Data!W43)^2+Inputs!$C$6^2)/Inputs!$C$52)))-(Inputs!$H$9))*1000/Inputs!$C$12)</f>
        <v/>
      </c>
      <c r="O43">
        <f>Scenario_Data!T43</f>
        <v/>
      </c>
      <c r="P43">
        <f>2*(Scenario_Data!B43*1000)/Inputs!$C$21*1000000</f>
        <v/>
      </c>
      <c r="Q43">
        <f>Scenario_Data!U43</f>
        <v/>
      </c>
      <c r="R43">
        <f>2*(Scenario_Data!C43*1000)/Inputs!$C$21*1000000</f>
        <v/>
      </c>
      <c r="S43">
        <f>Scenario_Data!V43</f>
        <v/>
      </c>
      <c r="T43">
        <f>2*(Scenario_Data!D43*1000)/Inputs!$C$21*1000000</f>
        <v/>
      </c>
      <c r="U43">
        <f>Scenario_Data!W43</f>
        <v/>
      </c>
      <c r="V43">
        <f>2*(Scenario_Data!E43*1000)/Inputs!$C$21*1000000</f>
        <v/>
      </c>
      <c r="X43">
        <f>Scenario_Data!T43</f>
        <v/>
      </c>
      <c r="Y43">
        <f>2*((Scenario_Data!B43*1000)-(IF(OR(Inputs!$C$27=TRUE,Inputs!$C$27="TRUE",Inputs!$C$27=1),1,0)*(Inputs!$C$51*(115*EXP(-(((0)-25)^2)/(4.5^2))+70*EXP(-(((0)+38)^2)/(7^2))*(0.55+0.45*SIN(2*PI()*(Scenario_Data!T43)/45))+24*SIN(2*PI()*(0)/9+(Scenario_Data!T43)/18)*EXP(-(((0)+5)^2)/(22^2))+18*SIN(2*PI()*(Scenario_Data!T43)/70))+Inputs!$C$28*EXP(-(((Scenario_Data!T43)-Inputs!$C$29)^2)/(2*Inputs!$C$31^2))*EXP(-(((0)-Inputs!$C$30)^2)/(2*Inputs!$C$32^2))+-Inputs!$C$33*EXP(-(((((Scenario_Data!T43)-Inputs!$C$34)^2)+(((0)-Inputs!$C$35)^2))/(2*Inputs!$C$36^2)))+Inputs!$C$37*(0.55*SIN(2*PI()*(Scenario_Data!T43)/Inputs!$C$39)+0.35*COS(2*PI()*(0)/Inputs!$C$40)+0.2*SIN(2*PI()*((Scenario_Data!T43)+(0))/(0.5*(Inputs!$C$39+Inputs!$C$40))))+Inputs!$C$38*SIN(2*PI()*(Scenario_Data!T43)/Inputs!$C$39)*SIN(2*PI()*(0)/Inputs!$C$40)+-Inputs!$C$41*EXP(-(((0)-Inputs!$C$43)^2)/(2*Inputs!$C$44^2))*EXP(-(((Scenario_Data!T43)-Inputs!$C$42)^2)/(2*Inputs!$C$45^2))+Inputs!$C$48*(0.7*(0.45*SIN(2*PI()*(((Scenario_Data!T43)/Inputs!$C$49)+Inputs!$C$47*0.137))+0.35*COS(2*PI()*(((0)/Inputs!$C$50)+Inputs!$C$47*0.173))+0.2*SIN(2*PI()*((((Scenario_Data!T43)+(0))/(0.5*(Inputs!$C$49+Inputs!$C$50)))+Inputs!$C$47*0.097)))+0.3*(2*((SIN(((Scenario_Data!T43)*12.9898+(0)*78.233+Inputs!$C$47*37.719))*43758.5453)-INT((SIN(((Scenario_Data!T43)*12.9898+(0)*78.233+Inputs!$C$47*37.719))*43758.5453)))-1)))))/Inputs!$C$21*1000000</f>
        <v/>
      </c>
      <c r="Z43">
        <f>Scenario_Data!U43</f>
        <v/>
      </c>
      <c r="AA43">
        <f>2*((Scenario_Data!C43*1000)-(IF(OR(Inputs!$C$27=TRUE,Inputs!$C$27="TRUE",Inputs!$C$27=1),1,0)*(Inputs!$C$51*(115*EXP(-(((0)-25)^2)/(4.5^2))+70*EXP(-(((0)+38)^2)/(7^2))*(0.55+0.45*SIN(2*PI()*(Scenario_Data!U43)/45))+24*SIN(2*PI()*(0)/9+(Scenario_Data!U43)/18)*EXP(-(((0)+5)^2)/(22^2))+18*SIN(2*PI()*(Scenario_Data!U43)/70))+Inputs!$C$28*EXP(-(((Scenario_Data!U43)-Inputs!$C$29)^2)/(2*Inputs!$C$31^2))*EXP(-(((0)-Inputs!$C$30)^2)/(2*Inputs!$C$32^2))+-Inputs!$C$33*EXP(-(((((Scenario_Data!U43)-Inputs!$C$34)^2)+(((0)-Inputs!$C$35)^2))/(2*Inputs!$C$36^2)))+Inputs!$C$37*(0.55*SIN(2*PI()*(Scenario_Data!U43)/Inputs!$C$39)+0.35*COS(2*PI()*(0)/Inputs!$C$40)+0.2*SIN(2*PI()*((Scenario_Data!U43)+(0))/(0.5*(Inputs!$C$39+Inputs!$C$40))))+Inputs!$C$38*SIN(2*PI()*(Scenario_Data!U43)/Inputs!$C$39)*SIN(2*PI()*(0)/Inputs!$C$40)+-Inputs!$C$41*EXP(-(((0)-Inputs!$C$43)^2)/(2*Inputs!$C$44^2))*EXP(-(((Scenario_Data!U43)-Inputs!$C$42)^2)/(2*Inputs!$C$45^2))+Inputs!$C$48*(0.7*(0.45*SIN(2*PI()*(((Scenario_Data!U43)/Inputs!$C$49)+Inputs!$C$47*0.137))+0.35*COS(2*PI()*(((0)/Inputs!$C$50)+Inputs!$C$47*0.173))+0.2*SIN(2*PI()*((((Scenario_Data!U43)+(0))/(0.5*(Inputs!$C$49+Inputs!$C$50)))+Inputs!$C$47*0.097)))+0.3*(2*((SIN(((Scenario_Data!U43)*12.9898+(0)*78.233+Inputs!$C$47*37.719))*43758.5453)-INT((SIN(((Scenario_Data!U43)*12.9898+(0)*78.233+Inputs!$C$47*37.719))*43758.5453)))-1)))))/Inputs!$C$21*1000000</f>
        <v/>
      </c>
      <c r="AB43">
        <f>Scenario_Data!V43</f>
        <v/>
      </c>
      <c r="AC43">
        <f>2*((Scenario_Data!D43*1000)-(IF(OR(Inputs!$C$27=TRUE,Inputs!$C$27="TRUE",Inputs!$C$27=1),1,0)*(Inputs!$C$51*(115*EXP(-(((0)-25)^2)/(4.5^2))+70*EXP(-(((0)+38)^2)/(7^2))*(0.55+0.45*SIN(2*PI()*(Scenario_Data!V43)/45))+24*SIN(2*PI()*(0)/9+(Scenario_Data!V43)/18)*EXP(-(((0)+5)^2)/(22^2))+18*SIN(2*PI()*(Scenario_Data!V43)/70))+Inputs!$C$28*EXP(-(((Scenario_Data!V43)-Inputs!$C$29)^2)/(2*Inputs!$C$31^2))*EXP(-(((0)-Inputs!$C$30)^2)/(2*Inputs!$C$32^2))+-Inputs!$C$33*EXP(-(((((Scenario_Data!V43)-Inputs!$C$34)^2)+(((0)-Inputs!$C$35)^2))/(2*Inputs!$C$36^2)))+Inputs!$C$37*(0.55*SIN(2*PI()*(Scenario_Data!V43)/Inputs!$C$39)+0.35*COS(2*PI()*(0)/Inputs!$C$40)+0.2*SIN(2*PI()*((Scenario_Data!V43)+(0))/(0.5*(Inputs!$C$39+Inputs!$C$40))))+Inputs!$C$38*SIN(2*PI()*(Scenario_Data!V43)/Inputs!$C$39)*SIN(2*PI()*(0)/Inputs!$C$40)+-Inputs!$C$41*EXP(-(((0)-Inputs!$C$43)^2)/(2*Inputs!$C$44^2))*EXP(-(((Scenario_Data!V43)-Inputs!$C$42)^2)/(2*Inputs!$C$45^2))+Inputs!$C$48*(0.7*(0.45*SIN(2*PI()*(((Scenario_Data!V43)/Inputs!$C$49)+Inputs!$C$47*0.137))+0.35*COS(2*PI()*(((0)/Inputs!$C$50)+Inputs!$C$47*0.173))+0.2*SIN(2*PI()*((((Scenario_Data!V43)+(0))/(0.5*(Inputs!$C$49+Inputs!$C$50)))+Inputs!$C$47*0.097)))+0.3*(2*((SIN(((Scenario_Data!V43)*12.9898+(0)*78.233+Inputs!$C$47*37.719))*43758.5453)-INT((SIN(((Scenario_Data!V43)*12.9898+(0)*78.233+Inputs!$C$47*37.719))*43758.5453)))-1)))))/Inputs!$C$21*1000000</f>
        <v/>
      </c>
      <c r="AD43">
        <f>Scenario_Data!W43</f>
        <v/>
      </c>
      <c r="AE43">
        <f>2*((Scenario_Data!E43*1000)-(IF(OR(Inputs!$C$27=TRUE,Inputs!$C$27="TRUE",Inputs!$C$27=1),1,0)*(Inputs!$C$51*(115*EXP(-(((0)-25)^2)/(4.5^2))+70*EXP(-(((0)+38)^2)/(7^2))*(0.55+0.45*SIN(2*PI()*(Scenario_Data!W43)/45))+24*SIN(2*PI()*(0)/9+(Scenario_Data!W43)/18)*EXP(-(((0)+5)^2)/(22^2))+18*SIN(2*PI()*(Scenario_Data!W43)/70))+Inputs!$C$28*EXP(-(((Scenario_Data!W43)-Inputs!$C$29)^2)/(2*Inputs!$C$31^2))*EXP(-(((0)-Inputs!$C$30)^2)/(2*Inputs!$C$32^2))+-Inputs!$C$33*EXP(-(((((Scenario_Data!W43)-Inputs!$C$34)^2)+(((0)-Inputs!$C$35)^2))/(2*Inputs!$C$36^2)))+Inputs!$C$37*(0.55*SIN(2*PI()*(Scenario_Data!W43)/Inputs!$C$39)+0.35*COS(2*PI()*(0)/Inputs!$C$40)+0.2*SIN(2*PI()*((Scenario_Data!W43)+(0))/(0.5*(Inputs!$C$39+Inputs!$C$40))))+Inputs!$C$38*SIN(2*PI()*(Scenario_Data!W43)/Inputs!$C$39)*SIN(2*PI()*(0)/Inputs!$C$40)+-Inputs!$C$41*EXP(-(((0)-Inputs!$C$43)^2)/(2*Inputs!$C$44^2))*EXP(-(((Scenario_Data!W43)-Inputs!$C$42)^2)/(2*Inputs!$C$45^2))+Inputs!$C$48*(0.7*(0.45*SIN(2*PI()*(((Scenario_Data!W43)/Inputs!$C$49)+Inputs!$C$47*0.137))+0.35*COS(2*PI()*(((0)/Inputs!$C$50)+Inputs!$C$47*0.173))+0.2*SIN(2*PI()*((((Scenario_Data!W43)+(0))/(0.5*(Inputs!$C$49+Inputs!$C$50)))+Inputs!$C$47*0.097)))+0.3*(2*((SIN(((Scenario_Data!W43)*12.9898+(0)*78.233+Inputs!$C$47*37.719))*43758.5453)-INT((SIN(((Scenario_Data!W43)*12.9898+(0)*78.233+Inputs!$C$47*37.719))*43758.5453)))-1)))))/Inputs!$C$21*1000000</f>
        <v/>
      </c>
      <c r="AG43">
        <f>Scenario_Data!T43</f>
        <v/>
      </c>
      <c r="AH43">
        <f>2*(SQRT((Inputs!$C$52+(Scenario_Data!B43))^2+Inputs!$C$52^2-2*(Inputs!$C$52+(Scenario_Data!B43))*Inputs!$C$52*COS(SQRT((Scenario_Data!T43)^2+Inputs!$C$6^2)/Inputs!$C$52))*1000)/Inputs!$C$21*1000000</f>
        <v/>
      </c>
      <c r="AI43">
        <f>Scenario_Data!U43</f>
        <v/>
      </c>
      <c r="AJ43">
        <f>2*(SQRT((Inputs!$C$52+(Scenario_Data!C43))^2+Inputs!$C$52^2-2*(Inputs!$C$52+(Scenario_Data!C43))*Inputs!$C$52*COS(SQRT((Scenario_Data!U43)^2+Inputs!$C$6^2)/Inputs!$C$52))*1000)/Inputs!$C$21*1000000</f>
        <v/>
      </c>
      <c r="AK43">
        <f>Scenario_Data!V43</f>
        <v/>
      </c>
      <c r="AL43">
        <f>2*(SQRT((Inputs!$C$52+(Scenario_Data!D43))^2+Inputs!$C$52^2-2*(Inputs!$C$52+(Scenario_Data!D43))*Inputs!$C$52*COS(SQRT((Scenario_Data!V43)^2+Inputs!$C$6^2)/Inputs!$C$52))*1000)/Inputs!$C$21*1000000</f>
        <v/>
      </c>
      <c r="AM43">
        <f>Scenario_Data!W43</f>
        <v/>
      </c>
      <c r="AN43">
        <f>2*(SQRT((Inputs!$C$52+(Scenario_Data!E43))^2+Inputs!$C$52^2-2*(Inputs!$C$52+(Scenario_Data!E43))*Inputs!$C$52*COS(SQRT((Scenario_Data!W43)^2+Inputs!$C$6^2)/Inputs!$C$52))*1000)/Inputs!$C$21*1000000</f>
        <v/>
      </c>
      <c r="AP43">
        <f>Scenario_Data!T43</f>
        <v/>
      </c>
      <c r="AQ43">
        <f>2*(SQRT((Inputs!$C$52+(Scenario_Data!B43))^2+(Inputs!$C$52+((IF(OR(Inputs!$C$27=TRUE,Inputs!$C$27="TRUE",Inputs!$C$27=1),1,0)*(Inputs!$C$51*(115*EXP(-(((Inputs!$C$6)-25)^2)/(4.5^2))+70*EXP(-(((Inputs!$C$6)+38)^2)/(7^2))*(0.55+0.45*SIN(2*PI()*(Scenario_Data!T43)/45))+24*SIN(2*PI()*(Inputs!$C$6)/9+(Scenario_Data!T43)/18)*EXP(-(((Inputs!$C$6)+5)^2)/(22^2))+18*SIN(2*PI()*(Scenario_Data!T43)/70))+Inputs!$C$28*EXP(-(((Scenario_Data!T43)-Inputs!$C$29)^2)/(2*Inputs!$C$31^2))*EXP(-(((Inputs!$C$6)-Inputs!$C$30)^2)/(2*Inputs!$C$32^2))+-Inputs!$C$33*EXP(-(((((Scenario_Data!T43)-Inputs!$C$34)^2)+(((Inputs!$C$6)-Inputs!$C$35)^2))/(2*Inputs!$C$36^2)))+Inputs!$C$37*(0.55*SIN(2*PI()*(Scenario_Data!T43)/Inputs!$C$39)+0.35*COS(2*PI()*(Inputs!$C$6)/Inputs!$C$40)+0.2*SIN(2*PI()*((Scenario_Data!T43)+(Inputs!$C$6))/(0.5*(Inputs!$C$39+Inputs!$C$40))))+Inputs!$C$38*SIN(2*PI()*(Scenario_Data!T43)/Inputs!$C$39)*SIN(2*PI()*(Inputs!$C$6)/Inputs!$C$40)+-Inputs!$C$41*EXP(-(((Inputs!$C$6)-Inputs!$C$43)^2)/(2*Inputs!$C$44^2))*EXP(-(((Scenario_Data!T43)-Inputs!$C$42)^2)/(2*Inputs!$C$45^2))+Inputs!$C$48*(0.7*(0.45*SIN(2*PI()*(((Scenario_Data!T43)/Inputs!$C$49)+Inputs!$C$47*0.137))+0.35*COS(2*PI()*(((Inputs!$C$6)/Inputs!$C$50)+Inputs!$C$47*0.173))+0.2*SIN(2*PI()*((((Scenario_Data!T43)+(Inputs!$C$6))/(0.5*(Inputs!$C$49+Inputs!$C$50)))+Inputs!$C$47*0.097)))+0.3*(2*((SIN(((Scenario_Data!T43)*12.9898+(Inputs!$C$6)*78.233+Inputs!$C$47*37.719))*43758.5453)-INT((SIN(((Scenario_Data!T43)*12.9898+(Inputs!$C$6)*78.233+Inputs!$C$47*37.719))*43758.5453)))-1))))/1000))^2-2*(Inputs!$C$52+(Scenario_Data!B43))*(Inputs!$C$52+((IF(OR(Inputs!$C$27=TRUE,Inputs!$C$27="TRUE",Inputs!$C$27=1),1,0)*(Inputs!$C$51*(115*EXP(-(((Inputs!$C$6)-25)^2)/(4.5^2))+70*EXP(-(((Inputs!$C$6)+38)^2)/(7^2))*(0.55+0.45*SIN(2*PI()*(Scenario_Data!T43)/45))+24*SIN(2*PI()*(Inputs!$C$6)/9+(Scenario_Data!T43)/18)*EXP(-(((Inputs!$C$6)+5)^2)/(22^2))+18*SIN(2*PI()*(Scenario_Data!T43)/70))+Inputs!$C$28*EXP(-(((Scenario_Data!T43)-Inputs!$C$29)^2)/(2*Inputs!$C$31^2))*EXP(-(((Inputs!$C$6)-Inputs!$C$30)^2)/(2*Inputs!$C$32^2))+-Inputs!$C$33*EXP(-(((((Scenario_Data!T43)-Inputs!$C$34)^2)+(((Inputs!$C$6)-Inputs!$C$35)^2))/(2*Inputs!$C$36^2)))+Inputs!$C$37*(0.55*SIN(2*PI()*(Scenario_Data!T43)/Inputs!$C$39)+0.35*COS(2*PI()*(Inputs!$C$6)/Inputs!$C$40)+0.2*SIN(2*PI()*((Scenario_Data!T43)+(Inputs!$C$6))/(0.5*(Inputs!$C$39+Inputs!$C$40))))+Inputs!$C$38*SIN(2*PI()*(Scenario_Data!T43)/Inputs!$C$39)*SIN(2*PI()*(Inputs!$C$6)/Inputs!$C$40)+-Inputs!$C$41*EXP(-(((Inputs!$C$6)-Inputs!$C$43)^2)/(2*Inputs!$C$44^2))*EXP(-(((Scenario_Data!T43)-Inputs!$C$42)^2)/(2*Inputs!$C$45^2))+Inputs!$C$48*(0.7*(0.45*SIN(2*PI()*(((Scenario_Data!T43)/Inputs!$C$49)+Inputs!$C$47*0.137))+0.35*COS(2*PI()*(((Inputs!$C$6)/Inputs!$C$50)+Inputs!$C$47*0.173))+0.2*SIN(2*PI()*((((Scenario_Data!T43)+(Inputs!$C$6))/(0.5*(Inputs!$C$49+Inputs!$C$50)))+Inputs!$C$47*0.097)))+0.3*(2*((SIN(((Scenario_Data!T43)*12.9898+(Inputs!$C$6)*78.233+Inputs!$C$47*37.719))*43758.5453)-INT((SIN(((Scenario_Data!T43)*12.9898+(Inputs!$C$6)*78.233+Inputs!$C$47*37.719))*43758.5453)))-1))))/1000))*COS(SQRT((Scenario_Data!T43)^2+Inputs!$C$6^2)/Inputs!$C$52))*1000)/Inputs!$C$21*1000000</f>
        <v/>
      </c>
      <c r="AR43">
        <f>Scenario_Data!U43</f>
        <v/>
      </c>
      <c r="AS43">
        <f>2*(SQRT((Inputs!$C$52+(Scenario_Data!C43))^2+(Inputs!$C$52+((IF(OR(Inputs!$C$27=TRUE,Inputs!$C$27="TRUE",Inputs!$C$27=1),1,0)*(Inputs!$C$51*(115*EXP(-(((Inputs!$C$6)-25)^2)/(4.5^2))+70*EXP(-(((Inputs!$C$6)+38)^2)/(7^2))*(0.55+0.45*SIN(2*PI()*(Scenario_Data!U43)/45))+24*SIN(2*PI()*(Inputs!$C$6)/9+(Scenario_Data!U43)/18)*EXP(-(((Inputs!$C$6)+5)^2)/(22^2))+18*SIN(2*PI()*(Scenario_Data!U43)/70))+Inputs!$C$28*EXP(-(((Scenario_Data!U43)-Inputs!$C$29)^2)/(2*Inputs!$C$31^2))*EXP(-(((Inputs!$C$6)-Inputs!$C$30)^2)/(2*Inputs!$C$32^2))+-Inputs!$C$33*EXP(-(((((Scenario_Data!U43)-Inputs!$C$34)^2)+(((Inputs!$C$6)-Inputs!$C$35)^2))/(2*Inputs!$C$36^2)))+Inputs!$C$37*(0.55*SIN(2*PI()*(Scenario_Data!U43)/Inputs!$C$39)+0.35*COS(2*PI()*(Inputs!$C$6)/Inputs!$C$40)+0.2*SIN(2*PI()*((Scenario_Data!U43)+(Inputs!$C$6))/(0.5*(Inputs!$C$39+Inputs!$C$40))))+Inputs!$C$38*SIN(2*PI()*(Scenario_Data!U43)/Inputs!$C$39)*SIN(2*PI()*(Inputs!$C$6)/Inputs!$C$40)+-Inputs!$C$41*EXP(-(((Inputs!$C$6)-Inputs!$C$43)^2)/(2*Inputs!$C$44^2))*EXP(-(((Scenario_Data!U43)-Inputs!$C$42)^2)/(2*Inputs!$C$45^2))+Inputs!$C$48*(0.7*(0.45*SIN(2*PI()*(((Scenario_Data!U43)/Inputs!$C$49)+Inputs!$C$47*0.137))+0.35*COS(2*PI()*(((Inputs!$C$6)/Inputs!$C$50)+Inputs!$C$47*0.173))+0.2*SIN(2*PI()*((((Scenario_Data!U43)+(Inputs!$C$6))/(0.5*(Inputs!$C$49+Inputs!$C$50)))+Inputs!$C$47*0.097)))+0.3*(2*((SIN(((Scenario_Data!U43)*12.9898+(Inputs!$C$6)*78.233+Inputs!$C$47*37.719))*43758.5453)-INT((SIN(((Scenario_Data!U43)*12.9898+(Inputs!$C$6)*78.233+Inputs!$C$47*37.719))*43758.5453)))-1))))/1000))^2-2*(Inputs!$C$52+(Scenario_Data!C43))*(Inputs!$C$52+((IF(OR(Inputs!$C$27=TRUE,Inputs!$C$27="TRUE",Inputs!$C$27=1),1,0)*(Inputs!$C$51*(115*EXP(-(((Inputs!$C$6)-25)^2)/(4.5^2))+70*EXP(-(((Inputs!$C$6)+38)^2)/(7^2))*(0.55+0.45*SIN(2*PI()*(Scenario_Data!U43)/45))+24*SIN(2*PI()*(Inputs!$C$6)/9+(Scenario_Data!U43)/18)*EXP(-(((Inputs!$C$6)+5)^2)/(22^2))+18*SIN(2*PI()*(Scenario_Data!U43)/70))+Inputs!$C$28*EXP(-(((Scenario_Data!U43)-Inputs!$C$29)^2)/(2*Inputs!$C$31^2))*EXP(-(((Inputs!$C$6)-Inputs!$C$30)^2)/(2*Inputs!$C$32^2))+-Inputs!$C$33*EXP(-(((((Scenario_Data!U43)-Inputs!$C$34)^2)+(((Inputs!$C$6)-Inputs!$C$35)^2))/(2*Inputs!$C$36^2)))+Inputs!$C$37*(0.55*SIN(2*PI()*(Scenario_Data!U43)/Inputs!$C$39)+0.35*COS(2*PI()*(Inputs!$C$6)/Inputs!$C$40)+0.2*SIN(2*PI()*((Scenario_Data!U43)+(Inputs!$C$6))/(0.5*(Inputs!$C$39+Inputs!$C$40))))+Inputs!$C$38*SIN(2*PI()*(Scenario_Data!U43)/Inputs!$C$39)*SIN(2*PI()*(Inputs!$C$6)/Inputs!$C$40)+-Inputs!$C$41*EXP(-(((Inputs!$C$6)-Inputs!$C$43)^2)/(2*Inputs!$C$44^2))*EXP(-(((Scenario_Data!U43)-Inputs!$C$42)^2)/(2*Inputs!$C$45^2))+Inputs!$C$48*(0.7*(0.45*SIN(2*PI()*(((Scenario_Data!U43)/Inputs!$C$49)+Inputs!$C$47*0.137))+0.35*COS(2*PI()*(((Inputs!$C$6)/Inputs!$C$50)+Inputs!$C$47*0.173))+0.2*SIN(2*PI()*((((Scenario_Data!U43)+(Inputs!$C$6))/(0.5*(Inputs!$C$49+Inputs!$C$50)))+Inputs!$C$47*0.097)))+0.3*(2*((SIN(((Scenario_Data!U43)*12.9898+(Inputs!$C$6)*78.233+Inputs!$C$47*37.719))*43758.5453)-INT((SIN(((Scenario_Data!U43)*12.9898+(Inputs!$C$6)*78.233+Inputs!$C$47*37.719))*43758.5453)))-1))))/1000))*COS(SQRT((Scenario_Data!U43)^2+Inputs!$C$6^2)/Inputs!$C$52))*1000)/Inputs!$C$21*1000000</f>
        <v/>
      </c>
      <c r="AT43">
        <f>Scenario_Data!V43</f>
        <v/>
      </c>
      <c r="AU43">
        <f>2*(SQRT((Inputs!$C$52+(Scenario_Data!D43))^2+(Inputs!$C$52+((IF(OR(Inputs!$C$27=TRUE,Inputs!$C$27="TRUE",Inputs!$C$27=1),1,0)*(Inputs!$C$51*(115*EXP(-(((Inputs!$C$6)-25)^2)/(4.5^2))+70*EXP(-(((Inputs!$C$6)+38)^2)/(7^2))*(0.55+0.45*SIN(2*PI()*(Scenario_Data!V43)/45))+24*SIN(2*PI()*(Inputs!$C$6)/9+(Scenario_Data!V43)/18)*EXP(-(((Inputs!$C$6)+5)^2)/(22^2))+18*SIN(2*PI()*(Scenario_Data!V43)/70))+Inputs!$C$28*EXP(-(((Scenario_Data!V43)-Inputs!$C$29)^2)/(2*Inputs!$C$31^2))*EXP(-(((Inputs!$C$6)-Inputs!$C$30)^2)/(2*Inputs!$C$32^2))+-Inputs!$C$33*EXP(-(((((Scenario_Data!V43)-Inputs!$C$34)^2)+(((Inputs!$C$6)-Inputs!$C$35)^2))/(2*Inputs!$C$36^2)))+Inputs!$C$37*(0.55*SIN(2*PI()*(Scenario_Data!V43)/Inputs!$C$39)+0.35*COS(2*PI()*(Inputs!$C$6)/Inputs!$C$40)+0.2*SIN(2*PI()*((Scenario_Data!V43)+(Inputs!$C$6))/(0.5*(Inputs!$C$39+Inputs!$C$40))))+Inputs!$C$38*SIN(2*PI()*(Scenario_Data!V43)/Inputs!$C$39)*SIN(2*PI()*(Inputs!$C$6)/Inputs!$C$40)+-Inputs!$C$41*EXP(-(((Inputs!$C$6)-Inputs!$C$43)^2)/(2*Inputs!$C$44^2))*EXP(-(((Scenario_Data!V43)-Inputs!$C$42)^2)/(2*Inputs!$C$45^2))+Inputs!$C$48*(0.7*(0.45*SIN(2*PI()*(((Scenario_Data!V43)/Inputs!$C$49)+Inputs!$C$47*0.137))+0.35*COS(2*PI()*(((Inputs!$C$6)/Inputs!$C$50)+Inputs!$C$47*0.173))+0.2*SIN(2*PI()*((((Scenario_Data!V43)+(Inputs!$C$6))/(0.5*(Inputs!$C$49+Inputs!$C$50)))+Inputs!$C$47*0.097)))+0.3*(2*((SIN(((Scenario_Data!V43)*12.9898+(Inputs!$C$6)*78.233+Inputs!$C$47*37.719))*43758.5453)-INT((SIN(((Scenario_Data!V43)*12.9898+(Inputs!$C$6)*78.233+Inputs!$C$47*37.719))*43758.5453)))-1))))/1000))^2-2*(Inputs!$C$52+(Scenario_Data!D43))*(Inputs!$C$52+((IF(OR(Inputs!$C$27=TRUE,Inputs!$C$27="TRUE",Inputs!$C$27=1),1,0)*(Inputs!$C$51*(115*EXP(-(((Inputs!$C$6)-25)^2)/(4.5^2))+70*EXP(-(((Inputs!$C$6)+38)^2)/(7^2))*(0.55+0.45*SIN(2*PI()*(Scenario_Data!V43)/45))+24*SIN(2*PI()*(Inputs!$C$6)/9+(Scenario_Data!V43)/18)*EXP(-(((Inputs!$C$6)+5)^2)/(22^2))+18*SIN(2*PI()*(Scenario_Data!V43)/70))+Inputs!$C$28*EXP(-(((Scenario_Data!V43)-Inputs!$C$29)^2)/(2*Inputs!$C$31^2))*EXP(-(((Inputs!$C$6)-Inputs!$C$30)^2)/(2*Inputs!$C$32^2))+-Inputs!$C$33*EXP(-(((((Scenario_Data!V43)-Inputs!$C$34)^2)+(((Inputs!$C$6)-Inputs!$C$35)^2))/(2*Inputs!$C$36^2)))+Inputs!$C$37*(0.55*SIN(2*PI()*(Scenario_Data!V43)/Inputs!$C$39)+0.35*COS(2*PI()*(Inputs!$C$6)/Inputs!$C$40)+0.2*SIN(2*PI()*((Scenario_Data!V43)+(Inputs!$C$6))/(0.5*(Inputs!$C$39+Inputs!$C$40))))+Inputs!$C$38*SIN(2*PI()*(Scenario_Data!V43)/Inputs!$C$39)*SIN(2*PI()*(Inputs!$C$6)/Inputs!$C$40)+-Inputs!$C$41*EXP(-(((Inputs!$C$6)-Inputs!$C$43)^2)/(2*Inputs!$C$44^2))*EXP(-(((Scenario_Data!V43)-Inputs!$C$42)^2)/(2*Inputs!$C$45^2))+Inputs!$C$48*(0.7*(0.45*SIN(2*PI()*(((Scenario_Data!V43)/Inputs!$C$49)+Inputs!$C$47*0.137))+0.35*COS(2*PI()*(((Inputs!$C$6)/Inputs!$C$50)+Inputs!$C$47*0.173))+0.2*SIN(2*PI()*((((Scenario_Data!V43)+(Inputs!$C$6))/(0.5*(Inputs!$C$49+Inputs!$C$50)))+Inputs!$C$47*0.097)))+0.3*(2*((SIN(((Scenario_Data!V43)*12.9898+(Inputs!$C$6)*78.233+Inputs!$C$47*37.719))*43758.5453)-INT((SIN(((Scenario_Data!V43)*12.9898+(Inputs!$C$6)*78.233+Inputs!$C$47*37.719))*43758.5453)))-1))))/1000))*COS(SQRT((Scenario_Data!V43)^2+Inputs!$C$6^2)/Inputs!$C$52))*1000)/Inputs!$C$21*1000000</f>
        <v/>
      </c>
      <c r="AV43">
        <f>Scenario_Data!W43</f>
        <v/>
      </c>
      <c r="AW43">
        <f>2*(SQRT((Inputs!$C$52+(Scenario_Data!E43))^2+(Inputs!$C$52+((IF(OR(Inputs!$C$27=TRUE,Inputs!$C$27="TRUE",Inputs!$C$27=1),1,0)*(Inputs!$C$51*(115*EXP(-(((Inputs!$C$6)-25)^2)/(4.5^2))+70*EXP(-(((Inputs!$C$6)+38)^2)/(7^2))*(0.55+0.45*SIN(2*PI()*(Scenario_Data!W43)/45))+24*SIN(2*PI()*(Inputs!$C$6)/9+(Scenario_Data!W43)/18)*EXP(-(((Inputs!$C$6)+5)^2)/(22^2))+18*SIN(2*PI()*(Scenario_Data!W43)/70))+Inputs!$C$28*EXP(-(((Scenario_Data!W43)-Inputs!$C$29)^2)/(2*Inputs!$C$31^2))*EXP(-(((Inputs!$C$6)-Inputs!$C$30)^2)/(2*Inputs!$C$32^2))+-Inputs!$C$33*EXP(-(((((Scenario_Data!W43)-Inputs!$C$34)^2)+(((Inputs!$C$6)-Inputs!$C$35)^2))/(2*Inputs!$C$36^2)))+Inputs!$C$37*(0.55*SIN(2*PI()*(Scenario_Data!W43)/Inputs!$C$39)+0.35*COS(2*PI()*(Inputs!$C$6)/Inputs!$C$40)+0.2*SIN(2*PI()*((Scenario_Data!W43)+(Inputs!$C$6))/(0.5*(Inputs!$C$39+Inputs!$C$40))))+Inputs!$C$38*SIN(2*PI()*(Scenario_Data!W43)/Inputs!$C$39)*SIN(2*PI()*(Inputs!$C$6)/Inputs!$C$40)+-Inputs!$C$41*EXP(-(((Inputs!$C$6)-Inputs!$C$43)^2)/(2*Inputs!$C$44^2))*EXP(-(((Scenario_Data!W43)-Inputs!$C$42)^2)/(2*Inputs!$C$45^2))+Inputs!$C$48*(0.7*(0.45*SIN(2*PI()*(((Scenario_Data!W43)/Inputs!$C$49)+Inputs!$C$47*0.137))+0.35*COS(2*PI()*(((Inputs!$C$6)/Inputs!$C$50)+Inputs!$C$47*0.173))+0.2*SIN(2*PI()*((((Scenario_Data!W43)+(Inputs!$C$6))/(0.5*(Inputs!$C$49+Inputs!$C$50)))+Inputs!$C$47*0.097)))+0.3*(2*((SIN(((Scenario_Data!W43)*12.9898+(Inputs!$C$6)*78.233+Inputs!$C$47*37.719))*43758.5453)-INT((SIN(((Scenario_Data!W43)*12.9898+(Inputs!$C$6)*78.233+Inputs!$C$47*37.719))*43758.5453)))-1))))/1000))^2-2*(Inputs!$C$52+(Scenario_Data!E43))*(Inputs!$C$52+((IF(OR(Inputs!$C$27=TRUE,Inputs!$C$27="TRUE",Inputs!$C$27=1),1,0)*(Inputs!$C$51*(115*EXP(-(((Inputs!$C$6)-25)^2)/(4.5^2))+70*EXP(-(((Inputs!$C$6)+38)^2)/(7^2))*(0.55+0.45*SIN(2*PI()*(Scenario_Data!W43)/45))+24*SIN(2*PI()*(Inputs!$C$6)/9+(Scenario_Data!W43)/18)*EXP(-(((Inputs!$C$6)+5)^2)/(22^2))+18*SIN(2*PI()*(Scenario_Data!W43)/70))+Inputs!$C$28*EXP(-(((Scenario_Data!W43)-Inputs!$C$29)^2)/(2*Inputs!$C$31^2))*EXP(-(((Inputs!$C$6)-Inputs!$C$30)^2)/(2*Inputs!$C$32^2))+-Inputs!$C$33*EXP(-(((((Scenario_Data!W43)-Inputs!$C$34)^2)+(((Inputs!$C$6)-Inputs!$C$35)^2))/(2*Inputs!$C$36^2)))+Inputs!$C$37*(0.55*SIN(2*PI()*(Scenario_Data!W43)/Inputs!$C$39)+0.35*COS(2*PI()*(Inputs!$C$6)/Inputs!$C$40)+0.2*SIN(2*PI()*((Scenario_Data!W43)+(Inputs!$C$6))/(0.5*(Inputs!$C$39+Inputs!$C$40))))+Inputs!$C$38*SIN(2*PI()*(Scenario_Data!W43)/Inputs!$C$39)*SIN(2*PI()*(Inputs!$C$6)/Inputs!$C$40)+-Inputs!$C$41*EXP(-(((Inputs!$C$6)-Inputs!$C$43)^2)/(2*Inputs!$C$44^2))*EXP(-(((Scenario_Data!W43)-Inputs!$C$42)^2)/(2*Inputs!$C$45^2))+Inputs!$C$48*(0.7*(0.45*SIN(2*PI()*(((Scenario_Data!W43)/Inputs!$C$49)+Inputs!$C$47*0.137))+0.35*COS(2*PI()*(((Inputs!$C$6)/Inputs!$C$50)+Inputs!$C$47*0.173))+0.2*SIN(2*PI()*((((Scenario_Data!W43)+(Inputs!$C$6))/(0.5*(Inputs!$C$49+Inputs!$C$50)))+Inputs!$C$47*0.097)))+0.3*(2*((SIN(((Scenario_Data!W43)*12.9898+(Inputs!$C$6)*78.233+Inputs!$C$47*37.719))*43758.5453)-INT((SIN(((Scenario_Data!W43)*12.9898+(Inputs!$C$6)*78.233+Inputs!$C$47*37.719))*43758.5453)))-1))))/1000))*COS(SQRT((Scenario_Data!W43)^2+Inputs!$C$6^2)/Inputs!$C$52))*1000)/Inputs!$C$21*1000000</f>
        <v/>
      </c>
    </row>
    <row r="44">
      <c r="A44">
        <f>Chart_Data!K44</f>
        <v/>
      </c>
      <c r="B44">
        <f>Chart_Data!N44-Chart_Data!L44</f>
        <v/>
      </c>
      <c r="D44">
        <f>Chart_Data!G44</f>
        <v/>
      </c>
      <c r="E44">
        <f>Chart_Data!H44</f>
        <v/>
      </c>
      <c r="F44">
        <f>Chart_Data!I44</f>
        <v/>
      </c>
      <c r="G44">
        <f>Chart_Data!J44</f>
        <v/>
      </c>
      <c r="I44">
        <f>Scenario_Data!A44</f>
        <v/>
      </c>
      <c r="J44">
        <f>Scenario_Data!H44-(((SQRT((Inputs!$C$52+(Inputs!$H$6))^2+Inputs!$C$52^2-2*(Inputs!$C$52+(Inputs!$H$6))*Inputs!$C$52*COS(SQRT((Scenario_Data!T44)^2+Inputs!$C$6^2)/Inputs!$C$52)))-(Inputs!$H$6))*1000/Inputs!$C$12)</f>
        <v/>
      </c>
      <c r="K44">
        <f>Scenario_Data!I44-(((SQRT((Inputs!$C$52+(Inputs!$H$7))^2+Inputs!$C$52^2-2*(Inputs!$C$52+(Inputs!$H$7))*Inputs!$C$52*COS(SQRT((Scenario_Data!U44)^2+Inputs!$C$6^2)/Inputs!$C$52)))-(Inputs!$H$7))*1000/Inputs!$C$12)</f>
        <v/>
      </c>
      <c r="L44">
        <f>Scenario_Data!J44-(((SQRT((Inputs!$C$52+(Inputs!$H$8))^2+Inputs!$C$52^2-2*(Inputs!$C$52+(Inputs!$H$8))*Inputs!$C$52*COS(SQRT((Scenario_Data!V44)^2+Inputs!$C$6^2)/Inputs!$C$52)))-(Inputs!$H$8))*1000/Inputs!$C$12)</f>
        <v/>
      </c>
      <c r="M44">
        <f>Scenario_Data!K44-(((SQRT((Inputs!$C$52+(Inputs!$H$9))^2+Inputs!$C$52^2-2*(Inputs!$C$52+(Inputs!$H$9))*Inputs!$C$52*COS(SQRT((Scenario_Data!W44)^2+Inputs!$C$6^2)/Inputs!$C$52)))-(Inputs!$H$9))*1000/Inputs!$C$12)</f>
        <v/>
      </c>
      <c r="O44">
        <f>Scenario_Data!T44</f>
        <v/>
      </c>
      <c r="P44">
        <f>2*(Scenario_Data!B44*1000)/Inputs!$C$21*1000000</f>
        <v/>
      </c>
      <c r="Q44">
        <f>Scenario_Data!U44</f>
        <v/>
      </c>
      <c r="R44">
        <f>2*(Scenario_Data!C44*1000)/Inputs!$C$21*1000000</f>
        <v/>
      </c>
      <c r="S44">
        <f>Scenario_Data!V44</f>
        <v/>
      </c>
      <c r="T44">
        <f>2*(Scenario_Data!D44*1000)/Inputs!$C$21*1000000</f>
        <v/>
      </c>
      <c r="U44">
        <f>Scenario_Data!W44</f>
        <v/>
      </c>
      <c r="V44">
        <f>2*(Scenario_Data!E44*1000)/Inputs!$C$21*1000000</f>
        <v/>
      </c>
      <c r="X44">
        <f>Scenario_Data!T44</f>
        <v/>
      </c>
      <c r="Y44">
        <f>2*((Scenario_Data!B44*1000)-(IF(OR(Inputs!$C$27=TRUE,Inputs!$C$27="TRUE",Inputs!$C$27=1),1,0)*(Inputs!$C$51*(115*EXP(-(((0)-25)^2)/(4.5^2))+70*EXP(-(((0)+38)^2)/(7^2))*(0.55+0.45*SIN(2*PI()*(Scenario_Data!T44)/45))+24*SIN(2*PI()*(0)/9+(Scenario_Data!T44)/18)*EXP(-(((0)+5)^2)/(22^2))+18*SIN(2*PI()*(Scenario_Data!T44)/70))+Inputs!$C$28*EXP(-(((Scenario_Data!T44)-Inputs!$C$29)^2)/(2*Inputs!$C$31^2))*EXP(-(((0)-Inputs!$C$30)^2)/(2*Inputs!$C$32^2))+-Inputs!$C$33*EXP(-(((((Scenario_Data!T44)-Inputs!$C$34)^2)+(((0)-Inputs!$C$35)^2))/(2*Inputs!$C$36^2)))+Inputs!$C$37*(0.55*SIN(2*PI()*(Scenario_Data!T44)/Inputs!$C$39)+0.35*COS(2*PI()*(0)/Inputs!$C$40)+0.2*SIN(2*PI()*((Scenario_Data!T44)+(0))/(0.5*(Inputs!$C$39+Inputs!$C$40))))+Inputs!$C$38*SIN(2*PI()*(Scenario_Data!T44)/Inputs!$C$39)*SIN(2*PI()*(0)/Inputs!$C$40)+-Inputs!$C$41*EXP(-(((0)-Inputs!$C$43)^2)/(2*Inputs!$C$44^2))*EXP(-(((Scenario_Data!T44)-Inputs!$C$42)^2)/(2*Inputs!$C$45^2))+Inputs!$C$48*(0.7*(0.45*SIN(2*PI()*(((Scenario_Data!T44)/Inputs!$C$49)+Inputs!$C$47*0.137))+0.35*COS(2*PI()*(((0)/Inputs!$C$50)+Inputs!$C$47*0.173))+0.2*SIN(2*PI()*((((Scenario_Data!T44)+(0))/(0.5*(Inputs!$C$49+Inputs!$C$50)))+Inputs!$C$47*0.097)))+0.3*(2*((SIN(((Scenario_Data!T44)*12.9898+(0)*78.233+Inputs!$C$47*37.719))*43758.5453)-INT((SIN(((Scenario_Data!T44)*12.9898+(0)*78.233+Inputs!$C$47*37.719))*43758.5453)))-1)))))/Inputs!$C$21*1000000</f>
        <v/>
      </c>
      <c r="Z44">
        <f>Scenario_Data!U44</f>
        <v/>
      </c>
      <c r="AA44">
        <f>2*((Scenario_Data!C44*1000)-(IF(OR(Inputs!$C$27=TRUE,Inputs!$C$27="TRUE",Inputs!$C$27=1),1,0)*(Inputs!$C$51*(115*EXP(-(((0)-25)^2)/(4.5^2))+70*EXP(-(((0)+38)^2)/(7^2))*(0.55+0.45*SIN(2*PI()*(Scenario_Data!U44)/45))+24*SIN(2*PI()*(0)/9+(Scenario_Data!U44)/18)*EXP(-(((0)+5)^2)/(22^2))+18*SIN(2*PI()*(Scenario_Data!U44)/70))+Inputs!$C$28*EXP(-(((Scenario_Data!U44)-Inputs!$C$29)^2)/(2*Inputs!$C$31^2))*EXP(-(((0)-Inputs!$C$30)^2)/(2*Inputs!$C$32^2))+-Inputs!$C$33*EXP(-(((((Scenario_Data!U44)-Inputs!$C$34)^2)+(((0)-Inputs!$C$35)^2))/(2*Inputs!$C$36^2)))+Inputs!$C$37*(0.55*SIN(2*PI()*(Scenario_Data!U44)/Inputs!$C$39)+0.35*COS(2*PI()*(0)/Inputs!$C$40)+0.2*SIN(2*PI()*((Scenario_Data!U44)+(0))/(0.5*(Inputs!$C$39+Inputs!$C$40))))+Inputs!$C$38*SIN(2*PI()*(Scenario_Data!U44)/Inputs!$C$39)*SIN(2*PI()*(0)/Inputs!$C$40)+-Inputs!$C$41*EXP(-(((0)-Inputs!$C$43)^2)/(2*Inputs!$C$44^2))*EXP(-(((Scenario_Data!U44)-Inputs!$C$42)^2)/(2*Inputs!$C$45^2))+Inputs!$C$48*(0.7*(0.45*SIN(2*PI()*(((Scenario_Data!U44)/Inputs!$C$49)+Inputs!$C$47*0.137))+0.35*COS(2*PI()*(((0)/Inputs!$C$50)+Inputs!$C$47*0.173))+0.2*SIN(2*PI()*((((Scenario_Data!U44)+(0))/(0.5*(Inputs!$C$49+Inputs!$C$50)))+Inputs!$C$47*0.097)))+0.3*(2*((SIN(((Scenario_Data!U44)*12.9898+(0)*78.233+Inputs!$C$47*37.719))*43758.5453)-INT((SIN(((Scenario_Data!U44)*12.9898+(0)*78.233+Inputs!$C$47*37.719))*43758.5453)))-1)))))/Inputs!$C$21*1000000</f>
        <v/>
      </c>
      <c r="AB44">
        <f>Scenario_Data!V44</f>
        <v/>
      </c>
      <c r="AC44">
        <f>2*((Scenario_Data!D44*1000)-(IF(OR(Inputs!$C$27=TRUE,Inputs!$C$27="TRUE",Inputs!$C$27=1),1,0)*(Inputs!$C$51*(115*EXP(-(((0)-25)^2)/(4.5^2))+70*EXP(-(((0)+38)^2)/(7^2))*(0.55+0.45*SIN(2*PI()*(Scenario_Data!V44)/45))+24*SIN(2*PI()*(0)/9+(Scenario_Data!V44)/18)*EXP(-(((0)+5)^2)/(22^2))+18*SIN(2*PI()*(Scenario_Data!V44)/70))+Inputs!$C$28*EXP(-(((Scenario_Data!V44)-Inputs!$C$29)^2)/(2*Inputs!$C$31^2))*EXP(-(((0)-Inputs!$C$30)^2)/(2*Inputs!$C$32^2))+-Inputs!$C$33*EXP(-(((((Scenario_Data!V44)-Inputs!$C$34)^2)+(((0)-Inputs!$C$35)^2))/(2*Inputs!$C$36^2)))+Inputs!$C$37*(0.55*SIN(2*PI()*(Scenario_Data!V44)/Inputs!$C$39)+0.35*COS(2*PI()*(0)/Inputs!$C$40)+0.2*SIN(2*PI()*((Scenario_Data!V44)+(0))/(0.5*(Inputs!$C$39+Inputs!$C$40))))+Inputs!$C$38*SIN(2*PI()*(Scenario_Data!V44)/Inputs!$C$39)*SIN(2*PI()*(0)/Inputs!$C$40)+-Inputs!$C$41*EXP(-(((0)-Inputs!$C$43)^2)/(2*Inputs!$C$44^2))*EXP(-(((Scenario_Data!V44)-Inputs!$C$42)^2)/(2*Inputs!$C$45^2))+Inputs!$C$48*(0.7*(0.45*SIN(2*PI()*(((Scenario_Data!V44)/Inputs!$C$49)+Inputs!$C$47*0.137))+0.35*COS(2*PI()*(((0)/Inputs!$C$50)+Inputs!$C$47*0.173))+0.2*SIN(2*PI()*((((Scenario_Data!V44)+(0))/(0.5*(Inputs!$C$49+Inputs!$C$50)))+Inputs!$C$47*0.097)))+0.3*(2*((SIN(((Scenario_Data!V44)*12.9898+(0)*78.233+Inputs!$C$47*37.719))*43758.5453)-INT((SIN(((Scenario_Data!V44)*12.9898+(0)*78.233+Inputs!$C$47*37.719))*43758.5453)))-1)))))/Inputs!$C$21*1000000</f>
        <v/>
      </c>
      <c r="AD44">
        <f>Scenario_Data!W44</f>
        <v/>
      </c>
      <c r="AE44">
        <f>2*((Scenario_Data!E44*1000)-(IF(OR(Inputs!$C$27=TRUE,Inputs!$C$27="TRUE",Inputs!$C$27=1),1,0)*(Inputs!$C$51*(115*EXP(-(((0)-25)^2)/(4.5^2))+70*EXP(-(((0)+38)^2)/(7^2))*(0.55+0.45*SIN(2*PI()*(Scenario_Data!W44)/45))+24*SIN(2*PI()*(0)/9+(Scenario_Data!W44)/18)*EXP(-(((0)+5)^2)/(22^2))+18*SIN(2*PI()*(Scenario_Data!W44)/70))+Inputs!$C$28*EXP(-(((Scenario_Data!W44)-Inputs!$C$29)^2)/(2*Inputs!$C$31^2))*EXP(-(((0)-Inputs!$C$30)^2)/(2*Inputs!$C$32^2))+-Inputs!$C$33*EXP(-(((((Scenario_Data!W44)-Inputs!$C$34)^2)+(((0)-Inputs!$C$35)^2))/(2*Inputs!$C$36^2)))+Inputs!$C$37*(0.55*SIN(2*PI()*(Scenario_Data!W44)/Inputs!$C$39)+0.35*COS(2*PI()*(0)/Inputs!$C$40)+0.2*SIN(2*PI()*((Scenario_Data!W44)+(0))/(0.5*(Inputs!$C$39+Inputs!$C$40))))+Inputs!$C$38*SIN(2*PI()*(Scenario_Data!W44)/Inputs!$C$39)*SIN(2*PI()*(0)/Inputs!$C$40)+-Inputs!$C$41*EXP(-(((0)-Inputs!$C$43)^2)/(2*Inputs!$C$44^2))*EXP(-(((Scenario_Data!W44)-Inputs!$C$42)^2)/(2*Inputs!$C$45^2))+Inputs!$C$48*(0.7*(0.45*SIN(2*PI()*(((Scenario_Data!W44)/Inputs!$C$49)+Inputs!$C$47*0.137))+0.35*COS(2*PI()*(((0)/Inputs!$C$50)+Inputs!$C$47*0.173))+0.2*SIN(2*PI()*((((Scenario_Data!W44)+(0))/(0.5*(Inputs!$C$49+Inputs!$C$50)))+Inputs!$C$47*0.097)))+0.3*(2*((SIN(((Scenario_Data!W44)*12.9898+(0)*78.233+Inputs!$C$47*37.719))*43758.5453)-INT((SIN(((Scenario_Data!W44)*12.9898+(0)*78.233+Inputs!$C$47*37.719))*43758.5453)))-1)))))/Inputs!$C$21*1000000</f>
        <v/>
      </c>
      <c r="AG44">
        <f>Scenario_Data!T44</f>
        <v/>
      </c>
      <c r="AH44">
        <f>2*(SQRT((Inputs!$C$52+(Scenario_Data!B44))^2+Inputs!$C$52^2-2*(Inputs!$C$52+(Scenario_Data!B44))*Inputs!$C$52*COS(SQRT((Scenario_Data!T44)^2+Inputs!$C$6^2)/Inputs!$C$52))*1000)/Inputs!$C$21*1000000</f>
        <v/>
      </c>
      <c r="AI44">
        <f>Scenario_Data!U44</f>
        <v/>
      </c>
      <c r="AJ44">
        <f>2*(SQRT((Inputs!$C$52+(Scenario_Data!C44))^2+Inputs!$C$52^2-2*(Inputs!$C$52+(Scenario_Data!C44))*Inputs!$C$52*COS(SQRT((Scenario_Data!U44)^2+Inputs!$C$6^2)/Inputs!$C$52))*1000)/Inputs!$C$21*1000000</f>
        <v/>
      </c>
      <c r="AK44">
        <f>Scenario_Data!V44</f>
        <v/>
      </c>
      <c r="AL44">
        <f>2*(SQRT((Inputs!$C$52+(Scenario_Data!D44))^2+Inputs!$C$52^2-2*(Inputs!$C$52+(Scenario_Data!D44))*Inputs!$C$52*COS(SQRT((Scenario_Data!V44)^2+Inputs!$C$6^2)/Inputs!$C$52))*1000)/Inputs!$C$21*1000000</f>
        <v/>
      </c>
      <c r="AM44">
        <f>Scenario_Data!W44</f>
        <v/>
      </c>
      <c r="AN44">
        <f>2*(SQRT((Inputs!$C$52+(Scenario_Data!E44))^2+Inputs!$C$52^2-2*(Inputs!$C$52+(Scenario_Data!E44))*Inputs!$C$52*COS(SQRT((Scenario_Data!W44)^2+Inputs!$C$6^2)/Inputs!$C$52))*1000)/Inputs!$C$21*1000000</f>
        <v/>
      </c>
      <c r="AP44">
        <f>Scenario_Data!T44</f>
        <v/>
      </c>
      <c r="AQ44">
        <f>2*(SQRT((Inputs!$C$52+(Scenario_Data!B44))^2+(Inputs!$C$52+((IF(OR(Inputs!$C$27=TRUE,Inputs!$C$27="TRUE",Inputs!$C$27=1),1,0)*(Inputs!$C$51*(115*EXP(-(((Inputs!$C$6)-25)^2)/(4.5^2))+70*EXP(-(((Inputs!$C$6)+38)^2)/(7^2))*(0.55+0.45*SIN(2*PI()*(Scenario_Data!T44)/45))+24*SIN(2*PI()*(Inputs!$C$6)/9+(Scenario_Data!T44)/18)*EXP(-(((Inputs!$C$6)+5)^2)/(22^2))+18*SIN(2*PI()*(Scenario_Data!T44)/70))+Inputs!$C$28*EXP(-(((Scenario_Data!T44)-Inputs!$C$29)^2)/(2*Inputs!$C$31^2))*EXP(-(((Inputs!$C$6)-Inputs!$C$30)^2)/(2*Inputs!$C$32^2))+-Inputs!$C$33*EXP(-(((((Scenario_Data!T44)-Inputs!$C$34)^2)+(((Inputs!$C$6)-Inputs!$C$35)^2))/(2*Inputs!$C$36^2)))+Inputs!$C$37*(0.55*SIN(2*PI()*(Scenario_Data!T44)/Inputs!$C$39)+0.35*COS(2*PI()*(Inputs!$C$6)/Inputs!$C$40)+0.2*SIN(2*PI()*((Scenario_Data!T44)+(Inputs!$C$6))/(0.5*(Inputs!$C$39+Inputs!$C$40))))+Inputs!$C$38*SIN(2*PI()*(Scenario_Data!T44)/Inputs!$C$39)*SIN(2*PI()*(Inputs!$C$6)/Inputs!$C$40)+-Inputs!$C$41*EXP(-(((Inputs!$C$6)-Inputs!$C$43)^2)/(2*Inputs!$C$44^2))*EXP(-(((Scenario_Data!T44)-Inputs!$C$42)^2)/(2*Inputs!$C$45^2))+Inputs!$C$48*(0.7*(0.45*SIN(2*PI()*(((Scenario_Data!T44)/Inputs!$C$49)+Inputs!$C$47*0.137))+0.35*COS(2*PI()*(((Inputs!$C$6)/Inputs!$C$50)+Inputs!$C$47*0.173))+0.2*SIN(2*PI()*((((Scenario_Data!T44)+(Inputs!$C$6))/(0.5*(Inputs!$C$49+Inputs!$C$50)))+Inputs!$C$47*0.097)))+0.3*(2*((SIN(((Scenario_Data!T44)*12.9898+(Inputs!$C$6)*78.233+Inputs!$C$47*37.719))*43758.5453)-INT((SIN(((Scenario_Data!T44)*12.9898+(Inputs!$C$6)*78.233+Inputs!$C$47*37.719))*43758.5453)))-1))))/1000))^2-2*(Inputs!$C$52+(Scenario_Data!B44))*(Inputs!$C$52+((IF(OR(Inputs!$C$27=TRUE,Inputs!$C$27="TRUE",Inputs!$C$27=1),1,0)*(Inputs!$C$51*(115*EXP(-(((Inputs!$C$6)-25)^2)/(4.5^2))+70*EXP(-(((Inputs!$C$6)+38)^2)/(7^2))*(0.55+0.45*SIN(2*PI()*(Scenario_Data!T44)/45))+24*SIN(2*PI()*(Inputs!$C$6)/9+(Scenario_Data!T44)/18)*EXP(-(((Inputs!$C$6)+5)^2)/(22^2))+18*SIN(2*PI()*(Scenario_Data!T44)/70))+Inputs!$C$28*EXP(-(((Scenario_Data!T44)-Inputs!$C$29)^2)/(2*Inputs!$C$31^2))*EXP(-(((Inputs!$C$6)-Inputs!$C$30)^2)/(2*Inputs!$C$32^2))+-Inputs!$C$33*EXP(-(((((Scenario_Data!T44)-Inputs!$C$34)^2)+(((Inputs!$C$6)-Inputs!$C$35)^2))/(2*Inputs!$C$36^2)))+Inputs!$C$37*(0.55*SIN(2*PI()*(Scenario_Data!T44)/Inputs!$C$39)+0.35*COS(2*PI()*(Inputs!$C$6)/Inputs!$C$40)+0.2*SIN(2*PI()*((Scenario_Data!T44)+(Inputs!$C$6))/(0.5*(Inputs!$C$39+Inputs!$C$40))))+Inputs!$C$38*SIN(2*PI()*(Scenario_Data!T44)/Inputs!$C$39)*SIN(2*PI()*(Inputs!$C$6)/Inputs!$C$40)+-Inputs!$C$41*EXP(-(((Inputs!$C$6)-Inputs!$C$43)^2)/(2*Inputs!$C$44^2))*EXP(-(((Scenario_Data!T44)-Inputs!$C$42)^2)/(2*Inputs!$C$45^2))+Inputs!$C$48*(0.7*(0.45*SIN(2*PI()*(((Scenario_Data!T44)/Inputs!$C$49)+Inputs!$C$47*0.137))+0.35*COS(2*PI()*(((Inputs!$C$6)/Inputs!$C$50)+Inputs!$C$47*0.173))+0.2*SIN(2*PI()*((((Scenario_Data!T44)+(Inputs!$C$6))/(0.5*(Inputs!$C$49+Inputs!$C$50)))+Inputs!$C$47*0.097)))+0.3*(2*((SIN(((Scenario_Data!T44)*12.9898+(Inputs!$C$6)*78.233+Inputs!$C$47*37.719))*43758.5453)-INT((SIN(((Scenario_Data!T44)*12.9898+(Inputs!$C$6)*78.233+Inputs!$C$47*37.719))*43758.5453)))-1))))/1000))*COS(SQRT((Scenario_Data!T44)^2+Inputs!$C$6^2)/Inputs!$C$52))*1000)/Inputs!$C$21*1000000</f>
        <v/>
      </c>
      <c r="AR44">
        <f>Scenario_Data!U44</f>
        <v/>
      </c>
      <c r="AS44">
        <f>2*(SQRT((Inputs!$C$52+(Scenario_Data!C44))^2+(Inputs!$C$52+((IF(OR(Inputs!$C$27=TRUE,Inputs!$C$27="TRUE",Inputs!$C$27=1),1,0)*(Inputs!$C$51*(115*EXP(-(((Inputs!$C$6)-25)^2)/(4.5^2))+70*EXP(-(((Inputs!$C$6)+38)^2)/(7^2))*(0.55+0.45*SIN(2*PI()*(Scenario_Data!U44)/45))+24*SIN(2*PI()*(Inputs!$C$6)/9+(Scenario_Data!U44)/18)*EXP(-(((Inputs!$C$6)+5)^2)/(22^2))+18*SIN(2*PI()*(Scenario_Data!U44)/70))+Inputs!$C$28*EXP(-(((Scenario_Data!U44)-Inputs!$C$29)^2)/(2*Inputs!$C$31^2))*EXP(-(((Inputs!$C$6)-Inputs!$C$30)^2)/(2*Inputs!$C$32^2))+-Inputs!$C$33*EXP(-(((((Scenario_Data!U44)-Inputs!$C$34)^2)+(((Inputs!$C$6)-Inputs!$C$35)^2))/(2*Inputs!$C$36^2)))+Inputs!$C$37*(0.55*SIN(2*PI()*(Scenario_Data!U44)/Inputs!$C$39)+0.35*COS(2*PI()*(Inputs!$C$6)/Inputs!$C$40)+0.2*SIN(2*PI()*((Scenario_Data!U44)+(Inputs!$C$6))/(0.5*(Inputs!$C$39+Inputs!$C$40))))+Inputs!$C$38*SIN(2*PI()*(Scenario_Data!U44)/Inputs!$C$39)*SIN(2*PI()*(Inputs!$C$6)/Inputs!$C$40)+-Inputs!$C$41*EXP(-(((Inputs!$C$6)-Inputs!$C$43)^2)/(2*Inputs!$C$44^2))*EXP(-(((Scenario_Data!U44)-Inputs!$C$42)^2)/(2*Inputs!$C$45^2))+Inputs!$C$48*(0.7*(0.45*SIN(2*PI()*(((Scenario_Data!U44)/Inputs!$C$49)+Inputs!$C$47*0.137))+0.35*COS(2*PI()*(((Inputs!$C$6)/Inputs!$C$50)+Inputs!$C$47*0.173))+0.2*SIN(2*PI()*((((Scenario_Data!U44)+(Inputs!$C$6))/(0.5*(Inputs!$C$49+Inputs!$C$50)))+Inputs!$C$47*0.097)))+0.3*(2*((SIN(((Scenario_Data!U44)*12.9898+(Inputs!$C$6)*78.233+Inputs!$C$47*37.719))*43758.5453)-INT((SIN(((Scenario_Data!U44)*12.9898+(Inputs!$C$6)*78.233+Inputs!$C$47*37.719))*43758.5453)))-1))))/1000))^2-2*(Inputs!$C$52+(Scenario_Data!C44))*(Inputs!$C$52+((IF(OR(Inputs!$C$27=TRUE,Inputs!$C$27="TRUE",Inputs!$C$27=1),1,0)*(Inputs!$C$51*(115*EXP(-(((Inputs!$C$6)-25)^2)/(4.5^2))+70*EXP(-(((Inputs!$C$6)+38)^2)/(7^2))*(0.55+0.45*SIN(2*PI()*(Scenario_Data!U44)/45))+24*SIN(2*PI()*(Inputs!$C$6)/9+(Scenario_Data!U44)/18)*EXP(-(((Inputs!$C$6)+5)^2)/(22^2))+18*SIN(2*PI()*(Scenario_Data!U44)/70))+Inputs!$C$28*EXP(-(((Scenario_Data!U44)-Inputs!$C$29)^2)/(2*Inputs!$C$31^2))*EXP(-(((Inputs!$C$6)-Inputs!$C$30)^2)/(2*Inputs!$C$32^2))+-Inputs!$C$33*EXP(-(((((Scenario_Data!U44)-Inputs!$C$34)^2)+(((Inputs!$C$6)-Inputs!$C$35)^2))/(2*Inputs!$C$36^2)))+Inputs!$C$37*(0.55*SIN(2*PI()*(Scenario_Data!U44)/Inputs!$C$39)+0.35*COS(2*PI()*(Inputs!$C$6)/Inputs!$C$40)+0.2*SIN(2*PI()*((Scenario_Data!U44)+(Inputs!$C$6))/(0.5*(Inputs!$C$39+Inputs!$C$40))))+Inputs!$C$38*SIN(2*PI()*(Scenario_Data!U44)/Inputs!$C$39)*SIN(2*PI()*(Inputs!$C$6)/Inputs!$C$40)+-Inputs!$C$41*EXP(-(((Inputs!$C$6)-Inputs!$C$43)^2)/(2*Inputs!$C$44^2))*EXP(-(((Scenario_Data!U44)-Inputs!$C$42)^2)/(2*Inputs!$C$45^2))+Inputs!$C$48*(0.7*(0.45*SIN(2*PI()*(((Scenario_Data!U44)/Inputs!$C$49)+Inputs!$C$47*0.137))+0.35*COS(2*PI()*(((Inputs!$C$6)/Inputs!$C$50)+Inputs!$C$47*0.173))+0.2*SIN(2*PI()*((((Scenario_Data!U44)+(Inputs!$C$6))/(0.5*(Inputs!$C$49+Inputs!$C$50)))+Inputs!$C$47*0.097)))+0.3*(2*((SIN(((Scenario_Data!U44)*12.9898+(Inputs!$C$6)*78.233+Inputs!$C$47*37.719))*43758.5453)-INT((SIN(((Scenario_Data!U44)*12.9898+(Inputs!$C$6)*78.233+Inputs!$C$47*37.719))*43758.5453)))-1))))/1000))*COS(SQRT((Scenario_Data!U44)^2+Inputs!$C$6^2)/Inputs!$C$52))*1000)/Inputs!$C$21*1000000</f>
        <v/>
      </c>
      <c r="AT44">
        <f>Scenario_Data!V44</f>
        <v/>
      </c>
      <c r="AU44">
        <f>2*(SQRT((Inputs!$C$52+(Scenario_Data!D44))^2+(Inputs!$C$52+((IF(OR(Inputs!$C$27=TRUE,Inputs!$C$27="TRUE",Inputs!$C$27=1),1,0)*(Inputs!$C$51*(115*EXP(-(((Inputs!$C$6)-25)^2)/(4.5^2))+70*EXP(-(((Inputs!$C$6)+38)^2)/(7^2))*(0.55+0.45*SIN(2*PI()*(Scenario_Data!V44)/45))+24*SIN(2*PI()*(Inputs!$C$6)/9+(Scenario_Data!V44)/18)*EXP(-(((Inputs!$C$6)+5)^2)/(22^2))+18*SIN(2*PI()*(Scenario_Data!V44)/70))+Inputs!$C$28*EXP(-(((Scenario_Data!V44)-Inputs!$C$29)^2)/(2*Inputs!$C$31^2))*EXP(-(((Inputs!$C$6)-Inputs!$C$30)^2)/(2*Inputs!$C$32^2))+-Inputs!$C$33*EXP(-(((((Scenario_Data!V44)-Inputs!$C$34)^2)+(((Inputs!$C$6)-Inputs!$C$35)^2))/(2*Inputs!$C$36^2)))+Inputs!$C$37*(0.55*SIN(2*PI()*(Scenario_Data!V44)/Inputs!$C$39)+0.35*COS(2*PI()*(Inputs!$C$6)/Inputs!$C$40)+0.2*SIN(2*PI()*((Scenario_Data!V44)+(Inputs!$C$6))/(0.5*(Inputs!$C$39+Inputs!$C$40))))+Inputs!$C$38*SIN(2*PI()*(Scenario_Data!V44)/Inputs!$C$39)*SIN(2*PI()*(Inputs!$C$6)/Inputs!$C$40)+-Inputs!$C$41*EXP(-(((Inputs!$C$6)-Inputs!$C$43)^2)/(2*Inputs!$C$44^2))*EXP(-(((Scenario_Data!V44)-Inputs!$C$42)^2)/(2*Inputs!$C$45^2))+Inputs!$C$48*(0.7*(0.45*SIN(2*PI()*(((Scenario_Data!V44)/Inputs!$C$49)+Inputs!$C$47*0.137))+0.35*COS(2*PI()*(((Inputs!$C$6)/Inputs!$C$50)+Inputs!$C$47*0.173))+0.2*SIN(2*PI()*((((Scenario_Data!V44)+(Inputs!$C$6))/(0.5*(Inputs!$C$49+Inputs!$C$50)))+Inputs!$C$47*0.097)))+0.3*(2*((SIN(((Scenario_Data!V44)*12.9898+(Inputs!$C$6)*78.233+Inputs!$C$47*37.719))*43758.5453)-INT((SIN(((Scenario_Data!V44)*12.9898+(Inputs!$C$6)*78.233+Inputs!$C$47*37.719))*43758.5453)))-1))))/1000))^2-2*(Inputs!$C$52+(Scenario_Data!D44))*(Inputs!$C$52+((IF(OR(Inputs!$C$27=TRUE,Inputs!$C$27="TRUE",Inputs!$C$27=1),1,0)*(Inputs!$C$51*(115*EXP(-(((Inputs!$C$6)-25)^2)/(4.5^2))+70*EXP(-(((Inputs!$C$6)+38)^2)/(7^2))*(0.55+0.45*SIN(2*PI()*(Scenario_Data!V44)/45))+24*SIN(2*PI()*(Inputs!$C$6)/9+(Scenario_Data!V44)/18)*EXP(-(((Inputs!$C$6)+5)^2)/(22^2))+18*SIN(2*PI()*(Scenario_Data!V44)/70))+Inputs!$C$28*EXP(-(((Scenario_Data!V44)-Inputs!$C$29)^2)/(2*Inputs!$C$31^2))*EXP(-(((Inputs!$C$6)-Inputs!$C$30)^2)/(2*Inputs!$C$32^2))+-Inputs!$C$33*EXP(-(((((Scenario_Data!V44)-Inputs!$C$34)^2)+(((Inputs!$C$6)-Inputs!$C$35)^2))/(2*Inputs!$C$36^2)))+Inputs!$C$37*(0.55*SIN(2*PI()*(Scenario_Data!V44)/Inputs!$C$39)+0.35*COS(2*PI()*(Inputs!$C$6)/Inputs!$C$40)+0.2*SIN(2*PI()*((Scenario_Data!V44)+(Inputs!$C$6))/(0.5*(Inputs!$C$39+Inputs!$C$40))))+Inputs!$C$38*SIN(2*PI()*(Scenario_Data!V44)/Inputs!$C$39)*SIN(2*PI()*(Inputs!$C$6)/Inputs!$C$40)+-Inputs!$C$41*EXP(-(((Inputs!$C$6)-Inputs!$C$43)^2)/(2*Inputs!$C$44^2))*EXP(-(((Scenario_Data!V44)-Inputs!$C$42)^2)/(2*Inputs!$C$45^2))+Inputs!$C$48*(0.7*(0.45*SIN(2*PI()*(((Scenario_Data!V44)/Inputs!$C$49)+Inputs!$C$47*0.137))+0.35*COS(2*PI()*(((Inputs!$C$6)/Inputs!$C$50)+Inputs!$C$47*0.173))+0.2*SIN(2*PI()*((((Scenario_Data!V44)+(Inputs!$C$6))/(0.5*(Inputs!$C$49+Inputs!$C$50)))+Inputs!$C$47*0.097)))+0.3*(2*((SIN(((Scenario_Data!V44)*12.9898+(Inputs!$C$6)*78.233+Inputs!$C$47*37.719))*43758.5453)-INT((SIN(((Scenario_Data!V44)*12.9898+(Inputs!$C$6)*78.233+Inputs!$C$47*37.719))*43758.5453)))-1))))/1000))*COS(SQRT((Scenario_Data!V44)^2+Inputs!$C$6^2)/Inputs!$C$52))*1000)/Inputs!$C$21*1000000</f>
        <v/>
      </c>
      <c r="AV44">
        <f>Scenario_Data!W44</f>
        <v/>
      </c>
      <c r="AW44">
        <f>2*(SQRT((Inputs!$C$52+(Scenario_Data!E44))^2+(Inputs!$C$52+((IF(OR(Inputs!$C$27=TRUE,Inputs!$C$27="TRUE",Inputs!$C$27=1),1,0)*(Inputs!$C$51*(115*EXP(-(((Inputs!$C$6)-25)^2)/(4.5^2))+70*EXP(-(((Inputs!$C$6)+38)^2)/(7^2))*(0.55+0.45*SIN(2*PI()*(Scenario_Data!W44)/45))+24*SIN(2*PI()*(Inputs!$C$6)/9+(Scenario_Data!W44)/18)*EXP(-(((Inputs!$C$6)+5)^2)/(22^2))+18*SIN(2*PI()*(Scenario_Data!W44)/70))+Inputs!$C$28*EXP(-(((Scenario_Data!W44)-Inputs!$C$29)^2)/(2*Inputs!$C$31^2))*EXP(-(((Inputs!$C$6)-Inputs!$C$30)^2)/(2*Inputs!$C$32^2))+-Inputs!$C$33*EXP(-(((((Scenario_Data!W44)-Inputs!$C$34)^2)+(((Inputs!$C$6)-Inputs!$C$35)^2))/(2*Inputs!$C$36^2)))+Inputs!$C$37*(0.55*SIN(2*PI()*(Scenario_Data!W44)/Inputs!$C$39)+0.35*COS(2*PI()*(Inputs!$C$6)/Inputs!$C$40)+0.2*SIN(2*PI()*((Scenario_Data!W44)+(Inputs!$C$6))/(0.5*(Inputs!$C$39+Inputs!$C$40))))+Inputs!$C$38*SIN(2*PI()*(Scenario_Data!W44)/Inputs!$C$39)*SIN(2*PI()*(Inputs!$C$6)/Inputs!$C$40)+-Inputs!$C$41*EXP(-(((Inputs!$C$6)-Inputs!$C$43)^2)/(2*Inputs!$C$44^2))*EXP(-(((Scenario_Data!W44)-Inputs!$C$42)^2)/(2*Inputs!$C$45^2))+Inputs!$C$48*(0.7*(0.45*SIN(2*PI()*(((Scenario_Data!W44)/Inputs!$C$49)+Inputs!$C$47*0.137))+0.35*COS(2*PI()*(((Inputs!$C$6)/Inputs!$C$50)+Inputs!$C$47*0.173))+0.2*SIN(2*PI()*((((Scenario_Data!W44)+(Inputs!$C$6))/(0.5*(Inputs!$C$49+Inputs!$C$50)))+Inputs!$C$47*0.097)))+0.3*(2*((SIN(((Scenario_Data!W44)*12.9898+(Inputs!$C$6)*78.233+Inputs!$C$47*37.719))*43758.5453)-INT((SIN(((Scenario_Data!W44)*12.9898+(Inputs!$C$6)*78.233+Inputs!$C$47*37.719))*43758.5453)))-1))))/1000))^2-2*(Inputs!$C$52+(Scenario_Data!E44))*(Inputs!$C$52+((IF(OR(Inputs!$C$27=TRUE,Inputs!$C$27="TRUE",Inputs!$C$27=1),1,0)*(Inputs!$C$51*(115*EXP(-(((Inputs!$C$6)-25)^2)/(4.5^2))+70*EXP(-(((Inputs!$C$6)+38)^2)/(7^2))*(0.55+0.45*SIN(2*PI()*(Scenario_Data!W44)/45))+24*SIN(2*PI()*(Inputs!$C$6)/9+(Scenario_Data!W44)/18)*EXP(-(((Inputs!$C$6)+5)^2)/(22^2))+18*SIN(2*PI()*(Scenario_Data!W44)/70))+Inputs!$C$28*EXP(-(((Scenario_Data!W44)-Inputs!$C$29)^2)/(2*Inputs!$C$31^2))*EXP(-(((Inputs!$C$6)-Inputs!$C$30)^2)/(2*Inputs!$C$32^2))+-Inputs!$C$33*EXP(-(((((Scenario_Data!W44)-Inputs!$C$34)^2)+(((Inputs!$C$6)-Inputs!$C$35)^2))/(2*Inputs!$C$36^2)))+Inputs!$C$37*(0.55*SIN(2*PI()*(Scenario_Data!W44)/Inputs!$C$39)+0.35*COS(2*PI()*(Inputs!$C$6)/Inputs!$C$40)+0.2*SIN(2*PI()*((Scenario_Data!W44)+(Inputs!$C$6))/(0.5*(Inputs!$C$39+Inputs!$C$40))))+Inputs!$C$38*SIN(2*PI()*(Scenario_Data!W44)/Inputs!$C$39)*SIN(2*PI()*(Inputs!$C$6)/Inputs!$C$40)+-Inputs!$C$41*EXP(-(((Inputs!$C$6)-Inputs!$C$43)^2)/(2*Inputs!$C$44^2))*EXP(-(((Scenario_Data!W44)-Inputs!$C$42)^2)/(2*Inputs!$C$45^2))+Inputs!$C$48*(0.7*(0.45*SIN(2*PI()*(((Scenario_Data!W44)/Inputs!$C$49)+Inputs!$C$47*0.137))+0.35*COS(2*PI()*(((Inputs!$C$6)/Inputs!$C$50)+Inputs!$C$47*0.173))+0.2*SIN(2*PI()*((((Scenario_Data!W44)+(Inputs!$C$6))/(0.5*(Inputs!$C$49+Inputs!$C$50)))+Inputs!$C$47*0.097)))+0.3*(2*((SIN(((Scenario_Data!W44)*12.9898+(Inputs!$C$6)*78.233+Inputs!$C$47*37.719))*43758.5453)-INT((SIN(((Scenario_Data!W44)*12.9898+(Inputs!$C$6)*78.233+Inputs!$C$47*37.719))*43758.5453)))-1))))/1000))*COS(SQRT((Scenario_Data!W44)^2+Inputs!$C$6^2)/Inputs!$C$52))*1000)/Inputs!$C$21*1000000</f>
        <v/>
      </c>
    </row>
    <row r="45">
      <c r="A45">
        <f>Chart_Data!K45</f>
        <v/>
      </c>
      <c r="B45">
        <f>Chart_Data!N45-Chart_Data!L45</f>
        <v/>
      </c>
      <c r="D45">
        <f>Chart_Data!G45</f>
        <v/>
      </c>
      <c r="E45">
        <f>Chart_Data!H45</f>
        <v/>
      </c>
      <c r="F45">
        <f>Chart_Data!I45</f>
        <v/>
      </c>
      <c r="G45">
        <f>Chart_Data!J45</f>
        <v/>
      </c>
      <c r="I45">
        <f>Scenario_Data!A45</f>
        <v/>
      </c>
      <c r="J45">
        <f>Scenario_Data!H45-(((SQRT((Inputs!$C$52+(Inputs!$H$6))^2+Inputs!$C$52^2-2*(Inputs!$C$52+(Inputs!$H$6))*Inputs!$C$52*COS(SQRT((Scenario_Data!T45)^2+Inputs!$C$6^2)/Inputs!$C$52)))-(Inputs!$H$6))*1000/Inputs!$C$12)</f>
        <v/>
      </c>
      <c r="K45">
        <f>Scenario_Data!I45-(((SQRT((Inputs!$C$52+(Inputs!$H$7))^2+Inputs!$C$52^2-2*(Inputs!$C$52+(Inputs!$H$7))*Inputs!$C$52*COS(SQRT((Scenario_Data!U45)^2+Inputs!$C$6^2)/Inputs!$C$52)))-(Inputs!$H$7))*1000/Inputs!$C$12)</f>
        <v/>
      </c>
      <c r="L45">
        <f>Scenario_Data!J45-(((SQRT((Inputs!$C$52+(Inputs!$H$8))^2+Inputs!$C$52^2-2*(Inputs!$C$52+(Inputs!$H$8))*Inputs!$C$52*COS(SQRT((Scenario_Data!V45)^2+Inputs!$C$6^2)/Inputs!$C$52)))-(Inputs!$H$8))*1000/Inputs!$C$12)</f>
        <v/>
      </c>
      <c r="M45">
        <f>Scenario_Data!K45-(((SQRT((Inputs!$C$52+(Inputs!$H$9))^2+Inputs!$C$52^2-2*(Inputs!$C$52+(Inputs!$H$9))*Inputs!$C$52*COS(SQRT((Scenario_Data!W45)^2+Inputs!$C$6^2)/Inputs!$C$52)))-(Inputs!$H$9))*1000/Inputs!$C$12)</f>
        <v/>
      </c>
      <c r="O45">
        <f>Scenario_Data!T45</f>
        <v/>
      </c>
      <c r="P45">
        <f>2*(Scenario_Data!B45*1000)/Inputs!$C$21*1000000</f>
        <v/>
      </c>
      <c r="Q45">
        <f>Scenario_Data!U45</f>
        <v/>
      </c>
      <c r="R45">
        <f>2*(Scenario_Data!C45*1000)/Inputs!$C$21*1000000</f>
        <v/>
      </c>
      <c r="S45">
        <f>Scenario_Data!V45</f>
        <v/>
      </c>
      <c r="T45">
        <f>2*(Scenario_Data!D45*1000)/Inputs!$C$21*1000000</f>
        <v/>
      </c>
      <c r="U45">
        <f>Scenario_Data!W45</f>
        <v/>
      </c>
      <c r="V45">
        <f>2*(Scenario_Data!E45*1000)/Inputs!$C$21*1000000</f>
        <v/>
      </c>
      <c r="X45">
        <f>Scenario_Data!T45</f>
        <v/>
      </c>
      <c r="Y45">
        <f>2*((Scenario_Data!B45*1000)-(IF(OR(Inputs!$C$27=TRUE,Inputs!$C$27="TRUE",Inputs!$C$27=1),1,0)*(Inputs!$C$51*(115*EXP(-(((0)-25)^2)/(4.5^2))+70*EXP(-(((0)+38)^2)/(7^2))*(0.55+0.45*SIN(2*PI()*(Scenario_Data!T45)/45))+24*SIN(2*PI()*(0)/9+(Scenario_Data!T45)/18)*EXP(-(((0)+5)^2)/(22^2))+18*SIN(2*PI()*(Scenario_Data!T45)/70))+Inputs!$C$28*EXP(-(((Scenario_Data!T45)-Inputs!$C$29)^2)/(2*Inputs!$C$31^2))*EXP(-(((0)-Inputs!$C$30)^2)/(2*Inputs!$C$32^2))+-Inputs!$C$33*EXP(-(((((Scenario_Data!T45)-Inputs!$C$34)^2)+(((0)-Inputs!$C$35)^2))/(2*Inputs!$C$36^2)))+Inputs!$C$37*(0.55*SIN(2*PI()*(Scenario_Data!T45)/Inputs!$C$39)+0.35*COS(2*PI()*(0)/Inputs!$C$40)+0.2*SIN(2*PI()*((Scenario_Data!T45)+(0))/(0.5*(Inputs!$C$39+Inputs!$C$40))))+Inputs!$C$38*SIN(2*PI()*(Scenario_Data!T45)/Inputs!$C$39)*SIN(2*PI()*(0)/Inputs!$C$40)+-Inputs!$C$41*EXP(-(((0)-Inputs!$C$43)^2)/(2*Inputs!$C$44^2))*EXP(-(((Scenario_Data!T45)-Inputs!$C$42)^2)/(2*Inputs!$C$45^2))+Inputs!$C$48*(0.7*(0.45*SIN(2*PI()*(((Scenario_Data!T45)/Inputs!$C$49)+Inputs!$C$47*0.137))+0.35*COS(2*PI()*(((0)/Inputs!$C$50)+Inputs!$C$47*0.173))+0.2*SIN(2*PI()*((((Scenario_Data!T45)+(0))/(0.5*(Inputs!$C$49+Inputs!$C$50)))+Inputs!$C$47*0.097)))+0.3*(2*((SIN(((Scenario_Data!T45)*12.9898+(0)*78.233+Inputs!$C$47*37.719))*43758.5453)-INT((SIN(((Scenario_Data!T45)*12.9898+(0)*78.233+Inputs!$C$47*37.719))*43758.5453)))-1)))))/Inputs!$C$21*1000000</f>
        <v/>
      </c>
      <c r="Z45">
        <f>Scenario_Data!U45</f>
        <v/>
      </c>
      <c r="AA45">
        <f>2*((Scenario_Data!C45*1000)-(IF(OR(Inputs!$C$27=TRUE,Inputs!$C$27="TRUE",Inputs!$C$27=1),1,0)*(Inputs!$C$51*(115*EXP(-(((0)-25)^2)/(4.5^2))+70*EXP(-(((0)+38)^2)/(7^2))*(0.55+0.45*SIN(2*PI()*(Scenario_Data!U45)/45))+24*SIN(2*PI()*(0)/9+(Scenario_Data!U45)/18)*EXP(-(((0)+5)^2)/(22^2))+18*SIN(2*PI()*(Scenario_Data!U45)/70))+Inputs!$C$28*EXP(-(((Scenario_Data!U45)-Inputs!$C$29)^2)/(2*Inputs!$C$31^2))*EXP(-(((0)-Inputs!$C$30)^2)/(2*Inputs!$C$32^2))+-Inputs!$C$33*EXP(-(((((Scenario_Data!U45)-Inputs!$C$34)^2)+(((0)-Inputs!$C$35)^2))/(2*Inputs!$C$36^2)))+Inputs!$C$37*(0.55*SIN(2*PI()*(Scenario_Data!U45)/Inputs!$C$39)+0.35*COS(2*PI()*(0)/Inputs!$C$40)+0.2*SIN(2*PI()*((Scenario_Data!U45)+(0))/(0.5*(Inputs!$C$39+Inputs!$C$40))))+Inputs!$C$38*SIN(2*PI()*(Scenario_Data!U45)/Inputs!$C$39)*SIN(2*PI()*(0)/Inputs!$C$40)+-Inputs!$C$41*EXP(-(((0)-Inputs!$C$43)^2)/(2*Inputs!$C$44^2))*EXP(-(((Scenario_Data!U45)-Inputs!$C$42)^2)/(2*Inputs!$C$45^2))+Inputs!$C$48*(0.7*(0.45*SIN(2*PI()*(((Scenario_Data!U45)/Inputs!$C$49)+Inputs!$C$47*0.137))+0.35*COS(2*PI()*(((0)/Inputs!$C$50)+Inputs!$C$47*0.173))+0.2*SIN(2*PI()*((((Scenario_Data!U45)+(0))/(0.5*(Inputs!$C$49+Inputs!$C$50)))+Inputs!$C$47*0.097)))+0.3*(2*((SIN(((Scenario_Data!U45)*12.9898+(0)*78.233+Inputs!$C$47*37.719))*43758.5453)-INT((SIN(((Scenario_Data!U45)*12.9898+(0)*78.233+Inputs!$C$47*37.719))*43758.5453)))-1)))))/Inputs!$C$21*1000000</f>
        <v/>
      </c>
      <c r="AB45">
        <f>Scenario_Data!V45</f>
        <v/>
      </c>
      <c r="AC45">
        <f>2*((Scenario_Data!D45*1000)-(IF(OR(Inputs!$C$27=TRUE,Inputs!$C$27="TRUE",Inputs!$C$27=1),1,0)*(Inputs!$C$51*(115*EXP(-(((0)-25)^2)/(4.5^2))+70*EXP(-(((0)+38)^2)/(7^2))*(0.55+0.45*SIN(2*PI()*(Scenario_Data!V45)/45))+24*SIN(2*PI()*(0)/9+(Scenario_Data!V45)/18)*EXP(-(((0)+5)^2)/(22^2))+18*SIN(2*PI()*(Scenario_Data!V45)/70))+Inputs!$C$28*EXP(-(((Scenario_Data!V45)-Inputs!$C$29)^2)/(2*Inputs!$C$31^2))*EXP(-(((0)-Inputs!$C$30)^2)/(2*Inputs!$C$32^2))+-Inputs!$C$33*EXP(-(((((Scenario_Data!V45)-Inputs!$C$34)^2)+(((0)-Inputs!$C$35)^2))/(2*Inputs!$C$36^2)))+Inputs!$C$37*(0.55*SIN(2*PI()*(Scenario_Data!V45)/Inputs!$C$39)+0.35*COS(2*PI()*(0)/Inputs!$C$40)+0.2*SIN(2*PI()*((Scenario_Data!V45)+(0))/(0.5*(Inputs!$C$39+Inputs!$C$40))))+Inputs!$C$38*SIN(2*PI()*(Scenario_Data!V45)/Inputs!$C$39)*SIN(2*PI()*(0)/Inputs!$C$40)+-Inputs!$C$41*EXP(-(((0)-Inputs!$C$43)^2)/(2*Inputs!$C$44^2))*EXP(-(((Scenario_Data!V45)-Inputs!$C$42)^2)/(2*Inputs!$C$45^2))+Inputs!$C$48*(0.7*(0.45*SIN(2*PI()*(((Scenario_Data!V45)/Inputs!$C$49)+Inputs!$C$47*0.137))+0.35*COS(2*PI()*(((0)/Inputs!$C$50)+Inputs!$C$47*0.173))+0.2*SIN(2*PI()*((((Scenario_Data!V45)+(0))/(0.5*(Inputs!$C$49+Inputs!$C$50)))+Inputs!$C$47*0.097)))+0.3*(2*((SIN(((Scenario_Data!V45)*12.9898+(0)*78.233+Inputs!$C$47*37.719))*43758.5453)-INT((SIN(((Scenario_Data!V45)*12.9898+(0)*78.233+Inputs!$C$47*37.719))*43758.5453)))-1)))))/Inputs!$C$21*1000000</f>
        <v/>
      </c>
      <c r="AD45">
        <f>Scenario_Data!W45</f>
        <v/>
      </c>
      <c r="AE45">
        <f>2*((Scenario_Data!E45*1000)-(IF(OR(Inputs!$C$27=TRUE,Inputs!$C$27="TRUE",Inputs!$C$27=1),1,0)*(Inputs!$C$51*(115*EXP(-(((0)-25)^2)/(4.5^2))+70*EXP(-(((0)+38)^2)/(7^2))*(0.55+0.45*SIN(2*PI()*(Scenario_Data!W45)/45))+24*SIN(2*PI()*(0)/9+(Scenario_Data!W45)/18)*EXP(-(((0)+5)^2)/(22^2))+18*SIN(2*PI()*(Scenario_Data!W45)/70))+Inputs!$C$28*EXP(-(((Scenario_Data!W45)-Inputs!$C$29)^2)/(2*Inputs!$C$31^2))*EXP(-(((0)-Inputs!$C$30)^2)/(2*Inputs!$C$32^2))+-Inputs!$C$33*EXP(-(((((Scenario_Data!W45)-Inputs!$C$34)^2)+(((0)-Inputs!$C$35)^2))/(2*Inputs!$C$36^2)))+Inputs!$C$37*(0.55*SIN(2*PI()*(Scenario_Data!W45)/Inputs!$C$39)+0.35*COS(2*PI()*(0)/Inputs!$C$40)+0.2*SIN(2*PI()*((Scenario_Data!W45)+(0))/(0.5*(Inputs!$C$39+Inputs!$C$40))))+Inputs!$C$38*SIN(2*PI()*(Scenario_Data!W45)/Inputs!$C$39)*SIN(2*PI()*(0)/Inputs!$C$40)+-Inputs!$C$41*EXP(-(((0)-Inputs!$C$43)^2)/(2*Inputs!$C$44^2))*EXP(-(((Scenario_Data!W45)-Inputs!$C$42)^2)/(2*Inputs!$C$45^2))+Inputs!$C$48*(0.7*(0.45*SIN(2*PI()*(((Scenario_Data!W45)/Inputs!$C$49)+Inputs!$C$47*0.137))+0.35*COS(2*PI()*(((0)/Inputs!$C$50)+Inputs!$C$47*0.173))+0.2*SIN(2*PI()*((((Scenario_Data!W45)+(0))/(0.5*(Inputs!$C$49+Inputs!$C$50)))+Inputs!$C$47*0.097)))+0.3*(2*((SIN(((Scenario_Data!W45)*12.9898+(0)*78.233+Inputs!$C$47*37.719))*43758.5453)-INT((SIN(((Scenario_Data!W45)*12.9898+(0)*78.233+Inputs!$C$47*37.719))*43758.5453)))-1)))))/Inputs!$C$21*1000000</f>
        <v/>
      </c>
      <c r="AG45">
        <f>Scenario_Data!T45</f>
        <v/>
      </c>
      <c r="AH45">
        <f>2*(SQRT((Inputs!$C$52+(Scenario_Data!B45))^2+Inputs!$C$52^2-2*(Inputs!$C$52+(Scenario_Data!B45))*Inputs!$C$52*COS(SQRT((Scenario_Data!T45)^2+Inputs!$C$6^2)/Inputs!$C$52))*1000)/Inputs!$C$21*1000000</f>
        <v/>
      </c>
      <c r="AI45">
        <f>Scenario_Data!U45</f>
        <v/>
      </c>
      <c r="AJ45">
        <f>2*(SQRT((Inputs!$C$52+(Scenario_Data!C45))^2+Inputs!$C$52^2-2*(Inputs!$C$52+(Scenario_Data!C45))*Inputs!$C$52*COS(SQRT((Scenario_Data!U45)^2+Inputs!$C$6^2)/Inputs!$C$52))*1000)/Inputs!$C$21*1000000</f>
        <v/>
      </c>
      <c r="AK45">
        <f>Scenario_Data!V45</f>
        <v/>
      </c>
      <c r="AL45">
        <f>2*(SQRT((Inputs!$C$52+(Scenario_Data!D45))^2+Inputs!$C$52^2-2*(Inputs!$C$52+(Scenario_Data!D45))*Inputs!$C$52*COS(SQRT((Scenario_Data!V45)^2+Inputs!$C$6^2)/Inputs!$C$52))*1000)/Inputs!$C$21*1000000</f>
        <v/>
      </c>
      <c r="AM45">
        <f>Scenario_Data!W45</f>
        <v/>
      </c>
      <c r="AN45">
        <f>2*(SQRT((Inputs!$C$52+(Scenario_Data!E45))^2+Inputs!$C$52^2-2*(Inputs!$C$52+(Scenario_Data!E45))*Inputs!$C$52*COS(SQRT((Scenario_Data!W45)^2+Inputs!$C$6^2)/Inputs!$C$52))*1000)/Inputs!$C$21*1000000</f>
        <v/>
      </c>
      <c r="AP45">
        <f>Scenario_Data!T45</f>
        <v/>
      </c>
      <c r="AQ45">
        <f>2*(SQRT((Inputs!$C$52+(Scenario_Data!B45))^2+(Inputs!$C$52+((IF(OR(Inputs!$C$27=TRUE,Inputs!$C$27="TRUE",Inputs!$C$27=1),1,0)*(Inputs!$C$51*(115*EXP(-(((Inputs!$C$6)-25)^2)/(4.5^2))+70*EXP(-(((Inputs!$C$6)+38)^2)/(7^2))*(0.55+0.45*SIN(2*PI()*(Scenario_Data!T45)/45))+24*SIN(2*PI()*(Inputs!$C$6)/9+(Scenario_Data!T45)/18)*EXP(-(((Inputs!$C$6)+5)^2)/(22^2))+18*SIN(2*PI()*(Scenario_Data!T45)/70))+Inputs!$C$28*EXP(-(((Scenario_Data!T45)-Inputs!$C$29)^2)/(2*Inputs!$C$31^2))*EXP(-(((Inputs!$C$6)-Inputs!$C$30)^2)/(2*Inputs!$C$32^2))+-Inputs!$C$33*EXP(-(((((Scenario_Data!T45)-Inputs!$C$34)^2)+(((Inputs!$C$6)-Inputs!$C$35)^2))/(2*Inputs!$C$36^2)))+Inputs!$C$37*(0.55*SIN(2*PI()*(Scenario_Data!T45)/Inputs!$C$39)+0.35*COS(2*PI()*(Inputs!$C$6)/Inputs!$C$40)+0.2*SIN(2*PI()*((Scenario_Data!T45)+(Inputs!$C$6))/(0.5*(Inputs!$C$39+Inputs!$C$40))))+Inputs!$C$38*SIN(2*PI()*(Scenario_Data!T45)/Inputs!$C$39)*SIN(2*PI()*(Inputs!$C$6)/Inputs!$C$40)+-Inputs!$C$41*EXP(-(((Inputs!$C$6)-Inputs!$C$43)^2)/(2*Inputs!$C$44^2))*EXP(-(((Scenario_Data!T45)-Inputs!$C$42)^2)/(2*Inputs!$C$45^2))+Inputs!$C$48*(0.7*(0.45*SIN(2*PI()*(((Scenario_Data!T45)/Inputs!$C$49)+Inputs!$C$47*0.137))+0.35*COS(2*PI()*(((Inputs!$C$6)/Inputs!$C$50)+Inputs!$C$47*0.173))+0.2*SIN(2*PI()*((((Scenario_Data!T45)+(Inputs!$C$6))/(0.5*(Inputs!$C$49+Inputs!$C$50)))+Inputs!$C$47*0.097)))+0.3*(2*((SIN(((Scenario_Data!T45)*12.9898+(Inputs!$C$6)*78.233+Inputs!$C$47*37.719))*43758.5453)-INT((SIN(((Scenario_Data!T45)*12.9898+(Inputs!$C$6)*78.233+Inputs!$C$47*37.719))*43758.5453)))-1))))/1000))^2-2*(Inputs!$C$52+(Scenario_Data!B45))*(Inputs!$C$52+((IF(OR(Inputs!$C$27=TRUE,Inputs!$C$27="TRUE",Inputs!$C$27=1),1,0)*(Inputs!$C$51*(115*EXP(-(((Inputs!$C$6)-25)^2)/(4.5^2))+70*EXP(-(((Inputs!$C$6)+38)^2)/(7^2))*(0.55+0.45*SIN(2*PI()*(Scenario_Data!T45)/45))+24*SIN(2*PI()*(Inputs!$C$6)/9+(Scenario_Data!T45)/18)*EXP(-(((Inputs!$C$6)+5)^2)/(22^2))+18*SIN(2*PI()*(Scenario_Data!T45)/70))+Inputs!$C$28*EXP(-(((Scenario_Data!T45)-Inputs!$C$29)^2)/(2*Inputs!$C$31^2))*EXP(-(((Inputs!$C$6)-Inputs!$C$30)^2)/(2*Inputs!$C$32^2))+-Inputs!$C$33*EXP(-(((((Scenario_Data!T45)-Inputs!$C$34)^2)+(((Inputs!$C$6)-Inputs!$C$35)^2))/(2*Inputs!$C$36^2)))+Inputs!$C$37*(0.55*SIN(2*PI()*(Scenario_Data!T45)/Inputs!$C$39)+0.35*COS(2*PI()*(Inputs!$C$6)/Inputs!$C$40)+0.2*SIN(2*PI()*((Scenario_Data!T45)+(Inputs!$C$6))/(0.5*(Inputs!$C$39+Inputs!$C$40))))+Inputs!$C$38*SIN(2*PI()*(Scenario_Data!T45)/Inputs!$C$39)*SIN(2*PI()*(Inputs!$C$6)/Inputs!$C$40)+-Inputs!$C$41*EXP(-(((Inputs!$C$6)-Inputs!$C$43)^2)/(2*Inputs!$C$44^2))*EXP(-(((Scenario_Data!T45)-Inputs!$C$42)^2)/(2*Inputs!$C$45^2))+Inputs!$C$48*(0.7*(0.45*SIN(2*PI()*(((Scenario_Data!T45)/Inputs!$C$49)+Inputs!$C$47*0.137))+0.35*COS(2*PI()*(((Inputs!$C$6)/Inputs!$C$50)+Inputs!$C$47*0.173))+0.2*SIN(2*PI()*((((Scenario_Data!T45)+(Inputs!$C$6))/(0.5*(Inputs!$C$49+Inputs!$C$50)))+Inputs!$C$47*0.097)))+0.3*(2*((SIN(((Scenario_Data!T45)*12.9898+(Inputs!$C$6)*78.233+Inputs!$C$47*37.719))*43758.5453)-INT((SIN(((Scenario_Data!T45)*12.9898+(Inputs!$C$6)*78.233+Inputs!$C$47*37.719))*43758.5453)))-1))))/1000))*COS(SQRT((Scenario_Data!T45)^2+Inputs!$C$6^2)/Inputs!$C$52))*1000)/Inputs!$C$21*1000000</f>
        <v/>
      </c>
      <c r="AR45">
        <f>Scenario_Data!U45</f>
        <v/>
      </c>
      <c r="AS45">
        <f>2*(SQRT((Inputs!$C$52+(Scenario_Data!C45))^2+(Inputs!$C$52+((IF(OR(Inputs!$C$27=TRUE,Inputs!$C$27="TRUE",Inputs!$C$27=1),1,0)*(Inputs!$C$51*(115*EXP(-(((Inputs!$C$6)-25)^2)/(4.5^2))+70*EXP(-(((Inputs!$C$6)+38)^2)/(7^2))*(0.55+0.45*SIN(2*PI()*(Scenario_Data!U45)/45))+24*SIN(2*PI()*(Inputs!$C$6)/9+(Scenario_Data!U45)/18)*EXP(-(((Inputs!$C$6)+5)^2)/(22^2))+18*SIN(2*PI()*(Scenario_Data!U45)/70))+Inputs!$C$28*EXP(-(((Scenario_Data!U45)-Inputs!$C$29)^2)/(2*Inputs!$C$31^2))*EXP(-(((Inputs!$C$6)-Inputs!$C$30)^2)/(2*Inputs!$C$32^2))+-Inputs!$C$33*EXP(-(((((Scenario_Data!U45)-Inputs!$C$34)^2)+(((Inputs!$C$6)-Inputs!$C$35)^2))/(2*Inputs!$C$36^2)))+Inputs!$C$37*(0.55*SIN(2*PI()*(Scenario_Data!U45)/Inputs!$C$39)+0.35*COS(2*PI()*(Inputs!$C$6)/Inputs!$C$40)+0.2*SIN(2*PI()*((Scenario_Data!U45)+(Inputs!$C$6))/(0.5*(Inputs!$C$39+Inputs!$C$40))))+Inputs!$C$38*SIN(2*PI()*(Scenario_Data!U45)/Inputs!$C$39)*SIN(2*PI()*(Inputs!$C$6)/Inputs!$C$40)+-Inputs!$C$41*EXP(-(((Inputs!$C$6)-Inputs!$C$43)^2)/(2*Inputs!$C$44^2))*EXP(-(((Scenario_Data!U45)-Inputs!$C$42)^2)/(2*Inputs!$C$45^2))+Inputs!$C$48*(0.7*(0.45*SIN(2*PI()*(((Scenario_Data!U45)/Inputs!$C$49)+Inputs!$C$47*0.137))+0.35*COS(2*PI()*(((Inputs!$C$6)/Inputs!$C$50)+Inputs!$C$47*0.173))+0.2*SIN(2*PI()*((((Scenario_Data!U45)+(Inputs!$C$6))/(0.5*(Inputs!$C$49+Inputs!$C$50)))+Inputs!$C$47*0.097)))+0.3*(2*((SIN(((Scenario_Data!U45)*12.9898+(Inputs!$C$6)*78.233+Inputs!$C$47*37.719))*43758.5453)-INT((SIN(((Scenario_Data!U45)*12.9898+(Inputs!$C$6)*78.233+Inputs!$C$47*37.719))*43758.5453)))-1))))/1000))^2-2*(Inputs!$C$52+(Scenario_Data!C45))*(Inputs!$C$52+((IF(OR(Inputs!$C$27=TRUE,Inputs!$C$27="TRUE",Inputs!$C$27=1),1,0)*(Inputs!$C$51*(115*EXP(-(((Inputs!$C$6)-25)^2)/(4.5^2))+70*EXP(-(((Inputs!$C$6)+38)^2)/(7^2))*(0.55+0.45*SIN(2*PI()*(Scenario_Data!U45)/45))+24*SIN(2*PI()*(Inputs!$C$6)/9+(Scenario_Data!U45)/18)*EXP(-(((Inputs!$C$6)+5)^2)/(22^2))+18*SIN(2*PI()*(Scenario_Data!U45)/70))+Inputs!$C$28*EXP(-(((Scenario_Data!U45)-Inputs!$C$29)^2)/(2*Inputs!$C$31^2))*EXP(-(((Inputs!$C$6)-Inputs!$C$30)^2)/(2*Inputs!$C$32^2))+-Inputs!$C$33*EXP(-(((((Scenario_Data!U45)-Inputs!$C$34)^2)+(((Inputs!$C$6)-Inputs!$C$35)^2))/(2*Inputs!$C$36^2)))+Inputs!$C$37*(0.55*SIN(2*PI()*(Scenario_Data!U45)/Inputs!$C$39)+0.35*COS(2*PI()*(Inputs!$C$6)/Inputs!$C$40)+0.2*SIN(2*PI()*((Scenario_Data!U45)+(Inputs!$C$6))/(0.5*(Inputs!$C$39+Inputs!$C$40))))+Inputs!$C$38*SIN(2*PI()*(Scenario_Data!U45)/Inputs!$C$39)*SIN(2*PI()*(Inputs!$C$6)/Inputs!$C$40)+-Inputs!$C$41*EXP(-(((Inputs!$C$6)-Inputs!$C$43)^2)/(2*Inputs!$C$44^2))*EXP(-(((Scenario_Data!U45)-Inputs!$C$42)^2)/(2*Inputs!$C$45^2))+Inputs!$C$48*(0.7*(0.45*SIN(2*PI()*(((Scenario_Data!U45)/Inputs!$C$49)+Inputs!$C$47*0.137))+0.35*COS(2*PI()*(((Inputs!$C$6)/Inputs!$C$50)+Inputs!$C$47*0.173))+0.2*SIN(2*PI()*((((Scenario_Data!U45)+(Inputs!$C$6))/(0.5*(Inputs!$C$49+Inputs!$C$50)))+Inputs!$C$47*0.097)))+0.3*(2*((SIN(((Scenario_Data!U45)*12.9898+(Inputs!$C$6)*78.233+Inputs!$C$47*37.719))*43758.5453)-INT((SIN(((Scenario_Data!U45)*12.9898+(Inputs!$C$6)*78.233+Inputs!$C$47*37.719))*43758.5453)))-1))))/1000))*COS(SQRT((Scenario_Data!U45)^2+Inputs!$C$6^2)/Inputs!$C$52))*1000)/Inputs!$C$21*1000000</f>
        <v/>
      </c>
      <c r="AT45">
        <f>Scenario_Data!V45</f>
        <v/>
      </c>
      <c r="AU45">
        <f>2*(SQRT((Inputs!$C$52+(Scenario_Data!D45))^2+(Inputs!$C$52+((IF(OR(Inputs!$C$27=TRUE,Inputs!$C$27="TRUE",Inputs!$C$27=1),1,0)*(Inputs!$C$51*(115*EXP(-(((Inputs!$C$6)-25)^2)/(4.5^2))+70*EXP(-(((Inputs!$C$6)+38)^2)/(7^2))*(0.55+0.45*SIN(2*PI()*(Scenario_Data!V45)/45))+24*SIN(2*PI()*(Inputs!$C$6)/9+(Scenario_Data!V45)/18)*EXP(-(((Inputs!$C$6)+5)^2)/(22^2))+18*SIN(2*PI()*(Scenario_Data!V45)/70))+Inputs!$C$28*EXP(-(((Scenario_Data!V45)-Inputs!$C$29)^2)/(2*Inputs!$C$31^2))*EXP(-(((Inputs!$C$6)-Inputs!$C$30)^2)/(2*Inputs!$C$32^2))+-Inputs!$C$33*EXP(-(((((Scenario_Data!V45)-Inputs!$C$34)^2)+(((Inputs!$C$6)-Inputs!$C$35)^2))/(2*Inputs!$C$36^2)))+Inputs!$C$37*(0.55*SIN(2*PI()*(Scenario_Data!V45)/Inputs!$C$39)+0.35*COS(2*PI()*(Inputs!$C$6)/Inputs!$C$40)+0.2*SIN(2*PI()*((Scenario_Data!V45)+(Inputs!$C$6))/(0.5*(Inputs!$C$39+Inputs!$C$40))))+Inputs!$C$38*SIN(2*PI()*(Scenario_Data!V45)/Inputs!$C$39)*SIN(2*PI()*(Inputs!$C$6)/Inputs!$C$40)+-Inputs!$C$41*EXP(-(((Inputs!$C$6)-Inputs!$C$43)^2)/(2*Inputs!$C$44^2))*EXP(-(((Scenario_Data!V45)-Inputs!$C$42)^2)/(2*Inputs!$C$45^2))+Inputs!$C$48*(0.7*(0.45*SIN(2*PI()*(((Scenario_Data!V45)/Inputs!$C$49)+Inputs!$C$47*0.137))+0.35*COS(2*PI()*(((Inputs!$C$6)/Inputs!$C$50)+Inputs!$C$47*0.173))+0.2*SIN(2*PI()*((((Scenario_Data!V45)+(Inputs!$C$6))/(0.5*(Inputs!$C$49+Inputs!$C$50)))+Inputs!$C$47*0.097)))+0.3*(2*((SIN(((Scenario_Data!V45)*12.9898+(Inputs!$C$6)*78.233+Inputs!$C$47*37.719))*43758.5453)-INT((SIN(((Scenario_Data!V45)*12.9898+(Inputs!$C$6)*78.233+Inputs!$C$47*37.719))*43758.5453)))-1))))/1000))^2-2*(Inputs!$C$52+(Scenario_Data!D45))*(Inputs!$C$52+((IF(OR(Inputs!$C$27=TRUE,Inputs!$C$27="TRUE",Inputs!$C$27=1),1,0)*(Inputs!$C$51*(115*EXP(-(((Inputs!$C$6)-25)^2)/(4.5^2))+70*EXP(-(((Inputs!$C$6)+38)^2)/(7^2))*(0.55+0.45*SIN(2*PI()*(Scenario_Data!V45)/45))+24*SIN(2*PI()*(Inputs!$C$6)/9+(Scenario_Data!V45)/18)*EXP(-(((Inputs!$C$6)+5)^2)/(22^2))+18*SIN(2*PI()*(Scenario_Data!V45)/70))+Inputs!$C$28*EXP(-(((Scenario_Data!V45)-Inputs!$C$29)^2)/(2*Inputs!$C$31^2))*EXP(-(((Inputs!$C$6)-Inputs!$C$30)^2)/(2*Inputs!$C$32^2))+-Inputs!$C$33*EXP(-(((((Scenario_Data!V45)-Inputs!$C$34)^2)+(((Inputs!$C$6)-Inputs!$C$35)^2))/(2*Inputs!$C$36^2)))+Inputs!$C$37*(0.55*SIN(2*PI()*(Scenario_Data!V45)/Inputs!$C$39)+0.35*COS(2*PI()*(Inputs!$C$6)/Inputs!$C$40)+0.2*SIN(2*PI()*((Scenario_Data!V45)+(Inputs!$C$6))/(0.5*(Inputs!$C$39+Inputs!$C$40))))+Inputs!$C$38*SIN(2*PI()*(Scenario_Data!V45)/Inputs!$C$39)*SIN(2*PI()*(Inputs!$C$6)/Inputs!$C$40)+-Inputs!$C$41*EXP(-(((Inputs!$C$6)-Inputs!$C$43)^2)/(2*Inputs!$C$44^2))*EXP(-(((Scenario_Data!V45)-Inputs!$C$42)^2)/(2*Inputs!$C$45^2))+Inputs!$C$48*(0.7*(0.45*SIN(2*PI()*(((Scenario_Data!V45)/Inputs!$C$49)+Inputs!$C$47*0.137))+0.35*COS(2*PI()*(((Inputs!$C$6)/Inputs!$C$50)+Inputs!$C$47*0.173))+0.2*SIN(2*PI()*((((Scenario_Data!V45)+(Inputs!$C$6))/(0.5*(Inputs!$C$49+Inputs!$C$50)))+Inputs!$C$47*0.097)))+0.3*(2*((SIN(((Scenario_Data!V45)*12.9898+(Inputs!$C$6)*78.233+Inputs!$C$47*37.719))*43758.5453)-INT((SIN(((Scenario_Data!V45)*12.9898+(Inputs!$C$6)*78.233+Inputs!$C$47*37.719))*43758.5453)))-1))))/1000))*COS(SQRT((Scenario_Data!V45)^2+Inputs!$C$6^2)/Inputs!$C$52))*1000)/Inputs!$C$21*1000000</f>
        <v/>
      </c>
      <c r="AV45">
        <f>Scenario_Data!W45</f>
        <v/>
      </c>
      <c r="AW45">
        <f>2*(SQRT((Inputs!$C$52+(Scenario_Data!E45))^2+(Inputs!$C$52+((IF(OR(Inputs!$C$27=TRUE,Inputs!$C$27="TRUE",Inputs!$C$27=1),1,0)*(Inputs!$C$51*(115*EXP(-(((Inputs!$C$6)-25)^2)/(4.5^2))+70*EXP(-(((Inputs!$C$6)+38)^2)/(7^2))*(0.55+0.45*SIN(2*PI()*(Scenario_Data!W45)/45))+24*SIN(2*PI()*(Inputs!$C$6)/9+(Scenario_Data!W45)/18)*EXP(-(((Inputs!$C$6)+5)^2)/(22^2))+18*SIN(2*PI()*(Scenario_Data!W45)/70))+Inputs!$C$28*EXP(-(((Scenario_Data!W45)-Inputs!$C$29)^2)/(2*Inputs!$C$31^2))*EXP(-(((Inputs!$C$6)-Inputs!$C$30)^2)/(2*Inputs!$C$32^2))+-Inputs!$C$33*EXP(-(((((Scenario_Data!W45)-Inputs!$C$34)^2)+(((Inputs!$C$6)-Inputs!$C$35)^2))/(2*Inputs!$C$36^2)))+Inputs!$C$37*(0.55*SIN(2*PI()*(Scenario_Data!W45)/Inputs!$C$39)+0.35*COS(2*PI()*(Inputs!$C$6)/Inputs!$C$40)+0.2*SIN(2*PI()*((Scenario_Data!W45)+(Inputs!$C$6))/(0.5*(Inputs!$C$39+Inputs!$C$40))))+Inputs!$C$38*SIN(2*PI()*(Scenario_Data!W45)/Inputs!$C$39)*SIN(2*PI()*(Inputs!$C$6)/Inputs!$C$40)+-Inputs!$C$41*EXP(-(((Inputs!$C$6)-Inputs!$C$43)^2)/(2*Inputs!$C$44^2))*EXP(-(((Scenario_Data!W45)-Inputs!$C$42)^2)/(2*Inputs!$C$45^2))+Inputs!$C$48*(0.7*(0.45*SIN(2*PI()*(((Scenario_Data!W45)/Inputs!$C$49)+Inputs!$C$47*0.137))+0.35*COS(2*PI()*(((Inputs!$C$6)/Inputs!$C$50)+Inputs!$C$47*0.173))+0.2*SIN(2*PI()*((((Scenario_Data!W45)+(Inputs!$C$6))/(0.5*(Inputs!$C$49+Inputs!$C$50)))+Inputs!$C$47*0.097)))+0.3*(2*((SIN(((Scenario_Data!W45)*12.9898+(Inputs!$C$6)*78.233+Inputs!$C$47*37.719))*43758.5453)-INT((SIN(((Scenario_Data!W45)*12.9898+(Inputs!$C$6)*78.233+Inputs!$C$47*37.719))*43758.5453)))-1))))/1000))^2-2*(Inputs!$C$52+(Scenario_Data!E45))*(Inputs!$C$52+((IF(OR(Inputs!$C$27=TRUE,Inputs!$C$27="TRUE",Inputs!$C$27=1),1,0)*(Inputs!$C$51*(115*EXP(-(((Inputs!$C$6)-25)^2)/(4.5^2))+70*EXP(-(((Inputs!$C$6)+38)^2)/(7^2))*(0.55+0.45*SIN(2*PI()*(Scenario_Data!W45)/45))+24*SIN(2*PI()*(Inputs!$C$6)/9+(Scenario_Data!W45)/18)*EXP(-(((Inputs!$C$6)+5)^2)/(22^2))+18*SIN(2*PI()*(Scenario_Data!W45)/70))+Inputs!$C$28*EXP(-(((Scenario_Data!W45)-Inputs!$C$29)^2)/(2*Inputs!$C$31^2))*EXP(-(((Inputs!$C$6)-Inputs!$C$30)^2)/(2*Inputs!$C$32^2))+-Inputs!$C$33*EXP(-(((((Scenario_Data!W45)-Inputs!$C$34)^2)+(((Inputs!$C$6)-Inputs!$C$35)^2))/(2*Inputs!$C$36^2)))+Inputs!$C$37*(0.55*SIN(2*PI()*(Scenario_Data!W45)/Inputs!$C$39)+0.35*COS(2*PI()*(Inputs!$C$6)/Inputs!$C$40)+0.2*SIN(2*PI()*((Scenario_Data!W45)+(Inputs!$C$6))/(0.5*(Inputs!$C$39+Inputs!$C$40))))+Inputs!$C$38*SIN(2*PI()*(Scenario_Data!W45)/Inputs!$C$39)*SIN(2*PI()*(Inputs!$C$6)/Inputs!$C$40)+-Inputs!$C$41*EXP(-(((Inputs!$C$6)-Inputs!$C$43)^2)/(2*Inputs!$C$44^2))*EXP(-(((Scenario_Data!W45)-Inputs!$C$42)^2)/(2*Inputs!$C$45^2))+Inputs!$C$48*(0.7*(0.45*SIN(2*PI()*(((Scenario_Data!W45)/Inputs!$C$49)+Inputs!$C$47*0.137))+0.35*COS(2*PI()*(((Inputs!$C$6)/Inputs!$C$50)+Inputs!$C$47*0.173))+0.2*SIN(2*PI()*((((Scenario_Data!W45)+(Inputs!$C$6))/(0.5*(Inputs!$C$49+Inputs!$C$50)))+Inputs!$C$47*0.097)))+0.3*(2*((SIN(((Scenario_Data!W45)*12.9898+(Inputs!$C$6)*78.233+Inputs!$C$47*37.719))*43758.5453)-INT((SIN(((Scenario_Data!W45)*12.9898+(Inputs!$C$6)*78.233+Inputs!$C$47*37.719))*43758.5453)))-1))))/1000))*COS(SQRT((Scenario_Data!W45)^2+Inputs!$C$6^2)/Inputs!$C$52))*1000)/Inputs!$C$21*1000000</f>
        <v/>
      </c>
    </row>
    <row r="46">
      <c r="A46">
        <f>Chart_Data!K46</f>
        <v/>
      </c>
      <c r="B46">
        <f>Chart_Data!N46-Chart_Data!L46</f>
        <v/>
      </c>
      <c r="D46">
        <f>Chart_Data!G46</f>
        <v/>
      </c>
      <c r="E46">
        <f>Chart_Data!H46</f>
        <v/>
      </c>
      <c r="F46">
        <f>Chart_Data!I46</f>
        <v/>
      </c>
      <c r="G46">
        <f>Chart_Data!J46</f>
        <v/>
      </c>
      <c r="I46">
        <f>Scenario_Data!A46</f>
        <v/>
      </c>
      <c r="J46">
        <f>Scenario_Data!H46-(((SQRT((Inputs!$C$52+(Inputs!$H$6))^2+Inputs!$C$52^2-2*(Inputs!$C$52+(Inputs!$H$6))*Inputs!$C$52*COS(SQRT((Scenario_Data!T46)^2+Inputs!$C$6^2)/Inputs!$C$52)))-(Inputs!$H$6))*1000/Inputs!$C$12)</f>
        <v/>
      </c>
      <c r="K46">
        <f>Scenario_Data!I46-(((SQRT((Inputs!$C$52+(Inputs!$H$7))^2+Inputs!$C$52^2-2*(Inputs!$C$52+(Inputs!$H$7))*Inputs!$C$52*COS(SQRT((Scenario_Data!U46)^2+Inputs!$C$6^2)/Inputs!$C$52)))-(Inputs!$H$7))*1000/Inputs!$C$12)</f>
        <v/>
      </c>
      <c r="L46">
        <f>Scenario_Data!J46-(((SQRT((Inputs!$C$52+(Inputs!$H$8))^2+Inputs!$C$52^2-2*(Inputs!$C$52+(Inputs!$H$8))*Inputs!$C$52*COS(SQRT((Scenario_Data!V46)^2+Inputs!$C$6^2)/Inputs!$C$52)))-(Inputs!$H$8))*1000/Inputs!$C$12)</f>
        <v/>
      </c>
      <c r="M46">
        <f>Scenario_Data!K46-(((SQRT((Inputs!$C$52+(Inputs!$H$9))^2+Inputs!$C$52^2-2*(Inputs!$C$52+(Inputs!$H$9))*Inputs!$C$52*COS(SQRT((Scenario_Data!W46)^2+Inputs!$C$6^2)/Inputs!$C$52)))-(Inputs!$H$9))*1000/Inputs!$C$12)</f>
        <v/>
      </c>
      <c r="O46">
        <f>Scenario_Data!T46</f>
        <v/>
      </c>
      <c r="P46">
        <f>2*(Scenario_Data!B46*1000)/Inputs!$C$21*1000000</f>
        <v/>
      </c>
      <c r="Q46">
        <f>Scenario_Data!U46</f>
        <v/>
      </c>
      <c r="R46">
        <f>2*(Scenario_Data!C46*1000)/Inputs!$C$21*1000000</f>
        <v/>
      </c>
      <c r="S46">
        <f>Scenario_Data!V46</f>
        <v/>
      </c>
      <c r="T46">
        <f>2*(Scenario_Data!D46*1000)/Inputs!$C$21*1000000</f>
        <v/>
      </c>
      <c r="U46">
        <f>Scenario_Data!W46</f>
        <v/>
      </c>
      <c r="V46">
        <f>2*(Scenario_Data!E46*1000)/Inputs!$C$21*1000000</f>
        <v/>
      </c>
      <c r="X46">
        <f>Scenario_Data!T46</f>
        <v/>
      </c>
      <c r="Y46">
        <f>2*((Scenario_Data!B46*1000)-(IF(OR(Inputs!$C$27=TRUE,Inputs!$C$27="TRUE",Inputs!$C$27=1),1,0)*(Inputs!$C$51*(115*EXP(-(((0)-25)^2)/(4.5^2))+70*EXP(-(((0)+38)^2)/(7^2))*(0.55+0.45*SIN(2*PI()*(Scenario_Data!T46)/45))+24*SIN(2*PI()*(0)/9+(Scenario_Data!T46)/18)*EXP(-(((0)+5)^2)/(22^2))+18*SIN(2*PI()*(Scenario_Data!T46)/70))+Inputs!$C$28*EXP(-(((Scenario_Data!T46)-Inputs!$C$29)^2)/(2*Inputs!$C$31^2))*EXP(-(((0)-Inputs!$C$30)^2)/(2*Inputs!$C$32^2))+-Inputs!$C$33*EXP(-(((((Scenario_Data!T46)-Inputs!$C$34)^2)+(((0)-Inputs!$C$35)^2))/(2*Inputs!$C$36^2)))+Inputs!$C$37*(0.55*SIN(2*PI()*(Scenario_Data!T46)/Inputs!$C$39)+0.35*COS(2*PI()*(0)/Inputs!$C$40)+0.2*SIN(2*PI()*((Scenario_Data!T46)+(0))/(0.5*(Inputs!$C$39+Inputs!$C$40))))+Inputs!$C$38*SIN(2*PI()*(Scenario_Data!T46)/Inputs!$C$39)*SIN(2*PI()*(0)/Inputs!$C$40)+-Inputs!$C$41*EXP(-(((0)-Inputs!$C$43)^2)/(2*Inputs!$C$44^2))*EXP(-(((Scenario_Data!T46)-Inputs!$C$42)^2)/(2*Inputs!$C$45^2))+Inputs!$C$48*(0.7*(0.45*SIN(2*PI()*(((Scenario_Data!T46)/Inputs!$C$49)+Inputs!$C$47*0.137))+0.35*COS(2*PI()*(((0)/Inputs!$C$50)+Inputs!$C$47*0.173))+0.2*SIN(2*PI()*((((Scenario_Data!T46)+(0))/(0.5*(Inputs!$C$49+Inputs!$C$50)))+Inputs!$C$47*0.097)))+0.3*(2*((SIN(((Scenario_Data!T46)*12.9898+(0)*78.233+Inputs!$C$47*37.719))*43758.5453)-INT((SIN(((Scenario_Data!T46)*12.9898+(0)*78.233+Inputs!$C$47*37.719))*43758.5453)))-1)))))/Inputs!$C$21*1000000</f>
        <v/>
      </c>
      <c r="Z46">
        <f>Scenario_Data!U46</f>
        <v/>
      </c>
      <c r="AA46">
        <f>2*((Scenario_Data!C46*1000)-(IF(OR(Inputs!$C$27=TRUE,Inputs!$C$27="TRUE",Inputs!$C$27=1),1,0)*(Inputs!$C$51*(115*EXP(-(((0)-25)^2)/(4.5^2))+70*EXP(-(((0)+38)^2)/(7^2))*(0.55+0.45*SIN(2*PI()*(Scenario_Data!U46)/45))+24*SIN(2*PI()*(0)/9+(Scenario_Data!U46)/18)*EXP(-(((0)+5)^2)/(22^2))+18*SIN(2*PI()*(Scenario_Data!U46)/70))+Inputs!$C$28*EXP(-(((Scenario_Data!U46)-Inputs!$C$29)^2)/(2*Inputs!$C$31^2))*EXP(-(((0)-Inputs!$C$30)^2)/(2*Inputs!$C$32^2))+-Inputs!$C$33*EXP(-(((((Scenario_Data!U46)-Inputs!$C$34)^2)+(((0)-Inputs!$C$35)^2))/(2*Inputs!$C$36^2)))+Inputs!$C$37*(0.55*SIN(2*PI()*(Scenario_Data!U46)/Inputs!$C$39)+0.35*COS(2*PI()*(0)/Inputs!$C$40)+0.2*SIN(2*PI()*((Scenario_Data!U46)+(0))/(0.5*(Inputs!$C$39+Inputs!$C$40))))+Inputs!$C$38*SIN(2*PI()*(Scenario_Data!U46)/Inputs!$C$39)*SIN(2*PI()*(0)/Inputs!$C$40)+-Inputs!$C$41*EXP(-(((0)-Inputs!$C$43)^2)/(2*Inputs!$C$44^2))*EXP(-(((Scenario_Data!U46)-Inputs!$C$42)^2)/(2*Inputs!$C$45^2))+Inputs!$C$48*(0.7*(0.45*SIN(2*PI()*(((Scenario_Data!U46)/Inputs!$C$49)+Inputs!$C$47*0.137))+0.35*COS(2*PI()*(((0)/Inputs!$C$50)+Inputs!$C$47*0.173))+0.2*SIN(2*PI()*((((Scenario_Data!U46)+(0))/(0.5*(Inputs!$C$49+Inputs!$C$50)))+Inputs!$C$47*0.097)))+0.3*(2*((SIN(((Scenario_Data!U46)*12.9898+(0)*78.233+Inputs!$C$47*37.719))*43758.5453)-INT((SIN(((Scenario_Data!U46)*12.9898+(0)*78.233+Inputs!$C$47*37.719))*43758.5453)))-1)))))/Inputs!$C$21*1000000</f>
        <v/>
      </c>
      <c r="AB46">
        <f>Scenario_Data!V46</f>
        <v/>
      </c>
      <c r="AC46">
        <f>2*((Scenario_Data!D46*1000)-(IF(OR(Inputs!$C$27=TRUE,Inputs!$C$27="TRUE",Inputs!$C$27=1),1,0)*(Inputs!$C$51*(115*EXP(-(((0)-25)^2)/(4.5^2))+70*EXP(-(((0)+38)^2)/(7^2))*(0.55+0.45*SIN(2*PI()*(Scenario_Data!V46)/45))+24*SIN(2*PI()*(0)/9+(Scenario_Data!V46)/18)*EXP(-(((0)+5)^2)/(22^2))+18*SIN(2*PI()*(Scenario_Data!V46)/70))+Inputs!$C$28*EXP(-(((Scenario_Data!V46)-Inputs!$C$29)^2)/(2*Inputs!$C$31^2))*EXP(-(((0)-Inputs!$C$30)^2)/(2*Inputs!$C$32^2))+-Inputs!$C$33*EXP(-(((((Scenario_Data!V46)-Inputs!$C$34)^2)+(((0)-Inputs!$C$35)^2))/(2*Inputs!$C$36^2)))+Inputs!$C$37*(0.55*SIN(2*PI()*(Scenario_Data!V46)/Inputs!$C$39)+0.35*COS(2*PI()*(0)/Inputs!$C$40)+0.2*SIN(2*PI()*((Scenario_Data!V46)+(0))/(0.5*(Inputs!$C$39+Inputs!$C$40))))+Inputs!$C$38*SIN(2*PI()*(Scenario_Data!V46)/Inputs!$C$39)*SIN(2*PI()*(0)/Inputs!$C$40)+-Inputs!$C$41*EXP(-(((0)-Inputs!$C$43)^2)/(2*Inputs!$C$44^2))*EXP(-(((Scenario_Data!V46)-Inputs!$C$42)^2)/(2*Inputs!$C$45^2))+Inputs!$C$48*(0.7*(0.45*SIN(2*PI()*(((Scenario_Data!V46)/Inputs!$C$49)+Inputs!$C$47*0.137))+0.35*COS(2*PI()*(((0)/Inputs!$C$50)+Inputs!$C$47*0.173))+0.2*SIN(2*PI()*((((Scenario_Data!V46)+(0))/(0.5*(Inputs!$C$49+Inputs!$C$50)))+Inputs!$C$47*0.097)))+0.3*(2*((SIN(((Scenario_Data!V46)*12.9898+(0)*78.233+Inputs!$C$47*37.719))*43758.5453)-INT((SIN(((Scenario_Data!V46)*12.9898+(0)*78.233+Inputs!$C$47*37.719))*43758.5453)))-1)))))/Inputs!$C$21*1000000</f>
        <v/>
      </c>
      <c r="AD46">
        <f>Scenario_Data!W46</f>
        <v/>
      </c>
      <c r="AE46">
        <f>2*((Scenario_Data!E46*1000)-(IF(OR(Inputs!$C$27=TRUE,Inputs!$C$27="TRUE",Inputs!$C$27=1),1,0)*(Inputs!$C$51*(115*EXP(-(((0)-25)^2)/(4.5^2))+70*EXP(-(((0)+38)^2)/(7^2))*(0.55+0.45*SIN(2*PI()*(Scenario_Data!W46)/45))+24*SIN(2*PI()*(0)/9+(Scenario_Data!W46)/18)*EXP(-(((0)+5)^2)/(22^2))+18*SIN(2*PI()*(Scenario_Data!W46)/70))+Inputs!$C$28*EXP(-(((Scenario_Data!W46)-Inputs!$C$29)^2)/(2*Inputs!$C$31^2))*EXP(-(((0)-Inputs!$C$30)^2)/(2*Inputs!$C$32^2))+-Inputs!$C$33*EXP(-(((((Scenario_Data!W46)-Inputs!$C$34)^2)+(((0)-Inputs!$C$35)^2))/(2*Inputs!$C$36^2)))+Inputs!$C$37*(0.55*SIN(2*PI()*(Scenario_Data!W46)/Inputs!$C$39)+0.35*COS(2*PI()*(0)/Inputs!$C$40)+0.2*SIN(2*PI()*((Scenario_Data!W46)+(0))/(0.5*(Inputs!$C$39+Inputs!$C$40))))+Inputs!$C$38*SIN(2*PI()*(Scenario_Data!W46)/Inputs!$C$39)*SIN(2*PI()*(0)/Inputs!$C$40)+-Inputs!$C$41*EXP(-(((0)-Inputs!$C$43)^2)/(2*Inputs!$C$44^2))*EXP(-(((Scenario_Data!W46)-Inputs!$C$42)^2)/(2*Inputs!$C$45^2))+Inputs!$C$48*(0.7*(0.45*SIN(2*PI()*(((Scenario_Data!W46)/Inputs!$C$49)+Inputs!$C$47*0.137))+0.35*COS(2*PI()*(((0)/Inputs!$C$50)+Inputs!$C$47*0.173))+0.2*SIN(2*PI()*((((Scenario_Data!W46)+(0))/(0.5*(Inputs!$C$49+Inputs!$C$50)))+Inputs!$C$47*0.097)))+0.3*(2*((SIN(((Scenario_Data!W46)*12.9898+(0)*78.233+Inputs!$C$47*37.719))*43758.5453)-INT((SIN(((Scenario_Data!W46)*12.9898+(0)*78.233+Inputs!$C$47*37.719))*43758.5453)))-1)))))/Inputs!$C$21*1000000</f>
        <v/>
      </c>
      <c r="AG46">
        <f>Scenario_Data!T46</f>
        <v/>
      </c>
      <c r="AH46">
        <f>2*(SQRT((Inputs!$C$52+(Scenario_Data!B46))^2+Inputs!$C$52^2-2*(Inputs!$C$52+(Scenario_Data!B46))*Inputs!$C$52*COS(SQRT((Scenario_Data!T46)^2+Inputs!$C$6^2)/Inputs!$C$52))*1000)/Inputs!$C$21*1000000</f>
        <v/>
      </c>
      <c r="AI46">
        <f>Scenario_Data!U46</f>
        <v/>
      </c>
      <c r="AJ46">
        <f>2*(SQRT((Inputs!$C$52+(Scenario_Data!C46))^2+Inputs!$C$52^2-2*(Inputs!$C$52+(Scenario_Data!C46))*Inputs!$C$52*COS(SQRT((Scenario_Data!U46)^2+Inputs!$C$6^2)/Inputs!$C$52))*1000)/Inputs!$C$21*1000000</f>
        <v/>
      </c>
      <c r="AK46">
        <f>Scenario_Data!V46</f>
        <v/>
      </c>
      <c r="AL46">
        <f>2*(SQRT((Inputs!$C$52+(Scenario_Data!D46))^2+Inputs!$C$52^2-2*(Inputs!$C$52+(Scenario_Data!D46))*Inputs!$C$52*COS(SQRT((Scenario_Data!V46)^2+Inputs!$C$6^2)/Inputs!$C$52))*1000)/Inputs!$C$21*1000000</f>
        <v/>
      </c>
      <c r="AM46">
        <f>Scenario_Data!W46</f>
        <v/>
      </c>
      <c r="AN46">
        <f>2*(SQRT((Inputs!$C$52+(Scenario_Data!E46))^2+Inputs!$C$52^2-2*(Inputs!$C$52+(Scenario_Data!E46))*Inputs!$C$52*COS(SQRT((Scenario_Data!W46)^2+Inputs!$C$6^2)/Inputs!$C$52))*1000)/Inputs!$C$21*1000000</f>
        <v/>
      </c>
      <c r="AP46">
        <f>Scenario_Data!T46</f>
        <v/>
      </c>
      <c r="AQ46">
        <f>2*(SQRT((Inputs!$C$52+(Scenario_Data!B46))^2+(Inputs!$C$52+((IF(OR(Inputs!$C$27=TRUE,Inputs!$C$27="TRUE",Inputs!$C$27=1),1,0)*(Inputs!$C$51*(115*EXP(-(((Inputs!$C$6)-25)^2)/(4.5^2))+70*EXP(-(((Inputs!$C$6)+38)^2)/(7^2))*(0.55+0.45*SIN(2*PI()*(Scenario_Data!T46)/45))+24*SIN(2*PI()*(Inputs!$C$6)/9+(Scenario_Data!T46)/18)*EXP(-(((Inputs!$C$6)+5)^2)/(22^2))+18*SIN(2*PI()*(Scenario_Data!T46)/70))+Inputs!$C$28*EXP(-(((Scenario_Data!T46)-Inputs!$C$29)^2)/(2*Inputs!$C$31^2))*EXP(-(((Inputs!$C$6)-Inputs!$C$30)^2)/(2*Inputs!$C$32^2))+-Inputs!$C$33*EXP(-(((((Scenario_Data!T46)-Inputs!$C$34)^2)+(((Inputs!$C$6)-Inputs!$C$35)^2))/(2*Inputs!$C$36^2)))+Inputs!$C$37*(0.55*SIN(2*PI()*(Scenario_Data!T46)/Inputs!$C$39)+0.35*COS(2*PI()*(Inputs!$C$6)/Inputs!$C$40)+0.2*SIN(2*PI()*((Scenario_Data!T46)+(Inputs!$C$6))/(0.5*(Inputs!$C$39+Inputs!$C$40))))+Inputs!$C$38*SIN(2*PI()*(Scenario_Data!T46)/Inputs!$C$39)*SIN(2*PI()*(Inputs!$C$6)/Inputs!$C$40)+-Inputs!$C$41*EXP(-(((Inputs!$C$6)-Inputs!$C$43)^2)/(2*Inputs!$C$44^2))*EXP(-(((Scenario_Data!T46)-Inputs!$C$42)^2)/(2*Inputs!$C$45^2))+Inputs!$C$48*(0.7*(0.45*SIN(2*PI()*(((Scenario_Data!T46)/Inputs!$C$49)+Inputs!$C$47*0.137))+0.35*COS(2*PI()*(((Inputs!$C$6)/Inputs!$C$50)+Inputs!$C$47*0.173))+0.2*SIN(2*PI()*((((Scenario_Data!T46)+(Inputs!$C$6))/(0.5*(Inputs!$C$49+Inputs!$C$50)))+Inputs!$C$47*0.097)))+0.3*(2*((SIN(((Scenario_Data!T46)*12.9898+(Inputs!$C$6)*78.233+Inputs!$C$47*37.719))*43758.5453)-INT((SIN(((Scenario_Data!T46)*12.9898+(Inputs!$C$6)*78.233+Inputs!$C$47*37.719))*43758.5453)))-1))))/1000))^2-2*(Inputs!$C$52+(Scenario_Data!B46))*(Inputs!$C$52+((IF(OR(Inputs!$C$27=TRUE,Inputs!$C$27="TRUE",Inputs!$C$27=1),1,0)*(Inputs!$C$51*(115*EXP(-(((Inputs!$C$6)-25)^2)/(4.5^2))+70*EXP(-(((Inputs!$C$6)+38)^2)/(7^2))*(0.55+0.45*SIN(2*PI()*(Scenario_Data!T46)/45))+24*SIN(2*PI()*(Inputs!$C$6)/9+(Scenario_Data!T46)/18)*EXP(-(((Inputs!$C$6)+5)^2)/(22^2))+18*SIN(2*PI()*(Scenario_Data!T46)/70))+Inputs!$C$28*EXP(-(((Scenario_Data!T46)-Inputs!$C$29)^2)/(2*Inputs!$C$31^2))*EXP(-(((Inputs!$C$6)-Inputs!$C$30)^2)/(2*Inputs!$C$32^2))+-Inputs!$C$33*EXP(-(((((Scenario_Data!T46)-Inputs!$C$34)^2)+(((Inputs!$C$6)-Inputs!$C$35)^2))/(2*Inputs!$C$36^2)))+Inputs!$C$37*(0.55*SIN(2*PI()*(Scenario_Data!T46)/Inputs!$C$39)+0.35*COS(2*PI()*(Inputs!$C$6)/Inputs!$C$40)+0.2*SIN(2*PI()*((Scenario_Data!T46)+(Inputs!$C$6))/(0.5*(Inputs!$C$39+Inputs!$C$40))))+Inputs!$C$38*SIN(2*PI()*(Scenario_Data!T46)/Inputs!$C$39)*SIN(2*PI()*(Inputs!$C$6)/Inputs!$C$40)+-Inputs!$C$41*EXP(-(((Inputs!$C$6)-Inputs!$C$43)^2)/(2*Inputs!$C$44^2))*EXP(-(((Scenario_Data!T46)-Inputs!$C$42)^2)/(2*Inputs!$C$45^2))+Inputs!$C$48*(0.7*(0.45*SIN(2*PI()*(((Scenario_Data!T46)/Inputs!$C$49)+Inputs!$C$47*0.137))+0.35*COS(2*PI()*(((Inputs!$C$6)/Inputs!$C$50)+Inputs!$C$47*0.173))+0.2*SIN(2*PI()*((((Scenario_Data!T46)+(Inputs!$C$6))/(0.5*(Inputs!$C$49+Inputs!$C$50)))+Inputs!$C$47*0.097)))+0.3*(2*((SIN(((Scenario_Data!T46)*12.9898+(Inputs!$C$6)*78.233+Inputs!$C$47*37.719))*43758.5453)-INT((SIN(((Scenario_Data!T46)*12.9898+(Inputs!$C$6)*78.233+Inputs!$C$47*37.719))*43758.5453)))-1))))/1000))*COS(SQRT((Scenario_Data!T46)^2+Inputs!$C$6^2)/Inputs!$C$52))*1000)/Inputs!$C$21*1000000</f>
        <v/>
      </c>
      <c r="AR46">
        <f>Scenario_Data!U46</f>
        <v/>
      </c>
      <c r="AS46">
        <f>2*(SQRT((Inputs!$C$52+(Scenario_Data!C46))^2+(Inputs!$C$52+((IF(OR(Inputs!$C$27=TRUE,Inputs!$C$27="TRUE",Inputs!$C$27=1),1,0)*(Inputs!$C$51*(115*EXP(-(((Inputs!$C$6)-25)^2)/(4.5^2))+70*EXP(-(((Inputs!$C$6)+38)^2)/(7^2))*(0.55+0.45*SIN(2*PI()*(Scenario_Data!U46)/45))+24*SIN(2*PI()*(Inputs!$C$6)/9+(Scenario_Data!U46)/18)*EXP(-(((Inputs!$C$6)+5)^2)/(22^2))+18*SIN(2*PI()*(Scenario_Data!U46)/70))+Inputs!$C$28*EXP(-(((Scenario_Data!U46)-Inputs!$C$29)^2)/(2*Inputs!$C$31^2))*EXP(-(((Inputs!$C$6)-Inputs!$C$30)^2)/(2*Inputs!$C$32^2))+-Inputs!$C$33*EXP(-(((((Scenario_Data!U46)-Inputs!$C$34)^2)+(((Inputs!$C$6)-Inputs!$C$35)^2))/(2*Inputs!$C$36^2)))+Inputs!$C$37*(0.55*SIN(2*PI()*(Scenario_Data!U46)/Inputs!$C$39)+0.35*COS(2*PI()*(Inputs!$C$6)/Inputs!$C$40)+0.2*SIN(2*PI()*((Scenario_Data!U46)+(Inputs!$C$6))/(0.5*(Inputs!$C$39+Inputs!$C$40))))+Inputs!$C$38*SIN(2*PI()*(Scenario_Data!U46)/Inputs!$C$39)*SIN(2*PI()*(Inputs!$C$6)/Inputs!$C$40)+-Inputs!$C$41*EXP(-(((Inputs!$C$6)-Inputs!$C$43)^2)/(2*Inputs!$C$44^2))*EXP(-(((Scenario_Data!U46)-Inputs!$C$42)^2)/(2*Inputs!$C$45^2))+Inputs!$C$48*(0.7*(0.45*SIN(2*PI()*(((Scenario_Data!U46)/Inputs!$C$49)+Inputs!$C$47*0.137))+0.35*COS(2*PI()*(((Inputs!$C$6)/Inputs!$C$50)+Inputs!$C$47*0.173))+0.2*SIN(2*PI()*((((Scenario_Data!U46)+(Inputs!$C$6))/(0.5*(Inputs!$C$49+Inputs!$C$50)))+Inputs!$C$47*0.097)))+0.3*(2*((SIN(((Scenario_Data!U46)*12.9898+(Inputs!$C$6)*78.233+Inputs!$C$47*37.719))*43758.5453)-INT((SIN(((Scenario_Data!U46)*12.9898+(Inputs!$C$6)*78.233+Inputs!$C$47*37.719))*43758.5453)))-1))))/1000))^2-2*(Inputs!$C$52+(Scenario_Data!C46))*(Inputs!$C$52+((IF(OR(Inputs!$C$27=TRUE,Inputs!$C$27="TRUE",Inputs!$C$27=1),1,0)*(Inputs!$C$51*(115*EXP(-(((Inputs!$C$6)-25)^2)/(4.5^2))+70*EXP(-(((Inputs!$C$6)+38)^2)/(7^2))*(0.55+0.45*SIN(2*PI()*(Scenario_Data!U46)/45))+24*SIN(2*PI()*(Inputs!$C$6)/9+(Scenario_Data!U46)/18)*EXP(-(((Inputs!$C$6)+5)^2)/(22^2))+18*SIN(2*PI()*(Scenario_Data!U46)/70))+Inputs!$C$28*EXP(-(((Scenario_Data!U46)-Inputs!$C$29)^2)/(2*Inputs!$C$31^2))*EXP(-(((Inputs!$C$6)-Inputs!$C$30)^2)/(2*Inputs!$C$32^2))+-Inputs!$C$33*EXP(-(((((Scenario_Data!U46)-Inputs!$C$34)^2)+(((Inputs!$C$6)-Inputs!$C$35)^2))/(2*Inputs!$C$36^2)))+Inputs!$C$37*(0.55*SIN(2*PI()*(Scenario_Data!U46)/Inputs!$C$39)+0.35*COS(2*PI()*(Inputs!$C$6)/Inputs!$C$40)+0.2*SIN(2*PI()*((Scenario_Data!U46)+(Inputs!$C$6))/(0.5*(Inputs!$C$39+Inputs!$C$40))))+Inputs!$C$38*SIN(2*PI()*(Scenario_Data!U46)/Inputs!$C$39)*SIN(2*PI()*(Inputs!$C$6)/Inputs!$C$40)+-Inputs!$C$41*EXP(-(((Inputs!$C$6)-Inputs!$C$43)^2)/(2*Inputs!$C$44^2))*EXP(-(((Scenario_Data!U46)-Inputs!$C$42)^2)/(2*Inputs!$C$45^2))+Inputs!$C$48*(0.7*(0.45*SIN(2*PI()*(((Scenario_Data!U46)/Inputs!$C$49)+Inputs!$C$47*0.137))+0.35*COS(2*PI()*(((Inputs!$C$6)/Inputs!$C$50)+Inputs!$C$47*0.173))+0.2*SIN(2*PI()*((((Scenario_Data!U46)+(Inputs!$C$6))/(0.5*(Inputs!$C$49+Inputs!$C$50)))+Inputs!$C$47*0.097)))+0.3*(2*((SIN(((Scenario_Data!U46)*12.9898+(Inputs!$C$6)*78.233+Inputs!$C$47*37.719))*43758.5453)-INT((SIN(((Scenario_Data!U46)*12.9898+(Inputs!$C$6)*78.233+Inputs!$C$47*37.719))*43758.5453)))-1))))/1000))*COS(SQRT((Scenario_Data!U46)^2+Inputs!$C$6^2)/Inputs!$C$52))*1000)/Inputs!$C$21*1000000</f>
        <v/>
      </c>
      <c r="AT46">
        <f>Scenario_Data!V46</f>
        <v/>
      </c>
      <c r="AU46">
        <f>2*(SQRT((Inputs!$C$52+(Scenario_Data!D46))^2+(Inputs!$C$52+((IF(OR(Inputs!$C$27=TRUE,Inputs!$C$27="TRUE",Inputs!$C$27=1),1,0)*(Inputs!$C$51*(115*EXP(-(((Inputs!$C$6)-25)^2)/(4.5^2))+70*EXP(-(((Inputs!$C$6)+38)^2)/(7^2))*(0.55+0.45*SIN(2*PI()*(Scenario_Data!V46)/45))+24*SIN(2*PI()*(Inputs!$C$6)/9+(Scenario_Data!V46)/18)*EXP(-(((Inputs!$C$6)+5)^2)/(22^2))+18*SIN(2*PI()*(Scenario_Data!V46)/70))+Inputs!$C$28*EXP(-(((Scenario_Data!V46)-Inputs!$C$29)^2)/(2*Inputs!$C$31^2))*EXP(-(((Inputs!$C$6)-Inputs!$C$30)^2)/(2*Inputs!$C$32^2))+-Inputs!$C$33*EXP(-(((((Scenario_Data!V46)-Inputs!$C$34)^2)+(((Inputs!$C$6)-Inputs!$C$35)^2))/(2*Inputs!$C$36^2)))+Inputs!$C$37*(0.55*SIN(2*PI()*(Scenario_Data!V46)/Inputs!$C$39)+0.35*COS(2*PI()*(Inputs!$C$6)/Inputs!$C$40)+0.2*SIN(2*PI()*((Scenario_Data!V46)+(Inputs!$C$6))/(0.5*(Inputs!$C$39+Inputs!$C$40))))+Inputs!$C$38*SIN(2*PI()*(Scenario_Data!V46)/Inputs!$C$39)*SIN(2*PI()*(Inputs!$C$6)/Inputs!$C$40)+-Inputs!$C$41*EXP(-(((Inputs!$C$6)-Inputs!$C$43)^2)/(2*Inputs!$C$44^2))*EXP(-(((Scenario_Data!V46)-Inputs!$C$42)^2)/(2*Inputs!$C$45^2))+Inputs!$C$48*(0.7*(0.45*SIN(2*PI()*(((Scenario_Data!V46)/Inputs!$C$49)+Inputs!$C$47*0.137))+0.35*COS(2*PI()*(((Inputs!$C$6)/Inputs!$C$50)+Inputs!$C$47*0.173))+0.2*SIN(2*PI()*((((Scenario_Data!V46)+(Inputs!$C$6))/(0.5*(Inputs!$C$49+Inputs!$C$50)))+Inputs!$C$47*0.097)))+0.3*(2*((SIN(((Scenario_Data!V46)*12.9898+(Inputs!$C$6)*78.233+Inputs!$C$47*37.719))*43758.5453)-INT((SIN(((Scenario_Data!V46)*12.9898+(Inputs!$C$6)*78.233+Inputs!$C$47*37.719))*43758.5453)))-1))))/1000))^2-2*(Inputs!$C$52+(Scenario_Data!D46))*(Inputs!$C$52+((IF(OR(Inputs!$C$27=TRUE,Inputs!$C$27="TRUE",Inputs!$C$27=1),1,0)*(Inputs!$C$51*(115*EXP(-(((Inputs!$C$6)-25)^2)/(4.5^2))+70*EXP(-(((Inputs!$C$6)+38)^2)/(7^2))*(0.55+0.45*SIN(2*PI()*(Scenario_Data!V46)/45))+24*SIN(2*PI()*(Inputs!$C$6)/9+(Scenario_Data!V46)/18)*EXP(-(((Inputs!$C$6)+5)^2)/(22^2))+18*SIN(2*PI()*(Scenario_Data!V46)/70))+Inputs!$C$28*EXP(-(((Scenario_Data!V46)-Inputs!$C$29)^2)/(2*Inputs!$C$31^2))*EXP(-(((Inputs!$C$6)-Inputs!$C$30)^2)/(2*Inputs!$C$32^2))+-Inputs!$C$33*EXP(-(((((Scenario_Data!V46)-Inputs!$C$34)^2)+(((Inputs!$C$6)-Inputs!$C$35)^2))/(2*Inputs!$C$36^2)))+Inputs!$C$37*(0.55*SIN(2*PI()*(Scenario_Data!V46)/Inputs!$C$39)+0.35*COS(2*PI()*(Inputs!$C$6)/Inputs!$C$40)+0.2*SIN(2*PI()*((Scenario_Data!V46)+(Inputs!$C$6))/(0.5*(Inputs!$C$39+Inputs!$C$40))))+Inputs!$C$38*SIN(2*PI()*(Scenario_Data!V46)/Inputs!$C$39)*SIN(2*PI()*(Inputs!$C$6)/Inputs!$C$40)+-Inputs!$C$41*EXP(-(((Inputs!$C$6)-Inputs!$C$43)^2)/(2*Inputs!$C$44^2))*EXP(-(((Scenario_Data!V46)-Inputs!$C$42)^2)/(2*Inputs!$C$45^2))+Inputs!$C$48*(0.7*(0.45*SIN(2*PI()*(((Scenario_Data!V46)/Inputs!$C$49)+Inputs!$C$47*0.137))+0.35*COS(2*PI()*(((Inputs!$C$6)/Inputs!$C$50)+Inputs!$C$47*0.173))+0.2*SIN(2*PI()*((((Scenario_Data!V46)+(Inputs!$C$6))/(0.5*(Inputs!$C$49+Inputs!$C$50)))+Inputs!$C$47*0.097)))+0.3*(2*((SIN(((Scenario_Data!V46)*12.9898+(Inputs!$C$6)*78.233+Inputs!$C$47*37.719))*43758.5453)-INT((SIN(((Scenario_Data!V46)*12.9898+(Inputs!$C$6)*78.233+Inputs!$C$47*37.719))*43758.5453)))-1))))/1000))*COS(SQRT((Scenario_Data!V46)^2+Inputs!$C$6^2)/Inputs!$C$52))*1000)/Inputs!$C$21*1000000</f>
        <v/>
      </c>
      <c r="AV46">
        <f>Scenario_Data!W46</f>
        <v/>
      </c>
      <c r="AW46">
        <f>2*(SQRT((Inputs!$C$52+(Scenario_Data!E46))^2+(Inputs!$C$52+((IF(OR(Inputs!$C$27=TRUE,Inputs!$C$27="TRUE",Inputs!$C$27=1),1,0)*(Inputs!$C$51*(115*EXP(-(((Inputs!$C$6)-25)^2)/(4.5^2))+70*EXP(-(((Inputs!$C$6)+38)^2)/(7^2))*(0.55+0.45*SIN(2*PI()*(Scenario_Data!W46)/45))+24*SIN(2*PI()*(Inputs!$C$6)/9+(Scenario_Data!W46)/18)*EXP(-(((Inputs!$C$6)+5)^2)/(22^2))+18*SIN(2*PI()*(Scenario_Data!W46)/70))+Inputs!$C$28*EXP(-(((Scenario_Data!W46)-Inputs!$C$29)^2)/(2*Inputs!$C$31^2))*EXP(-(((Inputs!$C$6)-Inputs!$C$30)^2)/(2*Inputs!$C$32^2))+-Inputs!$C$33*EXP(-(((((Scenario_Data!W46)-Inputs!$C$34)^2)+(((Inputs!$C$6)-Inputs!$C$35)^2))/(2*Inputs!$C$36^2)))+Inputs!$C$37*(0.55*SIN(2*PI()*(Scenario_Data!W46)/Inputs!$C$39)+0.35*COS(2*PI()*(Inputs!$C$6)/Inputs!$C$40)+0.2*SIN(2*PI()*((Scenario_Data!W46)+(Inputs!$C$6))/(0.5*(Inputs!$C$39+Inputs!$C$40))))+Inputs!$C$38*SIN(2*PI()*(Scenario_Data!W46)/Inputs!$C$39)*SIN(2*PI()*(Inputs!$C$6)/Inputs!$C$40)+-Inputs!$C$41*EXP(-(((Inputs!$C$6)-Inputs!$C$43)^2)/(2*Inputs!$C$44^2))*EXP(-(((Scenario_Data!W46)-Inputs!$C$42)^2)/(2*Inputs!$C$45^2))+Inputs!$C$48*(0.7*(0.45*SIN(2*PI()*(((Scenario_Data!W46)/Inputs!$C$49)+Inputs!$C$47*0.137))+0.35*COS(2*PI()*(((Inputs!$C$6)/Inputs!$C$50)+Inputs!$C$47*0.173))+0.2*SIN(2*PI()*((((Scenario_Data!W46)+(Inputs!$C$6))/(0.5*(Inputs!$C$49+Inputs!$C$50)))+Inputs!$C$47*0.097)))+0.3*(2*((SIN(((Scenario_Data!W46)*12.9898+(Inputs!$C$6)*78.233+Inputs!$C$47*37.719))*43758.5453)-INT((SIN(((Scenario_Data!W46)*12.9898+(Inputs!$C$6)*78.233+Inputs!$C$47*37.719))*43758.5453)))-1))))/1000))^2-2*(Inputs!$C$52+(Scenario_Data!E46))*(Inputs!$C$52+((IF(OR(Inputs!$C$27=TRUE,Inputs!$C$27="TRUE",Inputs!$C$27=1),1,0)*(Inputs!$C$51*(115*EXP(-(((Inputs!$C$6)-25)^2)/(4.5^2))+70*EXP(-(((Inputs!$C$6)+38)^2)/(7^2))*(0.55+0.45*SIN(2*PI()*(Scenario_Data!W46)/45))+24*SIN(2*PI()*(Inputs!$C$6)/9+(Scenario_Data!W46)/18)*EXP(-(((Inputs!$C$6)+5)^2)/(22^2))+18*SIN(2*PI()*(Scenario_Data!W46)/70))+Inputs!$C$28*EXP(-(((Scenario_Data!W46)-Inputs!$C$29)^2)/(2*Inputs!$C$31^2))*EXP(-(((Inputs!$C$6)-Inputs!$C$30)^2)/(2*Inputs!$C$32^2))+-Inputs!$C$33*EXP(-(((((Scenario_Data!W46)-Inputs!$C$34)^2)+(((Inputs!$C$6)-Inputs!$C$35)^2))/(2*Inputs!$C$36^2)))+Inputs!$C$37*(0.55*SIN(2*PI()*(Scenario_Data!W46)/Inputs!$C$39)+0.35*COS(2*PI()*(Inputs!$C$6)/Inputs!$C$40)+0.2*SIN(2*PI()*((Scenario_Data!W46)+(Inputs!$C$6))/(0.5*(Inputs!$C$39+Inputs!$C$40))))+Inputs!$C$38*SIN(2*PI()*(Scenario_Data!W46)/Inputs!$C$39)*SIN(2*PI()*(Inputs!$C$6)/Inputs!$C$40)+-Inputs!$C$41*EXP(-(((Inputs!$C$6)-Inputs!$C$43)^2)/(2*Inputs!$C$44^2))*EXP(-(((Scenario_Data!W46)-Inputs!$C$42)^2)/(2*Inputs!$C$45^2))+Inputs!$C$48*(0.7*(0.45*SIN(2*PI()*(((Scenario_Data!W46)/Inputs!$C$49)+Inputs!$C$47*0.137))+0.35*COS(2*PI()*(((Inputs!$C$6)/Inputs!$C$50)+Inputs!$C$47*0.173))+0.2*SIN(2*PI()*((((Scenario_Data!W46)+(Inputs!$C$6))/(0.5*(Inputs!$C$49+Inputs!$C$50)))+Inputs!$C$47*0.097)))+0.3*(2*((SIN(((Scenario_Data!W46)*12.9898+(Inputs!$C$6)*78.233+Inputs!$C$47*37.719))*43758.5453)-INT((SIN(((Scenario_Data!W46)*12.9898+(Inputs!$C$6)*78.233+Inputs!$C$47*37.719))*43758.5453)))-1))))/1000))*COS(SQRT((Scenario_Data!W46)^2+Inputs!$C$6^2)/Inputs!$C$52))*1000)/Inputs!$C$21*1000000</f>
        <v/>
      </c>
    </row>
    <row r="47">
      <c r="A47">
        <f>Chart_Data!K47</f>
        <v/>
      </c>
      <c r="B47">
        <f>Chart_Data!N47-Chart_Data!L47</f>
        <v/>
      </c>
      <c r="D47">
        <f>Chart_Data!G47</f>
        <v/>
      </c>
      <c r="E47">
        <f>Chart_Data!H47</f>
        <v/>
      </c>
      <c r="F47">
        <f>Chart_Data!I47</f>
        <v/>
      </c>
      <c r="G47">
        <f>Chart_Data!J47</f>
        <v/>
      </c>
      <c r="I47">
        <f>Scenario_Data!A47</f>
        <v/>
      </c>
      <c r="J47">
        <f>Scenario_Data!H47-(((SQRT((Inputs!$C$52+(Inputs!$H$6))^2+Inputs!$C$52^2-2*(Inputs!$C$52+(Inputs!$H$6))*Inputs!$C$52*COS(SQRT((Scenario_Data!T47)^2+Inputs!$C$6^2)/Inputs!$C$52)))-(Inputs!$H$6))*1000/Inputs!$C$12)</f>
        <v/>
      </c>
      <c r="K47">
        <f>Scenario_Data!I47-(((SQRT((Inputs!$C$52+(Inputs!$H$7))^2+Inputs!$C$52^2-2*(Inputs!$C$52+(Inputs!$H$7))*Inputs!$C$52*COS(SQRT((Scenario_Data!U47)^2+Inputs!$C$6^2)/Inputs!$C$52)))-(Inputs!$H$7))*1000/Inputs!$C$12)</f>
        <v/>
      </c>
      <c r="L47">
        <f>Scenario_Data!J47-(((SQRT((Inputs!$C$52+(Inputs!$H$8))^2+Inputs!$C$52^2-2*(Inputs!$C$52+(Inputs!$H$8))*Inputs!$C$52*COS(SQRT((Scenario_Data!V47)^2+Inputs!$C$6^2)/Inputs!$C$52)))-(Inputs!$H$8))*1000/Inputs!$C$12)</f>
        <v/>
      </c>
      <c r="M47">
        <f>Scenario_Data!K47-(((SQRT((Inputs!$C$52+(Inputs!$H$9))^2+Inputs!$C$52^2-2*(Inputs!$C$52+(Inputs!$H$9))*Inputs!$C$52*COS(SQRT((Scenario_Data!W47)^2+Inputs!$C$6^2)/Inputs!$C$52)))-(Inputs!$H$9))*1000/Inputs!$C$12)</f>
        <v/>
      </c>
      <c r="O47">
        <f>Scenario_Data!T47</f>
        <v/>
      </c>
      <c r="P47">
        <f>2*(Scenario_Data!B47*1000)/Inputs!$C$21*1000000</f>
        <v/>
      </c>
      <c r="Q47">
        <f>Scenario_Data!U47</f>
        <v/>
      </c>
      <c r="R47">
        <f>2*(Scenario_Data!C47*1000)/Inputs!$C$21*1000000</f>
        <v/>
      </c>
      <c r="S47">
        <f>Scenario_Data!V47</f>
        <v/>
      </c>
      <c r="T47">
        <f>2*(Scenario_Data!D47*1000)/Inputs!$C$21*1000000</f>
        <v/>
      </c>
      <c r="U47">
        <f>Scenario_Data!W47</f>
        <v/>
      </c>
      <c r="V47">
        <f>2*(Scenario_Data!E47*1000)/Inputs!$C$21*1000000</f>
        <v/>
      </c>
      <c r="X47">
        <f>Scenario_Data!T47</f>
        <v/>
      </c>
      <c r="Y47">
        <f>2*((Scenario_Data!B47*1000)-(IF(OR(Inputs!$C$27=TRUE,Inputs!$C$27="TRUE",Inputs!$C$27=1),1,0)*(Inputs!$C$51*(115*EXP(-(((0)-25)^2)/(4.5^2))+70*EXP(-(((0)+38)^2)/(7^2))*(0.55+0.45*SIN(2*PI()*(Scenario_Data!T47)/45))+24*SIN(2*PI()*(0)/9+(Scenario_Data!T47)/18)*EXP(-(((0)+5)^2)/(22^2))+18*SIN(2*PI()*(Scenario_Data!T47)/70))+Inputs!$C$28*EXP(-(((Scenario_Data!T47)-Inputs!$C$29)^2)/(2*Inputs!$C$31^2))*EXP(-(((0)-Inputs!$C$30)^2)/(2*Inputs!$C$32^2))+-Inputs!$C$33*EXP(-(((((Scenario_Data!T47)-Inputs!$C$34)^2)+(((0)-Inputs!$C$35)^2))/(2*Inputs!$C$36^2)))+Inputs!$C$37*(0.55*SIN(2*PI()*(Scenario_Data!T47)/Inputs!$C$39)+0.35*COS(2*PI()*(0)/Inputs!$C$40)+0.2*SIN(2*PI()*((Scenario_Data!T47)+(0))/(0.5*(Inputs!$C$39+Inputs!$C$40))))+Inputs!$C$38*SIN(2*PI()*(Scenario_Data!T47)/Inputs!$C$39)*SIN(2*PI()*(0)/Inputs!$C$40)+-Inputs!$C$41*EXP(-(((0)-Inputs!$C$43)^2)/(2*Inputs!$C$44^2))*EXP(-(((Scenario_Data!T47)-Inputs!$C$42)^2)/(2*Inputs!$C$45^2))+Inputs!$C$48*(0.7*(0.45*SIN(2*PI()*(((Scenario_Data!T47)/Inputs!$C$49)+Inputs!$C$47*0.137))+0.35*COS(2*PI()*(((0)/Inputs!$C$50)+Inputs!$C$47*0.173))+0.2*SIN(2*PI()*((((Scenario_Data!T47)+(0))/(0.5*(Inputs!$C$49+Inputs!$C$50)))+Inputs!$C$47*0.097)))+0.3*(2*((SIN(((Scenario_Data!T47)*12.9898+(0)*78.233+Inputs!$C$47*37.719))*43758.5453)-INT((SIN(((Scenario_Data!T47)*12.9898+(0)*78.233+Inputs!$C$47*37.719))*43758.5453)))-1)))))/Inputs!$C$21*1000000</f>
        <v/>
      </c>
      <c r="Z47">
        <f>Scenario_Data!U47</f>
        <v/>
      </c>
      <c r="AA47">
        <f>2*((Scenario_Data!C47*1000)-(IF(OR(Inputs!$C$27=TRUE,Inputs!$C$27="TRUE",Inputs!$C$27=1),1,0)*(Inputs!$C$51*(115*EXP(-(((0)-25)^2)/(4.5^2))+70*EXP(-(((0)+38)^2)/(7^2))*(0.55+0.45*SIN(2*PI()*(Scenario_Data!U47)/45))+24*SIN(2*PI()*(0)/9+(Scenario_Data!U47)/18)*EXP(-(((0)+5)^2)/(22^2))+18*SIN(2*PI()*(Scenario_Data!U47)/70))+Inputs!$C$28*EXP(-(((Scenario_Data!U47)-Inputs!$C$29)^2)/(2*Inputs!$C$31^2))*EXP(-(((0)-Inputs!$C$30)^2)/(2*Inputs!$C$32^2))+-Inputs!$C$33*EXP(-(((((Scenario_Data!U47)-Inputs!$C$34)^2)+(((0)-Inputs!$C$35)^2))/(2*Inputs!$C$36^2)))+Inputs!$C$37*(0.55*SIN(2*PI()*(Scenario_Data!U47)/Inputs!$C$39)+0.35*COS(2*PI()*(0)/Inputs!$C$40)+0.2*SIN(2*PI()*((Scenario_Data!U47)+(0))/(0.5*(Inputs!$C$39+Inputs!$C$40))))+Inputs!$C$38*SIN(2*PI()*(Scenario_Data!U47)/Inputs!$C$39)*SIN(2*PI()*(0)/Inputs!$C$40)+-Inputs!$C$41*EXP(-(((0)-Inputs!$C$43)^2)/(2*Inputs!$C$44^2))*EXP(-(((Scenario_Data!U47)-Inputs!$C$42)^2)/(2*Inputs!$C$45^2))+Inputs!$C$48*(0.7*(0.45*SIN(2*PI()*(((Scenario_Data!U47)/Inputs!$C$49)+Inputs!$C$47*0.137))+0.35*COS(2*PI()*(((0)/Inputs!$C$50)+Inputs!$C$47*0.173))+0.2*SIN(2*PI()*((((Scenario_Data!U47)+(0))/(0.5*(Inputs!$C$49+Inputs!$C$50)))+Inputs!$C$47*0.097)))+0.3*(2*((SIN(((Scenario_Data!U47)*12.9898+(0)*78.233+Inputs!$C$47*37.719))*43758.5453)-INT((SIN(((Scenario_Data!U47)*12.9898+(0)*78.233+Inputs!$C$47*37.719))*43758.5453)))-1)))))/Inputs!$C$21*1000000</f>
        <v/>
      </c>
      <c r="AB47">
        <f>Scenario_Data!V47</f>
        <v/>
      </c>
      <c r="AC47">
        <f>2*((Scenario_Data!D47*1000)-(IF(OR(Inputs!$C$27=TRUE,Inputs!$C$27="TRUE",Inputs!$C$27=1),1,0)*(Inputs!$C$51*(115*EXP(-(((0)-25)^2)/(4.5^2))+70*EXP(-(((0)+38)^2)/(7^2))*(0.55+0.45*SIN(2*PI()*(Scenario_Data!V47)/45))+24*SIN(2*PI()*(0)/9+(Scenario_Data!V47)/18)*EXP(-(((0)+5)^2)/(22^2))+18*SIN(2*PI()*(Scenario_Data!V47)/70))+Inputs!$C$28*EXP(-(((Scenario_Data!V47)-Inputs!$C$29)^2)/(2*Inputs!$C$31^2))*EXP(-(((0)-Inputs!$C$30)^2)/(2*Inputs!$C$32^2))+-Inputs!$C$33*EXP(-(((((Scenario_Data!V47)-Inputs!$C$34)^2)+(((0)-Inputs!$C$35)^2))/(2*Inputs!$C$36^2)))+Inputs!$C$37*(0.55*SIN(2*PI()*(Scenario_Data!V47)/Inputs!$C$39)+0.35*COS(2*PI()*(0)/Inputs!$C$40)+0.2*SIN(2*PI()*((Scenario_Data!V47)+(0))/(0.5*(Inputs!$C$39+Inputs!$C$40))))+Inputs!$C$38*SIN(2*PI()*(Scenario_Data!V47)/Inputs!$C$39)*SIN(2*PI()*(0)/Inputs!$C$40)+-Inputs!$C$41*EXP(-(((0)-Inputs!$C$43)^2)/(2*Inputs!$C$44^2))*EXP(-(((Scenario_Data!V47)-Inputs!$C$42)^2)/(2*Inputs!$C$45^2))+Inputs!$C$48*(0.7*(0.45*SIN(2*PI()*(((Scenario_Data!V47)/Inputs!$C$49)+Inputs!$C$47*0.137))+0.35*COS(2*PI()*(((0)/Inputs!$C$50)+Inputs!$C$47*0.173))+0.2*SIN(2*PI()*((((Scenario_Data!V47)+(0))/(0.5*(Inputs!$C$49+Inputs!$C$50)))+Inputs!$C$47*0.097)))+0.3*(2*((SIN(((Scenario_Data!V47)*12.9898+(0)*78.233+Inputs!$C$47*37.719))*43758.5453)-INT((SIN(((Scenario_Data!V47)*12.9898+(0)*78.233+Inputs!$C$47*37.719))*43758.5453)))-1)))))/Inputs!$C$21*1000000</f>
        <v/>
      </c>
      <c r="AD47">
        <f>Scenario_Data!W47</f>
        <v/>
      </c>
      <c r="AE47">
        <f>2*((Scenario_Data!E47*1000)-(IF(OR(Inputs!$C$27=TRUE,Inputs!$C$27="TRUE",Inputs!$C$27=1),1,0)*(Inputs!$C$51*(115*EXP(-(((0)-25)^2)/(4.5^2))+70*EXP(-(((0)+38)^2)/(7^2))*(0.55+0.45*SIN(2*PI()*(Scenario_Data!W47)/45))+24*SIN(2*PI()*(0)/9+(Scenario_Data!W47)/18)*EXP(-(((0)+5)^2)/(22^2))+18*SIN(2*PI()*(Scenario_Data!W47)/70))+Inputs!$C$28*EXP(-(((Scenario_Data!W47)-Inputs!$C$29)^2)/(2*Inputs!$C$31^2))*EXP(-(((0)-Inputs!$C$30)^2)/(2*Inputs!$C$32^2))+-Inputs!$C$33*EXP(-(((((Scenario_Data!W47)-Inputs!$C$34)^2)+(((0)-Inputs!$C$35)^2))/(2*Inputs!$C$36^2)))+Inputs!$C$37*(0.55*SIN(2*PI()*(Scenario_Data!W47)/Inputs!$C$39)+0.35*COS(2*PI()*(0)/Inputs!$C$40)+0.2*SIN(2*PI()*((Scenario_Data!W47)+(0))/(0.5*(Inputs!$C$39+Inputs!$C$40))))+Inputs!$C$38*SIN(2*PI()*(Scenario_Data!W47)/Inputs!$C$39)*SIN(2*PI()*(0)/Inputs!$C$40)+-Inputs!$C$41*EXP(-(((0)-Inputs!$C$43)^2)/(2*Inputs!$C$44^2))*EXP(-(((Scenario_Data!W47)-Inputs!$C$42)^2)/(2*Inputs!$C$45^2))+Inputs!$C$48*(0.7*(0.45*SIN(2*PI()*(((Scenario_Data!W47)/Inputs!$C$49)+Inputs!$C$47*0.137))+0.35*COS(2*PI()*(((0)/Inputs!$C$50)+Inputs!$C$47*0.173))+0.2*SIN(2*PI()*((((Scenario_Data!W47)+(0))/(0.5*(Inputs!$C$49+Inputs!$C$50)))+Inputs!$C$47*0.097)))+0.3*(2*((SIN(((Scenario_Data!W47)*12.9898+(0)*78.233+Inputs!$C$47*37.719))*43758.5453)-INT((SIN(((Scenario_Data!W47)*12.9898+(0)*78.233+Inputs!$C$47*37.719))*43758.5453)))-1)))))/Inputs!$C$21*1000000</f>
        <v/>
      </c>
      <c r="AG47">
        <f>Scenario_Data!T47</f>
        <v/>
      </c>
      <c r="AH47">
        <f>2*(SQRT((Inputs!$C$52+(Scenario_Data!B47))^2+Inputs!$C$52^2-2*(Inputs!$C$52+(Scenario_Data!B47))*Inputs!$C$52*COS(SQRT((Scenario_Data!T47)^2+Inputs!$C$6^2)/Inputs!$C$52))*1000)/Inputs!$C$21*1000000</f>
        <v/>
      </c>
      <c r="AI47">
        <f>Scenario_Data!U47</f>
        <v/>
      </c>
      <c r="AJ47">
        <f>2*(SQRT((Inputs!$C$52+(Scenario_Data!C47))^2+Inputs!$C$52^2-2*(Inputs!$C$52+(Scenario_Data!C47))*Inputs!$C$52*COS(SQRT((Scenario_Data!U47)^2+Inputs!$C$6^2)/Inputs!$C$52))*1000)/Inputs!$C$21*1000000</f>
        <v/>
      </c>
      <c r="AK47">
        <f>Scenario_Data!V47</f>
        <v/>
      </c>
      <c r="AL47">
        <f>2*(SQRT((Inputs!$C$52+(Scenario_Data!D47))^2+Inputs!$C$52^2-2*(Inputs!$C$52+(Scenario_Data!D47))*Inputs!$C$52*COS(SQRT((Scenario_Data!V47)^2+Inputs!$C$6^2)/Inputs!$C$52))*1000)/Inputs!$C$21*1000000</f>
        <v/>
      </c>
      <c r="AM47">
        <f>Scenario_Data!W47</f>
        <v/>
      </c>
      <c r="AN47">
        <f>2*(SQRT((Inputs!$C$52+(Scenario_Data!E47))^2+Inputs!$C$52^2-2*(Inputs!$C$52+(Scenario_Data!E47))*Inputs!$C$52*COS(SQRT((Scenario_Data!W47)^2+Inputs!$C$6^2)/Inputs!$C$52))*1000)/Inputs!$C$21*1000000</f>
        <v/>
      </c>
      <c r="AP47">
        <f>Scenario_Data!T47</f>
        <v/>
      </c>
      <c r="AQ47">
        <f>2*(SQRT((Inputs!$C$52+(Scenario_Data!B47))^2+(Inputs!$C$52+((IF(OR(Inputs!$C$27=TRUE,Inputs!$C$27="TRUE",Inputs!$C$27=1),1,0)*(Inputs!$C$51*(115*EXP(-(((Inputs!$C$6)-25)^2)/(4.5^2))+70*EXP(-(((Inputs!$C$6)+38)^2)/(7^2))*(0.55+0.45*SIN(2*PI()*(Scenario_Data!T47)/45))+24*SIN(2*PI()*(Inputs!$C$6)/9+(Scenario_Data!T47)/18)*EXP(-(((Inputs!$C$6)+5)^2)/(22^2))+18*SIN(2*PI()*(Scenario_Data!T47)/70))+Inputs!$C$28*EXP(-(((Scenario_Data!T47)-Inputs!$C$29)^2)/(2*Inputs!$C$31^2))*EXP(-(((Inputs!$C$6)-Inputs!$C$30)^2)/(2*Inputs!$C$32^2))+-Inputs!$C$33*EXP(-(((((Scenario_Data!T47)-Inputs!$C$34)^2)+(((Inputs!$C$6)-Inputs!$C$35)^2))/(2*Inputs!$C$36^2)))+Inputs!$C$37*(0.55*SIN(2*PI()*(Scenario_Data!T47)/Inputs!$C$39)+0.35*COS(2*PI()*(Inputs!$C$6)/Inputs!$C$40)+0.2*SIN(2*PI()*((Scenario_Data!T47)+(Inputs!$C$6))/(0.5*(Inputs!$C$39+Inputs!$C$40))))+Inputs!$C$38*SIN(2*PI()*(Scenario_Data!T47)/Inputs!$C$39)*SIN(2*PI()*(Inputs!$C$6)/Inputs!$C$40)+-Inputs!$C$41*EXP(-(((Inputs!$C$6)-Inputs!$C$43)^2)/(2*Inputs!$C$44^2))*EXP(-(((Scenario_Data!T47)-Inputs!$C$42)^2)/(2*Inputs!$C$45^2))+Inputs!$C$48*(0.7*(0.45*SIN(2*PI()*(((Scenario_Data!T47)/Inputs!$C$49)+Inputs!$C$47*0.137))+0.35*COS(2*PI()*(((Inputs!$C$6)/Inputs!$C$50)+Inputs!$C$47*0.173))+0.2*SIN(2*PI()*((((Scenario_Data!T47)+(Inputs!$C$6))/(0.5*(Inputs!$C$49+Inputs!$C$50)))+Inputs!$C$47*0.097)))+0.3*(2*((SIN(((Scenario_Data!T47)*12.9898+(Inputs!$C$6)*78.233+Inputs!$C$47*37.719))*43758.5453)-INT((SIN(((Scenario_Data!T47)*12.9898+(Inputs!$C$6)*78.233+Inputs!$C$47*37.719))*43758.5453)))-1))))/1000))^2-2*(Inputs!$C$52+(Scenario_Data!B47))*(Inputs!$C$52+((IF(OR(Inputs!$C$27=TRUE,Inputs!$C$27="TRUE",Inputs!$C$27=1),1,0)*(Inputs!$C$51*(115*EXP(-(((Inputs!$C$6)-25)^2)/(4.5^2))+70*EXP(-(((Inputs!$C$6)+38)^2)/(7^2))*(0.55+0.45*SIN(2*PI()*(Scenario_Data!T47)/45))+24*SIN(2*PI()*(Inputs!$C$6)/9+(Scenario_Data!T47)/18)*EXP(-(((Inputs!$C$6)+5)^2)/(22^2))+18*SIN(2*PI()*(Scenario_Data!T47)/70))+Inputs!$C$28*EXP(-(((Scenario_Data!T47)-Inputs!$C$29)^2)/(2*Inputs!$C$31^2))*EXP(-(((Inputs!$C$6)-Inputs!$C$30)^2)/(2*Inputs!$C$32^2))+-Inputs!$C$33*EXP(-(((((Scenario_Data!T47)-Inputs!$C$34)^2)+(((Inputs!$C$6)-Inputs!$C$35)^2))/(2*Inputs!$C$36^2)))+Inputs!$C$37*(0.55*SIN(2*PI()*(Scenario_Data!T47)/Inputs!$C$39)+0.35*COS(2*PI()*(Inputs!$C$6)/Inputs!$C$40)+0.2*SIN(2*PI()*((Scenario_Data!T47)+(Inputs!$C$6))/(0.5*(Inputs!$C$39+Inputs!$C$40))))+Inputs!$C$38*SIN(2*PI()*(Scenario_Data!T47)/Inputs!$C$39)*SIN(2*PI()*(Inputs!$C$6)/Inputs!$C$40)+-Inputs!$C$41*EXP(-(((Inputs!$C$6)-Inputs!$C$43)^2)/(2*Inputs!$C$44^2))*EXP(-(((Scenario_Data!T47)-Inputs!$C$42)^2)/(2*Inputs!$C$45^2))+Inputs!$C$48*(0.7*(0.45*SIN(2*PI()*(((Scenario_Data!T47)/Inputs!$C$49)+Inputs!$C$47*0.137))+0.35*COS(2*PI()*(((Inputs!$C$6)/Inputs!$C$50)+Inputs!$C$47*0.173))+0.2*SIN(2*PI()*((((Scenario_Data!T47)+(Inputs!$C$6))/(0.5*(Inputs!$C$49+Inputs!$C$50)))+Inputs!$C$47*0.097)))+0.3*(2*((SIN(((Scenario_Data!T47)*12.9898+(Inputs!$C$6)*78.233+Inputs!$C$47*37.719))*43758.5453)-INT((SIN(((Scenario_Data!T47)*12.9898+(Inputs!$C$6)*78.233+Inputs!$C$47*37.719))*43758.5453)))-1))))/1000))*COS(SQRT((Scenario_Data!T47)^2+Inputs!$C$6^2)/Inputs!$C$52))*1000)/Inputs!$C$21*1000000</f>
        <v/>
      </c>
      <c r="AR47">
        <f>Scenario_Data!U47</f>
        <v/>
      </c>
      <c r="AS47">
        <f>2*(SQRT((Inputs!$C$52+(Scenario_Data!C47))^2+(Inputs!$C$52+((IF(OR(Inputs!$C$27=TRUE,Inputs!$C$27="TRUE",Inputs!$C$27=1),1,0)*(Inputs!$C$51*(115*EXP(-(((Inputs!$C$6)-25)^2)/(4.5^2))+70*EXP(-(((Inputs!$C$6)+38)^2)/(7^2))*(0.55+0.45*SIN(2*PI()*(Scenario_Data!U47)/45))+24*SIN(2*PI()*(Inputs!$C$6)/9+(Scenario_Data!U47)/18)*EXP(-(((Inputs!$C$6)+5)^2)/(22^2))+18*SIN(2*PI()*(Scenario_Data!U47)/70))+Inputs!$C$28*EXP(-(((Scenario_Data!U47)-Inputs!$C$29)^2)/(2*Inputs!$C$31^2))*EXP(-(((Inputs!$C$6)-Inputs!$C$30)^2)/(2*Inputs!$C$32^2))+-Inputs!$C$33*EXP(-(((((Scenario_Data!U47)-Inputs!$C$34)^2)+(((Inputs!$C$6)-Inputs!$C$35)^2))/(2*Inputs!$C$36^2)))+Inputs!$C$37*(0.55*SIN(2*PI()*(Scenario_Data!U47)/Inputs!$C$39)+0.35*COS(2*PI()*(Inputs!$C$6)/Inputs!$C$40)+0.2*SIN(2*PI()*((Scenario_Data!U47)+(Inputs!$C$6))/(0.5*(Inputs!$C$39+Inputs!$C$40))))+Inputs!$C$38*SIN(2*PI()*(Scenario_Data!U47)/Inputs!$C$39)*SIN(2*PI()*(Inputs!$C$6)/Inputs!$C$40)+-Inputs!$C$41*EXP(-(((Inputs!$C$6)-Inputs!$C$43)^2)/(2*Inputs!$C$44^2))*EXP(-(((Scenario_Data!U47)-Inputs!$C$42)^2)/(2*Inputs!$C$45^2))+Inputs!$C$48*(0.7*(0.45*SIN(2*PI()*(((Scenario_Data!U47)/Inputs!$C$49)+Inputs!$C$47*0.137))+0.35*COS(2*PI()*(((Inputs!$C$6)/Inputs!$C$50)+Inputs!$C$47*0.173))+0.2*SIN(2*PI()*((((Scenario_Data!U47)+(Inputs!$C$6))/(0.5*(Inputs!$C$49+Inputs!$C$50)))+Inputs!$C$47*0.097)))+0.3*(2*((SIN(((Scenario_Data!U47)*12.9898+(Inputs!$C$6)*78.233+Inputs!$C$47*37.719))*43758.5453)-INT((SIN(((Scenario_Data!U47)*12.9898+(Inputs!$C$6)*78.233+Inputs!$C$47*37.719))*43758.5453)))-1))))/1000))^2-2*(Inputs!$C$52+(Scenario_Data!C47))*(Inputs!$C$52+((IF(OR(Inputs!$C$27=TRUE,Inputs!$C$27="TRUE",Inputs!$C$27=1),1,0)*(Inputs!$C$51*(115*EXP(-(((Inputs!$C$6)-25)^2)/(4.5^2))+70*EXP(-(((Inputs!$C$6)+38)^2)/(7^2))*(0.55+0.45*SIN(2*PI()*(Scenario_Data!U47)/45))+24*SIN(2*PI()*(Inputs!$C$6)/9+(Scenario_Data!U47)/18)*EXP(-(((Inputs!$C$6)+5)^2)/(22^2))+18*SIN(2*PI()*(Scenario_Data!U47)/70))+Inputs!$C$28*EXP(-(((Scenario_Data!U47)-Inputs!$C$29)^2)/(2*Inputs!$C$31^2))*EXP(-(((Inputs!$C$6)-Inputs!$C$30)^2)/(2*Inputs!$C$32^2))+-Inputs!$C$33*EXP(-(((((Scenario_Data!U47)-Inputs!$C$34)^2)+(((Inputs!$C$6)-Inputs!$C$35)^2))/(2*Inputs!$C$36^2)))+Inputs!$C$37*(0.55*SIN(2*PI()*(Scenario_Data!U47)/Inputs!$C$39)+0.35*COS(2*PI()*(Inputs!$C$6)/Inputs!$C$40)+0.2*SIN(2*PI()*((Scenario_Data!U47)+(Inputs!$C$6))/(0.5*(Inputs!$C$39+Inputs!$C$40))))+Inputs!$C$38*SIN(2*PI()*(Scenario_Data!U47)/Inputs!$C$39)*SIN(2*PI()*(Inputs!$C$6)/Inputs!$C$40)+-Inputs!$C$41*EXP(-(((Inputs!$C$6)-Inputs!$C$43)^2)/(2*Inputs!$C$44^2))*EXP(-(((Scenario_Data!U47)-Inputs!$C$42)^2)/(2*Inputs!$C$45^2))+Inputs!$C$48*(0.7*(0.45*SIN(2*PI()*(((Scenario_Data!U47)/Inputs!$C$49)+Inputs!$C$47*0.137))+0.35*COS(2*PI()*(((Inputs!$C$6)/Inputs!$C$50)+Inputs!$C$47*0.173))+0.2*SIN(2*PI()*((((Scenario_Data!U47)+(Inputs!$C$6))/(0.5*(Inputs!$C$49+Inputs!$C$50)))+Inputs!$C$47*0.097)))+0.3*(2*((SIN(((Scenario_Data!U47)*12.9898+(Inputs!$C$6)*78.233+Inputs!$C$47*37.719))*43758.5453)-INT((SIN(((Scenario_Data!U47)*12.9898+(Inputs!$C$6)*78.233+Inputs!$C$47*37.719))*43758.5453)))-1))))/1000))*COS(SQRT((Scenario_Data!U47)^2+Inputs!$C$6^2)/Inputs!$C$52))*1000)/Inputs!$C$21*1000000</f>
        <v/>
      </c>
      <c r="AT47">
        <f>Scenario_Data!V47</f>
        <v/>
      </c>
      <c r="AU47">
        <f>2*(SQRT((Inputs!$C$52+(Scenario_Data!D47))^2+(Inputs!$C$52+((IF(OR(Inputs!$C$27=TRUE,Inputs!$C$27="TRUE",Inputs!$C$27=1),1,0)*(Inputs!$C$51*(115*EXP(-(((Inputs!$C$6)-25)^2)/(4.5^2))+70*EXP(-(((Inputs!$C$6)+38)^2)/(7^2))*(0.55+0.45*SIN(2*PI()*(Scenario_Data!V47)/45))+24*SIN(2*PI()*(Inputs!$C$6)/9+(Scenario_Data!V47)/18)*EXP(-(((Inputs!$C$6)+5)^2)/(22^2))+18*SIN(2*PI()*(Scenario_Data!V47)/70))+Inputs!$C$28*EXP(-(((Scenario_Data!V47)-Inputs!$C$29)^2)/(2*Inputs!$C$31^2))*EXP(-(((Inputs!$C$6)-Inputs!$C$30)^2)/(2*Inputs!$C$32^2))+-Inputs!$C$33*EXP(-(((((Scenario_Data!V47)-Inputs!$C$34)^2)+(((Inputs!$C$6)-Inputs!$C$35)^2))/(2*Inputs!$C$36^2)))+Inputs!$C$37*(0.55*SIN(2*PI()*(Scenario_Data!V47)/Inputs!$C$39)+0.35*COS(2*PI()*(Inputs!$C$6)/Inputs!$C$40)+0.2*SIN(2*PI()*((Scenario_Data!V47)+(Inputs!$C$6))/(0.5*(Inputs!$C$39+Inputs!$C$40))))+Inputs!$C$38*SIN(2*PI()*(Scenario_Data!V47)/Inputs!$C$39)*SIN(2*PI()*(Inputs!$C$6)/Inputs!$C$40)+-Inputs!$C$41*EXP(-(((Inputs!$C$6)-Inputs!$C$43)^2)/(2*Inputs!$C$44^2))*EXP(-(((Scenario_Data!V47)-Inputs!$C$42)^2)/(2*Inputs!$C$45^2))+Inputs!$C$48*(0.7*(0.45*SIN(2*PI()*(((Scenario_Data!V47)/Inputs!$C$49)+Inputs!$C$47*0.137))+0.35*COS(2*PI()*(((Inputs!$C$6)/Inputs!$C$50)+Inputs!$C$47*0.173))+0.2*SIN(2*PI()*((((Scenario_Data!V47)+(Inputs!$C$6))/(0.5*(Inputs!$C$49+Inputs!$C$50)))+Inputs!$C$47*0.097)))+0.3*(2*((SIN(((Scenario_Data!V47)*12.9898+(Inputs!$C$6)*78.233+Inputs!$C$47*37.719))*43758.5453)-INT((SIN(((Scenario_Data!V47)*12.9898+(Inputs!$C$6)*78.233+Inputs!$C$47*37.719))*43758.5453)))-1))))/1000))^2-2*(Inputs!$C$52+(Scenario_Data!D47))*(Inputs!$C$52+((IF(OR(Inputs!$C$27=TRUE,Inputs!$C$27="TRUE",Inputs!$C$27=1),1,0)*(Inputs!$C$51*(115*EXP(-(((Inputs!$C$6)-25)^2)/(4.5^2))+70*EXP(-(((Inputs!$C$6)+38)^2)/(7^2))*(0.55+0.45*SIN(2*PI()*(Scenario_Data!V47)/45))+24*SIN(2*PI()*(Inputs!$C$6)/9+(Scenario_Data!V47)/18)*EXP(-(((Inputs!$C$6)+5)^2)/(22^2))+18*SIN(2*PI()*(Scenario_Data!V47)/70))+Inputs!$C$28*EXP(-(((Scenario_Data!V47)-Inputs!$C$29)^2)/(2*Inputs!$C$31^2))*EXP(-(((Inputs!$C$6)-Inputs!$C$30)^2)/(2*Inputs!$C$32^2))+-Inputs!$C$33*EXP(-(((((Scenario_Data!V47)-Inputs!$C$34)^2)+(((Inputs!$C$6)-Inputs!$C$35)^2))/(2*Inputs!$C$36^2)))+Inputs!$C$37*(0.55*SIN(2*PI()*(Scenario_Data!V47)/Inputs!$C$39)+0.35*COS(2*PI()*(Inputs!$C$6)/Inputs!$C$40)+0.2*SIN(2*PI()*((Scenario_Data!V47)+(Inputs!$C$6))/(0.5*(Inputs!$C$39+Inputs!$C$40))))+Inputs!$C$38*SIN(2*PI()*(Scenario_Data!V47)/Inputs!$C$39)*SIN(2*PI()*(Inputs!$C$6)/Inputs!$C$40)+-Inputs!$C$41*EXP(-(((Inputs!$C$6)-Inputs!$C$43)^2)/(2*Inputs!$C$44^2))*EXP(-(((Scenario_Data!V47)-Inputs!$C$42)^2)/(2*Inputs!$C$45^2))+Inputs!$C$48*(0.7*(0.45*SIN(2*PI()*(((Scenario_Data!V47)/Inputs!$C$49)+Inputs!$C$47*0.137))+0.35*COS(2*PI()*(((Inputs!$C$6)/Inputs!$C$50)+Inputs!$C$47*0.173))+0.2*SIN(2*PI()*((((Scenario_Data!V47)+(Inputs!$C$6))/(0.5*(Inputs!$C$49+Inputs!$C$50)))+Inputs!$C$47*0.097)))+0.3*(2*((SIN(((Scenario_Data!V47)*12.9898+(Inputs!$C$6)*78.233+Inputs!$C$47*37.719))*43758.5453)-INT((SIN(((Scenario_Data!V47)*12.9898+(Inputs!$C$6)*78.233+Inputs!$C$47*37.719))*43758.5453)))-1))))/1000))*COS(SQRT((Scenario_Data!V47)^2+Inputs!$C$6^2)/Inputs!$C$52))*1000)/Inputs!$C$21*1000000</f>
        <v/>
      </c>
      <c r="AV47">
        <f>Scenario_Data!W47</f>
        <v/>
      </c>
      <c r="AW47">
        <f>2*(SQRT((Inputs!$C$52+(Scenario_Data!E47))^2+(Inputs!$C$52+((IF(OR(Inputs!$C$27=TRUE,Inputs!$C$27="TRUE",Inputs!$C$27=1),1,0)*(Inputs!$C$51*(115*EXP(-(((Inputs!$C$6)-25)^2)/(4.5^2))+70*EXP(-(((Inputs!$C$6)+38)^2)/(7^2))*(0.55+0.45*SIN(2*PI()*(Scenario_Data!W47)/45))+24*SIN(2*PI()*(Inputs!$C$6)/9+(Scenario_Data!W47)/18)*EXP(-(((Inputs!$C$6)+5)^2)/(22^2))+18*SIN(2*PI()*(Scenario_Data!W47)/70))+Inputs!$C$28*EXP(-(((Scenario_Data!W47)-Inputs!$C$29)^2)/(2*Inputs!$C$31^2))*EXP(-(((Inputs!$C$6)-Inputs!$C$30)^2)/(2*Inputs!$C$32^2))+-Inputs!$C$33*EXP(-(((((Scenario_Data!W47)-Inputs!$C$34)^2)+(((Inputs!$C$6)-Inputs!$C$35)^2))/(2*Inputs!$C$36^2)))+Inputs!$C$37*(0.55*SIN(2*PI()*(Scenario_Data!W47)/Inputs!$C$39)+0.35*COS(2*PI()*(Inputs!$C$6)/Inputs!$C$40)+0.2*SIN(2*PI()*((Scenario_Data!W47)+(Inputs!$C$6))/(0.5*(Inputs!$C$39+Inputs!$C$40))))+Inputs!$C$38*SIN(2*PI()*(Scenario_Data!W47)/Inputs!$C$39)*SIN(2*PI()*(Inputs!$C$6)/Inputs!$C$40)+-Inputs!$C$41*EXP(-(((Inputs!$C$6)-Inputs!$C$43)^2)/(2*Inputs!$C$44^2))*EXP(-(((Scenario_Data!W47)-Inputs!$C$42)^2)/(2*Inputs!$C$45^2))+Inputs!$C$48*(0.7*(0.45*SIN(2*PI()*(((Scenario_Data!W47)/Inputs!$C$49)+Inputs!$C$47*0.137))+0.35*COS(2*PI()*(((Inputs!$C$6)/Inputs!$C$50)+Inputs!$C$47*0.173))+0.2*SIN(2*PI()*((((Scenario_Data!W47)+(Inputs!$C$6))/(0.5*(Inputs!$C$49+Inputs!$C$50)))+Inputs!$C$47*0.097)))+0.3*(2*((SIN(((Scenario_Data!W47)*12.9898+(Inputs!$C$6)*78.233+Inputs!$C$47*37.719))*43758.5453)-INT((SIN(((Scenario_Data!W47)*12.9898+(Inputs!$C$6)*78.233+Inputs!$C$47*37.719))*43758.5453)))-1))))/1000))^2-2*(Inputs!$C$52+(Scenario_Data!E47))*(Inputs!$C$52+((IF(OR(Inputs!$C$27=TRUE,Inputs!$C$27="TRUE",Inputs!$C$27=1),1,0)*(Inputs!$C$51*(115*EXP(-(((Inputs!$C$6)-25)^2)/(4.5^2))+70*EXP(-(((Inputs!$C$6)+38)^2)/(7^2))*(0.55+0.45*SIN(2*PI()*(Scenario_Data!W47)/45))+24*SIN(2*PI()*(Inputs!$C$6)/9+(Scenario_Data!W47)/18)*EXP(-(((Inputs!$C$6)+5)^2)/(22^2))+18*SIN(2*PI()*(Scenario_Data!W47)/70))+Inputs!$C$28*EXP(-(((Scenario_Data!W47)-Inputs!$C$29)^2)/(2*Inputs!$C$31^2))*EXP(-(((Inputs!$C$6)-Inputs!$C$30)^2)/(2*Inputs!$C$32^2))+-Inputs!$C$33*EXP(-(((((Scenario_Data!W47)-Inputs!$C$34)^2)+(((Inputs!$C$6)-Inputs!$C$35)^2))/(2*Inputs!$C$36^2)))+Inputs!$C$37*(0.55*SIN(2*PI()*(Scenario_Data!W47)/Inputs!$C$39)+0.35*COS(2*PI()*(Inputs!$C$6)/Inputs!$C$40)+0.2*SIN(2*PI()*((Scenario_Data!W47)+(Inputs!$C$6))/(0.5*(Inputs!$C$39+Inputs!$C$40))))+Inputs!$C$38*SIN(2*PI()*(Scenario_Data!W47)/Inputs!$C$39)*SIN(2*PI()*(Inputs!$C$6)/Inputs!$C$40)+-Inputs!$C$41*EXP(-(((Inputs!$C$6)-Inputs!$C$43)^2)/(2*Inputs!$C$44^2))*EXP(-(((Scenario_Data!W47)-Inputs!$C$42)^2)/(2*Inputs!$C$45^2))+Inputs!$C$48*(0.7*(0.45*SIN(2*PI()*(((Scenario_Data!W47)/Inputs!$C$49)+Inputs!$C$47*0.137))+0.35*COS(2*PI()*(((Inputs!$C$6)/Inputs!$C$50)+Inputs!$C$47*0.173))+0.2*SIN(2*PI()*((((Scenario_Data!W47)+(Inputs!$C$6))/(0.5*(Inputs!$C$49+Inputs!$C$50)))+Inputs!$C$47*0.097)))+0.3*(2*((SIN(((Scenario_Data!W47)*12.9898+(Inputs!$C$6)*78.233+Inputs!$C$47*37.719))*43758.5453)-INT((SIN(((Scenario_Data!W47)*12.9898+(Inputs!$C$6)*78.233+Inputs!$C$47*37.719))*43758.5453)))-1))))/1000))*COS(SQRT((Scenario_Data!W47)^2+Inputs!$C$6^2)/Inputs!$C$52))*1000)/Inputs!$C$21*1000000</f>
        <v/>
      </c>
    </row>
    <row r="48">
      <c r="A48">
        <f>Chart_Data!K48</f>
        <v/>
      </c>
      <c r="B48">
        <f>Chart_Data!N48-Chart_Data!L48</f>
        <v/>
      </c>
      <c r="D48">
        <f>Chart_Data!G48</f>
        <v/>
      </c>
      <c r="E48">
        <f>Chart_Data!H48</f>
        <v/>
      </c>
      <c r="F48">
        <f>Chart_Data!I48</f>
        <v/>
      </c>
      <c r="G48">
        <f>Chart_Data!J48</f>
        <v/>
      </c>
      <c r="I48">
        <f>Scenario_Data!A48</f>
        <v/>
      </c>
      <c r="J48">
        <f>Scenario_Data!H48-(((SQRT((Inputs!$C$52+(Inputs!$H$6))^2+Inputs!$C$52^2-2*(Inputs!$C$52+(Inputs!$H$6))*Inputs!$C$52*COS(SQRT((Scenario_Data!T48)^2+Inputs!$C$6^2)/Inputs!$C$52)))-(Inputs!$H$6))*1000/Inputs!$C$12)</f>
        <v/>
      </c>
      <c r="K48">
        <f>Scenario_Data!I48-(((SQRT((Inputs!$C$52+(Inputs!$H$7))^2+Inputs!$C$52^2-2*(Inputs!$C$52+(Inputs!$H$7))*Inputs!$C$52*COS(SQRT((Scenario_Data!U48)^2+Inputs!$C$6^2)/Inputs!$C$52)))-(Inputs!$H$7))*1000/Inputs!$C$12)</f>
        <v/>
      </c>
      <c r="L48">
        <f>Scenario_Data!J48-(((SQRT((Inputs!$C$52+(Inputs!$H$8))^2+Inputs!$C$52^2-2*(Inputs!$C$52+(Inputs!$H$8))*Inputs!$C$52*COS(SQRT((Scenario_Data!V48)^2+Inputs!$C$6^2)/Inputs!$C$52)))-(Inputs!$H$8))*1000/Inputs!$C$12)</f>
        <v/>
      </c>
      <c r="M48">
        <f>Scenario_Data!K48-(((SQRT((Inputs!$C$52+(Inputs!$H$9))^2+Inputs!$C$52^2-2*(Inputs!$C$52+(Inputs!$H$9))*Inputs!$C$52*COS(SQRT((Scenario_Data!W48)^2+Inputs!$C$6^2)/Inputs!$C$52)))-(Inputs!$H$9))*1000/Inputs!$C$12)</f>
        <v/>
      </c>
      <c r="O48">
        <f>Scenario_Data!T48</f>
        <v/>
      </c>
      <c r="P48">
        <f>2*(Scenario_Data!B48*1000)/Inputs!$C$21*1000000</f>
        <v/>
      </c>
      <c r="Q48">
        <f>Scenario_Data!U48</f>
        <v/>
      </c>
      <c r="R48">
        <f>2*(Scenario_Data!C48*1000)/Inputs!$C$21*1000000</f>
        <v/>
      </c>
      <c r="S48">
        <f>Scenario_Data!V48</f>
        <v/>
      </c>
      <c r="T48">
        <f>2*(Scenario_Data!D48*1000)/Inputs!$C$21*1000000</f>
        <v/>
      </c>
      <c r="U48">
        <f>Scenario_Data!W48</f>
        <v/>
      </c>
      <c r="V48">
        <f>2*(Scenario_Data!E48*1000)/Inputs!$C$21*1000000</f>
        <v/>
      </c>
      <c r="X48">
        <f>Scenario_Data!T48</f>
        <v/>
      </c>
      <c r="Y48">
        <f>2*((Scenario_Data!B48*1000)-(IF(OR(Inputs!$C$27=TRUE,Inputs!$C$27="TRUE",Inputs!$C$27=1),1,0)*(Inputs!$C$51*(115*EXP(-(((0)-25)^2)/(4.5^2))+70*EXP(-(((0)+38)^2)/(7^2))*(0.55+0.45*SIN(2*PI()*(Scenario_Data!T48)/45))+24*SIN(2*PI()*(0)/9+(Scenario_Data!T48)/18)*EXP(-(((0)+5)^2)/(22^2))+18*SIN(2*PI()*(Scenario_Data!T48)/70))+Inputs!$C$28*EXP(-(((Scenario_Data!T48)-Inputs!$C$29)^2)/(2*Inputs!$C$31^2))*EXP(-(((0)-Inputs!$C$30)^2)/(2*Inputs!$C$32^2))+-Inputs!$C$33*EXP(-(((((Scenario_Data!T48)-Inputs!$C$34)^2)+(((0)-Inputs!$C$35)^2))/(2*Inputs!$C$36^2)))+Inputs!$C$37*(0.55*SIN(2*PI()*(Scenario_Data!T48)/Inputs!$C$39)+0.35*COS(2*PI()*(0)/Inputs!$C$40)+0.2*SIN(2*PI()*((Scenario_Data!T48)+(0))/(0.5*(Inputs!$C$39+Inputs!$C$40))))+Inputs!$C$38*SIN(2*PI()*(Scenario_Data!T48)/Inputs!$C$39)*SIN(2*PI()*(0)/Inputs!$C$40)+-Inputs!$C$41*EXP(-(((0)-Inputs!$C$43)^2)/(2*Inputs!$C$44^2))*EXP(-(((Scenario_Data!T48)-Inputs!$C$42)^2)/(2*Inputs!$C$45^2))+Inputs!$C$48*(0.7*(0.45*SIN(2*PI()*(((Scenario_Data!T48)/Inputs!$C$49)+Inputs!$C$47*0.137))+0.35*COS(2*PI()*(((0)/Inputs!$C$50)+Inputs!$C$47*0.173))+0.2*SIN(2*PI()*((((Scenario_Data!T48)+(0))/(0.5*(Inputs!$C$49+Inputs!$C$50)))+Inputs!$C$47*0.097)))+0.3*(2*((SIN(((Scenario_Data!T48)*12.9898+(0)*78.233+Inputs!$C$47*37.719))*43758.5453)-INT((SIN(((Scenario_Data!T48)*12.9898+(0)*78.233+Inputs!$C$47*37.719))*43758.5453)))-1)))))/Inputs!$C$21*1000000</f>
        <v/>
      </c>
      <c r="Z48">
        <f>Scenario_Data!U48</f>
        <v/>
      </c>
      <c r="AA48">
        <f>2*((Scenario_Data!C48*1000)-(IF(OR(Inputs!$C$27=TRUE,Inputs!$C$27="TRUE",Inputs!$C$27=1),1,0)*(Inputs!$C$51*(115*EXP(-(((0)-25)^2)/(4.5^2))+70*EXP(-(((0)+38)^2)/(7^2))*(0.55+0.45*SIN(2*PI()*(Scenario_Data!U48)/45))+24*SIN(2*PI()*(0)/9+(Scenario_Data!U48)/18)*EXP(-(((0)+5)^2)/(22^2))+18*SIN(2*PI()*(Scenario_Data!U48)/70))+Inputs!$C$28*EXP(-(((Scenario_Data!U48)-Inputs!$C$29)^2)/(2*Inputs!$C$31^2))*EXP(-(((0)-Inputs!$C$30)^2)/(2*Inputs!$C$32^2))+-Inputs!$C$33*EXP(-(((((Scenario_Data!U48)-Inputs!$C$34)^2)+(((0)-Inputs!$C$35)^2))/(2*Inputs!$C$36^2)))+Inputs!$C$37*(0.55*SIN(2*PI()*(Scenario_Data!U48)/Inputs!$C$39)+0.35*COS(2*PI()*(0)/Inputs!$C$40)+0.2*SIN(2*PI()*((Scenario_Data!U48)+(0))/(0.5*(Inputs!$C$39+Inputs!$C$40))))+Inputs!$C$38*SIN(2*PI()*(Scenario_Data!U48)/Inputs!$C$39)*SIN(2*PI()*(0)/Inputs!$C$40)+-Inputs!$C$41*EXP(-(((0)-Inputs!$C$43)^2)/(2*Inputs!$C$44^2))*EXP(-(((Scenario_Data!U48)-Inputs!$C$42)^2)/(2*Inputs!$C$45^2))+Inputs!$C$48*(0.7*(0.45*SIN(2*PI()*(((Scenario_Data!U48)/Inputs!$C$49)+Inputs!$C$47*0.137))+0.35*COS(2*PI()*(((0)/Inputs!$C$50)+Inputs!$C$47*0.173))+0.2*SIN(2*PI()*((((Scenario_Data!U48)+(0))/(0.5*(Inputs!$C$49+Inputs!$C$50)))+Inputs!$C$47*0.097)))+0.3*(2*((SIN(((Scenario_Data!U48)*12.9898+(0)*78.233+Inputs!$C$47*37.719))*43758.5453)-INT((SIN(((Scenario_Data!U48)*12.9898+(0)*78.233+Inputs!$C$47*37.719))*43758.5453)))-1)))))/Inputs!$C$21*1000000</f>
        <v/>
      </c>
      <c r="AB48">
        <f>Scenario_Data!V48</f>
        <v/>
      </c>
      <c r="AC48">
        <f>2*((Scenario_Data!D48*1000)-(IF(OR(Inputs!$C$27=TRUE,Inputs!$C$27="TRUE",Inputs!$C$27=1),1,0)*(Inputs!$C$51*(115*EXP(-(((0)-25)^2)/(4.5^2))+70*EXP(-(((0)+38)^2)/(7^2))*(0.55+0.45*SIN(2*PI()*(Scenario_Data!V48)/45))+24*SIN(2*PI()*(0)/9+(Scenario_Data!V48)/18)*EXP(-(((0)+5)^2)/(22^2))+18*SIN(2*PI()*(Scenario_Data!V48)/70))+Inputs!$C$28*EXP(-(((Scenario_Data!V48)-Inputs!$C$29)^2)/(2*Inputs!$C$31^2))*EXP(-(((0)-Inputs!$C$30)^2)/(2*Inputs!$C$32^2))+-Inputs!$C$33*EXP(-(((((Scenario_Data!V48)-Inputs!$C$34)^2)+(((0)-Inputs!$C$35)^2))/(2*Inputs!$C$36^2)))+Inputs!$C$37*(0.55*SIN(2*PI()*(Scenario_Data!V48)/Inputs!$C$39)+0.35*COS(2*PI()*(0)/Inputs!$C$40)+0.2*SIN(2*PI()*((Scenario_Data!V48)+(0))/(0.5*(Inputs!$C$39+Inputs!$C$40))))+Inputs!$C$38*SIN(2*PI()*(Scenario_Data!V48)/Inputs!$C$39)*SIN(2*PI()*(0)/Inputs!$C$40)+-Inputs!$C$41*EXP(-(((0)-Inputs!$C$43)^2)/(2*Inputs!$C$44^2))*EXP(-(((Scenario_Data!V48)-Inputs!$C$42)^2)/(2*Inputs!$C$45^2))+Inputs!$C$48*(0.7*(0.45*SIN(2*PI()*(((Scenario_Data!V48)/Inputs!$C$49)+Inputs!$C$47*0.137))+0.35*COS(2*PI()*(((0)/Inputs!$C$50)+Inputs!$C$47*0.173))+0.2*SIN(2*PI()*((((Scenario_Data!V48)+(0))/(0.5*(Inputs!$C$49+Inputs!$C$50)))+Inputs!$C$47*0.097)))+0.3*(2*((SIN(((Scenario_Data!V48)*12.9898+(0)*78.233+Inputs!$C$47*37.719))*43758.5453)-INT((SIN(((Scenario_Data!V48)*12.9898+(0)*78.233+Inputs!$C$47*37.719))*43758.5453)))-1)))))/Inputs!$C$21*1000000</f>
        <v/>
      </c>
      <c r="AD48">
        <f>Scenario_Data!W48</f>
        <v/>
      </c>
      <c r="AE48">
        <f>2*((Scenario_Data!E48*1000)-(IF(OR(Inputs!$C$27=TRUE,Inputs!$C$27="TRUE",Inputs!$C$27=1),1,0)*(Inputs!$C$51*(115*EXP(-(((0)-25)^2)/(4.5^2))+70*EXP(-(((0)+38)^2)/(7^2))*(0.55+0.45*SIN(2*PI()*(Scenario_Data!W48)/45))+24*SIN(2*PI()*(0)/9+(Scenario_Data!W48)/18)*EXP(-(((0)+5)^2)/(22^2))+18*SIN(2*PI()*(Scenario_Data!W48)/70))+Inputs!$C$28*EXP(-(((Scenario_Data!W48)-Inputs!$C$29)^2)/(2*Inputs!$C$31^2))*EXP(-(((0)-Inputs!$C$30)^2)/(2*Inputs!$C$32^2))+-Inputs!$C$33*EXP(-(((((Scenario_Data!W48)-Inputs!$C$34)^2)+(((0)-Inputs!$C$35)^2))/(2*Inputs!$C$36^2)))+Inputs!$C$37*(0.55*SIN(2*PI()*(Scenario_Data!W48)/Inputs!$C$39)+0.35*COS(2*PI()*(0)/Inputs!$C$40)+0.2*SIN(2*PI()*((Scenario_Data!W48)+(0))/(0.5*(Inputs!$C$39+Inputs!$C$40))))+Inputs!$C$38*SIN(2*PI()*(Scenario_Data!W48)/Inputs!$C$39)*SIN(2*PI()*(0)/Inputs!$C$40)+-Inputs!$C$41*EXP(-(((0)-Inputs!$C$43)^2)/(2*Inputs!$C$44^2))*EXP(-(((Scenario_Data!W48)-Inputs!$C$42)^2)/(2*Inputs!$C$45^2))+Inputs!$C$48*(0.7*(0.45*SIN(2*PI()*(((Scenario_Data!W48)/Inputs!$C$49)+Inputs!$C$47*0.137))+0.35*COS(2*PI()*(((0)/Inputs!$C$50)+Inputs!$C$47*0.173))+0.2*SIN(2*PI()*((((Scenario_Data!W48)+(0))/(0.5*(Inputs!$C$49+Inputs!$C$50)))+Inputs!$C$47*0.097)))+0.3*(2*((SIN(((Scenario_Data!W48)*12.9898+(0)*78.233+Inputs!$C$47*37.719))*43758.5453)-INT((SIN(((Scenario_Data!W48)*12.9898+(0)*78.233+Inputs!$C$47*37.719))*43758.5453)))-1)))))/Inputs!$C$21*1000000</f>
        <v/>
      </c>
      <c r="AG48">
        <f>Scenario_Data!T48</f>
        <v/>
      </c>
      <c r="AH48">
        <f>2*(SQRT((Inputs!$C$52+(Scenario_Data!B48))^2+Inputs!$C$52^2-2*(Inputs!$C$52+(Scenario_Data!B48))*Inputs!$C$52*COS(SQRT((Scenario_Data!T48)^2+Inputs!$C$6^2)/Inputs!$C$52))*1000)/Inputs!$C$21*1000000</f>
        <v/>
      </c>
      <c r="AI48">
        <f>Scenario_Data!U48</f>
        <v/>
      </c>
      <c r="AJ48">
        <f>2*(SQRT((Inputs!$C$52+(Scenario_Data!C48))^2+Inputs!$C$52^2-2*(Inputs!$C$52+(Scenario_Data!C48))*Inputs!$C$52*COS(SQRT((Scenario_Data!U48)^2+Inputs!$C$6^2)/Inputs!$C$52))*1000)/Inputs!$C$21*1000000</f>
        <v/>
      </c>
      <c r="AK48">
        <f>Scenario_Data!V48</f>
        <v/>
      </c>
      <c r="AL48">
        <f>2*(SQRT((Inputs!$C$52+(Scenario_Data!D48))^2+Inputs!$C$52^2-2*(Inputs!$C$52+(Scenario_Data!D48))*Inputs!$C$52*COS(SQRT((Scenario_Data!V48)^2+Inputs!$C$6^2)/Inputs!$C$52))*1000)/Inputs!$C$21*1000000</f>
        <v/>
      </c>
      <c r="AM48">
        <f>Scenario_Data!W48</f>
        <v/>
      </c>
      <c r="AN48">
        <f>2*(SQRT((Inputs!$C$52+(Scenario_Data!E48))^2+Inputs!$C$52^2-2*(Inputs!$C$52+(Scenario_Data!E48))*Inputs!$C$52*COS(SQRT((Scenario_Data!W48)^2+Inputs!$C$6^2)/Inputs!$C$52))*1000)/Inputs!$C$21*1000000</f>
        <v/>
      </c>
      <c r="AP48">
        <f>Scenario_Data!T48</f>
        <v/>
      </c>
      <c r="AQ48">
        <f>2*(SQRT((Inputs!$C$52+(Scenario_Data!B48))^2+(Inputs!$C$52+((IF(OR(Inputs!$C$27=TRUE,Inputs!$C$27="TRUE",Inputs!$C$27=1),1,0)*(Inputs!$C$51*(115*EXP(-(((Inputs!$C$6)-25)^2)/(4.5^2))+70*EXP(-(((Inputs!$C$6)+38)^2)/(7^2))*(0.55+0.45*SIN(2*PI()*(Scenario_Data!T48)/45))+24*SIN(2*PI()*(Inputs!$C$6)/9+(Scenario_Data!T48)/18)*EXP(-(((Inputs!$C$6)+5)^2)/(22^2))+18*SIN(2*PI()*(Scenario_Data!T48)/70))+Inputs!$C$28*EXP(-(((Scenario_Data!T48)-Inputs!$C$29)^2)/(2*Inputs!$C$31^2))*EXP(-(((Inputs!$C$6)-Inputs!$C$30)^2)/(2*Inputs!$C$32^2))+-Inputs!$C$33*EXP(-(((((Scenario_Data!T48)-Inputs!$C$34)^2)+(((Inputs!$C$6)-Inputs!$C$35)^2))/(2*Inputs!$C$36^2)))+Inputs!$C$37*(0.55*SIN(2*PI()*(Scenario_Data!T48)/Inputs!$C$39)+0.35*COS(2*PI()*(Inputs!$C$6)/Inputs!$C$40)+0.2*SIN(2*PI()*((Scenario_Data!T48)+(Inputs!$C$6))/(0.5*(Inputs!$C$39+Inputs!$C$40))))+Inputs!$C$38*SIN(2*PI()*(Scenario_Data!T48)/Inputs!$C$39)*SIN(2*PI()*(Inputs!$C$6)/Inputs!$C$40)+-Inputs!$C$41*EXP(-(((Inputs!$C$6)-Inputs!$C$43)^2)/(2*Inputs!$C$44^2))*EXP(-(((Scenario_Data!T48)-Inputs!$C$42)^2)/(2*Inputs!$C$45^2))+Inputs!$C$48*(0.7*(0.45*SIN(2*PI()*(((Scenario_Data!T48)/Inputs!$C$49)+Inputs!$C$47*0.137))+0.35*COS(2*PI()*(((Inputs!$C$6)/Inputs!$C$50)+Inputs!$C$47*0.173))+0.2*SIN(2*PI()*((((Scenario_Data!T48)+(Inputs!$C$6))/(0.5*(Inputs!$C$49+Inputs!$C$50)))+Inputs!$C$47*0.097)))+0.3*(2*((SIN(((Scenario_Data!T48)*12.9898+(Inputs!$C$6)*78.233+Inputs!$C$47*37.719))*43758.5453)-INT((SIN(((Scenario_Data!T48)*12.9898+(Inputs!$C$6)*78.233+Inputs!$C$47*37.719))*43758.5453)))-1))))/1000))^2-2*(Inputs!$C$52+(Scenario_Data!B48))*(Inputs!$C$52+((IF(OR(Inputs!$C$27=TRUE,Inputs!$C$27="TRUE",Inputs!$C$27=1),1,0)*(Inputs!$C$51*(115*EXP(-(((Inputs!$C$6)-25)^2)/(4.5^2))+70*EXP(-(((Inputs!$C$6)+38)^2)/(7^2))*(0.55+0.45*SIN(2*PI()*(Scenario_Data!T48)/45))+24*SIN(2*PI()*(Inputs!$C$6)/9+(Scenario_Data!T48)/18)*EXP(-(((Inputs!$C$6)+5)^2)/(22^2))+18*SIN(2*PI()*(Scenario_Data!T48)/70))+Inputs!$C$28*EXP(-(((Scenario_Data!T48)-Inputs!$C$29)^2)/(2*Inputs!$C$31^2))*EXP(-(((Inputs!$C$6)-Inputs!$C$30)^2)/(2*Inputs!$C$32^2))+-Inputs!$C$33*EXP(-(((((Scenario_Data!T48)-Inputs!$C$34)^2)+(((Inputs!$C$6)-Inputs!$C$35)^2))/(2*Inputs!$C$36^2)))+Inputs!$C$37*(0.55*SIN(2*PI()*(Scenario_Data!T48)/Inputs!$C$39)+0.35*COS(2*PI()*(Inputs!$C$6)/Inputs!$C$40)+0.2*SIN(2*PI()*((Scenario_Data!T48)+(Inputs!$C$6))/(0.5*(Inputs!$C$39+Inputs!$C$40))))+Inputs!$C$38*SIN(2*PI()*(Scenario_Data!T48)/Inputs!$C$39)*SIN(2*PI()*(Inputs!$C$6)/Inputs!$C$40)+-Inputs!$C$41*EXP(-(((Inputs!$C$6)-Inputs!$C$43)^2)/(2*Inputs!$C$44^2))*EXP(-(((Scenario_Data!T48)-Inputs!$C$42)^2)/(2*Inputs!$C$45^2))+Inputs!$C$48*(0.7*(0.45*SIN(2*PI()*(((Scenario_Data!T48)/Inputs!$C$49)+Inputs!$C$47*0.137))+0.35*COS(2*PI()*(((Inputs!$C$6)/Inputs!$C$50)+Inputs!$C$47*0.173))+0.2*SIN(2*PI()*((((Scenario_Data!T48)+(Inputs!$C$6))/(0.5*(Inputs!$C$49+Inputs!$C$50)))+Inputs!$C$47*0.097)))+0.3*(2*((SIN(((Scenario_Data!T48)*12.9898+(Inputs!$C$6)*78.233+Inputs!$C$47*37.719))*43758.5453)-INT((SIN(((Scenario_Data!T48)*12.9898+(Inputs!$C$6)*78.233+Inputs!$C$47*37.719))*43758.5453)))-1))))/1000))*COS(SQRT((Scenario_Data!T48)^2+Inputs!$C$6^2)/Inputs!$C$52))*1000)/Inputs!$C$21*1000000</f>
        <v/>
      </c>
      <c r="AR48">
        <f>Scenario_Data!U48</f>
        <v/>
      </c>
      <c r="AS48">
        <f>2*(SQRT((Inputs!$C$52+(Scenario_Data!C48))^2+(Inputs!$C$52+((IF(OR(Inputs!$C$27=TRUE,Inputs!$C$27="TRUE",Inputs!$C$27=1),1,0)*(Inputs!$C$51*(115*EXP(-(((Inputs!$C$6)-25)^2)/(4.5^2))+70*EXP(-(((Inputs!$C$6)+38)^2)/(7^2))*(0.55+0.45*SIN(2*PI()*(Scenario_Data!U48)/45))+24*SIN(2*PI()*(Inputs!$C$6)/9+(Scenario_Data!U48)/18)*EXP(-(((Inputs!$C$6)+5)^2)/(22^2))+18*SIN(2*PI()*(Scenario_Data!U48)/70))+Inputs!$C$28*EXP(-(((Scenario_Data!U48)-Inputs!$C$29)^2)/(2*Inputs!$C$31^2))*EXP(-(((Inputs!$C$6)-Inputs!$C$30)^2)/(2*Inputs!$C$32^2))+-Inputs!$C$33*EXP(-(((((Scenario_Data!U48)-Inputs!$C$34)^2)+(((Inputs!$C$6)-Inputs!$C$35)^2))/(2*Inputs!$C$36^2)))+Inputs!$C$37*(0.55*SIN(2*PI()*(Scenario_Data!U48)/Inputs!$C$39)+0.35*COS(2*PI()*(Inputs!$C$6)/Inputs!$C$40)+0.2*SIN(2*PI()*((Scenario_Data!U48)+(Inputs!$C$6))/(0.5*(Inputs!$C$39+Inputs!$C$40))))+Inputs!$C$38*SIN(2*PI()*(Scenario_Data!U48)/Inputs!$C$39)*SIN(2*PI()*(Inputs!$C$6)/Inputs!$C$40)+-Inputs!$C$41*EXP(-(((Inputs!$C$6)-Inputs!$C$43)^2)/(2*Inputs!$C$44^2))*EXP(-(((Scenario_Data!U48)-Inputs!$C$42)^2)/(2*Inputs!$C$45^2))+Inputs!$C$48*(0.7*(0.45*SIN(2*PI()*(((Scenario_Data!U48)/Inputs!$C$49)+Inputs!$C$47*0.137))+0.35*COS(2*PI()*(((Inputs!$C$6)/Inputs!$C$50)+Inputs!$C$47*0.173))+0.2*SIN(2*PI()*((((Scenario_Data!U48)+(Inputs!$C$6))/(0.5*(Inputs!$C$49+Inputs!$C$50)))+Inputs!$C$47*0.097)))+0.3*(2*((SIN(((Scenario_Data!U48)*12.9898+(Inputs!$C$6)*78.233+Inputs!$C$47*37.719))*43758.5453)-INT((SIN(((Scenario_Data!U48)*12.9898+(Inputs!$C$6)*78.233+Inputs!$C$47*37.719))*43758.5453)))-1))))/1000))^2-2*(Inputs!$C$52+(Scenario_Data!C48))*(Inputs!$C$52+((IF(OR(Inputs!$C$27=TRUE,Inputs!$C$27="TRUE",Inputs!$C$27=1),1,0)*(Inputs!$C$51*(115*EXP(-(((Inputs!$C$6)-25)^2)/(4.5^2))+70*EXP(-(((Inputs!$C$6)+38)^2)/(7^2))*(0.55+0.45*SIN(2*PI()*(Scenario_Data!U48)/45))+24*SIN(2*PI()*(Inputs!$C$6)/9+(Scenario_Data!U48)/18)*EXP(-(((Inputs!$C$6)+5)^2)/(22^2))+18*SIN(2*PI()*(Scenario_Data!U48)/70))+Inputs!$C$28*EXP(-(((Scenario_Data!U48)-Inputs!$C$29)^2)/(2*Inputs!$C$31^2))*EXP(-(((Inputs!$C$6)-Inputs!$C$30)^2)/(2*Inputs!$C$32^2))+-Inputs!$C$33*EXP(-(((((Scenario_Data!U48)-Inputs!$C$34)^2)+(((Inputs!$C$6)-Inputs!$C$35)^2))/(2*Inputs!$C$36^2)))+Inputs!$C$37*(0.55*SIN(2*PI()*(Scenario_Data!U48)/Inputs!$C$39)+0.35*COS(2*PI()*(Inputs!$C$6)/Inputs!$C$40)+0.2*SIN(2*PI()*((Scenario_Data!U48)+(Inputs!$C$6))/(0.5*(Inputs!$C$39+Inputs!$C$40))))+Inputs!$C$38*SIN(2*PI()*(Scenario_Data!U48)/Inputs!$C$39)*SIN(2*PI()*(Inputs!$C$6)/Inputs!$C$40)+-Inputs!$C$41*EXP(-(((Inputs!$C$6)-Inputs!$C$43)^2)/(2*Inputs!$C$44^2))*EXP(-(((Scenario_Data!U48)-Inputs!$C$42)^2)/(2*Inputs!$C$45^2))+Inputs!$C$48*(0.7*(0.45*SIN(2*PI()*(((Scenario_Data!U48)/Inputs!$C$49)+Inputs!$C$47*0.137))+0.35*COS(2*PI()*(((Inputs!$C$6)/Inputs!$C$50)+Inputs!$C$47*0.173))+0.2*SIN(2*PI()*((((Scenario_Data!U48)+(Inputs!$C$6))/(0.5*(Inputs!$C$49+Inputs!$C$50)))+Inputs!$C$47*0.097)))+0.3*(2*((SIN(((Scenario_Data!U48)*12.9898+(Inputs!$C$6)*78.233+Inputs!$C$47*37.719))*43758.5453)-INT((SIN(((Scenario_Data!U48)*12.9898+(Inputs!$C$6)*78.233+Inputs!$C$47*37.719))*43758.5453)))-1))))/1000))*COS(SQRT((Scenario_Data!U48)^2+Inputs!$C$6^2)/Inputs!$C$52))*1000)/Inputs!$C$21*1000000</f>
        <v/>
      </c>
      <c r="AT48">
        <f>Scenario_Data!V48</f>
        <v/>
      </c>
      <c r="AU48">
        <f>2*(SQRT((Inputs!$C$52+(Scenario_Data!D48))^2+(Inputs!$C$52+((IF(OR(Inputs!$C$27=TRUE,Inputs!$C$27="TRUE",Inputs!$C$27=1),1,0)*(Inputs!$C$51*(115*EXP(-(((Inputs!$C$6)-25)^2)/(4.5^2))+70*EXP(-(((Inputs!$C$6)+38)^2)/(7^2))*(0.55+0.45*SIN(2*PI()*(Scenario_Data!V48)/45))+24*SIN(2*PI()*(Inputs!$C$6)/9+(Scenario_Data!V48)/18)*EXP(-(((Inputs!$C$6)+5)^2)/(22^2))+18*SIN(2*PI()*(Scenario_Data!V48)/70))+Inputs!$C$28*EXP(-(((Scenario_Data!V48)-Inputs!$C$29)^2)/(2*Inputs!$C$31^2))*EXP(-(((Inputs!$C$6)-Inputs!$C$30)^2)/(2*Inputs!$C$32^2))+-Inputs!$C$33*EXP(-(((((Scenario_Data!V48)-Inputs!$C$34)^2)+(((Inputs!$C$6)-Inputs!$C$35)^2))/(2*Inputs!$C$36^2)))+Inputs!$C$37*(0.55*SIN(2*PI()*(Scenario_Data!V48)/Inputs!$C$39)+0.35*COS(2*PI()*(Inputs!$C$6)/Inputs!$C$40)+0.2*SIN(2*PI()*((Scenario_Data!V48)+(Inputs!$C$6))/(0.5*(Inputs!$C$39+Inputs!$C$40))))+Inputs!$C$38*SIN(2*PI()*(Scenario_Data!V48)/Inputs!$C$39)*SIN(2*PI()*(Inputs!$C$6)/Inputs!$C$40)+-Inputs!$C$41*EXP(-(((Inputs!$C$6)-Inputs!$C$43)^2)/(2*Inputs!$C$44^2))*EXP(-(((Scenario_Data!V48)-Inputs!$C$42)^2)/(2*Inputs!$C$45^2))+Inputs!$C$48*(0.7*(0.45*SIN(2*PI()*(((Scenario_Data!V48)/Inputs!$C$49)+Inputs!$C$47*0.137))+0.35*COS(2*PI()*(((Inputs!$C$6)/Inputs!$C$50)+Inputs!$C$47*0.173))+0.2*SIN(2*PI()*((((Scenario_Data!V48)+(Inputs!$C$6))/(0.5*(Inputs!$C$49+Inputs!$C$50)))+Inputs!$C$47*0.097)))+0.3*(2*((SIN(((Scenario_Data!V48)*12.9898+(Inputs!$C$6)*78.233+Inputs!$C$47*37.719))*43758.5453)-INT((SIN(((Scenario_Data!V48)*12.9898+(Inputs!$C$6)*78.233+Inputs!$C$47*37.719))*43758.5453)))-1))))/1000))^2-2*(Inputs!$C$52+(Scenario_Data!D48))*(Inputs!$C$52+((IF(OR(Inputs!$C$27=TRUE,Inputs!$C$27="TRUE",Inputs!$C$27=1),1,0)*(Inputs!$C$51*(115*EXP(-(((Inputs!$C$6)-25)^2)/(4.5^2))+70*EXP(-(((Inputs!$C$6)+38)^2)/(7^2))*(0.55+0.45*SIN(2*PI()*(Scenario_Data!V48)/45))+24*SIN(2*PI()*(Inputs!$C$6)/9+(Scenario_Data!V48)/18)*EXP(-(((Inputs!$C$6)+5)^2)/(22^2))+18*SIN(2*PI()*(Scenario_Data!V48)/70))+Inputs!$C$28*EXP(-(((Scenario_Data!V48)-Inputs!$C$29)^2)/(2*Inputs!$C$31^2))*EXP(-(((Inputs!$C$6)-Inputs!$C$30)^2)/(2*Inputs!$C$32^2))+-Inputs!$C$33*EXP(-(((((Scenario_Data!V48)-Inputs!$C$34)^2)+(((Inputs!$C$6)-Inputs!$C$35)^2))/(2*Inputs!$C$36^2)))+Inputs!$C$37*(0.55*SIN(2*PI()*(Scenario_Data!V48)/Inputs!$C$39)+0.35*COS(2*PI()*(Inputs!$C$6)/Inputs!$C$40)+0.2*SIN(2*PI()*((Scenario_Data!V48)+(Inputs!$C$6))/(0.5*(Inputs!$C$39+Inputs!$C$40))))+Inputs!$C$38*SIN(2*PI()*(Scenario_Data!V48)/Inputs!$C$39)*SIN(2*PI()*(Inputs!$C$6)/Inputs!$C$40)+-Inputs!$C$41*EXP(-(((Inputs!$C$6)-Inputs!$C$43)^2)/(2*Inputs!$C$44^2))*EXP(-(((Scenario_Data!V48)-Inputs!$C$42)^2)/(2*Inputs!$C$45^2))+Inputs!$C$48*(0.7*(0.45*SIN(2*PI()*(((Scenario_Data!V48)/Inputs!$C$49)+Inputs!$C$47*0.137))+0.35*COS(2*PI()*(((Inputs!$C$6)/Inputs!$C$50)+Inputs!$C$47*0.173))+0.2*SIN(2*PI()*((((Scenario_Data!V48)+(Inputs!$C$6))/(0.5*(Inputs!$C$49+Inputs!$C$50)))+Inputs!$C$47*0.097)))+0.3*(2*((SIN(((Scenario_Data!V48)*12.9898+(Inputs!$C$6)*78.233+Inputs!$C$47*37.719))*43758.5453)-INT((SIN(((Scenario_Data!V48)*12.9898+(Inputs!$C$6)*78.233+Inputs!$C$47*37.719))*43758.5453)))-1))))/1000))*COS(SQRT((Scenario_Data!V48)^2+Inputs!$C$6^2)/Inputs!$C$52))*1000)/Inputs!$C$21*1000000</f>
        <v/>
      </c>
      <c r="AV48">
        <f>Scenario_Data!W48</f>
        <v/>
      </c>
      <c r="AW48">
        <f>2*(SQRT((Inputs!$C$52+(Scenario_Data!E48))^2+(Inputs!$C$52+((IF(OR(Inputs!$C$27=TRUE,Inputs!$C$27="TRUE",Inputs!$C$27=1),1,0)*(Inputs!$C$51*(115*EXP(-(((Inputs!$C$6)-25)^2)/(4.5^2))+70*EXP(-(((Inputs!$C$6)+38)^2)/(7^2))*(0.55+0.45*SIN(2*PI()*(Scenario_Data!W48)/45))+24*SIN(2*PI()*(Inputs!$C$6)/9+(Scenario_Data!W48)/18)*EXP(-(((Inputs!$C$6)+5)^2)/(22^2))+18*SIN(2*PI()*(Scenario_Data!W48)/70))+Inputs!$C$28*EXP(-(((Scenario_Data!W48)-Inputs!$C$29)^2)/(2*Inputs!$C$31^2))*EXP(-(((Inputs!$C$6)-Inputs!$C$30)^2)/(2*Inputs!$C$32^2))+-Inputs!$C$33*EXP(-(((((Scenario_Data!W48)-Inputs!$C$34)^2)+(((Inputs!$C$6)-Inputs!$C$35)^2))/(2*Inputs!$C$36^2)))+Inputs!$C$37*(0.55*SIN(2*PI()*(Scenario_Data!W48)/Inputs!$C$39)+0.35*COS(2*PI()*(Inputs!$C$6)/Inputs!$C$40)+0.2*SIN(2*PI()*((Scenario_Data!W48)+(Inputs!$C$6))/(0.5*(Inputs!$C$39+Inputs!$C$40))))+Inputs!$C$38*SIN(2*PI()*(Scenario_Data!W48)/Inputs!$C$39)*SIN(2*PI()*(Inputs!$C$6)/Inputs!$C$40)+-Inputs!$C$41*EXP(-(((Inputs!$C$6)-Inputs!$C$43)^2)/(2*Inputs!$C$44^2))*EXP(-(((Scenario_Data!W48)-Inputs!$C$42)^2)/(2*Inputs!$C$45^2))+Inputs!$C$48*(0.7*(0.45*SIN(2*PI()*(((Scenario_Data!W48)/Inputs!$C$49)+Inputs!$C$47*0.137))+0.35*COS(2*PI()*(((Inputs!$C$6)/Inputs!$C$50)+Inputs!$C$47*0.173))+0.2*SIN(2*PI()*((((Scenario_Data!W48)+(Inputs!$C$6))/(0.5*(Inputs!$C$49+Inputs!$C$50)))+Inputs!$C$47*0.097)))+0.3*(2*((SIN(((Scenario_Data!W48)*12.9898+(Inputs!$C$6)*78.233+Inputs!$C$47*37.719))*43758.5453)-INT((SIN(((Scenario_Data!W48)*12.9898+(Inputs!$C$6)*78.233+Inputs!$C$47*37.719))*43758.5453)))-1))))/1000))^2-2*(Inputs!$C$52+(Scenario_Data!E48))*(Inputs!$C$52+((IF(OR(Inputs!$C$27=TRUE,Inputs!$C$27="TRUE",Inputs!$C$27=1),1,0)*(Inputs!$C$51*(115*EXP(-(((Inputs!$C$6)-25)^2)/(4.5^2))+70*EXP(-(((Inputs!$C$6)+38)^2)/(7^2))*(0.55+0.45*SIN(2*PI()*(Scenario_Data!W48)/45))+24*SIN(2*PI()*(Inputs!$C$6)/9+(Scenario_Data!W48)/18)*EXP(-(((Inputs!$C$6)+5)^2)/(22^2))+18*SIN(2*PI()*(Scenario_Data!W48)/70))+Inputs!$C$28*EXP(-(((Scenario_Data!W48)-Inputs!$C$29)^2)/(2*Inputs!$C$31^2))*EXP(-(((Inputs!$C$6)-Inputs!$C$30)^2)/(2*Inputs!$C$32^2))+-Inputs!$C$33*EXP(-(((((Scenario_Data!W48)-Inputs!$C$34)^2)+(((Inputs!$C$6)-Inputs!$C$35)^2))/(2*Inputs!$C$36^2)))+Inputs!$C$37*(0.55*SIN(2*PI()*(Scenario_Data!W48)/Inputs!$C$39)+0.35*COS(2*PI()*(Inputs!$C$6)/Inputs!$C$40)+0.2*SIN(2*PI()*((Scenario_Data!W48)+(Inputs!$C$6))/(0.5*(Inputs!$C$39+Inputs!$C$40))))+Inputs!$C$38*SIN(2*PI()*(Scenario_Data!W48)/Inputs!$C$39)*SIN(2*PI()*(Inputs!$C$6)/Inputs!$C$40)+-Inputs!$C$41*EXP(-(((Inputs!$C$6)-Inputs!$C$43)^2)/(2*Inputs!$C$44^2))*EXP(-(((Scenario_Data!W48)-Inputs!$C$42)^2)/(2*Inputs!$C$45^2))+Inputs!$C$48*(0.7*(0.45*SIN(2*PI()*(((Scenario_Data!W48)/Inputs!$C$49)+Inputs!$C$47*0.137))+0.35*COS(2*PI()*(((Inputs!$C$6)/Inputs!$C$50)+Inputs!$C$47*0.173))+0.2*SIN(2*PI()*((((Scenario_Data!W48)+(Inputs!$C$6))/(0.5*(Inputs!$C$49+Inputs!$C$50)))+Inputs!$C$47*0.097)))+0.3*(2*((SIN(((Scenario_Data!W48)*12.9898+(Inputs!$C$6)*78.233+Inputs!$C$47*37.719))*43758.5453)-INT((SIN(((Scenario_Data!W48)*12.9898+(Inputs!$C$6)*78.233+Inputs!$C$47*37.719))*43758.5453)))-1))))/1000))*COS(SQRT((Scenario_Data!W48)^2+Inputs!$C$6^2)/Inputs!$C$52))*1000)/Inputs!$C$21*1000000</f>
        <v/>
      </c>
    </row>
    <row r="49">
      <c r="A49">
        <f>Chart_Data!K49</f>
        <v/>
      </c>
      <c r="B49">
        <f>Chart_Data!N49-Chart_Data!L49</f>
        <v/>
      </c>
      <c r="D49">
        <f>Chart_Data!G49</f>
        <v/>
      </c>
      <c r="E49">
        <f>Chart_Data!H49</f>
        <v/>
      </c>
      <c r="F49">
        <f>Chart_Data!I49</f>
        <v/>
      </c>
      <c r="G49">
        <f>Chart_Data!J49</f>
        <v/>
      </c>
      <c r="I49">
        <f>Scenario_Data!A49</f>
        <v/>
      </c>
      <c r="J49">
        <f>Scenario_Data!H49-(((SQRT((Inputs!$C$52+(Inputs!$H$6))^2+Inputs!$C$52^2-2*(Inputs!$C$52+(Inputs!$H$6))*Inputs!$C$52*COS(SQRT((Scenario_Data!T49)^2+Inputs!$C$6^2)/Inputs!$C$52)))-(Inputs!$H$6))*1000/Inputs!$C$12)</f>
        <v/>
      </c>
      <c r="K49">
        <f>Scenario_Data!I49-(((SQRT((Inputs!$C$52+(Inputs!$H$7))^2+Inputs!$C$52^2-2*(Inputs!$C$52+(Inputs!$H$7))*Inputs!$C$52*COS(SQRT((Scenario_Data!U49)^2+Inputs!$C$6^2)/Inputs!$C$52)))-(Inputs!$H$7))*1000/Inputs!$C$12)</f>
        <v/>
      </c>
      <c r="L49">
        <f>Scenario_Data!J49-(((SQRT((Inputs!$C$52+(Inputs!$H$8))^2+Inputs!$C$52^2-2*(Inputs!$C$52+(Inputs!$H$8))*Inputs!$C$52*COS(SQRT((Scenario_Data!V49)^2+Inputs!$C$6^2)/Inputs!$C$52)))-(Inputs!$H$8))*1000/Inputs!$C$12)</f>
        <v/>
      </c>
      <c r="M49">
        <f>Scenario_Data!K49-(((SQRT((Inputs!$C$52+(Inputs!$H$9))^2+Inputs!$C$52^2-2*(Inputs!$C$52+(Inputs!$H$9))*Inputs!$C$52*COS(SQRT((Scenario_Data!W49)^2+Inputs!$C$6^2)/Inputs!$C$52)))-(Inputs!$H$9))*1000/Inputs!$C$12)</f>
        <v/>
      </c>
      <c r="O49">
        <f>Scenario_Data!T49</f>
        <v/>
      </c>
      <c r="P49">
        <f>2*(Scenario_Data!B49*1000)/Inputs!$C$21*1000000</f>
        <v/>
      </c>
      <c r="Q49">
        <f>Scenario_Data!U49</f>
        <v/>
      </c>
      <c r="R49">
        <f>2*(Scenario_Data!C49*1000)/Inputs!$C$21*1000000</f>
        <v/>
      </c>
      <c r="S49">
        <f>Scenario_Data!V49</f>
        <v/>
      </c>
      <c r="T49">
        <f>2*(Scenario_Data!D49*1000)/Inputs!$C$21*1000000</f>
        <v/>
      </c>
      <c r="U49">
        <f>Scenario_Data!W49</f>
        <v/>
      </c>
      <c r="V49">
        <f>2*(Scenario_Data!E49*1000)/Inputs!$C$21*1000000</f>
        <v/>
      </c>
      <c r="X49">
        <f>Scenario_Data!T49</f>
        <v/>
      </c>
      <c r="Y49">
        <f>2*((Scenario_Data!B49*1000)-(IF(OR(Inputs!$C$27=TRUE,Inputs!$C$27="TRUE",Inputs!$C$27=1),1,0)*(Inputs!$C$51*(115*EXP(-(((0)-25)^2)/(4.5^2))+70*EXP(-(((0)+38)^2)/(7^2))*(0.55+0.45*SIN(2*PI()*(Scenario_Data!T49)/45))+24*SIN(2*PI()*(0)/9+(Scenario_Data!T49)/18)*EXP(-(((0)+5)^2)/(22^2))+18*SIN(2*PI()*(Scenario_Data!T49)/70))+Inputs!$C$28*EXP(-(((Scenario_Data!T49)-Inputs!$C$29)^2)/(2*Inputs!$C$31^2))*EXP(-(((0)-Inputs!$C$30)^2)/(2*Inputs!$C$32^2))+-Inputs!$C$33*EXP(-(((((Scenario_Data!T49)-Inputs!$C$34)^2)+(((0)-Inputs!$C$35)^2))/(2*Inputs!$C$36^2)))+Inputs!$C$37*(0.55*SIN(2*PI()*(Scenario_Data!T49)/Inputs!$C$39)+0.35*COS(2*PI()*(0)/Inputs!$C$40)+0.2*SIN(2*PI()*((Scenario_Data!T49)+(0))/(0.5*(Inputs!$C$39+Inputs!$C$40))))+Inputs!$C$38*SIN(2*PI()*(Scenario_Data!T49)/Inputs!$C$39)*SIN(2*PI()*(0)/Inputs!$C$40)+-Inputs!$C$41*EXP(-(((0)-Inputs!$C$43)^2)/(2*Inputs!$C$44^2))*EXP(-(((Scenario_Data!T49)-Inputs!$C$42)^2)/(2*Inputs!$C$45^2))+Inputs!$C$48*(0.7*(0.45*SIN(2*PI()*(((Scenario_Data!T49)/Inputs!$C$49)+Inputs!$C$47*0.137))+0.35*COS(2*PI()*(((0)/Inputs!$C$50)+Inputs!$C$47*0.173))+0.2*SIN(2*PI()*((((Scenario_Data!T49)+(0))/(0.5*(Inputs!$C$49+Inputs!$C$50)))+Inputs!$C$47*0.097)))+0.3*(2*((SIN(((Scenario_Data!T49)*12.9898+(0)*78.233+Inputs!$C$47*37.719))*43758.5453)-INT((SIN(((Scenario_Data!T49)*12.9898+(0)*78.233+Inputs!$C$47*37.719))*43758.5453)))-1)))))/Inputs!$C$21*1000000</f>
        <v/>
      </c>
      <c r="Z49">
        <f>Scenario_Data!U49</f>
        <v/>
      </c>
      <c r="AA49">
        <f>2*((Scenario_Data!C49*1000)-(IF(OR(Inputs!$C$27=TRUE,Inputs!$C$27="TRUE",Inputs!$C$27=1),1,0)*(Inputs!$C$51*(115*EXP(-(((0)-25)^2)/(4.5^2))+70*EXP(-(((0)+38)^2)/(7^2))*(0.55+0.45*SIN(2*PI()*(Scenario_Data!U49)/45))+24*SIN(2*PI()*(0)/9+(Scenario_Data!U49)/18)*EXP(-(((0)+5)^2)/(22^2))+18*SIN(2*PI()*(Scenario_Data!U49)/70))+Inputs!$C$28*EXP(-(((Scenario_Data!U49)-Inputs!$C$29)^2)/(2*Inputs!$C$31^2))*EXP(-(((0)-Inputs!$C$30)^2)/(2*Inputs!$C$32^2))+-Inputs!$C$33*EXP(-(((((Scenario_Data!U49)-Inputs!$C$34)^2)+(((0)-Inputs!$C$35)^2))/(2*Inputs!$C$36^2)))+Inputs!$C$37*(0.55*SIN(2*PI()*(Scenario_Data!U49)/Inputs!$C$39)+0.35*COS(2*PI()*(0)/Inputs!$C$40)+0.2*SIN(2*PI()*((Scenario_Data!U49)+(0))/(0.5*(Inputs!$C$39+Inputs!$C$40))))+Inputs!$C$38*SIN(2*PI()*(Scenario_Data!U49)/Inputs!$C$39)*SIN(2*PI()*(0)/Inputs!$C$40)+-Inputs!$C$41*EXP(-(((0)-Inputs!$C$43)^2)/(2*Inputs!$C$44^2))*EXP(-(((Scenario_Data!U49)-Inputs!$C$42)^2)/(2*Inputs!$C$45^2))+Inputs!$C$48*(0.7*(0.45*SIN(2*PI()*(((Scenario_Data!U49)/Inputs!$C$49)+Inputs!$C$47*0.137))+0.35*COS(2*PI()*(((0)/Inputs!$C$50)+Inputs!$C$47*0.173))+0.2*SIN(2*PI()*((((Scenario_Data!U49)+(0))/(0.5*(Inputs!$C$49+Inputs!$C$50)))+Inputs!$C$47*0.097)))+0.3*(2*((SIN(((Scenario_Data!U49)*12.9898+(0)*78.233+Inputs!$C$47*37.719))*43758.5453)-INT((SIN(((Scenario_Data!U49)*12.9898+(0)*78.233+Inputs!$C$47*37.719))*43758.5453)))-1)))))/Inputs!$C$21*1000000</f>
        <v/>
      </c>
      <c r="AB49">
        <f>Scenario_Data!V49</f>
        <v/>
      </c>
      <c r="AC49">
        <f>2*((Scenario_Data!D49*1000)-(IF(OR(Inputs!$C$27=TRUE,Inputs!$C$27="TRUE",Inputs!$C$27=1),1,0)*(Inputs!$C$51*(115*EXP(-(((0)-25)^2)/(4.5^2))+70*EXP(-(((0)+38)^2)/(7^2))*(0.55+0.45*SIN(2*PI()*(Scenario_Data!V49)/45))+24*SIN(2*PI()*(0)/9+(Scenario_Data!V49)/18)*EXP(-(((0)+5)^2)/(22^2))+18*SIN(2*PI()*(Scenario_Data!V49)/70))+Inputs!$C$28*EXP(-(((Scenario_Data!V49)-Inputs!$C$29)^2)/(2*Inputs!$C$31^2))*EXP(-(((0)-Inputs!$C$30)^2)/(2*Inputs!$C$32^2))+-Inputs!$C$33*EXP(-(((((Scenario_Data!V49)-Inputs!$C$34)^2)+(((0)-Inputs!$C$35)^2))/(2*Inputs!$C$36^2)))+Inputs!$C$37*(0.55*SIN(2*PI()*(Scenario_Data!V49)/Inputs!$C$39)+0.35*COS(2*PI()*(0)/Inputs!$C$40)+0.2*SIN(2*PI()*((Scenario_Data!V49)+(0))/(0.5*(Inputs!$C$39+Inputs!$C$40))))+Inputs!$C$38*SIN(2*PI()*(Scenario_Data!V49)/Inputs!$C$39)*SIN(2*PI()*(0)/Inputs!$C$40)+-Inputs!$C$41*EXP(-(((0)-Inputs!$C$43)^2)/(2*Inputs!$C$44^2))*EXP(-(((Scenario_Data!V49)-Inputs!$C$42)^2)/(2*Inputs!$C$45^2))+Inputs!$C$48*(0.7*(0.45*SIN(2*PI()*(((Scenario_Data!V49)/Inputs!$C$49)+Inputs!$C$47*0.137))+0.35*COS(2*PI()*(((0)/Inputs!$C$50)+Inputs!$C$47*0.173))+0.2*SIN(2*PI()*((((Scenario_Data!V49)+(0))/(0.5*(Inputs!$C$49+Inputs!$C$50)))+Inputs!$C$47*0.097)))+0.3*(2*((SIN(((Scenario_Data!V49)*12.9898+(0)*78.233+Inputs!$C$47*37.719))*43758.5453)-INT((SIN(((Scenario_Data!V49)*12.9898+(0)*78.233+Inputs!$C$47*37.719))*43758.5453)))-1)))))/Inputs!$C$21*1000000</f>
        <v/>
      </c>
      <c r="AD49">
        <f>Scenario_Data!W49</f>
        <v/>
      </c>
      <c r="AE49">
        <f>2*((Scenario_Data!E49*1000)-(IF(OR(Inputs!$C$27=TRUE,Inputs!$C$27="TRUE",Inputs!$C$27=1),1,0)*(Inputs!$C$51*(115*EXP(-(((0)-25)^2)/(4.5^2))+70*EXP(-(((0)+38)^2)/(7^2))*(0.55+0.45*SIN(2*PI()*(Scenario_Data!W49)/45))+24*SIN(2*PI()*(0)/9+(Scenario_Data!W49)/18)*EXP(-(((0)+5)^2)/(22^2))+18*SIN(2*PI()*(Scenario_Data!W49)/70))+Inputs!$C$28*EXP(-(((Scenario_Data!W49)-Inputs!$C$29)^2)/(2*Inputs!$C$31^2))*EXP(-(((0)-Inputs!$C$30)^2)/(2*Inputs!$C$32^2))+-Inputs!$C$33*EXP(-(((((Scenario_Data!W49)-Inputs!$C$34)^2)+(((0)-Inputs!$C$35)^2))/(2*Inputs!$C$36^2)))+Inputs!$C$37*(0.55*SIN(2*PI()*(Scenario_Data!W49)/Inputs!$C$39)+0.35*COS(2*PI()*(0)/Inputs!$C$40)+0.2*SIN(2*PI()*((Scenario_Data!W49)+(0))/(0.5*(Inputs!$C$39+Inputs!$C$40))))+Inputs!$C$38*SIN(2*PI()*(Scenario_Data!W49)/Inputs!$C$39)*SIN(2*PI()*(0)/Inputs!$C$40)+-Inputs!$C$41*EXP(-(((0)-Inputs!$C$43)^2)/(2*Inputs!$C$44^2))*EXP(-(((Scenario_Data!W49)-Inputs!$C$42)^2)/(2*Inputs!$C$45^2))+Inputs!$C$48*(0.7*(0.45*SIN(2*PI()*(((Scenario_Data!W49)/Inputs!$C$49)+Inputs!$C$47*0.137))+0.35*COS(2*PI()*(((0)/Inputs!$C$50)+Inputs!$C$47*0.173))+0.2*SIN(2*PI()*((((Scenario_Data!W49)+(0))/(0.5*(Inputs!$C$49+Inputs!$C$50)))+Inputs!$C$47*0.097)))+0.3*(2*((SIN(((Scenario_Data!W49)*12.9898+(0)*78.233+Inputs!$C$47*37.719))*43758.5453)-INT((SIN(((Scenario_Data!W49)*12.9898+(0)*78.233+Inputs!$C$47*37.719))*43758.5453)))-1)))))/Inputs!$C$21*1000000</f>
        <v/>
      </c>
      <c r="AG49">
        <f>Scenario_Data!T49</f>
        <v/>
      </c>
      <c r="AH49">
        <f>2*(SQRT((Inputs!$C$52+(Scenario_Data!B49))^2+Inputs!$C$52^2-2*(Inputs!$C$52+(Scenario_Data!B49))*Inputs!$C$52*COS(SQRT((Scenario_Data!T49)^2+Inputs!$C$6^2)/Inputs!$C$52))*1000)/Inputs!$C$21*1000000</f>
        <v/>
      </c>
      <c r="AI49">
        <f>Scenario_Data!U49</f>
        <v/>
      </c>
      <c r="AJ49">
        <f>2*(SQRT((Inputs!$C$52+(Scenario_Data!C49))^2+Inputs!$C$52^2-2*(Inputs!$C$52+(Scenario_Data!C49))*Inputs!$C$52*COS(SQRT((Scenario_Data!U49)^2+Inputs!$C$6^2)/Inputs!$C$52))*1000)/Inputs!$C$21*1000000</f>
        <v/>
      </c>
      <c r="AK49">
        <f>Scenario_Data!V49</f>
        <v/>
      </c>
      <c r="AL49">
        <f>2*(SQRT((Inputs!$C$52+(Scenario_Data!D49))^2+Inputs!$C$52^2-2*(Inputs!$C$52+(Scenario_Data!D49))*Inputs!$C$52*COS(SQRT((Scenario_Data!V49)^2+Inputs!$C$6^2)/Inputs!$C$52))*1000)/Inputs!$C$21*1000000</f>
        <v/>
      </c>
      <c r="AM49">
        <f>Scenario_Data!W49</f>
        <v/>
      </c>
      <c r="AN49">
        <f>2*(SQRT((Inputs!$C$52+(Scenario_Data!E49))^2+Inputs!$C$52^2-2*(Inputs!$C$52+(Scenario_Data!E49))*Inputs!$C$52*COS(SQRT((Scenario_Data!W49)^2+Inputs!$C$6^2)/Inputs!$C$52))*1000)/Inputs!$C$21*1000000</f>
        <v/>
      </c>
      <c r="AP49">
        <f>Scenario_Data!T49</f>
        <v/>
      </c>
      <c r="AQ49">
        <f>2*(SQRT((Inputs!$C$52+(Scenario_Data!B49))^2+(Inputs!$C$52+((IF(OR(Inputs!$C$27=TRUE,Inputs!$C$27="TRUE",Inputs!$C$27=1),1,0)*(Inputs!$C$51*(115*EXP(-(((Inputs!$C$6)-25)^2)/(4.5^2))+70*EXP(-(((Inputs!$C$6)+38)^2)/(7^2))*(0.55+0.45*SIN(2*PI()*(Scenario_Data!T49)/45))+24*SIN(2*PI()*(Inputs!$C$6)/9+(Scenario_Data!T49)/18)*EXP(-(((Inputs!$C$6)+5)^2)/(22^2))+18*SIN(2*PI()*(Scenario_Data!T49)/70))+Inputs!$C$28*EXP(-(((Scenario_Data!T49)-Inputs!$C$29)^2)/(2*Inputs!$C$31^2))*EXP(-(((Inputs!$C$6)-Inputs!$C$30)^2)/(2*Inputs!$C$32^2))+-Inputs!$C$33*EXP(-(((((Scenario_Data!T49)-Inputs!$C$34)^2)+(((Inputs!$C$6)-Inputs!$C$35)^2))/(2*Inputs!$C$36^2)))+Inputs!$C$37*(0.55*SIN(2*PI()*(Scenario_Data!T49)/Inputs!$C$39)+0.35*COS(2*PI()*(Inputs!$C$6)/Inputs!$C$40)+0.2*SIN(2*PI()*((Scenario_Data!T49)+(Inputs!$C$6))/(0.5*(Inputs!$C$39+Inputs!$C$40))))+Inputs!$C$38*SIN(2*PI()*(Scenario_Data!T49)/Inputs!$C$39)*SIN(2*PI()*(Inputs!$C$6)/Inputs!$C$40)+-Inputs!$C$41*EXP(-(((Inputs!$C$6)-Inputs!$C$43)^2)/(2*Inputs!$C$44^2))*EXP(-(((Scenario_Data!T49)-Inputs!$C$42)^2)/(2*Inputs!$C$45^2))+Inputs!$C$48*(0.7*(0.45*SIN(2*PI()*(((Scenario_Data!T49)/Inputs!$C$49)+Inputs!$C$47*0.137))+0.35*COS(2*PI()*(((Inputs!$C$6)/Inputs!$C$50)+Inputs!$C$47*0.173))+0.2*SIN(2*PI()*((((Scenario_Data!T49)+(Inputs!$C$6))/(0.5*(Inputs!$C$49+Inputs!$C$50)))+Inputs!$C$47*0.097)))+0.3*(2*((SIN(((Scenario_Data!T49)*12.9898+(Inputs!$C$6)*78.233+Inputs!$C$47*37.719))*43758.5453)-INT((SIN(((Scenario_Data!T49)*12.9898+(Inputs!$C$6)*78.233+Inputs!$C$47*37.719))*43758.5453)))-1))))/1000))^2-2*(Inputs!$C$52+(Scenario_Data!B49))*(Inputs!$C$52+((IF(OR(Inputs!$C$27=TRUE,Inputs!$C$27="TRUE",Inputs!$C$27=1),1,0)*(Inputs!$C$51*(115*EXP(-(((Inputs!$C$6)-25)^2)/(4.5^2))+70*EXP(-(((Inputs!$C$6)+38)^2)/(7^2))*(0.55+0.45*SIN(2*PI()*(Scenario_Data!T49)/45))+24*SIN(2*PI()*(Inputs!$C$6)/9+(Scenario_Data!T49)/18)*EXP(-(((Inputs!$C$6)+5)^2)/(22^2))+18*SIN(2*PI()*(Scenario_Data!T49)/70))+Inputs!$C$28*EXP(-(((Scenario_Data!T49)-Inputs!$C$29)^2)/(2*Inputs!$C$31^2))*EXP(-(((Inputs!$C$6)-Inputs!$C$30)^2)/(2*Inputs!$C$32^2))+-Inputs!$C$33*EXP(-(((((Scenario_Data!T49)-Inputs!$C$34)^2)+(((Inputs!$C$6)-Inputs!$C$35)^2))/(2*Inputs!$C$36^2)))+Inputs!$C$37*(0.55*SIN(2*PI()*(Scenario_Data!T49)/Inputs!$C$39)+0.35*COS(2*PI()*(Inputs!$C$6)/Inputs!$C$40)+0.2*SIN(2*PI()*((Scenario_Data!T49)+(Inputs!$C$6))/(0.5*(Inputs!$C$39+Inputs!$C$40))))+Inputs!$C$38*SIN(2*PI()*(Scenario_Data!T49)/Inputs!$C$39)*SIN(2*PI()*(Inputs!$C$6)/Inputs!$C$40)+-Inputs!$C$41*EXP(-(((Inputs!$C$6)-Inputs!$C$43)^2)/(2*Inputs!$C$44^2))*EXP(-(((Scenario_Data!T49)-Inputs!$C$42)^2)/(2*Inputs!$C$45^2))+Inputs!$C$48*(0.7*(0.45*SIN(2*PI()*(((Scenario_Data!T49)/Inputs!$C$49)+Inputs!$C$47*0.137))+0.35*COS(2*PI()*(((Inputs!$C$6)/Inputs!$C$50)+Inputs!$C$47*0.173))+0.2*SIN(2*PI()*((((Scenario_Data!T49)+(Inputs!$C$6))/(0.5*(Inputs!$C$49+Inputs!$C$50)))+Inputs!$C$47*0.097)))+0.3*(2*((SIN(((Scenario_Data!T49)*12.9898+(Inputs!$C$6)*78.233+Inputs!$C$47*37.719))*43758.5453)-INT((SIN(((Scenario_Data!T49)*12.9898+(Inputs!$C$6)*78.233+Inputs!$C$47*37.719))*43758.5453)))-1))))/1000))*COS(SQRT((Scenario_Data!T49)^2+Inputs!$C$6^2)/Inputs!$C$52))*1000)/Inputs!$C$21*1000000</f>
        <v/>
      </c>
      <c r="AR49">
        <f>Scenario_Data!U49</f>
        <v/>
      </c>
      <c r="AS49">
        <f>2*(SQRT((Inputs!$C$52+(Scenario_Data!C49))^2+(Inputs!$C$52+((IF(OR(Inputs!$C$27=TRUE,Inputs!$C$27="TRUE",Inputs!$C$27=1),1,0)*(Inputs!$C$51*(115*EXP(-(((Inputs!$C$6)-25)^2)/(4.5^2))+70*EXP(-(((Inputs!$C$6)+38)^2)/(7^2))*(0.55+0.45*SIN(2*PI()*(Scenario_Data!U49)/45))+24*SIN(2*PI()*(Inputs!$C$6)/9+(Scenario_Data!U49)/18)*EXP(-(((Inputs!$C$6)+5)^2)/(22^2))+18*SIN(2*PI()*(Scenario_Data!U49)/70))+Inputs!$C$28*EXP(-(((Scenario_Data!U49)-Inputs!$C$29)^2)/(2*Inputs!$C$31^2))*EXP(-(((Inputs!$C$6)-Inputs!$C$30)^2)/(2*Inputs!$C$32^2))+-Inputs!$C$33*EXP(-(((((Scenario_Data!U49)-Inputs!$C$34)^2)+(((Inputs!$C$6)-Inputs!$C$35)^2))/(2*Inputs!$C$36^2)))+Inputs!$C$37*(0.55*SIN(2*PI()*(Scenario_Data!U49)/Inputs!$C$39)+0.35*COS(2*PI()*(Inputs!$C$6)/Inputs!$C$40)+0.2*SIN(2*PI()*((Scenario_Data!U49)+(Inputs!$C$6))/(0.5*(Inputs!$C$39+Inputs!$C$40))))+Inputs!$C$38*SIN(2*PI()*(Scenario_Data!U49)/Inputs!$C$39)*SIN(2*PI()*(Inputs!$C$6)/Inputs!$C$40)+-Inputs!$C$41*EXP(-(((Inputs!$C$6)-Inputs!$C$43)^2)/(2*Inputs!$C$44^2))*EXP(-(((Scenario_Data!U49)-Inputs!$C$42)^2)/(2*Inputs!$C$45^2))+Inputs!$C$48*(0.7*(0.45*SIN(2*PI()*(((Scenario_Data!U49)/Inputs!$C$49)+Inputs!$C$47*0.137))+0.35*COS(2*PI()*(((Inputs!$C$6)/Inputs!$C$50)+Inputs!$C$47*0.173))+0.2*SIN(2*PI()*((((Scenario_Data!U49)+(Inputs!$C$6))/(0.5*(Inputs!$C$49+Inputs!$C$50)))+Inputs!$C$47*0.097)))+0.3*(2*((SIN(((Scenario_Data!U49)*12.9898+(Inputs!$C$6)*78.233+Inputs!$C$47*37.719))*43758.5453)-INT((SIN(((Scenario_Data!U49)*12.9898+(Inputs!$C$6)*78.233+Inputs!$C$47*37.719))*43758.5453)))-1))))/1000))^2-2*(Inputs!$C$52+(Scenario_Data!C49))*(Inputs!$C$52+((IF(OR(Inputs!$C$27=TRUE,Inputs!$C$27="TRUE",Inputs!$C$27=1),1,0)*(Inputs!$C$51*(115*EXP(-(((Inputs!$C$6)-25)^2)/(4.5^2))+70*EXP(-(((Inputs!$C$6)+38)^2)/(7^2))*(0.55+0.45*SIN(2*PI()*(Scenario_Data!U49)/45))+24*SIN(2*PI()*(Inputs!$C$6)/9+(Scenario_Data!U49)/18)*EXP(-(((Inputs!$C$6)+5)^2)/(22^2))+18*SIN(2*PI()*(Scenario_Data!U49)/70))+Inputs!$C$28*EXP(-(((Scenario_Data!U49)-Inputs!$C$29)^2)/(2*Inputs!$C$31^2))*EXP(-(((Inputs!$C$6)-Inputs!$C$30)^2)/(2*Inputs!$C$32^2))+-Inputs!$C$33*EXP(-(((((Scenario_Data!U49)-Inputs!$C$34)^2)+(((Inputs!$C$6)-Inputs!$C$35)^2))/(2*Inputs!$C$36^2)))+Inputs!$C$37*(0.55*SIN(2*PI()*(Scenario_Data!U49)/Inputs!$C$39)+0.35*COS(2*PI()*(Inputs!$C$6)/Inputs!$C$40)+0.2*SIN(2*PI()*((Scenario_Data!U49)+(Inputs!$C$6))/(0.5*(Inputs!$C$39+Inputs!$C$40))))+Inputs!$C$38*SIN(2*PI()*(Scenario_Data!U49)/Inputs!$C$39)*SIN(2*PI()*(Inputs!$C$6)/Inputs!$C$40)+-Inputs!$C$41*EXP(-(((Inputs!$C$6)-Inputs!$C$43)^2)/(2*Inputs!$C$44^2))*EXP(-(((Scenario_Data!U49)-Inputs!$C$42)^2)/(2*Inputs!$C$45^2))+Inputs!$C$48*(0.7*(0.45*SIN(2*PI()*(((Scenario_Data!U49)/Inputs!$C$49)+Inputs!$C$47*0.137))+0.35*COS(2*PI()*(((Inputs!$C$6)/Inputs!$C$50)+Inputs!$C$47*0.173))+0.2*SIN(2*PI()*((((Scenario_Data!U49)+(Inputs!$C$6))/(0.5*(Inputs!$C$49+Inputs!$C$50)))+Inputs!$C$47*0.097)))+0.3*(2*((SIN(((Scenario_Data!U49)*12.9898+(Inputs!$C$6)*78.233+Inputs!$C$47*37.719))*43758.5453)-INT((SIN(((Scenario_Data!U49)*12.9898+(Inputs!$C$6)*78.233+Inputs!$C$47*37.719))*43758.5453)))-1))))/1000))*COS(SQRT((Scenario_Data!U49)^2+Inputs!$C$6^2)/Inputs!$C$52))*1000)/Inputs!$C$21*1000000</f>
        <v/>
      </c>
      <c r="AT49">
        <f>Scenario_Data!V49</f>
        <v/>
      </c>
      <c r="AU49">
        <f>2*(SQRT((Inputs!$C$52+(Scenario_Data!D49))^2+(Inputs!$C$52+((IF(OR(Inputs!$C$27=TRUE,Inputs!$C$27="TRUE",Inputs!$C$27=1),1,0)*(Inputs!$C$51*(115*EXP(-(((Inputs!$C$6)-25)^2)/(4.5^2))+70*EXP(-(((Inputs!$C$6)+38)^2)/(7^2))*(0.55+0.45*SIN(2*PI()*(Scenario_Data!V49)/45))+24*SIN(2*PI()*(Inputs!$C$6)/9+(Scenario_Data!V49)/18)*EXP(-(((Inputs!$C$6)+5)^2)/(22^2))+18*SIN(2*PI()*(Scenario_Data!V49)/70))+Inputs!$C$28*EXP(-(((Scenario_Data!V49)-Inputs!$C$29)^2)/(2*Inputs!$C$31^2))*EXP(-(((Inputs!$C$6)-Inputs!$C$30)^2)/(2*Inputs!$C$32^2))+-Inputs!$C$33*EXP(-(((((Scenario_Data!V49)-Inputs!$C$34)^2)+(((Inputs!$C$6)-Inputs!$C$35)^2))/(2*Inputs!$C$36^2)))+Inputs!$C$37*(0.55*SIN(2*PI()*(Scenario_Data!V49)/Inputs!$C$39)+0.35*COS(2*PI()*(Inputs!$C$6)/Inputs!$C$40)+0.2*SIN(2*PI()*((Scenario_Data!V49)+(Inputs!$C$6))/(0.5*(Inputs!$C$39+Inputs!$C$40))))+Inputs!$C$38*SIN(2*PI()*(Scenario_Data!V49)/Inputs!$C$39)*SIN(2*PI()*(Inputs!$C$6)/Inputs!$C$40)+-Inputs!$C$41*EXP(-(((Inputs!$C$6)-Inputs!$C$43)^2)/(2*Inputs!$C$44^2))*EXP(-(((Scenario_Data!V49)-Inputs!$C$42)^2)/(2*Inputs!$C$45^2))+Inputs!$C$48*(0.7*(0.45*SIN(2*PI()*(((Scenario_Data!V49)/Inputs!$C$49)+Inputs!$C$47*0.137))+0.35*COS(2*PI()*(((Inputs!$C$6)/Inputs!$C$50)+Inputs!$C$47*0.173))+0.2*SIN(2*PI()*((((Scenario_Data!V49)+(Inputs!$C$6))/(0.5*(Inputs!$C$49+Inputs!$C$50)))+Inputs!$C$47*0.097)))+0.3*(2*((SIN(((Scenario_Data!V49)*12.9898+(Inputs!$C$6)*78.233+Inputs!$C$47*37.719))*43758.5453)-INT((SIN(((Scenario_Data!V49)*12.9898+(Inputs!$C$6)*78.233+Inputs!$C$47*37.719))*43758.5453)))-1))))/1000))^2-2*(Inputs!$C$52+(Scenario_Data!D49))*(Inputs!$C$52+((IF(OR(Inputs!$C$27=TRUE,Inputs!$C$27="TRUE",Inputs!$C$27=1),1,0)*(Inputs!$C$51*(115*EXP(-(((Inputs!$C$6)-25)^2)/(4.5^2))+70*EXP(-(((Inputs!$C$6)+38)^2)/(7^2))*(0.55+0.45*SIN(2*PI()*(Scenario_Data!V49)/45))+24*SIN(2*PI()*(Inputs!$C$6)/9+(Scenario_Data!V49)/18)*EXP(-(((Inputs!$C$6)+5)^2)/(22^2))+18*SIN(2*PI()*(Scenario_Data!V49)/70))+Inputs!$C$28*EXP(-(((Scenario_Data!V49)-Inputs!$C$29)^2)/(2*Inputs!$C$31^2))*EXP(-(((Inputs!$C$6)-Inputs!$C$30)^2)/(2*Inputs!$C$32^2))+-Inputs!$C$33*EXP(-(((((Scenario_Data!V49)-Inputs!$C$34)^2)+(((Inputs!$C$6)-Inputs!$C$35)^2))/(2*Inputs!$C$36^2)))+Inputs!$C$37*(0.55*SIN(2*PI()*(Scenario_Data!V49)/Inputs!$C$39)+0.35*COS(2*PI()*(Inputs!$C$6)/Inputs!$C$40)+0.2*SIN(2*PI()*((Scenario_Data!V49)+(Inputs!$C$6))/(0.5*(Inputs!$C$39+Inputs!$C$40))))+Inputs!$C$38*SIN(2*PI()*(Scenario_Data!V49)/Inputs!$C$39)*SIN(2*PI()*(Inputs!$C$6)/Inputs!$C$40)+-Inputs!$C$41*EXP(-(((Inputs!$C$6)-Inputs!$C$43)^2)/(2*Inputs!$C$44^2))*EXP(-(((Scenario_Data!V49)-Inputs!$C$42)^2)/(2*Inputs!$C$45^2))+Inputs!$C$48*(0.7*(0.45*SIN(2*PI()*(((Scenario_Data!V49)/Inputs!$C$49)+Inputs!$C$47*0.137))+0.35*COS(2*PI()*(((Inputs!$C$6)/Inputs!$C$50)+Inputs!$C$47*0.173))+0.2*SIN(2*PI()*((((Scenario_Data!V49)+(Inputs!$C$6))/(0.5*(Inputs!$C$49+Inputs!$C$50)))+Inputs!$C$47*0.097)))+0.3*(2*((SIN(((Scenario_Data!V49)*12.9898+(Inputs!$C$6)*78.233+Inputs!$C$47*37.719))*43758.5453)-INT((SIN(((Scenario_Data!V49)*12.9898+(Inputs!$C$6)*78.233+Inputs!$C$47*37.719))*43758.5453)))-1))))/1000))*COS(SQRT((Scenario_Data!V49)^2+Inputs!$C$6^2)/Inputs!$C$52))*1000)/Inputs!$C$21*1000000</f>
        <v/>
      </c>
      <c r="AV49">
        <f>Scenario_Data!W49</f>
        <v/>
      </c>
      <c r="AW49">
        <f>2*(SQRT((Inputs!$C$52+(Scenario_Data!E49))^2+(Inputs!$C$52+((IF(OR(Inputs!$C$27=TRUE,Inputs!$C$27="TRUE",Inputs!$C$27=1),1,0)*(Inputs!$C$51*(115*EXP(-(((Inputs!$C$6)-25)^2)/(4.5^2))+70*EXP(-(((Inputs!$C$6)+38)^2)/(7^2))*(0.55+0.45*SIN(2*PI()*(Scenario_Data!W49)/45))+24*SIN(2*PI()*(Inputs!$C$6)/9+(Scenario_Data!W49)/18)*EXP(-(((Inputs!$C$6)+5)^2)/(22^2))+18*SIN(2*PI()*(Scenario_Data!W49)/70))+Inputs!$C$28*EXP(-(((Scenario_Data!W49)-Inputs!$C$29)^2)/(2*Inputs!$C$31^2))*EXP(-(((Inputs!$C$6)-Inputs!$C$30)^2)/(2*Inputs!$C$32^2))+-Inputs!$C$33*EXP(-(((((Scenario_Data!W49)-Inputs!$C$34)^2)+(((Inputs!$C$6)-Inputs!$C$35)^2))/(2*Inputs!$C$36^2)))+Inputs!$C$37*(0.55*SIN(2*PI()*(Scenario_Data!W49)/Inputs!$C$39)+0.35*COS(2*PI()*(Inputs!$C$6)/Inputs!$C$40)+0.2*SIN(2*PI()*((Scenario_Data!W49)+(Inputs!$C$6))/(0.5*(Inputs!$C$39+Inputs!$C$40))))+Inputs!$C$38*SIN(2*PI()*(Scenario_Data!W49)/Inputs!$C$39)*SIN(2*PI()*(Inputs!$C$6)/Inputs!$C$40)+-Inputs!$C$41*EXP(-(((Inputs!$C$6)-Inputs!$C$43)^2)/(2*Inputs!$C$44^2))*EXP(-(((Scenario_Data!W49)-Inputs!$C$42)^2)/(2*Inputs!$C$45^2))+Inputs!$C$48*(0.7*(0.45*SIN(2*PI()*(((Scenario_Data!W49)/Inputs!$C$49)+Inputs!$C$47*0.137))+0.35*COS(2*PI()*(((Inputs!$C$6)/Inputs!$C$50)+Inputs!$C$47*0.173))+0.2*SIN(2*PI()*((((Scenario_Data!W49)+(Inputs!$C$6))/(0.5*(Inputs!$C$49+Inputs!$C$50)))+Inputs!$C$47*0.097)))+0.3*(2*((SIN(((Scenario_Data!W49)*12.9898+(Inputs!$C$6)*78.233+Inputs!$C$47*37.719))*43758.5453)-INT((SIN(((Scenario_Data!W49)*12.9898+(Inputs!$C$6)*78.233+Inputs!$C$47*37.719))*43758.5453)))-1))))/1000))^2-2*(Inputs!$C$52+(Scenario_Data!E49))*(Inputs!$C$52+((IF(OR(Inputs!$C$27=TRUE,Inputs!$C$27="TRUE",Inputs!$C$27=1),1,0)*(Inputs!$C$51*(115*EXP(-(((Inputs!$C$6)-25)^2)/(4.5^2))+70*EXP(-(((Inputs!$C$6)+38)^2)/(7^2))*(0.55+0.45*SIN(2*PI()*(Scenario_Data!W49)/45))+24*SIN(2*PI()*(Inputs!$C$6)/9+(Scenario_Data!W49)/18)*EXP(-(((Inputs!$C$6)+5)^2)/(22^2))+18*SIN(2*PI()*(Scenario_Data!W49)/70))+Inputs!$C$28*EXP(-(((Scenario_Data!W49)-Inputs!$C$29)^2)/(2*Inputs!$C$31^2))*EXP(-(((Inputs!$C$6)-Inputs!$C$30)^2)/(2*Inputs!$C$32^2))+-Inputs!$C$33*EXP(-(((((Scenario_Data!W49)-Inputs!$C$34)^2)+(((Inputs!$C$6)-Inputs!$C$35)^2))/(2*Inputs!$C$36^2)))+Inputs!$C$37*(0.55*SIN(2*PI()*(Scenario_Data!W49)/Inputs!$C$39)+0.35*COS(2*PI()*(Inputs!$C$6)/Inputs!$C$40)+0.2*SIN(2*PI()*((Scenario_Data!W49)+(Inputs!$C$6))/(0.5*(Inputs!$C$39+Inputs!$C$40))))+Inputs!$C$38*SIN(2*PI()*(Scenario_Data!W49)/Inputs!$C$39)*SIN(2*PI()*(Inputs!$C$6)/Inputs!$C$40)+-Inputs!$C$41*EXP(-(((Inputs!$C$6)-Inputs!$C$43)^2)/(2*Inputs!$C$44^2))*EXP(-(((Scenario_Data!W49)-Inputs!$C$42)^2)/(2*Inputs!$C$45^2))+Inputs!$C$48*(0.7*(0.45*SIN(2*PI()*(((Scenario_Data!W49)/Inputs!$C$49)+Inputs!$C$47*0.137))+0.35*COS(2*PI()*(((Inputs!$C$6)/Inputs!$C$50)+Inputs!$C$47*0.173))+0.2*SIN(2*PI()*((((Scenario_Data!W49)+(Inputs!$C$6))/(0.5*(Inputs!$C$49+Inputs!$C$50)))+Inputs!$C$47*0.097)))+0.3*(2*((SIN(((Scenario_Data!W49)*12.9898+(Inputs!$C$6)*78.233+Inputs!$C$47*37.719))*43758.5453)-INT((SIN(((Scenario_Data!W49)*12.9898+(Inputs!$C$6)*78.233+Inputs!$C$47*37.719))*43758.5453)))-1))))/1000))*COS(SQRT((Scenario_Data!W49)^2+Inputs!$C$6^2)/Inputs!$C$52))*1000)/Inputs!$C$21*1000000</f>
        <v/>
      </c>
    </row>
    <row r="50">
      <c r="A50">
        <f>Chart_Data!K50</f>
        <v/>
      </c>
      <c r="B50">
        <f>Chart_Data!N50-Chart_Data!L50</f>
        <v/>
      </c>
      <c r="D50">
        <f>Chart_Data!G50</f>
        <v/>
      </c>
      <c r="E50">
        <f>Chart_Data!H50</f>
        <v/>
      </c>
      <c r="F50">
        <f>Chart_Data!I50</f>
        <v/>
      </c>
      <c r="G50">
        <f>Chart_Data!J50</f>
        <v/>
      </c>
      <c r="I50">
        <f>Scenario_Data!A50</f>
        <v/>
      </c>
      <c r="J50">
        <f>Scenario_Data!H50-(((SQRT((Inputs!$C$52+(Inputs!$H$6))^2+Inputs!$C$52^2-2*(Inputs!$C$52+(Inputs!$H$6))*Inputs!$C$52*COS(SQRT((Scenario_Data!T50)^2+Inputs!$C$6^2)/Inputs!$C$52)))-(Inputs!$H$6))*1000/Inputs!$C$12)</f>
        <v/>
      </c>
      <c r="K50">
        <f>Scenario_Data!I50-(((SQRT((Inputs!$C$52+(Inputs!$H$7))^2+Inputs!$C$52^2-2*(Inputs!$C$52+(Inputs!$H$7))*Inputs!$C$52*COS(SQRT((Scenario_Data!U50)^2+Inputs!$C$6^2)/Inputs!$C$52)))-(Inputs!$H$7))*1000/Inputs!$C$12)</f>
        <v/>
      </c>
      <c r="L50">
        <f>Scenario_Data!J50-(((SQRT((Inputs!$C$52+(Inputs!$H$8))^2+Inputs!$C$52^2-2*(Inputs!$C$52+(Inputs!$H$8))*Inputs!$C$52*COS(SQRT((Scenario_Data!V50)^2+Inputs!$C$6^2)/Inputs!$C$52)))-(Inputs!$H$8))*1000/Inputs!$C$12)</f>
        <v/>
      </c>
      <c r="M50">
        <f>Scenario_Data!K50-(((SQRT((Inputs!$C$52+(Inputs!$H$9))^2+Inputs!$C$52^2-2*(Inputs!$C$52+(Inputs!$H$9))*Inputs!$C$52*COS(SQRT((Scenario_Data!W50)^2+Inputs!$C$6^2)/Inputs!$C$52)))-(Inputs!$H$9))*1000/Inputs!$C$12)</f>
        <v/>
      </c>
      <c r="O50">
        <f>Scenario_Data!T50</f>
        <v/>
      </c>
      <c r="P50">
        <f>2*(Scenario_Data!B50*1000)/Inputs!$C$21*1000000</f>
        <v/>
      </c>
      <c r="Q50">
        <f>Scenario_Data!U50</f>
        <v/>
      </c>
      <c r="R50">
        <f>2*(Scenario_Data!C50*1000)/Inputs!$C$21*1000000</f>
        <v/>
      </c>
      <c r="S50">
        <f>Scenario_Data!V50</f>
        <v/>
      </c>
      <c r="T50">
        <f>2*(Scenario_Data!D50*1000)/Inputs!$C$21*1000000</f>
        <v/>
      </c>
      <c r="U50">
        <f>Scenario_Data!W50</f>
        <v/>
      </c>
      <c r="V50">
        <f>2*(Scenario_Data!E50*1000)/Inputs!$C$21*1000000</f>
        <v/>
      </c>
      <c r="X50">
        <f>Scenario_Data!T50</f>
        <v/>
      </c>
      <c r="Y50">
        <f>2*((Scenario_Data!B50*1000)-(IF(OR(Inputs!$C$27=TRUE,Inputs!$C$27="TRUE",Inputs!$C$27=1),1,0)*(Inputs!$C$51*(115*EXP(-(((0)-25)^2)/(4.5^2))+70*EXP(-(((0)+38)^2)/(7^2))*(0.55+0.45*SIN(2*PI()*(Scenario_Data!T50)/45))+24*SIN(2*PI()*(0)/9+(Scenario_Data!T50)/18)*EXP(-(((0)+5)^2)/(22^2))+18*SIN(2*PI()*(Scenario_Data!T50)/70))+Inputs!$C$28*EXP(-(((Scenario_Data!T50)-Inputs!$C$29)^2)/(2*Inputs!$C$31^2))*EXP(-(((0)-Inputs!$C$30)^2)/(2*Inputs!$C$32^2))+-Inputs!$C$33*EXP(-(((((Scenario_Data!T50)-Inputs!$C$34)^2)+(((0)-Inputs!$C$35)^2))/(2*Inputs!$C$36^2)))+Inputs!$C$37*(0.55*SIN(2*PI()*(Scenario_Data!T50)/Inputs!$C$39)+0.35*COS(2*PI()*(0)/Inputs!$C$40)+0.2*SIN(2*PI()*((Scenario_Data!T50)+(0))/(0.5*(Inputs!$C$39+Inputs!$C$40))))+Inputs!$C$38*SIN(2*PI()*(Scenario_Data!T50)/Inputs!$C$39)*SIN(2*PI()*(0)/Inputs!$C$40)+-Inputs!$C$41*EXP(-(((0)-Inputs!$C$43)^2)/(2*Inputs!$C$44^2))*EXP(-(((Scenario_Data!T50)-Inputs!$C$42)^2)/(2*Inputs!$C$45^2))+Inputs!$C$48*(0.7*(0.45*SIN(2*PI()*(((Scenario_Data!T50)/Inputs!$C$49)+Inputs!$C$47*0.137))+0.35*COS(2*PI()*(((0)/Inputs!$C$50)+Inputs!$C$47*0.173))+0.2*SIN(2*PI()*((((Scenario_Data!T50)+(0))/(0.5*(Inputs!$C$49+Inputs!$C$50)))+Inputs!$C$47*0.097)))+0.3*(2*((SIN(((Scenario_Data!T50)*12.9898+(0)*78.233+Inputs!$C$47*37.719))*43758.5453)-INT((SIN(((Scenario_Data!T50)*12.9898+(0)*78.233+Inputs!$C$47*37.719))*43758.5453)))-1)))))/Inputs!$C$21*1000000</f>
        <v/>
      </c>
      <c r="Z50">
        <f>Scenario_Data!U50</f>
        <v/>
      </c>
      <c r="AA50">
        <f>2*((Scenario_Data!C50*1000)-(IF(OR(Inputs!$C$27=TRUE,Inputs!$C$27="TRUE",Inputs!$C$27=1),1,0)*(Inputs!$C$51*(115*EXP(-(((0)-25)^2)/(4.5^2))+70*EXP(-(((0)+38)^2)/(7^2))*(0.55+0.45*SIN(2*PI()*(Scenario_Data!U50)/45))+24*SIN(2*PI()*(0)/9+(Scenario_Data!U50)/18)*EXP(-(((0)+5)^2)/(22^2))+18*SIN(2*PI()*(Scenario_Data!U50)/70))+Inputs!$C$28*EXP(-(((Scenario_Data!U50)-Inputs!$C$29)^2)/(2*Inputs!$C$31^2))*EXP(-(((0)-Inputs!$C$30)^2)/(2*Inputs!$C$32^2))+-Inputs!$C$33*EXP(-(((((Scenario_Data!U50)-Inputs!$C$34)^2)+(((0)-Inputs!$C$35)^2))/(2*Inputs!$C$36^2)))+Inputs!$C$37*(0.55*SIN(2*PI()*(Scenario_Data!U50)/Inputs!$C$39)+0.35*COS(2*PI()*(0)/Inputs!$C$40)+0.2*SIN(2*PI()*((Scenario_Data!U50)+(0))/(0.5*(Inputs!$C$39+Inputs!$C$40))))+Inputs!$C$38*SIN(2*PI()*(Scenario_Data!U50)/Inputs!$C$39)*SIN(2*PI()*(0)/Inputs!$C$40)+-Inputs!$C$41*EXP(-(((0)-Inputs!$C$43)^2)/(2*Inputs!$C$44^2))*EXP(-(((Scenario_Data!U50)-Inputs!$C$42)^2)/(2*Inputs!$C$45^2))+Inputs!$C$48*(0.7*(0.45*SIN(2*PI()*(((Scenario_Data!U50)/Inputs!$C$49)+Inputs!$C$47*0.137))+0.35*COS(2*PI()*(((0)/Inputs!$C$50)+Inputs!$C$47*0.173))+0.2*SIN(2*PI()*((((Scenario_Data!U50)+(0))/(0.5*(Inputs!$C$49+Inputs!$C$50)))+Inputs!$C$47*0.097)))+0.3*(2*((SIN(((Scenario_Data!U50)*12.9898+(0)*78.233+Inputs!$C$47*37.719))*43758.5453)-INT((SIN(((Scenario_Data!U50)*12.9898+(0)*78.233+Inputs!$C$47*37.719))*43758.5453)))-1)))))/Inputs!$C$21*1000000</f>
        <v/>
      </c>
      <c r="AB50">
        <f>Scenario_Data!V50</f>
        <v/>
      </c>
      <c r="AC50">
        <f>2*((Scenario_Data!D50*1000)-(IF(OR(Inputs!$C$27=TRUE,Inputs!$C$27="TRUE",Inputs!$C$27=1),1,0)*(Inputs!$C$51*(115*EXP(-(((0)-25)^2)/(4.5^2))+70*EXP(-(((0)+38)^2)/(7^2))*(0.55+0.45*SIN(2*PI()*(Scenario_Data!V50)/45))+24*SIN(2*PI()*(0)/9+(Scenario_Data!V50)/18)*EXP(-(((0)+5)^2)/(22^2))+18*SIN(2*PI()*(Scenario_Data!V50)/70))+Inputs!$C$28*EXP(-(((Scenario_Data!V50)-Inputs!$C$29)^2)/(2*Inputs!$C$31^2))*EXP(-(((0)-Inputs!$C$30)^2)/(2*Inputs!$C$32^2))+-Inputs!$C$33*EXP(-(((((Scenario_Data!V50)-Inputs!$C$34)^2)+(((0)-Inputs!$C$35)^2))/(2*Inputs!$C$36^2)))+Inputs!$C$37*(0.55*SIN(2*PI()*(Scenario_Data!V50)/Inputs!$C$39)+0.35*COS(2*PI()*(0)/Inputs!$C$40)+0.2*SIN(2*PI()*((Scenario_Data!V50)+(0))/(0.5*(Inputs!$C$39+Inputs!$C$40))))+Inputs!$C$38*SIN(2*PI()*(Scenario_Data!V50)/Inputs!$C$39)*SIN(2*PI()*(0)/Inputs!$C$40)+-Inputs!$C$41*EXP(-(((0)-Inputs!$C$43)^2)/(2*Inputs!$C$44^2))*EXP(-(((Scenario_Data!V50)-Inputs!$C$42)^2)/(2*Inputs!$C$45^2))+Inputs!$C$48*(0.7*(0.45*SIN(2*PI()*(((Scenario_Data!V50)/Inputs!$C$49)+Inputs!$C$47*0.137))+0.35*COS(2*PI()*(((0)/Inputs!$C$50)+Inputs!$C$47*0.173))+0.2*SIN(2*PI()*((((Scenario_Data!V50)+(0))/(0.5*(Inputs!$C$49+Inputs!$C$50)))+Inputs!$C$47*0.097)))+0.3*(2*((SIN(((Scenario_Data!V50)*12.9898+(0)*78.233+Inputs!$C$47*37.719))*43758.5453)-INT((SIN(((Scenario_Data!V50)*12.9898+(0)*78.233+Inputs!$C$47*37.719))*43758.5453)))-1)))))/Inputs!$C$21*1000000</f>
        <v/>
      </c>
      <c r="AD50">
        <f>Scenario_Data!W50</f>
        <v/>
      </c>
      <c r="AE50">
        <f>2*((Scenario_Data!E50*1000)-(IF(OR(Inputs!$C$27=TRUE,Inputs!$C$27="TRUE",Inputs!$C$27=1),1,0)*(Inputs!$C$51*(115*EXP(-(((0)-25)^2)/(4.5^2))+70*EXP(-(((0)+38)^2)/(7^2))*(0.55+0.45*SIN(2*PI()*(Scenario_Data!W50)/45))+24*SIN(2*PI()*(0)/9+(Scenario_Data!W50)/18)*EXP(-(((0)+5)^2)/(22^2))+18*SIN(2*PI()*(Scenario_Data!W50)/70))+Inputs!$C$28*EXP(-(((Scenario_Data!W50)-Inputs!$C$29)^2)/(2*Inputs!$C$31^2))*EXP(-(((0)-Inputs!$C$30)^2)/(2*Inputs!$C$32^2))+-Inputs!$C$33*EXP(-(((((Scenario_Data!W50)-Inputs!$C$34)^2)+(((0)-Inputs!$C$35)^2))/(2*Inputs!$C$36^2)))+Inputs!$C$37*(0.55*SIN(2*PI()*(Scenario_Data!W50)/Inputs!$C$39)+0.35*COS(2*PI()*(0)/Inputs!$C$40)+0.2*SIN(2*PI()*((Scenario_Data!W50)+(0))/(0.5*(Inputs!$C$39+Inputs!$C$40))))+Inputs!$C$38*SIN(2*PI()*(Scenario_Data!W50)/Inputs!$C$39)*SIN(2*PI()*(0)/Inputs!$C$40)+-Inputs!$C$41*EXP(-(((0)-Inputs!$C$43)^2)/(2*Inputs!$C$44^2))*EXP(-(((Scenario_Data!W50)-Inputs!$C$42)^2)/(2*Inputs!$C$45^2))+Inputs!$C$48*(0.7*(0.45*SIN(2*PI()*(((Scenario_Data!W50)/Inputs!$C$49)+Inputs!$C$47*0.137))+0.35*COS(2*PI()*(((0)/Inputs!$C$50)+Inputs!$C$47*0.173))+0.2*SIN(2*PI()*((((Scenario_Data!W50)+(0))/(0.5*(Inputs!$C$49+Inputs!$C$50)))+Inputs!$C$47*0.097)))+0.3*(2*((SIN(((Scenario_Data!W50)*12.9898+(0)*78.233+Inputs!$C$47*37.719))*43758.5453)-INT((SIN(((Scenario_Data!W50)*12.9898+(0)*78.233+Inputs!$C$47*37.719))*43758.5453)))-1)))))/Inputs!$C$21*1000000</f>
        <v/>
      </c>
      <c r="AG50">
        <f>Scenario_Data!T50</f>
        <v/>
      </c>
      <c r="AH50">
        <f>2*(SQRT((Inputs!$C$52+(Scenario_Data!B50))^2+Inputs!$C$52^2-2*(Inputs!$C$52+(Scenario_Data!B50))*Inputs!$C$52*COS(SQRT((Scenario_Data!T50)^2+Inputs!$C$6^2)/Inputs!$C$52))*1000)/Inputs!$C$21*1000000</f>
        <v/>
      </c>
      <c r="AI50">
        <f>Scenario_Data!U50</f>
        <v/>
      </c>
      <c r="AJ50">
        <f>2*(SQRT((Inputs!$C$52+(Scenario_Data!C50))^2+Inputs!$C$52^2-2*(Inputs!$C$52+(Scenario_Data!C50))*Inputs!$C$52*COS(SQRT((Scenario_Data!U50)^2+Inputs!$C$6^2)/Inputs!$C$52))*1000)/Inputs!$C$21*1000000</f>
        <v/>
      </c>
      <c r="AK50">
        <f>Scenario_Data!V50</f>
        <v/>
      </c>
      <c r="AL50">
        <f>2*(SQRT((Inputs!$C$52+(Scenario_Data!D50))^2+Inputs!$C$52^2-2*(Inputs!$C$52+(Scenario_Data!D50))*Inputs!$C$52*COS(SQRT((Scenario_Data!V50)^2+Inputs!$C$6^2)/Inputs!$C$52))*1000)/Inputs!$C$21*1000000</f>
        <v/>
      </c>
      <c r="AM50">
        <f>Scenario_Data!W50</f>
        <v/>
      </c>
      <c r="AN50">
        <f>2*(SQRT((Inputs!$C$52+(Scenario_Data!E50))^2+Inputs!$C$52^2-2*(Inputs!$C$52+(Scenario_Data!E50))*Inputs!$C$52*COS(SQRT((Scenario_Data!W50)^2+Inputs!$C$6^2)/Inputs!$C$52))*1000)/Inputs!$C$21*1000000</f>
        <v/>
      </c>
      <c r="AP50">
        <f>Scenario_Data!T50</f>
        <v/>
      </c>
      <c r="AQ50">
        <f>2*(SQRT((Inputs!$C$52+(Scenario_Data!B50))^2+(Inputs!$C$52+((IF(OR(Inputs!$C$27=TRUE,Inputs!$C$27="TRUE",Inputs!$C$27=1),1,0)*(Inputs!$C$51*(115*EXP(-(((Inputs!$C$6)-25)^2)/(4.5^2))+70*EXP(-(((Inputs!$C$6)+38)^2)/(7^2))*(0.55+0.45*SIN(2*PI()*(Scenario_Data!T50)/45))+24*SIN(2*PI()*(Inputs!$C$6)/9+(Scenario_Data!T50)/18)*EXP(-(((Inputs!$C$6)+5)^2)/(22^2))+18*SIN(2*PI()*(Scenario_Data!T50)/70))+Inputs!$C$28*EXP(-(((Scenario_Data!T50)-Inputs!$C$29)^2)/(2*Inputs!$C$31^2))*EXP(-(((Inputs!$C$6)-Inputs!$C$30)^2)/(2*Inputs!$C$32^2))+-Inputs!$C$33*EXP(-(((((Scenario_Data!T50)-Inputs!$C$34)^2)+(((Inputs!$C$6)-Inputs!$C$35)^2))/(2*Inputs!$C$36^2)))+Inputs!$C$37*(0.55*SIN(2*PI()*(Scenario_Data!T50)/Inputs!$C$39)+0.35*COS(2*PI()*(Inputs!$C$6)/Inputs!$C$40)+0.2*SIN(2*PI()*((Scenario_Data!T50)+(Inputs!$C$6))/(0.5*(Inputs!$C$39+Inputs!$C$40))))+Inputs!$C$38*SIN(2*PI()*(Scenario_Data!T50)/Inputs!$C$39)*SIN(2*PI()*(Inputs!$C$6)/Inputs!$C$40)+-Inputs!$C$41*EXP(-(((Inputs!$C$6)-Inputs!$C$43)^2)/(2*Inputs!$C$44^2))*EXP(-(((Scenario_Data!T50)-Inputs!$C$42)^2)/(2*Inputs!$C$45^2))+Inputs!$C$48*(0.7*(0.45*SIN(2*PI()*(((Scenario_Data!T50)/Inputs!$C$49)+Inputs!$C$47*0.137))+0.35*COS(2*PI()*(((Inputs!$C$6)/Inputs!$C$50)+Inputs!$C$47*0.173))+0.2*SIN(2*PI()*((((Scenario_Data!T50)+(Inputs!$C$6))/(0.5*(Inputs!$C$49+Inputs!$C$50)))+Inputs!$C$47*0.097)))+0.3*(2*((SIN(((Scenario_Data!T50)*12.9898+(Inputs!$C$6)*78.233+Inputs!$C$47*37.719))*43758.5453)-INT((SIN(((Scenario_Data!T50)*12.9898+(Inputs!$C$6)*78.233+Inputs!$C$47*37.719))*43758.5453)))-1))))/1000))^2-2*(Inputs!$C$52+(Scenario_Data!B50))*(Inputs!$C$52+((IF(OR(Inputs!$C$27=TRUE,Inputs!$C$27="TRUE",Inputs!$C$27=1),1,0)*(Inputs!$C$51*(115*EXP(-(((Inputs!$C$6)-25)^2)/(4.5^2))+70*EXP(-(((Inputs!$C$6)+38)^2)/(7^2))*(0.55+0.45*SIN(2*PI()*(Scenario_Data!T50)/45))+24*SIN(2*PI()*(Inputs!$C$6)/9+(Scenario_Data!T50)/18)*EXP(-(((Inputs!$C$6)+5)^2)/(22^2))+18*SIN(2*PI()*(Scenario_Data!T50)/70))+Inputs!$C$28*EXP(-(((Scenario_Data!T50)-Inputs!$C$29)^2)/(2*Inputs!$C$31^2))*EXP(-(((Inputs!$C$6)-Inputs!$C$30)^2)/(2*Inputs!$C$32^2))+-Inputs!$C$33*EXP(-(((((Scenario_Data!T50)-Inputs!$C$34)^2)+(((Inputs!$C$6)-Inputs!$C$35)^2))/(2*Inputs!$C$36^2)))+Inputs!$C$37*(0.55*SIN(2*PI()*(Scenario_Data!T50)/Inputs!$C$39)+0.35*COS(2*PI()*(Inputs!$C$6)/Inputs!$C$40)+0.2*SIN(2*PI()*((Scenario_Data!T50)+(Inputs!$C$6))/(0.5*(Inputs!$C$39+Inputs!$C$40))))+Inputs!$C$38*SIN(2*PI()*(Scenario_Data!T50)/Inputs!$C$39)*SIN(2*PI()*(Inputs!$C$6)/Inputs!$C$40)+-Inputs!$C$41*EXP(-(((Inputs!$C$6)-Inputs!$C$43)^2)/(2*Inputs!$C$44^2))*EXP(-(((Scenario_Data!T50)-Inputs!$C$42)^2)/(2*Inputs!$C$45^2))+Inputs!$C$48*(0.7*(0.45*SIN(2*PI()*(((Scenario_Data!T50)/Inputs!$C$49)+Inputs!$C$47*0.137))+0.35*COS(2*PI()*(((Inputs!$C$6)/Inputs!$C$50)+Inputs!$C$47*0.173))+0.2*SIN(2*PI()*((((Scenario_Data!T50)+(Inputs!$C$6))/(0.5*(Inputs!$C$49+Inputs!$C$50)))+Inputs!$C$47*0.097)))+0.3*(2*((SIN(((Scenario_Data!T50)*12.9898+(Inputs!$C$6)*78.233+Inputs!$C$47*37.719))*43758.5453)-INT((SIN(((Scenario_Data!T50)*12.9898+(Inputs!$C$6)*78.233+Inputs!$C$47*37.719))*43758.5453)))-1))))/1000))*COS(SQRT((Scenario_Data!T50)^2+Inputs!$C$6^2)/Inputs!$C$52))*1000)/Inputs!$C$21*1000000</f>
        <v/>
      </c>
      <c r="AR50">
        <f>Scenario_Data!U50</f>
        <v/>
      </c>
      <c r="AS50">
        <f>2*(SQRT((Inputs!$C$52+(Scenario_Data!C50))^2+(Inputs!$C$52+((IF(OR(Inputs!$C$27=TRUE,Inputs!$C$27="TRUE",Inputs!$C$27=1),1,0)*(Inputs!$C$51*(115*EXP(-(((Inputs!$C$6)-25)^2)/(4.5^2))+70*EXP(-(((Inputs!$C$6)+38)^2)/(7^2))*(0.55+0.45*SIN(2*PI()*(Scenario_Data!U50)/45))+24*SIN(2*PI()*(Inputs!$C$6)/9+(Scenario_Data!U50)/18)*EXP(-(((Inputs!$C$6)+5)^2)/(22^2))+18*SIN(2*PI()*(Scenario_Data!U50)/70))+Inputs!$C$28*EXP(-(((Scenario_Data!U50)-Inputs!$C$29)^2)/(2*Inputs!$C$31^2))*EXP(-(((Inputs!$C$6)-Inputs!$C$30)^2)/(2*Inputs!$C$32^2))+-Inputs!$C$33*EXP(-(((((Scenario_Data!U50)-Inputs!$C$34)^2)+(((Inputs!$C$6)-Inputs!$C$35)^2))/(2*Inputs!$C$36^2)))+Inputs!$C$37*(0.55*SIN(2*PI()*(Scenario_Data!U50)/Inputs!$C$39)+0.35*COS(2*PI()*(Inputs!$C$6)/Inputs!$C$40)+0.2*SIN(2*PI()*((Scenario_Data!U50)+(Inputs!$C$6))/(0.5*(Inputs!$C$39+Inputs!$C$40))))+Inputs!$C$38*SIN(2*PI()*(Scenario_Data!U50)/Inputs!$C$39)*SIN(2*PI()*(Inputs!$C$6)/Inputs!$C$40)+-Inputs!$C$41*EXP(-(((Inputs!$C$6)-Inputs!$C$43)^2)/(2*Inputs!$C$44^2))*EXP(-(((Scenario_Data!U50)-Inputs!$C$42)^2)/(2*Inputs!$C$45^2))+Inputs!$C$48*(0.7*(0.45*SIN(2*PI()*(((Scenario_Data!U50)/Inputs!$C$49)+Inputs!$C$47*0.137))+0.35*COS(2*PI()*(((Inputs!$C$6)/Inputs!$C$50)+Inputs!$C$47*0.173))+0.2*SIN(2*PI()*((((Scenario_Data!U50)+(Inputs!$C$6))/(0.5*(Inputs!$C$49+Inputs!$C$50)))+Inputs!$C$47*0.097)))+0.3*(2*((SIN(((Scenario_Data!U50)*12.9898+(Inputs!$C$6)*78.233+Inputs!$C$47*37.719))*43758.5453)-INT((SIN(((Scenario_Data!U50)*12.9898+(Inputs!$C$6)*78.233+Inputs!$C$47*37.719))*43758.5453)))-1))))/1000))^2-2*(Inputs!$C$52+(Scenario_Data!C50))*(Inputs!$C$52+((IF(OR(Inputs!$C$27=TRUE,Inputs!$C$27="TRUE",Inputs!$C$27=1),1,0)*(Inputs!$C$51*(115*EXP(-(((Inputs!$C$6)-25)^2)/(4.5^2))+70*EXP(-(((Inputs!$C$6)+38)^2)/(7^2))*(0.55+0.45*SIN(2*PI()*(Scenario_Data!U50)/45))+24*SIN(2*PI()*(Inputs!$C$6)/9+(Scenario_Data!U50)/18)*EXP(-(((Inputs!$C$6)+5)^2)/(22^2))+18*SIN(2*PI()*(Scenario_Data!U50)/70))+Inputs!$C$28*EXP(-(((Scenario_Data!U50)-Inputs!$C$29)^2)/(2*Inputs!$C$31^2))*EXP(-(((Inputs!$C$6)-Inputs!$C$30)^2)/(2*Inputs!$C$32^2))+-Inputs!$C$33*EXP(-(((((Scenario_Data!U50)-Inputs!$C$34)^2)+(((Inputs!$C$6)-Inputs!$C$35)^2))/(2*Inputs!$C$36^2)))+Inputs!$C$37*(0.55*SIN(2*PI()*(Scenario_Data!U50)/Inputs!$C$39)+0.35*COS(2*PI()*(Inputs!$C$6)/Inputs!$C$40)+0.2*SIN(2*PI()*((Scenario_Data!U50)+(Inputs!$C$6))/(0.5*(Inputs!$C$39+Inputs!$C$40))))+Inputs!$C$38*SIN(2*PI()*(Scenario_Data!U50)/Inputs!$C$39)*SIN(2*PI()*(Inputs!$C$6)/Inputs!$C$40)+-Inputs!$C$41*EXP(-(((Inputs!$C$6)-Inputs!$C$43)^2)/(2*Inputs!$C$44^2))*EXP(-(((Scenario_Data!U50)-Inputs!$C$42)^2)/(2*Inputs!$C$45^2))+Inputs!$C$48*(0.7*(0.45*SIN(2*PI()*(((Scenario_Data!U50)/Inputs!$C$49)+Inputs!$C$47*0.137))+0.35*COS(2*PI()*(((Inputs!$C$6)/Inputs!$C$50)+Inputs!$C$47*0.173))+0.2*SIN(2*PI()*((((Scenario_Data!U50)+(Inputs!$C$6))/(0.5*(Inputs!$C$49+Inputs!$C$50)))+Inputs!$C$47*0.097)))+0.3*(2*((SIN(((Scenario_Data!U50)*12.9898+(Inputs!$C$6)*78.233+Inputs!$C$47*37.719))*43758.5453)-INT((SIN(((Scenario_Data!U50)*12.9898+(Inputs!$C$6)*78.233+Inputs!$C$47*37.719))*43758.5453)))-1))))/1000))*COS(SQRT((Scenario_Data!U50)^2+Inputs!$C$6^2)/Inputs!$C$52))*1000)/Inputs!$C$21*1000000</f>
        <v/>
      </c>
      <c r="AT50">
        <f>Scenario_Data!V50</f>
        <v/>
      </c>
      <c r="AU50">
        <f>2*(SQRT((Inputs!$C$52+(Scenario_Data!D50))^2+(Inputs!$C$52+((IF(OR(Inputs!$C$27=TRUE,Inputs!$C$27="TRUE",Inputs!$C$27=1),1,0)*(Inputs!$C$51*(115*EXP(-(((Inputs!$C$6)-25)^2)/(4.5^2))+70*EXP(-(((Inputs!$C$6)+38)^2)/(7^2))*(0.55+0.45*SIN(2*PI()*(Scenario_Data!V50)/45))+24*SIN(2*PI()*(Inputs!$C$6)/9+(Scenario_Data!V50)/18)*EXP(-(((Inputs!$C$6)+5)^2)/(22^2))+18*SIN(2*PI()*(Scenario_Data!V50)/70))+Inputs!$C$28*EXP(-(((Scenario_Data!V50)-Inputs!$C$29)^2)/(2*Inputs!$C$31^2))*EXP(-(((Inputs!$C$6)-Inputs!$C$30)^2)/(2*Inputs!$C$32^2))+-Inputs!$C$33*EXP(-(((((Scenario_Data!V50)-Inputs!$C$34)^2)+(((Inputs!$C$6)-Inputs!$C$35)^2))/(2*Inputs!$C$36^2)))+Inputs!$C$37*(0.55*SIN(2*PI()*(Scenario_Data!V50)/Inputs!$C$39)+0.35*COS(2*PI()*(Inputs!$C$6)/Inputs!$C$40)+0.2*SIN(2*PI()*((Scenario_Data!V50)+(Inputs!$C$6))/(0.5*(Inputs!$C$39+Inputs!$C$40))))+Inputs!$C$38*SIN(2*PI()*(Scenario_Data!V50)/Inputs!$C$39)*SIN(2*PI()*(Inputs!$C$6)/Inputs!$C$40)+-Inputs!$C$41*EXP(-(((Inputs!$C$6)-Inputs!$C$43)^2)/(2*Inputs!$C$44^2))*EXP(-(((Scenario_Data!V50)-Inputs!$C$42)^2)/(2*Inputs!$C$45^2))+Inputs!$C$48*(0.7*(0.45*SIN(2*PI()*(((Scenario_Data!V50)/Inputs!$C$49)+Inputs!$C$47*0.137))+0.35*COS(2*PI()*(((Inputs!$C$6)/Inputs!$C$50)+Inputs!$C$47*0.173))+0.2*SIN(2*PI()*((((Scenario_Data!V50)+(Inputs!$C$6))/(0.5*(Inputs!$C$49+Inputs!$C$50)))+Inputs!$C$47*0.097)))+0.3*(2*((SIN(((Scenario_Data!V50)*12.9898+(Inputs!$C$6)*78.233+Inputs!$C$47*37.719))*43758.5453)-INT((SIN(((Scenario_Data!V50)*12.9898+(Inputs!$C$6)*78.233+Inputs!$C$47*37.719))*43758.5453)))-1))))/1000))^2-2*(Inputs!$C$52+(Scenario_Data!D50))*(Inputs!$C$52+((IF(OR(Inputs!$C$27=TRUE,Inputs!$C$27="TRUE",Inputs!$C$27=1),1,0)*(Inputs!$C$51*(115*EXP(-(((Inputs!$C$6)-25)^2)/(4.5^2))+70*EXP(-(((Inputs!$C$6)+38)^2)/(7^2))*(0.55+0.45*SIN(2*PI()*(Scenario_Data!V50)/45))+24*SIN(2*PI()*(Inputs!$C$6)/9+(Scenario_Data!V50)/18)*EXP(-(((Inputs!$C$6)+5)^2)/(22^2))+18*SIN(2*PI()*(Scenario_Data!V50)/70))+Inputs!$C$28*EXP(-(((Scenario_Data!V50)-Inputs!$C$29)^2)/(2*Inputs!$C$31^2))*EXP(-(((Inputs!$C$6)-Inputs!$C$30)^2)/(2*Inputs!$C$32^2))+-Inputs!$C$33*EXP(-(((((Scenario_Data!V50)-Inputs!$C$34)^2)+(((Inputs!$C$6)-Inputs!$C$35)^2))/(2*Inputs!$C$36^2)))+Inputs!$C$37*(0.55*SIN(2*PI()*(Scenario_Data!V50)/Inputs!$C$39)+0.35*COS(2*PI()*(Inputs!$C$6)/Inputs!$C$40)+0.2*SIN(2*PI()*((Scenario_Data!V50)+(Inputs!$C$6))/(0.5*(Inputs!$C$39+Inputs!$C$40))))+Inputs!$C$38*SIN(2*PI()*(Scenario_Data!V50)/Inputs!$C$39)*SIN(2*PI()*(Inputs!$C$6)/Inputs!$C$40)+-Inputs!$C$41*EXP(-(((Inputs!$C$6)-Inputs!$C$43)^2)/(2*Inputs!$C$44^2))*EXP(-(((Scenario_Data!V50)-Inputs!$C$42)^2)/(2*Inputs!$C$45^2))+Inputs!$C$48*(0.7*(0.45*SIN(2*PI()*(((Scenario_Data!V50)/Inputs!$C$49)+Inputs!$C$47*0.137))+0.35*COS(2*PI()*(((Inputs!$C$6)/Inputs!$C$50)+Inputs!$C$47*0.173))+0.2*SIN(2*PI()*((((Scenario_Data!V50)+(Inputs!$C$6))/(0.5*(Inputs!$C$49+Inputs!$C$50)))+Inputs!$C$47*0.097)))+0.3*(2*((SIN(((Scenario_Data!V50)*12.9898+(Inputs!$C$6)*78.233+Inputs!$C$47*37.719))*43758.5453)-INT((SIN(((Scenario_Data!V50)*12.9898+(Inputs!$C$6)*78.233+Inputs!$C$47*37.719))*43758.5453)))-1))))/1000))*COS(SQRT((Scenario_Data!V50)^2+Inputs!$C$6^2)/Inputs!$C$52))*1000)/Inputs!$C$21*1000000</f>
        <v/>
      </c>
      <c r="AV50">
        <f>Scenario_Data!W50</f>
        <v/>
      </c>
      <c r="AW50">
        <f>2*(SQRT((Inputs!$C$52+(Scenario_Data!E50))^2+(Inputs!$C$52+((IF(OR(Inputs!$C$27=TRUE,Inputs!$C$27="TRUE",Inputs!$C$27=1),1,0)*(Inputs!$C$51*(115*EXP(-(((Inputs!$C$6)-25)^2)/(4.5^2))+70*EXP(-(((Inputs!$C$6)+38)^2)/(7^2))*(0.55+0.45*SIN(2*PI()*(Scenario_Data!W50)/45))+24*SIN(2*PI()*(Inputs!$C$6)/9+(Scenario_Data!W50)/18)*EXP(-(((Inputs!$C$6)+5)^2)/(22^2))+18*SIN(2*PI()*(Scenario_Data!W50)/70))+Inputs!$C$28*EXP(-(((Scenario_Data!W50)-Inputs!$C$29)^2)/(2*Inputs!$C$31^2))*EXP(-(((Inputs!$C$6)-Inputs!$C$30)^2)/(2*Inputs!$C$32^2))+-Inputs!$C$33*EXP(-(((((Scenario_Data!W50)-Inputs!$C$34)^2)+(((Inputs!$C$6)-Inputs!$C$35)^2))/(2*Inputs!$C$36^2)))+Inputs!$C$37*(0.55*SIN(2*PI()*(Scenario_Data!W50)/Inputs!$C$39)+0.35*COS(2*PI()*(Inputs!$C$6)/Inputs!$C$40)+0.2*SIN(2*PI()*((Scenario_Data!W50)+(Inputs!$C$6))/(0.5*(Inputs!$C$39+Inputs!$C$40))))+Inputs!$C$38*SIN(2*PI()*(Scenario_Data!W50)/Inputs!$C$39)*SIN(2*PI()*(Inputs!$C$6)/Inputs!$C$40)+-Inputs!$C$41*EXP(-(((Inputs!$C$6)-Inputs!$C$43)^2)/(2*Inputs!$C$44^2))*EXP(-(((Scenario_Data!W50)-Inputs!$C$42)^2)/(2*Inputs!$C$45^2))+Inputs!$C$48*(0.7*(0.45*SIN(2*PI()*(((Scenario_Data!W50)/Inputs!$C$49)+Inputs!$C$47*0.137))+0.35*COS(2*PI()*(((Inputs!$C$6)/Inputs!$C$50)+Inputs!$C$47*0.173))+0.2*SIN(2*PI()*((((Scenario_Data!W50)+(Inputs!$C$6))/(0.5*(Inputs!$C$49+Inputs!$C$50)))+Inputs!$C$47*0.097)))+0.3*(2*((SIN(((Scenario_Data!W50)*12.9898+(Inputs!$C$6)*78.233+Inputs!$C$47*37.719))*43758.5453)-INT((SIN(((Scenario_Data!W50)*12.9898+(Inputs!$C$6)*78.233+Inputs!$C$47*37.719))*43758.5453)))-1))))/1000))^2-2*(Inputs!$C$52+(Scenario_Data!E50))*(Inputs!$C$52+((IF(OR(Inputs!$C$27=TRUE,Inputs!$C$27="TRUE",Inputs!$C$27=1),1,0)*(Inputs!$C$51*(115*EXP(-(((Inputs!$C$6)-25)^2)/(4.5^2))+70*EXP(-(((Inputs!$C$6)+38)^2)/(7^2))*(0.55+0.45*SIN(2*PI()*(Scenario_Data!W50)/45))+24*SIN(2*PI()*(Inputs!$C$6)/9+(Scenario_Data!W50)/18)*EXP(-(((Inputs!$C$6)+5)^2)/(22^2))+18*SIN(2*PI()*(Scenario_Data!W50)/70))+Inputs!$C$28*EXP(-(((Scenario_Data!W50)-Inputs!$C$29)^2)/(2*Inputs!$C$31^2))*EXP(-(((Inputs!$C$6)-Inputs!$C$30)^2)/(2*Inputs!$C$32^2))+-Inputs!$C$33*EXP(-(((((Scenario_Data!W50)-Inputs!$C$34)^2)+(((Inputs!$C$6)-Inputs!$C$35)^2))/(2*Inputs!$C$36^2)))+Inputs!$C$37*(0.55*SIN(2*PI()*(Scenario_Data!W50)/Inputs!$C$39)+0.35*COS(2*PI()*(Inputs!$C$6)/Inputs!$C$40)+0.2*SIN(2*PI()*((Scenario_Data!W50)+(Inputs!$C$6))/(0.5*(Inputs!$C$39+Inputs!$C$40))))+Inputs!$C$38*SIN(2*PI()*(Scenario_Data!W50)/Inputs!$C$39)*SIN(2*PI()*(Inputs!$C$6)/Inputs!$C$40)+-Inputs!$C$41*EXP(-(((Inputs!$C$6)-Inputs!$C$43)^2)/(2*Inputs!$C$44^2))*EXP(-(((Scenario_Data!W50)-Inputs!$C$42)^2)/(2*Inputs!$C$45^2))+Inputs!$C$48*(0.7*(0.45*SIN(2*PI()*(((Scenario_Data!W50)/Inputs!$C$49)+Inputs!$C$47*0.137))+0.35*COS(2*PI()*(((Inputs!$C$6)/Inputs!$C$50)+Inputs!$C$47*0.173))+0.2*SIN(2*PI()*((((Scenario_Data!W50)+(Inputs!$C$6))/(0.5*(Inputs!$C$49+Inputs!$C$50)))+Inputs!$C$47*0.097)))+0.3*(2*((SIN(((Scenario_Data!W50)*12.9898+(Inputs!$C$6)*78.233+Inputs!$C$47*37.719))*43758.5453)-INT((SIN(((Scenario_Data!W50)*12.9898+(Inputs!$C$6)*78.233+Inputs!$C$47*37.719))*43758.5453)))-1))))/1000))*COS(SQRT((Scenario_Data!W50)^2+Inputs!$C$6^2)/Inputs!$C$52))*1000)/Inputs!$C$21*1000000</f>
        <v/>
      </c>
    </row>
    <row r="51">
      <c r="A51">
        <f>Chart_Data!K51</f>
        <v/>
      </c>
      <c r="B51">
        <f>Chart_Data!N51-Chart_Data!L51</f>
        <v/>
      </c>
      <c r="D51">
        <f>Chart_Data!G51</f>
        <v/>
      </c>
      <c r="E51">
        <f>Chart_Data!H51</f>
        <v/>
      </c>
      <c r="F51">
        <f>Chart_Data!I51</f>
        <v/>
      </c>
      <c r="G51">
        <f>Chart_Data!J51</f>
        <v/>
      </c>
      <c r="I51">
        <f>Scenario_Data!A51</f>
        <v/>
      </c>
      <c r="J51">
        <f>Scenario_Data!H51-(((SQRT((Inputs!$C$52+(Inputs!$H$6))^2+Inputs!$C$52^2-2*(Inputs!$C$52+(Inputs!$H$6))*Inputs!$C$52*COS(SQRT((Scenario_Data!T51)^2+Inputs!$C$6^2)/Inputs!$C$52)))-(Inputs!$H$6))*1000/Inputs!$C$12)</f>
        <v/>
      </c>
      <c r="K51">
        <f>Scenario_Data!I51-(((SQRT((Inputs!$C$52+(Inputs!$H$7))^2+Inputs!$C$52^2-2*(Inputs!$C$52+(Inputs!$H$7))*Inputs!$C$52*COS(SQRT((Scenario_Data!U51)^2+Inputs!$C$6^2)/Inputs!$C$52)))-(Inputs!$H$7))*1000/Inputs!$C$12)</f>
        <v/>
      </c>
      <c r="L51">
        <f>Scenario_Data!J51-(((SQRT((Inputs!$C$52+(Inputs!$H$8))^2+Inputs!$C$52^2-2*(Inputs!$C$52+(Inputs!$H$8))*Inputs!$C$52*COS(SQRT((Scenario_Data!V51)^2+Inputs!$C$6^2)/Inputs!$C$52)))-(Inputs!$H$8))*1000/Inputs!$C$12)</f>
        <v/>
      </c>
      <c r="M51">
        <f>Scenario_Data!K51-(((SQRT((Inputs!$C$52+(Inputs!$H$9))^2+Inputs!$C$52^2-2*(Inputs!$C$52+(Inputs!$H$9))*Inputs!$C$52*COS(SQRT((Scenario_Data!W51)^2+Inputs!$C$6^2)/Inputs!$C$52)))-(Inputs!$H$9))*1000/Inputs!$C$12)</f>
        <v/>
      </c>
      <c r="O51">
        <f>Scenario_Data!T51</f>
        <v/>
      </c>
      <c r="P51">
        <f>2*(Scenario_Data!B51*1000)/Inputs!$C$21*1000000</f>
        <v/>
      </c>
      <c r="Q51">
        <f>Scenario_Data!U51</f>
        <v/>
      </c>
      <c r="R51">
        <f>2*(Scenario_Data!C51*1000)/Inputs!$C$21*1000000</f>
        <v/>
      </c>
      <c r="S51">
        <f>Scenario_Data!V51</f>
        <v/>
      </c>
      <c r="T51">
        <f>2*(Scenario_Data!D51*1000)/Inputs!$C$21*1000000</f>
        <v/>
      </c>
      <c r="U51">
        <f>Scenario_Data!W51</f>
        <v/>
      </c>
      <c r="V51">
        <f>2*(Scenario_Data!E51*1000)/Inputs!$C$21*1000000</f>
        <v/>
      </c>
      <c r="X51">
        <f>Scenario_Data!T51</f>
        <v/>
      </c>
      <c r="Y51">
        <f>2*((Scenario_Data!B51*1000)-(IF(OR(Inputs!$C$27=TRUE,Inputs!$C$27="TRUE",Inputs!$C$27=1),1,0)*(Inputs!$C$51*(115*EXP(-(((0)-25)^2)/(4.5^2))+70*EXP(-(((0)+38)^2)/(7^2))*(0.55+0.45*SIN(2*PI()*(Scenario_Data!T51)/45))+24*SIN(2*PI()*(0)/9+(Scenario_Data!T51)/18)*EXP(-(((0)+5)^2)/(22^2))+18*SIN(2*PI()*(Scenario_Data!T51)/70))+Inputs!$C$28*EXP(-(((Scenario_Data!T51)-Inputs!$C$29)^2)/(2*Inputs!$C$31^2))*EXP(-(((0)-Inputs!$C$30)^2)/(2*Inputs!$C$32^2))+-Inputs!$C$33*EXP(-(((((Scenario_Data!T51)-Inputs!$C$34)^2)+(((0)-Inputs!$C$35)^2))/(2*Inputs!$C$36^2)))+Inputs!$C$37*(0.55*SIN(2*PI()*(Scenario_Data!T51)/Inputs!$C$39)+0.35*COS(2*PI()*(0)/Inputs!$C$40)+0.2*SIN(2*PI()*((Scenario_Data!T51)+(0))/(0.5*(Inputs!$C$39+Inputs!$C$40))))+Inputs!$C$38*SIN(2*PI()*(Scenario_Data!T51)/Inputs!$C$39)*SIN(2*PI()*(0)/Inputs!$C$40)+-Inputs!$C$41*EXP(-(((0)-Inputs!$C$43)^2)/(2*Inputs!$C$44^2))*EXP(-(((Scenario_Data!T51)-Inputs!$C$42)^2)/(2*Inputs!$C$45^2))+Inputs!$C$48*(0.7*(0.45*SIN(2*PI()*(((Scenario_Data!T51)/Inputs!$C$49)+Inputs!$C$47*0.137))+0.35*COS(2*PI()*(((0)/Inputs!$C$50)+Inputs!$C$47*0.173))+0.2*SIN(2*PI()*((((Scenario_Data!T51)+(0))/(0.5*(Inputs!$C$49+Inputs!$C$50)))+Inputs!$C$47*0.097)))+0.3*(2*((SIN(((Scenario_Data!T51)*12.9898+(0)*78.233+Inputs!$C$47*37.719))*43758.5453)-INT((SIN(((Scenario_Data!T51)*12.9898+(0)*78.233+Inputs!$C$47*37.719))*43758.5453)))-1)))))/Inputs!$C$21*1000000</f>
        <v/>
      </c>
      <c r="Z51">
        <f>Scenario_Data!U51</f>
        <v/>
      </c>
      <c r="AA51">
        <f>2*((Scenario_Data!C51*1000)-(IF(OR(Inputs!$C$27=TRUE,Inputs!$C$27="TRUE",Inputs!$C$27=1),1,0)*(Inputs!$C$51*(115*EXP(-(((0)-25)^2)/(4.5^2))+70*EXP(-(((0)+38)^2)/(7^2))*(0.55+0.45*SIN(2*PI()*(Scenario_Data!U51)/45))+24*SIN(2*PI()*(0)/9+(Scenario_Data!U51)/18)*EXP(-(((0)+5)^2)/(22^2))+18*SIN(2*PI()*(Scenario_Data!U51)/70))+Inputs!$C$28*EXP(-(((Scenario_Data!U51)-Inputs!$C$29)^2)/(2*Inputs!$C$31^2))*EXP(-(((0)-Inputs!$C$30)^2)/(2*Inputs!$C$32^2))+-Inputs!$C$33*EXP(-(((((Scenario_Data!U51)-Inputs!$C$34)^2)+(((0)-Inputs!$C$35)^2))/(2*Inputs!$C$36^2)))+Inputs!$C$37*(0.55*SIN(2*PI()*(Scenario_Data!U51)/Inputs!$C$39)+0.35*COS(2*PI()*(0)/Inputs!$C$40)+0.2*SIN(2*PI()*((Scenario_Data!U51)+(0))/(0.5*(Inputs!$C$39+Inputs!$C$40))))+Inputs!$C$38*SIN(2*PI()*(Scenario_Data!U51)/Inputs!$C$39)*SIN(2*PI()*(0)/Inputs!$C$40)+-Inputs!$C$41*EXP(-(((0)-Inputs!$C$43)^2)/(2*Inputs!$C$44^2))*EXP(-(((Scenario_Data!U51)-Inputs!$C$42)^2)/(2*Inputs!$C$45^2))+Inputs!$C$48*(0.7*(0.45*SIN(2*PI()*(((Scenario_Data!U51)/Inputs!$C$49)+Inputs!$C$47*0.137))+0.35*COS(2*PI()*(((0)/Inputs!$C$50)+Inputs!$C$47*0.173))+0.2*SIN(2*PI()*((((Scenario_Data!U51)+(0))/(0.5*(Inputs!$C$49+Inputs!$C$50)))+Inputs!$C$47*0.097)))+0.3*(2*((SIN(((Scenario_Data!U51)*12.9898+(0)*78.233+Inputs!$C$47*37.719))*43758.5453)-INT((SIN(((Scenario_Data!U51)*12.9898+(0)*78.233+Inputs!$C$47*37.719))*43758.5453)))-1)))))/Inputs!$C$21*1000000</f>
        <v/>
      </c>
      <c r="AB51">
        <f>Scenario_Data!V51</f>
        <v/>
      </c>
      <c r="AC51">
        <f>2*((Scenario_Data!D51*1000)-(IF(OR(Inputs!$C$27=TRUE,Inputs!$C$27="TRUE",Inputs!$C$27=1),1,0)*(Inputs!$C$51*(115*EXP(-(((0)-25)^2)/(4.5^2))+70*EXP(-(((0)+38)^2)/(7^2))*(0.55+0.45*SIN(2*PI()*(Scenario_Data!V51)/45))+24*SIN(2*PI()*(0)/9+(Scenario_Data!V51)/18)*EXP(-(((0)+5)^2)/(22^2))+18*SIN(2*PI()*(Scenario_Data!V51)/70))+Inputs!$C$28*EXP(-(((Scenario_Data!V51)-Inputs!$C$29)^2)/(2*Inputs!$C$31^2))*EXP(-(((0)-Inputs!$C$30)^2)/(2*Inputs!$C$32^2))+-Inputs!$C$33*EXP(-(((((Scenario_Data!V51)-Inputs!$C$34)^2)+(((0)-Inputs!$C$35)^2))/(2*Inputs!$C$36^2)))+Inputs!$C$37*(0.55*SIN(2*PI()*(Scenario_Data!V51)/Inputs!$C$39)+0.35*COS(2*PI()*(0)/Inputs!$C$40)+0.2*SIN(2*PI()*((Scenario_Data!V51)+(0))/(0.5*(Inputs!$C$39+Inputs!$C$40))))+Inputs!$C$38*SIN(2*PI()*(Scenario_Data!V51)/Inputs!$C$39)*SIN(2*PI()*(0)/Inputs!$C$40)+-Inputs!$C$41*EXP(-(((0)-Inputs!$C$43)^2)/(2*Inputs!$C$44^2))*EXP(-(((Scenario_Data!V51)-Inputs!$C$42)^2)/(2*Inputs!$C$45^2))+Inputs!$C$48*(0.7*(0.45*SIN(2*PI()*(((Scenario_Data!V51)/Inputs!$C$49)+Inputs!$C$47*0.137))+0.35*COS(2*PI()*(((0)/Inputs!$C$50)+Inputs!$C$47*0.173))+0.2*SIN(2*PI()*((((Scenario_Data!V51)+(0))/(0.5*(Inputs!$C$49+Inputs!$C$50)))+Inputs!$C$47*0.097)))+0.3*(2*((SIN(((Scenario_Data!V51)*12.9898+(0)*78.233+Inputs!$C$47*37.719))*43758.5453)-INT((SIN(((Scenario_Data!V51)*12.9898+(0)*78.233+Inputs!$C$47*37.719))*43758.5453)))-1)))))/Inputs!$C$21*1000000</f>
        <v/>
      </c>
      <c r="AD51">
        <f>Scenario_Data!W51</f>
        <v/>
      </c>
      <c r="AE51">
        <f>2*((Scenario_Data!E51*1000)-(IF(OR(Inputs!$C$27=TRUE,Inputs!$C$27="TRUE",Inputs!$C$27=1),1,0)*(Inputs!$C$51*(115*EXP(-(((0)-25)^2)/(4.5^2))+70*EXP(-(((0)+38)^2)/(7^2))*(0.55+0.45*SIN(2*PI()*(Scenario_Data!W51)/45))+24*SIN(2*PI()*(0)/9+(Scenario_Data!W51)/18)*EXP(-(((0)+5)^2)/(22^2))+18*SIN(2*PI()*(Scenario_Data!W51)/70))+Inputs!$C$28*EXP(-(((Scenario_Data!W51)-Inputs!$C$29)^2)/(2*Inputs!$C$31^2))*EXP(-(((0)-Inputs!$C$30)^2)/(2*Inputs!$C$32^2))+-Inputs!$C$33*EXP(-(((((Scenario_Data!W51)-Inputs!$C$34)^2)+(((0)-Inputs!$C$35)^2))/(2*Inputs!$C$36^2)))+Inputs!$C$37*(0.55*SIN(2*PI()*(Scenario_Data!W51)/Inputs!$C$39)+0.35*COS(2*PI()*(0)/Inputs!$C$40)+0.2*SIN(2*PI()*((Scenario_Data!W51)+(0))/(0.5*(Inputs!$C$39+Inputs!$C$40))))+Inputs!$C$38*SIN(2*PI()*(Scenario_Data!W51)/Inputs!$C$39)*SIN(2*PI()*(0)/Inputs!$C$40)+-Inputs!$C$41*EXP(-(((0)-Inputs!$C$43)^2)/(2*Inputs!$C$44^2))*EXP(-(((Scenario_Data!W51)-Inputs!$C$42)^2)/(2*Inputs!$C$45^2))+Inputs!$C$48*(0.7*(0.45*SIN(2*PI()*(((Scenario_Data!W51)/Inputs!$C$49)+Inputs!$C$47*0.137))+0.35*COS(2*PI()*(((0)/Inputs!$C$50)+Inputs!$C$47*0.173))+0.2*SIN(2*PI()*((((Scenario_Data!W51)+(0))/(0.5*(Inputs!$C$49+Inputs!$C$50)))+Inputs!$C$47*0.097)))+0.3*(2*((SIN(((Scenario_Data!W51)*12.9898+(0)*78.233+Inputs!$C$47*37.719))*43758.5453)-INT((SIN(((Scenario_Data!W51)*12.9898+(0)*78.233+Inputs!$C$47*37.719))*43758.5453)))-1)))))/Inputs!$C$21*1000000</f>
        <v/>
      </c>
      <c r="AG51">
        <f>Scenario_Data!T51</f>
        <v/>
      </c>
      <c r="AH51">
        <f>2*(SQRT((Inputs!$C$52+(Scenario_Data!B51))^2+Inputs!$C$52^2-2*(Inputs!$C$52+(Scenario_Data!B51))*Inputs!$C$52*COS(SQRT((Scenario_Data!T51)^2+Inputs!$C$6^2)/Inputs!$C$52))*1000)/Inputs!$C$21*1000000</f>
        <v/>
      </c>
      <c r="AI51">
        <f>Scenario_Data!U51</f>
        <v/>
      </c>
      <c r="AJ51">
        <f>2*(SQRT((Inputs!$C$52+(Scenario_Data!C51))^2+Inputs!$C$52^2-2*(Inputs!$C$52+(Scenario_Data!C51))*Inputs!$C$52*COS(SQRT((Scenario_Data!U51)^2+Inputs!$C$6^2)/Inputs!$C$52))*1000)/Inputs!$C$21*1000000</f>
        <v/>
      </c>
      <c r="AK51">
        <f>Scenario_Data!V51</f>
        <v/>
      </c>
      <c r="AL51">
        <f>2*(SQRT((Inputs!$C$52+(Scenario_Data!D51))^2+Inputs!$C$52^2-2*(Inputs!$C$52+(Scenario_Data!D51))*Inputs!$C$52*COS(SQRT((Scenario_Data!V51)^2+Inputs!$C$6^2)/Inputs!$C$52))*1000)/Inputs!$C$21*1000000</f>
        <v/>
      </c>
      <c r="AM51">
        <f>Scenario_Data!W51</f>
        <v/>
      </c>
      <c r="AN51">
        <f>2*(SQRT((Inputs!$C$52+(Scenario_Data!E51))^2+Inputs!$C$52^2-2*(Inputs!$C$52+(Scenario_Data!E51))*Inputs!$C$52*COS(SQRT((Scenario_Data!W51)^2+Inputs!$C$6^2)/Inputs!$C$52))*1000)/Inputs!$C$21*1000000</f>
        <v/>
      </c>
      <c r="AP51">
        <f>Scenario_Data!T51</f>
        <v/>
      </c>
      <c r="AQ51">
        <f>2*(SQRT((Inputs!$C$52+(Scenario_Data!B51))^2+(Inputs!$C$52+((IF(OR(Inputs!$C$27=TRUE,Inputs!$C$27="TRUE",Inputs!$C$27=1),1,0)*(Inputs!$C$51*(115*EXP(-(((Inputs!$C$6)-25)^2)/(4.5^2))+70*EXP(-(((Inputs!$C$6)+38)^2)/(7^2))*(0.55+0.45*SIN(2*PI()*(Scenario_Data!T51)/45))+24*SIN(2*PI()*(Inputs!$C$6)/9+(Scenario_Data!T51)/18)*EXP(-(((Inputs!$C$6)+5)^2)/(22^2))+18*SIN(2*PI()*(Scenario_Data!T51)/70))+Inputs!$C$28*EXP(-(((Scenario_Data!T51)-Inputs!$C$29)^2)/(2*Inputs!$C$31^2))*EXP(-(((Inputs!$C$6)-Inputs!$C$30)^2)/(2*Inputs!$C$32^2))+-Inputs!$C$33*EXP(-(((((Scenario_Data!T51)-Inputs!$C$34)^2)+(((Inputs!$C$6)-Inputs!$C$35)^2))/(2*Inputs!$C$36^2)))+Inputs!$C$37*(0.55*SIN(2*PI()*(Scenario_Data!T51)/Inputs!$C$39)+0.35*COS(2*PI()*(Inputs!$C$6)/Inputs!$C$40)+0.2*SIN(2*PI()*((Scenario_Data!T51)+(Inputs!$C$6))/(0.5*(Inputs!$C$39+Inputs!$C$40))))+Inputs!$C$38*SIN(2*PI()*(Scenario_Data!T51)/Inputs!$C$39)*SIN(2*PI()*(Inputs!$C$6)/Inputs!$C$40)+-Inputs!$C$41*EXP(-(((Inputs!$C$6)-Inputs!$C$43)^2)/(2*Inputs!$C$44^2))*EXP(-(((Scenario_Data!T51)-Inputs!$C$42)^2)/(2*Inputs!$C$45^2))+Inputs!$C$48*(0.7*(0.45*SIN(2*PI()*(((Scenario_Data!T51)/Inputs!$C$49)+Inputs!$C$47*0.137))+0.35*COS(2*PI()*(((Inputs!$C$6)/Inputs!$C$50)+Inputs!$C$47*0.173))+0.2*SIN(2*PI()*((((Scenario_Data!T51)+(Inputs!$C$6))/(0.5*(Inputs!$C$49+Inputs!$C$50)))+Inputs!$C$47*0.097)))+0.3*(2*((SIN(((Scenario_Data!T51)*12.9898+(Inputs!$C$6)*78.233+Inputs!$C$47*37.719))*43758.5453)-INT((SIN(((Scenario_Data!T51)*12.9898+(Inputs!$C$6)*78.233+Inputs!$C$47*37.719))*43758.5453)))-1))))/1000))^2-2*(Inputs!$C$52+(Scenario_Data!B51))*(Inputs!$C$52+((IF(OR(Inputs!$C$27=TRUE,Inputs!$C$27="TRUE",Inputs!$C$27=1),1,0)*(Inputs!$C$51*(115*EXP(-(((Inputs!$C$6)-25)^2)/(4.5^2))+70*EXP(-(((Inputs!$C$6)+38)^2)/(7^2))*(0.55+0.45*SIN(2*PI()*(Scenario_Data!T51)/45))+24*SIN(2*PI()*(Inputs!$C$6)/9+(Scenario_Data!T51)/18)*EXP(-(((Inputs!$C$6)+5)^2)/(22^2))+18*SIN(2*PI()*(Scenario_Data!T51)/70))+Inputs!$C$28*EXP(-(((Scenario_Data!T51)-Inputs!$C$29)^2)/(2*Inputs!$C$31^2))*EXP(-(((Inputs!$C$6)-Inputs!$C$30)^2)/(2*Inputs!$C$32^2))+-Inputs!$C$33*EXP(-(((((Scenario_Data!T51)-Inputs!$C$34)^2)+(((Inputs!$C$6)-Inputs!$C$35)^2))/(2*Inputs!$C$36^2)))+Inputs!$C$37*(0.55*SIN(2*PI()*(Scenario_Data!T51)/Inputs!$C$39)+0.35*COS(2*PI()*(Inputs!$C$6)/Inputs!$C$40)+0.2*SIN(2*PI()*((Scenario_Data!T51)+(Inputs!$C$6))/(0.5*(Inputs!$C$39+Inputs!$C$40))))+Inputs!$C$38*SIN(2*PI()*(Scenario_Data!T51)/Inputs!$C$39)*SIN(2*PI()*(Inputs!$C$6)/Inputs!$C$40)+-Inputs!$C$41*EXP(-(((Inputs!$C$6)-Inputs!$C$43)^2)/(2*Inputs!$C$44^2))*EXP(-(((Scenario_Data!T51)-Inputs!$C$42)^2)/(2*Inputs!$C$45^2))+Inputs!$C$48*(0.7*(0.45*SIN(2*PI()*(((Scenario_Data!T51)/Inputs!$C$49)+Inputs!$C$47*0.137))+0.35*COS(2*PI()*(((Inputs!$C$6)/Inputs!$C$50)+Inputs!$C$47*0.173))+0.2*SIN(2*PI()*((((Scenario_Data!T51)+(Inputs!$C$6))/(0.5*(Inputs!$C$49+Inputs!$C$50)))+Inputs!$C$47*0.097)))+0.3*(2*((SIN(((Scenario_Data!T51)*12.9898+(Inputs!$C$6)*78.233+Inputs!$C$47*37.719))*43758.5453)-INT((SIN(((Scenario_Data!T51)*12.9898+(Inputs!$C$6)*78.233+Inputs!$C$47*37.719))*43758.5453)))-1))))/1000))*COS(SQRT((Scenario_Data!T51)^2+Inputs!$C$6^2)/Inputs!$C$52))*1000)/Inputs!$C$21*1000000</f>
        <v/>
      </c>
      <c r="AR51">
        <f>Scenario_Data!U51</f>
        <v/>
      </c>
      <c r="AS51">
        <f>2*(SQRT((Inputs!$C$52+(Scenario_Data!C51))^2+(Inputs!$C$52+((IF(OR(Inputs!$C$27=TRUE,Inputs!$C$27="TRUE",Inputs!$C$27=1),1,0)*(Inputs!$C$51*(115*EXP(-(((Inputs!$C$6)-25)^2)/(4.5^2))+70*EXP(-(((Inputs!$C$6)+38)^2)/(7^2))*(0.55+0.45*SIN(2*PI()*(Scenario_Data!U51)/45))+24*SIN(2*PI()*(Inputs!$C$6)/9+(Scenario_Data!U51)/18)*EXP(-(((Inputs!$C$6)+5)^2)/(22^2))+18*SIN(2*PI()*(Scenario_Data!U51)/70))+Inputs!$C$28*EXP(-(((Scenario_Data!U51)-Inputs!$C$29)^2)/(2*Inputs!$C$31^2))*EXP(-(((Inputs!$C$6)-Inputs!$C$30)^2)/(2*Inputs!$C$32^2))+-Inputs!$C$33*EXP(-(((((Scenario_Data!U51)-Inputs!$C$34)^2)+(((Inputs!$C$6)-Inputs!$C$35)^2))/(2*Inputs!$C$36^2)))+Inputs!$C$37*(0.55*SIN(2*PI()*(Scenario_Data!U51)/Inputs!$C$39)+0.35*COS(2*PI()*(Inputs!$C$6)/Inputs!$C$40)+0.2*SIN(2*PI()*((Scenario_Data!U51)+(Inputs!$C$6))/(0.5*(Inputs!$C$39+Inputs!$C$40))))+Inputs!$C$38*SIN(2*PI()*(Scenario_Data!U51)/Inputs!$C$39)*SIN(2*PI()*(Inputs!$C$6)/Inputs!$C$40)+-Inputs!$C$41*EXP(-(((Inputs!$C$6)-Inputs!$C$43)^2)/(2*Inputs!$C$44^2))*EXP(-(((Scenario_Data!U51)-Inputs!$C$42)^2)/(2*Inputs!$C$45^2))+Inputs!$C$48*(0.7*(0.45*SIN(2*PI()*(((Scenario_Data!U51)/Inputs!$C$49)+Inputs!$C$47*0.137))+0.35*COS(2*PI()*(((Inputs!$C$6)/Inputs!$C$50)+Inputs!$C$47*0.173))+0.2*SIN(2*PI()*((((Scenario_Data!U51)+(Inputs!$C$6))/(0.5*(Inputs!$C$49+Inputs!$C$50)))+Inputs!$C$47*0.097)))+0.3*(2*((SIN(((Scenario_Data!U51)*12.9898+(Inputs!$C$6)*78.233+Inputs!$C$47*37.719))*43758.5453)-INT((SIN(((Scenario_Data!U51)*12.9898+(Inputs!$C$6)*78.233+Inputs!$C$47*37.719))*43758.5453)))-1))))/1000))^2-2*(Inputs!$C$52+(Scenario_Data!C51))*(Inputs!$C$52+((IF(OR(Inputs!$C$27=TRUE,Inputs!$C$27="TRUE",Inputs!$C$27=1),1,0)*(Inputs!$C$51*(115*EXP(-(((Inputs!$C$6)-25)^2)/(4.5^2))+70*EXP(-(((Inputs!$C$6)+38)^2)/(7^2))*(0.55+0.45*SIN(2*PI()*(Scenario_Data!U51)/45))+24*SIN(2*PI()*(Inputs!$C$6)/9+(Scenario_Data!U51)/18)*EXP(-(((Inputs!$C$6)+5)^2)/(22^2))+18*SIN(2*PI()*(Scenario_Data!U51)/70))+Inputs!$C$28*EXP(-(((Scenario_Data!U51)-Inputs!$C$29)^2)/(2*Inputs!$C$31^2))*EXP(-(((Inputs!$C$6)-Inputs!$C$30)^2)/(2*Inputs!$C$32^2))+-Inputs!$C$33*EXP(-(((((Scenario_Data!U51)-Inputs!$C$34)^2)+(((Inputs!$C$6)-Inputs!$C$35)^2))/(2*Inputs!$C$36^2)))+Inputs!$C$37*(0.55*SIN(2*PI()*(Scenario_Data!U51)/Inputs!$C$39)+0.35*COS(2*PI()*(Inputs!$C$6)/Inputs!$C$40)+0.2*SIN(2*PI()*((Scenario_Data!U51)+(Inputs!$C$6))/(0.5*(Inputs!$C$39+Inputs!$C$40))))+Inputs!$C$38*SIN(2*PI()*(Scenario_Data!U51)/Inputs!$C$39)*SIN(2*PI()*(Inputs!$C$6)/Inputs!$C$40)+-Inputs!$C$41*EXP(-(((Inputs!$C$6)-Inputs!$C$43)^2)/(2*Inputs!$C$44^2))*EXP(-(((Scenario_Data!U51)-Inputs!$C$42)^2)/(2*Inputs!$C$45^2))+Inputs!$C$48*(0.7*(0.45*SIN(2*PI()*(((Scenario_Data!U51)/Inputs!$C$49)+Inputs!$C$47*0.137))+0.35*COS(2*PI()*(((Inputs!$C$6)/Inputs!$C$50)+Inputs!$C$47*0.173))+0.2*SIN(2*PI()*((((Scenario_Data!U51)+(Inputs!$C$6))/(0.5*(Inputs!$C$49+Inputs!$C$50)))+Inputs!$C$47*0.097)))+0.3*(2*((SIN(((Scenario_Data!U51)*12.9898+(Inputs!$C$6)*78.233+Inputs!$C$47*37.719))*43758.5453)-INT((SIN(((Scenario_Data!U51)*12.9898+(Inputs!$C$6)*78.233+Inputs!$C$47*37.719))*43758.5453)))-1))))/1000))*COS(SQRT((Scenario_Data!U51)^2+Inputs!$C$6^2)/Inputs!$C$52))*1000)/Inputs!$C$21*1000000</f>
        <v/>
      </c>
      <c r="AT51">
        <f>Scenario_Data!V51</f>
        <v/>
      </c>
      <c r="AU51">
        <f>2*(SQRT((Inputs!$C$52+(Scenario_Data!D51))^2+(Inputs!$C$52+((IF(OR(Inputs!$C$27=TRUE,Inputs!$C$27="TRUE",Inputs!$C$27=1),1,0)*(Inputs!$C$51*(115*EXP(-(((Inputs!$C$6)-25)^2)/(4.5^2))+70*EXP(-(((Inputs!$C$6)+38)^2)/(7^2))*(0.55+0.45*SIN(2*PI()*(Scenario_Data!V51)/45))+24*SIN(2*PI()*(Inputs!$C$6)/9+(Scenario_Data!V51)/18)*EXP(-(((Inputs!$C$6)+5)^2)/(22^2))+18*SIN(2*PI()*(Scenario_Data!V51)/70))+Inputs!$C$28*EXP(-(((Scenario_Data!V51)-Inputs!$C$29)^2)/(2*Inputs!$C$31^2))*EXP(-(((Inputs!$C$6)-Inputs!$C$30)^2)/(2*Inputs!$C$32^2))+-Inputs!$C$33*EXP(-(((((Scenario_Data!V51)-Inputs!$C$34)^2)+(((Inputs!$C$6)-Inputs!$C$35)^2))/(2*Inputs!$C$36^2)))+Inputs!$C$37*(0.55*SIN(2*PI()*(Scenario_Data!V51)/Inputs!$C$39)+0.35*COS(2*PI()*(Inputs!$C$6)/Inputs!$C$40)+0.2*SIN(2*PI()*((Scenario_Data!V51)+(Inputs!$C$6))/(0.5*(Inputs!$C$39+Inputs!$C$40))))+Inputs!$C$38*SIN(2*PI()*(Scenario_Data!V51)/Inputs!$C$39)*SIN(2*PI()*(Inputs!$C$6)/Inputs!$C$40)+-Inputs!$C$41*EXP(-(((Inputs!$C$6)-Inputs!$C$43)^2)/(2*Inputs!$C$44^2))*EXP(-(((Scenario_Data!V51)-Inputs!$C$42)^2)/(2*Inputs!$C$45^2))+Inputs!$C$48*(0.7*(0.45*SIN(2*PI()*(((Scenario_Data!V51)/Inputs!$C$49)+Inputs!$C$47*0.137))+0.35*COS(2*PI()*(((Inputs!$C$6)/Inputs!$C$50)+Inputs!$C$47*0.173))+0.2*SIN(2*PI()*((((Scenario_Data!V51)+(Inputs!$C$6))/(0.5*(Inputs!$C$49+Inputs!$C$50)))+Inputs!$C$47*0.097)))+0.3*(2*((SIN(((Scenario_Data!V51)*12.9898+(Inputs!$C$6)*78.233+Inputs!$C$47*37.719))*43758.5453)-INT((SIN(((Scenario_Data!V51)*12.9898+(Inputs!$C$6)*78.233+Inputs!$C$47*37.719))*43758.5453)))-1))))/1000))^2-2*(Inputs!$C$52+(Scenario_Data!D51))*(Inputs!$C$52+((IF(OR(Inputs!$C$27=TRUE,Inputs!$C$27="TRUE",Inputs!$C$27=1),1,0)*(Inputs!$C$51*(115*EXP(-(((Inputs!$C$6)-25)^2)/(4.5^2))+70*EXP(-(((Inputs!$C$6)+38)^2)/(7^2))*(0.55+0.45*SIN(2*PI()*(Scenario_Data!V51)/45))+24*SIN(2*PI()*(Inputs!$C$6)/9+(Scenario_Data!V51)/18)*EXP(-(((Inputs!$C$6)+5)^2)/(22^2))+18*SIN(2*PI()*(Scenario_Data!V51)/70))+Inputs!$C$28*EXP(-(((Scenario_Data!V51)-Inputs!$C$29)^2)/(2*Inputs!$C$31^2))*EXP(-(((Inputs!$C$6)-Inputs!$C$30)^2)/(2*Inputs!$C$32^2))+-Inputs!$C$33*EXP(-(((((Scenario_Data!V51)-Inputs!$C$34)^2)+(((Inputs!$C$6)-Inputs!$C$35)^2))/(2*Inputs!$C$36^2)))+Inputs!$C$37*(0.55*SIN(2*PI()*(Scenario_Data!V51)/Inputs!$C$39)+0.35*COS(2*PI()*(Inputs!$C$6)/Inputs!$C$40)+0.2*SIN(2*PI()*((Scenario_Data!V51)+(Inputs!$C$6))/(0.5*(Inputs!$C$39+Inputs!$C$40))))+Inputs!$C$38*SIN(2*PI()*(Scenario_Data!V51)/Inputs!$C$39)*SIN(2*PI()*(Inputs!$C$6)/Inputs!$C$40)+-Inputs!$C$41*EXP(-(((Inputs!$C$6)-Inputs!$C$43)^2)/(2*Inputs!$C$44^2))*EXP(-(((Scenario_Data!V51)-Inputs!$C$42)^2)/(2*Inputs!$C$45^2))+Inputs!$C$48*(0.7*(0.45*SIN(2*PI()*(((Scenario_Data!V51)/Inputs!$C$49)+Inputs!$C$47*0.137))+0.35*COS(2*PI()*(((Inputs!$C$6)/Inputs!$C$50)+Inputs!$C$47*0.173))+0.2*SIN(2*PI()*((((Scenario_Data!V51)+(Inputs!$C$6))/(0.5*(Inputs!$C$49+Inputs!$C$50)))+Inputs!$C$47*0.097)))+0.3*(2*((SIN(((Scenario_Data!V51)*12.9898+(Inputs!$C$6)*78.233+Inputs!$C$47*37.719))*43758.5453)-INT((SIN(((Scenario_Data!V51)*12.9898+(Inputs!$C$6)*78.233+Inputs!$C$47*37.719))*43758.5453)))-1))))/1000))*COS(SQRT((Scenario_Data!V51)^2+Inputs!$C$6^2)/Inputs!$C$52))*1000)/Inputs!$C$21*1000000</f>
        <v/>
      </c>
      <c r="AV51">
        <f>Scenario_Data!W51</f>
        <v/>
      </c>
      <c r="AW51">
        <f>2*(SQRT((Inputs!$C$52+(Scenario_Data!E51))^2+(Inputs!$C$52+((IF(OR(Inputs!$C$27=TRUE,Inputs!$C$27="TRUE",Inputs!$C$27=1),1,0)*(Inputs!$C$51*(115*EXP(-(((Inputs!$C$6)-25)^2)/(4.5^2))+70*EXP(-(((Inputs!$C$6)+38)^2)/(7^2))*(0.55+0.45*SIN(2*PI()*(Scenario_Data!W51)/45))+24*SIN(2*PI()*(Inputs!$C$6)/9+(Scenario_Data!W51)/18)*EXP(-(((Inputs!$C$6)+5)^2)/(22^2))+18*SIN(2*PI()*(Scenario_Data!W51)/70))+Inputs!$C$28*EXP(-(((Scenario_Data!W51)-Inputs!$C$29)^2)/(2*Inputs!$C$31^2))*EXP(-(((Inputs!$C$6)-Inputs!$C$30)^2)/(2*Inputs!$C$32^2))+-Inputs!$C$33*EXP(-(((((Scenario_Data!W51)-Inputs!$C$34)^2)+(((Inputs!$C$6)-Inputs!$C$35)^2))/(2*Inputs!$C$36^2)))+Inputs!$C$37*(0.55*SIN(2*PI()*(Scenario_Data!W51)/Inputs!$C$39)+0.35*COS(2*PI()*(Inputs!$C$6)/Inputs!$C$40)+0.2*SIN(2*PI()*((Scenario_Data!W51)+(Inputs!$C$6))/(0.5*(Inputs!$C$39+Inputs!$C$40))))+Inputs!$C$38*SIN(2*PI()*(Scenario_Data!W51)/Inputs!$C$39)*SIN(2*PI()*(Inputs!$C$6)/Inputs!$C$40)+-Inputs!$C$41*EXP(-(((Inputs!$C$6)-Inputs!$C$43)^2)/(2*Inputs!$C$44^2))*EXP(-(((Scenario_Data!W51)-Inputs!$C$42)^2)/(2*Inputs!$C$45^2))+Inputs!$C$48*(0.7*(0.45*SIN(2*PI()*(((Scenario_Data!W51)/Inputs!$C$49)+Inputs!$C$47*0.137))+0.35*COS(2*PI()*(((Inputs!$C$6)/Inputs!$C$50)+Inputs!$C$47*0.173))+0.2*SIN(2*PI()*((((Scenario_Data!W51)+(Inputs!$C$6))/(0.5*(Inputs!$C$49+Inputs!$C$50)))+Inputs!$C$47*0.097)))+0.3*(2*((SIN(((Scenario_Data!W51)*12.9898+(Inputs!$C$6)*78.233+Inputs!$C$47*37.719))*43758.5453)-INT((SIN(((Scenario_Data!W51)*12.9898+(Inputs!$C$6)*78.233+Inputs!$C$47*37.719))*43758.5453)))-1))))/1000))^2-2*(Inputs!$C$52+(Scenario_Data!E51))*(Inputs!$C$52+((IF(OR(Inputs!$C$27=TRUE,Inputs!$C$27="TRUE",Inputs!$C$27=1),1,0)*(Inputs!$C$51*(115*EXP(-(((Inputs!$C$6)-25)^2)/(4.5^2))+70*EXP(-(((Inputs!$C$6)+38)^2)/(7^2))*(0.55+0.45*SIN(2*PI()*(Scenario_Data!W51)/45))+24*SIN(2*PI()*(Inputs!$C$6)/9+(Scenario_Data!W51)/18)*EXP(-(((Inputs!$C$6)+5)^2)/(22^2))+18*SIN(2*PI()*(Scenario_Data!W51)/70))+Inputs!$C$28*EXP(-(((Scenario_Data!W51)-Inputs!$C$29)^2)/(2*Inputs!$C$31^2))*EXP(-(((Inputs!$C$6)-Inputs!$C$30)^2)/(2*Inputs!$C$32^2))+-Inputs!$C$33*EXP(-(((((Scenario_Data!W51)-Inputs!$C$34)^2)+(((Inputs!$C$6)-Inputs!$C$35)^2))/(2*Inputs!$C$36^2)))+Inputs!$C$37*(0.55*SIN(2*PI()*(Scenario_Data!W51)/Inputs!$C$39)+0.35*COS(2*PI()*(Inputs!$C$6)/Inputs!$C$40)+0.2*SIN(2*PI()*((Scenario_Data!W51)+(Inputs!$C$6))/(0.5*(Inputs!$C$39+Inputs!$C$40))))+Inputs!$C$38*SIN(2*PI()*(Scenario_Data!W51)/Inputs!$C$39)*SIN(2*PI()*(Inputs!$C$6)/Inputs!$C$40)+-Inputs!$C$41*EXP(-(((Inputs!$C$6)-Inputs!$C$43)^2)/(2*Inputs!$C$44^2))*EXP(-(((Scenario_Data!W51)-Inputs!$C$42)^2)/(2*Inputs!$C$45^2))+Inputs!$C$48*(0.7*(0.45*SIN(2*PI()*(((Scenario_Data!W51)/Inputs!$C$49)+Inputs!$C$47*0.137))+0.35*COS(2*PI()*(((Inputs!$C$6)/Inputs!$C$50)+Inputs!$C$47*0.173))+0.2*SIN(2*PI()*((((Scenario_Data!W51)+(Inputs!$C$6))/(0.5*(Inputs!$C$49+Inputs!$C$50)))+Inputs!$C$47*0.097)))+0.3*(2*((SIN(((Scenario_Data!W51)*12.9898+(Inputs!$C$6)*78.233+Inputs!$C$47*37.719))*43758.5453)-INT((SIN(((Scenario_Data!W51)*12.9898+(Inputs!$C$6)*78.233+Inputs!$C$47*37.719))*43758.5453)))-1))))/1000))*COS(SQRT((Scenario_Data!W51)^2+Inputs!$C$6^2)/Inputs!$C$52))*1000)/Inputs!$C$21*1000000</f>
        <v/>
      </c>
    </row>
    <row r="52">
      <c r="A52">
        <f>Chart_Data!K52</f>
        <v/>
      </c>
      <c r="B52">
        <f>Chart_Data!N52-Chart_Data!L52</f>
        <v/>
      </c>
      <c r="D52">
        <f>Chart_Data!G52</f>
        <v/>
      </c>
      <c r="E52">
        <f>Chart_Data!H52</f>
        <v/>
      </c>
      <c r="F52">
        <f>Chart_Data!I52</f>
        <v/>
      </c>
      <c r="G52">
        <f>Chart_Data!J52</f>
        <v/>
      </c>
      <c r="I52">
        <f>Scenario_Data!A52</f>
        <v/>
      </c>
      <c r="J52">
        <f>Scenario_Data!H52-(((SQRT((Inputs!$C$52+(Inputs!$H$6))^2+Inputs!$C$52^2-2*(Inputs!$C$52+(Inputs!$H$6))*Inputs!$C$52*COS(SQRT((Scenario_Data!T52)^2+Inputs!$C$6^2)/Inputs!$C$52)))-(Inputs!$H$6))*1000/Inputs!$C$12)</f>
        <v/>
      </c>
      <c r="K52">
        <f>Scenario_Data!I52-(((SQRT((Inputs!$C$52+(Inputs!$H$7))^2+Inputs!$C$52^2-2*(Inputs!$C$52+(Inputs!$H$7))*Inputs!$C$52*COS(SQRT((Scenario_Data!U52)^2+Inputs!$C$6^2)/Inputs!$C$52)))-(Inputs!$H$7))*1000/Inputs!$C$12)</f>
        <v/>
      </c>
      <c r="L52">
        <f>Scenario_Data!J52-(((SQRT((Inputs!$C$52+(Inputs!$H$8))^2+Inputs!$C$52^2-2*(Inputs!$C$52+(Inputs!$H$8))*Inputs!$C$52*COS(SQRT((Scenario_Data!V52)^2+Inputs!$C$6^2)/Inputs!$C$52)))-(Inputs!$H$8))*1000/Inputs!$C$12)</f>
        <v/>
      </c>
      <c r="M52">
        <f>Scenario_Data!K52-(((SQRT((Inputs!$C$52+(Inputs!$H$9))^2+Inputs!$C$52^2-2*(Inputs!$C$52+(Inputs!$H$9))*Inputs!$C$52*COS(SQRT((Scenario_Data!W52)^2+Inputs!$C$6^2)/Inputs!$C$52)))-(Inputs!$H$9))*1000/Inputs!$C$12)</f>
        <v/>
      </c>
      <c r="O52">
        <f>Scenario_Data!T52</f>
        <v/>
      </c>
      <c r="P52">
        <f>2*(Scenario_Data!B52*1000)/Inputs!$C$21*1000000</f>
        <v/>
      </c>
      <c r="Q52">
        <f>Scenario_Data!U52</f>
        <v/>
      </c>
      <c r="R52">
        <f>2*(Scenario_Data!C52*1000)/Inputs!$C$21*1000000</f>
        <v/>
      </c>
      <c r="S52">
        <f>Scenario_Data!V52</f>
        <v/>
      </c>
      <c r="T52">
        <f>2*(Scenario_Data!D52*1000)/Inputs!$C$21*1000000</f>
        <v/>
      </c>
      <c r="U52">
        <f>Scenario_Data!W52</f>
        <v/>
      </c>
      <c r="V52">
        <f>2*(Scenario_Data!E52*1000)/Inputs!$C$21*1000000</f>
        <v/>
      </c>
      <c r="X52">
        <f>Scenario_Data!T52</f>
        <v/>
      </c>
      <c r="Y52">
        <f>2*((Scenario_Data!B52*1000)-(IF(OR(Inputs!$C$27=TRUE,Inputs!$C$27="TRUE",Inputs!$C$27=1),1,0)*(Inputs!$C$51*(115*EXP(-(((0)-25)^2)/(4.5^2))+70*EXP(-(((0)+38)^2)/(7^2))*(0.55+0.45*SIN(2*PI()*(Scenario_Data!T52)/45))+24*SIN(2*PI()*(0)/9+(Scenario_Data!T52)/18)*EXP(-(((0)+5)^2)/(22^2))+18*SIN(2*PI()*(Scenario_Data!T52)/70))+Inputs!$C$28*EXP(-(((Scenario_Data!T52)-Inputs!$C$29)^2)/(2*Inputs!$C$31^2))*EXP(-(((0)-Inputs!$C$30)^2)/(2*Inputs!$C$32^2))+-Inputs!$C$33*EXP(-(((((Scenario_Data!T52)-Inputs!$C$34)^2)+(((0)-Inputs!$C$35)^2))/(2*Inputs!$C$36^2)))+Inputs!$C$37*(0.55*SIN(2*PI()*(Scenario_Data!T52)/Inputs!$C$39)+0.35*COS(2*PI()*(0)/Inputs!$C$40)+0.2*SIN(2*PI()*((Scenario_Data!T52)+(0))/(0.5*(Inputs!$C$39+Inputs!$C$40))))+Inputs!$C$38*SIN(2*PI()*(Scenario_Data!T52)/Inputs!$C$39)*SIN(2*PI()*(0)/Inputs!$C$40)+-Inputs!$C$41*EXP(-(((0)-Inputs!$C$43)^2)/(2*Inputs!$C$44^2))*EXP(-(((Scenario_Data!T52)-Inputs!$C$42)^2)/(2*Inputs!$C$45^2))+Inputs!$C$48*(0.7*(0.45*SIN(2*PI()*(((Scenario_Data!T52)/Inputs!$C$49)+Inputs!$C$47*0.137))+0.35*COS(2*PI()*(((0)/Inputs!$C$50)+Inputs!$C$47*0.173))+0.2*SIN(2*PI()*((((Scenario_Data!T52)+(0))/(0.5*(Inputs!$C$49+Inputs!$C$50)))+Inputs!$C$47*0.097)))+0.3*(2*((SIN(((Scenario_Data!T52)*12.9898+(0)*78.233+Inputs!$C$47*37.719))*43758.5453)-INT((SIN(((Scenario_Data!T52)*12.9898+(0)*78.233+Inputs!$C$47*37.719))*43758.5453)))-1)))))/Inputs!$C$21*1000000</f>
        <v/>
      </c>
      <c r="Z52">
        <f>Scenario_Data!U52</f>
        <v/>
      </c>
      <c r="AA52">
        <f>2*((Scenario_Data!C52*1000)-(IF(OR(Inputs!$C$27=TRUE,Inputs!$C$27="TRUE",Inputs!$C$27=1),1,0)*(Inputs!$C$51*(115*EXP(-(((0)-25)^2)/(4.5^2))+70*EXP(-(((0)+38)^2)/(7^2))*(0.55+0.45*SIN(2*PI()*(Scenario_Data!U52)/45))+24*SIN(2*PI()*(0)/9+(Scenario_Data!U52)/18)*EXP(-(((0)+5)^2)/(22^2))+18*SIN(2*PI()*(Scenario_Data!U52)/70))+Inputs!$C$28*EXP(-(((Scenario_Data!U52)-Inputs!$C$29)^2)/(2*Inputs!$C$31^2))*EXP(-(((0)-Inputs!$C$30)^2)/(2*Inputs!$C$32^2))+-Inputs!$C$33*EXP(-(((((Scenario_Data!U52)-Inputs!$C$34)^2)+(((0)-Inputs!$C$35)^2))/(2*Inputs!$C$36^2)))+Inputs!$C$37*(0.55*SIN(2*PI()*(Scenario_Data!U52)/Inputs!$C$39)+0.35*COS(2*PI()*(0)/Inputs!$C$40)+0.2*SIN(2*PI()*((Scenario_Data!U52)+(0))/(0.5*(Inputs!$C$39+Inputs!$C$40))))+Inputs!$C$38*SIN(2*PI()*(Scenario_Data!U52)/Inputs!$C$39)*SIN(2*PI()*(0)/Inputs!$C$40)+-Inputs!$C$41*EXP(-(((0)-Inputs!$C$43)^2)/(2*Inputs!$C$44^2))*EXP(-(((Scenario_Data!U52)-Inputs!$C$42)^2)/(2*Inputs!$C$45^2))+Inputs!$C$48*(0.7*(0.45*SIN(2*PI()*(((Scenario_Data!U52)/Inputs!$C$49)+Inputs!$C$47*0.137))+0.35*COS(2*PI()*(((0)/Inputs!$C$50)+Inputs!$C$47*0.173))+0.2*SIN(2*PI()*((((Scenario_Data!U52)+(0))/(0.5*(Inputs!$C$49+Inputs!$C$50)))+Inputs!$C$47*0.097)))+0.3*(2*((SIN(((Scenario_Data!U52)*12.9898+(0)*78.233+Inputs!$C$47*37.719))*43758.5453)-INT((SIN(((Scenario_Data!U52)*12.9898+(0)*78.233+Inputs!$C$47*37.719))*43758.5453)))-1)))))/Inputs!$C$21*1000000</f>
        <v/>
      </c>
      <c r="AB52">
        <f>Scenario_Data!V52</f>
        <v/>
      </c>
      <c r="AC52">
        <f>2*((Scenario_Data!D52*1000)-(IF(OR(Inputs!$C$27=TRUE,Inputs!$C$27="TRUE",Inputs!$C$27=1),1,0)*(Inputs!$C$51*(115*EXP(-(((0)-25)^2)/(4.5^2))+70*EXP(-(((0)+38)^2)/(7^2))*(0.55+0.45*SIN(2*PI()*(Scenario_Data!V52)/45))+24*SIN(2*PI()*(0)/9+(Scenario_Data!V52)/18)*EXP(-(((0)+5)^2)/(22^2))+18*SIN(2*PI()*(Scenario_Data!V52)/70))+Inputs!$C$28*EXP(-(((Scenario_Data!V52)-Inputs!$C$29)^2)/(2*Inputs!$C$31^2))*EXP(-(((0)-Inputs!$C$30)^2)/(2*Inputs!$C$32^2))+-Inputs!$C$33*EXP(-(((((Scenario_Data!V52)-Inputs!$C$34)^2)+(((0)-Inputs!$C$35)^2))/(2*Inputs!$C$36^2)))+Inputs!$C$37*(0.55*SIN(2*PI()*(Scenario_Data!V52)/Inputs!$C$39)+0.35*COS(2*PI()*(0)/Inputs!$C$40)+0.2*SIN(2*PI()*((Scenario_Data!V52)+(0))/(0.5*(Inputs!$C$39+Inputs!$C$40))))+Inputs!$C$38*SIN(2*PI()*(Scenario_Data!V52)/Inputs!$C$39)*SIN(2*PI()*(0)/Inputs!$C$40)+-Inputs!$C$41*EXP(-(((0)-Inputs!$C$43)^2)/(2*Inputs!$C$44^2))*EXP(-(((Scenario_Data!V52)-Inputs!$C$42)^2)/(2*Inputs!$C$45^2))+Inputs!$C$48*(0.7*(0.45*SIN(2*PI()*(((Scenario_Data!V52)/Inputs!$C$49)+Inputs!$C$47*0.137))+0.35*COS(2*PI()*(((0)/Inputs!$C$50)+Inputs!$C$47*0.173))+0.2*SIN(2*PI()*((((Scenario_Data!V52)+(0))/(0.5*(Inputs!$C$49+Inputs!$C$50)))+Inputs!$C$47*0.097)))+0.3*(2*((SIN(((Scenario_Data!V52)*12.9898+(0)*78.233+Inputs!$C$47*37.719))*43758.5453)-INT((SIN(((Scenario_Data!V52)*12.9898+(0)*78.233+Inputs!$C$47*37.719))*43758.5453)))-1)))))/Inputs!$C$21*1000000</f>
        <v/>
      </c>
      <c r="AD52">
        <f>Scenario_Data!W52</f>
        <v/>
      </c>
      <c r="AE52">
        <f>2*((Scenario_Data!E52*1000)-(IF(OR(Inputs!$C$27=TRUE,Inputs!$C$27="TRUE",Inputs!$C$27=1),1,0)*(Inputs!$C$51*(115*EXP(-(((0)-25)^2)/(4.5^2))+70*EXP(-(((0)+38)^2)/(7^2))*(0.55+0.45*SIN(2*PI()*(Scenario_Data!W52)/45))+24*SIN(2*PI()*(0)/9+(Scenario_Data!W52)/18)*EXP(-(((0)+5)^2)/(22^2))+18*SIN(2*PI()*(Scenario_Data!W52)/70))+Inputs!$C$28*EXP(-(((Scenario_Data!W52)-Inputs!$C$29)^2)/(2*Inputs!$C$31^2))*EXP(-(((0)-Inputs!$C$30)^2)/(2*Inputs!$C$32^2))+-Inputs!$C$33*EXP(-(((((Scenario_Data!W52)-Inputs!$C$34)^2)+(((0)-Inputs!$C$35)^2))/(2*Inputs!$C$36^2)))+Inputs!$C$37*(0.55*SIN(2*PI()*(Scenario_Data!W52)/Inputs!$C$39)+0.35*COS(2*PI()*(0)/Inputs!$C$40)+0.2*SIN(2*PI()*((Scenario_Data!W52)+(0))/(0.5*(Inputs!$C$39+Inputs!$C$40))))+Inputs!$C$38*SIN(2*PI()*(Scenario_Data!W52)/Inputs!$C$39)*SIN(2*PI()*(0)/Inputs!$C$40)+-Inputs!$C$41*EXP(-(((0)-Inputs!$C$43)^2)/(2*Inputs!$C$44^2))*EXP(-(((Scenario_Data!W52)-Inputs!$C$42)^2)/(2*Inputs!$C$45^2))+Inputs!$C$48*(0.7*(0.45*SIN(2*PI()*(((Scenario_Data!W52)/Inputs!$C$49)+Inputs!$C$47*0.137))+0.35*COS(2*PI()*(((0)/Inputs!$C$50)+Inputs!$C$47*0.173))+0.2*SIN(2*PI()*((((Scenario_Data!W52)+(0))/(0.5*(Inputs!$C$49+Inputs!$C$50)))+Inputs!$C$47*0.097)))+0.3*(2*((SIN(((Scenario_Data!W52)*12.9898+(0)*78.233+Inputs!$C$47*37.719))*43758.5453)-INT((SIN(((Scenario_Data!W52)*12.9898+(0)*78.233+Inputs!$C$47*37.719))*43758.5453)))-1)))))/Inputs!$C$21*1000000</f>
        <v/>
      </c>
      <c r="AG52">
        <f>Scenario_Data!T52</f>
        <v/>
      </c>
      <c r="AH52">
        <f>2*(SQRT((Inputs!$C$52+(Scenario_Data!B52))^2+Inputs!$C$52^2-2*(Inputs!$C$52+(Scenario_Data!B52))*Inputs!$C$52*COS(SQRT((Scenario_Data!T52)^2+Inputs!$C$6^2)/Inputs!$C$52))*1000)/Inputs!$C$21*1000000</f>
        <v/>
      </c>
      <c r="AI52">
        <f>Scenario_Data!U52</f>
        <v/>
      </c>
      <c r="AJ52">
        <f>2*(SQRT((Inputs!$C$52+(Scenario_Data!C52))^2+Inputs!$C$52^2-2*(Inputs!$C$52+(Scenario_Data!C52))*Inputs!$C$52*COS(SQRT((Scenario_Data!U52)^2+Inputs!$C$6^2)/Inputs!$C$52))*1000)/Inputs!$C$21*1000000</f>
        <v/>
      </c>
      <c r="AK52">
        <f>Scenario_Data!V52</f>
        <v/>
      </c>
      <c r="AL52">
        <f>2*(SQRT((Inputs!$C$52+(Scenario_Data!D52))^2+Inputs!$C$52^2-2*(Inputs!$C$52+(Scenario_Data!D52))*Inputs!$C$52*COS(SQRT((Scenario_Data!V52)^2+Inputs!$C$6^2)/Inputs!$C$52))*1000)/Inputs!$C$21*1000000</f>
        <v/>
      </c>
      <c r="AM52">
        <f>Scenario_Data!W52</f>
        <v/>
      </c>
      <c r="AN52">
        <f>2*(SQRT((Inputs!$C$52+(Scenario_Data!E52))^2+Inputs!$C$52^2-2*(Inputs!$C$52+(Scenario_Data!E52))*Inputs!$C$52*COS(SQRT((Scenario_Data!W52)^2+Inputs!$C$6^2)/Inputs!$C$52))*1000)/Inputs!$C$21*1000000</f>
        <v/>
      </c>
      <c r="AP52">
        <f>Scenario_Data!T52</f>
        <v/>
      </c>
      <c r="AQ52">
        <f>2*(SQRT((Inputs!$C$52+(Scenario_Data!B52))^2+(Inputs!$C$52+((IF(OR(Inputs!$C$27=TRUE,Inputs!$C$27="TRUE",Inputs!$C$27=1),1,0)*(Inputs!$C$51*(115*EXP(-(((Inputs!$C$6)-25)^2)/(4.5^2))+70*EXP(-(((Inputs!$C$6)+38)^2)/(7^2))*(0.55+0.45*SIN(2*PI()*(Scenario_Data!T52)/45))+24*SIN(2*PI()*(Inputs!$C$6)/9+(Scenario_Data!T52)/18)*EXP(-(((Inputs!$C$6)+5)^2)/(22^2))+18*SIN(2*PI()*(Scenario_Data!T52)/70))+Inputs!$C$28*EXP(-(((Scenario_Data!T52)-Inputs!$C$29)^2)/(2*Inputs!$C$31^2))*EXP(-(((Inputs!$C$6)-Inputs!$C$30)^2)/(2*Inputs!$C$32^2))+-Inputs!$C$33*EXP(-(((((Scenario_Data!T52)-Inputs!$C$34)^2)+(((Inputs!$C$6)-Inputs!$C$35)^2))/(2*Inputs!$C$36^2)))+Inputs!$C$37*(0.55*SIN(2*PI()*(Scenario_Data!T52)/Inputs!$C$39)+0.35*COS(2*PI()*(Inputs!$C$6)/Inputs!$C$40)+0.2*SIN(2*PI()*((Scenario_Data!T52)+(Inputs!$C$6))/(0.5*(Inputs!$C$39+Inputs!$C$40))))+Inputs!$C$38*SIN(2*PI()*(Scenario_Data!T52)/Inputs!$C$39)*SIN(2*PI()*(Inputs!$C$6)/Inputs!$C$40)+-Inputs!$C$41*EXP(-(((Inputs!$C$6)-Inputs!$C$43)^2)/(2*Inputs!$C$44^2))*EXP(-(((Scenario_Data!T52)-Inputs!$C$42)^2)/(2*Inputs!$C$45^2))+Inputs!$C$48*(0.7*(0.45*SIN(2*PI()*(((Scenario_Data!T52)/Inputs!$C$49)+Inputs!$C$47*0.137))+0.35*COS(2*PI()*(((Inputs!$C$6)/Inputs!$C$50)+Inputs!$C$47*0.173))+0.2*SIN(2*PI()*((((Scenario_Data!T52)+(Inputs!$C$6))/(0.5*(Inputs!$C$49+Inputs!$C$50)))+Inputs!$C$47*0.097)))+0.3*(2*((SIN(((Scenario_Data!T52)*12.9898+(Inputs!$C$6)*78.233+Inputs!$C$47*37.719))*43758.5453)-INT((SIN(((Scenario_Data!T52)*12.9898+(Inputs!$C$6)*78.233+Inputs!$C$47*37.719))*43758.5453)))-1))))/1000))^2-2*(Inputs!$C$52+(Scenario_Data!B52))*(Inputs!$C$52+((IF(OR(Inputs!$C$27=TRUE,Inputs!$C$27="TRUE",Inputs!$C$27=1),1,0)*(Inputs!$C$51*(115*EXP(-(((Inputs!$C$6)-25)^2)/(4.5^2))+70*EXP(-(((Inputs!$C$6)+38)^2)/(7^2))*(0.55+0.45*SIN(2*PI()*(Scenario_Data!T52)/45))+24*SIN(2*PI()*(Inputs!$C$6)/9+(Scenario_Data!T52)/18)*EXP(-(((Inputs!$C$6)+5)^2)/(22^2))+18*SIN(2*PI()*(Scenario_Data!T52)/70))+Inputs!$C$28*EXP(-(((Scenario_Data!T52)-Inputs!$C$29)^2)/(2*Inputs!$C$31^2))*EXP(-(((Inputs!$C$6)-Inputs!$C$30)^2)/(2*Inputs!$C$32^2))+-Inputs!$C$33*EXP(-(((((Scenario_Data!T52)-Inputs!$C$34)^2)+(((Inputs!$C$6)-Inputs!$C$35)^2))/(2*Inputs!$C$36^2)))+Inputs!$C$37*(0.55*SIN(2*PI()*(Scenario_Data!T52)/Inputs!$C$39)+0.35*COS(2*PI()*(Inputs!$C$6)/Inputs!$C$40)+0.2*SIN(2*PI()*((Scenario_Data!T52)+(Inputs!$C$6))/(0.5*(Inputs!$C$39+Inputs!$C$40))))+Inputs!$C$38*SIN(2*PI()*(Scenario_Data!T52)/Inputs!$C$39)*SIN(2*PI()*(Inputs!$C$6)/Inputs!$C$40)+-Inputs!$C$41*EXP(-(((Inputs!$C$6)-Inputs!$C$43)^2)/(2*Inputs!$C$44^2))*EXP(-(((Scenario_Data!T52)-Inputs!$C$42)^2)/(2*Inputs!$C$45^2))+Inputs!$C$48*(0.7*(0.45*SIN(2*PI()*(((Scenario_Data!T52)/Inputs!$C$49)+Inputs!$C$47*0.137))+0.35*COS(2*PI()*(((Inputs!$C$6)/Inputs!$C$50)+Inputs!$C$47*0.173))+0.2*SIN(2*PI()*((((Scenario_Data!T52)+(Inputs!$C$6))/(0.5*(Inputs!$C$49+Inputs!$C$50)))+Inputs!$C$47*0.097)))+0.3*(2*((SIN(((Scenario_Data!T52)*12.9898+(Inputs!$C$6)*78.233+Inputs!$C$47*37.719))*43758.5453)-INT((SIN(((Scenario_Data!T52)*12.9898+(Inputs!$C$6)*78.233+Inputs!$C$47*37.719))*43758.5453)))-1))))/1000))*COS(SQRT((Scenario_Data!T52)^2+Inputs!$C$6^2)/Inputs!$C$52))*1000)/Inputs!$C$21*1000000</f>
        <v/>
      </c>
      <c r="AR52">
        <f>Scenario_Data!U52</f>
        <v/>
      </c>
      <c r="AS52">
        <f>2*(SQRT((Inputs!$C$52+(Scenario_Data!C52))^2+(Inputs!$C$52+((IF(OR(Inputs!$C$27=TRUE,Inputs!$C$27="TRUE",Inputs!$C$27=1),1,0)*(Inputs!$C$51*(115*EXP(-(((Inputs!$C$6)-25)^2)/(4.5^2))+70*EXP(-(((Inputs!$C$6)+38)^2)/(7^2))*(0.55+0.45*SIN(2*PI()*(Scenario_Data!U52)/45))+24*SIN(2*PI()*(Inputs!$C$6)/9+(Scenario_Data!U52)/18)*EXP(-(((Inputs!$C$6)+5)^2)/(22^2))+18*SIN(2*PI()*(Scenario_Data!U52)/70))+Inputs!$C$28*EXP(-(((Scenario_Data!U52)-Inputs!$C$29)^2)/(2*Inputs!$C$31^2))*EXP(-(((Inputs!$C$6)-Inputs!$C$30)^2)/(2*Inputs!$C$32^2))+-Inputs!$C$33*EXP(-(((((Scenario_Data!U52)-Inputs!$C$34)^2)+(((Inputs!$C$6)-Inputs!$C$35)^2))/(2*Inputs!$C$36^2)))+Inputs!$C$37*(0.55*SIN(2*PI()*(Scenario_Data!U52)/Inputs!$C$39)+0.35*COS(2*PI()*(Inputs!$C$6)/Inputs!$C$40)+0.2*SIN(2*PI()*((Scenario_Data!U52)+(Inputs!$C$6))/(0.5*(Inputs!$C$39+Inputs!$C$40))))+Inputs!$C$38*SIN(2*PI()*(Scenario_Data!U52)/Inputs!$C$39)*SIN(2*PI()*(Inputs!$C$6)/Inputs!$C$40)+-Inputs!$C$41*EXP(-(((Inputs!$C$6)-Inputs!$C$43)^2)/(2*Inputs!$C$44^2))*EXP(-(((Scenario_Data!U52)-Inputs!$C$42)^2)/(2*Inputs!$C$45^2))+Inputs!$C$48*(0.7*(0.45*SIN(2*PI()*(((Scenario_Data!U52)/Inputs!$C$49)+Inputs!$C$47*0.137))+0.35*COS(2*PI()*(((Inputs!$C$6)/Inputs!$C$50)+Inputs!$C$47*0.173))+0.2*SIN(2*PI()*((((Scenario_Data!U52)+(Inputs!$C$6))/(0.5*(Inputs!$C$49+Inputs!$C$50)))+Inputs!$C$47*0.097)))+0.3*(2*((SIN(((Scenario_Data!U52)*12.9898+(Inputs!$C$6)*78.233+Inputs!$C$47*37.719))*43758.5453)-INT((SIN(((Scenario_Data!U52)*12.9898+(Inputs!$C$6)*78.233+Inputs!$C$47*37.719))*43758.5453)))-1))))/1000))^2-2*(Inputs!$C$52+(Scenario_Data!C52))*(Inputs!$C$52+((IF(OR(Inputs!$C$27=TRUE,Inputs!$C$27="TRUE",Inputs!$C$27=1),1,0)*(Inputs!$C$51*(115*EXP(-(((Inputs!$C$6)-25)^2)/(4.5^2))+70*EXP(-(((Inputs!$C$6)+38)^2)/(7^2))*(0.55+0.45*SIN(2*PI()*(Scenario_Data!U52)/45))+24*SIN(2*PI()*(Inputs!$C$6)/9+(Scenario_Data!U52)/18)*EXP(-(((Inputs!$C$6)+5)^2)/(22^2))+18*SIN(2*PI()*(Scenario_Data!U52)/70))+Inputs!$C$28*EXP(-(((Scenario_Data!U52)-Inputs!$C$29)^2)/(2*Inputs!$C$31^2))*EXP(-(((Inputs!$C$6)-Inputs!$C$30)^2)/(2*Inputs!$C$32^2))+-Inputs!$C$33*EXP(-(((((Scenario_Data!U52)-Inputs!$C$34)^2)+(((Inputs!$C$6)-Inputs!$C$35)^2))/(2*Inputs!$C$36^2)))+Inputs!$C$37*(0.55*SIN(2*PI()*(Scenario_Data!U52)/Inputs!$C$39)+0.35*COS(2*PI()*(Inputs!$C$6)/Inputs!$C$40)+0.2*SIN(2*PI()*((Scenario_Data!U52)+(Inputs!$C$6))/(0.5*(Inputs!$C$39+Inputs!$C$40))))+Inputs!$C$38*SIN(2*PI()*(Scenario_Data!U52)/Inputs!$C$39)*SIN(2*PI()*(Inputs!$C$6)/Inputs!$C$40)+-Inputs!$C$41*EXP(-(((Inputs!$C$6)-Inputs!$C$43)^2)/(2*Inputs!$C$44^2))*EXP(-(((Scenario_Data!U52)-Inputs!$C$42)^2)/(2*Inputs!$C$45^2))+Inputs!$C$48*(0.7*(0.45*SIN(2*PI()*(((Scenario_Data!U52)/Inputs!$C$49)+Inputs!$C$47*0.137))+0.35*COS(2*PI()*(((Inputs!$C$6)/Inputs!$C$50)+Inputs!$C$47*0.173))+0.2*SIN(2*PI()*((((Scenario_Data!U52)+(Inputs!$C$6))/(0.5*(Inputs!$C$49+Inputs!$C$50)))+Inputs!$C$47*0.097)))+0.3*(2*((SIN(((Scenario_Data!U52)*12.9898+(Inputs!$C$6)*78.233+Inputs!$C$47*37.719))*43758.5453)-INT((SIN(((Scenario_Data!U52)*12.9898+(Inputs!$C$6)*78.233+Inputs!$C$47*37.719))*43758.5453)))-1))))/1000))*COS(SQRT((Scenario_Data!U52)^2+Inputs!$C$6^2)/Inputs!$C$52))*1000)/Inputs!$C$21*1000000</f>
        <v/>
      </c>
      <c r="AT52">
        <f>Scenario_Data!V52</f>
        <v/>
      </c>
      <c r="AU52">
        <f>2*(SQRT((Inputs!$C$52+(Scenario_Data!D52))^2+(Inputs!$C$52+((IF(OR(Inputs!$C$27=TRUE,Inputs!$C$27="TRUE",Inputs!$C$27=1),1,0)*(Inputs!$C$51*(115*EXP(-(((Inputs!$C$6)-25)^2)/(4.5^2))+70*EXP(-(((Inputs!$C$6)+38)^2)/(7^2))*(0.55+0.45*SIN(2*PI()*(Scenario_Data!V52)/45))+24*SIN(2*PI()*(Inputs!$C$6)/9+(Scenario_Data!V52)/18)*EXP(-(((Inputs!$C$6)+5)^2)/(22^2))+18*SIN(2*PI()*(Scenario_Data!V52)/70))+Inputs!$C$28*EXP(-(((Scenario_Data!V52)-Inputs!$C$29)^2)/(2*Inputs!$C$31^2))*EXP(-(((Inputs!$C$6)-Inputs!$C$30)^2)/(2*Inputs!$C$32^2))+-Inputs!$C$33*EXP(-(((((Scenario_Data!V52)-Inputs!$C$34)^2)+(((Inputs!$C$6)-Inputs!$C$35)^2))/(2*Inputs!$C$36^2)))+Inputs!$C$37*(0.55*SIN(2*PI()*(Scenario_Data!V52)/Inputs!$C$39)+0.35*COS(2*PI()*(Inputs!$C$6)/Inputs!$C$40)+0.2*SIN(2*PI()*((Scenario_Data!V52)+(Inputs!$C$6))/(0.5*(Inputs!$C$39+Inputs!$C$40))))+Inputs!$C$38*SIN(2*PI()*(Scenario_Data!V52)/Inputs!$C$39)*SIN(2*PI()*(Inputs!$C$6)/Inputs!$C$40)+-Inputs!$C$41*EXP(-(((Inputs!$C$6)-Inputs!$C$43)^2)/(2*Inputs!$C$44^2))*EXP(-(((Scenario_Data!V52)-Inputs!$C$42)^2)/(2*Inputs!$C$45^2))+Inputs!$C$48*(0.7*(0.45*SIN(2*PI()*(((Scenario_Data!V52)/Inputs!$C$49)+Inputs!$C$47*0.137))+0.35*COS(2*PI()*(((Inputs!$C$6)/Inputs!$C$50)+Inputs!$C$47*0.173))+0.2*SIN(2*PI()*((((Scenario_Data!V52)+(Inputs!$C$6))/(0.5*(Inputs!$C$49+Inputs!$C$50)))+Inputs!$C$47*0.097)))+0.3*(2*((SIN(((Scenario_Data!V52)*12.9898+(Inputs!$C$6)*78.233+Inputs!$C$47*37.719))*43758.5453)-INT((SIN(((Scenario_Data!V52)*12.9898+(Inputs!$C$6)*78.233+Inputs!$C$47*37.719))*43758.5453)))-1))))/1000))^2-2*(Inputs!$C$52+(Scenario_Data!D52))*(Inputs!$C$52+((IF(OR(Inputs!$C$27=TRUE,Inputs!$C$27="TRUE",Inputs!$C$27=1),1,0)*(Inputs!$C$51*(115*EXP(-(((Inputs!$C$6)-25)^2)/(4.5^2))+70*EXP(-(((Inputs!$C$6)+38)^2)/(7^2))*(0.55+0.45*SIN(2*PI()*(Scenario_Data!V52)/45))+24*SIN(2*PI()*(Inputs!$C$6)/9+(Scenario_Data!V52)/18)*EXP(-(((Inputs!$C$6)+5)^2)/(22^2))+18*SIN(2*PI()*(Scenario_Data!V52)/70))+Inputs!$C$28*EXP(-(((Scenario_Data!V52)-Inputs!$C$29)^2)/(2*Inputs!$C$31^2))*EXP(-(((Inputs!$C$6)-Inputs!$C$30)^2)/(2*Inputs!$C$32^2))+-Inputs!$C$33*EXP(-(((((Scenario_Data!V52)-Inputs!$C$34)^2)+(((Inputs!$C$6)-Inputs!$C$35)^2))/(2*Inputs!$C$36^2)))+Inputs!$C$37*(0.55*SIN(2*PI()*(Scenario_Data!V52)/Inputs!$C$39)+0.35*COS(2*PI()*(Inputs!$C$6)/Inputs!$C$40)+0.2*SIN(2*PI()*((Scenario_Data!V52)+(Inputs!$C$6))/(0.5*(Inputs!$C$39+Inputs!$C$40))))+Inputs!$C$38*SIN(2*PI()*(Scenario_Data!V52)/Inputs!$C$39)*SIN(2*PI()*(Inputs!$C$6)/Inputs!$C$40)+-Inputs!$C$41*EXP(-(((Inputs!$C$6)-Inputs!$C$43)^2)/(2*Inputs!$C$44^2))*EXP(-(((Scenario_Data!V52)-Inputs!$C$42)^2)/(2*Inputs!$C$45^2))+Inputs!$C$48*(0.7*(0.45*SIN(2*PI()*(((Scenario_Data!V52)/Inputs!$C$49)+Inputs!$C$47*0.137))+0.35*COS(2*PI()*(((Inputs!$C$6)/Inputs!$C$50)+Inputs!$C$47*0.173))+0.2*SIN(2*PI()*((((Scenario_Data!V52)+(Inputs!$C$6))/(0.5*(Inputs!$C$49+Inputs!$C$50)))+Inputs!$C$47*0.097)))+0.3*(2*((SIN(((Scenario_Data!V52)*12.9898+(Inputs!$C$6)*78.233+Inputs!$C$47*37.719))*43758.5453)-INT((SIN(((Scenario_Data!V52)*12.9898+(Inputs!$C$6)*78.233+Inputs!$C$47*37.719))*43758.5453)))-1))))/1000))*COS(SQRT((Scenario_Data!V52)^2+Inputs!$C$6^2)/Inputs!$C$52))*1000)/Inputs!$C$21*1000000</f>
        <v/>
      </c>
      <c r="AV52">
        <f>Scenario_Data!W52</f>
        <v/>
      </c>
      <c r="AW52">
        <f>2*(SQRT((Inputs!$C$52+(Scenario_Data!E52))^2+(Inputs!$C$52+((IF(OR(Inputs!$C$27=TRUE,Inputs!$C$27="TRUE",Inputs!$C$27=1),1,0)*(Inputs!$C$51*(115*EXP(-(((Inputs!$C$6)-25)^2)/(4.5^2))+70*EXP(-(((Inputs!$C$6)+38)^2)/(7^2))*(0.55+0.45*SIN(2*PI()*(Scenario_Data!W52)/45))+24*SIN(2*PI()*(Inputs!$C$6)/9+(Scenario_Data!W52)/18)*EXP(-(((Inputs!$C$6)+5)^2)/(22^2))+18*SIN(2*PI()*(Scenario_Data!W52)/70))+Inputs!$C$28*EXP(-(((Scenario_Data!W52)-Inputs!$C$29)^2)/(2*Inputs!$C$31^2))*EXP(-(((Inputs!$C$6)-Inputs!$C$30)^2)/(2*Inputs!$C$32^2))+-Inputs!$C$33*EXP(-(((((Scenario_Data!W52)-Inputs!$C$34)^2)+(((Inputs!$C$6)-Inputs!$C$35)^2))/(2*Inputs!$C$36^2)))+Inputs!$C$37*(0.55*SIN(2*PI()*(Scenario_Data!W52)/Inputs!$C$39)+0.35*COS(2*PI()*(Inputs!$C$6)/Inputs!$C$40)+0.2*SIN(2*PI()*((Scenario_Data!W52)+(Inputs!$C$6))/(0.5*(Inputs!$C$39+Inputs!$C$40))))+Inputs!$C$38*SIN(2*PI()*(Scenario_Data!W52)/Inputs!$C$39)*SIN(2*PI()*(Inputs!$C$6)/Inputs!$C$40)+-Inputs!$C$41*EXP(-(((Inputs!$C$6)-Inputs!$C$43)^2)/(2*Inputs!$C$44^2))*EXP(-(((Scenario_Data!W52)-Inputs!$C$42)^2)/(2*Inputs!$C$45^2))+Inputs!$C$48*(0.7*(0.45*SIN(2*PI()*(((Scenario_Data!W52)/Inputs!$C$49)+Inputs!$C$47*0.137))+0.35*COS(2*PI()*(((Inputs!$C$6)/Inputs!$C$50)+Inputs!$C$47*0.173))+0.2*SIN(2*PI()*((((Scenario_Data!W52)+(Inputs!$C$6))/(0.5*(Inputs!$C$49+Inputs!$C$50)))+Inputs!$C$47*0.097)))+0.3*(2*((SIN(((Scenario_Data!W52)*12.9898+(Inputs!$C$6)*78.233+Inputs!$C$47*37.719))*43758.5453)-INT((SIN(((Scenario_Data!W52)*12.9898+(Inputs!$C$6)*78.233+Inputs!$C$47*37.719))*43758.5453)))-1))))/1000))^2-2*(Inputs!$C$52+(Scenario_Data!E52))*(Inputs!$C$52+((IF(OR(Inputs!$C$27=TRUE,Inputs!$C$27="TRUE",Inputs!$C$27=1),1,0)*(Inputs!$C$51*(115*EXP(-(((Inputs!$C$6)-25)^2)/(4.5^2))+70*EXP(-(((Inputs!$C$6)+38)^2)/(7^2))*(0.55+0.45*SIN(2*PI()*(Scenario_Data!W52)/45))+24*SIN(2*PI()*(Inputs!$C$6)/9+(Scenario_Data!W52)/18)*EXP(-(((Inputs!$C$6)+5)^2)/(22^2))+18*SIN(2*PI()*(Scenario_Data!W52)/70))+Inputs!$C$28*EXP(-(((Scenario_Data!W52)-Inputs!$C$29)^2)/(2*Inputs!$C$31^2))*EXP(-(((Inputs!$C$6)-Inputs!$C$30)^2)/(2*Inputs!$C$32^2))+-Inputs!$C$33*EXP(-(((((Scenario_Data!W52)-Inputs!$C$34)^2)+(((Inputs!$C$6)-Inputs!$C$35)^2))/(2*Inputs!$C$36^2)))+Inputs!$C$37*(0.55*SIN(2*PI()*(Scenario_Data!W52)/Inputs!$C$39)+0.35*COS(2*PI()*(Inputs!$C$6)/Inputs!$C$40)+0.2*SIN(2*PI()*((Scenario_Data!W52)+(Inputs!$C$6))/(0.5*(Inputs!$C$39+Inputs!$C$40))))+Inputs!$C$38*SIN(2*PI()*(Scenario_Data!W52)/Inputs!$C$39)*SIN(2*PI()*(Inputs!$C$6)/Inputs!$C$40)+-Inputs!$C$41*EXP(-(((Inputs!$C$6)-Inputs!$C$43)^2)/(2*Inputs!$C$44^2))*EXP(-(((Scenario_Data!W52)-Inputs!$C$42)^2)/(2*Inputs!$C$45^2))+Inputs!$C$48*(0.7*(0.45*SIN(2*PI()*(((Scenario_Data!W52)/Inputs!$C$49)+Inputs!$C$47*0.137))+0.35*COS(2*PI()*(((Inputs!$C$6)/Inputs!$C$50)+Inputs!$C$47*0.173))+0.2*SIN(2*PI()*((((Scenario_Data!W52)+(Inputs!$C$6))/(0.5*(Inputs!$C$49+Inputs!$C$50)))+Inputs!$C$47*0.097)))+0.3*(2*((SIN(((Scenario_Data!W52)*12.9898+(Inputs!$C$6)*78.233+Inputs!$C$47*37.719))*43758.5453)-INT((SIN(((Scenario_Data!W52)*12.9898+(Inputs!$C$6)*78.233+Inputs!$C$47*37.719))*43758.5453)))-1))))/1000))*COS(SQRT((Scenario_Data!W52)^2+Inputs!$C$6^2)/Inputs!$C$52))*1000)/Inputs!$C$21*1000000</f>
        <v/>
      </c>
    </row>
    <row r="53">
      <c r="A53">
        <f>Chart_Data!K53</f>
        <v/>
      </c>
      <c r="B53">
        <f>Chart_Data!N53-Chart_Data!L53</f>
        <v/>
      </c>
      <c r="D53">
        <f>Chart_Data!G53</f>
        <v/>
      </c>
      <c r="E53">
        <f>Chart_Data!H53</f>
        <v/>
      </c>
      <c r="F53">
        <f>Chart_Data!I53</f>
        <v/>
      </c>
      <c r="G53">
        <f>Chart_Data!J53</f>
        <v/>
      </c>
      <c r="I53">
        <f>Scenario_Data!A53</f>
        <v/>
      </c>
      <c r="J53">
        <f>Scenario_Data!H53-(((SQRT((Inputs!$C$52+(Inputs!$H$6))^2+Inputs!$C$52^2-2*(Inputs!$C$52+(Inputs!$H$6))*Inputs!$C$52*COS(SQRT((Scenario_Data!T53)^2+Inputs!$C$6^2)/Inputs!$C$52)))-(Inputs!$H$6))*1000/Inputs!$C$12)</f>
        <v/>
      </c>
      <c r="K53">
        <f>Scenario_Data!I53-(((SQRT((Inputs!$C$52+(Inputs!$H$7))^2+Inputs!$C$52^2-2*(Inputs!$C$52+(Inputs!$H$7))*Inputs!$C$52*COS(SQRT((Scenario_Data!U53)^2+Inputs!$C$6^2)/Inputs!$C$52)))-(Inputs!$H$7))*1000/Inputs!$C$12)</f>
        <v/>
      </c>
      <c r="L53">
        <f>Scenario_Data!J53-(((SQRT((Inputs!$C$52+(Inputs!$H$8))^2+Inputs!$C$52^2-2*(Inputs!$C$52+(Inputs!$H$8))*Inputs!$C$52*COS(SQRT((Scenario_Data!V53)^2+Inputs!$C$6^2)/Inputs!$C$52)))-(Inputs!$H$8))*1000/Inputs!$C$12)</f>
        <v/>
      </c>
      <c r="M53">
        <f>Scenario_Data!K53-(((SQRT((Inputs!$C$52+(Inputs!$H$9))^2+Inputs!$C$52^2-2*(Inputs!$C$52+(Inputs!$H$9))*Inputs!$C$52*COS(SQRT((Scenario_Data!W53)^2+Inputs!$C$6^2)/Inputs!$C$52)))-(Inputs!$H$9))*1000/Inputs!$C$12)</f>
        <v/>
      </c>
      <c r="O53">
        <f>Scenario_Data!T53</f>
        <v/>
      </c>
      <c r="P53">
        <f>2*(Scenario_Data!B53*1000)/Inputs!$C$21*1000000</f>
        <v/>
      </c>
      <c r="Q53">
        <f>Scenario_Data!U53</f>
        <v/>
      </c>
      <c r="R53">
        <f>2*(Scenario_Data!C53*1000)/Inputs!$C$21*1000000</f>
        <v/>
      </c>
      <c r="S53">
        <f>Scenario_Data!V53</f>
        <v/>
      </c>
      <c r="T53">
        <f>2*(Scenario_Data!D53*1000)/Inputs!$C$21*1000000</f>
        <v/>
      </c>
      <c r="U53">
        <f>Scenario_Data!W53</f>
        <v/>
      </c>
      <c r="V53">
        <f>2*(Scenario_Data!E53*1000)/Inputs!$C$21*1000000</f>
        <v/>
      </c>
      <c r="X53">
        <f>Scenario_Data!T53</f>
        <v/>
      </c>
      <c r="Y53">
        <f>2*((Scenario_Data!B53*1000)-(IF(OR(Inputs!$C$27=TRUE,Inputs!$C$27="TRUE",Inputs!$C$27=1),1,0)*(Inputs!$C$51*(115*EXP(-(((0)-25)^2)/(4.5^2))+70*EXP(-(((0)+38)^2)/(7^2))*(0.55+0.45*SIN(2*PI()*(Scenario_Data!T53)/45))+24*SIN(2*PI()*(0)/9+(Scenario_Data!T53)/18)*EXP(-(((0)+5)^2)/(22^2))+18*SIN(2*PI()*(Scenario_Data!T53)/70))+Inputs!$C$28*EXP(-(((Scenario_Data!T53)-Inputs!$C$29)^2)/(2*Inputs!$C$31^2))*EXP(-(((0)-Inputs!$C$30)^2)/(2*Inputs!$C$32^2))+-Inputs!$C$33*EXP(-(((((Scenario_Data!T53)-Inputs!$C$34)^2)+(((0)-Inputs!$C$35)^2))/(2*Inputs!$C$36^2)))+Inputs!$C$37*(0.55*SIN(2*PI()*(Scenario_Data!T53)/Inputs!$C$39)+0.35*COS(2*PI()*(0)/Inputs!$C$40)+0.2*SIN(2*PI()*((Scenario_Data!T53)+(0))/(0.5*(Inputs!$C$39+Inputs!$C$40))))+Inputs!$C$38*SIN(2*PI()*(Scenario_Data!T53)/Inputs!$C$39)*SIN(2*PI()*(0)/Inputs!$C$40)+-Inputs!$C$41*EXP(-(((0)-Inputs!$C$43)^2)/(2*Inputs!$C$44^2))*EXP(-(((Scenario_Data!T53)-Inputs!$C$42)^2)/(2*Inputs!$C$45^2))+Inputs!$C$48*(0.7*(0.45*SIN(2*PI()*(((Scenario_Data!T53)/Inputs!$C$49)+Inputs!$C$47*0.137))+0.35*COS(2*PI()*(((0)/Inputs!$C$50)+Inputs!$C$47*0.173))+0.2*SIN(2*PI()*((((Scenario_Data!T53)+(0))/(0.5*(Inputs!$C$49+Inputs!$C$50)))+Inputs!$C$47*0.097)))+0.3*(2*((SIN(((Scenario_Data!T53)*12.9898+(0)*78.233+Inputs!$C$47*37.719))*43758.5453)-INT((SIN(((Scenario_Data!T53)*12.9898+(0)*78.233+Inputs!$C$47*37.719))*43758.5453)))-1)))))/Inputs!$C$21*1000000</f>
        <v/>
      </c>
      <c r="Z53">
        <f>Scenario_Data!U53</f>
        <v/>
      </c>
      <c r="AA53">
        <f>2*((Scenario_Data!C53*1000)-(IF(OR(Inputs!$C$27=TRUE,Inputs!$C$27="TRUE",Inputs!$C$27=1),1,0)*(Inputs!$C$51*(115*EXP(-(((0)-25)^2)/(4.5^2))+70*EXP(-(((0)+38)^2)/(7^2))*(0.55+0.45*SIN(2*PI()*(Scenario_Data!U53)/45))+24*SIN(2*PI()*(0)/9+(Scenario_Data!U53)/18)*EXP(-(((0)+5)^2)/(22^2))+18*SIN(2*PI()*(Scenario_Data!U53)/70))+Inputs!$C$28*EXP(-(((Scenario_Data!U53)-Inputs!$C$29)^2)/(2*Inputs!$C$31^2))*EXP(-(((0)-Inputs!$C$30)^2)/(2*Inputs!$C$32^2))+-Inputs!$C$33*EXP(-(((((Scenario_Data!U53)-Inputs!$C$34)^2)+(((0)-Inputs!$C$35)^2))/(2*Inputs!$C$36^2)))+Inputs!$C$37*(0.55*SIN(2*PI()*(Scenario_Data!U53)/Inputs!$C$39)+0.35*COS(2*PI()*(0)/Inputs!$C$40)+0.2*SIN(2*PI()*((Scenario_Data!U53)+(0))/(0.5*(Inputs!$C$39+Inputs!$C$40))))+Inputs!$C$38*SIN(2*PI()*(Scenario_Data!U53)/Inputs!$C$39)*SIN(2*PI()*(0)/Inputs!$C$40)+-Inputs!$C$41*EXP(-(((0)-Inputs!$C$43)^2)/(2*Inputs!$C$44^2))*EXP(-(((Scenario_Data!U53)-Inputs!$C$42)^2)/(2*Inputs!$C$45^2))+Inputs!$C$48*(0.7*(0.45*SIN(2*PI()*(((Scenario_Data!U53)/Inputs!$C$49)+Inputs!$C$47*0.137))+0.35*COS(2*PI()*(((0)/Inputs!$C$50)+Inputs!$C$47*0.173))+0.2*SIN(2*PI()*((((Scenario_Data!U53)+(0))/(0.5*(Inputs!$C$49+Inputs!$C$50)))+Inputs!$C$47*0.097)))+0.3*(2*((SIN(((Scenario_Data!U53)*12.9898+(0)*78.233+Inputs!$C$47*37.719))*43758.5453)-INT((SIN(((Scenario_Data!U53)*12.9898+(0)*78.233+Inputs!$C$47*37.719))*43758.5453)))-1)))))/Inputs!$C$21*1000000</f>
        <v/>
      </c>
      <c r="AB53">
        <f>Scenario_Data!V53</f>
        <v/>
      </c>
      <c r="AC53">
        <f>2*((Scenario_Data!D53*1000)-(IF(OR(Inputs!$C$27=TRUE,Inputs!$C$27="TRUE",Inputs!$C$27=1),1,0)*(Inputs!$C$51*(115*EXP(-(((0)-25)^2)/(4.5^2))+70*EXP(-(((0)+38)^2)/(7^2))*(0.55+0.45*SIN(2*PI()*(Scenario_Data!V53)/45))+24*SIN(2*PI()*(0)/9+(Scenario_Data!V53)/18)*EXP(-(((0)+5)^2)/(22^2))+18*SIN(2*PI()*(Scenario_Data!V53)/70))+Inputs!$C$28*EXP(-(((Scenario_Data!V53)-Inputs!$C$29)^2)/(2*Inputs!$C$31^2))*EXP(-(((0)-Inputs!$C$30)^2)/(2*Inputs!$C$32^2))+-Inputs!$C$33*EXP(-(((((Scenario_Data!V53)-Inputs!$C$34)^2)+(((0)-Inputs!$C$35)^2))/(2*Inputs!$C$36^2)))+Inputs!$C$37*(0.55*SIN(2*PI()*(Scenario_Data!V53)/Inputs!$C$39)+0.35*COS(2*PI()*(0)/Inputs!$C$40)+0.2*SIN(2*PI()*((Scenario_Data!V53)+(0))/(0.5*(Inputs!$C$39+Inputs!$C$40))))+Inputs!$C$38*SIN(2*PI()*(Scenario_Data!V53)/Inputs!$C$39)*SIN(2*PI()*(0)/Inputs!$C$40)+-Inputs!$C$41*EXP(-(((0)-Inputs!$C$43)^2)/(2*Inputs!$C$44^2))*EXP(-(((Scenario_Data!V53)-Inputs!$C$42)^2)/(2*Inputs!$C$45^2))+Inputs!$C$48*(0.7*(0.45*SIN(2*PI()*(((Scenario_Data!V53)/Inputs!$C$49)+Inputs!$C$47*0.137))+0.35*COS(2*PI()*(((0)/Inputs!$C$50)+Inputs!$C$47*0.173))+0.2*SIN(2*PI()*((((Scenario_Data!V53)+(0))/(0.5*(Inputs!$C$49+Inputs!$C$50)))+Inputs!$C$47*0.097)))+0.3*(2*((SIN(((Scenario_Data!V53)*12.9898+(0)*78.233+Inputs!$C$47*37.719))*43758.5453)-INT((SIN(((Scenario_Data!V53)*12.9898+(0)*78.233+Inputs!$C$47*37.719))*43758.5453)))-1)))))/Inputs!$C$21*1000000</f>
        <v/>
      </c>
      <c r="AD53">
        <f>Scenario_Data!W53</f>
        <v/>
      </c>
      <c r="AE53">
        <f>2*((Scenario_Data!E53*1000)-(IF(OR(Inputs!$C$27=TRUE,Inputs!$C$27="TRUE",Inputs!$C$27=1),1,0)*(Inputs!$C$51*(115*EXP(-(((0)-25)^2)/(4.5^2))+70*EXP(-(((0)+38)^2)/(7^2))*(0.55+0.45*SIN(2*PI()*(Scenario_Data!W53)/45))+24*SIN(2*PI()*(0)/9+(Scenario_Data!W53)/18)*EXP(-(((0)+5)^2)/(22^2))+18*SIN(2*PI()*(Scenario_Data!W53)/70))+Inputs!$C$28*EXP(-(((Scenario_Data!W53)-Inputs!$C$29)^2)/(2*Inputs!$C$31^2))*EXP(-(((0)-Inputs!$C$30)^2)/(2*Inputs!$C$32^2))+-Inputs!$C$33*EXP(-(((((Scenario_Data!W53)-Inputs!$C$34)^2)+(((0)-Inputs!$C$35)^2))/(2*Inputs!$C$36^2)))+Inputs!$C$37*(0.55*SIN(2*PI()*(Scenario_Data!W53)/Inputs!$C$39)+0.35*COS(2*PI()*(0)/Inputs!$C$40)+0.2*SIN(2*PI()*((Scenario_Data!W53)+(0))/(0.5*(Inputs!$C$39+Inputs!$C$40))))+Inputs!$C$38*SIN(2*PI()*(Scenario_Data!W53)/Inputs!$C$39)*SIN(2*PI()*(0)/Inputs!$C$40)+-Inputs!$C$41*EXP(-(((0)-Inputs!$C$43)^2)/(2*Inputs!$C$44^2))*EXP(-(((Scenario_Data!W53)-Inputs!$C$42)^2)/(2*Inputs!$C$45^2))+Inputs!$C$48*(0.7*(0.45*SIN(2*PI()*(((Scenario_Data!W53)/Inputs!$C$49)+Inputs!$C$47*0.137))+0.35*COS(2*PI()*(((0)/Inputs!$C$50)+Inputs!$C$47*0.173))+0.2*SIN(2*PI()*((((Scenario_Data!W53)+(0))/(0.5*(Inputs!$C$49+Inputs!$C$50)))+Inputs!$C$47*0.097)))+0.3*(2*((SIN(((Scenario_Data!W53)*12.9898+(0)*78.233+Inputs!$C$47*37.719))*43758.5453)-INT((SIN(((Scenario_Data!W53)*12.9898+(0)*78.233+Inputs!$C$47*37.719))*43758.5453)))-1)))))/Inputs!$C$21*1000000</f>
        <v/>
      </c>
      <c r="AG53">
        <f>Scenario_Data!T53</f>
        <v/>
      </c>
      <c r="AH53">
        <f>2*(SQRT((Inputs!$C$52+(Scenario_Data!B53))^2+Inputs!$C$52^2-2*(Inputs!$C$52+(Scenario_Data!B53))*Inputs!$C$52*COS(SQRT((Scenario_Data!T53)^2+Inputs!$C$6^2)/Inputs!$C$52))*1000)/Inputs!$C$21*1000000</f>
        <v/>
      </c>
      <c r="AI53">
        <f>Scenario_Data!U53</f>
        <v/>
      </c>
      <c r="AJ53">
        <f>2*(SQRT((Inputs!$C$52+(Scenario_Data!C53))^2+Inputs!$C$52^2-2*(Inputs!$C$52+(Scenario_Data!C53))*Inputs!$C$52*COS(SQRT((Scenario_Data!U53)^2+Inputs!$C$6^2)/Inputs!$C$52))*1000)/Inputs!$C$21*1000000</f>
        <v/>
      </c>
      <c r="AK53">
        <f>Scenario_Data!V53</f>
        <v/>
      </c>
      <c r="AL53">
        <f>2*(SQRT((Inputs!$C$52+(Scenario_Data!D53))^2+Inputs!$C$52^2-2*(Inputs!$C$52+(Scenario_Data!D53))*Inputs!$C$52*COS(SQRT((Scenario_Data!V53)^2+Inputs!$C$6^2)/Inputs!$C$52))*1000)/Inputs!$C$21*1000000</f>
        <v/>
      </c>
      <c r="AM53">
        <f>Scenario_Data!W53</f>
        <v/>
      </c>
      <c r="AN53">
        <f>2*(SQRT((Inputs!$C$52+(Scenario_Data!E53))^2+Inputs!$C$52^2-2*(Inputs!$C$52+(Scenario_Data!E53))*Inputs!$C$52*COS(SQRT((Scenario_Data!W53)^2+Inputs!$C$6^2)/Inputs!$C$52))*1000)/Inputs!$C$21*1000000</f>
        <v/>
      </c>
      <c r="AP53">
        <f>Scenario_Data!T53</f>
        <v/>
      </c>
      <c r="AQ53">
        <f>2*(SQRT((Inputs!$C$52+(Scenario_Data!B53))^2+(Inputs!$C$52+((IF(OR(Inputs!$C$27=TRUE,Inputs!$C$27="TRUE",Inputs!$C$27=1),1,0)*(Inputs!$C$51*(115*EXP(-(((Inputs!$C$6)-25)^2)/(4.5^2))+70*EXP(-(((Inputs!$C$6)+38)^2)/(7^2))*(0.55+0.45*SIN(2*PI()*(Scenario_Data!T53)/45))+24*SIN(2*PI()*(Inputs!$C$6)/9+(Scenario_Data!T53)/18)*EXP(-(((Inputs!$C$6)+5)^2)/(22^2))+18*SIN(2*PI()*(Scenario_Data!T53)/70))+Inputs!$C$28*EXP(-(((Scenario_Data!T53)-Inputs!$C$29)^2)/(2*Inputs!$C$31^2))*EXP(-(((Inputs!$C$6)-Inputs!$C$30)^2)/(2*Inputs!$C$32^2))+-Inputs!$C$33*EXP(-(((((Scenario_Data!T53)-Inputs!$C$34)^2)+(((Inputs!$C$6)-Inputs!$C$35)^2))/(2*Inputs!$C$36^2)))+Inputs!$C$37*(0.55*SIN(2*PI()*(Scenario_Data!T53)/Inputs!$C$39)+0.35*COS(2*PI()*(Inputs!$C$6)/Inputs!$C$40)+0.2*SIN(2*PI()*((Scenario_Data!T53)+(Inputs!$C$6))/(0.5*(Inputs!$C$39+Inputs!$C$40))))+Inputs!$C$38*SIN(2*PI()*(Scenario_Data!T53)/Inputs!$C$39)*SIN(2*PI()*(Inputs!$C$6)/Inputs!$C$40)+-Inputs!$C$41*EXP(-(((Inputs!$C$6)-Inputs!$C$43)^2)/(2*Inputs!$C$44^2))*EXP(-(((Scenario_Data!T53)-Inputs!$C$42)^2)/(2*Inputs!$C$45^2))+Inputs!$C$48*(0.7*(0.45*SIN(2*PI()*(((Scenario_Data!T53)/Inputs!$C$49)+Inputs!$C$47*0.137))+0.35*COS(2*PI()*(((Inputs!$C$6)/Inputs!$C$50)+Inputs!$C$47*0.173))+0.2*SIN(2*PI()*((((Scenario_Data!T53)+(Inputs!$C$6))/(0.5*(Inputs!$C$49+Inputs!$C$50)))+Inputs!$C$47*0.097)))+0.3*(2*((SIN(((Scenario_Data!T53)*12.9898+(Inputs!$C$6)*78.233+Inputs!$C$47*37.719))*43758.5453)-INT((SIN(((Scenario_Data!T53)*12.9898+(Inputs!$C$6)*78.233+Inputs!$C$47*37.719))*43758.5453)))-1))))/1000))^2-2*(Inputs!$C$52+(Scenario_Data!B53))*(Inputs!$C$52+((IF(OR(Inputs!$C$27=TRUE,Inputs!$C$27="TRUE",Inputs!$C$27=1),1,0)*(Inputs!$C$51*(115*EXP(-(((Inputs!$C$6)-25)^2)/(4.5^2))+70*EXP(-(((Inputs!$C$6)+38)^2)/(7^2))*(0.55+0.45*SIN(2*PI()*(Scenario_Data!T53)/45))+24*SIN(2*PI()*(Inputs!$C$6)/9+(Scenario_Data!T53)/18)*EXP(-(((Inputs!$C$6)+5)^2)/(22^2))+18*SIN(2*PI()*(Scenario_Data!T53)/70))+Inputs!$C$28*EXP(-(((Scenario_Data!T53)-Inputs!$C$29)^2)/(2*Inputs!$C$31^2))*EXP(-(((Inputs!$C$6)-Inputs!$C$30)^2)/(2*Inputs!$C$32^2))+-Inputs!$C$33*EXP(-(((((Scenario_Data!T53)-Inputs!$C$34)^2)+(((Inputs!$C$6)-Inputs!$C$35)^2))/(2*Inputs!$C$36^2)))+Inputs!$C$37*(0.55*SIN(2*PI()*(Scenario_Data!T53)/Inputs!$C$39)+0.35*COS(2*PI()*(Inputs!$C$6)/Inputs!$C$40)+0.2*SIN(2*PI()*((Scenario_Data!T53)+(Inputs!$C$6))/(0.5*(Inputs!$C$39+Inputs!$C$40))))+Inputs!$C$38*SIN(2*PI()*(Scenario_Data!T53)/Inputs!$C$39)*SIN(2*PI()*(Inputs!$C$6)/Inputs!$C$40)+-Inputs!$C$41*EXP(-(((Inputs!$C$6)-Inputs!$C$43)^2)/(2*Inputs!$C$44^2))*EXP(-(((Scenario_Data!T53)-Inputs!$C$42)^2)/(2*Inputs!$C$45^2))+Inputs!$C$48*(0.7*(0.45*SIN(2*PI()*(((Scenario_Data!T53)/Inputs!$C$49)+Inputs!$C$47*0.137))+0.35*COS(2*PI()*(((Inputs!$C$6)/Inputs!$C$50)+Inputs!$C$47*0.173))+0.2*SIN(2*PI()*((((Scenario_Data!T53)+(Inputs!$C$6))/(0.5*(Inputs!$C$49+Inputs!$C$50)))+Inputs!$C$47*0.097)))+0.3*(2*((SIN(((Scenario_Data!T53)*12.9898+(Inputs!$C$6)*78.233+Inputs!$C$47*37.719))*43758.5453)-INT((SIN(((Scenario_Data!T53)*12.9898+(Inputs!$C$6)*78.233+Inputs!$C$47*37.719))*43758.5453)))-1))))/1000))*COS(SQRT((Scenario_Data!T53)^2+Inputs!$C$6^2)/Inputs!$C$52))*1000)/Inputs!$C$21*1000000</f>
        <v/>
      </c>
      <c r="AR53">
        <f>Scenario_Data!U53</f>
        <v/>
      </c>
      <c r="AS53">
        <f>2*(SQRT((Inputs!$C$52+(Scenario_Data!C53))^2+(Inputs!$C$52+((IF(OR(Inputs!$C$27=TRUE,Inputs!$C$27="TRUE",Inputs!$C$27=1),1,0)*(Inputs!$C$51*(115*EXP(-(((Inputs!$C$6)-25)^2)/(4.5^2))+70*EXP(-(((Inputs!$C$6)+38)^2)/(7^2))*(0.55+0.45*SIN(2*PI()*(Scenario_Data!U53)/45))+24*SIN(2*PI()*(Inputs!$C$6)/9+(Scenario_Data!U53)/18)*EXP(-(((Inputs!$C$6)+5)^2)/(22^2))+18*SIN(2*PI()*(Scenario_Data!U53)/70))+Inputs!$C$28*EXP(-(((Scenario_Data!U53)-Inputs!$C$29)^2)/(2*Inputs!$C$31^2))*EXP(-(((Inputs!$C$6)-Inputs!$C$30)^2)/(2*Inputs!$C$32^2))+-Inputs!$C$33*EXP(-(((((Scenario_Data!U53)-Inputs!$C$34)^2)+(((Inputs!$C$6)-Inputs!$C$35)^2))/(2*Inputs!$C$36^2)))+Inputs!$C$37*(0.55*SIN(2*PI()*(Scenario_Data!U53)/Inputs!$C$39)+0.35*COS(2*PI()*(Inputs!$C$6)/Inputs!$C$40)+0.2*SIN(2*PI()*((Scenario_Data!U53)+(Inputs!$C$6))/(0.5*(Inputs!$C$39+Inputs!$C$40))))+Inputs!$C$38*SIN(2*PI()*(Scenario_Data!U53)/Inputs!$C$39)*SIN(2*PI()*(Inputs!$C$6)/Inputs!$C$40)+-Inputs!$C$41*EXP(-(((Inputs!$C$6)-Inputs!$C$43)^2)/(2*Inputs!$C$44^2))*EXP(-(((Scenario_Data!U53)-Inputs!$C$42)^2)/(2*Inputs!$C$45^2))+Inputs!$C$48*(0.7*(0.45*SIN(2*PI()*(((Scenario_Data!U53)/Inputs!$C$49)+Inputs!$C$47*0.137))+0.35*COS(2*PI()*(((Inputs!$C$6)/Inputs!$C$50)+Inputs!$C$47*0.173))+0.2*SIN(2*PI()*((((Scenario_Data!U53)+(Inputs!$C$6))/(0.5*(Inputs!$C$49+Inputs!$C$50)))+Inputs!$C$47*0.097)))+0.3*(2*((SIN(((Scenario_Data!U53)*12.9898+(Inputs!$C$6)*78.233+Inputs!$C$47*37.719))*43758.5453)-INT((SIN(((Scenario_Data!U53)*12.9898+(Inputs!$C$6)*78.233+Inputs!$C$47*37.719))*43758.5453)))-1))))/1000))^2-2*(Inputs!$C$52+(Scenario_Data!C53))*(Inputs!$C$52+((IF(OR(Inputs!$C$27=TRUE,Inputs!$C$27="TRUE",Inputs!$C$27=1),1,0)*(Inputs!$C$51*(115*EXP(-(((Inputs!$C$6)-25)^2)/(4.5^2))+70*EXP(-(((Inputs!$C$6)+38)^2)/(7^2))*(0.55+0.45*SIN(2*PI()*(Scenario_Data!U53)/45))+24*SIN(2*PI()*(Inputs!$C$6)/9+(Scenario_Data!U53)/18)*EXP(-(((Inputs!$C$6)+5)^2)/(22^2))+18*SIN(2*PI()*(Scenario_Data!U53)/70))+Inputs!$C$28*EXP(-(((Scenario_Data!U53)-Inputs!$C$29)^2)/(2*Inputs!$C$31^2))*EXP(-(((Inputs!$C$6)-Inputs!$C$30)^2)/(2*Inputs!$C$32^2))+-Inputs!$C$33*EXP(-(((((Scenario_Data!U53)-Inputs!$C$34)^2)+(((Inputs!$C$6)-Inputs!$C$35)^2))/(2*Inputs!$C$36^2)))+Inputs!$C$37*(0.55*SIN(2*PI()*(Scenario_Data!U53)/Inputs!$C$39)+0.35*COS(2*PI()*(Inputs!$C$6)/Inputs!$C$40)+0.2*SIN(2*PI()*((Scenario_Data!U53)+(Inputs!$C$6))/(0.5*(Inputs!$C$39+Inputs!$C$40))))+Inputs!$C$38*SIN(2*PI()*(Scenario_Data!U53)/Inputs!$C$39)*SIN(2*PI()*(Inputs!$C$6)/Inputs!$C$40)+-Inputs!$C$41*EXP(-(((Inputs!$C$6)-Inputs!$C$43)^2)/(2*Inputs!$C$44^2))*EXP(-(((Scenario_Data!U53)-Inputs!$C$42)^2)/(2*Inputs!$C$45^2))+Inputs!$C$48*(0.7*(0.45*SIN(2*PI()*(((Scenario_Data!U53)/Inputs!$C$49)+Inputs!$C$47*0.137))+0.35*COS(2*PI()*(((Inputs!$C$6)/Inputs!$C$50)+Inputs!$C$47*0.173))+0.2*SIN(2*PI()*((((Scenario_Data!U53)+(Inputs!$C$6))/(0.5*(Inputs!$C$49+Inputs!$C$50)))+Inputs!$C$47*0.097)))+0.3*(2*((SIN(((Scenario_Data!U53)*12.9898+(Inputs!$C$6)*78.233+Inputs!$C$47*37.719))*43758.5453)-INT((SIN(((Scenario_Data!U53)*12.9898+(Inputs!$C$6)*78.233+Inputs!$C$47*37.719))*43758.5453)))-1))))/1000))*COS(SQRT((Scenario_Data!U53)^2+Inputs!$C$6^2)/Inputs!$C$52))*1000)/Inputs!$C$21*1000000</f>
        <v/>
      </c>
      <c r="AT53">
        <f>Scenario_Data!V53</f>
        <v/>
      </c>
      <c r="AU53">
        <f>2*(SQRT((Inputs!$C$52+(Scenario_Data!D53))^2+(Inputs!$C$52+((IF(OR(Inputs!$C$27=TRUE,Inputs!$C$27="TRUE",Inputs!$C$27=1),1,0)*(Inputs!$C$51*(115*EXP(-(((Inputs!$C$6)-25)^2)/(4.5^2))+70*EXP(-(((Inputs!$C$6)+38)^2)/(7^2))*(0.55+0.45*SIN(2*PI()*(Scenario_Data!V53)/45))+24*SIN(2*PI()*(Inputs!$C$6)/9+(Scenario_Data!V53)/18)*EXP(-(((Inputs!$C$6)+5)^2)/(22^2))+18*SIN(2*PI()*(Scenario_Data!V53)/70))+Inputs!$C$28*EXP(-(((Scenario_Data!V53)-Inputs!$C$29)^2)/(2*Inputs!$C$31^2))*EXP(-(((Inputs!$C$6)-Inputs!$C$30)^2)/(2*Inputs!$C$32^2))+-Inputs!$C$33*EXP(-(((((Scenario_Data!V53)-Inputs!$C$34)^2)+(((Inputs!$C$6)-Inputs!$C$35)^2))/(2*Inputs!$C$36^2)))+Inputs!$C$37*(0.55*SIN(2*PI()*(Scenario_Data!V53)/Inputs!$C$39)+0.35*COS(2*PI()*(Inputs!$C$6)/Inputs!$C$40)+0.2*SIN(2*PI()*((Scenario_Data!V53)+(Inputs!$C$6))/(0.5*(Inputs!$C$39+Inputs!$C$40))))+Inputs!$C$38*SIN(2*PI()*(Scenario_Data!V53)/Inputs!$C$39)*SIN(2*PI()*(Inputs!$C$6)/Inputs!$C$40)+-Inputs!$C$41*EXP(-(((Inputs!$C$6)-Inputs!$C$43)^2)/(2*Inputs!$C$44^2))*EXP(-(((Scenario_Data!V53)-Inputs!$C$42)^2)/(2*Inputs!$C$45^2))+Inputs!$C$48*(0.7*(0.45*SIN(2*PI()*(((Scenario_Data!V53)/Inputs!$C$49)+Inputs!$C$47*0.137))+0.35*COS(2*PI()*(((Inputs!$C$6)/Inputs!$C$50)+Inputs!$C$47*0.173))+0.2*SIN(2*PI()*((((Scenario_Data!V53)+(Inputs!$C$6))/(0.5*(Inputs!$C$49+Inputs!$C$50)))+Inputs!$C$47*0.097)))+0.3*(2*((SIN(((Scenario_Data!V53)*12.9898+(Inputs!$C$6)*78.233+Inputs!$C$47*37.719))*43758.5453)-INT((SIN(((Scenario_Data!V53)*12.9898+(Inputs!$C$6)*78.233+Inputs!$C$47*37.719))*43758.5453)))-1))))/1000))^2-2*(Inputs!$C$52+(Scenario_Data!D53))*(Inputs!$C$52+((IF(OR(Inputs!$C$27=TRUE,Inputs!$C$27="TRUE",Inputs!$C$27=1),1,0)*(Inputs!$C$51*(115*EXP(-(((Inputs!$C$6)-25)^2)/(4.5^2))+70*EXP(-(((Inputs!$C$6)+38)^2)/(7^2))*(0.55+0.45*SIN(2*PI()*(Scenario_Data!V53)/45))+24*SIN(2*PI()*(Inputs!$C$6)/9+(Scenario_Data!V53)/18)*EXP(-(((Inputs!$C$6)+5)^2)/(22^2))+18*SIN(2*PI()*(Scenario_Data!V53)/70))+Inputs!$C$28*EXP(-(((Scenario_Data!V53)-Inputs!$C$29)^2)/(2*Inputs!$C$31^2))*EXP(-(((Inputs!$C$6)-Inputs!$C$30)^2)/(2*Inputs!$C$32^2))+-Inputs!$C$33*EXP(-(((((Scenario_Data!V53)-Inputs!$C$34)^2)+(((Inputs!$C$6)-Inputs!$C$35)^2))/(2*Inputs!$C$36^2)))+Inputs!$C$37*(0.55*SIN(2*PI()*(Scenario_Data!V53)/Inputs!$C$39)+0.35*COS(2*PI()*(Inputs!$C$6)/Inputs!$C$40)+0.2*SIN(2*PI()*((Scenario_Data!V53)+(Inputs!$C$6))/(0.5*(Inputs!$C$39+Inputs!$C$40))))+Inputs!$C$38*SIN(2*PI()*(Scenario_Data!V53)/Inputs!$C$39)*SIN(2*PI()*(Inputs!$C$6)/Inputs!$C$40)+-Inputs!$C$41*EXP(-(((Inputs!$C$6)-Inputs!$C$43)^2)/(2*Inputs!$C$44^2))*EXP(-(((Scenario_Data!V53)-Inputs!$C$42)^2)/(2*Inputs!$C$45^2))+Inputs!$C$48*(0.7*(0.45*SIN(2*PI()*(((Scenario_Data!V53)/Inputs!$C$49)+Inputs!$C$47*0.137))+0.35*COS(2*PI()*(((Inputs!$C$6)/Inputs!$C$50)+Inputs!$C$47*0.173))+0.2*SIN(2*PI()*((((Scenario_Data!V53)+(Inputs!$C$6))/(0.5*(Inputs!$C$49+Inputs!$C$50)))+Inputs!$C$47*0.097)))+0.3*(2*((SIN(((Scenario_Data!V53)*12.9898+(Inputs!$C$6)*78.233+Inputs!$C$47*37.719))*43758.5453)-INT((SIN(((Scenario_Data!V53)*12.9898+(Inputs!$C$6)*78.233+Inputs!$C$47*37.719))*43758.5453)))-1))))/1000))*COS(SQRT((Scenario_Data!V53)^2+Inputs!$C$6^2)/Inputs!$C$52))*1000)/Inputs!$C$21*1000000</f>
        <v/>
      </c>
      <c r="AV53">
        <f>Scenario_Data!W53</f>
        <v/>
      </c>
      <c r="AW53">
        <f>2*(SQRT((Inputs!$C$52+(Scenario_Data!E53))^2+(Inputs!$C$52+((IF(OR(Inputs!$C$27=TRUE,Inputs!$C$27="TRUE",Inputs!$C$27=1),1,0)*(Inputs!$C$51*(115*EXP(-(((Inputs!$C$6)-25)^2)/(4.5^2))+70*EXP(-(((Inputs!$C$6)+38)^2)/(7^2))*(0.55+0.45*SIN(2*PI()*(Scenario_Data!W53)/45))+24*SIN(2*PI()*(Inputs!$C$6)/9+(Scenario_Data!W53)/18)*EXP(-(((Inputs!$C$6)+5)^2)/(22^2))+18*SIN(2*PI()*(Scenario_Data!W53)/70))+Inputs!$C$28*EXP(-(((Scenario_Data!W53)-Inputs!$C$29)^2)/(2*Inputs!$C$31^2))*EXP(-(((Inputs!$C$6)-Inputs!$C$30)^2)/(2*Inputs!$C$32^2))+-Inputs!$C$33*EXP(-(((((Scenario_Data!W53)-Inputs!$C$34)^2)+(((Inputs!$C$6)-Inputs!$C$35)^2))/(2*Inputs!$C$36^2)))+Inputs!$C$37*(0.55*SIN(2*PI()*(Scenario_Data!W53)/Inputs!$C$39)+0.35*COS(2*PI()*(Inputs!$C$6)/Inputs!$C$40)+0.2*SIN(2*PI()*((Scenario_Data!W53)+(Inputs!$C$6))/(0.5*(Inputs!$C$39+Inputs!$C$40))))+Inputs!$C$38*SIN(2*PI()*(Scenario_Data!W53)/Inputs!$C$39)*SIN(2*PI()*(Inputs!$C$6)/Inputs!$C$40)+-Inputs!$C$41*EXP(-(((Inputs!$C$6)-Inputs!$C$43)^2)/(2*Inputs!$C$44^2))*EXP(-(((Scenario_Data!W53)-Inputs!$C$42)^2)/(2*Inputs!$C$45^2))+Inputs!$C$48*(0.7*(0.45*SIN(2*PI()*(((Scenario_Data!W53)/Inputs!$C$49)+Inputs!$C$47*0.137))+0.35*COS(2*PI()*(((Inputs!$C$6)/Inputs!$C$50)+Inputs!$C$47*0.173))+0.2*SIN(2*PI()*((((Scenario_Data!W53)+(Inputs!$C$6))/(0.5*(Inputs!$C$49+Inputs!$C$50)))+Inputs!$C$47*0.097)))+0.3*(2*((SIN(((Scenario_Data!W53)*12.9898+(Inputs!$C$6)*78.233+Inputs!$C$47*37.719))*43758.5453)-INT((SIN(((Scenario_Data!W53)*12.9898+(Inputs!$C$6)*78.233+Inputs!$C$47*37.719))*43758.5453)))-1))))/1000))^2-2*(Inputs!$C$52+(Scenario_Data!E53))*(Inputs!$C$52+((IF(OR(Inputs!$C$27=TRUE,Inputs!$C$27="TRUE",Inputs!$C$27=1),1,0)*(Inputs!$C$51*(115*EXP(-(((Inputs!$C$6)-25)^2)/(4.5^2))+70*EXP(-(((Inputs!$C$6)+38)^2)/(7^2))*(0.55+0.45*SIN(2*PI()*(Scenario_Data!W53)/45))+24*SIN(2*PI()*(Inputs!$C$6)/9+(Scenario_Data!W53)/18)*EXP(-(((Inputs!$C$6)+5)^2)/(22^2))+18*SIN(2*PI()*(Scenario_Data!W53)/70))+Inputs!$C$28*EXP(-(((Scenario_Data!W53)-Inputs!$C$29)^2)/(2*Inputs!$C$31^2))*EXP(-(((Inputs!$C$6)-Inputs!$C$30)^2)/(2*Inputs!$C$32^2))+-Inputs!$C$33*EXP(-(((((Scenario_Data!W53)-Inputs!$C$34)^2)+(((Inputs!$C$6)-Inputs!$C$35)^2))/(2*Inputs!$C$36^2)))+Inputs!$C$37*(0.55*SIN(2*PI()*(Scenario_Data!W53)/Inputs!$C$39)+0.35*COS(2*PI()*(Inputs!$C$6)/Inputs!$C$40)+0.2*SIN(2*PI()*((Scenario_Data!W53)+(Inputs!$C$6))/(0.5*(Inputs!$C$39+Inputs!$C$40))))+Inputs!$C$38*SIN(2*PI()*(Scenario_Data!W53)/Inputs!$C$39)*SIN(2*PI()*(Inputs!$C$6)/Inputs!$C$40)+-Inputs!$C$41*EXP(-(((Inputs!$C$6)-Inputs!$C$43)^2)/(2*Inputs!$C$44^2))*EXP(-(((Scenario_Data!W53)-Inputs!$C$42)^2)/(2*Inputs!$C$45^2))+Inputs!$C$48*(0.7*(0.45*SIN(2*PI()*(((Scenario_Data!W53)/Inputs!$C$49)+Inputs!$C$47*0.137))+0.35*COS(2*PI()*(((Inputs!$C$6)/Inputs!$C$50)+Inputs!$C$47*0.173))+0.2*SIN(2*PI()*((((Scenario_Data!W53)+(Inputs!$C$6))/(0.5*(Inputs!$C$49+Inputs!$C$50)))+Inputs!$C$47*0.097)))+0.3*(2*((SIN(((Scenario_Data!W53)*12.9898+(Inputs!$C$6)*78.233+Inputs!$C$47*37.719))*43758.5453)-INT((SIN(((Scenario_Data!W53)*12.9898+(Inputs!$C$6)*78.233+Inputs!$C$47*37.719))*43758.5453)))-1))))/1000))*COS(SQRT((Scenario_Data!W53)^2+Inputs!$C$6^2)/Inputs!$C$52))*1000)/Inputs!$C$21*1000000</f>
        <v/>
      </c>
    </row>
    <row r="54">
      <c r="A54">
        <f>Chart_Data!K54</f>
        <v/>
      </c>
      <c r="B54">
        <f>Chart_Data!N54-Chart_Data!L54</f>
        <v/>
      </c>
      <c r="D54">
        <f>Chart_Data!G54</f>
        <v/>
      </c>
      <c r="E54">
        <f>Chart_Data!H54</f>
        <v/>
      </c>
      <c r="F54">
        <f>Chart_Data!I54</f>
        <v/>
      </c>
      <c r="G54">
        <f>Chart_Data!J54</f>
        <v/>
      </c>
      <c r="I54">
        <f>Scenario_Data!A54</f>
        <v/>
      </c>
      <c r="J54">
        <f>Scenario_Data!H54-(((SQRT((Inputs!$C$52+(Inputs!$H$6))^2+Inputs!$C$52^2-2*(Inputs!$C$52+(Inputs!$H$6))*Inputs!$C$52*COS(SQRT((Scenario_Data!T54)^2+Inputs!$C$6^2)/Inputs!$C$52)))-(Inputs!$H$6))*1000/Inputs!$C$12)</f>
        <v/>
      </c>
      <c r="K54">
        <f>Scenario_Data!I54-(((SQRT((Inputs!$C$52+(Inputs!$H$7))^2+Inputs!$C$52^2-2*(Inputs!$C$52+(Inputs!$H$7))*Inputs!$C$52*COS(SQRT((Scenario_Data!U54)^2+Inputs!$C$6^2)/Inputs!$C$52)))-(Inputs!$H$7))*1000/Inputs!$C$12)</f>
        <v/>
      </c>
      <c r="L54">
        <f>Scenario_Data!J54-(((SQRT((Inputs!$C$52+(Inputs!$H$8))^2+Inputs!$C$52^2-2*(Inputs!$C$52+(Inputs!$H$8))*Inputs!$C$52*COS(SQRT((Scenario_Data!V54)^2+Inputs!$C$6^2)/Inputs!$C$52)))-(Inputs!$H$8))*1000/Inputs!$C$12)</f>
        <v/>
      </c>
      <c r="M54">
        <f>Scenario_Data!K54-(((SQRT((Inputs!$C$52+(Inputs!$H$9))^2+Inputs!$C$52^2-2*(Inputs!$C$52+(Inputs!$H$9))*Inputs!$C$52*COS(SQRT((Scenario_Data!W54)^2+Inputs!$C$6^2)/Inputs!$C$52)))-(Inputs!$H$9))*1000/Inputs!$C$12)</f>
        <v/>
      </c>
      <c r="O54">
        <f>Scenario_Data!T54</f>
        <v/>
      </c>
      <c r="P54">
        <f>2*(Scenario_Data!B54*1000)/Inputs!$C$21*1000000</f>
        <v/>
      </c>
      <c r="Q54">
        <f>Scenario_Data!U54</f>
        <v/>
      </c>
      <c r="R54">
        <f>2*(Scenario_Data!C54*1000)/Inputs!$C$21*1000000</f>
        <v/>
      </c>
      <c r="S54">
        <f>Scenario_Data!V54</f>
        <v/>
      </c>
      <c r="T54">
        <f>2*(Scenario_Data!D54*1000)/Inputs!$C$21*1000000</f>
        <v/>
      </c>
      <c r="U54">
        <f>Scenario_Data!W54</f>
        <v/>
      </c>
      <c r="V54">
        <f>2*(Scenario_Data!E54*1000)/Inputs!$C$21*1000000</f>
        <v/>
      </c>
      <c r="X54">
        <f>Scenario_Data!T54</f>
        <v/>
      </c>
      <c r="Y54">
        <f>2*((Scenario_Data!B54*1000)-(IF(OR(Inputs!$C$27=TRUE,Inputs!$C$27="TRUE",Inputs!$C$27=1),1,0)*(Inputs!$C$51*(115*EXP(-(((0)-25)^2)/(4.5^2))+70*EXP(-(((0)+38)^2)/(7^2))*(0.55+0.45*SIN(2*PI()*(Scenario_Data!T54)/45))+24*SIN(2*PI()*(0)/9+(Scenario_Data!T54)/18)*EXP(-(((0)+5)^2)/(22^2))+18*SIN(2*PI()*(Scenario_Data!T54)/70))+Inputs!$C$28*EXP(-(((Scenario_Data!T54)-Inputs!$C$29)^2)/(2*Inputs!$C$31^2))*EXP(-(((0)-Inputs!$C$30)^2)/(2*Inputs!$C$32^2))+-Inputs!$C$33*EXP(-(((((Scenario_Data!T54)-Inputs!$C$34)^2)+(((0)-Inputs!$C$35)^2))/(2*Inputs!$C$36^2)))+Inputs!$C$37*(0.55*SIN(2*PI()*(Scenario_Data!T54)/Inputs!$C$39)+0.35*COS(2*PI()*(0)/Inputs!$C$40)+0.2*SIN(2*PI()*((Scenario_Data!T54)+(0))/(0.5*(Inputs!$C$39+Inputs!$C$40))))+Inputs!$C$38*SIN(2*PI()*(Scenario_Data!T54)/Inputs!$C$39)*SIN(2*PI()*(0)/Inputs!$C$40)+-Inputs!$C$41*EXP(-(((0)-Inputs!$C$43)^2)/(2*Inputs!$C$44^2))*EXP(-(((Scenario_Data!T54)-Inputs!$C$42)^2)/(2*Inputs!$C$45^2))+Inputs!$C$48*(0.7*(0.45*SIN(2*PI()*(((Scenario_Data!T54)/Inputs!$C$49)+Inputs!$C$47*0.137))+0.35*COS(2*PI()*(((0)/Inputs!$C$50)+Inputs!$C$47*0.173))+0.2*SIN(2*PI()*((((Scenario_Data!T54)+(0))/(0.5*(Inputs!$C$49+Inputs!$C$50)))+Inputs!$C$47*0.097)))+0.3*(2*((SIN(((Scenario_Data!T54)*12.9898+(0)*78.233+Inputs!$C$47*37.719))*43758.5453)-INT((SIN(((Scenario_Data!T54)*12.9898+(0)*78.233+Inputs!$C$47*37.719))*43758.5453)))-1)))))/Inputs!$C$21*1000000</f>
        <v/>
      </c>
      <c r="Z54">
        <f>Scenario_Data!U54</f>
        <v/>
      </c>
      <c r="AA54">
        <f>2*((Scenario_Data!C54*1000)-(IF(OR(Inputs!$C$27=TRUE,Inputs!$C$27="TRUE",Inputs!$C$27=1),1,0)*(Inputs!$C$51*(115*EXP(-(((0)-25)^2)/(4.5^2))+70*EXP(-(((0)+38)^2)/(7^2))*(0.55+0.45*SIN(2*PI()*(Scenario_Data!U54)/45))+24*SIN(2*PI()*(0)/9+(Scenario_Data!U54)/18)*EXP(-(((0)+5)^2)/(22^2))+18*SIN(2*PI()*(Scenario_Data!U54)/70))+Inputs!$C$28*EXP(-(((Scenario_Data!U54)-Inputs!$C$29)^2)/(2*Inputs!$C$31^2))*EXP(-(((0)-Inputs!$C$30)^2)/(2*Inputs!$C$32^2))+-Inputs!$C$33*EXP(-(((((Scenario_Data!U54)-Inputs!$C$34)^2)+(((0)-Inputs!$C$35)^2))/(2*Inputs!$C$36^2)))+Inputs!$C$37*(0.55*SIN(2*PI()*(Scenario_Data!U54)/Inputs!$C$39)+0.35*COS(2*PI()*(0)/Inputs!$C$40)+0.2*SIN(2*PI()*((Scenario_Data!U54)+(0))/(0.5*(Inputs!$C$39+Inputs!$C$40))))+Inputs!$C$38*SIN(2*PI()*(Scenario_Data!U54)/Inputs!$C$39)*SIN(2*PI()*(0)/Inputs!$C$40)+-Inputs!$C$41*EXP(-(((0)-Inputs!$C$43)^2)/(2*Inputs!$C$44^2))*EXP(-(((Scenario_Data!U54)-Inputs!$C$42)^2)/(2*Inputs!$C$45^2))+Inputs!$C$48*(0.7*(0.45*SIN(2*PI()*(((Scenario_Data!U54)/Inputs!$C$49)+Inputs!$C$47*0.137))+0.35*COS(2*PI()*(((0)/Inputs!$C$50)+Inputs!$C$47*0.173))+0.2*SIN(2*PI()*((((Scenario_Data!U54)+(0))/(0.5*(Inputs!$C$49+Inputs!$C$50)))+Inputs!$C$47*0.097)))+0.3*(2*((SIN(((Scenario_Data!U54)*12.9898+(0)*78.233+Inputs!$C$47*37.719))*43758.5453)-INT((SIN(((Scenario_Data!U54)*12.9898+(0)*78.233+Inputs!$C$47*37.719))*43758.5453)))-1)))))/Inputs!$C$21*1000000</f>
        <v/>
      </c>
      <c r="AB54">
        <f>Scenario_Data!V54</f>
        <v/>
      </c>
      <c r="AC54">
        <f>2*((Scenario_Data!D54*1000)-(IF(OR(Inputs!$C$27=TRUE,Inputs!$C$27="TRUE",Inputs!$C$27=1),1,0)*(Inputs!$C$51*(115*EXP(-(((0)-25)^2)/(4.5^2))+70*EXP(-(((0)+38)^2)/(7^2))*(0.55+0.45*SIN(2*PI()*(Scenario_Data!V54)/45))+24*SIN(2*PI()*(0)/9+(Scenario_Data!V54)/18)*EXP(-(((0)+5)^2)/(22^2))+18*SIN(2*PI()*(Scenario_Data!V54)/70))+Inputs!$C$28*EXP(-(((Scenario_Data!V54)-Inputs!$C$29)^2)/(2*Inputs!$C$31^2))*EXP(-(((0)-Inputs!$C$30)^2)/(2*Inputs!$C$32^2))+-Inputs!$C$33*EXP(-(((((Scenario_Data!V54)-Inputs!$C$34)^2)+(((0)-Inputs!$C$35)^2))/(2*Inputs!$C$36^2)))+Inputs!$C$37*(0.55*SIN(2*PI()*(Scenario_Data!V54)/Inputs!$C$39)+0.35*COS(2*PI()*(0)/Inputs!$C$40)+0.2*SIN(2*PI()*((Scenario_Data!V54)+(0))/(0.5*(Inputs!$C$39+Inputs!$C$40))))+Inputs!$C$38*SIN(2*PI()*(Scenario_Data!V54)/Inputs!$C$39)*SIN(2*PI()*(0)/Inputs!$C$40)+-Inputs!$C$41*EXP(-(((0)-Inputs!$C$43)^2)/(2*Inputs!$C$44^2))*EXP(-(((Scenario_Data!V54)-Inputs!$C$42)^2)/(2*Inputs!$C$45^2))+Inputs!$C$48*(0.7*(0.45*SIN(2*PI()*(((Scenario_Data!V54)/Inputs!$C$49)+Inputs!$C$47*0.137))+0.35*COS(2*PI()*(((0)/Inputs!$C$50)+Inputs!$C$47*0.173))+0.2*SIN(2*PI()*((((Scenario_Data!V54)+(0))/(0.5*(Inputs!$C$49+Inputs!$C$50)))+Inputs!$C$47*0.097)))+0.3*(2*((SIN(((Scenario_Data!V54)*12.9898+(0)*78.233+Inputs!$C$47*37.719))*43758.5453)-INT((SIN(((Scenario_Data!V54)*12.9898+(0)*78.233+Inputs!$C$47*37.719))*43758.5453)))-1)))))/Inputs!$C$21*1000000</f>
        <v/>
      </c>
      <c r="AD54">
        <f>Scenario_Data!W54</f>
        <v/>
      </c>
      <c r="AE54">
        <f>2*((Scenario_Data!E54*1000)-(IF(OR(Inputs!$C$27=TRUE,Inputs!$C$27="TRUE",Inputs!$C$27=1),1,0)*(Inputs!$C$51*(115*EXP(-(((0)-25)^2)/(4.5^2))+70*EXP(-(((0)+38)^2)/(7^2))*(0.55+0.45*SIN(2*PI()*(Scenario_Data!W54)/45))+24*SIN(2*PI()*(0)/9+(Scenario_Data!W54)/18)*EXP(-(((0)+5)^2)/(22^2))+18*SIN(2*PI()*(Scenario_Data!W54)/70))+Inputs!$C$28*EXP(-(((Scenario_Data!W54)-Inputs!$C$29)^2)/(2*Inputs!$C$31^2))*EXP(-(((0)-Inputs!$C$30)^2)/(2*Inputs!$C$32^2))+-Inputs!$C$33*EXP(-(((((Scenario_Data!W54)-Inputs!$C$34)^2)+(((0)-Inputs!$C$35)^2))/(2*Inputs!$C$36^2)))+Inputs!$C$37*(0.55*SIN(2*PI()*(Scenario_Data!W54)/Inputs!$C$39)+0.35*COS(2*PI()*(0)/Inputs!$C$40)+0.2*SIN(2*PI()*((Scenario_Data!W54)+(0))/(0.5*(Inputs!$C$39+Inputs!$C$40))))+Inputs!$C$38*SIN(2*PI()*(Scenario_Data!W54)/Inputs!$C$39)*SIN(2*PI()*(0)/Inputs!$C$40)+-Inputs!$C$41*EXP(-(((0)-Inputs!$C$43)^2)/(2*Inputs!$C$44^2))*EXP(-(((Scenario_Data!W54)-Inputs!$C$42)^2)/(2*Inputs!$C$45^2))+Inputs!$C$48*(0.7*(0.45*SIN(2*PI()*(((Scenario_Data!W54)/Inputs!$C$49)+Inputs!$C$47*0.137))+0.35*COS(2*PI()*(((0)/Inputs!$C$50)+Inputs!$C$47*0.173))+0.2*SIN(2*PI()*((((Scenario_Data!W54)+(0))/(0.5*(Inputs!$C$49+Inputs!$C$50)))+Inputs!$C$47*0.097)))+0.3*(2*((SIN(((Scenario_Data!W54)*12.9898+(0)*78.233+Inputs!$C$47*37.719))*43758.5453)-INT((SIN(((Scenario_Data!W54)*12.9898+(0)*78.233+Inputs!$C$47*37.719))*43758.5453)))-1)))))/Inputs!$C$21*1000000</f>
        <v/>
      </c>
      <c r="AG54">
        <f>Scenario_Data!T54</f>
        <v/>
      </c>
      <c r="AH54">
        <f>2*(SQRT((Inputs!$C$52+(Scenario_Data!B54))^2+Inputs!$C$52^2-2*(Inputs!$C$52+(Scenario_Data!B54))*Inputs!$C$52*COS(SQRT((Scenario_Data!T54)^2+Inputs!$C$6^2)/Inputs!$C$52))*1000)/Inputs!$C$21*1000000</f>
        <v/>
      </c>
      <c r="AI54">
        <f>Scenario_Data!U54</f>
        <v/>
      </c>
      <c r="AJ54">
        <f>2*(SQRT((Inputs!$C$52+(Scenario_Data!C54))^2+Inputs!$C$52^2-2*(Inputs!$C$52+(Scenario_Data!C54))*Inputs!$C$52*COS(SQRT((Scenario_Data!U54)^2+Inputs!$C$6^2)/Inputs!$C$52))*1000)/Inputs!$C$21*1000000</f>
        <v/>
      </c>
      <c r="AK54">
        <f>Scenario_Data!V54</f>
        <v/>
      </c>
      <c r="AL54">
        <f>2*(SQRT((Inputs!$C$52+(Scenario_Data!D54))^2+Inputs!$C$52^2-2*(Inputs!$C$52+(Scenario_Data!D54))*Inputs!$C$52*COS(SQRT((Scenario_Data!V54)^2+Inputs!$C$6^2)/Inputs!$C$52))*1000)/Inputs!$C$21*1000000</f>
        <v/>
      </c>
      <c r="AM54">
        <f>Scenario_Data!W54</f>
        <v/>
      </c>
      <c r="AN54">
        <f>2*(SQRT((Inputs!$C$52+(Scenario_Data!E54))^2+Inputs!$C$52^2-2*(Inputs!$C$52+(Scenario_Data!E54))*Inputs!$C$52*COS(SQRT((Scenario_Data!W54)^2+Inputs!$C$6^2)/Inputs!$C$52))*1000)/Inputs!$C$21*1000000</f>
        <v/>
      </c>
      <c r="AP54">
        <f>Scenario_Data!T54</f>
        <v/>
      </c>
      <c r="AQ54">
        <f>2*(SQRT((Inputs!$C$52+(Scenario_Data!B54))^2+(Inputs!$C$52+((IF(OR(Inputs!$C$27=TRUE,Inputs!$C$27="TRUE",Inputs!$C$27=1),1,0)*(Inputs!$C$51*(115*EXP(-(((Inputs!$C$6)-25)^2)/(4.5^2))+70*EXP(-(((Inputs!$C$6)+38)^2)/(7^2))*(0.55+0.45*SIN(2*PI()*(Scenario_Data!T54)/45))+24*SIN(2*PI()*(Inputs!$C$6)/9+(Scenario_Data!T54)/18)*EXP(-(((Inputs!$C$6)+5)^2)/(22^2))+18*SIN(2*PI()*(Scenario_Data!T54)/70))+Inputs!$C$28*EXP(-(((Scenario_Data!T54)-Inputs!$C$29)^2)/(2*Inputs!$C$31^2))*EXP(-(((Inputs!$C$6)-Inputs!$C$30)^2)/(2*Inputs!$C$32^2))+-Inputs!$C$33*EXP(-(((((Scenario_Data!T54)-Inputs!$C$34)^2)+(((Inputs!$C$6)-Inputs!$C$35)^2))/(2*Inputs!$C$36^2)))+Inputs!$C$37*(0.55*SIN(2*PI()*(Scenario_Data!T54)/Inputs!$C$39)+0.35*COS(2*PI()*(Inputs!$C$6)/Inputs!$C$40)+0.2*SIN(2*PI()*((Scenario_Data!T54)+(Inputs!$C$6))/(0.5*(Inputs!$C$39+Inputs!$C$40))))+Inputs!$C$38*SIN(2*PI()*(Scenario_Data!T54)/Inputs!$C$39)*SIN(2*PI()*(Inputs!$C$6)/Inputs!$C$40)+-Inputs!$C$41*EXP(-(((Inputs!$C$6)-Inputs!$C$43)^2)/(2*Inputs!$C$44^2))*EXP(-(((Scenario_Data!T54)-Inputs!$C$42)^2)/(2*Inputs!$C$45^2))+Inputs!$C$48*(0.7*(0.45*SIN(2*PI()*(((Scenario_Data!T54)/Inputs!$C$49)+Inputs!$C$47*0.137))+0.35*COS(2*PI()*(((Inputs!$C$6)/Inputs!$C$50)+Inputs!$C$47*0.173))+0.2*SIN(2*PI()*((((Scenario_Data!T54)+(Inputs!$C$6))/(0.5*(Inputs!$C$49+Inputs!$C$50)))+Inputs!$C$47*0.097)))+0.3*(2*((SIN(((Scenario_Data!T54)*12.9898+(Inputs!$C$6)*78.233+Inputs!$C$47*37.719))*43758.5453)-INT((SIN(((Scenario_Data!T54)*12.9898+(Inputs!$C$6)*78.233+Inputs!$C$47*37.719))*43758.5453)))-1))))/1000))^2-2*(Inputs!$C$52+(Scenario_Data!B54))*(Inputs!$C$52+((IF(OR(Inputs!$C$27=TRUE,Inputs!$C$27="TRUE",Inputs!$C$27=1),1,0)*(Inputs!$C$51*(115*EXP(-(((Inputs!$C$6)-25)^2)/(4.5^2))+70*EXP(-(((Inputs!$C$6)+38)^2)/(7^2))*(0.55+0.45*SIN(2*PI()*(Scenario_Data!T54)/45))+24*SIN(2*PI()*(Inputs!$C$6)/9+(Scenario_Data!T54)/18)*EXP(-(((Inputs!$C$6)+5)^2)/(22^2))+18*SIN(2*PI()*(Scenario_Data!T54)/70))+Inputs!$C$28*EXP(-(((Scenario_Data!T54)-Inputs!$C$29)^2)/(2*Inputs!$C$31^2))*EXP(-(((Inputs!$C$6)-Inputs!$C$30)^2)/(2*Inputs!$C$32^2))+-Inputs!$C$33*EXP(-(((((Scenario_Data!T54)-Inputs!$C$34)^2)+(((Inputs!$C$6)-Inputs!$C$35)^2))/(2*Inputs!$C$36^2)))+Inputs!$C$37*(0.55*SIN(2*PI()*(Scenario_Data!T54)/Inputs!$C$39)+0.35*COS(2*PI()*(Inputs!$C$6)/Inputs!$C$40)+0.2*SIN(2*PI()*((Scenario_Data!T54)+(Inputs!$C$6))/(0.5*(Inputs!$C$39+Inputs!$C$40))))+Inputs!$C$38*SIN(2*PI()*(Scenario_Data!T54)/Inputs!$C$39)*SIN(2*PI()*(Inputs!$C$6)/Inputs!$C$40)+-Inputs!$C$41*EXP(-(((Inputs!$C$6)-Inputs!$C$43)^2)/(2*Inputs!$C$44^2))*EXP(-(((Scenario_Data!T54)-Inputs!$C$42)^2)/(2*Inputs!$C$45^2))+Inputs!$C$48*(0.7*(0.45*SIN(2*PI()*(((Scenario_Data!T54)/Inputs!$C$49)+Inputs!$C$47*0.137))+0.35*COS(2*PI()*(((Inputs!$C$6)/Inputs!$C$50)+Inputs!$C$47*0.173))+0.2*SIN(2*PI()*((((Scenario_Data!T54)+(Inputs!$C$6))/(0.5*(Inputs!$C$49+Inputs!$C$50)))+Inputs!$C$47*0.097)))+0.3*(2*((SIN(((Scenario_Data!T54)*12.9898+(Inputs!$C$6)*78.233+Inputs!$C$47*37.719))*43758.5453)-INT((SIN(((Scenario_Data!T54)*12.9898+(Inputs!$C$6)*78.233+Inputs!$C$47*37.719))*43758.5453)))-1))))/1000))*COS(SQRT((Scenario_Data!T54)^2+Inputs!$C$6^2)/Inputs!$C$52))*1000)/Inputs!$C$21*1000000</f>
        <v/>
      </c>
      <c r="AR54">
        <f>Scenario_Data!U54</f>
        <v/>
      </c>
      <c r="AS54">
        <f>2*(SQRT((Inputs!$C$52+(Scenario_Data!C54))^2+(Inputs!$C$52+((IF(OR(Inputs!$C$27=TRUE,Inputs!$C$27="TRUE",Inputs!$C$27=1),1,0)*(Inputs!$C$51*(115*EXP(-(((Inputs!$C$6)-25)^2)/(4.5^2))+70*EXP(-(((Inputs!$C$6)+38)^2)/(7^2))*(0.55+0.45*SIN(2*PI()*(Scenario_Data!U54)/45))+24*SIN(2*PI()*(Inputs!$C$6)/9+(Scenario_Data!U54)/18)*EXP(-(((Inputs!$C$6)+5)^2)/(22^2))+18*SIN(2*PI()*(Scenario_Data!U54)/70))+Inputs!$C$28*EXP(-(((Scenario_Data!U54)-Inputs!$C$29)^2)/(2*Inputs!$C$31^2))*EXP(-(((Inputs!$C$6)-Inputs!$C$30)^2)/(2*Inputs!$C$32^2))+-Inputs!$C$33*EXP(-(((((Scenario_Data!U54)-Inputs!$C$34)^2)+(((Inputs!$C$6)-Inputs!$C$35)^2))/(2*Inputs!$C$36^2)))+Inputs!$C$37*(0.55*SIN(2*PI()*(Scenario_Data!U54)/Inputs!$C$39)+0.35*COS(2*PI()*(Inputs!$C$6)/Inputs!$C$40)+0.2*SIN(2*PI()*((Scenario_Data!U54)+(Inputs!$C$6))/(0.5*(Inputs!$C$39+Inputs!$C$40))))+Inputs!$C$38*SIN(2*PI()*(Scenario_Data!U54)/Inputs!$C$39)*SIN(2*PI()*(Inputs!$C$6)/Inputs!$C$40)+-Inputs!$C$41*EXP(-(((Inputs!$C$6)-Inputs!$C$43)^2)/(2*Inputs!$C$44^2))*EXP(-(((Scenario_Data!U54)-Inputs!$C$42)^2)/(2*Inputs!$C$45^2))+Inputs!$C$48*(0.7*(0.45*SIN(2*PI()*(((Scenario_Data!U54)/Inputs!$C$49)+Inputs!$C$47*0.137))+0.35*COS(2*PI()*(((Inputs!$C$6)/Inputs!$C$50)+Inputs!$C$47*0.173))+0.2*SIN(2*PI()*((((Scenario_Data!U54)+(Inputs!$C$6))/(0.5*(Inputs!$C$49+Inputs!$C$50)))+Inputs!$C$47*0.097)))+0.3*(2*((SIN(((Scenario_Data!U54)*12.9898+(Inputs!$C$6)*78.233+Inputs!$C$47*37.719))*43758.5453)-INT((SIN(((Scenario_Data!U54)*12.9898+(Inputs!$C$6)*78.233+Inputs!$C$47*37.719))*43758.5453)))-1))))/1000))^2-2*(Inputs!$C$52+(Scenario_Data!C54))*(Inputs!$C$52+((IF(OR(Inputs!$C$27=TRUE,Inputs!$C$27="TRUE",Inputs!$C$27=1),1,0)*(Inputs!$C$51*(115*EXP(-(((Inputs!$C$6)-25)^2)/(4.5^2))+70*EXP(-(((Inputs!$C$6)+38)^2)/(7^2))*(0.55+0.45*SIN(2*PI()*(Scenario_Data!U54)/45))+24*SIN(2*PI()*(Inputs!$C$6)/9+(Scenario_Data!U54)/18)*EXP(-(((Inputs!$C$6)+5)^2)/(22^2))+18*SIN(2*PI()*(Scenario_Data!U54)/70))+Inputs!$C$28*EXP(-(((Scenario_Data!U54)-Inputs!$C$29)^2)/(2*Inputs!$C$31^2))*EXP(-(((Inputs!$C$6)-Inputs!$C$30)^2)/(2*Inputs!$C$32^2))+-Inputs!$C$33*EXP(-(((((Scenario_Data!U54)-Inputs!$C$34)^2)+(((Inputs!$C$6)-Inputs!$C$35)^2))/(2*Inputs!$C$36^2)))+Inputs!$C$37*(0.55*SIN(2*PI()*(Scenario_Data!U54)/Inputs!$C$39)+0.35*COS(2*PI()*(Inputs!$C$6)/Inputs!$C$40)+0.2*SIN(2*PI()*((Scenario_Data!U54)+(Inputs!$C$6))/(0.5*(Inputs!$C$39+Inputs!$C$40))))+Inputs!$C$38*SIN(2*PI()*(Scenario_Data!U54)/Inputs!$C$39)*SIN(2*PI()*(Inputs!$C$6)/Inputs!$C$40)+-Inputs!$C$41*EXP(-(((Inputs!$C$6)-Inputs!$C$43)^2)/(2*Inputs!$C$44^2))*EXP(-(((Scenario_Data!U54)-Inputs!$C$42)^2)/(2*Inputs!$C$45^2))+Inputs!$C$48*(0.7*(0.45*SIN(2*PI()*(((Scenario_Data!U54)/Inputs!$C$49)+Inputs!$C$47*0.137))+0.35*COS(2*PI()*(((Inputs!$C$6)/Inputs!$C$50)+Inputs!$C$47*0.173))+0.2*SIN(2*PI()*((((Scenario_Data!U54)+(Inputs!$C$6))/(0.5*(Inputs!$C$49+Inputs!$C$50)))+Inputs!$C$47*0.097)))+0.3*(2*((SIN(((Scenario_Data!U54)*12.9898+(Inputs!$C$6)*78.233+Inputs!$C$47*37.719))*43758.5453)-INT((SIN(((Scenario_Data!U54)*12.9898+(Inputs!$C$6)*78.233+Inputs!$C$47*37.719))*43758.5453)))-1))))/1000))*COS(SQRT((Scenario_Data!U54)^2+Inputs!$C$6^2)/Inputs!$C$52))*1000)/Inputs!$C$21*1000000</f>
        <v/>
      </c>
      <c r="AT54">
        <f>Scenario_Data!V54</f>
        <v/>
      </c>
      <c r="AU54">
        <f>2*(SQRT((Inputs!$C$52+(Scenario_Data!D54))^2+(Inputs!$C$52+((IF(OR(Inputs!$C$27=TRUE,Inputs!$C$27="TRUE",Inputs!$C$27=1),1,0)*(Inputs!$C$51*(115*EXP(-(((Inputs!$C$6)-25)^2)/(4.5^2))+70*EXP(-(((Inputs!$C$6)+38)^2)/(7^2))*(0.55+0.45*SIN(2*PI()*(Scenario_Data!V54)/45))+24*SIN(2*PI()*(Inputs!$C$6)/9+(Scenario_Data!V54)/18)*EXP(-(((Inputs!$C$6)+5)^2)/(22^2))+18*SIN(2*PI()*(Scenario_Data!V54)/70))+Inputs!$C$28*EXP(-(((Scenario_Data!V54)-Inputs!$C$29)^2)/(2*Inputs!$C$31^2))*EXP(-(((Inputs!$C$6)-Inputs!$C$30)^2)/(2*Inputs!$C$32^2))+-Inputs!$C$33*EXP(-(((((Scenario_Data!V54)-Inputs!$C$34)^2)+(((Inputs!$C$6)-Inputs!$C$35)^2))/(2*Inputs!$C$36^2)))+Inputs!$C$37*(0.55*SIN(2*PI()*(Scenario_Data!V54)/Inputs!$C$39)+0.35*COS(2*PI()*(Inputs!$C$6)/Inputs!$C$40)+0.2*SIN(2*PI()*((Scenario_Data!V54)+(Inputs!$C$6))/(0.5*(Inputs!$C$39+Inputs!$C$40))))+Inputs!$C$38*SIN(2*PI()*(Scenario_Data!V54)/Inputs!$C$39)*SIN(2*PI()*(Inputs!$C$6)/Inputs!$C$40)+-Inputs!$C$41*EXP(-(((Inputs!$C$6)-Inputs!$C$43)^2)/(2*Inputs!$C$44^2))*EXP(-(((Scenario_Data!V54)-Inputs!$C$42)^2)/(2*Inputs!$C$45^2))+Inputs!$C$48*(0.7*(0.45*SIN(2*PI()*(((Scenario_Data!V54)/Inputs!$C$49)+Inputs!$C$47*0.137))+0.35*COS(2*PI()*(((Inputs!$C$6)/Inputs!$C$50)+Inputs!$C$47*0.173))+0.2*SIN(2*PI()*((((Scenario_Data!V54)+(Inputs!$C$6))/(0.5*(Inputs!$C$49+Inputs!$C$50)))+Inputs!$C$47*0.097)))+0.3*(2*((SIN(((Scenario_Data!V54)*12.9898+(Inputs!$C$6)*78.233+Inputs!$C$47*37.719))*43758.5453)-INT((SIN(((Scenario_Data!V54)*12.9898+(Inputs!$C$6)*78.233+Inputs!$C$47*37.719))*43758.5453)))-1))))/1000))^2-2*(Inputs!$C$52+(Scenario_Data!D54))*(Inputs!$C$52+((IF(OR(Inputs!$C$27=TRUE,Inputs!$C$27="TRUE",Inputs!$C$27=1),1,0)*(Inputs!$C$51*(115*EXP(-(((Inputs!$C$6)-25)^2)/(4.5^2))+70*EXP(-(((Inputs!$C$6)+38)^2)/(7^2))*(0.55+0.45*SIN(2*PI()*(Scenario_Data!V54)/45))+24*SIN(2*PI()*(Inputs!$C$6)/9+(Scenario_Data!V54)/18)*EXP(-(((Inputs!$C$6)+5)^2)/(22^2))+18*SIN(2*PI()*(Scenario_Data!V54)/70))+Inputs!$C$28*EXP(-(((Scenario_Data!V54)-Inputs!$C$29)^2)/(2*Inputs!$C$31^2))*EXP(-(((Inputs!$C$6)-Inputs!$C$30)^2)/(2*Inputs!$C$32^2))+-Inputs!$C$33*EXP(-(((((Scenario_Data!V54)-Inputs!$C$34)^2)+(((Inputs!$C$6)-Inputs!$C$35)^2))/(2*Inputs!$C$36^2)))+Inputs!$C$37*(0.55*SIN(2*PI()*(Scenario_Data!V54)/Inputs!$C$39)+0.35*COS(2*PI()*(Inputs!$C$6)/Inputs!$C$40)+0.2*SIN(2*PI()*((Scenario_Data!V54)+(Inputs!$C$6))/(0.5*(Inputs!$C$39+Inputs!$C$40))))+Inputs!$C$38*SIN(2*PI()*(Scenario_Data!V54)/Inputs!$C$39)*SIN(2*PI()*(Inputs!$C$6)/Inputs!$C$40)+-Inputs!$C$41*EXP(-(((Inputs!$C$6)-Inputs!$C$43)^2)/(2*Inputs!$C$44^2))*EXP(-(((Scenario_Data!V54)-Inputs!$C$42)^2)/(2*Inputs!$C$45^2))+Inputs!$C$48*(0.7*(0.45*SIN(2*PI()*(((Scenario_Data!V54)/Inputs!$C$49)+Inputs!$C$47*0.137))+0.35*COS(2*PI()*(((Inputs!$C$6)/Inputs!$C$50)+Inputs!$C$47*0.173))+0.2*SIN(2*PI()*((((Scenario_Data!V54)+(Inputs!$C$6))/(0.5*(Inputs!$C$49+Inputs!$C$50)))+Inputs!$C$47*0.097)))+0.3*(2*((SIN(((Scenario_Data!V54)*12.9898+(Inputs!$C$6)*78.233+Inputs!$C$47*37.719))*43758.5453)-INT((SIN(((Scenario_Data!V54)*12.9898+(Inputs!$C$6)*78.233+Inputs!$C$47*37.719))*43758.5453)))-1))))/1000))*COS(SQRT((Scenario_Data!V54)^2+Inputs!$C$6^2)/Inputs!$C$52))*1000)/Inputs!$C$21*1000000</f>
        <v/>
      </c>
      <c r="AV54">
        <f>Scenario_Data!W54</f>
        <v/>
      </c>
      <c r="AW54">
        <f>2*(SQRT((Inputs!$C$52+(Scenario_Data!E54))^2+(Inputs!$C$52+((IF(OR(Inputs!$C$27=TRUE,Inputs!$C$27="TRUE",Inputs!$C$27=1),1,0)*(Inputs!$C$51*(115*EXP(-(((Inputs!$C$6)-25)^2)/(4.5^2))+70*EXP(-(((Inputs!$C$6)+38)^2)/(7^2))*(0.55+0.45*SIN(2*PI()*(Scenario_Data!W54)/45))+24*SIN(2*PI()*(Inputs!$C$6)/9+(Scenario_Data!W54)/18)*EXP(-(((Inputs!$C$6)+5)^2)/(22^2))+18*SIN(2*PI()*(Scenario_Data!W54)/70))+Inputs!$C$28*EXP(-(((Scenario_Data!W54)-Inputs!$C$29)^2)/(2*Inputs!$C$31^2))*EXP(-(((Inputs!$C$6)-Inputs!$C$30)^2)/(2*Inputs!$C$32^2))+-Inputs!$C$33*EXP(-(((((Scenario_Data!W54)-Inputs!$C$34)^2)+(((Inputs!$C$6)-Inputs!$C$35)^2))/(2*Inputs!$C$36^2)))+Inputs!$C$37*(0.55*SIN(2*PI()*(Scenario_Data!W54)/Inputs!$C$39)+0.35*COS(2*PI()*(Inputs!$C$6)/Inputs!$C$40)+0.2*SIN(2*PI()*((Scenario_Data!W54)+(Inputs!$C$6))/(0.5*(Inputs!$C$39+Inputs!$C$40))))+Inputs!$C$38*SIN(2*PI()*(Scenario_Data!W54)/Inputs!$C$39)*SIN(2*PI()*(Inputs!$C$6)/Inputs!$C$40)+-Inputs!$C$41*EXP(-(((Inputs!$C$6)-Inputs!$C$43)^2)/(2*Inputs!$C$44^2))*EXP(-(((Scenario_Data!W54)-Inputs!$C$42)^2)/(2*Inputs!$C$45^2))+Inputs!$C$48*(0.7*(0.45*SIN(2*PI()*(((Scenario_Data!W54)/Inputs!$C$49)+Inputs!$C$47*0.137))+0.35*COS(2*PI()*(((Inputs!$C$6)/Inputs!$C$50)+Inputs!$C$47*0.173))+0.2*SIN(2*PI()*((((Scenario_Data!W54)+(Inputs!$C$6))/(0.5*(Inputs!$C$49+Inputs!$C$50)))+Inputs!$C$47*0.097)))+0.3*(2*((SIN(((Scenario_Data!W54)*12.9898+(Inputs!$C$6)*78.233+Inputs!$C$47*37.719))*43758.5453)-INT((SIN(((Scenario_Data!W54)*12.9898+(Inputs!$C$6)*78.233+Inputs!$C$47*37.719))*43758.5453)))-1))))/1000))^2-2*(Inputs!$C$52+(Scenario_Data!E54))*(Inputs!$C$52+((IF(OR(Inputs!$C$27=TRUE,Inputs!$C$27="TRUE",Inputs!$C$27=1),1,0)*(Inputs!$C$51*(115*EXP(-(((Inputs!$C$6)-25)^2)/(4.5^2))+70*EXP(-(((Inputs!$C$6)+38)^2)/(7^2))*(0.55+0.45*SIN(2*PI()*(Scenario_Data!W54)/45))+24*SIN(2*PI()*(Inputs!$C$6)/9+(Scenario_Data!W54)/18)*EXP(-(((Inputs!$C$6)+5)^2)/(22^2))+18*SIN(2*PI()*(Scenario_Data!W54)/70))+Inputs!$C$28*EXP(-(((Scenario_Data!W54)-Inputs!$C$29)^2)/(2*Inputs!$C$31^2))*EXP(-(((Inputs!$C$6)-Inputs!$C$30)^2)/(2*Inputs!$C$32^2))+-Inputs!$C$33*EXP(-(((((Scenario_Data!W54)-Inputs!$C$34)^2)+(((Inputs!$C$6)-Inputs!$C$35)^2))/(2*Inputs!$C$36^2)))+Inputs!$C$37*(0.55*SIN(2*PI()*(Scenario_Data!W54)/Inputs!$C$39)+0.35*COS(2*PI()*(Inputs!$C$6)/Inputs!$C$40)+0.2*SIN(2*PI()*((Scenario_Data!W54)+(Inputs!$C$6))/(0.5*(Inputs!$C$39+Inputs!$C$40))))+Inputs!$C$38*SIN(2*PI()*(Scenario_Data!W54)/Inputs!$C$39)*SIN(2*PI()*(Inputs!$C$6)/Inputs!$C$40)+-Inputs!$C$41*EXP(-(((Inputs!$C$6)-Inputs!$C$43)^2)/(2*Inputs!$C$44^2))*EXP(-(((Scenario_Data!W54)-Inputs!$C$42)^2)/(2*Inputs!$C$45^2))+Inputs!$C$48*(0.7*(0.45*SIN(2*PI()*(((Scenario_Data!W54)/Inputs!$C$49)+Inputs!$C$47*0.137))+0.35*COS(2*PI()*(((Inputs!$C$6)/Inputs!$C$50)+Inputs!$C$47*0.173))+0.2*SIN(2*PI()*((((Scenario_Data!W54)+(Inputs!$C$6))/(0.5*(Inputs!$C$49+Inputs!$C$50)))+Inputs!$C$47*0.097)))+0.3*(2*((SIN(((Scenario_Data!W54)*12.9898+(Inputs!$C$6)*78.233+Inputs!$C$47*37.719))*43758.5453)-INT((SIN(((Scenario_Data!W54)*12.9898+(Inputs!$C$6)*78.233+Inputs!$C$47*37.719))*43758.5453)))-1))))/1000))*COS(SQRT((Scenario_Data!W54)^2+Inputs!$C$6^2)/Inputs!$C$52))*1000)/Inputs!$C$21*1000000</f>
        <v/>
      </c>
    </row>
    <row r="55">
      <c r="A55">
        <f>Chart_Data!K55</f>
        <v/>
      </c>
      <c r="B55">
        <f>Chart_Data!N55-Chart_Data!L55</f>
        <v/>
      </c>
      <c r="D55">
        <f>Chart_Data!G55</f>
        <v/>
      </c>
      <c r="E55">
        <f>Chart_Data!H55</f>
        <v/>
      </c>
      <c r="F55">
        <f>Chart_Data!I55</f>
        <v/>
      </c>
      <c r="G55">
        <f>Chart_Data!J55</f>
        <v/>
      </c>
      <c r="I55">
        <f>Scenario_Data!A55</f>
        <v/>
      </c>
      <c r="J55">
        <f>Scenario_Data!H55-(((SQRT((Inputs!$C$52+(Inputs!$H$6))^2+Inputs!$C$52^2-2*(Inputs!$C$52+(Inputs!$H$6))*Inputs!$C$52*COS(SQRT((Scenario_Data!T55)^2+Inputs!$C$6^2)/Inputs!$C$52)))-(Inputs!$H$6))*1000/Inputs!$C$12)</f>
        <v/>
      </c>
      <c r="K55">
        <f>Scenario_Data!I55-(((SQRT((Inputs!$C$52+(Inputs!$H$7))^2+Inputs!$C$52^2-2*(Inputs!$C$52+(Inputs!$H$7))*Inputs!$C$52*COS(SQRT((Scenario_Data!U55)^2+Inputs!$C$6^2)/Inputs!$C$52)))-(Inputs!$H$7))*1000/Inputs!$C$12)</f>
        <v/>
      </c>
      <c r="L55">
        <f>Scenario_Data!J55-(((SQRT((Inputs!$C$52+(Inputs!$H$8))^2+Inputs!$C$52^2-2*(Inputs!$C$52+(Inputs!$H$8))*Inputs!$C$52*COS(SQRT((Scenario_Data!V55)^2+Inputs!$C$6^2)/Inputs!$C$52)))-(Inputs!$H$8))*1000/Inputs!$C$12)</f>
        <v/>
      </c>
      <c r="M55">
        <f>Scenario_Data!K55-(((SQRT((Inputs!$C$52+(Inputs!$H$9))^2+Inputs!$C$52^2-2*(Inputs!$C$52+(Inputs!$H$9))*Inputs!$C$52*COS(SQRT((Scenario_Data!W55)^2+Inputs!$C$6^2)/Inputs!$C$52)))-(Inputs!$H$9))*1000/Inputs!$C$12)</f>
        <v/>
      </c>
      <c r="O55">
        <f>Scenario_Data!T55</f>
        <v/>
      </c>
      <c r="P55">
        <f>2*(Scenario_Data!B55*1000)/Inputs!$C$21*1000000</f>
        <v/>
      </c>
      <c r="Q55">
        <f>Scenario_Data!U55</f>
        <v/>
      </c>
      <c r="R55">
        <f>2*(Scenario_Data!C55*1000)/Inputs!$C$21*1000000</f>
        <v/>
      </c>
      <c r="S55">
        <f>Scenario_Data!V55</f>
        <v/>
      </c>
      <c r="T55">
        <f>2*(Scenario_Data!D55*1000)/Inputs!$C$21*1000000</f>
        <v/>
      </c>
      <c r="U55">
        <f>Scenario_Data!W55</f>
        <v/>
      </c>
      <c r="V55">
        <f>2*(Scenario_Data!E55*1000)/Inputs!$C$21*1000000</f>
        <v/>
      </c>
      <c r="X55">
        <f>Scenario_Data!T55</f>
        <v/>
      </c>
      <c r="Y55">
        <f>2*((Scenario_Data!B55*1000)-(IF(OR(Inputs!$C$27=TRUE,Inputs!$C$27="TRUE",Inputs!$C$27=1),1,0)*(Inputs!$C$51*(115*EXP(-(((0)-25)^2)/(4.5^2))+70*EXP(-(((0)+38)^2)/(7^2))*(0.55+0.45*SIN(2*PI()*(Scenario_Data!T55)/45))+24*SIN(2*PI()*(0)/9+(Scenario_Data!T55)/18)*EXP(-(((0)+5)^2)/(22^2))+18*SIN(2*PI()*(Scenario_Data!T55)/70))+Inputs!$C$28*EXP(-(((Scenario_Data!T55)-Inputs!$C$29)^2)/(2*Inputs!$C$31^2))*EXP(-(((0)-Inputs!$C$30)^2)/(2*Inputs!$C$32^2))+-Inputs!$C$33*EXP(-(((((Scenario_Data!T55)-Inputs!$C$34)^2)+(((0)-Inputs!$C$35)^2))/(2*Inputs!$C$36^2)))+Inputs!$C$37*(0.55*SIN(2*PI()*(Scenario_Data!T55)/Inputs!$C$39)+0.35*COS(2*PI()*(0)/Inputs!$C$40)+0.2*SIN(2*PI()*((Scenario_Data!T55)+(0))/(0.5*(Inputs!$C$39+Inputs!$C$40))))+Inputs!$C$38*SIN(2*PI()*(Scenario_Data!T55)/Inputs!$C$39)*SIN(2*PI()*(0)/Inputs!$C$40)+-Inputs!$C$41*EXP(-(((0)-Inputs!$C$43)^2)/(2*Inputs!$C$44^2))*EXP(-(((Scenario_Data!T55)-Inputs!$C$42)^2)/(2*Inputs!$C$45^2))+Inputs!$C$48*(0.7*(0.45*SIN(2*PI()*(((Scenario_Data!T55)/Inputs!$C$49)+Inputs!$C$47*0.137))+0.35*COS(2*PI()*(((0)/Inputs!$C$50)+Inputs!$C$47*0.173))+0.2*SIN(2*PI()*((((Scenario_Data!T55)+(0))/(0.5*(Inputs!$C$49+Inputs!$C$50)))+Inputs!$C$47*0.097)))+0.3*(2*((SIN(((Scenario_Data!T55)*12.9898+(0)*78.233+Inputs!$C$47*37.719))*43758.5453)-INT((SIN(((Scenario_Data!T55)*12.9898+(0)*78.233+Inputs!$C$47*37.719))*43758.5453)))-1)))))/Inputs!$C$21*1000000</f>
        <v/>
      </c>
      <c r="Z55">
        <f>Scenario_Data!U55</f>
        <v/>
      </c>
      <c r="AA55">
        <f>2*((Scenario_Data!C55*1000)-(IF(OR(Inputs!$C$27=TRUE,Inputs!$C$27="TRUE",Inputs!$C$27=1),1,0)*(Inputs!$C$51*(115*EXP(-(((0)-25)^2)/(4.5^2))+70*EXP(-(((0)+38)^2)/(7^2))*(0.55+0.45*SIN(2*PI()*(Scenario_Data!U55)/45))+24*SIN(2*PI()*(0)/9+(Scenario_Data!U55)/18)*EXP(-(((0)+5)^2)/(22^2))+18*SIN(2*PI()*(Scenario_Data!U55)/70))+Inputs!$C$28*EXP(-(((Scenario_Data!U55)-Inputs!$C$29)^2)/(2*Inputs!$C$31^2))*EXP(-(((0)-Inputs!$C$30)^2)/(2*Inputs!$C$32^2))+-Inputs!$C$33*EXP(-(((((Scenario_Data!U55)-Inputs!$C$34)^2)+(((0)-Inputs!$C$35)^2))/(2*Inputs!$C$36^2)))+Inputs!$C$37*(0.55*SIN(2*PI()*(Scenario_Data!U55)/Inputs!$C$39)+0.35*COS(2*PI()*(0)/Inputs!$C$40)+0.2*SIN(2*PI()*((Scenario_Data!U55)+(0))/(0.5*(Inputs!$C$39+Inputs!$C$40))))+Inputs!$C$38*SIN(2*PI()*(Scenario_Data!U55)/Inputs!$C$39)*SIN(2*PI()*(0)/Inputs!$C$40)+-Inputs!$C$41*EXP(-(((0)-Inputs!$C$43)^2)/(2*Inputs!$C$44^2))*EXP(-(((Scenario_Data!U55)-Inputs!$C$42)^2)/(2*Inputs!$C$45^2))+Inputs!$C$48*(0.7*(0.45*SIN(2*PI()*(((Scenario_Data!U55)/Inputs!$C$49)+Inputs!$C$47*0.137))+0.35*COS(2*PI()*(((0)/Inputs!$C$50)+Inputs!$C$47*0.173))+0.2*SIN(2*PI()*((((Scenario_Data!U55)+(0))/(0.5*(Inputs!$C$49+Inputs!$C$50)))+Inputs!$C$47*0.097)))+0.3*(2*((SIN(((Scenario_Data!U55)*12.9898+(0)*78.233+Inputs!$C$47*37.719))*43758.5453)-INT((SIN(((Scenario_Data!U55)*12.9898+(0)*78.233+Inputs!$C$47*37.719))*43758.5453)))-1)))))/Inputs!$C$21*1000000</f>
        <v/>
      </c>
      <c r="AB55">
        <f>Scenario_Data!V55</f>
        <v/>
      </c>
      <c r="AC55">
        <f>2*((Scenario_Data!D55*1000)-(IF(OR(Inputs!$C$27=TRUE,Inputs!$C$27="TRUE",Inputs!$C$27=1),1,0)*(Inputs!$C$51*(115*EXP(-(((0)-25)^2)/(4.5^2))+70*EXP(-(((0)+38)^2)/(7^2))*(0.55+0.45*SIN(2*PI()*(Scenario_Data!V55)/45))+24*SIN(2*PI()*(0)/9+(Scenario_Data!V55)/18)*EXP(-(((0)+5)^2)/(22^2))+18*SIN(2*PI()*(Scenario_Data!V55)/70))+Inputs!$C$28*EXP(-(((Scenario_Data!V55)-Inputs!$C$29)^2)/(2*Inputs!$C$31^2))*EXP(-(((0)-Inputs!$C$30)^2)/(2*Inputs!$C$32^2))+-Inputs!$C$33*EXP(-(((((Scenario_Data!V55)-Inputs!$C$34)^2)+(((0)-Inputs!$C$35)^2))/(2*Inputs!$C$36^2)))+Inputs!$C$37*(0.55*SIN(2*PI()*(Scenario_Data!V55)/Inputs!$C$39)+0.35*COS(2*PI()*(0)/Inputs!$C$40)+0.2*SIN(2*PI()*((Scenario_Data!V55)+(0))/(0.5*(Inputs!$C$39+Inputs!$C$40))))+Inputs!$C$38*SIN(2*PI()*(Scenario_Data!V55)/Inputs!$C$39)*SIN(2*PI()*(0)/Inputs!$C$40)+-Inputs!$C$41*EXP(-(((0)-Inputs!$C$43)^2)/(2*Inputs!$C$44^2))*EXP(-(((Scenario_Data!V55)-Inputs!$C$42)^2)/(2*Inputs!$C$45^2))+Inputs!$C$48*(0.7*(0.45*SIN(2*PI()*(((Scenario_Data!V55)/Inputs!$C$49)+Inputs!$C$47*0.137))+0.35*COS(2*PI()*(((0)/Inputs!$C$50)+Inputs!$C$47*0.173))+0.2*SIN(2*PI()*((((Scenario_Data!V55)+(0))/(0.5*(Inputs!$C$49+Inputs!$C$50)))+Inputs!$C$47*0.097)))+0.3*(2*((SIN(((Scenario_Data!V55)*12.9898+(0)*78.233+Inputs!$C$47*37.719))*43758.5453)-INT((SIN(((Scenario_Data!V55)*12.9898+(0)*78.233+Inputs!$C$47*37.719))*43758.5453)))-1)))))/Inputs!$C$21*1000000</f>
        <v/>
      </c>
      <c r="AD55">
        <f>Scenario_Data!W55</f>
        <v/>
      </c>
      <c r="AE55">
        <f>2*((Scenario_Data!E55*1000)-(IF(OR(Inputs!$C$27=TRUE,Inputs!$C$27="TRUE",Inputs!$C$27=1),1,0)*(Inputs!$C$51*(115*EXP(-(((0)-25)^2)/(4.5^2))+70*EXP(-(((0)+38)^2)/(7^2))*(0.55+0.45*SIN(2*PI()*(Scenario_Data!W55)/45))+24*SIN(2*PI()*(0)/9+(Scenario_Data!W55)/18)*EXP(-(((0)+5)^2)/(22^2))+18*SIN(2*PI()*(Scenario_Data!W55)/70))+Inputs!$C$28*EXP(-(((Scenario_Data!W55)-Inputs!$C$29)^2)/(2*Inputs!$C$31^2))*EXP(-(((0)-Inputs!$C$30)^2)/(2*Inputs!$C$32^2))+-Inputs!$C$33*EXP(-(((((Scenario_Data!W55)-Inputs!$C$34)^2)+(((0)-Inputs!$C$35)^2))/(2*Inputs!$C$36^2)))+Inputs!$C$37*(0.55*SIN(2*PI()*(Scenario_Data!W55)/Inputs!$C$39)+0.35*COS(2*PI()*(0)/Inputs!$C$40)+0.2*SIN(2*PI()*((Scenario_Data!W55)+(0))/(0.5*(Inputs!$C$39+Inputs!$C$40))))+Inputs!$C$38*SIN(2*PI()*(Scenario_Data!W55)/Inputs!$C$39)*SIN(2*PI()*(0)/Inputs!$C$40)+-Inputs!$C$41*EXP(-(((0)-Inputs!$C$43)^2)/(2*Inputs!$C$44^2))*EXP(-(((Scenario_Data!W55)-Inputs!$C$42)^2)/(2*Inputs!$C$45^2))+Inputs!$C$48*(0.7*(0.45*SIN(2*PI()*(((Scenario_Data!W55)/Inputs!$C$49)+Inputs!$C$47*0.137))+0.35*COS(2*PI()*(((0)/Inputs!$C$50)+Inputs!$C$47*0.173))+0.2*SIN(2*PI()*((((Scenario_Data!W55)+(0))/(0.5*(Inputs!$C$49+Inputs!$C$50)))+Inputs!$C$47*0.097)))+0.3*(2*((SIN(((Scenario_Data!W55)*12.9898+(0)*78.233+Inputs!$C$47*37.719))*43758.5453)-INT((SIN(((Scenario_Data!W55)*12.9898+(0)*78.233+Inputs!$C$47*37.719))*43758.5453)))-1)))))/Inputs!$C$21*1000000</f>
        <v/>
      </c>
      <c r="AG55">
        <f>Scenario_Data!T55</f>
        <v/>
      </c>
      <c r="AH55">
        <f>2*(SQRT((Inputs!$C$52+(Scenario_Data!B55))^2+Inputs!$C$52^2-2*(Inputs!$C$52+(Scenario_Data!B55))*Inputs!$C$52*COS(SQRT((Scenario_Data!T55)^2+Inputs!$C$6^2)/Inputs!$C$52))*1000)/Inputs!$C$21*1000000</f>
        <v/>
      </c>
      <c r="AI55">
        <f>Scenario_Data!U55</f>
        <v/>
      </c>
      <c r="AJ55">
        <f>2*(SQRT((Inputs!$C$52+(Scenario_Data!C55))^2+Inputs!$C$52^2-2*(Inputs!$C$52+(Scenario_Data!C55))*Inputs!$C$52*COS(SQRT((Scenario_Data!U55)^2+Inputs!$C$6^2)/Inputs!$C$52))*1000)/Inputs!$C$21*1000000</f>
        <v/>
      </c>
      <c r="AK55">
        <f>Scenario_Data!V55</f>
        <v/>
      </c>
      <c r="AL55">
        <f>2*(SQRT((Inputs!$C$52+(Scenario_Data!D55))^2+Inputs!$C$52^2-2*(Inputs!$C$52+(Scenario_Data!D55))*Inputs!$C$52*COS(SQRT((Scenario_Data!V55)^2+Inputs!$C$6^2)/Inputs!$C$52))*1000)/Inputs!$C$21*1000000</f>
        <v/>
      </c>
      <c r="AM55">
        <f>Scenario_Data!W55</f>
        <v/>
      </c>
      <c r="AN55">
        <f>2*(SQRT((Inputs!$C$52+(Scenario_Data!E55))^2+Inputs!$C$52^2-2*(Inputs!$C$52+(Scenario_Data!E55))*Inputs!$C$52*COS(SQRT((Scenario_Data!W55)^2+Inputs!$C$6^2)/Inputs!$C$52))*1000)/Inputs!$C$21*1000000</f>
        <v/>
      </c>
      <c r="AP55">
        <f>Scenario_Data!T55</f>
        <v/>
      </c>
      <c r="AQ55">
        <f>2*(SQRT((Inputs!$C$52+(Scenario_Data!B55))^2+(Inputs!$C$52+((IF(OR(Inputs!$C$27=TRUE,Inputs!$C$27="TRUE",Inputs!$C$27=1),1,0)*(Inputs!$C$51*(115*EXP(-(((Inputs!$C$6)-25)^2)/(4.5^2))+70*EXP(-(((Inputs!$C$6)+38)^2)/(7^2))*(0.55+0.45*SIN(2*PI()*(Scenario_Data!T55)/45))+24*SIN(2*PI()*(Inputs!$C$6)/9+(Scenario_Data!T55)/18)*EXP(-(((Inputs!$C$6)+5)^2)/(22^2))+18*SIN(2*PI()*(Scenario_Data!T55)/70))+Inputs!$C$28*EXP(-(((Scenario_Data!T55)-Inputs!$C$29)^2)/(2*Inputs!$C$31^2))*EXP(-(((Inputs!$C$6)-Inputs!$C$30)^2)/(2*Inputs!$C$32^2))+-Inputs!$C$33*EXP(-(((((Scenario_Data!T55)-Inputs!$C$34)^2)+(((Inputs!$C$6)-Inputs!$C$35)^2))/(2*Inputs!$C$36^2)))+Inputs!$C$37*(0.55*SIN(2*PI()*(Scenario_Data!T55)/Inputs!$C$39)+0.35*COS(2*PI()*(Inputs!$C$6)/Inputs!$C$40)+0.2*SIN(2*PI()*((Scenario_Data!T55)+(Inputs!$C$6))/(0.5*(Inputs!$C$39+Inputs!$C$40))))+Inputs!$C$38*SIN(2*PI()*(Scenario_Data!T55)/Inputs!$C$39)*SIN(2*PI()*(Inputs!$C$6)/Inputs!$C$40)+-Inputs!$C$41*EXP(-(((Inputs!$C$6)-Inputs!$C$43)^2)/(2*Inputs!$C$44^2))*EXP(-(((Scenario_Data!T55)-Inputs!$C$42)^2)/(2*Inputs!$C$45^2))+Inputs!$C$48*(0.7*(0.45*SIN(2*PI()*(((Scenario_Data!T55)/Inputs!$C$49)+Inputs!$C$47*0.137))+0.35*COS(2*PI()*(((Inputs!$C$6)/Inputs!$C$50)+Inputs!$C$47*0.173))+0.2*SIN(2*PI()*((((Scenario_Data!T55)+(Inputs!$C$6))/(0.5*(Inputs!$C$49+Inputs!$C$50)))+Inputs!$C$47*0.097)))+0.3*(2*((SIN(((Scenario_Data!T55)*12.9898+(Inputs!$C$6)*78.233+Inputs!$C$47*37.719))*43758.5453)-INT((SIN(((Scenario_Data!T55)*12.9898+(Inputs!$C$6)*78.233+Inputs!$C$47*37.719))*43758.5453)))-1))))/1000))^2-2*(Inputs!$C$52+(Scenario_Data!B55))*(Inputs!$C$52+((IF(OR(Inputs!$C$27=TRUE,Inputs!$C$27="TRUE",Inputs!$C$27=1),1,0)*(Inputs!$C$51*(115*EXP(-(((Inputs!$C$6)-25)^2)/(4.5^2))+70*EXP(-(((Inputs!$C$6)+38)^2)/(7^2))*(0.55+0.45*SIN(2*PI()*(Scenario_Data!T55)/45))+24*SIN(2*PI()*(Inputs!$C$6)/9+(Scenario_Data!T55)/18)*EXP(-(((Inputs!$C$6)+5)^2)/(22^2))+18*SIN(2*PI()*(Scenario_Data!T55)/70))+Inputs!$C$28*EXP(-(((Scenario_Data!T55)-Inputs!$C$29)^2)/(2*Inputs!$C$31^2))*EXP(-(((Inputs!$C$6)-Inputs!$C$30)^2)/(2*Inputs!$C$32^2))+-Inputs!$C$33*EXP(-(((((Scenario_Data!T55)-Inputs!$C$34)^2)+(((Inputs!$C$6)-Inputs!$C$35)^2))/(2*Inputs!$C$36^2)))+Inputs!$C$37*(0.55*SIN(2*PI()*(Scenario_Data!T55)/Inputs!$C$39)+0.35*COS(2*PI()*(Inputs!$C$6)/Inputs!$C$40)+0.2*SIN(2*PI()*((Scenario_Data!T55)+(Inputs!$C$6))/(0.5*(Inputs!$C$39+Inputs!$C$40))))+Inputs!$C$38*SIN(2*PI()*(Scenario_Data!T55)/Inputs!$C$39)*SIN(2*PI()*(Inputs!$C$6)/Inputs!$C$40)+-Inputs!$C$41*EXP(-(((Inputs!$C$6)-Inputs!$C$43)^2)/(2*Inputs!$C$44^2))*EXP(-(((Scenario_Data!T55)-Inputs!$C$42)^2)/(2*Inputs!$C$45^2))+Inputs!$C$48*(0.7*(0.45*SIN(2*PI()*(((Scenario_Data!T55)/Inputs!$C$49)+Inputs!$C$47*0.137))+0.35*COS(2*PI()*(((Inputs!$C$6)/Inputs!$C$50)+Inputs!$C$47*0.173))+0.2*SIN(2*PI()*((((Scenario_Data!T55)+(Inputs!$C$6))/(0.5*(Inputs!$C$49+Inputs!$C$50)))+Inputs!$C$47*0.097)))+0.3*(2*((SIN(((Scenario_Data!T55)*12.9898+(Inputs!$C$6)*78.233+Inputs!$C$47*37.719))*43758.5453)-INT((SIN(((Scenario_Data!T55)*12.9898+(Inputs!$C$6)*78.233+Inputs!$C$47*37.719))*43758.5453)))-1))))/1000))*COS(SQRT((Scenario_Data!T55)^2+Inputs!$C$6^2)/Inputs!$C$52))*1000)/Inputs!$C$21*1000000</f>
        <v/>
      </c>
      <c r="AR55">
        <f>Scenario_Data!U55</f>
        <v/>
      </c>
      <c r="AS55">
        <f>2*(SQRT((Inputs!$C$52+(Scenario_Data!C55))^2+(Inputs!$C$52+((IF(OR(Inputs!$C$27=TRUE,Inputs!$C$27="TRUE",Inputs!$C$27=1),1,0)*(Inputs!$C$51*(115*EXP(-(((Inputs!$C$6)-25)^2)/(4.5^2))+70*EXP(-(((Inputs!$C$6)+38)^2)/(7^2))*(0.55+0.45*SIN(2*PI()*(Scenario_Data!U55)/45))+24*SIN(2*PI()*(Inputs!$C$6)/9+(Scenario_Data!U55)/18)*EXP(-(((Inputs!$C$6)+5)^2)/(22^2))+18*SIN(2*PI()*(Scenario_Data!U55)/70))+Inputs!$C$28*EXP(-(((Scenario_Data!U55)-Inputs!$C$29)^2)/(2*Inputs!$C$31^2))*EXP(-(((Inputs!$C$6)-Inputs!$C$30)^2)/(2*Inputs!$C$32^2))+-Inputs!$C$33*EXP(-(((((Scenario_Data!U55)-Inputs!$C$34)^2)+(((Inputs!$C$6)-Inputs!$C$35)^2))/(2*Inputs!$C$36^2)))+Inputs!$C$37*(0.55*SIN(2*PI()*(Scenario_Data!U55)/Inputs!$C$39)+0.35*COS(2*PI()*(Inputs!$C$6)/Inputs!$C$40)+0.2*SIN(2*PI()*((Scenario_Data!U55)+(Inputs!$C$6))/(0.5*(Inputs!$C$39+Inputs!$C$40))))+Inputs!$C$38*SIN(2*PI()*(Scenario_Data!U55)/Inputs!$C$39)*SIN(2*PI()*(Inputs!$C$6)/Inputs!$C$40)+-Inputs!$C$41*EXP(-(((Inputs!$C$6)-Inputs!$C$43)^2)/(2*Inputs!$C$44^2))*EXP(-(((Scenario_Data!U55)-Inputs!$C$42)^2)/(2*Inputs!$C$45^2))+Inputs!$C$48*(0.7*(0.45*SIN(2*PI()*(((Scenario_Data!U55)/Inputs!$C$49)+Inputs!$C$47*0.137))+0.35*COS(2*PI()*(((Inputs!$C$6)/Inputs!$C$50)+Inputs!$C$47*0.173))+0.2*SIN(2*PI()*((((Scenario_Data!U55)+(Inputs!$C$6))/(0.5*(Inputs!$C$49+Inputs!$C$50)))+Inputs!$C$47*0.097)))+0.3*(2*((SIN(((Scenario_Data!U55)*12.9898+(Inputs!$C$6)*78.233+Inputs!$C$47*37.719))*43758.5453)-INT((SIN(((Scenario_Data!U55)*12.9898+(Inputs!$C$6)*78.233+Inputs!$C$47*37.719))*43758.5453)))-1))))/1000))^2-2*(Inputs!$C$52+(Scenario_Data!C55))*(Inputs!$C$52+((IF(OR(Inputs!$C$27=TRUE,Inputs!$C$27="TRUE",Inputs!$C$27=1),1,0)*(Inputs!$C$51*(115*EXP(-(((Inputs!$C$6)-25)^2)/(4.5^2))+70*EXP(-(((Inputs!$C$6)+38)^2)/(7^2))*(0.55+0.45*SIN(2*PI()*(Scenario_Data!U55)/45))+24*SIN(2*PI()*(Inputs!$C$6)/9+(Scenario_Data!U55)/18)*EXP(-(((Inputs!$C$6)+5)^2)/(22^2))+18*SIN(2*PI()*(Scenario_Data!U55)/70))+Inputs!$C$28*EXP(-(((Scenario_Data!U55)-Inputs!$C$29)^2)/(2*Inputs!$C$31^2))*EXP(-(((Inputs!$C$6)-Inputs!$C$30)^2)/(2*Inputs!$C$32^2))+-Inputs!$C$33*EXP(-(((((Scenario_Data!U55)-Inputs!$C$34)^2)+(((Inputs!$C$6)-Inputs!$C$35)^2))/(2*Inputs!$C$36^2)))+Inputs!$C$37*(0.55*SIN(2*PI()*(Scenario_Data!U55)/Inputs!$C$39)+0.35*COS(2*PI()*(Inputs!$C$6)/Inputs!$C$40)+0.2*SIN(2*PI()*((Scenario_Data!U55)+(Inputs!$C$6))/(0.5*(Inputs!$C$39+Inputs!$C$40))))+Inputs!$C$38*SIN(2*PI()*(Scenario_Data!U55)/Inputs!$C$39)*SIN(2*PI()*(Inputs!$C$6)/Inputs!$C$40)+-Inputs!$C$41*EXP(-(((Inputs!$C$6)-Inputs!$C$43)^2)/(2*Inputs!$C$44^2))*EXP(-(((Scenario_Data!U55)-Inputs!$C$42)^2)/(2*Inputs!$C$45^2))+Inputs!$C$48*(0.7*(0.45*SIN(2*PI()*(((Scenario_Data!U55)/Inputs!$C$49)+Inputs!$C$47*0.137))+0.35*COS(2*PI()*(((Inputs!$C$6)/Inputs!$C$50)+Inputs!$C$47*0.173))+0.2*SIN(2*PI()*((((Scenario_Data!U55)+(Inputs!$C$6))/(0.5*(Inputs!$C$49+Inputs!$C$50)))+Inputs!$C$47*0.097)))+0.3*(2*((SIN(((Scenario_Data!U55)*12.9898+(Inputs!$C$6)*78.233+Inputs!$C$47*37.719))*43758.5453)-INT((SIN(((Scenario_Data!U55)*12.9898+(Inputs!$C$6)*78.233+Inputs!$C$47*37.719))*43758.5453)))-1))))/1000))*COS(SQRT((Scenario_Data!U55)^2+Inputs!$C$6^2)/Inputs!$C$52))*1000)/Inputs!$C$21*1000000</f>
        <v/>
      </c>
      <c r="AT55">
        <f>Scenario_Data!V55</f>
        <v/>
      </c>
      <c r="AU55">
        <f>2*(SQRT((Inputs!$C$52+(Scenario_Data!D55))^2+(Inputs!$C$52+((IF(OR(Inputs!$C$27=TRUE,Inputs!$C$27="TRUE",Inputs!$C$27=1),1,0)*(Inputs!$C$51*(115*EXP(-(((Inputs!$C$6)-25)^2)/(4.5^2))+70*EXP(-(((Inputs!$C$6)+38)^2)/(7^2))*(0.55+0.45*SIN(2*PI()*(Scenario_Data!V55)/45))+24*SIN(2*PI()*(Inputs!$C$6)/9+(Scenario_Data!V55)/18)*EXP(-(((Inputs!$C$6)+5)^2)/(22^2))+18*SIN(2*PI()*(Scenario_Data!V55)/70))+Inputs!$C$28*EXP(-(((Scenario_Data!V55)-Inputs!$C$29)^2)/(2*Inputs!$C$31^2))*EXP(-(((Inputs!$C$6)-Inputs!$C$30)^2)/(2*Inputs!$C$32^2))+-Inputs!$C$33*EXP(-(((((Scenario_Data!V55)-Inputs!$C$34)^2)+(((Inputs!$C$6)-Inputs!$C$35)^2))/(2*Inputs!$C$36^2)))+Inputs!$C$37*(0.55*SIN(2*PI()*(Scenario_Data!V55)/Inputs!$C$39)+0.35*COS(2*PI()*(Inputs!$C$6)/Inputs!$C$40)+0.2*SIN(2*PI()*((Scenario_Data!V55)+(Inputs!$C$6))/(0.5*(Inputs!$C$39+Inputs!$C$40))))+Inputs!$C$38*SIN(2*PI()*(Scenario_Data!V55)/Inputs!$C$39)*SIN(2*PI()*(Inputs!$C$6)/Inputs!$C$40)+-Inputs!$C$41*EXP(-(((Inputs!$C$6)-Inputs!$C$43)^2)/(2*Inputs!$C$44^2))*EXP(-(((Scenario_Data!V55)-Inputs!$C$42)^2)/(2*Inputs!$C$45^2))+Inputs!$C$48*(0.7*(0.45*SIN(2*PI()*(((Scenario_Data!V55)/Inputs!$C$49)+Inputs!$C$47*0.137))+0.35*COS(2*PI()*(((Inputs!$C$6)/Inputs!$C$50)+Inputs!$C$47*0.173))+0.2*SIN(2*PI()*((((Scenario_Data!V55)+(Inputs!$C$6))/(0.5*(Inputs!$C$49+Inputs!$C$50)))+Inputs!$C$47*0.097)))+0.3*(2*((SIN(((Scenario_Data!V55)*12.9898+(Inputs!$C$6)*78.233+Inputs!$C$47*37.719))*43758.5453)-INT((SIN(((Scenario_Data!V55)*12.9898+(Inputs!$C$6)*78.233+Inputs!$C$47*37.719))*43758.5453)))-1))))/1000))^2-2*(Inputs!$C$52+(Scenario_Data!D55))*(Inputs!$C$52+((IF(OR(Inputs!$C$27=TRUE,Inputs!$C$27="TRUE",Inputs!$C$27=1),1,0)*(Inputs!$C$51*(115*EXP(-(((Inputs!$C$6)-25)^2)/(4.5^2))+70*EXP(-(((Inputs!$C$6)+38)^2)/(7^2))*(0.55+0.45*SIN(2*PI()*(Scenario_Data!V55)/45))+24*SIN(2*PI()*(Inputs!$C$6)/9+(Scenario_Data!V55)/18)*EXP(-(((Inputs!$C$6)+5)^2)/(22^2))+18*SIN(2*PI()*(Scenario_Data!V55)/70))+Inputs!$C$28*EXP(-(((Scenario_Data!V55)-Inputs!$C$29)^2)/(2*Inputs!$C$31^2))*EXP(-(((Inputs!$C$6)-Inputs!$C$30)^2)/(2*Inputs!$C$32^2))+-Inputs!$C$33*EXP(-(((((Scenario_Data!V55)-Inputs!$C$34)^2)+(((Inputs!$C$6)-Inputs!$C$35)^2))/(2*Inputs!$C$36^2)))+Inputs!$C$37*(0.55*SIN(2*PI()*(Scenario_Data!V55)/Inputs!$C$39)+0.35*COS(2*PI()*(Inputs!$C$6)/Inputs!$C$40)+0.2*SIN(2*PI()*((Scenario_Data!V55)+(Inputs!$C$6))/(0.5*(Inputs!$C$39+Inputs!$C$40))))+Inputs!$C$38*SIN(2*PI()*(Scenario_Data!V55)/Inputs!$C$39)*SIN(2*PI()*(Inputs!$C$6)/Inputs!$C$40)+-Inputs!$C$41*EXP(-(((Inputs!$C$6)-Inputs!$C$43)^2)/(2*Inputs!$C$44^2))*EXP(-(((Scenario_Data!V55)-Inputs!$C$42)^2)/(2*Inputs!$C$45^2))+Inputs!$C$48*(0.7*(0.45*SIN(2*PI()*(((Scenario_Data!V55)/Inputs!$C$49)+Inputs!$C$47*0.137))+0.35*COS(2*PI()*(((Inputs!$C$6)/Inputs!$C$50)+Inputs!$C$47*0.173))+0.2*SIN(2*PI()*((((Scenario_Data!V55)+(Inputs!$C$6))/(0.5*(Inputs!$C$49+Inputs!$C$50)))+Inputs!$C$47*0.097)))+0.3*(2*((SIN(((Scenario_Data!V55)*12.9898+(Inputs!$C$6)*78.233+Inputs!$C$47*37.719))*43758.5453)-INT((SIN(((Scenario_Data!V55)*12.9898+(Inputs!$C$6)*78.233+Inputs!$C$47*37.719))*43758.5453)))-1))))/1000))*COS(SQRT((Scenario_Data!V55)^2+Inputs!$C$6^2)/Inputs!$C$52))*1000)/Inputs!$C$21*1000000</f>
        <v/>
      </c>
      <c r="AV55">
        <f>Scenario_Data!W55</f>
        <v/>
      </c>
      <c r="AW55">
        <f>2*(SQRT((Inputs!$C$52+(Scenario_Data!E55))^2+(Inputs!$C$52+((IF(OR(Inputs!$C$27=TRUE,Inputs!$C$27="TRUE",Inputs!$C$27=1),1,0)*(Inputs!$C$51*(115*EXP(-(((Inputs!$C$6)-25)^2)/(4.5^2))+70*EXP(-(((Inputs!$C$6)+38)^2)/(7^2))*(0.55+0.45*SIN(2*PI()*(Scenario_Data!W55)/45))+24*SIN(2*PI()*(Inputs!$C$6)/9+(Scenario_Data!W55)/18)*EXP(-(((Inputs!$C$6)+5)^2)/(22^2))+18*SIN(2*PI()*(Scenario_Data!W55)/70))+Inputs!$C$28*EXP(-(((Scenario_Data!W55)-Inputs!$C$29)^2)/(2*Inputs!$C$31^2))*EXP(-(((Inputs!$C$6)-Inputs!$C$30)^2)/(2*Inputs!$C$32^2))+-Inputs!$C$33*EXP(-(((((Scenario_Data!W55)-Inputs!$C$34)^2)+(((Inputs!$C$6)-Inputs!$C$35)^2))/(2*Inputs!$C$36^2)))+Inputs!$C$37*(0.55*SIN(2*PI()*(Scenario_Data!W55)/Inputs!$C$39)+0.35*COS(2*PI()*(Inputs!$C$6)/Inputs!$C$40)+0.2*SIN(2*PI()*((Scenario_Data!W55)+(Inputs!$C$6))/(0.5*(Inputs!$C$39+Inputs!$C$40))))+Inputs!$C$38*SIN(2*PI()*(Scenario_Data!W55)/Inputs!$C$39)*SIN(2*PI()*(Inputs!$C$6)/Inputs!$C$40)+-Inputs!$C$41*EXP(-(((Inputs!$C$6)-Inputs!$C$43)^2)/(2*Inputs!$C$44^2))*EXP(-(((Scenario_Data!W55)-Inputs!$C$42)^2)/(2*Inputs!$C$45^2))+Inputs!$C$48*(0.7*(0.45*SIN(2*PI()*(((Scenario_Data!W55)/Inputs!$C$49)+Inputs!$C$47*0.137))+0.35*COS(2*PI()*(((Inputs!$C$6)/Inputs!$C$50)+Inputs!$C$47*0.173))+0.2*SIN(2*PI()*((((Scenario_Data!W55)+(Inputs!$C$6))/(0.5*(Inputs!$C$49+Inputs!$C$50)))+Inputs!$C$47*0.097)))+0.3*(2*((SIN(((Scenario_Data!W55)*12.9898+(Inputs!$C$6)*78.233+Inputs!$C$47*37.719))*43758.5453)-INT((SIN(((Scenario_Data!W55)*12.9898+(Inputs!$C$6)*78.233+Inputs!$C$47*37.719))*43758.5453)))-1))))/1000))^2-2*(Inputs!$C$52+(Scenario_Data!E55))*(Inputs!$C$52+((IF(OR(Inputs!$C$27=TRUE,Inputs!$C$27="TRUE",Inputs!$C$27=1),1,0)*(Inputs!$C$51*(115*EXP(-(((Inputs!$C$6)-25)^2)/(4.5^2))+70*EXP(-(((Inputs!$C$6)+38)^2)/(7^2))*(0.55+0.45*SIN(2*PI()*(Scenario_Data!W55)/45))+24*SIN(2*PI()*(Inputs!$C$6)/9+(Scenario_Data!W55)/18)*EXP(-(((Inputs!$C$6)+5)^2)/(22^2))+18*SIN(2*PI()*(Scenario_Data!W55)/70))+Inputs!$C$28*EXP(-(((Scenario_Data!W55)-Inputs!$C$29)^2)/(2*Inputs!$C$31^2))*EXP(-(((Inputs!$C$6)-Inputs!$C$30)^2)/(2*Inputs!$C$32^2))+-Inputs!$C$33*EXP(-(((((Scenario_Data!W55)-Inputs!$C$34)^2)+(((Inputs!$C$6)-Inputs!$C$35)^2))/(2*Inputs!$C$36^2)))+Inputs!$C$37*(0.55*SIN(2*PI()*(Scenario_Data!W55)/Inputs!$C$39)+0.35*COS(2*PI()*(Inputs!$C$6)/Inputs!$C$40)+0.2*SIN(2*PI()*((Scenario_Data!W55)+(Inputs!$C$6))/(0.5*(Inputs!$C$39+Inputs!$C$40))))+Inputs!$C$38*SIN(2*PI()*(Scenario_Data!W55)/Inputs!$C$39)*SIN(2*PI()*(Inputs!$C$6)/Inputs!$C$40)+-Inputs!$C$41*EXP(-(((Inputs!$C$6)-Inputs!$C$43)^2)/(2*Inputs!$C$44^2))*EXP(-(((Scenario_Data!W55)-Inputs!$C$42)^2)/(2*Inputs!$C$45^2))+Inputs!$C$48*(0.7*(0.45*SIN(2*PI()*(((Scenario_Data!W55)/Inputs!$C$49)+Inputs!$C$47*0.137))+0.35*COS(2*PI()*(((Inputs!$C$6)/Inputs!$C$50)+Inputs!$C$47*0.173))+0.2*SIN(2*PI()*((((Scenario_Data!W55)+(Inputs!$C$6))/(0.5*(Inputs!$C$49+Inputs!$C$50)))+Inputs!$C$47*0.097)))+0.3*(2*((SIN(((Scenario_Data!W55)*12.9898+(Inputs!$C$6)*78.233+Inputs!$C$47*37.719))*43758.5453)-INT((SIN(((Scenario_Data!W55)*12.9898+(Inputs!$C$6)*78.233+Inputs!$C$47*37.719))*43758.5453)))-1))))/1000))*COS(SQRT((Scenario_Data!W55)^2+Inputs!$C$6^2)/Inputs!$C$52))*1000)/Inputs!$C$21*1000000</f>
        <v/>
      </c>
    </row>
    <row r="56">
      <c r="A56">
        <f>Chart_Data!K56</f>
        <v/>
      </c>
      <c r="B56">
        <f>Chart_Data!N56-Chart_Data!L56</f>
        <v/>
      </c>
      <c r="D56">
        <f>Chart_Data!G56</f>
        <v/>
      </c>
      <c r="E56">
        <f>Chart_Data!H56</f>
        <v/>
      </c>
      <c r="F56">
        <f>Chart_Data!I56</f>
        <v/>
      </c>
      <c r="G56">
        <f>Chart_Data!J56</f>
        <v/>
      </c>
      <c r="I56">
        <f>Scenario_Data!A56</f>
        <v/>
      </c>
      <c r="J56">
        <f>Scenario_Data!H56-(((SQRT((Inputs!$C$52+(Inputs!$H$6))^2+Inputs!$C$52^2-2*(Inputs!$C$52+(Inputs!$H$6))*Inputs!$C$52*COS(SQRT((Scenario_Data!T56)^2+Inputs!$C$6^2)/Inputs!$C$52)))-(Inputs!$H$6))*1000/Inputs!$C$12)</f>
        <v/>
      </c>
      <c r="K56">
        <f>Scenario_Data!I56-(((SQRT((Inputs!$C$52+(Inputs!$H$7))^2+Inputs!$C$52^2-2*(Inputs!$C$52+(Inputs!$H$7))*Inputs!$C$52*COS(SQRT((Scenario_Data!U56)^2+Inputs!$C$6^2)/Inputs!$C$52)))-(Inputs!$H$7))*1000/Inputs!$C$12)</f>
        <v/>
      </c>
      <c r="L56">
        <f>Scenario_Data!J56-(((SQRT((Inputs!$C$52+(Inputs!$H$8))^2+Inputs!$C$52^2-2*(Inputs!$C$52+(Inputs!$H$8))*Inputs!$C$52*COS(SQRT((Scenario_Data!V56)^2+Inputs!$C$6^2)/Inputs!$C$52)))-(Inputs!$H$8))*1000/Inputs!$C$12)</f>
        <v/>
      </c>
      <c r="M56">
        <f>Scenario_Data!K56-(((SQRT((Inputs!$C$52+(Inputs!$H$9))^2+Inputs!$C$52^2-2*(Inputs!$C$52+(Inputs!$H$9))*Inputs!$C$52*COS(SQRT((Scenario_Data!W56)^2+Inputs!$C$6^2)/Inputs!$C$52)))-(Inputs!$H$9))*1000/Inputs!$C$12)</f>
        <v/>
      </c>
      <c r="O56">
        <f>Scenario_Data!T56</f>
        <v/>
      </c>
      <c r="P56">
        <f>2*(Scenario_Data!B56*1000)/Inputs!$C$21*1000000</f>
        <v/>
      </c>
      <c r="Q56">
        <f>Scenario_Data!U56</f>
        <v/>
      </c>
      <c r="R56">
        <f>2*(Scenario_Data!C56*1000)/Inputs!$C$21*1000000</f>
        <v/>
      </c>
      <c r="S56">
        <f>Scenario_Data!V56</f>
        <v/>
      </c>
      <c r="T56">
        <f>2*(Scenario_Data!D56*1000)/Inputs!$C$21*1000000</f>
        <v/>
      </c>
      <c r="U56">
        <f>Scenario_Data!W56</f>
        <v/>
      </c>
      <c r="V56">
        <f>2*(Scenario_Data!E56*1000)/Inputs!$C$21*1000000</f>
        <v/>
      </c>
      <c r="X56">
        <f>Scenario_Data!T56</f>
        <v/>
      </c>
      <c r="Y56">
        <f>2*((Scenario_Data!B56*1000)-(IF(OR(Inputs!$C$27=TRUE,Inputs!$C$27="TRUE",Inputs!$C$27=1),1,0)*(Inputs!$C$51*(115*EXP(-(((0)-25)^2)/(4.5^2))+70*EXP(-(((0)+38)^2)/(7^2))*(0.55+0.45*SIN(2*PI()*(Scenario_Data!T56)/45))+24*SIN(2*PI()*(0)/9+(Scenario_Data!T56)/18)*EXP(-(((0)+5)^2)/(22^2))+18*SIN(2*PI()*(Scenario_Data!T56)/70))+Inputs!$C$28*EXP(-(((Scenario_Data!T56)-Inputs!$C$29)^2)/(2*Inputs!$C$31^2))*EXP(-(((0)-Inputs!$C$30)^2)/(2*Inputs!$C$32^2))+-Inputs!$C$33*EXP(-(((((Scenario_Data!T56)-Inputs!$C$34)^2)+(((0)-Inputs!$C$35)^2))/(2*Inputs!$C$36^2)))+Inputs!$C$37*(0.55*SIN(2*PI()*(Scenario_Data!T56)/Inputs!$C$39)+0.35*COS(2*PI()*(0)/Inputs!$C$40)+0.2*SIN(2*PI()*((Scenario_Data!T56)+(0))/(0.5*(Inputs!$C$39+Inputs!$C$40))))+Inputs!$C$38*SIN(2*PI()*(Scenario_Data!T56)/Inputs!$C$39)*SIN(2*PI()*(0)/Inputs!$C$40)+-Inputs!$C$41*EXP(-(((0)-Inputs!$C$43)^2)/(2*Inputs!$C$44^2))*EXP(-(((Scenario_Data!T56)-Inputs!$C$42)^2)/(2*Inputs!$C$45^2))+Inputs!$C$48*(0.7*(0.45*SIN(2*PI()*(((Scenario_Data!T56)/Inputs!$C$49)+Inputs!$C$47*0.137))+0.35*COS(2*PI()*(((0)/Inputs!$C$50)+Inputs!$C$47*0.173))+0.2*SIN(2*PI()*((((Scenario_Data!T56)+(0))/(0.5*(Inputs!$C$49+Inputs!$C$50)))+Inputs!$C$47*0.097)))+0.3*(2*((SIN(((Scenario_Data!T56)*12.9898+(0)*78.233+Inputs!$C$47*37.719))*43758.5453)-INT((SIN(((Scenario_Data!T56)*12.9898+(0)*78.233+Inputs!$C$47*37.719))*43758.5453)))-1)))))/Inputs!$C$21*1000000</f>
        <v/>
      </c>
      <c r="Z56">
        <f>Scenario_Data!U56</f>
        <v/>
      </c>
      <c r="AA56">
        <f>2*((Scenario_Data!C56*1000)-(IF(OR(Inputs!$C$27=TRUE,Inputs!$C$27="TRUE",Inputs!$C$27=1),1,0)*(Inputs!$C$51*(115*EXP(-(((0)-25)^2)/(4.5^2))+70*EXP(-(((0)+38)^2)/(7^2))*(0.55+0.45*SIN(2*PI()*(Scenario_Data!U56)/45))+24*SIN(2*PI()*(0)/9+(Scenario_Data!U56)/18)*EXP(-(((0)+5)^2)/(22^2))+18*SIN(2*PI()*(Scenario_Data!U56)/70))+Inputs!$C$28*EXP(-(((Scenario_Data!U56)-Inputs!$C$29)^2)/(2*Inputs!$C$31^2))*EXP(-(((0)-Inputs!$C$30)^2)/(2*Inputs!$C$32^2))+-Inputs!$C$33*EXP(-(((((Scenario_Data!U56)-Inputs!$C$34)^2)+(((0)-Inputs!$C$35)^2))/(2*Inputs!$C$36^2)))+Inputs!$C$37*(0.55*SIN(2*PI()*(Scenario_Data!U56)/Inputs!$C$39)+0.35*COS(2*PI()*(0)/Inputs!$C$40)+0.2*SIN(2*PI()*((Scenario_Data!U56)+(0))/(0.5*(Inputs!$C$39+Inputs!$C$40))))+Inputs!$C$38*SIN(2*PI()*(Scenario_Data!U56)/Inputs!$C$39)*SIN(2*PI()*(0)/Inputs!$C$40)+-Inputs!$C$41*EXP(-(((0)-Inputs!$C$43)^2)/(2*Inputs!$C$44^2))*EXP(-(((Scenario_Data!U56)-Inputs!$C$42)^2)/(2*Inputs!$C$45^2))+Inputs!$C$48*(0.7*(0.45*SIN(2*PI()*(((Scenario_Data!U56)/Inputs!$C$49)+Inputs!$C$47*0.137))+0.35*COS(2*PI()*(((0)/Inputs!$C$50)+Inputs!$C$47*0.173))+0.2*SIN(2*PI()*((((Scenario_Data!U56)+(0))/(0.5*(Inputs!$C$49+Inputs!$C$50)))+Inputs!$C$47*0.097)))+0.3*(2*((SIN(((Scenario_Data!U56)*12.9898+(0)*78.233+Inputs!$C$47*37.719))*43758.5453)-INT((SIN(((Scenario_Data!U56)*12.9898+(0)*78.233+Inputs!$C$47*37.719))*43758.5453)))-1)))))/Inputs!$C$21*1000000</f>
        <v/>
      </c>
      <c r="AB56">
        <f>Scenario_Data!V56</f>
        <v/>
      </c>
      <c r="AC56">
        <f>2*((Scenario_Data!D56*1000)-(IF(OR(Inputs!$C$27=TRUE,Inputs!$C$27="TRUE",Inputs!$C$27=1),1,0)*(Inputs!$C$51*(115*EXP(-(((0)-25)^2)/(4.5^2))+70*EXP(-(((0)+38)^2)/(7^2))*(0.55+0.45*SIN(2*PI()*(Scenario_Data!V56)/45))+24*SIN(2*PI()*(0)/9+(Scenario_Data!V56)/18)*EXP(-(((0)+5)^2)/(22^2))+18*SIN(2*PI()*(Scenario_Data!V56)/70))+Inputs!$C$28*EXP(-(((Scenario_Data!V56)-Inputs!$C$29)^2)/(2*Inputs!$C$31^2))*EXP(-(((0)-Inputs!$C$30)^2)/(2*Inputs!$C$32^2))+-Inputs!$C$33*EXP(-(((((Scenario_Data!V56)-Inputs!$C$34)^2)+(((0)-Inputs!$C$35)^2))/(2*Inputs!$C$36^2)))+Inputs!$C$37*(0.55*SIN(2*PI()*(Scenario_Data!V56)/Inputs!$C$39)+0.35*COS(2*PI()*(0)/Inputs!$C$40)+0.2*SIN(2*PI()*((Scenario_Data!V56)+(0))/(0.5*(Inputs!$C$39+Inputs!$C$40))))+Inputs!$C$38*SIN(2*PI()*(Scenario_Data!V56)/Inputs!$C$39)*SIN(2*PI()*(0)/Inputs!$C$40)+-Inputs!$C$41*EXP(-(((0)-Inputs!$C$43)^2)/(2*Inputs!$C$44^2))*EXP(-(((Scenario_Data!V56)-Inputs!$C$42)^2)/(2*Inputs!$C$45^2))+Inputs!$C$48*(0.7*(0.45*SIN(2*PI()*(((Scenario_Data!V56)/Inputs!$C$49)+Inputs!$C$47*0.137))+0.35*COS(2*PI()*(((0)/Inputs!$C$50)+Inputs!$C$47*0.173))+0.2*SIN(2*PI()*((((Scenario_Data!V56)+(0))/(0.5*(Inputs!$C$49+Inputs!$C$50)))+Inputs!$C$47*0.097)))+0.3*(2*((SIN(((Scenario_Data!V56)*12.9898+(0)*78.233+Inputs!$C$47*37.719))*43758.5453)-INT((SIN(((Scenario_Data!V56)*12.9898+(0)*78.233+Inputs!$C$47*37.719))*43758.5453)))-1)))))/Inputs!$C$21*1000000</f>
        <v/>
      </c>
      <c r="AD56">
        <f>Scenario_Data!W56</f>
        <v/>
      </c>
      <c r="AE56">
        <f>2*((Scenario_Data!E56*1000)-(IF(OR(Inputs!$C$27=TRUE,Inputs!$C$27="TRUE",Inputs!$C$27=1),1,0)*(Inputs!$C$51*(115*EXP(-(((0)-25)^2)/(4.5^2))+70*EXP(-(((0)+38)^2)/(7^2))*(0.55+0.45*SIN(2*PI()*(Scenario_Data!W56)/45))+24*SIN(2*PI()*(0)/9+(Scenario_Data!W56)/18)*EXP(-(((0)+5)^2)/(22^2))+18*SIN(2*PI()*(Scenario_Data!W56)/70))+Inputs!$C$28*EXP(-(((Scenario_Data!W56)-Inputs!$C$29)^2)/(2*Inputs!$C$31^2))*EXP(-(((0)-Inputs!$C$30)^2)/(2*Inputs!$C$32^2))+-Inputs!$C$33*EXP(-(((((Scenario_Data!W56)-Inputs!$C$34)^2)+(((0)-Inputs!$C$35)^2))/(2*Inputs!$C$36^2)))+Inputs!$C$37*(0.55*SIN(2*PI()*(Scenario_Data!W56)/Inputs!$C$39)+0.35*COS(2*PI()*(0)/Inputs!$C$40)+0.2*SIN(2*PI()*((Scenario_Data!W56)+(0))/(0.5*(Inputs!$C$39+Inputs!$C$40))))+Inputs!$C$38*SIN(2*PI()*(Scenario_Data!W56)/Inputs!$C$39)*SIN(2*PI()*(0)/Inputs!$C$40)+-Inputs!$C$41*EXP(-(((0)-Inputs!$C$43)^2)/(2*Inputs!$C$44^2))*EXP(-(((Scenario_Data!W56)-Inputs!$C$42)^2)/(2*Inputs!$C$45^2))+Inputs!$C$48*(0.7*(0.45*SIN(2*PI()*(((Scenario_Data!W56)/Inputs!$C$49)+Inputs!$C$47*0.137))+0.35*COS(2*PI()*(((0)/Inputs!$C$50)+Inputs!$C$47*0.173))+0.2*SIN(2*PI()*((((Scenario_Data!W56)+(0))/(0.5*(Inputs!$C$49+Inputs!$C$50)))+Inputs!$C$47*0.097)))+0.3*(2*((SIN(((Scenario_Data!W56)*12.9898+(0)*78.233+Inputs!$C$47*37.719))*43758.5453)-INT((SIN(((Scenario_Data!W56)*12.9898+(0)*78.233+Inputs!$C$47*37.719))*43758.5453)))-1)))))/Inputs!$C$21*1000000</f>
        <v/>
      </c>
      <c r="AG56">
        <f>Scenario_Data!T56</f>
        <v/>
      </c>
      <c r="AH56">
        <f>2*(SQRT((Inputs!$C$52+(Scenario_Data!B56))^2+Inputs!$C$52^2-2*(Inputs!$C$52+(Scenario_Data!B56))*Inputs!$C$52*COS(SQRT((Scenario_Data!T56)^2+Inputs!$C$6^2)/Inputs!$C$52))*1000)/Inputs!$C$21*1000000</f>
        <v/>
      </c>
      <c r="AI56">
        <f>Scenario_Data!U56</f>
        <v/>
      </c>
      <c r="AJ56">
        <f>2*(SQRT((Inputs!$C$52+(Scenario_Data!C56))^2+Inputs!$C$52^2-2*(Inputs!$C$52+(Scenario_Data!C56))*Inputs!$C$52*COS(SQRT((Scenario_Data!U56)^2+Inputs!$C$6^2)/Inputs!$C$52))*1000)/Inputs!$C$21*1000000</f>
        <v/>
      </c>
      <c r="AK56">
        <f>Scenario_Data!V56</f>
        <v/>
      </c>
      <c r="AL56">
        <f>2*(SQRT((Inputs!$C$52+(Scenario_Data!D56))^2+Inputs!$C$52^2-2*(Inputs!$C$52+(Scenario_Data!D56))*Inputs!$C$52*COS(SQRT((Scenario_Data!V56)^2+Inputs!$C$6^2)/Inputs!$C$52))*1000)/Inputs!$C$21*1000000</f>
        <v/>
      </c>
      <c r="AM56">
        <f>Scenario_Data!W56</f>
        <v/>
      </c>
      <c r="AN56">
        <f>2*(SQRT((Inputs!$C$52+(Scenario_Data!E56))^2+Inputs!$C$52^2-2*(Inputs!$C$52+(Scenario_Data!E56))*Inputs!$C$52*COS(SQRT((Scenario_Data!W56)^2+Inputs!$C$6^2)/Inputs!$C$52))*1000)/Inputs!$C$21*1000000</f>
        <v/>
      </c>
      <c r="AP56">
        <f>Scenario_Data!T56</f>
        <v/>
      </c>
      <c r="AQ56">
        <f>2*(SQRT((Inputs!$C$52+(Scenario_Data!B56))^2+(Inputs!$C$52+((IF(OR(Inputs!$C$27=TRUE,Inputs!$C$27="TRUE",Inputs!$C$27=1),1,0)*(Inputs!$C$51*(115*EXP(-(((Inputs!$C$6)-25)^2)/(4.5^2))+70*EXP(-(((Inputs!$C$6)+38)^2)/(7^2))*(0.55+0.45*SIN(2*PI()*(Scenario_Data!T56)/45))+24*SIN(2*PI()*(Inputs!$C$6)/9+(Scenario_Data!T56)/18)*EXP(-(((Inputs!$C$6)+5)^2)/(22^2))+18*SIN(2*PI()*(Scenario_Data!T56)/70))+Inputs!$C$28*EXP(-(((Scenario_Data!T56)-Inputs!$C$29)^2)/(2*Inputs!$C$31^2))*EXP(-(((Inputs!$C$6)-Inputs!$C$30)^2)/(2*Inputs!$C$32^2))+-Inputs!$C$33*EXP(-(((((Scenario_Data!T56)-Inputs!$C$34)^2)+(((Inputs!$C$6)-Inputs!$C$35)^2))/(2*Inputs!$C$36^2)))+Inputs!$C$37*(0.55*SIN(2*PI()*(Scenario_Data!T56)/Inputs!$C$39)+0.35*COS(2*PI()*(Inputs!$C$6)/Inputs!$C$40)+0.2*SIN(2*PI()*((Scenario_Data!T56)+(Inputs!$C$6))/(0.5*(Inputs!$C$39+Inputs!$C$40))))+Inputs!$C$38*SIN(2*PI()*(Scenario_Data!T56)/Inputs!$C$39)*SIN(2*PI()*(Inputs!$C$6)/Inputs!$C$40)+-Inputs!$C$41*EXP(-(((Inputs!$C$6)-Inputs!$C$43)^2)/(2*Inputs!$C$44^2))*EXP(-(((Scenario_Data!T56)-Inputs!$C$42)^2)/(2*Inputs!$C$45^2))+Inputs!$C$48*(0.7*(0.45*SIN(2*PI()*(((Scenario_Data!T56)/Inputs!$C$49)+Inputs!$C$47*0.137))+0.35*COS(2*PI()*(((Inputs!$C$6)/Inputs!$C$50)+Inputs!$C$47*0.173))+0.2*SIN(2*PI()*((((Scenario_Data!T56)+(Inputs!$C$6))/(0.5*(Inputs!$C$49+Inputs!$C$50)))+Inputs!$C$47*0.097)))+0.3*(2*((SIN(((Scenario_Data!T56)*12.9898+(Inputs!$C$6)*78.233+Inputs!$C$47*37.719))*43758.5453)-INT((SIN(((Scenario_Data!T56)*12.9898+(Inputs!$C$6)*78.233+Inputs!$C$47*37.719))*43758.5453)))-1))))/1000))^2-2*(Inputs!$C$52+(Scenario_Data!B56))*(Inputs!$C$52+((IF(OR(Inputs!$C$27=TRUE,Inputs!$C$27="TRUE",Inputs!$C$27=1),1,0)*(Inputs!$C$51*(115*EXP(-(((Inputs!$C$6)-25)^2)/(4.5^2))+70*EXP(-(((Inputs!$C$6)+38)^2)/(7^2))*(0.55+0.45*SIN(2*PI()*(Scenario_Data!T56)/45))+24*SIN(2*PI()*(Inputs!$C$6)/9+(Scenario_Data!T56)/18)*EXP(-(((Inputs!$C$6)+5)^2)/(22^2))+18*SIN(2*PI()*(Scenario_Data!T56)/70))+Inputs!$C$28*EXP(-(((Scenario_Data!T56)-Inputs!$C$29)^2)/(2*Inputs!$C$31^2))*EXP(-(((Inputs!$C$6)-Inputs!$C$30)^2)/(2*Inputs!$C$32^2))+-Inputs!$C$33*EXP(-(((((Scenario_Data!T56)-Inputs!$C$34)^2)+(((Inputs!$C$6)-Inputs!$C$35)^2))/(2*Inputs!$C$36^2)))+Inputs!$C$37*(0.55*SIN(2*PI()*(Scenario_Data!T56)/Inputs!$C$39)+0.35*COS(2*PI()*(Inputs!$C$6)/Inputs!$C$40)+0.2*SIN(2*PI()*((Scenario_Data!T56)+(Inputs!$C$6))/(0.5*(Inputs!$C$39+Inputs!$C$40))))+Inputs!$C$38*SIN(2*PI()*(Scenario_Data!T56)/Inputs!$C$39)*SIN(2*PI()*(Inputs!$C$6)/Inputs!$C$40)+-Inputs!$C$41*EXP(-(((Inputs!$C$6)-Inputs!$C$43)^2)/(2*Inputs!$C$44^2))*EXP(-(((Scenario_Data!T56)-Inputs!$C$42)^2)/(2*Inputs!$C$45^2))+Inputs!$C$48*(0.7*(0.45*SIN(2*PI()*(((Scenario_Data!T56)/Inputs!$C$49)+Inputs!$C$47*0.137))+0.35*COS(2*PI()*(((Inputs!$C$6)/Inputs!$C$50)+Inputs!$C$47*0.173))+0.2*SIN(2*PI()*((((Scenario_Data!T56)+(Inputs!$C$6))/(0.5*(Inputs!$C$49+Inputs!$C$50)))+Inputs!$C$47*0.097)))+0.3*(2*((SIN(((Scenario_Data!T56)*12.9898+(Inputs!$C$6)*78.233+Inputs!$C$47*37.719))*43758.5453)-INT((SIN(((Scenario_Data!T56)*12.9898+(Inputs!$C$6)*78.233+Inputs!$C$47*37.719))*43758.5453)))-1))))/1000))*COS(SQRT((Scenario_Data!T56)^2+Inputs!$C$6^2)/Inputs!$C$52))*1000)/Inputs!$C$21*1000000</f>
        <v/>
      </c>
      <c r="AR56">
        <f>Scenario_Data!U56</f>
        <v/>
      </c>
      <c r="AS56">
        <f>2*(SQRT((Inputs!$C$52+(Scenario_Data!C56))^2+(Inputs!$C$52+((IF(OR(Inputs!$C$27=TRUE,Inputs!$C$27="TRUE",Inputs!$C$27=1),1,0)*(Inputs!$C$51*(115*EXP(-(((Inputs!$C$6)-25)^2)/(4.5^2))+70*EXP(-(((Inputs!$C$6)+38)^2)/(7^2))*(0.55+0.45*SIN(2*PI()*(Scenario_Data!U56)/45))+24*SIN(2*PI()*(Inputs!$C$6)/9+(Scenario_Data!U56)/18)*EXP(-(((Inputs!$C$6)+5)^2)/(22^2))+18*SIN(2*PI()*(Scenario_Data!U56)/70))+Inputs!$C$28*EXP(-(((Scenario_Data!U56)-Inputs!$C$29)^2)/(2*Inputs!$C$31^2))*EXP(-(((Inputs!$C$6)-Inputs!$C$30)^2)/(2*Inputs!$C$32^2))+-Inputs!$C$33*EXP(-(((((Scenario_Data!U56)-Inputs!$C$34)^2)+(((Inputs!$C$6)-Inputs!$C$35)^2))/(2*Inputs!$C$36^2)))+Inputs!$C$37*(0.55*SIN(2*PI()*(Scenario_Data!U56)/Inputs!$C$39)+0.35*COS(2*PI()*(Inputs!$C$6)/Inputs!$C$40)+0.2*SIN(2*PI()*((Scenario_Data!U56)+(Inputs!$C$6))/(0.5*(Inputs!$C$39+Inputs!$C$40))))+Inputs!$C$38*SIN(2*PI()*(Scenario_Data!U56)/Inputs!$C$39)*SIN(2*PI()*(Inputs!$C$6)/Inputs!$C$40)+-Inputs!$C$41*EXP(-(((Inputs!$C$6)-Inputs!$C$43)^2)/(2*Inputs!$C$44^2))*EXP(-(((Scenario_Data!U56)-Inputs!$C$42)^2)/(2*Inputs!$C$45^2))+Inputs!$C$48*(0.7*(0.45*SIN(2*PI()*(((Scenario_Data!U56)/Inputs!$C$49)+Inputs!$C$47*0.137))+0.35*COS(2*PI()*(((Inputs!$C$6)/Inputs!$C$50)+Inputs!$C$47*0.173))+0.2*SIN(2*PI()*((((Scenario_Data!U56)+(Inputs!$C$6))/(0.5*(Inputs!$C$49+Inputs!$C$50)))+Inputs!$C$47*0.097)))+0.3*(2*((SIN(((Scenario_Data!U56)*12.9898+(Inputs!$C$6)*78.233+Inputs!$C$47*37.719))*43758.5453)-INT((SIN(((Scenario_Data!U56)*12.9898+(Inputs!$C$6)*78.233+Inputs!$C$47*37.719))*43758.5453)))-1))))/1000))^2-2*(Inputs!$C$52+(Scenario_Data!C56))*(Inputs!$C$52+((IF(OR(Inputs!$C$27=TRUE,Inputs!$C$27="TRUE",Inputs!$C$27=1),1,0)*(Inputs!$C$51*(115*EXP(-(((Inputs!$C$6)-25)^2)/(4.5^2))+70*EXP(-(((Inputs!$C$6)+38)^2)/(7^2))*(0.55+0.45*SIN(2*PI()*(Scenario_Data!U56)/45))+24*SIN(2*PI()*(Inputs!$C$6)/9+(Scenario_Data!U56)/18)*EXP(-(((Inputs!$C$6)+5)^2)/(22^2))+18*SIN(2*PI()*(Scenario_Data!U56)/70))+Inputs!$C$28*EXP(-(((Scenario_Data!U56)-Inputs!$C$29)^2)/(2*Inputs!$C$31^2))*EXP(-(((Inputs!$C$6)-Inputs!$C$30)^2)/(2*Inputs!$C$32^2))+-Inputs!$C$33*EXP(-(((((Scenario_Data!U56)-Inputs!$C$34)^2)+(((Inputs!$C$6)-Inputs!$C$35)^2))/(2*Inputs!$C$36^2)))+Inputs!$C$37*(0.55*SIN(2*PI()*(Scenario_Data!U56)/Inputs!$C$39)+0.35*COS(2*PI()*(Inputs!$C$6)/Inputs!$C$40)+0.2*SIN(2*PI()*((Scenario_Data!U56)+(Inputs!$C$6))/(0.5*(Inputs!$C$39+Inputs!$C$40))))+Inputs!$C$38*SIN(2*PI()*(Scenario_Data!U56)/Inputs!$C$39)*SIN(2*PI()*(Inputs!$C$6)/Inputs!$C$40)+-Inputs!$C$41*EXP(-(((Inputs!$C$6)-Inputs!$C$43)^2)/(2*Inputs!$C$44^2))*EXP(-(((Scenario_Data!U56)-Inputs!$C$42)^2)/(2*Inputs!$C$45^2))+Inputs!$C$48*(0.7*(0.45*SIN(2*PI()*(((Scenario_Data!U56)/Inputs!$C$49)+Inputs!$C$47*0.137))+0.35*COS(2*PI()*(((Inputs!$C$6)/Inputs!$C$50)+Inputs!$C$47*0.173))+0.2*SIN(2*PI()*((((Scenario_Data!U56)+(Inputs!$C$6))/(0.5*(Inputs!$C$49+Inputs!$C$50)))+Inputs!$C$47*0.097)))+0.3*(2*((SIN(((Scenario_Data!U56)*12.9898+(Inputs!$C$6)*78.233+Inputs!$C$47*37.719))*43758.5453)-INT((SIN(((Scenario_Data!U56)*12.9898+(Inputs!$C$6)*78.233+Inputs!$C$47*37.719))*43758.5453)))-1))))/1000))*COS(SQRT((Scenario_Data!U56)^2+Inputs!$C$6^2)/Inputs!$C$52))*1000)/Inputs!$C$21*1000000</f>
        <v/>
      </c>
      <c r="AT56">
        <f>Scenario_Data!V56</f>
        <v/>
      </c>
      <c r="AU56">
        <f>2*(SQRT((Inputs!$C$52+(Scenario_Data!D56))^2+(Inputs!$C$52+((IF(OR(Inputs!$C$27=TRUE,Inputs!$C$27="TRUE",Inputs!$C$27=1),1,0)*(Inputs!$C$51*(115*EXP(-(((Inputs!$C$6)-25)^2)/(4.5^2))+70*EXP(-(((Inputs!$C$6)+38)^2)/(7^2))*(0.55+0.45*SIN(2*PI()*(Scenario_Data!V56)/45))+24*SIN(2*PI()*(Inputs!$C$6)/9+(Scenario_Data!V56)/18)*EXP(-(((Inputs!$C$6)+5)^2)/(22^2))+18*SIN(2*PI()*(Scenario_Data!V56)/70))+Inputs!$C$28*EXP(-(((Scenario_Data!V56)-Inputs!$C$29)^2)/(2*Inputs!$C$31^2))*EXP(-(((Inputs!$C$6)-Inputs!$C$30)^2)/(2*Inputs!$C$32^2))+-Inputs!$C$33*EXP(-(((((Scenario_Data!V56)-Inputs!$C$34)^2)+(((Inputs!$C$6)-Inputs!$C$35)^2))/(2*Inputs!$C$36^2)))+Inputs!$C$37*(0.55*SIN(2*PI()*(Scenario_Data!V56)/Inputs!$C$39)+0.35*COS(2*PI()*(Inputs!$C$6)/Inputs!$C$40)+0.2*SIN(2*PI()*((Scenario_Data!V56)+(Inputs!$C$6))/(0.5*(Inputs!$C$39+Inputs!$C$40))))+Inputs!$C$38*SIN(2*PI()*(Scenario_Data!V56)/Inputs!$C$39)*SIN(2*PI()*(Inputs!$C$6)/Inputs!$C$40)+-Inputs!$C$41*EXP(-(((Inputs!$C$6)-Inputs!$C$43)^2)/(2*Inputs!$C$44^2))*EXP(-(((Scenario_Data!V56)-Inputs!$C$42)^2)/(2*Inputs!$C$45^2))+Inputs!$C$48*(0.7*(0.45*SIN(2*PI()*(((Scenario_Data!V56)/Inputs!$C$49)+Inputs!$C$47*0.137))+0.35*COS(2*PI()*(((Inputs!$C$6)/Inputs!$C$50)+Inputs!$C$47*0.173))+0.2*SIN(2*PI()*((((Scenario_Data!V56)+(Inputs!$C$6))/(0.5*(Inputs!$C$49+Inputs!$C$50)))+Inputs!$C$47*0.097)))+0.3*(2*((SIN(((Scenario_Data!V56)*12.9898+(Inputs!$C$6)*78.233+Inputs!$C$47*37.719))*43758.5453)-INT((SIN(((Scenario_Data!V56)*12.9898+(Inputs!$C$6)*78.233+Inputs!$C$47*37.719))*43758.5453)))-1))))/1000))^2-2*(Inputs!$C$52+(Scenario_Data!D56))*(Inputs!$C$52+((IF(OR(Inputs!$C$27=TRUE,Inputs!$C$27="TRUE",Inputs!$C$27=1),1,0)*(Inputs!$C$51*(115*EXP(-(((Inputs!$C$6)-25)^2)/(4.5^2))+70*EXP(-(((Inputs!$C$6)+38)^2)/(7^2))*(0.55+0.45*SIN(2*PI()*(Scenario_Data!V56)/45))+24*SIN(2*PI()*(Inputs!$C$6)/9+(Scenario_Data!V56)/18)*EXP(-(((Inputs!$C$6)+5)^2)/(22^2))+18*SIN(2*PI()*(Scenario_Data!V56)/70))+Inputs!$C$28*EXP(-(((Scenario_Data!V56)-Inputs!$C$29)^2)/(2*Inputs!$C$31^2))*EXP(-(((Inputs!$C$6)-Inputs!$C$30)^2)/(2*Inputs!$C$32^2))+-Inputs!$C$33*EXP(-(((((Scenario_Data!V56)-Inputs!$C$34)^2)+(((Inputs!$C$6)-Inputs!$C$35)^2))/(2*Inputs!$C$36^2)))+Inputs!$C$37*(0.55*SIN(2*PI()*(Scenario_Data!V56)/Inputs!$C$39)+0.35*COS(2*PI()*(Inputs!$C$6)/Inputs!$C$40)+0.2*SIN(2*PI()*((Scenario_Data!V56)+(Inputs!$C$6))/(0.5*(Inputs!$C$39+Inputs!$C$40))))+Inputs!$C$38*SIN(2*PI()*(Scenario_Data!V56)/Inputs!$C$39)*SIN(2*PI()*(Inputs!$C$6)/Inputs!$C$40)+-Inputs!$C$41*EXP(-(((Inputs!$C$6)-Inputs!$C$43)^2)/(2*Inputs!$C$44^2))*EXP(-(((Scenario_Data!V56)-Inputs!$C$42)^2)/(2*Inputs!$C$45^2))+Inputs!$C$48*(0.7*(0.45*SIN(2*PI()*(((Scenario_Data!V56)/Inputs!$C$49)+Inputs!$C$47*0.137))+0.35*COS(2*PI()*(((Inputs!$C$6)/Inputs!$C$50)+Inputs!$C$47*0.173))+0.2*SIN(2*PI()*((((Scenario_Data!V56)+(Inputs!$C$6))/(0.5*(Inputs!$C$49+Inputs!$C$50)))+Inputs!$C$47*0.097)))+0.3*(2*((SIN(((Scenario_Data!V56)*12.9898+(Inputs!$C$6)*78.233+Inputs!$C$47*37.719))*43758.5453)-INT((SIN(((Scenario_Data!V56)*12.9898+(Inputs!$C$6)*78.233+Inputs!$C$47*37.719))*43758.5453)))-1))))/1000))*COS(SQRT((Scenario_Data!V56)^2+Inputs!$C$6^2)/Inputs!$C$52))*1000)/Inputs!$C$21*1000000</f>
        <v/>
      </c>
      <c r="AV56">
        <f>Scenario_Data!W56</f>
        <v/>
      </c>
      <c r="AW56">
        <f>2*(SQRT((Inputs!$C$52+(Scenario_Data!E56))^2+(Inputs!$C$52+((IF(OR(Inputs!$C$27=TRUE,Inputs!$C$27="TRUE",Inputs!$C$27=1),1,0)*(Inputs!$C$51*(115*EXP(-(((Inputs!$C$6)-25)^2)/(4.5^2))+70*EXP(-(((Inputs!$C$6)+38)^2)/(7^2))*(0.55+0.45*SIN(2*PI()*(Scenario_Data!W56)/45))+24*SIN(2*PI()*(Inputs!$C$6)/9+(Scenario_Data!W56)/18)*EXP(-(((Inputs!$C$6)+5)^2)/(22^2))+18*SIN(2*PI()*(Scenario_Data!W56)/70))+Inputs!$C$28*EXP(-(((Scenario_Data!W56)-Inputs!$C$29)^2)/(2*Inputs!$C$31^2))*EXP(-(((Inputs!$C$6)-Inputs!$C$30)^2)/(2*Inputs!$C$32^2))+-Inputs!$C$33*EXP(-(((((Scenario_Data!W56)-Inputs!$C$34)^2)+(((Inputs!$C$6)-Inputs!$C$35)^2))/(2*Inputs!$C$36^2)))+Inputs!$C$37*(0.55*SIN(2*PI()*(Scenario_Data!W56)/Inputs!$C$39)+0.35*COS(2*PI()*(Inputs!$C$6)/Inputs!$C$40)+0.2*SIN(2*PI()*((Scenario_Data!W56)+(Inputs!$C$6))/(0.5*(Inputs!$C$39+Inputs!$C$40))))+Inputs!$C$38*SIN(2*PI()*(Scenario_Data!W56)/Inputs!$C$39)*SIN(2*PI()*(Inputs!$C$6)/Inputs!$C$40)+-Inputs!$C$41*EXP(-(((Inputs!$C$6)-Inputs!$C$43)^2)/(2*Inputs!$C$44^2))*EXP(-(((Scenario_Data!W56)-Inputs!$C$42)^2)/(2*Inputs!$C$45^2))+Inputs!$C$48*(0.7*(0.45*SIN(2*PI()*(((Scenario_Data!W56)/Inputs!$C$49)+Inputs!$C$47*0.137))+0.35*COS(2*PI()*(((Inputs!$C$6)/Inputs!$C$50)+Inputs!$C$47*0.173))+0.2*SIN(2*PI()*((((Scenario_Data!W56)+(Inputs!$C$6))/(0.5*(Inputs!$C$49+Inputs!$C$50)))+Inputs!$C$47*0.097)))+0.3*(2*((SIN(((Scenario_Data!W56)*12.9898+(Inputs!$C$6)*78.233+Inputs!$C$47*37.719))*43758.5453)-INT((SIN(((Scenario_Data!W56)*12.9898+(Inputs!$C$6)*78.233+Inputs!$C$47*37.719))*43758.5453)))-1))))/1000))^2-2*(Inputs!$C$52+(Scenario_Data!E56))*(Inputs!$C$52+((IF(OR(Inputs!$C$27=TRUE,Inputs!$C$27="TRUE",Inputs!$C$27=1),1,0)*(Inputs!$C$51*(115*EXP(-(((Inputs!$C$6)-25)^2)/(4.5^2))+70*EXP(-(((Inputs!$C$6)+38)^2)/(7^2))*(0.55+0.45*SIN(2*PI()*(Scenario_Data!W56)/45))+24*SIN(2*PI()*(Inputs!$C$6)/9+(Scenario_Data!W56)/18)*EXP(-(((Inputs!$C$6)+5)^2)/(22^2))+18*SIN(2*PI()*(Scenario_Data!W56)/70))+Inputs!$C$28*EXP(-(((Scenario_Data!W56)-Inputs!$C$29)^2)/(2*Inputs!$C$31^2))*EXP(-(((Inputs!$C$6)-Inputs!$C$30)^2)/(2*Inputs!$C$32^2))+-Inputs!$C$33*EXP(-(((((Scenario_Data!W56)-Inputs!$C$34)^2)+(((Inputs!$C$6)-Inputs!$C$35)^2))/(2*Inputs!$C$36^2)))+Inputs!$C$37*(0.55*SIN(2*PI()*(Scenario_Data!W56)/Inputs!$C$39)+0.35*COS(2*PI()*(Inputs!$C$6)/Inputs!$C$40)+0.2*SIN(2*PI()*((Scenario_Data!W56)+(Inputs!$C$6))/(0.5*(Inputs!$C$39+Inputs!$C$40))))+Inputs!$C$38*SIN(2*PI()*(Scenario_Data!W56)/Inputs!$C$39)*SIN(2*PI()*(Inputs!$C$6)/Inputs!$C$40)+-Inputs!$C$41*EXP(-(((Inputs!$C$6)-Inputs!$C$43)^2)/(2*Inputs!$C$44^2))*EXP(-(((Scenario_Data!W56)-Inputs!$C$42)^2)/(2*Inputs!$C$45^2))+Inputs!$C$48*(0.7*(0.45*SIN(2*PI()*(((Scenario_Data!W56)/Inputs!$C$49)+Inputs!$C$47*0.137))+0.35*COS(2*PI()*(((Inputs!$C$6)/Inputs!$C$50)+Inputs!$C$47*0.173))+0.2*SIN(2*PI()*((((Scenario_Data!W56)+(Inputs!$C$6))/(0.5*(Inputs!$C$49+Inputs!$C$50)))+Inputs!$C$47*0.097)))+0.3*(2*((SIN(((Scenario_Data!W56)*12.9898+(Inputs!$C$6)*78.233+Inputs!$C$47*37.719))*43758.5453)-INT((SIN(((Scenario_Data!W56)*12.9898+(Inputs!$C$6)*78.233+Inputs!$C$47*37.719))*43758.5453)))-1))))/1000))*COS(SQRT((Scenario_Data!W56)^2+Inputs!$C$6^2)/Inputs!$C$52))*1000)/Inputs!$C$21*1000000</f>
        <v/>
      </c>
    </row>
    <row r="57">
      <c r="A57">
        <f>Chart_Data!K57</f>
        <v/>
      </c>
      <c r="B57">
        <f>Chart_Data!N57-Chart_Data!L57</f>
        <v/>
      </c>
      <c r="D57">
        <f>Chart_Data!G57</f>
        <v/>
      </c>
      <c r="E57">
        <f>Chart_Data!H57</f>
        <v/>
      </c>
      <c r="F57">
        <f>Chart_Data!I57</f>
        <v/>
      </c>
      <c r="G57">
        <f>Chart_Data!J57</f>
        <v/>
      </c>
      <c r="I57">
        <f>Scenario_Data!A57</f>
        <v/>
      </c>
      <c r="J57">
        <f>Scenario_Data!H57-(((SQRT((Inputs!$C$52+(Inputs!$H$6))^2+Inputs!$C$52^2-2*(Inputs!$C$52+(Inputs!$H$6))*Inputs!$C$52*COS(SQRT((Scenario_Data!T57)^2+Inputs!$C$6^2)/Inputs!$C$52)))-(Inputs!$H$6))*1000/Inputs!$C$12)</f>
        <v/>
      </c>
      <c r="K57">
        <f>Scenario_Data!I57-(((SQRT((Inputs!$C$52+(Inputs!$H$7))^2+Inputs!$C$52^2-2*(Inputs!$C$52+(Inputs!$H$7))*Inputs!$C$52*COS(SQRT((Scenario_Data!U57)^2+Inputs!$C$6^2)/Inputs!$C$52)))-(Inputs!$H$7))*1000/Inputs!$C$12)</f>
        <v/>
      </c>
      <c r="L57">
        <f>Scenario_Data!J57-(((SQRT((Inputs!$C$52+(Inputs!$H$8))^2+Inputs!$C$52^2-2*(Inputs!$C$52+(Inputs!$H$8))*Inputs!$C$52*COS(SQRT((Scenario_Data!V57)^2+Inputs!$C$6^2)/Inputs!$C$52)))-(Inputs!$H$8))*1000/Inputs!$C$12)</f>
        <v/>
      </c>
      <c r="M57">
        <f>Scenario_Data!K57-(((SQRT((Inputs!$C$52+(Inputs!$H$9))^2+Inputs!$C$52^2-2*(Inputs!$C$52+(Inputs!$H$9))*Inputs!$C$52*COS(SQRT((Scenario_Data!W57)^2+Inputs!$C$6^2)/Inputs!$C$52)))-(Inputs!$H$9))*1000/Inputs!$C$12)</f>
        <v/>
      </c>
      <c r="O57">
        <f>Scenario_Data!T57</f>
        <v/>
      </c>
      <c r="P57">
        <f>2*(Scenario_Data!B57*1000)/Inputs!$C$21*1000000</f>
        <v/>
      </c>
      <c r="Q57">
        <f>Scenario_Data!U57</f>
        <v/>
      </c>
      <c r="R57">
        <f>2*(Scenario_Data!C57*1000)/Inputs!$C$21*1000000</f>
        <v/>
      </c>
      <c r="S57">
        <f>Scenario_Data!V57</f>
        <v/>
      </c>
      <c r="T57">
        <f>2*(Scenario_Data!D57*1000)/Inputs!$C$21*1000000</f>
        <v/>
      </c>
      <c r="U57">
        <f>Scenario_Data!W57</f>
        <v/>
      </c>
      <c r="V57">
        <f>2*(Scenario_Data!E57*1000)/Inputs!$C$21*1000000</f>
        <v/>
      </c>
      <c r="X57">
        <f>Scenario_Data!T57</f>
        <v/>
      </c>
      <c r="Y57">
        <f>2*((Scenario_Data!B57*1000)-(IF(OR(Inputs!$C$27=TRUE,Inputs!$C$27="TRUE",Inputs!$C$27=1),1,0)*(Inputs!$C$51*(115*EXP(-(((0)-25)^2)/(4.5^2))+70*EXP(-(((0)+38)^2)/(7^2))*(0.55+0.45*SIN(2*PI()*(Scenario_Data!T57)/45))+24*SIN(2*PI()*(0)/9+(Scenario_Data!T57)/18)*EXP(-(((0)+5)^2)/(22^2))+18*SIN(2*PI()*(Scenario_Data!T57)/70))+Inputs!$C$28*EXP(-(((Scenario_Data!T57)-Inputs!$C$29)^2)/(2*Inputs!$C$31^2))*EXP(-(((0)-Inputs!$C$30)^2)/(2*Inputs!$C$32^2))+-Inputs!$C$33*EXP(-(((((Scenario_Data!T57)-Inputs!$C$34)^2)+(((0)-Inputs!$C$35)^2))/(2*Inputs!$C$36^2)))+Inputs!$C$37*(0.55*SIN(2*PI()*(Scenario_Data!T57)/Inputs!$C$39)+0.35*COS(2*PI()*(0)/Inputs!$C$40)+0.2*SIN(2*PI()*((Scenario_Data!T57)+(0))/(0.5*(Inputs!$C$39+Inputs!$C$40))))+Inputs!$C$38*SIN(2*PI()*(Scenario_Data!T57)/Inputs!$C$39)*SIN(2*PI()*(0)/Inputs!$C$40)+-Inputs!$C$41*EXP(-(((0)-Inputs!$C$43)^2)/(2*Inputs!$C$44^2))*EXP(-(((Scenario_Data!T57)-Inputs!$C$42)^2)/(2*Inputs!$C$45^2))+Inputs!$C$48*(0.7*(0.45*SIN(2*PI()*(((Scenario_Data!T57)/Inputs!$C$49)+Inputs!$C$47*0.137))+0.35*COS(2*PI()*(((0)/Inputs!$C$50)+Inputs!$C$47*0.173))+0.2*SIN(2*PI()*((((Scenario_Data!T57)+(0))/(0.5*(Inputs!$C$49+Inputs!$C$50)))+Inputs!$C$47*0.097)))+0.3*(2*((SIN(((Scenario_Data!T57)*12.9898+(0)*78.233+Inputs!$C$47*37.719))*43758.5453)-INT((SIN(((Scenario_Data!T57)*12.9898+(0)*78.233+Inputs!$C$47*37.719))*43758.5453)))-1)))))/Inputs!$C$21*1000000</f>
        <v/>
      </c>
      <c r="Z57">
        <f>Scenario_Data!U57</f>
        <v/>
      </c>
      <c r="AA57">
        <f>2*((Scenario_Data!C57*1000)-(IF(OR(Inputs!$C$27=TRUE,Inputs!$C$27="TRUE",Inputs!$C$27=1),1,0)*(Inputs!$C$51*(115*EXP(-(((0)-25)^2)/(4.5^2))+70*EXP(-(((0)+38)^2)/(7^2))*(0.55+0.45*SIN(2*PI()*(Scenario_Data!U57)/45))+24*SIN(2*PI()*(0)/9+(Scenario_Data!U57)/18)*EXP(-(((0)+5)^2)/(22^2))+18*SIN(2*PI()*(Scenario_Data!U57)/70))+Inputs!$C$28*EXP(-(((Scenario_Data!U57)-Inputs!$C$29)^2)/(2*Inputs!$C$31^2))*EXP(-(((0)-Inputs!$C$30)^2)/(2*Inputs!$C$32^2))+-Inputs!$C$33*EXP(-(((((Scenario_Data!U57)-Inputs!$C$34)^2)+(((0)-Inputs!$C$35)^2))/(2*Inputs!$C$36^2)))+Inputs!$C$37*(0.55*SIN(2*PI()*(Scenario_Data!U57)/Inputs!$C$39)+0.35*COS(2*PI()*(0)/Inputs!$C$40)+0.2*SIN(2*PI()*((Scenario_Data!U57)+(0))/(0.5*(Inputs!$C$39+Inputs!$C$40))))+Inputs!$C$38*SIN(2*PI()*(Scenario_Data!U57)/Inputs!$C$39)*SIN(2*PI()*(0)/Inputs!$C$40)+-Inputs!$C$41*EXP(-(((0)-Inputs!$C$43)^2)/(2*Inputs!$C$44^2))*EXP(-(((Scenario_Data!U57)-Inputs!$C$42)^2)/(2*Inputs!$C$45^2))+Inputs!$C$48*(0.7*(0.45*SIN(2*PI()*(((Scenario_Data!U57)/Inputs!$C$49)+Inputs!$C$47*0.137))+0.35*COS(2*PI()*(((0)/Inputs!$C$50)+Inputs!$C$47*0.173))+0.2*SIN(2*PI()*((((Scenario_Data!U57)+(0))/(0.5*(Inputs!$C$49+Inputs!$C$50)))+Inputs!$C$47*0.097)))+0.3*(2*((SIN(((Scenario_Data!U57)*12.9898+(0)*78.233+Inputs!$C$47*37.719))*43758.5453)-INT((SIN(((Scenario_Data!U57)*12.9898+(0)*78.233+Inputs!$C$47*37.719))*43758.5453)))-1)))))/Inputs!$C$21*1000000</f>
        <v/>
      </c>
      <c r="AB57">
        <f>Scenario_Data!V57</f>
        <v/>
      </c>
      <c r="AC57">
        <f>2*((Scenario_Data!D57*1000)-(IF(OR(Inputs!$C$27=TRUE,Inputs!$C$27="TRUE",Inputs!$C$27=1),1,0)*(Inputs!$C$51*(115*EXP(-(((0)-25)^2)/(4.5^2))+70*EXP(-(((0)+38)^2)/(7^2))*(0.55+0.45*SIN(2*PI()*(Scenario_Data!V57)/45))+24*SIN(2*PI()*(0)/9+(Scenario_Data!V57)/18)*EXP(-(((0)+5)^2)/(22^2))+18*SIN(2*PI()*(Scenario_Data!V57)/70))+Inputs!$C$28*EXP(-(((Scenario_Data!V57)-Inputs!$C$29)^2)/(2*Inputs!$C$31^2))*EXP(-(((0)-Inputs!$C$30)^2)/(2*Inputs!$C$32^2))+-Inputs!$C$33*EXP(-(((((Scenario_Data!V57)-Inputs!$C$34)^2)+(((0)-Inputs!$C$35)^2))/(2*Inputs!$C$36^2)))+Inputs!$C$37*(0.55*SIN(2*PI()*(Scenario_Data!V57)/Inputs!$C$39)+0.35*COS(2*PI()*(0)/Inputs!$C$40)+0.2*SIN(2*PI()*((Scenario_Data!V57)+(0))/(0.5*(Inputs!$C$39+Inputs!$C$40))))+Inputs!$C$38*SIN(2*PI()*(Scenario_Data!V57)/Inputs!$C$39)*SIN(2*PI()*(0)/Inputs!$C$40)+-Inputs!$C$41*EXP(-(((0)-Inputs!$C$43)^2)/(2*Inputs!$C$44^2))*EXP(-(((Scenario_Data!V57)-Inputs!$C$42)^2)/(2*Inputs!$C$45^2))+Inputs!$C$48*(0.7*(0.45*SIN(2*PI()*(((Scenario_Data!V57)/Inputs!$C$49)+Inputs!$C$47*0.137))+0.35*COS(2*PI()*(((0)/Inputs!$C$50)+Inputs!$C$47*0.173))+0.2*SIN(2*PI()*((((Scenario_Data!V57)+(0))/(0.5*(Inputs!$C$49+Inputs!$C$50)))+Inputs!$C$47*0.097)))+0.3*(2*((SIN(((Scenario_Data!V57)*12.9898+(0)*78.233+Inputs!$C$47*37.719))*43758.5453)-INT((SIN(((Scenario_Data!V57)*12.9898+(0)*78.233+Inputs!$C$47*37.719))*43758.5453)))-1)))))/Inputs!$C$21*1000000</f>
        <v/>
      </c>
      <c r="AD57">
        <f>Scenario_Data!W57</f>
        <v/>
      </c>
      <c r="AE57">
        <f>2*((Scenario_Data!E57*1000)-(IF(OR(Inputs!$C$27=TRUE,Inputs!$C$27="TRUE",Inputs!$C$27=1),1,0)*(Inputs!$C$51*(115*EXP(-(((0)-25)^2)/(4.5^2))+70*EXP(-(((0)+38)^2)/(7^2))*(0.55+0.45*SIN(2*PI()*(Scenario_Data!W57)/45))+24*SIN(2*PI()*(0)/9+(Scenario_Data!W57)/18)*EXP(-(((0)+5)^2)/(22^2))+18*SIN(2*PI()*(Scenario_Data!W57)/70))+Inputs!$C$28*EXP(-(((Scenario_Data!W57)-Inputs!$C$29)^2)/(2*Inputs!$C$31^2))*EXP(-(((0)-Inputs!$C$30)^2)/(2*Inputs!$C$32^2))+-Inputs!$C$33*EXP(-(((((Scenario_Data!W57)-Inputs!$C$34)^2)+(((0)-Inputs!$C$35)^2))/(2*Inputs!$C$36^2)))+Inputs!$C$37*(0.55*SIN(2*PI()*(Scenario_Data!W57)/Inputs!$C$39)+0.35*COS(2*PI()*(0)/Inputs!$C$40)+0.2*SIN(2*PI()*((Scenario_Data!W57)+(0))/(0.5*(Inputs!$C$39+Inputs!$C$40))))+Inputs!$C$38*SIN(2*PI()*(Scenario_Data!W57)/Inputs!$C$39)*SIN(2*PI()*(0)/Inputs!$C$40)+-Inputs!$C$41*EXP(-(((0)-Inputs!$C$43)^2)/(2*Inputs!$C$44^2))*EXP(-(((Scenario_Data!W57)-Inputs!$C$42)^2)/(2*Inputs!$C$45^2))+Inputs!$C$48*(0.7*(0.45*SIN(2*PI()*(((Scenario_Data!W57)/Inputs!$C$49)+Inputs!$C$47*0.137))+0.35*COS(2*PI()*(((0)/Inputs!$C$50)+Inputs!$C$47*0.173))+0.2*SIN(2*PI()*((((Scenario_Data!W57)+(0))/(0.5*(Inputs!$C$49+Inputs!$C$50)))+Inputs!$C$47*0.097)))+0.3*(2*((SIN(((Scenario_Data!W57)*12.9898+(0)*78.233+Inputs!$C$47*37.719))*43758.5453)-INT((SIN(((Scenario_Data!W57)*12.9898+(0)*78.233+Inputs!$C$47*37.719))*43758.5453)))-1)))))/Inputs!$C$21*1000000</f>
        <v/>
      </c>
      <c r="AG57">
        <f>Scenario_Data!T57</f>
        <v/>
      </c>
      <c r="AH57">
        <f>2*(SQRT((Inputs!$C$52+(Scenario_Data!B57))^2+Inputs!$C$52^2-2*(Inputs!$C$52+(Scenario_Data!B57))*Inputs!$C$52*COS(SQRT((Scenario_Data!T57)^2+Inputs!$C$6^2)/Inputs!$C$52))*1000)/Inputs!$C$21*1000000</f>
        <v/>
      </c>
      <c r="AI57">
        <f>Scenario_Data!U57</f>
        <v/>
      </c>
      <c r="AJ57">
        <f>2*(SQRT((Inputs!$C$52+(Scenario_Data!C57))^2+Inputs!$C$52^2-2*(Inputs!$C$52+(Scenario_Data!C57))*Inputs!$C$52*COS(SQRT((Scenario_Data!U57)^2+Inputs!$C$6^2)/Inputs!$C$52))*1000)/Inputs!$C$21*1000000</f>
        <v/>
      </c>
      <c r="AK57">
        <f>Scenario_Data!V57</f>
        <v/>
      </c>
      <c r="AL57">
        <f>2*(SQRT((Inputs!$C$52+(Scenario_Data!D57))^2+Inputs!$C$52^2-2*(Inputs!$C$52+(Scenario_Data!D57))*Inputs!$C$52*COS(SQRT((Scenario_Data!V57)^2+Inputs!$C$6^2)/Inputs!$C$52))*1000)/Inputs!$C$21*1000000</f>
        <v/>
      </c>
      <c r="AM57">
        <f>Scenario_Data!W57</f>
        <v/>
      </c>
      <c r="AN57">
        <f>2*(SQRT((Inputs!$C$52+(Scenario_Data!E57))^2+Inputs!$C$52^2-2*(Inputs!$C$52+(Scenario_Data!E57))*Inputs!$C$52*COS(SQRT((Scenario_Data!W57)^2+Inputs!$C$6^2)/Inputs!$C$52))*1000)/Inputs!$C$21*1000000</f>
        <v/>
      </c>
      <c r="AP57">
        <f>Scenario_Data!T57</f>
        <v/>
      </c>
      <c r="AQ57">
        <f>2*(SQRT((Inputs!$C$52+(Scenario_Data!B57))^2+(Inputs!$C$52+((IF(OR(Inputs!$C$27=TRUE,Inputs!$C$27="TRUE",Inputs!$C$27=1),1,0)*(Inputs!$C$51*(115*EXP(-(((Inputs!$C$6)-25)^2)/(4.5^2))+70*EXP(-(((Inputs!$C$6)+38)^2)/(7^2))*(0.55+0.45*SIN(2*PI()*(Scenario_Data!T57)/45))+24*SIN(2*PI()*(Inputs!$C$6)/9+(Scenario_Data!T57)/18)*EXP(-(((Inputs!$C$6)+5)^2)/(22^2))+18*SIN(2*PI()*(Scenario_Data!T57)/70))+Inputs!$C$28*EXP(-(((Scenario_Data!T57)-Inputs!$C$29)^2)/(2*Inputs!$C$31^2))*EXP(-(((Inputs!$C$6)-Inputs!$C$30)^2)/(2*Inputs!$C$32^2))+-Inputs!$C$33*EXP(-(((((Scenario_Data!T57)-Inputs!$C$34)^2)+(((Inputs!$C$6)-Inputs!$C$35)^2))/(2*Inputs!$C$36^2)))+Inputs!$C$37*(0.55*SIN(2*PI()*(Scenario_Data!T57)/Inputs!$C$39)+0.35*COS(2*PI()*(Inputs!$C$6)/Inputs!$C$40)+0.2*SIN(2*PI()*((Scenario_Data!T57)+(Inputs!$C$6))/(0.5*(Inputs!$C$39+Inputs!$C$40))))+Inputs!$C$38*SIN(2*PI()*(Scenario_Data!T57)/Inputs!$C$39)*SIN(2*PI()*(Inputs!$C$6)/Inputs!$C$40)+-Inputs!$C$41*EXP(-(((Inputs!$C$6)-Inputs!$C$43)^2)/(2*Inputs!$C$44^2))*EXP(-(((Scenario_Data!T57)-Inputs!$C$42)^2)/(2*Inputs!$C$45^2))+Inputs!$C$48*(0.7*(0.45*SIN(2*PI()*(((Scenario_Data!T57)/Inputs!$C$49)+Inputs!$C$47*0.137))+0.35*COS(2*PI()*(((Inputs!$C$6)/Inputs!$C$50)+Inputs!$C$47*0.173))+0.2*SIN(2*PI()*((((Scenario_Data!T57)+(Inputs!$C$6))/(0.5*(Inputs!$C$49+Inputs!$C$50)))+Inputs!$C$47*0.097)))+0.3*(2*((SIN(((Scenario_Data!T57)*12.9898+(Inputs!$C$6)*78.233+Inputs!$C$47*37.719))*43758.5453)-INT((SIN(((Scenario_Data!T57)*12.9898+(Inputs!$C$6)*78.233+Inputs!$C$47*37.719))*43758.5453)))-1))))/1000))^2-2*(Inputs!$C$52+(Scenario_Data!B57))*(Inputs!$C$52+((IF(OR(Inputs!$C$27=TRUE,Inputs!$C$27="TRUE",Inputs!$C$27=1),1,0)*(Inputs!$C$51*(115*EXP(-(((Inputs!$C$6)-25)^2)/(4.5^2))+70*EXP(-(((Inputs!$C$6)+38)^2)/(7^2))*(0.55+0.45*SIN(2*PI()*(Scenario_Data!T57)/45))+24*SIN(2*PI()*(Inputs!$C$6)/9+(Scenario_Data!T57)/18)*EXP(-(((Inputs!$C$6)+5)^2)/(22^2))+18*SIN(2*PI()*(Scenario_Data!T57)/70))+Inputs!$C$28*EXP(-(((Scenario_Data!T57)-Inputs!$C$29)^2)/(2*Inputs!$C$31^2))*EXP(-(((Inputs!$C$6)-Inputs!$C$30)^2)/(2*Inputs!$C$32^2))+-Inputs!$C$33*EXP(-(((((Scenario_Data!T57)-Inputs!$C$34)^2)+(((Inputs!$C$6)-Inputs!$C$35)^2))/(2*Inputs!$C$36^2)))+Inputs!$C$37*(0.55*SIN(2*PI()*(Scenario_Data!T57)/Inputs!$C$39)+0.35*COS(2*PI()*(Inputs!$C$6)/Inputs!$C$40)+0.2*SIN(2*PI()*((Scenario_Data!T57)+(Inputs!$C$6))/(0.5*(Inputs!$C$39+Inputs!$C$40))))+Inputs!$C$38*SIN(2*PI()*(Scenario_Data!T57)/Inputs!$C$39)*SIN(2*PI()*(Inputs!$C$6)/Inputs!$C$40)+-Inputs!$C$41*EXP(-(((Inputs!$C$6)-Inputs!$C$43)^2)/(2*Inputs!$C$44^2))*EXP(-(((Scenario_Data!T57)-Inputs!$C$42)^2)/(2*Inputs!$C$45^2))+Inputs!$C$48*(0.7*(0.45*SIN(2*PI()*(((Scenario_Data!T57)/Inputs!$C$49)+Inputs!$C$47*0.137))+0.35*COS(2*PI()*(((Inputs!$C$6)/Inputs!$C$50)+Inputs!$C$47*0.173))+0.2*SIN(2*PI()*((((Scenario_Data!T57)+(Inputs!$C$6))/(0.5*(Inputs!$C$49+Inputs!$C$50)))+Inputs!$C$47*0.097)))+0.3*(2*((SIN(((Scenario_Data!T57)*12.9898+(Inputs!$C$6)*78.233+Inputs!$C$47*37.719))*43758.5453)-INT((SIN(((Scenario_Data!T57)*12.9898+(Inputs!$C$6)*78.233+Inputs!$C$47*37.719))*43758.5453)))-1))))/1000))*COS(SQRT((Scenario_Data!T57)^2+Inputs!$C$6^2)/Inputs!$C$52))*1000)/Inputs!$C$21*1000000</f>
        <v/>
      </c>
      <c r="AR57">
        <f>Scenario_Data!U57</f>
        <v/>
      </c>
      <c r="AS57">
        <f>2*(SQRT((Inputs!$C$52+(Scenario_Data!C57))^2+(Inputs!$C$52+((IF(OR(Inputs!$C$27=TRUE,Inputs!$C$27="TRUE",Inputs!$C$27=1),1,0)*(Inputs!$C$51*(115*EXP(-(((Inputs!$C$6)-25)^2)/(4.5^2))+70*EXP(-(((Inputs!$C$6)+38)^2)/(7^2))*(0.55+0.45*SIN(2*PI()*(Scenario_Data!U57)/45))+24*SIN(2*PI()*(Inputs!$C$6)/9+(Scenario_Data!U57)/18)*EXP(-(((Inputs!$C$6)+5)^2)/(22^2))+18*SIN(2*PI()*(Scenario_Data!U57)/70))+Inputs!$C$28*EXP(-(((Scenario_Data!U57)-Inputs!$C$29)^2)/(2*Inputs!$C$31^2))*EXP(-(((Inputs!$C$6)-Inputs!$C$30)^2)/(2*Inputs!$C$32^2))+-Inputs!$C$33*EXP(-(((((Scenario_Data!U57)-Inputs!$C$34)^2)+(((Inputs!$C$6)-Inputs!$C$35)^2))/(2*Inputs!$C$36^2)))+Inputs!$C$37*(0.55*SIN(2*PI()*(Scenario_Data!U57)/Inputs!$C$39)+0.35*COS(2*PI()*(Inputs!$C$6)/Inputs!$C$40)+0.2*SIN(2*PI()*((Scenario_Data!U57)+(Inputs!$C$6))/(0.5*(Inputs!$C$39+Inputs!$C$40))))+Inputs!$C$38*SIN(2*PI()*(Scenario_Data!U57)/Inputs!$C$39)*SIN(2*PI()*(Inputs!$C$6)/Inputs!$C$40)+-Inputs!$C$41*EXP(-(((Inputs!$C$6)-Inputs!$C$43)^2)/(2*Inputs!$C$44^2))*EXP(-(((Scenario_Data!U57)-Inputs!$C$42)^2)/(2*Inputs!$C$45^2))+Inputs!$C$48*(0.7*(0.45*SIN(2*PI()*(((Scenario_Data!U57)/Inputs!$C$49)+Inputs!$C$47*0.137))+0.35*COS(2*PI()*(((Inputs!$C$6)/Inputs!$C$50)+Inputs!$C$47*0.173))+0.2*SIN(2*PI()*((((Scenario_Data!U57)+(Inputs!$C$6))/(0.5*(Inputs!$C$49+Inputs!$C$50)))+Inputs!$C$47*0.097)))+0.3*(2*((SIN(((Scenario_Data!U57)*12.9898+(Inputs!$C$6)*78.233+Inputs!$C$47*37.719))*43758.5453)-INT((SIN(((Scenario_Data!U57)*12.9898+(Inputs!$C$6)*78.233+Inputs!$C$47*37.719))*43758.5453)))-1))))/1000))^2-2*(Inputs!$C$52+(Scenario_Data!C57))*(Inputs!$C$52+((IF(OR(Inputs!$C$27=TRUE,Inputs!$C$27="TRUE",Inputs!$C$27=1),1,0)*(Inputs!$C$51*(115*EXP(-(((Inputs!$C$6)-25)^2)/(4.5^2))+70*EXP(-(((Inputs!$C$6)+38)^2)/(7^2))*(0.55+0.45*SIN(2*PI()*(Scenario_Data!U57)/45))+24*SIN(2*PI()*(Inputs!$C$6)/9+(Scenario_Data!U57)/18)*EXP(-(((Inputs!$C$6)+5)^2)/(22^2))+18*SIN(2*PI()*(Scenario_Data!U57)/70))+Inputs!$C$28*EXP(-(((Scenario_Data!U57)-Inputs!$C$29)^2)/(2*Inputs!$C$31^2))*EXP(-(((Inputs!$C$6)-Inputs!$C$30)^2)/(2*Inputs!$C$32^2))+-Inputs!$C$33*EXP(-(((((Scenario_Data!U57)-Inputs!$C$34)^2)+(((Inputs!$C$6)-Inputs!$C$35)^2))/(2*Inputs!$C$36^2)))+Inputs!$C$37*(0.55*SIN(2*PI()*(Scenario_Data!U57)/Inputs!$C$39)+0.35*COS(2*PI()*(Inputs!$C$6)/Inputs!$C$40)+0.2*SIN(2*PI()*((Scenario_Data!U57)+(Inputs!$C$6))/(0.5*(Inputs!$C$39+Inputs!$C$40))))+Inputs!$C$38*SIN(2*PI()*(Scenario_Data!U57)/Inputs!$C$39)*SIN(2*PI()*(Inputs!$C$6)/Inputs!$C$40)+-Inputs!$C$41*EXP(-(((Inputs!$C$6)-Inputs!$C$43)^2)/(2*Inputs!$C$44^2))*EXP(-(((Scenario_Data!U57)-Inputs!$C$42)^2)/(2*Inputs!$C$45^2))+Inputs!$C$48*(0.7*(0.45*SIN(2*PI()*(((Scenario_Data!U57)/Inputs!$C$49)+Inputs!$C$47*0.137))+0.35*COS(2*PI()*(((Inputs!$C$6)/Inputs!$C$50)+Inputs!$C$47*0.173))+0.2*SIN(2*PI()*((((Scenario_Data!U57)+(Inputs!$C$6))/(0.5*(Inputs!$C$49+Inputs!$C$50)))+Inputs!$C$47*0.097)))+0.3*(2*((SIN(((Scenario_Data!U57)*12.9898+(Inputs!$C$6)*78.233+Inputs!$C$47*37.719))*43758.5453)-INT((SIN(((Scenario_Data!U57)*12.9898+(Inputs!$C$6)*78.233+Inputs!$C$47*37.719))*43758.5453)))-1))))/1000))*COS(SQRT((Scenario_Data!U57)^2+Inputs!$C$6^2)/Inputs!$C$52))*1000)/Inputs!$C$21*1000000</f>
        <v/>
      </c>
      <c r="AT57">
        <f>Scenario_Data!V57</f>
        <v/>
      </c>
      <c r="AU57">
        <f>2*(SQRT((Inputs!$C$52+(Scenario_Data!D57))^2+(Inputs!$C$52+((IF(OR(Inputs!$C$27=TRUE,Inputs!$C$27="TRUE",Inputs!$C$27=1),1,0)*(Inputs!$C$51*(115*EXP(-(((Inputs!$C$6)-25)^2)/(4.5^2))+70*EXP(-(((Inputs!$C$6)+38)^2)/(7^2))*(0.55+0.45*SIN(2*PI()*(Scenario_Data!V57)/45))+24*SIN(2*PI()*(Inputs!$C$6)/9+(Scenario_Data!V57)/18)*EXP(-(((Inputs!$C$6)+5)^2)/(22^2))+18*SIN(2*PI()*(Scenario_Data!V57)/70))+Inputs!$C$28*EXP(-(((Scenario_Data!V57)-Inputs!$C$29)^2)/(2*Inputs!$C$31^2))*EXP(-(((Inputs!$C$6)-Inputs!$C$30)^2)/(2*Inputs!$C$32^2))+-Inputs!$C$33*EXP(-(((((Scenario_Data!V57)-Inputs!$C$34)^2)+(((Inputs!$C$6)-Inputs!$C$35)^2))/(2*Inputs!$C$36^2)))+Inputs!$C$37*(0.55*SIN(2*PI()*(Scenario_Data!V57)/Inputs!$C$39)+0.35*COS(2*PI()*(Inputs!$C$6)/Inputs!$C$40)+0.2*SIN(2*PI()*((Scenario_Data!V57)+(Inputs!$C$6))/(0.5*(Inputs!$C$39+Inputs!$C$40))))+Inputs!$C$38*SIN(2*PI()*(Scenario_Data!V57)/Inputs!$C$39)*SIN(2*PI()*(Inputs!$C$6)/Inputs!$C$40)+-Inputs!$C$41*EXP(-(((Inputs!$C$6)-Inputs!$C$43)^2)/(2*Inputs!$C$44^2))*EXP(-(((Scenario_Data!V57)-Inputs!$C$42)^2)/(2*Inputs!$C$45^2))+Inputs!$C$48*(0.7*(0.45*SIN(2*PI()*(((Scenario_Data!V57)/Inputs!$C$49)+Inputs!$C$47*0.137))+0.35*COS(2*PI()*(((Inputs!$C$6)/Inputs!$C$50)+Inputs!$C$47*0.173))+0.2*SIN(2*PI()*((((Scenario_Data!V57)+(Inputs!$C$6))/(0.5*(Inputs!$C$49+Inputs!$C$50)))+Inputs!$C$47*0.097)))+0.3*(2*((SIN(((Scenario_Data!V57)*12.9898+(Inputs!$C$6)*78.233+Inputs!$C$47*37.719))*43758.5453)-INT((SIN(((Scenario_Data!V57)*12.9898+(Inputs!$C$6)*78.233+Inputs!$C$47*37.719))*43758.5453)))-1))))/1000))^2-2*(Inputs!$C$52+(Scenario_Data!D57))*(Inputs!$C$52+((IF(OR(Inputs!$C$27=TRUE,Inputs!$C$27="TRUE",Inputs!$C$27=1),1,0)*(Inputs!$C$51*(115*EXP(-(((Inputs!$C$6)-25)^2)/(4.5^2))+70*EXP(-(((Inputs!$C$6)+38)^2)/(7^2))*(0.55+0.45*SIN(2*PI()*(Scenario_Data!V57)/45))+24*SIN(2*PI()*(Inputs!$C$6)/9+(Scenario_Data!V57)/18)*EXP(-(((Inputs!$C$6)+5)^2)/(22^2))+18*SIN(2*PI()*(Scenario_Data!V57)/70))+Inputs!$C$28*EXP(-(((Scenario_Data!V57)-Inputs!$C$29)^2)/(2*Inputs!$C$31^2))*EXP(-(((Inputs!$C$6)-Inputs!$C$30)^2)/(2*Inputs!$C$32^2))+-Inputs!$C$33*EXP(-(((((Scenario_Data!V57)-Inputs!$C$34)^2)+(((Inputs!$C$6)-Inputs!$C$35)^2))/(2*Inputs!$C$36^2)))+Inputs!$C$37*(0.55*SIN(2*PI()*(Scenario_Data!V57)/Inputs!$C$39)+0.35*COS(2*PI()*(Inputs!$C$6)/Inputs!$C$40)+0.2*SIN(2*PI()*((Scenario_Data!V57)+(Inputs!$C$6))/(0.5*(Inputs!$C$39+Inputs!$C$40))))+Inputs!$C$38*SIN(2*PI()*(Scenario_Data!V57)/Inputs!$C$39)*SIN(2*PI()*(Inputs!$C$6)/Inputs!$C$40)+-Inputs!$C$41*EXP(-(((Inputs!$C$6)-Inputs!$C$43)^2)/(2*Inputs!$C$44^2))*EXP(-(((Scenario_Data!V57)-Inputs!$C$42)^2)/(2*Inputs!$C$45^2))+Inputs!$C$48*(0.7*(0.45*SIN(2*PI()*(((Scenario_Data!V57)/Inputs!$C$49)+Inputs!$C$47*0.137))+0.35*COS(2*PI()*(((Inputs!$C$6)/Inputs!$C$50)+Inputs!$C$47*0.173))+0.2*SIN(2*PI()*((((Scenario_Data!V57)+(Inputs!$C$6))/(0.5*(Inputs!$C$49+Inputs!$C$50)))+Inputs!$C$47*0.097)))+0.3*(2*((SIN(((Scenario_Data!V57)*12.9898+(Inputs!$C$6)*78.233+Inputs!$C$47*37.719))*43758.5453)-INT((SIN(((Scenario_Data!V57)*12.9898+(Inputs!$C$6)*78.233+Inputs!$C$47*37.719))*43758.5453)))-1))))/1000))*COS(SQRT((Scenario_Data!V57)^2+Inputs!$C$6^2)/Inputs!$C$52))*1000)/Inputs!$C$21*1000000</f>
        <v/>
      </c>
      <c r="AV57">
        <f>Scenario_Data!W57</f>
        <v/>
      </c>
      <c r="AW57">
        <f>2*(SQRT((Inputs!$C$52+(Scenario_Data!E57))^2+(Inputs!$C$52+((IF(OR(Inputs!$C$27=TRUE,Inputs!$C$27="TRUE",Inputs!$C$27=1),1,0)*(Inputs!$C$51*(115*EXP(-(((Inputs!$C$6)-25)^2)/(4.5^2))+70*EXP(-(((Inputs!$C$6)+38)^2)/(7^2))*(0.55+0.45*SIN(2*PI()*(Scenario_Data!W57)/45))+24*SIN(2*PI()*(Inputs!$C$6)/9+(Scenario_Data!W57)/18)*EXP(-(((Inputs!$C$6)+5)^2)/(22^2))+18*SIN(2*PI()*(Scenario_Data!W57)/70))+Inputs!$C$28*EXP(-(((Scenario_Data!W57)-Inputs!$C$29)^2)/(2*Inputs!$C$31^2))*EXP(-(((Inputs!$C$6)-Inputs!$C$30)^2)/(2*Inputs!$C$32^2))+-Inputs!$C$33*EXP(-(((((Scenario_Data!W57)-Inputs!$C$34)^2)+(((Inputs!$C$6)-Inputs!$C$35)^2))/(2*Inputs!$C$36^2)))+Inputs!$C$37*(0.55*SIN(2*PI()*(Scenario_Data!W57)/Inputs!$C$39)+0.35*COS(2*PI()*(Inputs!$C$6)/Inputs!$C$40)+0.2*SIN(2*PI()*((Scenario_Data!W57)+(Inputs!$C$6))/(0.5*(Inputs!$C$39+Inputs!$C$40))))+Inputs!$C$38*SIN(2*PI()*(Scenario_Data!W57)/Inputs!$C$39)*SIN(2*PI()*(Inputs!$C$6)/Inputs!$C$40)+-Inputs!$C$41*EXP(-(((Inputs!$C$6)-Inputs!$C$43)^2)/(2*Inputs!$C$44^2))*EXP(-(((Scenario_Data!W57)-Inputs!$C$42)^2)/(2*Inputs!$C$45^2))+Inputs!$C$48*(0.7*(0.45*SIN(2*PI()*(((Scenario_Data!W57)/Inputs!$C$49)+Inputs!$C$47*0.137))+0.35*COS(2*PI()*(((Inputs!$C$6)/Inputs!$C$50)+Inputs!$C$47*0.173))+0.2*SIN(2*PI()*((((Scenario_Data!W57)+(Inputs!$C$6))/(0.5*(Inputs!$C$49+Inputs!$C$50)))+Inputs!$C$47*0.097)))+0.3*(2*((SIN(((Scenario_Data!W57)*12.9898+(Inputs!$C$6)*78.233+Inputs!$C$47*37.719))*43758.5453)-INT((SIN(((Scenario_Data!W57)*12.9898+(Inputs!$C$6)*78.233+Inputs!$C$47*37.719))*43758.5453)))-1))))/1000))^2-2*(Inputs!$C$52+(Scenario_Data!E57))*(Inputs!$C$52+((IF(OR(Inputs!$C$27=TRUE,Inputs!$C$27="TRUE",Inputs!$C$27=1),1,0)*(Inputs!$C$51*(115*EXP(-(((Inputs!$C$6)-25)^2)/(4.5^2))+70*EXP(-(((Inputs!$C$6)+38)^2)/(7^2))*(0.55+0.45*SIN(2*PI()*(Scenario_Data!W57)/45))+24*SIN(2*PI()*(Inputs!$C$6)/9+(Scenario_Data!W57)/18)*EXP(-(((Inputs!$C$6)+5)^2)/(22^2))+18*SIN(2*PI()*(Scenario_Data!W57)/70))+Inputs!$C$28*EXP(-(((Scenario_Data!W57)-Inputs!$C$29)^2)/(2*Inputs!$C$31^2))*EXP(-(((Inputs!$C$6)-Inputs!$C$30)^2)/(2*Inputs!$C$32^2))+-Inputs!$C$33*EXP(-(((((Scenario_Data!W57)-Inputs!$C$34)^2)+(((Inputs!$C$6)-Inputs!$C$35)^2))/(2*Inputs!$C$36^2)))+Inputs!$C$37*(0.55*SIN(2*PI()*(Scenario_Data!W57)/Inputs!$C$39)+0.35*COS(2*PI()*(Inputs!$C$6)/Inputs!$C$40)+0.2*SIN(2*PI()*((Scenario_Data!W57)+(Inputs!$C$6))/(0.5*(Inputs!$C$39+Inputs!$C$40))))+Inputs!$C$38*SIN(2*PI()*(Scenario_Data!W57)/Inputs!$C$39)*SIN(2*PI()*(Inputs!$C$6)/Inputs!$C$40)+-Inputs!$C$41*EXP(-(((Inputs!$C$6)-Inputs!$C$43)^2)/(2*Inputs!$C$44^2))*EXP(-(((Scenario_Data!W57)-Inputs!$C$42)^2)/(2*Inputs!$C$45^2))+Inputs!$C$48*(0.7*(0.45*SIN(2*PI()*(((Scenario_Data!W57)/Inputs!$C$49)+Inputs!$C$47*0.137))+0.35*COS(2*PI()*(((Inputs!$C$6)/Inputs!$C$50)+Inputs!$C$47*0.173))+0.2*SIN(2*PI()*((((Scenario_Data!W57)+(Inputs!$C$6))/(0.5*(Inputs!$C$49+Inputs!$C$50)))+Inputs!$C$47*0.097)))+0.3*(2*((SIN(((Scenario_Data!W57)*12.9898+(Inputs!$C$6)*78.233+Inputs!$C$47*37.719))*43758.5453)-INT((SIN(((Scenario_Data!W57)*12.9898+(Inputs!$C$6)*78.233+Inputs!$C$47*37.719))*43758.5453)))-1))))/1000))*COS(SQRT((Scenario_Data!W57)^2+Inputs!$C$6^2)/Inputs!$C$52))*1000)/Inputs!$C$21*1000000</f>
        <v/>
      </c>
    </row>
    <row r="58">
      <c r="A58">
        <f>Chart_Data!K58</f>
        <v/>
      </c>
      <c r="B58">
        <f>Chart_Data!N58-Chart_Data!L58</f>
        <v/>
      </c>
      <c r="D58">
        <f>Chart_Data!G58</f>
        <v/>
      </c>
      <c r="E58">
        <f>Chart_Data!H58</f>
        <v/>
      </c>
      <c r="F58">
        <f>Chart_Data!I58</f>
        <v/>
      </c>
      <c r="G58">
        <f>Chart_Data!J58</f>
        <v/>
      </c>
      <c r="I58">
        <f>Scenario_Data!A58</f>
        <v/>
      </c>
      <c r="J58">
        <f>Scenario_Data!H58-(((SQRT((Inputs!$C$52+(Inputs!$H$6))^2+Inputs!$C$52^2-2*(Inputs!$C$52+(Inputs!$H$6))*Inputs!$C$52*COS(SQRT((Scenario_Data!T58)^2+Inputs!$C$6^2)/Inputs!$C$52)))-(Inputs!$H$6))*1000/Inputs!$C$12)</f>
        <v/>
      </c>
      <c r="K58">
        <f>Scenario_Data!I58-(((SQRT((Inputs!$C$52+(Inputs!$H$7))^2+Inputs!$C$52^2-2*(Inputs!$C$52+(Inputs!$H$7))*Inputs!$C$52*COS(SQRT((Scenario_Data!U58)^2+Inputs!$C$6^2)/Inputs!$C$52)))-(Inputs!$H$7))*1000/Inputs!$C$12)</f>
        <v/>
      </c>
      <c r="L58">
        <f>Scenario_Data!J58-(((SQRT((Inputs!$C$52+(Inputs!$H$8))^2+Inputs!$C$52^2-2*(Inputs!$C$52+(Inputs!$H$8))*Inputs!$C$52*COS(SQRT((Scenario_Data!V58)^2+Inputs!$C$6^2)/Inputs!$C$52)))-(Inputs!$H$8))*1000/Inputs!$C$12)</f>
        <v/>
      </c>
      <c r="M58">
        <f>Scenario_Data!K58-(((SQRT((Inputs!$C$52+(Inputs!$H$9))^2+Inputs!$C$52^2-2*(Inputs!$C$52+(Inputs!$H$9))*Inputs!$C$52*COS(SQRT((Scenario_Data!W58)^2+Inputs!$C$6^2)/Inputs!$C$52)))-(Inputs!$H$9))*1000/Inputs!$C$12)</f>
        <v/>
      </c>
      <c r="O58">
        <f>Scenario_Data!T58</f>
        <v/>
      </c>
      <c r="P58">
        <f>2*(Scenario_Data!B58*1000)/Inputs!$C$21*1000000</f>
        <v/>
      </c>
      <c r="Q58">
        <f>Scenario_Data!U58</f>
        <v/>
      </c>
      <c r="R58">
        <f>2*(Scenario_Data!C58*1000)/Inputs!$C$21*1000000</f>
        <v/>
      </c>
      <c r="S58">
        <f>Scenario_Data!V58</f>
        <v/>
      </c>
      <c r="T58">
        <f>2*(Scenario_Data!D58*1000)/Inputs!$C$21*1000000</f>
        <v/>
      </c>
      <c r="U58">
        <f>Scenario_Data!W58</f>
        <v/>
      </c>
      <c r="V58">
        <f>2*(Scenario_Data!E58*1000)/Inputs!$C$21*1000000</f>
        <v/>
      </c>
      <c r="X58">
        <f>Scenario_Data!T58</f>
        <v/>
      </c>
      <c r="Y58">
        <f>2*((Scenario_Data!B58*1000)-(IF(OR(Inputs!$C$27=TRUE,Inputs!$C$27="TRUE",Inputs!$C$27=1),1,0)*(Inputs!$C$51*(115*EXP(-(((0)-25)^2)/(4.5^2))+70*EXP(-(((0)+38)^2)/(7^2))*(0.55+0.45*SIN(2*PI()*(Scenario_Data!T58)/45))+24*SIN(2*PI()*(0)/9+(Scenario_Data!T58)/18)*EXP(-(((0)+5)^2)/(22^2))+18*SIN(2*PI()*(Scenario_Data!T58)/70))+Inputs!$C$28*EXP(-(((Scenario_Data!T58)-Inputs!$C$29)^2)/(2*Inputs!$C$31^2))*EXP(-(((0)-Inputs!$C$30)^2)/(2*Inputs!$C$32^2))+-Inputs!$C$33*EXP(-(((((Scenario_Data!T58)-Inputs!$C$34)^2)+(((0)-Inputs!$C$35)^2))/(2*Inputs!$C$36^2)))+Inputs!$C$37*(0.55*SIN(2*PI()*(Scenario_Data!T58)/Inputs!$C$39)+0.35*COS(2*PI()*(0)/Inputs!$C$40)+0.2*SIN(2*PI()*((Scenario_Data!T58)+(0))/(0.5*(Inputs!$C$39+Inputs!$C$40))))+Inputs!$C$38*SIN(2*PI()*(Scenario_Data!T58)/Inputs!$C$39)*SIN(2*PI()*(0)/Inputs!$C$40)+-Inputs!$C$41*EXP(-(((0)-Inputs!$C$43)^2)/(2*Inputs!$C$44^2))*EXP(-(((Scenario_Data!T58)-Inputs!$C$42)^2)/(2*Inputs!$C$45^2))+Inputs!$C$48*(0.7*(0.45*SIN(2*PI()*(((Scenario_Data!T58)/Inputs!$C$49)+Inputs!$C$47*0.137))+0.35*COS(2*PI()*(((0)/Inputs!$C$50)+Inputs!$C$47*0.173))+0.2*SIN(2*PI()*((((Scenario_Data!T58)+(0))/(0.5*(Inputs!$C$49+Inputs!$C$50)))+Inputs!$C$47*0.097)))+0.3*(2*((SIN(((Scenario_Data!T58)*12.9898+(0)*78.233+Inputs!$C$47*37.719))*43758.5453)-INT((SIN(((Scenario_Data!T58)*12.9898+(0)*78.233+Inputs!$C$47*37.719))*43758.5453)))-1)))))/Inputs!$C$21*1000000</f>
        <v/>
      </c>
      <c r="Z58">
        <f>Scenario_Data!U58</f>
        <v/>
      </c>
      <c r="AA58">
        <f>2*((Scenario_Data!C58*1000)-(IF(OR(Inputs!$C$27=TRUE,Inputs!$C$27="TRUE",Inputs!$C$27=1),1,0)*(Inputs!$C$51*(115*EXP(-(((0)-25)^2)/(4.5^2))+70*EXP(-(((0)+38)^2)/(7^2))*(0.55+0.45*SIN(2*PI()*(Scenario_Data!U58)/45))+24*SIN(2*PI()*(0)/9+(Scenario_Data!U58)/18)*EXP(-(((0)+5)^2)/(22^2))+18*SIN(2*PI()*(Scenario_Data!U58)/70))+Inputs!$C$28*EXP(-(((Scenario_Data!U58)-Inputs!$C$29)^2)/(2*Inputs!$C$31^2))*EXP(-(((0)-Inputs!$C$30)^2)/(2*Inputs!$C$32^2))+-Inputs!$C$33*EXP(-(((((Scenario_Data!U58)-Inputs!$C$34)^2)+(((0)-Inputs!$C$35)^2))/(2*Inputs!$C$36^2)))+Inputs!$C$37*(0.55*SIN(2*PI()*(Scenario_Data!U58)/Inputs!$C$39)+0.35*COS(2*PI()*(0)/Inputs!$C$40)+0.2*SIN(2*PI()*((Scenario_Data!U58)+(0))/(0.5*(Inputs!$C$39+Inputs!$C$40))))+Inputs!$C$38*SIN(2*PI()*(Scenario_Data!U58)/Inputs!$C$39)*SIN(2*PI()*(0)/Inputs!$C$40)+-Inputs!$C$41*EXP(-(((0)-Inputs!$C$43)^2)/(2*Inputs!$C$44^2))*EXP(-(((Scenario_Data!U58)-Inputs!$C$42)^2)/(2*Inputs!$C$45^2))+Inputs!$C$48*(0.7*(0.45*SIN(2*PI()*(((Scenario_Data!U58)/Inputs!$C$49)+Inputs!$C$47*0.137))+0.35*COS(2*PI()*(((0)/Inputs!$C$50)+Inputs!$C$47*0.173))+0.2*SIN(2*PI()*((((Scenario_Data!U58)+(0))/(0.5*(Inputs!$C$49+Inputs!$C$50)))+Inputs!$C$47*0.097)))+0.3*(2*((SIN(((Scenario_Data!U58)*12.9898+(0)*78.233+Inputs!$C$47*37.719))*43758.5453)-INT((SIN(((Scenario_Data!U58)*12.9898+(0)*78.233+Inputs!$C$47*37.719))*43758.5453)))-1)))))/Inputs!$C$21*1000000</f>
        <v/>
      </c>
      <c r="AB58">
        <f>Scenario_Data!V58</f>
        <v/>
      </c>
      <c r="AC58">
        <f>2*((Scenario_Data!D58*1000)-(IF(OR(Inputs!$C$27=TRUE,Inputs!$C$27="TRUE",Inputs!$C$27=1),1,0)*(Inputs!$C$51*(115*EXP(-(((0)-25)^2)/(4.5^2))+70*EXP(-(((0)+38)^2)/(7^2))*(0.55+0.45*SIN(2*PI()*(Scenario_Data!V58)/45))+24*SIN(2*PI()*(0)/9+(Scenario_Data!V58)/18)*EXP(-(((0)+5)^2)/(22^2))+18*SIN(2*PI()*(Scenario_Data!V58)/70))+Inputs!$C$28*EXP(-(((Scenario_Data!V58)-Inputs!$C$29)^2)/(2*Inputs!$C$31^2))*EXP(-(((0)-Inputs!$C$30)^2)/(2*Inputs!$C$32^2))+-Inputs!$C$33*EXP(-(((((Scenario_Data!V58)-Inputs!$C$34)^2)+(((0)-Inputs!$C$35)^2))/(2*Inputs!$C$36^2)))+Inputs!$C$37*(0.55*SIN(2*PI()*(Scenario_Data!V58)/Inputs!$C$39)+0.35*COS(2*PI()*(0)/Inputs!$C$40)+0.2*SIN(2*PI()*((Scenario_Data!V58)+(0))/(0.5*(Inputs!$C$39+Inputs!$C$40))))+Inputs!$C$38*SIN(2*PI()*(Scenario_Data!V58)/Inputs!$C$39)*SIN(2*PI()*(0)/Inputs!$C$40)+-Inputs!$C$41*EXP(-(((0)-Inputs!$C$43)^2)/(2*Inputs!$C$44^2))*EXP(-(((Scenario_Data!V58)-Inputs!$C$42)^2)/(2*Inputs!$C$45^2))+Inputs!$C$48*(0.7*(0.45*SIN(2*PI()*(((Scenario_Data!V58)/Inputs!$C$49)+Inputs!$C$47*0.137))+0.35*COS(2*PI()*(((0)/Inputs!$C$50)+Inputs!$C$47*0.173))+0.2*SIN(2*PI()*((((Scenario_Data!V58)+(0))/(0.5*(Inputs!$C$49+Inputs!$C$50)))+Inputs!$C$47*0.097)))+0.3*(2*((SIN(((Scenario_Data!V58)*12.9898+(0)*78.233+Inputs!$C$47*37.719))*43758.5453)-INT((SIN(((Scenario_Data!V58)*12.9898+(0)*78.233+Inputs!$C$47*37.719))*43758.5453)))-1)))))/Inputs!$C$21*1000000</f>
        <v/>
      </c>
      <c r="AD58">
        <f>Scenario_Data!W58</f>
        <v/>
      </c>
      <c r="AE58">
        <f>2*((Scenario_Data!E58*1000)-(IF(OR(Inputs!$C$27=TRUE,Inputs!$C$27="TRUE",Inputs!$C$27=1),1,0)*(Inputs!$C$51*(115*EXP(-(((0)-25)^2)/(4.5^2))+70*EXP(-(((0)+38)^2)/(7^2))*(0.55+0.45*SIN(2*PI()*(Scenario_Data!W58)/45))+24*SIN(2*PI()*(0)/9+(Scenario_Data!W58)/18)*EXP(-(((0)+5)^2)/(22^2))+18*SIN(2*PI()*(Scenario_Data!W58)/70))+Inputs!$C$28*EXP(-(((Scenario_Data!W58)-Inputs!$C$29)^2)/(2*Inputs!$C$31^2))*EXP(-(((0)-Inputs!$C$30)^2)/(2*Inputs!$C$32^2))+-Inputs!$C$33*EXP(-(((((Scenario_Data!W58)-Inputs!$C$34)^2)+(((0)-Inputs!$C$35)^2))/(2*Inputs!$C$36^2)))+Inputs!$C$37*(0.55*SIN(2*PI()*(Scenario_Data!W58)/Inputs!$C$39)+0.35*COS(2*PI()*(0)/Inputs!$C$40)+0.2*SIN(2*PI()*((Scenario_Data!W58)+(0))/(0.5*(Inputs!$C$39+Inputs!$C$40))))+Inputs!$C$38*SIN(2*PI()*(Scenario_Data!W58)/Inputs!$C$39)*SIN(2*PI()*(0)/Inputs!$C$40)+-Inputs!$C$41*EXP(-(((0)-Inputs!$C$43)^2)/(2*Inputs!$C$44^2))*EXP(-(((Scenario_Data!W58)-Inputs!$C$42)^2)/(2*Inputs!$C$45^2))+Inputs!$C$48*(0.7*(0.45*SIN(2*PI()*(((Scenario_Data!W58)/Inputs!$C$49)+Inputs!$C$47*0.137))+0.35*COS(2*PI()*(((0)/Inputs!$C$50)+Inputs!$C$47*0.173))+0.2*SIN(2*PI()*((((Scenario_Data!W58)+(0))/(0.5*(Inputs!$C$49+Inputs!$C$50)))+Inputs!$C$47*0.097)))+0.3*(2*((SIN(((Scenario_Data!W58)*12.9898+(0)*78.233+Inputs!$C$47*37.719))*43758.5453)-INT((SIN(((Scenario_Data!W58)*12.9898+(0)*78.233+Inputs!$C$47*37.719))*43758.5453)))-1)))))/Inputs!$C$21*1000000</f>
        <v/>
      </c>
      <c r="AG58">
        <f>Scenario_Data!T58</f>
        <v/>
      </c>
      <c r="AH58">
        <f>2*(SQRT((Inputs!$C$52+(Scenario_Data!B58))^2+Inputs!$C$52^2-2*(Inputs!$C$52+(Scenario_Data!B58))*Inputs!$C$52*COS(SQRT((Scenario_Data!T58)^2+Inputs!$C$6^2)/Inputs!$C$52))*1000)/Inputs!$C$21*1000000</f>
        <v/>
      </c>
      <c r="AI58">
        <f>Scenario_Data!U58</f>
        <v/>
      </c>
      <c r="AJ58">
        <f>2*(SQRT((Inputs!$C$52+(Scenario_Data!C58))^2+Inputs!$C$52^2-2*(Inputs!$C$52+(Scenario_Data!C58))*Inputs!$C$52*COS(SQRT((Scenario_Data!U58)^2+Inputs!$C$6^2)/Inputs!$C$52))*1000)/Inputs!$C$21*1000000</f>
        <v/>
      </c>
      <c r="AK58">
        <f>Scenario_Data!V58</f>
        <v/>
      </c>
      <c r="AL58">
        <f>2*(SQRT((Inputs!$C$52+(Scenario_Data!D58))^2+Inputs!$C$52^2-2*(Inputs!$C$52+(Scenario_Data!D58))*Inputs!$C$52*COS(SQRT((Scenario_Data!V58)^2+Inputs!$C$6^2)/Inputs!$C$52))*1000)/Inputs!$C$21*1000000</f>
        <v/>
      </c>
      <c r="AM58">
        <f>Scenario_Data!W58</f>
        <v/>
      </c>
      <c r="AN58">
        <f>2*(SQRT((Inputs!$C$52+(Scenario_Data!E58))^2+Inputs!$C$52^2-2*(Inputs!$C$52+(Scenario_Data!E58))*Inputs!$C$52*COS(SQRT((Scenario_Data!W58)^2+Inputs!$C$6^2)/Inputs!$C$52))*1000)/Inputs!$C$21*1000000</f>
        <v/>
      </c>
      <c r="AP58">
        <f>Scenario_Data!T58</f>
        <v/>
      </c>
      <c r="AQ58">
        <f>2*(SQRT((Inputs!$C$52+(Scenario_Data!B58))^2+(Inputs!$C$52+((IF(OR(Inputs!$C$27=TRUE,Inputs!$C$27="TRUE",Inputs!$C$27=1),1,0)*(Inputs!$C$51*(115*EXP(-(((Inputs!$C$6)-25)^2)/(4.5^2))+70*EXP(-(((Inputs!$C$6)+38)^2)/(7^2))*(0.55+0.45*SIN(2*PI()*(Scenario_Data!T58)/45))+24*SIN(2*PI()*(Inputs!$C$6)/9+(Scenario_Data!T58)/18)*EXP(-(((Inputs!$C$6)+5)^2)/(22^2))+18*SIN(2*PI()*(Scenario_Data!T58)/70))+Inputs!$C$28*EXP(-(((Scenario_Data!T58)-Inputs!$C$29)^2)/(2*Inputs!$C$31^2))*EXP(-(((Inputs!$C$6)-Inputs!$C$30)^2)/(2*Inputs!$C$32^2))+-Inputs!$C$33*EXP(-(((((Scenario_Data!T58)-Inputs!$C$34)^2)+(((Inputs!$C$6)-Inputs!$C$35)^2))/(2*Inputs!$C$36^2)))+Inputs!$C$37*(0.55*SIN(2*PI()*(Scenario_Data!T58)/Inputs!$C$39)+0.35*COS(2*PI()*(Inputs!$C$6)/Inputs!$C$40)+0.2*SIN(2*PI()*((Scenario_Data!T58)+(Inputs!$C$6))/(0.5*(Inputs!$C$39+Inputs!$C$40))))+Inputs!$C$38*SIN(2*PI()*(Scenario_Data!T58)/Inputs!$C$39)*SIN(2*PI()*(Inputs!$C$6)/Inputs!$C$40)+-Inputs!$C$41*EXP(-(((Inputs!$C$6)-Inputs!$C$43)^2)/(2*Inputs!$C$44^2))*EXP(-(((Scenario_Data!T58)-Inputs!$C$42)^2)/(2*Inputs!$C$45^2))+Inputs!$C$48*(0.7*(0.45*SIN(2*PI()*(((Scenario_Data!T58)/Inputs!$C$49)+Inputs!$C$47*0.137))+0.35*COS(2*PI()*(((Inputs!$C$6)/Inputs!$C$50)+Inputs!$C$47*0.173))+0.2*SIN(2*PI()*((((Scenario_Data!T58)+(Inputs!$C$6))/(0.5*(Inputs!$C$49+Inputs!$C$50)))+Inputs!$C$47*0.097)))+0.3*(2*((SIN(((Scenario_Data!T58)*12.9898+(Inputs!$C$6)*78.233+Inputs!$C$47*37.719))*43758.5453)-INT((SIN(((Scenario_Data!T58)*12.9898+(Inputs!$C$6)*78.233+Inputs!$C$47*37.719))*43758.5453)))-1))))/1000))^2-2*(Inputs!$C$52+(Scenario_Data!B58))*(Inputs!$C$52+((IF(OR(Inputs!$C$27=TRUE,Inputs!$C$27="TRUE",Inputs!$C$27=1),1,0)*(Inputs!$C$51*(115*EXP(-(((Inputs!$C$6)-25)^2)/(4.5^2))+70*EXP(-(((Inputs!$C$6)+38)^2)/(7^2))*(0.55+0.45*SIN(2*PI()*(Scenario_Data!T58)/45))+24*SIN(2*PI()*(Inputs!$C$6)/9+(Scenario_Data!T58)/18)*EXP(-(((Inputs!$C$6)+5)^2)/(22^2))+18*SIN(2*PI()*(Scenario_Data!T58)/70))+Inputs!$C$28*EXP(-(((Scenario_Data!T58)-Inputs!$C$29)^2)/(2*Inputs!$C$31^2))*EXP(-(((Inputs!$C$6)-Inputs!$C$30)^2)/(2*Inputs!$C$32^2))+-Inputs!$C$33*EXP(-(((((Scenario_Data!T58)-Inputs!$C$34)^2)+(((Inputs!$C$6)-Inputs!$C$35)^2))/(2*Inputs!$C$36^2)))+Inputs!$C$37*(0.55*SIN(2*PI()*(Scenario_Data!T58)/Inputs!$C$39)+0.35*COS(2*PI()*(Inputs!$C$6)/Inputs!$C$40)+0.2*SIN(2*PI()*((Scenario_Data!T58)+(Inputs!$C$6))/(0.5*(Inputs!$C$39+Inputs!$C$40))))+Inputs!$C$38*SIN(2*PI()*(Scenario_Data!T58)/Inputs!$C$39)*SIN(2*PI()*(Inputs!$C$6)/Inputs!$C$40)+-Inputs!$C$41*EXP(-(((Inputs!$C$6)-Inputs!$C$43)^2)/(2*Inputs!$C$44^2))*EXP(-(((Scenario_Data!T58)-Inputs!$C$42)^2)/(2*Inputs!$C$45^2))+Inputs!$C$48*(0.7*(0.45*SIN(2*PI()*(((Scenario_Data!T58)/Inputs!$C$49)+Inputs!$C$47*0.137))+0.35*COS(2*PI()*(((Inputs!$C$6)/Inputs!$C$50)+Inputs!$C$47*0.173))+0.2*SIN(2*PI()*((((Scenario_Data!T58)+(Inputs!$C$6))/(0.5*(Inputs!$C$49+Inputs!$C$50)))+Inputs!$C$47*0.097)))+0.3*(2*((SIN(((Scenario_Data!T58)*12.9898+(Inputs!$C$6)*78.233+Inputs!$C$47*37.719))*43758.5453)-INT((SIN(((Scenario_Data!T58)*12.9898+(Inputs!$C$6)*78.233+Inputs!$C$47*37.719))*43758.5453)))-1))))/1000))*COS(SQRT((Scenario_Data!T58)^2+Inputs!$C$6^2)/Inputs!$C$52))*1000)/Inputs!$C$21*1000000</f>
        <v/>
      </c>
      <c r="AR58">
        <f>Scenario_Data!U58</f>
        <v/>
      </c>
      <c r="AS58">
        <f>2*(SQRT((Inputs!$C$52+(Scenario_Data!C58))^2+(Inputs!$C$52+((IF(OR(Inputs!$C$27=TRUE,Inputs!$C$27="TRUE",Inputs!$C$27=1),1,0)*(Inputs!$C$51*(115*EXP(-(((Inputs!$C$6)-25)^2)/(4.5^2))+70*EXP(-(((Inputs!$C$6)+38)^2)/(7^2))*(0.55+0.45*SIN(2*PI()*(Scenario_Data!U58)/45))+24*SIN(2*PI()*(Inputs!$C$6)/9+(Scenario_Data!U58)/18)*EXP(-(((Inputs!$C$6)+5)^2)/(22^2))+18*SIN(2*PI()*(Scenario_Data!U58)/70))+Inputs!$C$28*EXP(-(((Scenario_Data!U58)-Inputs!$C$29)^2)/(2*Inputs!$C$31^2))*EXP(-(((Inputs!$C$6)-Inputs!$C$30)^2)/(2*Inputs!$C$32^2))+-Inputs!$C$33*EXP(-(((((Scenario_Data!U58)-Inputs!$C$34)^2)+(((Inputs!$C$6)-Inputs!$C$35)^2))/(2*Inputs!$C$36^2)))+Inputs!$C$37*(0.55*SIN(2*PI()*(Scenario_Data!U58)/Inputs!$C$39)+0.35*COS(2*PI()*(Inputs!$C$6)/Inputs!$C$40)+0.2*SIN(2*PI()*((Scenario_Data!U58)+(Inputs!$C$6))/(0.5*(Inputs!$C$39+Inputs!$C$40))))+Inputs!$C$38*SIN(2*PI()*(Scenario_Data!U58)/Inputs!$C$39)*SIN(2*PI()*(Inputs!$C$6)/Inputs!$C$40)+-Inputs!$C$41*EXP(-(((Inputs!$C$6)-Inputs!$C$43)^2)/(2*Inputs!$C$44^2))*EXP(-(((Scenario_Data!U58)-Inputs!$C$42)^2)/(2*Inputs!$C$45^2))+Inputs!$C$48*(0.7*(0.45*SIN(2*PI()*(((Scenario_Data!U58)/Inputs!$C$49)+Inputs!$C$47*0.137))+0.35*COS(2*PI()*(((Inputs!$C$6)/Inputs!$C$50)+Inputs!$C$47*0.173))+0.2*SIN(2*PI()*((((Scenario_Data!U58)+(Inputs!$C$6))/(0.5*(Inputs!$C$49+Inputs!$C$50)))+Inputs!$C$47*0.097)))+0.3*(2*((SIN(((Scenario_Data!U58)*12.9898+(Inputs!$C$6)*78.233+Inputs!$C$47*37.719))*43758.5453)-INT((SIN(((Scenario_Data!U58)*12.9898+(Inputs!$C$6)*78.233+Inputs!$C$47*37.719))*43758.5453)))-1))))/1000))^2-2*(Inputs!$C$52+(Scenario_Data!C58))*(Inputs!$C$52+((IF(OR(Inputs!$C$27=TRUE,Inputs!$C$27="TRUE",Inputs!$C$27=1),1,0)*(Inputs!$C$51*(115*EXP(-(((Inputs!$C$6)-25)^2)/(4.5^2))+70*EXP(-(((Inputs!$C$6)+38)^2)/(7^2))*(0.55+0.45*SIN(2*PI()*(Scenario_Data!U58)/45))+24*SIN(2*PI()*(Inputs!$C$6)/9+(Scenario_Data!U58)/18)*EXP(-(((Inputs!$C$6)+5)^2)/(22^2))+18*SIN(2*PI()*(Scenario_Data!U58)/70))+Inputs!$C$28*EXP(-(((Scenario_Data!U58)-Inputs!$C$29)^2)/(2*Inputs!$C$31^2))*EXP(-(((Inputs!$C$6)-Inputs!$C$30)^2)/(2*Inputs!$C$32^2))+-Inputs!$C$33*EXP(-(((((Scenario_Data!U58)-Inputs!$C$34)^2)+(((Inputs!$C$6)-Inputs!$C$35)^2))/(2*Inputs!$C$36^2)))+Inputs!$C$37*(0.55*SIN(2*PI()*(Scenario_Data!U58)/Inputs!$C$39)+0.35*COS(2*PI()*(Inputs!$C$6)/Inputs!$C$40)+0.2*SIN(2*PI()*((Scenario_Data!U58)+(Inputs!$C$6))/(0.5*(Inputs!$C$39+Inputs!$C$40))))+Inputs!$C$38*SIN(2*PI()*(Scenario_Data!U58)/Inputs!$C$39)*SIN(2*PI()*(Inputs!$C$6)/Inputs!$C$40)+-Inputs!$C$41*EXP(-(((Inputs!$C$6)-Inputs!$C$43)^2)/(2*Inputs!$C$44^2))*EXP(-(((Scenario_Data!U58)-Inputs!$C$42)^2)/(2*Inputs!$C$45^2))+Inputs!$C$48*(0.7*(0.45*SIN(2*PI()*(((Scenario_Data!U58)/Inputs!$C$49)+Inputs!$C$47*0.137))+0.35*COS(2*PI()*(((Inputs!$C$6)/Inputs!$C$50)+Inputs!$C$47*0.173))+0.2*SIN(2*PI()*((((Scenario_Data!U58)+(Inputs!$C$6))/(0.5*(Inputs!$C$49+Inputs!$C$50)))+Inputs!$C$47*0.097)))+0.3*(2*((SIN(((Scenario_Data!U58)*12.9898+(Inputs!$C$6)*78.233+Inputs!$C$47*37.719))*43758.5453)-INT((SIN(((Scenario_Data!U58)*12.9898+(Inputs!$C$6)*78.233+Inputs!$C$47*37.719))*43758.5453)))-1))))/1000))*COS(SQRT((Scenario_Data!U58)^2+Inputs!$C$6^2)/Inputs!$C$52))*1000)/Inputs!$C$21*1000000</f>
        <v/>
      </c>
      <c r="AT58">
        <f>Scenario_Data!V58</f>
        <v/>
      </c>
      <c r="AU58">
        <f>2*(SQRT((Inputs!$C$52+(Scenario_Data!D58))^2+(Inputs!$C$52+((IF(OR(Inputs!$C$27=TRUE,Inputs!$C$27="TRUE",Inputs!$C$27=1),1,0)*(Inputs!$C$51*(115*EXP(-(((Inputs!$C$6)-25)^2)/(4.5^2))+70*EXP(-(((Inputs!$C$6)+38)^2)/(7^2))*(0.55+0.45*SIN(2*PI()*(Scenario_Data!V58)/45))+24*SIN(2*PI()*(Inputs!$C$6)/9+(Scenario_Data!V58)/18)*EXP(-(((Inputs!$C$6)+5)^2)/(22^2))+18*SIN(2*PI()*(Scenario_Data!V58)/70))+Inputs!$C$28*EXP(-(((Scenario_Data!V58)-Inputs!$C$29)^2)/(2*Inputs!$C$31^2))*EXP(-(((Inputs!$C$6)-Inputs!$C$30)^2)/(2*Inputs!$C$32^2))+-Inputs!$C$33*EXP(-(((((Scenario_Data!V58)-Inputs!$C$34)^2)+(((Inputs!$C$6)-Inputs!$C$35)^2))/(2*Inputs!$C$36^2)))+Inputs!$C$37*(0.55*SIN(2*PI()*(Scenario_Data!V58)/Inputs!$C$39)+0.35*COS(2*PI()*(Inputs!$C$6)/Inputs!$C$40)+0.2*SIN(2*PI()*((Scenario_Data!V58)+(Inputs!$C$6))/(0.5*(Inputs!$C$39+Inputs!$C$40))))+Inputs!$C$38*SIN(2*PI()*(Scenario_Data!V58)/Inputs!$C$39)*SIN(2*PI()*(Inputs!$C$6)/Inputs!$C$40)+-Inputs!$C$41*EXP(-(((Inputs!$C$6)-Inputs!$C$43)^2)/(2*Inputs!$C$44^2))*EXP(-(((Scenario_Data!V58)-Inputs!$C$42)^2)/(2*Inputs!$C$45^2))+Inputs!$C$48*(0.7*(0.45*SIN(2*PI()*(((Scenario_Data!V58)/Inputs!$C$49)+Inputs!$C$47*0.137))+0.35*COS(2*PI()*(((Inputs!$C$6)/Inputs!$C$50)+Inputs!$C$47*0.173))+0.2*SIN(2*PI()*((((Scenario_Data!V58)+(Inputs!$C$6))/(0.5*(Inputs!$C$49+Inputs!$C$50)))+Inputs!$C$47*0.097)))+0.3*(2*((SIN(((Scenario_Data!V58)*12.9898+(Inputs!$C$6)*78.233+Inputs!$C$47*37.719))*43758.5453)-INT((SIN(((Scenario_Data!V58)*12.9898+(Inputs!$C$6)*78.233+Inputs!$C$47*37.719))*43758.5453)))-1))))/1000))^2-2*(Inputs!$C$52+(Scenario_Data!D58))*(Inputs!$C$52+((IF(OR(Inputs!$C$27=TRUE,Inputs!$C$27="TRUE",Inputs!$C$27=1),1,0)*(Inputs!$C$51*(115*EXP(-(((Inputs!$C$6)-25)^2)/(4.5^2))+70*EXP(-(((Inputs!$C$6)+38)^2)/(7^2))*(0.55+0.45*SIN(2*PI()*(Scenario_Data!V58)/45))+24*SIN(2*PI()*(Inputs!$C$6)/9+(Scenario_Data!V58)/18)*EXP(-(((Inputs!$C$6)+5)^2)/(22^2))+18*SIN(2*PI()*(Scenario_Data!V58)/70))+Inputs!$C$28*EXP(-(((Scenario_Data!V58)-Inputs!$C$29)^2)/(2*Inputs!$C$31^2))*EXP(-(((Inputs!$C$6)-Inputs!$C$30)^2)/(2*Inputs!$C$32^2))+-Inputs!$C$33*EXP(-(((((Scenario_Data!V58)-Inputs!$C$34)^2)+(((Inputs!$C$6)-Inputs!$C$35)^2))/(2*Inputs!$C$36^2)))+Inputs!$C$37*(0.55*SIN(2*PI()*(Scenario_Data!V58)/Inputs!$C$39)+0.35*COS(2*PI()*(Inputs!$C$6)/Inputs!$C$40)+0.2*SIN(2*PI()*((Scenario_Data!V58)+(Inputs!$C$6))/(0.5*(Inputs!$C$39+Inputs!$C$40))))+Inputs!$C$38*SIN(2*PI()*(Scenario_Data!V58)/Inputs!$C$39)*SIN(2*PI()*(Inputs!$C$6)/Inputs!$C$40)+-Inputs!$C$41*EXP(-(((Inputs!$C$6)-Inputs!$C$43)^2)/(2*Inputs!$C$44^2))*EXP(-(((Scenario_Data!V58)-Inputs!$C$42)^2)/(2*Inputs!$C$45^2))+Inputs!$C$48*(0.7*(0.45*SIN(2*PI()*(((Scenario_Data!V58)/Inputs!$C$49)+Inputs!$C$47*0.137))+0.35*COS(2*PI()*(((Inputs!$C$6)/Inputs!$C$50)+Inputs!$C$47*0.173))+0.2*SIN(2*PI()*((((Scenario_Data!V58)+(Inputs!$C$6))/(0.5*(Inputs!$C$49+Inputs!$C$50)))+Inputs!$C$47*0.097)))+0.3*(2*((SIN(((Scenario_Data!V58)*12.9898+(Inputs!$C$6)*78.233+Inputs!$C$47*37.719))*43758.5453)-INT((SIN(((Scenario_Data!V58)*12.9898+(Inputs!$C$6)*78.233+Inputs!$C$47*37.719))*43758.5453)))-1))))/1000))*COS(SQRT((Scenario_Data!V58)^2+Inputs!$C$6^2)/Inputs!$C$52))*1000)/Inputs!$C$21*1000000</f>
        <v/>
      </c>
      <c r="AV58">
        <f>Scenario_Data!W58</f>
        <v/>
      </c>
      <c r="AW58">
        <f>2*(SQRT((Inputs!$C$52+(Scenario_Data!E58))^2+(Inputs!$C$52+((IF(OR(Inputs!$C$27=TRUE,Inputs!$C$27="TRUE",Inputs!$C$27=1),1,0)*(Inputs!$C$51*(115*EXP(-(((Inputs!$C$6)-25)^2)/(4.5^2))+70*EXP(-(((Inputs!$C$6)+38)^2)/(7^2))*(0.55+0.45*SIN(2*PI()*(Scenario_Data!W58)/45))+24*SIN(2*PI()*(Inputs!$C$6)/9+(Scenario_Data!W58)/18)*EXP(-(((Inputs!$C$6)+5)^2)/(22^2))+18*SIN(2*PI()*(Scenario_Data!W58)/70))+Inputs!$C$28*EXP(-(((Scenario_Data!W58)-Inputs!$C$29)^2)/(2*Inputs!$C$31^2))*EXP(-(((Inputs!$C$6)-Inputs!$C$30)^2)/(2*Inputs!$C$32^2))+-Inputs!$C$33*EXP(-(((((Scenario_Data!W58)-Inputs!$C$34)^2)+(((Inputs!$C$6)-Inputs!$C$35)^2))/(2*Inputs!$C$36^2)))+Inputs!$C$37*(0.55*SIN(2*PI()*(Scenario_Data!W58)/Inputs!$C$39)+0.35*COS(2*PI()*(Inputs!$C$6)/Inputs!$C$40)+0.2*SIN(2*PI()*((Scenario_Data!W58)+(Inputs!$C$6))/(0.5*(Inputs!$C$39+Inputs!$C$40))))+Inputs!$C$38*SIN(2*PI()*(Scenario_Data!W58)/Inputs!$C$39)*SIN(2*PI()*(Inputs!$C$6)/Inputs!$C$40)+-Inputs!$C$41*EXP(-(((Inputs!$C$6)-Inputs!$C$43)^2)/(2*Inputs!$C$44^2))*EXP(-(((Scenario_Data!W58)-Inputs!$C$42)^2)/(2*Inputs!$C$45^2))+Inputs!$C$48*(0.7*(0.45*SIN(2*PI()*(((Scenario_Data!W58)/Inputs!$C$49)+Inputs!$C$47*0.137))+0.35*COS(2*PI()*(((Inputs!$C$6)/Inputs!$C$50)+Inputs!$C$47*0.173))+0.2*SIN(2*PI()*((((Scenario_Data!W58)+(Inputs!$C$6))/(0.5*(Inputs!$C$49+Inputs!$C$50)))+Inputs!$C$47*0.097)))+0.3*(2*((SIN(((Scenario_Data!W58)*12.9898+(Inputs!$C$6)*78.233+Inputs!$C$47*37.719))*43758.5453)-INT((SIN(((Scenario_Data!W58)*12.9898+(Inputs!$C$6)*78.233+Inputs!$C$47*37.719))*43758.5453)))-1))))/1000))^2-2*(Inputs!$C$52+(Scenario_Data!E58))*(Inputs!$C$52+((IF(OR(Inputs!$C$27=TRUE,Inputs!$C$27="TRUE",Inputs!$C$27=1),1,0)*(Inputs!$C$51*(115*EXP(-(((Inputs!$C$6)-25)^2)/(4.5^2))+70*EXP(-(((Inputs!$C$6)+38)^2)/(7^2))*(0.55+0.45*SIN(2*PI()*(Scenario_Data!W58)/45))+24*SIN(2*PI()*(Inputs!$C$6)/9+(Scenario_Data!W58)/18)*EXP(-(((Inputs!$C$6)+5)^2)/(22^2))+18*SIN(2*PI()*(Scenario_Data!W58)/70))+Inputs!$C$28*EXP(-(((Scenario_Data!W58)-Inputs!$C$29)^2)/(2*Inputs!$C$31^2))*EXP(-(((Inputs!$C$6)-Inputs!$C$30)^2)/(2*Inputs!$C$32^2))+-Inputs!$C$33*EXP(-(((((Scenario_Data!W58)-Inputs!$C$34)^2)+(((Inputs!$C$6)-Inputs!$C$35)^2))/(2*Inputs!$C$36^2)))+Inputs!$C$37*(0.55*SIN(2*PI()*(Scenario_Data!W58)/Inputs!$C$39)+0.35*COS(2*PI()*(Inputs!$C$6)/Inputs!$C$40)+0.2*SIN(2*PI()*((Scenario_Data!W58)+(Inputs!$C$6))/(0.5*(Inputs!$C$39+Inputs!$C$40))))+Inputs!$C$38*SIN(2*PI()*(Scenario_Data!W58)/Inputs!$C$39)*SIN(2*PI()*(Inputs!$C$6)/Inputs!$C$40)+-Inputs!$C$41*EXP(-(((Inputs!$C$6)-Inputs!$C$43)^2)/(2*Inputs!$C$44^2))*EXP(-(((Scenario_Data!W58)-Inputs!$C$42)^2)/(2*Inputs!$C$45^2))+Inputs!$C$48*(0.7*(0.45*SIN(2*PI()*(((Scenario_Data!W58)/Inputs!$C$49)+Inputs!$C$47*0.137))+0.35*COS(2*PI()*(((Inputs!$C$6)/Inputs!$C$50)+Inputs!$C$47*0.173))+0.2*SIN(2*PI()*((((Scenario_Data!W58)+(Inputs!$C$6))/(0.5*(Inputs!$C$49+Inputs!$C$50)))+Inputs!$C$47*0.097)))+0.3*(2*((SIN(((Scenario_Data!W58)*12.9898+(Inputs!$C$6)*78.233+Inputs!$C$47*37.719))*43758.5453)-INT((SIN(((Scenario_Data!W58)*12.9898+(Inputs!$C$6)*78.233+Inputs!$C$47*37.719))*43758.5453)))-1))))/1000))*COS(SQRT((Scenario_Data!W58)^2+Inputs!$C$6^2)/Inputs!$C$52))*1000)/Inputs!$C$21*1000000</f>
        <v/>
      </c>
    </row>
    <row r="59">
      <c r="A59">
        <f>Chart_Data!K59</f>
        <v/>
      </c>
      <c r="B59">
        <f>Chart_Data!N59-Chart_Data!L59</f>
        <v/>
      </c>
      <c r="D59">
        <f>Chart_Data!G59</f>
        <v/>
      </c>
      <c r="E59">
        <f>Chart_Data!H59</f>
        <v/>
      </c>
      <c r="F59">
        <f>Chart_Data!I59</f>
        <v/>
      </c>
      <c r="G59">
        <f>Chart_Data!J59</f>
        <v/>
      </c>
      <c r="I59">
        <f>Scenario_Data!A59</f>
        <v/>
      </c>
      <c r="J59">
        <f>Scenario_Data!H59-(((SQRT((Inputs!$C$52+(Inputs!$H$6))^2+Inputs!$C$52^2-2*(Inputs!$C$52+(Inputs!$H$6))*Inputs!$C$52*COS(SQRT((Scenario_Data!T59)^2+Inputs!$C$6^2)/Inputs!$C$52)))-(Inputs!$H$6))*1000/Inputs!$C$12)</f>
        <v/>
      </c>
      <c r="K59">
        <f>Scenario_Data!I59-(((SQRT((Inputs!$C$52+(Inputs!$H$7))^2+Inputs!$C$52^2-2*(Inputs!$C$52+(Inputs!$H$7))*Inputs!$C$52*COS(SQRT((Scenario_Data!U59)^2+Inputs!$C$6^2)/Inputs!$C$52)))-(Inputs!$H$7))*1000/Inputs!$C$12)</f>
        <v/>
      </c>
      <c r="L59">
        <f>Scenario_Data!J59-(((SQRT((Inputs!$C$52+(Inputs!$H$8))^2+Inputs!$C$52^2-2*(Inputs!$C$52+(Inputs!$H$8))*Inputs!$C$52*COS(SQRT((Scenario_Data!V59)^2+Inputs!$C$6^2)/Inputs!$C$52)))-(Inputs!$H$8))*1000/Inputs!$C$12)</f>
        <v/>
      </c>
      <c r="M59">
        <f>Scenario_Data!K59-(((SQRT((Inputs!$C$52+(Inputs!$H$9))^2+Inputs!$C$52^2-2*(Inputs!$C$52+(Inputs!$H$9))*Inputs!$C$52*COS(SQRT((Scenario_Data!W59)^2+Inputs!$C$6^2)/Inputs!$C$52)))-(Inputs!$H$9))*1000/Inputs!$C$12)</f>
        <v/>
      </c>
      <c r="O59">
        <f>Scenario_Data!T59</f>
        <v/>
      </c>
      <c r="P59">
        <f>2*(Scenario_Data!B59*1000)/Inputs!$C$21*1000000</f>
        <v/>
      </c>
      <c r="Q59">
        <f>Scenario_Data!U59</f>
        <v/>
      </c>
      <c r="R59">
        <f>2*(Scenario_Data!C59*1000)/Inputs!$C$21*1000000</f>
        <v/>
      </c>
      <c r="S59">
        <f>Scenario_Data!V59</f>
        <v/>
      </c>
      <c r="T59">
        <f>2*(Scenario_Data!D59*1000)/Inputs!$C$21*1000000</f>
        <v/>
      </c>
      <c r="U59">
        <f>Scenario_Data!W59</f>
        <v/>
      </c>
      <c r="V59">
        <f>2*(Scenario_Data!E59*1000)/Inputs!$C$21*1000000</f>
        <v/>
      </c>
      <c r="X59">
        <f>Scenario_Data!T59</f>
        <v/>
      </c>
      <c r="Y59">
        <f>2*((Scenario_Data!B59*1000)-(IF(OR(Inputs!$C$27=TRUE,Inputs!$C$27="TRUE",Inputs!$C$27=1),1,0)*(Inputs!$C$51*(115*EXP(-(((0)-25)^2)/(4.5^2))+70*EXP(-(((0)+38)^2)/(7^2))*(0.55+0.45*SIN(2*PI()*(Scenario_Data!T59)/45))+24*SIN(2*PI()*(0)/9+(Scenario_Data!T59)/18)*EXP(-(((0)+5)^2)/(22^2))+18*SIN(2*PI()*(Scenario_Data!T59)/70))+Inputs!$C$28*EXP(-(((Scenario_Data!T59)-Inputs!$C$29)^2)/(2*Inputs!$C$31^2))*EXP(-(((0)-Inputs!$C$30)^2)/(2*Inputs!$C$32^2))+-Inputs!$C$33*EXP(-(((((Scenario_Data!T59)-Inputs!$C$34)^2)+(((0)-Inputs!$C$35)^2))/(2*Inputs!$C$36^2)))+Inputs!$C$37*(0.55*SIN(2*PI()*(Scenario_Data!T59)/Inputs!$C$39)+0.35*COS(2*PI()*(0)/Inputs!$C$40)+0.2*SIN(2*PI()*((Scenario_Data!T59)+(0))/(0.5*(Inputs!$C$39+Inputs!$C$40))))+Inputs!$C$38*SIN(2*PI()*(Scenario_Data!T59)/Inputs!$C$39)*SIN(2*PI()*(0)/Inputs!$C$40)+-Inputs!$C$41*EXP(-(((0)-Inputs!$C$43)^2)/(2*Inputs!$C$44^2))*EXP(-(((Scenario_Data!T59)-Inputs!$C$42)^2)/(2*Inputs!$C$45^2))+Inputs!$C$48*(0.7*(0.45*SIN(2*PI()*(((Scenario_Data!T59)/Inputs!$C$49)+Inputs!$C$47*0.137))+0.35*COS(2*PI()*(((0)/Inputs!$C$50)+Inputs!$C$47*0.173))+0.2*SIN(2*PI()*((((Scenario_Data!T59)+(0))/(0.5*(Inputs!$C$49+Inputs!$C$50)))+Inputs!$C$47*0.097)))+0.3*(2*((SIN(((Scenario_Data!T59)*12.9898+(0)*78.233+Inputs!$C$47*37.719))*43758.5453)-INT((SIN(((Scenario_Data!T59)*12.9898+(0)*78.233+Inputs!$C$47*37.719))*43758.5453)))-1)))))/Inputs!$C$21*1000000</f>
        <v/>
      </c>
      <c r="Z59">
        <f>Scenario_Data!U59</f>
        <v/>
      </c>
      <c r="AA59">
        <f>2*((Scenario_Data!C59*1000)-(IF(OR(Inputs!$C$27=TRUE,Inputs!$C$27="TRUE",Inputs!$C$27=1),1,0)*(Inputs!$C$51*(115*EXP(-(((0)-25)^2)/(4.5^2))+70*EXP(-(((0)+38)^2)/(7^2))*(0.55+0.45*SIN(2*PI()*(Scenario_Data!U59)/45))+24*SIN(2*PI()*(0)/9+(Scenario_Data!U59)/18)*EXP(-(((0)+5)^2)/(22^2))+18*SIN(2*PI()*(Scenario_Data!U59)/70))+Inputs!$C$28*EXP(-(((Scenario_Data!U59)-Inputs!$C$29)^2)/(2*Inputs!$C$31^2))*EXP(-(((0)-Inputs!$C$30)^2)/(2*Inputs!$C$32^2))+-Inputs!$C$33*EXP(-(((((Scenario_Data!U59)-Inputs!$C$34)^2)+(((0)-Inputs!$C$35)^2))/(2*Inputs!$C$36^2)))+Inputs!$C$37*(0.55*SIN(2*PI()*(Scenario_Data!U59)/Inputs!$C$39)+0.35*COS(2*PI()*(0)/Inputs!$C$40)+0.2*SIN(2*PI()*((Scenario_Data!U59)+(0))/(0.5*(Inputs!$C$39+Inputs!$C$40))))+Inputs!$C$38*SIN(2*PI()*(Scenario_Data!U59)/Inputs!$C$39)*SIN(2*PI()*(0)/Inputs!$C$40)+-Inputs!$C$41*EXP(-(((0)-Inputs!$C$43)^2)/(2*Inputs!$C$44^2))*EXP(-(((Scenario_Data!U59)-Inputs!$C$42)^2)/(2*Inputs!$C$45^2))+Inputs!$C$48*(0.7*(0.45*SIN(2*PI()*(((Scenario_Data!U59)/Inputs!$C$49)+Inputs!$C$47*0.137))+0.35*COS(2*PI()*(((0)/Inputs!$C$50)+Inputs!$C$47*0.173))+0.2*SIN(2*PI()*((((Scenario_Data!U59)+(0))/(0.5*(Inputs!$C$49+Inputs!$C$50)))+Inputs!$C$47*0.097)))+0.3*(2*((SIN(((Scenario_Data!U59)*12.9898+(0)*78.233+Inputs!$C$47*37.719))*43758.5453)-INT((SIN(((Scenario_Data!U59)*12.9898+(0)*78.233+Inputs!$C$47*37.719))*43758.5453)))-1)))))/Inputs!$C$21*1000000</f>
        <v/>
      </c>
      <c r="AB59">
        <f>Scenario_Data!V59</f>
        <v/>
      </c>
      <c r="AC59">
        <f>2*((Scenario_Data!D59*1000)-(IF(OR(Inputs!$C$27=TRUE,Inputs!$C$27="TRUE",Inputs!$C$27=1),1,0)*(Inputs!$C$51*(115*EXP(-(((0)-25)^2)/(4.5^2))+70*EXP(-(((0)+38)^2)/(7^2))*(0.55+0.45*SIN(2*PI()*(Scenario_Data!V59)/45))+24*SIN(2*PI()*(0)/9+(Scenario_Data!V59)/18)*EXP(-(((0)+5)^2)/(22^2))+18*SIN(2*PI()*(Scenario_Data!V59)/70))+Inputs!$C$28*EXP(-(((Scenario_Data!V59)-Inputs!$C$29)^2)/(2*Inputs!$C$31^2))*EXP(-(((0)-Inputs!$C$30)^2)/(2*Inputs!$C$32^2))+-Inputs!$C$33*EXP(-(((((Scenario_Data!V59)-Inputs!$C$34)^2)+(((0)-Inputs!$C$35)^2))/(2*Inputs!$C$36^2)))+Inputs!$C$37*(0.55*SIN(2*PI()*(Scenario_Data!V59)/Inputs!$C$39)+0.35*COS(2*PI()*(0)/Inputs!$C$40)+0.2*SIN(2*PI()*((Scenario_Data!V59)+(0))/(0.5*(Inputs!$C$39+Inputs!$C$40))))+Inputs!$C$38*SIN(2*PI()*(Scenario_Data!V59)/Inputs!$C$39)*SIN(2*PI()*(0)/Inputs!$C$40)+-Inputs!$C$41*EXP(-(((0)-Inputs!$C$43)^2)/(2*Inputs!$C$44^2))*EXP(-(((Scenario_Data!V59)-Inputs!$C$42)^2)/(2*Inputs!$C$45^2))+Inputs!$C$48*(0.7*(0.45*SIN(2*PI()*(((Scenario_Data!V59)/Inputs!$C$49)+Inputs!$C$47*0.137))+0.35*COS(2*PI()*(((0)/Inputs!$C$50)+Inputs!$C$47*0.173))+0.2*SIN(2*PI()*((((Scenario_Data!V59)+(0))/(0.5*(Inputs!$C$49+Inputs!$C$50)))+Inputs!$C$47*0.097)))+0.3*(2*((SIN(((Scenario_Data!V59)*12.9898+(0)*78.233+Inputs!$C$47*37.719))*43758.5453)-INT((SIN(((Scenario_Data!V59)*12.9898+(0)*78.233+Inputs!$C$47*37.719))*43758.5453)))-1)))))/Inputs!$C$21*1000000</f>
        <v/>
      </c>
      <c r="AD59">
        <f>Scenario_Data!W59</f>
        <v/>
      </c>
      <c r="AE59">
        <f>2*((Scenario_Data!E59*1000)-(IF(OR(Inputs!$C$27=TRUE,Inputs!$C$27="TRUE",Inputs!$C$27=1),1,0)*(Inputs!$C$51*(115*EXP(-(((0)-25)^2)/(4.5^2))+70*EXP(-(((0)+38)^2)/(7^2))*(0.55+0.45*SIN(2*PI()*(Scenario_Data!W59)/45))+24*SIN(2*PI()*(0)/9+(Scenario_Data!W59)/18)*EXP(-(((0)+5)^2)/(22^2))+18*SIN(2*PI()*(Scenario_Data!W59)/70))+Inputs!$C$28*EXP(-(((Scenario_Data!W59)-Inputs!$C$29)^2)/(2*Inputs!$C$31^2))*EXP(-(((0)-Inputs!$C$30)^2)/(2*Inputs!$C$32^2))+-Inputs!$C$33*EXP(-(((((Scenario_Data!W59)-Inputs!$C$34)^2)+(((0)-Inputs!$C$35)^2))/(2*Inputs!$C$36^2)))+Inputs!$C$37*(0.55*SIN(2*PI()*(Scenario_Data!W59)/Inputs!$C$39)+0.35*COS(2*PI()*(0)/Inputs!$C$40)+0.2*SIN(2*PI()*((Scenario_Data!W59)+(0))/(0.5*(Inputs!$C$39+Inputs!$C$40))))+Inputs!$C$38*SIN(2*PI()*(Scenario_Data!W59)/Inputs!$C$39)*SIN(2*PI()*(0)/Inputs!$C$40)+-Inputs!$C$41*EXP(-(((0)-Inputs!$C$43)^2)/(2*Inputs!$C$44^2))*EXP(-(((Scenario_Data!W59)-Inputs!$C$42)^2)/(2*Inputs!$C$45^2))+Inputs!$C$48*(0.7*(0.45*SIN(2*PI()*(((Scenario_Data!W59)/Inputs!$C$49)+Inputs!$C$47*0.137))+0.35*COS(2*PI()*(((0)/Inputs!$C$50)+Inputs!$C$47*0.173))+0.2*SIN(2*PI()*((((Scenario_Data!W59)+(0))/(0.5*(Inputs!$C$49+Inputs!$C$50)))+Inputs!$C$47*0.097)))+0.3*(2*((SIN(((Scenario_Data!W59)*12.9898+(0)*78.233+Inputs!$C$47*37.719))*43758.5453)-INT((SIN(((Scenario_Data!W59)*12.9898+(0)*78.233+Inputs!$C$47*37.719))*43758.5453)))-1)))))/Inputs!$C$21*1000000</f>
        <v/>
      </c>
      <c r="AG59">
        <f>Scenario_Data!T59</f>
        <v/>
      </c>
      <c r="AH59">
        <f>2*(SQRT((Inputs!$C$52+(Scenario_Data!B59))^2+Inputs!$C$52^2-2*(Inputs!$C$52+(Scenario_Data!B59))*Inputs!$C$52*COS(SQRT((Scenario_Data!T59)^2+Inputs!$C$6^2)/Inputs!$C$52))*1000)/Inputs!$C$21*1000000</f>
        <v/>
      </c>
      <c r="AI59">
        <f>Scenario_Data!U59</f>
        <v/>
      </c>
      <c r="AJ59">
        <f>2*(SQRT((Inputs!$C$52+(Scenario_Data!C59))^2+Inputs!$C$52^2-2*(Inputs!$C$52+(Scenario_Data!C59))*Inputs!$C$52*COS(SQRT((Scenario_Data!U59)^2+Inputs!$C$6^2)/Inputs!$C$52))*1000)/Inputs!$C$21*1000000</f>
        <v/>
      </c>
      <c r="AK59">
        <f>Scenario_Data!V59</f>
        <v/>
      </c>
      <c r="AL59">
        <f>2*(SQRT((Inputs!$C$52+(Scenario_Data!D59))^2+Inputs!$C$52^2-2*(Inputs!$C$52+(Scenario_Data!D59))*Inputs!$C$52*COS(SQRT((Scenario_Data!V59)^2+Inputs!$C$6^2)/Inputs!$C$52))*1000)/Inputs!$C$21*1000000</f>
        <v/>
      </c>
      <c r="AM59">
        <f>Scenario_Data!W59</f>
        <v/>
      </c>
      <c r="AN59">
        <f>2*(SQRT((Inputs!$C$52+(Scenario_Data!E59))^2+Inputs!$C$52^2-2*(Inputs!$C$52+(Scenario_Data!E59))*Inputs!$C$52*COS(SQRT((Scenario_Data!W59)^2+Inputs!$C$6^2)/Inputs!$C$52))*1000)/Inputs!$C$21*1000000</f>
        <v/>
      </c>
      <c r="AP59">
        <f>Scenario_Data!T59</f>
        <v/>
      </c>
      <c r="AQ59">
        <f>2*(SQRT((Inputs!$C$52+(Scenario_Data!B59))^2+(Inputs!$C$52+((IF(OR(Inputs!$C$27=TRUE,Inputs!$C$27="TRUE",Inputs!$C$27=1),1,0)*(Inputs!$C$51*(115*EXP(-(((Inputs!$C$6)-25)^2)/(4.5^2))+70*EXP(-(((Inputs!$C$6)+38)^2)/(7^2))*(0.55+0.45*SIN(2*PI()*(Scenario_Data!T59)/45))+24*SIN(2*PI()*(Inputs!$C$6)/9+(Scenario_Data!T59)/18)*EXP(-(((Inputs!$C$6)+5)^2)/(22^2))+18*SIN(2*PI()*(Scenario_Data!T59)/70))+Inputs!$C$28*EXP(-(((Scenario_Data!T59)-Inputs!$C$29)^2)/(2*Inputs!$C$31^2))*EXP(-(((Inputs!$C$6)-Inputs!$C$30)^2)/(2*Inputs!$C$32^2))+-Inputs!$C$33*EXP(-(((((Scenario_Data!T59)-Inputs!$C$34)^2)+(((Inputs!$C$6)-Inputs!$C$35)^2))/(2*Inputs!$C$36^2)))+Inputs!$C$37*(0.55*SIN(2*PI()*(Scenario_Data!T59)/Inputs!$C$39)+0.35*COS(2*PI()*(Inputs!$C$6)/Inputs!$C$40)+0.2*SIN(2*PI()*((Scenario_Data!T59)+(Inputs!$C$6))/(0.5*(Inputs!$C$39+Inputs!$C$40))))+Inputs!$C$38*SIN(2*PI()*(Scenario_Data!T59)/Inputs!$C$39)*SIN(2*PI()*(Inputs!$C$6)/Inputs!$C$40)+-Inputs!$C$41*EXP(-(((Inputs!$C$6)-Inputs!$C$43)^2)/(2*Inputs!$C$44^2))*EXP(-(((Scenario_Data!T59)-Inputs!$C$42)^2)/(2*Inputs!$C$45^2))+Inputs!$C$48*(0.7*(0.45*SIN(2*PI()*(((Scenario_Data!T59)/Inputs!$C$49)+Inputs!$C$47*0.137))+0.35*COS(2*PI()*(((Inputs!$C$6)/Inputs!$C$50)+Inputs!$C$47*0.173))+0.2*SIN(2*PI()*((((Scenario_Data!T59)+(Inputs!$C$6))/(0.5*(Inputs!$C$49+Inputs!$C$50)))+Inputs!$C$47*0.097)))+0.3*(2*((SIN(((Scenario_Data!T59)*12.9898+(Inputs!$C$6)*78.233+Inputs!$C$47*37.719))*43758.5453)-INT((SIN(((Scenario_Data!T59)*12.9898+(Inputs!$C$6)*78.233+Inputs!$C$47*37.719))*43758.5453)))-1))))/1000))^2-2*(Inputs!$C$52+(Scenario_Data!B59))*(Inputs!$C$52+((IF(OR(Inputs!$C$27=TRUE,Inputs!$C$27="TRUE",Inputs!$C$27=1),1,0)*(Inputs!$C$51*(115*EXP(-(((Inputs!$C$6)-25)^2)/(4.5^2))+70*EXP(-(((Inputs!$C$6)+38)^2)/(7^2))*(0.55+0.45*SIN(2*PI()*(Scenario_Data!T59)/45))+24*SIN(2*PI()*(Inputs!$C$6)/9+(Scenario_Data!T59)/18)*EXP(-(((Inputs!$C$6)+5)^2)/(22^2))+18*SIN(2*PI()*(Scenario_Data!T59)/70))+Inputs!$C$28*EXP(-(((Scenario_Data!T59)-Inputs!$C$29)^2)/(2*Inputs!$C$31^2))*EXP(-(((Inputs!$C$6)-Inputs!$C$30)^2)/(2*Inputs!$C$32^2))+-Inputs!$C$33*EXP(-(((((Scenario_Data!T59)-Inputs!$C$34)^2)+(((Inputs!$C$6)-Inputs!$C$35)^2))/(2*Inputs!$C$36^2)))+Inputs!$C$37*(0.55*SIN(2*PI()*(Scenario_Data!T59)/Inputs!$C$39)+0.35*COS(2*PI()*(Inputs!$C$6)/Inputs!$C$40)+0.2*SIN(2*PI()*((Scenario_Data!T59)+(Inputs!$C$6))/(0.5*(Inputs!$C$39+Inputs!$C$40))))+Inputs!$C$38*SIN(2*PI()*(Scenario_Data!T59)/Inputs!$C$39)*SIN(2*PI()*(Inputs!$C$6)/Inputs!$C$40)+-Inputs!$C$41*EXP(-(((Inputs!$C$6)-Inputs!$C$43)^2)/(2*Inputs!$C$44^2))*EXP(-(((Scenario_Data!T59)-Inputs!$C$42)^2)/(2*Inputs!$C$45^2))+Inputs!$C$48*(0.7*(0.45*SIN(2*PI()*(((Scenario_Data!T59)/Inputs!$C$49)+Inputs!$C$47*0.137))+0.35*COS(2*PI()*(((Inputs!$C$6)/Inputs!$C$50)+Inputs!$C$47*0.173))+0.2*SIN(2*PI()*((((Scenario_Data!T59)+(Inputs!$C$6))/(0.5*(Inputs!$C$49+Inputs!$C$50)))+Inputs!$C$47*0.097)))+0.3*(2*((SIN(((Scenario_Data!T59)*12.9898+(Inputs!$C$6)*78.233+Inputs!$C$47*37.719))*43758.5453)-INT((SIN(((Scenario_Data!T59)*12.9898+(Inputs!$C$6)*78.233+Inputs!$C$47*37.719))*43758.5453)))-1))))/1000))*COS(SQRT((Scenario_Data!T59)^2+Inputs!$C$6^2)/Inputs!$C$52))*1000)/Inputs!$C$21*1000000</f>
        <v/>
      </c>
      <c r="AR59">
        <f>Scenario_Data!U59</f>
        <v/>
      </c>
      <c r="AS59">
        <f>2*(SQRT((Inputs!$C$52+(Scenario_Data!C59))^2+(Inputs!$C$52+((IF(OR(Inputs!$C$27=TRUE,Inputs!$C$27="TRUE",Inputs!$C$27=1),1,0)*(Inputs!$C$51*(115*EXP(-(((Inputs!$C$6)-25)^2)/(4.5^2))+70*EXP(-(((Inputs!$C$6)+38)^2)/(7^2))*(0.55+0.45*SIN(2*PI()*(Scenario_Data!U59)/45))+24*SIN(2*PI()*(Inputs!$C$6)/9+(Scenario_Data!U59)/18)*EXP(-(((Inputs!$C$6)+5)^2)/(22^2))+18*SIN(2*PI()*(Scenario_Data!U59)/70))+Inputs!$C$28*EXP(-(((Scenario_Data!U59)-Inputs!$C$29)^2)/(2*Inputs!$C$31^2))*EXP(-(((Inputs!$C$6)-Inputs!$C$30)^2)/(2*Inputs!$C$32^2))+-Inputs!$C$33*EXP(-(((((Scenario_Data!U59)-Inputs!$C$34)^2)+(((Inputs!$C$6)-Inputs!$C$35)^2))/(2*Inputs!$C$36^2)))+Inputs!$C$37*(0.55*SIN(2*PI()*(Scenario_Data!U59)/Inputs!$C$39)+0.35*COS(2*PI()*(Inputs!$C$6)/Inputs!$C$40)+0.2*SIN(2*PI()*((Scenario_Data!U59)+(Inputs!$C$6))/(0.5*(Inputs!$C$39+Inputs!$C$40))))+Inputs!$C$38*SIN(2*PI()*(Scenario_Data!U59)/Inputs!$C$39)*SIN(2*PI()*(Inputs!$C$6)/Inputs!$C$40)+-Inputs!$C$41*EXP(-(((Inputs!$C$6)-Inputs!$C$43)^2)/(2*Inputs!$C$44^2))*EXP(-(((Scenario_Data!U59)-Inputs!$C$42)^2)/(2*Inputs!$C$45^2))+Inputs!$C$48*(0.7*(0.45*SIN(2*PI()*(((Scenario_Data!U59)/Inputs!$C$49)+Inputs!$C$47*0.137))+0.35*COS(2*PI()*(((Inputs!$C$6)/Inputs!$C$50)+Inputs!$C$47*0.173))+0.2*SIN(2*PI()*((((Scenario_Data!U59)+(Inputs!$C$6))/(0.5*(Inputs!$C$49+Inputs!$C$50)))+Inputs!$C$47*0.097)))+0.3*(2*((SIN(((Scenario_Data!U59)*12.9898+(Inputs!$C$6)*78.233+Inputs!$C$47*37.719))*43758.5453)-INT((SIN(((Scenario_Data!U59)*12.9898+(Inputs!$C$6)*78.233+Inputs!$C$47*37.719))*43758.5453)))-1))))/1000))^2-2*(Inputs!$C$52+(Scenario_Data!C59))*(Inputs!$C$52+((IF(OR(Inputs!$C$27=TRUE,Inputs!$C$27="TRUE",Inputs!$C$27=1),1,0)*(Inputs!$C$51*(115*EXP(-(((Inputs!$C$6)-25)^2)/(4.5^2))+70*EXP(-(((Inputs!$C$6)+38)^2)/(7^2))*(0.55+0.45*SIN(2*PI()*(Scenario_Data!U59)/45))+24*SIN(2*PI()*(Inputs!$C$6)/9+(Scenario_Data!U59)/18)*EXP(-(((Inputs!$C$6)+5)^2)/(22^2))+18*SIN(2*PI()*(Scenario_Data!U59)/70))+Inputs!$C$28*EXP(-(((Scenario_Data!U59)-Inputs!$C$29)^2)/(2*Inputs!$C$31^2))*EXP(-(((Inputs!$C$6)-Inputs!$C$30)^2)/(2*Inputs!$C$32^2))+-Inputs!$C$33*EXP(-(((((Scenario_Data!U59)-Inputs!$C$34)^2)+(((Inputs!$C$6)-Inputs!$C$35)^2))/(2*Inputs!$C$36^2)))+Inputs!$C$37*(0.55*SIN(2*PI()*(Scenario_Data!U59)/Inputs!$C$39)+0.35*COS(2*PI()*(Inputs!$C$6)/Inputs!$C$40)+0.2*SIN(2*PI()*((Scenario_Data!U59)+(Inputs!$C$6))/(0.5*(Inputs!$C$39+Inputs!$C$40))))+Inputs!$C$38*SIN(2*PI()*(Scenario_Data!U59)/Inputs!$C$39)*SIN(2*PI()*(Inputs!$C$6)/Inputs!$C$40)+-Inputs!$C$41*EXP(-(((Inputs!$C$6)-Inputs!$C$43)^2)/(2*Inputs!$C$44^2))*EXP(-(((Scenario_Data!U59)-Inputs!$C$42)^2)/(2*Inputs!$C$45^2))+Inputs!$C$48*(0.7*(0.45*SIN(2*PI()*(((Scenario_Data!U59)/Inputs!$C$49)+Inputs!$C$47*0.137))+0.35*COS(2*PI()*(((Inputs!$C$6)/Inputs!$C$50)+Inputs!$C$47*0.173))+0.2*SIN(2*PI()*((((Scenario_Data!U59)+(Inputs!$C$6))/(0.5*(Inputs!$C$49+Inputs!$C$50)))+Inputs!$C$47*0.097)))+0.3*(2*((SIN(((Scenario_Data!U59)*12.9898+(Inputs!$C$6)*78.233+Inputs!$C$47*37.719))*43758.5453)-INT((SIN(((Scenario_Data!U59)*12.9898+(Inputs!$C$6)*78.233+Inputs!$C$47*37.719))*43758.5453)))-1))))/1000))*COS(SQRT((Scenario_Data!U59)^2+Inputs!$C$6^2)/Inputs!$C$52))*1000)/Inputs!$C$21*1000000</f>
        <v/>
      </c>
      <c r="AT59">
        <f>Scenario_Data!V59</f>
        <v/>
      </c>
      <c r="AU59">
        <f>2*(SQRT((Inputs!$C$52+(Scenario_Data!D59))^2+(Inputs!$C$52+((IF(OR(Inputs!$C$27=TRUE,Inputs!$C$27="TRUE",Inputs!$C$27=1),1,0)*(Inputs!$C$51*(115*EXP(-(((Inputs!$C$6)-25)^2)/(4.5^2))+70*EXP(-(((Inputs!$C$6)+38)^2)/(7^2))*(0.55+0.45*SIN(2*PI()*(Scenario_Data!V59)/45))+24*SIN(2*PI()*(Inputs!$C$6)/9+(Scenario_Data!V59)/18)*EXP(-(((Inputs!$C$6)+5)^2)/(22^2))+18*SIN(2*PI()*(Scenario_Data!V59)/70))+Inputs!$C$28*EXP(-(((Scenario_Data!V59)-Inputs!$C$29)^2)/(2*Inputs!$C$31^2))*EXP(-(((Inputs!$C$6)-Inputs!$C$30)^2)/(2*Inputs!$C$32^2))+-Inputs!$C$33*EXP(-(((((Scenario_Data!V59)-Inputs!$C$34)^2)+(((Inputs!$C$6)-Inputs!$C$35)^2))/(2*Inputs!$C$36^2)))+Inputs!$C$37*(0.55*SIN(2*PI()*(Scenario_Data!V59)/Inputs!$C$39)+0.35*COS(2*PI()*(Inputs!$C$6)/Inputs!$C$40)+0.2*SIN(2*PI()*((Scenario_Data!V59)+(Inputs!$C$6))/(0.5*(Inputs!$C$39+Inputs!$C$40))))+Inputs!$C$38*SIN(2*PI()*(Scenario_Data!V59)/Inputs!$C$39)*SIN(2*PI()*(Inputs!$C$6)/Inputs!$C$40)+-Inputs!$C$41*EXP(-(((Inputs!$C$6)-Inputs!$C$43)^2)/(2*Inputs!$C$44^2))*EXP(-(((Scenario_Data!V59)-Inputs!$C$42)^2)/(2*Inputs!$C$45^2))+Inputs!$C$48*(0.7*(0.45*SIN(2*PI()*(((Scenario_Data!V59)/Inputs!$C$49)+Inputs!$C$47*0.137))+0.35*COS(2*PI()*(((Inputs!$C$6)/Inputs!$C$50)+Inputs!$C$47*0.173))+0.2*SIN(2*PI()*((((Scenario_Data!V59)+(Inputs!$C$6))/(0.5*(Inputs!$C$49+Inputs!$C$50)))+Inputs!$C$47*0.097)))+0.3*(2*((SIN(((Scenario_Data!V59)*12.9898+(Inputs!$C$6)*78.233+Inputs!$C$47*37.719))*43758.5453)-INT((SIN(((Scenario_Data!V59)*12.9898+(Inputs!$C$6)*78.233+Inputs!$C$47*37.719))*43758.5453)))-1))))/1000))^2-2*(Inputs!$C$52+(Scenario_Data!D59))*(Inputs!$C$52+((IF(OR(Inputs!$C$27=TRUE,Inputs!$C$27="TRUE",Inputs!$C$27=1),1,0)*(Inputs!$C$51*(115*EXP(-(((Inputs!$C$6)-25)^2)/(4.5^2))+70*EXP(-(((Inputs!$C$6)+38)^2)/(7^2))*(0.55+0.45*SIN(2*PI()*(Scenario_Data!V59)/45))+24*SIN(2*PI()*(Inputs!$C$6)/9+(Scenario_Data!V59)/18)*EXP(-(((Inputs!$C$6)+5)^2)/(22^2))+18*SIN(2*PI()*(Scenario_Data!V59)/70))+Inputs!$C$28*EXP(-(((Scenario_Data!V59)-Inputs!$C$29)^2)/(2*Inputs!$C$31^2))*EXP(-(((Inputs!$C$6)-Inputs!$C$30)^2)/(2*Inputs!$C$32^2))+-Inputs!$C$33*EXP(-(((((Scenario_Data!V59)-Inputs!$C$34)^2)+(((Inputs!$C$6)-Inputs!$C$35)^2))/(2*Inputs!$C$36^2)))+Inputs!$C$37*(0.55*SIN(2*PI()*(Scenario_Data!V59)/Inputs!$C$39)+0.35*COS(2*PI()*(Inputs!$C$6)/Inputs!$C$40)+0.2*SIN(2*PI()*((Scenario_Data!V59)+(Inputs!$C$6))/(0.5*(Inputs!$C$39+Inputs!$C$40))))+Inputs!$C$38*SIN(2*PI()*(Scenario_Data!V59)/Inputs!$C$39)*SIN(2*PI()*(Inputs!$C$6)/Inputs!$C$40)+-Inputs!$C$41*EXP(-(((Inputs!$C$6)-Inputs!$C$43)^2)/(2*Inputs!$C$44^2))*EXP(-(((Scenario_Data!V59)-Inputs!$C$42)^2)/(2*Inputs!$C$45^2))+Inputs!$C$48*(0.7*(0.45*SIN(2*PI()*(((Scenario_Data!V59)/Inputs!$C$49)+Inputs!$C$47*0.137))+0.35*COS(2*PI()*(((Inputs!$C$6)/Inputs!$C$50)+Inputs!$C$47*0.173))+0.2*SIN(2*PI()*((((Scenario_Data!V59)+(Inputs!$C$6))/(0.5*(Inputs!$C$49+Inputs!$C$50)))+Inputs!$C$47*0.097)))+0.3*(2*((SIN(((Scenario_Data!V59)*12.9898+(Inputs!$C$6)*78.233+Inputs!$C$47*37.719))*43758.5453)-INT((SIN(((Scenario_Data!V59)*12.9898+(Inputs!$C$6)*78.233+Inputs!$C$47*37.719))*43758.5453)))-1))))/1000))*COS(SQRT((Scenario_Data!V59)^2+Inputs!$C$6^2)/Inputs!$C$52))*1000)/Inputs!$C$21*1000000</f>
        <v/>
      </c>
      <c r="AV59">
        <f>Scenario_Data!W59</f>
        <v/>
      </c>
      <c r="AW59">
        <f>2*(SQRT((Inputs!$C$52+(Scenario_Data!E59))^2+(Inputs!$C$52+((IF(OR(Inputs!$C$27=TRUE,Inputs!$C$27="TRUE",Inputs!$C$27=1),1,0)*(Inputs!$C$51*(115*EXP(-(((Inputs!$C$6)-25)^2)/(4.5^2))+70*EXP(-(((Inputs!$C$6)+38)^2)/(7^2))*(0.55+0.45*SIN(2*PI()*(Scenario_Data!W59)/45))+24*SIN(2*PI()*(Inputs!$C$6)/9+(Scenario_Data!W59)/18)*EXP(-(((Inputs!$C$6)+5)^2)/(22^2))+18*SIN(2*PI()*(Scenario_Data!W59)/70))+Inputs!$C$28*EXP(-(((Scenario_Data!W59)-Inputs!$C$29)^2)/(2*Inputs!$C$31^2))*EXP(-(((Inputs!$C$6)-Inputs!$C$30)^2)/(2*Inputs!$C$32^2))+-Inputs!$C$33*EXP(-(((((Scenario_Data!W59)-Inputs!$C$34)^2)+(((Inputs!$C$6)-Inputs!$C$35)^2))/(2*Inputs!$C$36^2)))+Inputs!$C$37*(0.55*SIN(2*PI()*(Scenario_Data!W59)/Inputs!$C$39)+0.35*COS(2*PI()*(Inputs!$C$6)/Inputs!$C$40)+0.2*SIN(2*PI()*((Scenario_Data!W59)+(Inputs!$C$6))/(0.5*(Inputs!$C$39+Inputs!$C$40))))+Inputs!$C$38*SIN(2*PI()*(Scenario_Data!W59)/Inputs!$C$39)*SIN(2*PI()*(Inputs!$C$6)/Inputs!$C$40)+-Inputs!$C$41*EXP(-(((Inputs!$C$6)-Inputs!$C$43)^2)/(2*Inputs!$C$44^2))*EXP(-(((Scenario_Data!W59)-Inputs!$C$42)^2)/(2*Inputs!$C$45^2))+Inputs!$C$48*(0.7*(0.45*SIN(2*PI()*(((Scenario_Data!W59)/Inputs!$C$49)+Inputs!$C$47*0.137))+0.35*COS(2*PI()*(((Inputs!$C$6)/Inputs!$C$50)+Inputs!$C$47*0.173))+0.2*SIN(2*PI()*((((Scenario_Data!W59)+(Inputs!$C$6))/(0.5*(Inputs!$C$49+Inputs!$C$50)))+Inputs!$C$47*0.097)))+0.3*(2*((SIN(((Scenario_Data!W59)*12.9898+(Inputs!$C$6)*78.233+Inputs!$C$47*37.719))*43758.5453)-INT((SIN(((Scenario_Data!W59)*12.9898+(Inputs!$C$6)*78.233+Inputs!$C$47*37.719))*43758.5453)))-1))))/1000))^2-2*(Inputs!$C$52+(Scenario_Data!E59))*(Inputs!$C$52+((IF(OR(Inputs!$C$27=TRUE,Inputs!$C$27="TRUE",Inputs!$C$27=1),1,0)*(Inputs!$C$51*(115*EXP(-(((Inputs!$C$6)-25)^2)/(4.5^2))+70*EXP(-(((Inputs!$C$6)+38)^2)/(7^2))*(0.55+0.45*SIN(2*PI()*(Scenario_Data!W59)/45))+24*SIN(2*PI()*(Inputs!$C$6)/9+(Scenario_Data!W59)/18)*EXP(-(((Inputs!$C$6)+5)^2)/(22^2))+18*SIN(2*PI()*(Scenario_Data!W59)/70))+Inputs!$C$28*EXP(-(((Scenario_Data!W59)-Inputs!$C$29)^2)/(2*Inputs!$C$31^2))*EXP(-(((Inputs!$C$6)-Inputs!$C$30)^2)/(2*Inputs!$C$32^2))+-Inputs!$C$33*EXP(-(((((Scenario_Data!W59)-Inputs!$C$34)^2)+(((Inputs!$C$6)-Inputs!$C$35)^2))/(2*Inputs!$C$36^2)))+Inputs!$C$37*(0.55*SIN(2*PI()*(Scenario_Data!W59)/Inputs!$C$39)+0.35*COS(2*PI()*(Inputs!$C$6)/Inputs!$C$40)+0.2*SIN(2*PI()*((Scenario_Data!W59)+(Inputs!$C$6))/(0.5*(Inputs!$C$39+Inputs!$C$40))))+Inputs!$C$38*SIN(2*PI()*(Scenario_Data!W59)/Inputs!$C$39)*SIN(2*PI()*(Inputs!$C$6)/Inputs!$C$40)+-Inputs!$C$41*EXP(-(((Inputs!$C$6)-Inputs!$C$43)^2)/(2*Inputs!$C$44^2))*EXP(-(((Scenario_Data!W59)-Inputs!$C$42)^2)/(2*Inputs!$C$45^2))+Inputs!$C$48*(0.7*(0.45*SIN(2*PI()*(((Scenario_Data!W59)/Inputs!$C$49)+Inputs!$C$47*0.137))+0.35*COS(2*PI()*(((Inputs!$C$6)/Inputs!$C$50)+Inputs!$C$47*0.173))+0.2*SIN(2*PI()*((((Scenario_Data!W59)+(Inputs!$C$6))/(0.5*(Inputs!$C$49+Inputs!$C$50)))+Inputs!$C$47*0.097)))+0.3*(2*((SIN(((Scenario_Data!W59)*12.9898+(Inputs!$C$6)*78.233+Inputs!$C$47*37.719))*43758.5453)-INT((SIN(((Scenario_Data!W59)*12.9898+(Inputs!$C$6)*78.233+Inputs!$C$47*37.719))*43758.5453)))-1))))/1000))*COS(SQRT((Scenario_Data!W59)^2+Inputs!$C$6^2)/Inputs!$C$52))*1000)/Inputs!$C$21*1000000</f>
        <v/>
      </c>
    </row>
    <row r="60">
      <c r="A60">
        <f>Chart_Data!K60</f>
        <v/>
      </c>
      <c r="B60">
        <f>Chart_Data!N60-Chart_Data!L60</f>
        <v/>
      </c>
      <c r="D60">
        <f>Chart_Data!G60</f>
        <v/>
      </c>
      <c r="E60">
        <f>Chart_Data!H60</f>
        <v/>
      </c>
      <c r="F60">
        <f>Chart_Data!I60</f>
        <v/>
      </c>
      <c r="G60">
        <f>Chart_Data!J60</f>
        <v/>
      </c>
      <c r="I60">
        <f>Scenario_Data!A60</f>
        <v/>
      </c>
      <c r="J60">
        <f>Scenario_Data!H60-(((SQRT((Inputs!$C$52+(Inputs!$H$6))^2+Inputs!$C$52^2-2*(Inputs!$C$52+(Inputs!$H$6))*Inputs!$C$52*COS(SQRT((Scenario_Data!T60)^2+Inputs!$C$6^2)/Inputs!$C$52)))-(Inputs!$H$6))*1000/Inputs!$C$12)</f>
        <v/>
      </c>
      <c r="K60">
        <f>Scenario_Data!I60-(((SQRT((Inputs!$C$52+(Inputs!$H$7))^2+Inputs!$C$52^2-2*(Inputs!$C$52+(Inputs!$H$7))*Inputs!$C$52*COS(SQRT((Scenario_Data!U60)^2+Inputs!$C$6^2)/Inputs!$C$52)))-(Inputs!$H$7))*1000/Inputs!$C$12)</f>
        <v/>
      </c>
      <c r="L60">
        <f>Scenario_Data!J60-(((SQRT((Inputs!$C$52+(Inputs!$H$8))^2+Inputs!$C$52^2-2*(Inputs!$C$52+(Inputs!$H$8))*Inputs!$C$52*COS(SQRT((Scenario_Data!V60)^2+Inputs!$C$6^2)/Inputs!$C$52)))-(Inputs!$H$8))*1000/Inputs!$C$12)</f>
        <v/>
      </c>
      <c r="M60">
        <f>Scenario_Data!K60-(((SQRT((Inputs!$C$52+(Inputs!$H$9))^2+Inputs!$C$52^2-2*(Inputs!$C$52+(Inputs!$H$9))*Inputs!$C$52*COS(SQRT((Scenario_Data!W60)^2+Inputs!$C$6^2)/Inputs!$C$52)))-(Inputs!$H$9))*1000/Inputs!$C$12)</f>
        <v/>
      </c>
      <c r="O60">
        <f>Scenario_Data!T60</f>
        <v/>
      </c>
      <c r="P60">
        <f>2*(Scenario_Data!B60*1000)/Inputs!$C$21*1000000</f>
        <v/>
      </c>
      <c r="Q60">
        <f>Scenario_Data!U60</f>
        <v/>
      </c>
      <c r="R60">
        <f>2*(Scenario_Data!C60*1000)/Inputs!$C$21*1000000</f>
        <v/>
      </c>
      <c r="S60">
        <f>Scenario_Data!V60</f>
        <v/>
      </c>
      <c r="T60">
        <f>2*(Scenario_Data!D60*1000)/Inputs!$C$21*1000000</f>
        <v/>
      </c>
      <c r="U60">
        <f>Scenario_Data!W60</f>
        <v/>
      </c>
      <c r="V60">
        <f>2*(Scenario_Data!E60*1000)/Inputs!$C$21*1000000</f>
        <v/>
      </c>
      <c r="X60">
        <f>Scenario_Data!T60</f>
        <v/>
      </c>
      <c r="Y60">
        <f>2*((Scenario_Data!B60*1000)-(IF(OR(Inputs!$C$27=TRUE,Inputs!$C$27="TRUE",Inputs!$C$27=1),1,0)*(Inputs!$C$51*(115*EXP(-(((0)-25)^2)/(4.5^2))+70*EXP(-(((0)+38)^2)/(7^2))*(0.55+0.45*SIN(2*PI()*(Scenario_Data!T60)/45))+24*SIN(2*PI()*(0)/9+(Scenario_Data!T60)/18)*EXP(-(((0)+5)^2)/(22^2))+18*SIN(2*PI()*(Scenario_Data!T60)/70))+Inputs!$C$28*EXP(-(((Scenario_Data!T60)-Inputs!$C$29)^2)/(2*Inputs!$C$31^2))*EXP(-(((0)-Inputs!$C$30)^2)/(2*Inputs!$C$32^2))+-Inputs!$C$33*EXP(-(((((Scenario_Data!T60)-Inputs!$C$34)^2)+(((0)-Inputs!$C$35)^2))/(2*Inputs!$C$36^2)))+Inputs!$C$37*(0.55*SIN(2*PI()*(Scenario_Data!T60)/Inputs!$C$39)+0.35*COS(2*PI()*(0)/Inputs!$C$40)+0.2*SIN(2*PI()*((Scenario_Data!T60)+(0))/(0.5*(Inputs!$C$39+Inputs!$C$40))))+Inputs!$C$38*SIN(2*PI()*(Scenario_Data!T60)/Inputs!$C$39)*SIN(2*PI()*(0)/Inputs!$C$40)+-Inputs!$C$41*EXP(-(((0)-Inputs!$C$43)^2)/(2*Inputs!$C$44^2))*EXP(-(((Scenario_Data!T60)-Inputs!$C$42)^2)/(2*Inputs!$C$45^2))+Inputs!$C$48*(0.7*(0.45*SIN(2*PI()*(((Scenario_Data!T60)/Inputs!$C$49)+Inputs!$C$47*0.137))+0.35*COS(2*PI()*(((0)/Inputs!$C$50)+Inputs!$C$47*0.173))+0.2*SIN(2*PI()*((((Scenario_Data!T60)+(0))/(0.5*(Inputs!$C$49+Inputs!$C$50)))+Inputs!$C$47*0.097)))+0.3*(2*((SIN(((Scenario_Data!T60)*12.9898+(0)*78.233+Inputs!$C$47*37.719))*43758.5453)-INT((SIN(((Scenario_Data!T60)*12.9898+(0)*78.233+Inputs!$C$47*37.719))*43758.5453)))-1)))))/Inputs!$C$21*1000000</f>
        <v/>
      </c>
      <c r="Z60">
        <f>Scenario_Data!U60</f>
        <v/>
      </c>
      <c r="AA60">
        <f>2*((Scenario_Data!C60*1000)-(IF(OR(Inputs!$C$27=TRUE,Inputs!$C$27="TRUE",Inputs!$C$27=1),1,0)*(Inputs!$C$51*(115*EXP(-(((0)-25)^2)/(4.5^2))+70*EXP(-(((0)+38)^2)/(7^2))*(0.55+0.45*SIN(2*PI()*(Scenario_Data!U60)/45))+24*SIN(2*PI()*(0)/9+(Scenario_Data!U60)/18)*EXP(-(((0)+5)^2)/(22^2))+18*SIN(2*PI()*(Scenario_Data!U60)/70))+Inputs!$C$28*EXP(-(((Scenario_Data!U60)-Inputs!$C$29)^2)/(2*Inputs!$C$31^2))*EXP(-(((0)-Inputs!$C$30)^2)/(2*Inputs!$C$32^2))+-Inputs!$C$33*EXP(-(((((Scenario_Data!U60)-Inputs!$C$34)^2)+(((0)-Inputs!$C$35)^2))/(2*Inputs!$C$36^2)))+Inputs!$C$37*(0.55*SIN(2*PI()*(Scenario_Data!U60)/Inputs!$C$39)+0.35*COS(2*PI()*(0)/Inputs!$C$40)+0.2*SIN(2*PI()*((Scenario_Data!U60)+(0))/(0.5*(Inputs!$C$39+Inputs!$C$40))))+Inputs!$C$38*SIN(2*PI()*(Scenario_Data!U60)/Inputs!$C$39)*SIN(2*PI()*(0)/Inputs!$C$40)+-Inputs!$C$41*EXP(-(((0)-Inputs!$C$43)^2)/(2*Inputs!$C$44^2))*EXP(-(((Scenario_Data!U60)-Inputs!$C$42)^2)/(2*Inputs!$C$45^2))+Inputs!$C$48*(0.7*(0.45*SIN(2*PI()*(((Scenario_Data!U60)/Inputs!$C$49)+Inputs!$C$47*0.137))+0.35*COS(2*PI()*(((0)/Inputs!$C$50)+Inputs!$C$47*0.173))+0.2*SIN(2*PI()*((((Scenario_Data!U60)+(0))/(0.5*(Inputs!$C$49+Inputs!$C$50)))+Inputs!$C$47*0.097)))+0.3*(2*((SIN(((Scenario_Data!U60)*12.9898+(0)*78.233+Inputs!$C$47*37.719))*43758.5453)-INT((SIN(((Scenario_Data!U60)*12.9898+(0)*78.233+Inputs!$C$47*37.719))*43758.5453)))-1)))))/Inputs!$C$21*1000000</f>
        <v/>
      </c>
      <c r="AB60">
        <f>Scenario_Data!V60</f>
        <v/>
      </c>
      <c r="AC60">
        <f>2*((Scenario_Data!D60*1000)-(IF(OR(Inputs!$C$27=TRUE,Inputs!$C$27="TRUE",Inputs!$C$27=1),1,0)*(Inputs!$C$51*(115*EXP(-(((0)-25)^2)/(4.5^2))+70*EXP(-(((0)+38)^2)/(7^2))*(0.55+0.45*SIN(2*PI()*(Scenario_Data!V60)/45))+24*SIN(2*PI()*(0)/9+(Scenario_Data!V60)/18)*EXP(-(((0)+5)^2)/(22^2))+18*SIN(2*PI()*(Scenario_Data!V60)/70))+Inputs!$C$28*EXP(-(((Scenario_Data!V60)-Inputs!$C$29)^2)/(2*Inputs!$C$31^2))*EXP(-(((0)-Inputs!$C$30)^2)/(2*Inputs!$C$32^2))+-Inputs!$C$33*EXP(-(((((Scenario_Data!V60)-Inputs!$C$34)^2)+(((0)-Inputs!$C$35)^2))/(2*Inputs!$C$36^2)))+Inputs!$C$37*(0.55*SIN(2*PI()*(Scenario_Data!V60)/Inputs!$C$39)+0.35*COS(2*PI()*(0)/Inputs!$C$40)+0.2*SIN(2*PI()*((Scenario_Data!V60)+(0))/(0.5*(Inputs!$C$39+Inputs!$C$40))))+Inputs!$C$38*SIN(2*PI()*(Scenario_Data!V60)/Inputs!$C$39)*SIN(2*PI()*(0)/Inputs!$C$40)+-Inputs!$C$41*EXP(-(((0)-Inputs!$C$43)^2)/(2*Inputs!$C$44^2))*EXP(-(((Scenario_Data!V60)-Inputs!$C$42)^2)/(2*Inputs!$C$45^2))+Inputs!$C$48*(0.7*(0.45*SIN(2*PI()*(((Scenario_Data!V60)/Inputs!$C$49)+Inputs!$C$47*0.137))+0.35*COS(2*PI()*(((0)/Inputs!$C$50)+Inputs!$C$47*0.173))+0.2*SIN(2*PI()*((((Scenario_Data!V60)+(0))/(0.5*(Inputs!$C$49+Inputs!$C$50)))+Inputs!$C$47*0.097)))+0.3*(2*((SIN(((Scenario_Data!V60)*12.9898+(0)*78.233+Inputs!$C$47*37.719))*43758.5453)-INT((SIN(((Scenario_Data!V60)*12.9898+(0)*78.233+Inputs!$C$47*37.719))*43758.5453)))-1)))))/Inputs!$C$21*1000000</f>
        <v/>
      </c>
      <c r="AD60">
        <f>Scenario_Data!W60</f>
        <v/>
      </c>
      <c r="AE60">
        <f>2*((Scenario_Data!E60*1000)-(IF(OR(Inputs!$C$27=TRUE,Inputs!$C$27="TRUE",Inputs!$C$27=1),1,0)*(Inputs!$C$51*(115*EXP(-(((0)-25)^2)/(4.5^2))+70*EXP(-(((0)+38)^2)/(7^2))*(0.55+0.45*SIN(2*PI()*(Scenario_Data!W60)/45))+24*SIN(2*PI()*(0)/9+(Scenario_Data!W60)/18)*EXP(-(((0)+5)^2)/(22^2))+18*SIN(2*PI()*(Scenario_Data!W60)/70))+Inputs!$C$28*EXP(-(((Scenario_Data!W60)-Inputs!$C$29)^2)/(2*Inputs!$C$31^2))*EXP(-(((0)-Inputs!$C$30)^2)/(2*Inputs!$C$32^2))+-Inputs!$C$33*EXP(-(((((Scenario_Data!W60)-Inputs!$C$34)^2)+(((0)-Inputs!$C$35)^2))/(2*Inputs!$C$36^2)))+Inputs!$C$37*(0.55*SIN(2*PI()*(Scenario_Data!W60)/Inputs!$C$39)+0.35*COS(2*PI()*(0)/Inputs!$C$40)+0.2*SIN(2*PI()*((Scenario_Data!W60)+(0))/(0.5*(Inputs!$C$39+Inputs!$C$40))))+Inputs!$C$38*SIN(2*PI()*(Scenario_Data!W60)/Inputs!$C$39)*SIN(2*PI()*(0)/Inputs!$C$40)+-Inputs!$C$41*EXP(-(((0)-Inputs!$C$43)^2)/(2*Inputs!$C$44^2))*EXP(-(((Scenario_Data!W60)-Inputs!$C$42)^2)/(2*Inputs!$C$45^2))+Inputs!$C$48*(0.7*(0.45*SIN(2*PI()*(((Scenario_Data!W60)/Inputs!$C$49)+Inputs!$C$47*0.137))+0.35*COS(2*PI()*(((0)/Inputs!$C$50)+Inputs!$C$47*0.173))+0.2*SIN(2*PI()*((((Scenario_Data!W60)+(0))/(0.5*(Inputs!$C$49+Inputs!$C$50)))+Inputs!$C$47*0.097)))+0.3*(2*((SIN(((Scenario_Data!W60)*12.9898+(0)*78.233+Inputs!$C$47*37.719))*43758.5453)-INT((SIN(((Scenario_Data!W60)*12.9898+(0)*78.233+Inputs!$C$47*37.719))*43758.5453)))-1)))))/Inputs!$C$21*1000000</f>
        <v/>
      </c>
      <c r="AG60">
        <f>Scenario_Data!T60</f>
        <v/>
      </c>
      <c r="AH60">
        <f>2*(SQRT((Inputs!$C$52+(Scenario_Data!B60))^2+Inputs!$C$52^2-2*(Inputs!$C$52+(Scenario_Data!B60))*Inputs!$C$52*COS(SQRT((Scenario_Data!T60)^2+Inputs!$C$6^2)/Inputs!$C$52))*1000)/Inputs!$C$21*1000000</f>
        <v/>
      </c>
      <c r="AI60">
        <f>Scenario_Data!U60</f>
        <v/>
      </c>
      <c r="AJ60">
        <f>2*(SQRT((Inputs!$C$52+(Scenario_Data!C60))^2+Inputs!$C$52^2-2*(Inputs!$C$52+(Scenario_Data!C60))*Inputs!$C$52*COS(SQRT((Scenario_Data!U60)^2+Inputs!$C$6^2)/Inputs!$C$52))*1000)/Inputs!$C$21*1000000</f>
        <v/>
      </c>
      <c r="AK60">
        <f>Scenario_Data!V60</f>
        <v/>
      </c>
      <c r="AL60">
        <f>2*(SQRT((Inputs!$C$52+(Scenario_Data!D60))^2+Inputs!$C$52^2-2*(Inputs!$C$52+(Scenario_Data!D60))*Inputs!$C$52*COS(SQRT((Scenario_Data!V60)^2+Inputs!$C$6^2)/Inputs!$C$52))*1000)/Inputs!$C$21*1000000</f>
        <v/>
      </c>
      <c r="AM60">
        <f>Scenario_Data!W60</f>
        <v/>
      </c>
      <c r="AN60">
        <f>2*(SQRT((Inputs!$C$52+(Scenario_Data!E60))^2+Inputs!$C$52^2-2*(Inputs!$C$52+(Scenario_Data!E60))*Inputs!$C$52*COS(SQRT((Scenario_Data!W60)^2+Inputs!$C$6^2)/Inputs!$C$52))*1000)/Inputs!$C$21*1000000</f>
        <v/>
      </c>
      <c r="AP60">
        <f>Scenario_Data!T60</f>
        <v/>
      </c>
      <c r="AQ60">
        <f>2*(SQRT((Inputs!$C$52+(Scenario_Data!B60))^2+(Inputs!$C$52+((IF(OR(Inputs!$C$27=TRUE,Inputs!$C$27="TRUE",Inputs!$C$27=1),1,0)*(Inputs!$C$51*(115*EXP(-(((Inputs!$C$6)-25)^2)/(4.5^2))+70*EXP(-(((Inputs!$C$6)+38)^2)/(7^2))*(0.55+0.45*SIN(2*PI()*(Scenario_Data!T60)/45))+24*SIN(2*PI()*(Inputs!$C$6)/9+(Scenario_Data!T60)/18)*EXP(-(((Inputs!$C$6)+5)^2)/(22^2))+18*SIN(2*PI()*(Scenario_Data!T60)/70))+Inputs!$C$28*EXP(-(((Scenario_Data!T60)-Inputs!$C$29)^2)/(2*Inputs!$C$31^2))*EXP(-(((Inputs!$C$6)-Inputs!$C$30)^2)/(2*Inputs!$C$32^2))+-Inputs!$C$33*EXP(-(((((Scenario_Data!T60)-Inputs!$C$34)^2)+(((Inputs!$C$6)-Inputs!$C$35)^2))/(2*Inputs!$C$36^2)))+Inputs!$C$37*(0.55*SIN(2*PI()*(Scenario_Data!T60)/Inputs!$C$39)+0.35*COS(2*PI()*(Inputs!$C$6)/Inputs!$C$40)+0.2*SIN(2*PI()*((Scenario_Data!T60)+(Inputs!$C$6))/(0.5*(Inputs!$C$39+Inputs!$C$40))))+Inputs!$C$38*SIN(2*PI()*(Scenario_Data!T60)/Inputs!$C$39)*SIN(2*PI()*(Inputs!$C$6)/Inputs!$C$40)+-Inputs!$C$41*EXP(-(((Inputs!$C$6)-Inputs!$C$43)^2)/(2*Inputs!$C$44^2))*EXP(-(((Scenario_Data!T60)-Inputs!$C$42)^2)/(2*Inputs!$C$45^2))+Inputs!$C$48*(0.7*(0.45*SIN(2*PI()*(((Scenario_Data!T60)/Inputs!$C$49)+Inputs!$C$47*0.137))+0.35*COS(2*PI()*(((Inputs!$C$6)/Inputs!$C$50)+Inputs!$C$47*0.173))+0.2*SIN(2*PI()*((((Scenario_Data!T60)+(Inputs!$C$6))/(0.5*(Inputs!$C$49+Inputs!$C$50)))+Inputs!$C$47*0.097)))+0.3*(2*((SIN(((Scenario_Data!T60)*12.9898+(Inputs!$C$6)*78.233+Inputs!$C$47*37.719))*43758.5453)-INT((SIN(((Scenario_Data!T60)*12.9898+(Inputs!$C$6)*78.233+Inputs!$C$47*37.719))*43758.5453)))-1))))/1000))^2-2*(Inputs!$C$52+(Scenario_Data!B60))*(Inputs!$C$52+((IF(OR(Inputs!$C$27=TRUE,Inputs!$C$27="TRUE",Inputs!$C$27=1),1,0)*(Inputs!$C$51*(115*EXP(-(((Inputs!$C$6)-25)^2)/(4.5^2))+70*EXP(-(((Inputs!$C$6)+38)^2)/(7^2))*(0.55+0.45*SIN(2*PI()*(Scenario_Data!T60)/45))+24*SIN(2*PI()*(Inputs!$C$6)/9+(Scenario_Data!T60)/18)*EXP(-(((Inputs!$C$6)+5)^2)/(22^2))+18*SIN(2*PI()*(Scenario_Data!T60)/70))+Inputs!$C$28*EXP(-(((Scenario_Data!T60)-Inputs!$C$29)^2)/(2*Inputs!$C$31^2))*EXP(-(((Inputs!$C$6)-Inputs!$C$30)^2)/(2*Inputs!$C$32^2))+-Inputs!$C$33*EXP(-(((((Scenario_Data!T60)-Inputs!$C$34)^2)+(((Inputs!$C$6)-Inputs!$C$35)^2))/(2*Inputs!$C$36^2)))+Inputs!$C$37*(0.55*SIN(2*PI()*(Scenario_Data!T60)/Inputs!$C$39)+0.35*COS(2*PI()*(Inputs!$C$6)/Inputs!$C$40)+0.2*SIN(2*PI()*((Scenario_Data!T60)+(Inputs!$C$6))/(0.5*(Inputs!$C$39+Inputs!$C$40))))+Inputs!$C$38*SIN(2*PI()*(Scenario_Data!T60)/Inputs!$C$39)*SIN(2*PI()*(Inputs!$C$6)/Inputs!$C$40)+-Inputs!$C$41*EXP(-(((Inputs!$C$6)-Inputs!$C$43)^2)/(2*Inputs!$C$44^2))*EXP(-(((Scenario_Data!T60)-Inputs!$C$42)^2)/(2*Inputs!$C$45^2))+Inputs!$C$48*(0.7*(0.45*SIN(2*PI()*(((Scenario_Data!T60)/Inputs!$C$49)+Inputs!$C$47*0.137))+0.35*COS(2*PI()*(((Inputs!$C$6)/Inputs!$C$50)+Inputs!$C$47*0.173))+0.2*SIN(2*PI()*((((Scenario_Data!T60)+(Inputs!$C$6))/(0.5*(Inputs!$C$49+Inputs!$C$50)))+Inputs!$C$47*0.097)))+0.3*(2*((SIN(((Scenario_Data!T60)*12.9898+(Inputs!$C$6)*78.233+Inputs!$C$47*37.719))*43758.5453)-INT((SIN(((Scenario_Data!T60)*12.9898+(Inputs!$C$6)*78.233+Inputs!$C$47*37.719))*43758.5453)))-1))))/1000))*COS(SQRT((Scenario_Data!T60)^2+Inputs!$C$6^2)/Inputs!$C$52))*1000)/Inputs!$C$21*1000000</f>
        <v/>
      </c>
      <c r="AR60">
        <f>Scenario_Data!U60</f>
        <v/>
      </c>
      <c r="AS60">
        <f>2*(SQRT((Inputs!$C$52+(Scenario_Data!C60))^2+(Inputs!$C$52+((IF(OR(Inputs!$C$27=TRUE,Inputs!$C$27="TRUE",Inputs!$C$27=1),1,0)*(Inputs!$C$51*(115*EXP(-(((Inputs!$C$6)-25)^2)/(4.5^2))+70*EXP(-(((Inputs!$C$6)+38)^2)/(7^2))*(0.55+0.45*SIN(2*PI()*(Scenario_Data!U60)/45))+24*SIN(2*PI()*(Inputs!$C$6)/9+(Scenario_Data!U60)/18)*EXP(-(((Inputs!$C$6)+5)^2)/(22^2))+18*SIN(2*PI()*(Scenario_Data!U60)/70))+Inputs!$C$28*EXP(-(((Scenario_Data!U60)-Inputs!$C$29)^2)/(2*Inputs!$C$31^2))*EXP(-(((Inputs!$C$6)-Inputs!$C$30)^2)/(2*Inputs!$C$32^2))+-Inputs!$C$33*EXP(-(((((Scenario_Data!U60)-Inputs!$C$34)^2)+(((Inputs!$C$6)-Inputs!$C$35)^2))/(2*Inputs!$C$36^2)))+Inputs!$C$37*(0.55*SIN(2*PI()*(Scenario_Data!U60)/Inputs!$C$39)+0.35*COS(2*PI()*(Inputs!$C$6)/Inputs!$C$40)+0.2*SIN(2*PI()*((Scenario_Data!U60)+(Inputs!$C$6))/(0.5*(Inputs!$C$39+Inputs!$C$40))))+Inputs!$C$38*SIN(2*PI()*(Scenario_Data!U60)/Inputs!$C$39)*SIN(2*PI()*(Inputs!$C$6)/Inputs!$C$40)+-Inputs!$C$41*EXP(-(((Inputs!$C$6)-Inputs!$C$43)^2)/(2*Inputs!$C$44^2))*EXP(-(((Scenario_Data!U60)-Inputs!$C$42)^2)/(2*Inputs!$C$45^2))+Inputs!$C$48*(0.7*(0.45*SIN(2*PI()*(((Scenario_Data!U60)/Inputs!$C$49)+Inputs!$C$47*0.137))+0.35*COS(2*PI()*(((Inputs!$C$6)/Inputs!$C$50)+Inputs!$C$47*0.173))+0.2*SIN(2*PI()*((((Scenario_Data!U60)+(Inputs!$C$6))/(0.5*(Inputs!$C$49+Inputs!$C$50)))+Inputs!$C$47*0.097)))+0.3*(2*((SIN(((Scenario_Data!U60)*12.9898+(Inputs!$C$6)*78.233+Inputs!$C$47*37.719))*43758.5453)-INT((SIN(((Scenario_Data!U60)*12.9898+(Inputs!$C$6)*78.233+Inputs!$C$47*37.719))*43758.5453)))-1))))/1000))^2-2*(Inputs!$C$52+(Scenario_Data!C60))*(Inputs!$C$52+((IF(OR(Inputs!$C$27=TRUE,Inputs!$C$27="TRUE",Inputs!$C$27=1),1,0)*(Inputs!$C$51*(115*EXP(-(((Inputs!$C$6)-25)^2)/(4.5^2))+70*EXP(-(((Inputs!$C$6)+38)^2)/(7^2))*(0.55+0.45*SIN(2*PI()*(Scenario_Data!U60)/45))+24*SIN(2*PI()*(Inputs!$C$6)/9+(Scenario_Data!U60)/18)*EXP(-(((Inputs!$C$6)+5)^2)/(22^2))+18*SIN(2*PI()*(Scenario_Data!U60)/70))+Inputs!$C$28*EXP(-(((Scenario_Data!U60)-Inputs!$C$29)^2)/(2*Inputs!$C$31^2))*EXP(-(((Inputs!$C$6)-Inputs!$C$30)^2)/(2*Inputs!$C$32^2))+-Inputs!$C$33*EXP(-(((((Scenario_Data!U60)-Inputs!$C$34)^2)+(((Inputs!$C$6)-Inputs!$C$35)^2))/(2*Inputs!$C$36^2)))+Inputs!$C$37*(0.55*SIN(2*PI()*(Scenario_Data!U60)/Inputs!$C$39)+0.35*COS(2*PI()*(Inputs!$C$6)/Inputs!$C$40)+0.2*SIN(2*PI()*((Scenario_Data!U60)+(Inputs!$C$6))/(0.5*(Inputs!$C$39+Inputs!$C$40))))+Inputs!$C$38*SIN(2*PI()*(Scenario_Data!U60)/Inputs!$C$39)*SIN(2*PI()*(Inputs!$C$6)/Inputs!$C$40)+-Inputs!$C$41*EXP(-(((Inputs!$C$6)-Inputs!$C$43)^2)/(2*Inputs!$C$44^2))*EXP(-(((Scenario_Data!U60)-Inputs!$C$42)^2)/(2*Inputs!$C$45^2))+Inputs!$C$48*(0.7*(0.45*SIN(2*PI()*(((Scenario_Data!U60)/Inputs!$C$49)+Inputs!$C$47*0.137))+0.35*COS(2*PI()*(((Inputs!$C$6)/Inputs!$C$50)+Inputs!$C$47*0.173))+0.2*SIN(2*PI()*((((Scenario_Data!U60)+(Inputs!$C$6))/(0.5*(Inputs!$C$49+Inputs!$C$50)))+Inputs!$C$47*0.097)))+0.3*(2*((SIN(((Scenario_Data!U60)*12.9898+(Inputs!$C$6)*78.233+Inputs!$C$47*37.719))*43758.5453)-INT((SIN(((Scenario_Data!U60)*12.9898+(Inputs!$C$6)*78.233+Inputs!$C$47*37.719))*43758.5453)))-1))))/1000))*COS(SQRT((Scenario_Data!U60)^2+Inputs!$C$6^2)/Inputs!$C$52))*1000)/Inputs!$C$21*1000000</f>
        <v/>
      </c>
      <c r="AT60">
        <f>Scenario_Data!V60</f>
        <v/>
      </c>
      <c r="AU60">
        <f>2*(SQRT((Inputs!$C$52+(Scenario_Data!D60))^2+(Inputs!$C$52+((IF(OR(Inputs!$C$27=TRUE,Inputs!$C$27="TRUE",Inputs!$C$27=1),1,0)*(Inputs!$C$51*(115*EXP(-(((Inputs!$C$6)-25)^2)/(4.5^2))+70*EXP(-(((Inputs!$C$6)+38)^2)/(7^2))*(0.55+0.45*SIN(2*PI()*(Scenario_Data!V60)/45))+24*SIN(2*PI()*(Inputs!$C$6)/9+(Scenario_Data!V60)/18)*EXP(-(((Inputs!$C$6)+5)^2)/(22^2))+18*SIN(2*PI()*(Scenario_Data!V60)/70))+Inputs!$C$28*EXP(-(((Scenario_Data!V60)-Inputs!$C$29)^2)/(2*Inputs!$C$31^2))*EXP(-(((Inputs!$C$6)-Inputs!$C$30)^2)/(2*Inputs!$C$32^2))+-Inputs!$C$33*EXP(-(((((Scenario_Data!V60)-Inputs!$C$34)^2)+(((Inputs!$C$6)-Inputs!$C$35)^2))/(2*Inputs!$C$36^2)))+Inputs!$C$37*(0.55*SIN(2*PI()*(Scenario_Data!V60)/Inputs!$C$39)+0.35*COS(2*PI()*(Inputs!$C$6)/Inputs!$C$40)+0.2*SIN(2*PI()*((Scenario_Data!V60)+(Inputs!$C$6))/(0.5*(Inputs!$C$39+Inputs!$C$40))))+Inputs!$C$38*SIN(2*PI()*(Scenario_Data!V60)/Inputs!$C$39)*SIN(2*PI()*(Inputs!$C$6)/Inputs!$C$40)+-Inputs!$C$41*EXP(-(((Inputs!$C$6)-Inputs!$C$43)^2)/(2*Inputs!$C$44^2))*EXP(-(((Scenario_Data!V60)-Inputs!$C$42)^2)/(2*Inputs!$C$45^2))+Inputs!$C$48*(0.7*(0.45*SIN(2*PI()*(((Scenario_Data!V60)/Inputs!$C$49)+Inputs!$C$47*0.137))+0.35*COS(2*PI()*(((Inputs!$C$6)/Inputs!$C$50)+Inputs!$C$47*0.173))+0.2*SIN(2*PI()*((((Scenario_Data!V60)+(Inputs!$C$6))/(0.5*(Inputs!$C$49+Inputs!$C$50)))+Inputs!$C$47*0.097)))+0.3*(2*((SIN(((Scenario_Data!V60)*12.9898+(Inputs!$C$6)*78.233+Inputs!$C$47*37.719))*43758.5453)-INT((SIN(((Scenario_Data!V60)*12.9898+(Inputs!$C$6)*78.233+Inputs!$C$47*37.719))*43758.5453)))-1))))/1000))^2-2*(Inputs!$C$52+(Scenario_Data!D60))*(Inputs!$C$52+((IF(OR(Inputs!$C$27=TRUE,Inputs!$C$27="TRUE",Inputs!$C$27=1),1,0)*(Inputs!$C$51*(115*EXP(-(((Inputs!$C$6)-25)^2)/(4.5^2))+70*EXP(-(((Inputs!$C$6)+38)^2)/(7^2))*(0.55+0.45*SIN(2*PI()*(Scenario_Data!V60)/45))+24*SIN(2*PI()*(Inputs!$C$6)/9+(Scenario_Data!V60)/18)*EXP(-(((Inputs!$C$6)+5)^2)/(22^2))+18*SIN(2*PI()*(Scenario_Data!V60)/70))+Inputs!$C$28*EXP(-(((Scenario_Data!V60)-Inputs!$C$29)^2)/(2*Inputs!$C$31^2))*EXP(-(((Inputs!$C$6)-Inputs!$C$30)^2)/(2*Inputs!$C$32^2))+-Inputs!$C$33*EXP(-(((((Scenario_Data!V60)-Inputs!$C$34)^2)+(((Inputs!$C$6)-Inputs!$C$35)^2))/(2*Inputs!$C$36^2)))+Inputs!$C$37*(0.55*SIN(2*PI()*(Scenario_Data!V60)/Inputs!$C$39)+0.35*COS(2*PI()*(Inputs!$C$6)/Inputs!$C$40)+0.2*SIN(2*PI()*((Scenario_Data!V60)+(Inputs!$C$6))/(0.5*(Inputs!$C$39+Inputs!$C$40))))+Inputs!$C$38*SIN(2*PI()*(Scenario_Data!V60)/Inputs!$C$39)*SIN(2*PI()*(Inputs!$C$6)/Inputs!$C$40)+-Inputs!$C$41*EXP(-(((Inputs!$C$6)-Inputs!$C$43)^2)/(2*Inputs!$C$44^2))*EXP(-(((Scenario_Data!V60)-Inputs!$C$42)^2)/(2*Inputs!$C$45^2))+Inputs!$C$48*(0.7*(0.45*SIN(2*PI()*(((Scenario_Data!V60)/Inputs!$C$49)+Inputs!$C$47*0.137))+0.35*COS(2*PI()*(((Inputs!$C$6)/Inputs!$C$50)+Inputs!$C$47*0.173))+0.2*SIN(2*PI()*((((Scenario_Data!V60)+(Inputs!$C$6))/(0.5*(Inputs!$C$49+Inputs!$C$50)))+Inputs!$C$47*0.097)))+0.3*(2*((SIN(((Scenario_Data!V60)*12.9898+(Inputs!$C$6)*78.233+Inputs!$C$47*37.719))*43758.5453)-INT((SIN(((Scenario_Data!V60)*12.9898+(Inputs!$C$6)*78.233+Inputs!$C$47*37.719))*43758.5453)))-1))))/1000))*COS(SQRT((Scenario_Data!V60)^2+Inputs!$C$6^2)/Inputs!$C$52))*1000)/Inputs!$C$21*1000000</f>
        <v/>
      </c>
      <c r="AV60">
        <f>Scenario_Data!W60</f>
        <v/>
      </c>
      <c r="AW60">
        <f>2*(SQRT((Inputs!$C$52+(Scenario_Data!E60))^2+(Inputs!$C$52+((IF(OR(Inputs!$C$27=TRUE,Inputs!$C$27="TRUE",Inputs!$C$27=1),1,0)*(Inputs!$C$51*(115*EXP(-(((Inputs!$C$6)-25)^2)/(4.5^2))+70*EXP(-(((Inputs!$C$6)+38)^2)/(7^2))*(0.55+0.45*SIN(2*PI()*(Scenario_Data!W60)/45))+24*SIN(2*PI()*(Inputs!$C$6)/9+(Scenario_Data!W60)/18)*EXP(-(((Inputs!$C$6)+5)^2)/(22^2))+18*SIN(2*PI()*(Scenario_Data!W60)/70))+Inputs!$C$28*EXP(-(((Scenario_Data!W60)-Inputs!$C$29)^2)/(2*Inputs!$C$31^2))*EXP(-(((Inputs!$C$6)-Inputs!$C$30)^2)/(2*Inputs!$C$32^2))+-Inputs!$C$33*EXP(-(((((Scenario_Data!W60)-Inputs!$C$34)^2)+(((Inputs!$C$6)-Inputs!$C$35)^2))/(2*Inputs!$C$36^2)))+Inputs!$C$37*(0.55*SIN(2*PI()*(Scenario_Data!W60)/Inputs!$C$39)+0.35*COS(2*PI()*(Inputs!$C$6)/Inputs!$C$40)+0.2*SIN(2*PI()*((Scenario_Data!W60)+(Inputs!$C$6))/(0.5*(Inputs!$C$39+Inputs!$C$40))))+Inputs!$C$38*SIN(2*PI()*(Scenario_Data!W60)/Inputs!$C$39)*SIN(2*PI()*(Inputs!$C$6)/Inputs!$C$40)+-Inputs!$C$41*EXP(-(((Inputs!$C$6)-Inputs!$C$43)^2)/(2*Inputs!$C$44^2))*EXP(-(((Scenario_Data!W60)-Inputs!$C$42)^2)/(2*Inputs!$C$45^2))+Inputs!$C$48*(0.7*(0.45*SIN(2*PI()*(((Scenario_Data!W60)/Inputs!$C$49)+Inputs!$C$47*0.137))+0.35*COS(2*PI()*(((Inputs!$C$6)/Inputs!$C$50)+Inputs!$C$47*0.173))+0.2*SIN(2*PI()*((((Scenario_Data!W60)+(Inputs!$C$6))/(0.5*(Inputs!$C$49+Inputs!$C$50)))+Inputs!$C$47*0.097)))+0.3*(2*((SIN(((Scenario_Data!W60)*12.9898+(Inputs!$C$6)*78.233+Inputs!$C$47*37.719))*43758.5453)-INT((SIN(((Scenario_Data!W60)*12.9898+(Inputs!$C$6)*78.233+Inputs!$C$47*37.719))*43758.5453)))-1))))/1000))^2-2*(Inputs!$C$52+(Scenario_Data!E60))*(Inputs!$C$52+((IF(OR(Inputs!$C$27=TRUE,Inputs!$C$27="TRUE",Inputs!$C$27=1),1,0)*(Inputs!$C$51*(115*EXP(-(((Inputs!$C$6)-25)^2)/(4.5^2))+70*EXP(-(((Inputs!$C$6)+38)^2)/(7^2))*(0.55+0.45*SIN(2*PI()*(Scenario_Data!W60)/45))+24*SIN(2*PI()*(Inputs!$C$6)/9+(Scenario_Data!W60)/18)*EXP(-(((Inputs!$C$6)+5)^2)/(22^2))+18*SIN(2*PI()*(Scenario_Data!W60)/70))+Inputs!$C$28*EXP(-(((Scenario_Data!W60)-Inputs!$C$29)^2)/(2*Inputs!$C$31^2))*EXP(-(((Inputs!$C$6)-Inputs!$C$30)^2)/(2*Inputs!$C$32^2))+-Inputs!$C$33*EXP(-(((((Scenario_Data!W60)-Inputs!$C$34)^2)+(((Inputs!$C$6)-Inputs!$C$35)^2))/(2*Inputs!$C$36^2)))+Inputs!$C$37*(0.55*SIN(2*PI()*(Scenario_Data!W60)/Inputs!$C$39)+0.35*COS(2*PI()*(Inputs!$C$6)/Inputs!$C$40)+0.2*SIN(2*PI()*((Scenario_Data!W60)+(Inputs!$C$6))/(0.5*(Inputs!$C$39+Inputs!$C$40))))+Inputs!$C$38*SIN(2*PI()*(Scenario_Data!W60)/Inputs!$C$39)*SIN(2*PI()*(Inputs!$C$6)/Inputs!$C$40)+-Inputs!$C$41*EXP(-(((Inputs!$C$6)-Inputs!$C$43)^2)/(2*Inputs!$C$44^2))*EXP(-(((Scenario_Data!W60)-Inputs!$C$42)^2)/(2*Inputs!$C$45^2))+Inputs!$C$48*(0.7*(0.45*SIN(2*PI()*(((Scenario_Data!W60)/Inputs!$C$49)+Inputs!$C$47*0.137))+0.35*COS(2*PI()*(((Inputs!$C$6)/Inputs!$C$50)+Inputs!$C$47*0.173))+0.2*SIN(2*PI()*((((Scenario_Data!W60)+(Inputs!$C$6))/(0.5*(Inputs!$C$49+Inputs!$C$50)))+Inputs!$C$47*0.097)))+0.3*(2*((SIN(((Scenario_Data!W60)*12.9898+(Inputs!$C$6)*78.233+Inputs!$C$47*37.719))*43758.5453)-INT((SIN(((Scenario_Data!W60)*12.9898+(Inputs!$C$6)*78.233+Inputs!$C$47*37.719))*43758.5453)))-1))))/1000))*COS(SQRT((Scenario_Data!W60)^2+Inputs!$C$6^2)/Inputs!$C$52))*1000)/Inputs!$C$21*1000000</f>
        <v/>
      </c>
    </row>
    <row r="61">
      <c r="A61">
        <f>Chart_Data!K61</f>
        <v/>
      </c>
      <c r="B61">
        <f>Chart_Data!N61-Chart_Data!L61</f>
        <v/>
      </c>
      <c r="D61">
        <f>Chart_Data!G61</f>
        <v/>
      </c>
      <c r="E61">
        <f>Chart_Data!H61</f>
        <v/>
      </c>
      <c r="F61">
        <f>Chart_Data!I61</f>
        <v/>
      </c>
      <c r="G61">
        <f>Chart_Data!J61</f>
        <v/>
      </c>
      <c r="I61">
        <f>Scenario_Data!A61</f>
        <v/>
      </c>
      <c r="J61">
        <f>Scenario_Data!H61-(((SQRT((Inputs!$C$52+(Inputs!$H$6))^2+Inputs!$C$52^2-2*(Inputs!$C$52+(Inputs!$H$6))*Inputs!$C$52*COS(SQRT((Scenario_Data!T61)^2+Inputs!$C$6^2)/Inputs!$C$52)))-(Inputs!$H$6))*1000/Inputs!$C$12)</f>
        <v/>
      </c>
      <c r="K61">
        <f>Scenario_Data!I61-(((SQRT((Inputs!$C$52+(Inputs!$H$7))^2+Inputs!$C$52^2-2*(Inputs!$C$52+(Inputs!$H$7))*Inputs!$C$52*COS(SQRT((Scenario_Data!U61)^2+Inputs!$C$6^2)/Inputs!$C$52)))-(Inputs!$H$7))*1000/Inputs!$C$12)</f>
        <v/>
      </c>
      <c r="L61">
        <f>Scenario_Data!J61-(((SQRT((Inputs!$C$52+(Inputs!$H$8))^2+Inputs!$C$52^2-2*(Inputs!$C$52+(Inputs!$H$8))*Inputs!$C$52*COS(SQRT((Scenario_Data!V61)^2+Inputs!$C$6^2)/Inputs!$C$52)))-(Inputs!$H$8))*1000/Inputs!$C$12)</f>
        <v/>
      </c>
      <c r="M61">
        <f>Scenario_Data!K61-(((SQRT((Inputs!$C$52+(Inputs!$H$9))^2+Inputs!$C$52^2-2*(Inputs!$C$52+(Inputs!$H$9))*Inputs!$C$52*COS(SQRT((Scenario_Data!W61)^2+Inputs!$C$6^2)/Inputs!$C$52)))-(Inputs!$H$9))*1000/Inputs!$C$12)</f>
        <v/>
      </c>
      <c r="O61">
        <f>Scenario_Data!T61</f>
        <v/>
      </c>
      <c r="P61">
        <f>2*(Scenario_Data!B61*1000)/Inputs!$C$21*1000000</f>
        <v/>
      </c>
      <c r="Q61">
        <f>Scenario_Data!U61</f>
        <v/>
      </c>
      <c r="R61">
        <f>2*(Scenario_Data!C61*1000)/Inputs!$C$21*1000000</f>
        <v/>
      </c>
      <c r="S61">
        <f>Scenario_Data!V61</f>
        <v/>
      </c>
      <c r="T61">
        <f>2*(Scenario_Data!D61*1000)/Inputs!$C$21*1000000</f>
        <v/>
      </c>
      <c r="U61">
        <f>Scenario_Data!W61</f>
        <v/>
      </c>
      <c r="V61">
        <f>2*(Scenario_Data!E61*1000)/Inputs!$C$21*1000000</f>
        <v/>
      </c>
      <c r="X61">
        <f>Scenario_Data!T61</f>
        <v/>
      </c>
      <c r="Y61">
        <f>2*((Scenario_Data!B61*1000)-(IF(OR(Inputs!$C$27=TRUE,Inputs!$C$27="TRUE",Inputs!$C$27=1),1,0)*(Inputs!$C$51*(115*EXP(-(((0)-25)^2)/(4.5^2))+70*EXP(-(((0)+38)^2)/(7^2))*(0.55+0.45*SIN(2*PI()*(Scenario_Data!T61)/45))+24*SIN(2*PI()*(0)/9+(Scenario_Data!T61)/18)*EXP(-(((0)+5)^2)/(22^2))+18*SIN(2*PI()*(Scenario_Data!T61)/70))+Inputs!$C$28*EXP(-(((Scenario_Data!T61)-Inputs!$C$29)^2)/(2*Inputs!$C$31^2))*EXP(-(((0)-Inputs!$C$30)^2)/(2*Inputs!$C$32^2))+-Inputs!$C$33*EXP(-(((((Scenario_Data!T61)-Inputs!$C$34)^2)+(((0)-Inputs!$C$35)^2))/(2*Inputs!$C$36^2)))+Inputs!$C$37*(0.55*SIN(2*PI()*(Scenario_Data!T61)/Inputs!$C$39)+0.35*COS(2*PI()*(0)/Inputs!$C$40)+0.2*SIN(2*PI()*((Scenario_Data!T61)+(0))/(0.5*(Inputs!$C$39+Inputs!$C$40))))+Inputs!$C$38*SIN(2*PI()*(Scenario_Data!T61)/Inputs!$C$39)*SIN(2*PI()*(0)/Inputs!$C$40)+-Inputs!$C$41*EXP(-(((0)-Inputs!$C$43)^2)/(2*Inputs!$C$44^2))*EXP(-(((Scenario_Data!T61)-Inputs!$C$42)^2)/(2*Inputs!$C$45^2))+Inputs!$C$48*(0.7*(0.45*SIN(2*PI()*(((Scenario_Data!T61)/Inputs!$C$49)+Inputs!$C$47*0.137))+0.35*COS(2*PI()*(((0)/Inputs!$C$50)+Inputs!$C$47*0.173))+0.2*SIN(2*PI()*((((Scenario_Data!T61)+(0))/(0.5*(Inputs!$C$49+Inputs!$C$50)))+Inputs!$C$47*0.097)))+0.3*(2*((SIN(((Scenario_Data!T61)*12.9898+(0)*78.233+Inputs!$C$47*37.719))*43758.5453)-INT((SIN(((Scenario_Data!T61)*12.9898+(0)*78.233+Inputs!$C$47*37.719))*43758.5453)))-1)))))/Inputs!$C$21*1000000</f>
        <v/>
      </c>
      <c r="Z61">
        <f>Scenario_Data!U61</f>
        <v/>
      </c>
      <c r="AA61">
        <f>2*((Scenario_Data!C61*1000)-(IF(OR(Inputs!$C$27=TRUE,Inputs!$C$27="TRUE",Inputs!$C$27=1),1,0)*(Inputs!$C$51*(115*EXP(-(((0)-25)^2)/(4.5^2))+70*EXP(-(((0)+38)^2)/(7^2))*(0.55+0.45*SIN(2*PI()*(Scenario_Data!U61)/45))+24*SIN(2*PI()*(0)/9+(Scenario_Data!U61)/18)*EXP(-(((0)+5)^2)/(22^2))+18*SIN(2*PI()*(Scenario_Data!U61)/70))+Inputs!$C$28*EXP(-(((Scenario_Data!U61)-Inputs!$C$29)^2)/(2*Inputs!$C$31^2))*EXP(-(((0)-Inputs!$C$30)^2)/(2*Inputs!$C$32^2))+-Inputs!$C$33*EXP(-(((((Scenario_Data!U61)-Inputs!$C$34)^2)+(((0)-Inputs!$C$35)^2))/(2*Inputs!$C$36^2)))+Inputs!$C$37*(0.55*SIN(2*PI()*(Scenario_Data!U61)/Inputs!$C$39)+0.35*COS(2*PI()*(0)/Inputs!$C$40)+0.2*SIN(2*PI()*((Scenario_Data!U61)+(0))/(0.5*(Inputs!$C$39+Inputs!$C$40))))+Inputs!$C$38*SIN(2*PI()*(Scenario_Data!U61)/Inputs!$C$39)*SIN(2*PI()*(0)/Inputs!$C$40)+-Inputs!$C$41*EXP(-(((0)-Inputs!$C$43)^2)/(2*Inputs!$C$44^2))*EXP(-(((Scenario_Data!U61)-Inputs!$C$42)^2)/(2*Inputs!$C$45^2))+Inputs!$C$48*(0.7*(0.45*SIN(2*PI()*(((Scenario_Data!U61)/Inputs!$C$49)+Inputs!$C$47*0.137))+0.35*COS(2*PI()*(((0)/Inputs!$C$50)+Inputs!$C$47*0.173))+0.2*SIN(2*PI()*((((Scenario_Data!U61)+(0))/(0.5*(Inputs!$C$49+Inputs!$C$50)))+Inputs!$C$47*0.097)))+0.3*(2*((SIN(((Scenario_Data!U61)*12.9898+(0)*78.233+Inputs!$C$47*37.719))*43758.5453)-INT((SIN(((Scenario_Data!U61)*12.9898+(0)*78.233+Inputs!$C$47*37.719))*43758.5453)))-1)))))/Inputs!$C$21*1000000</f>
        <v/>
      </c>
      <c r="AB61">
        <f>Scenario_Data!V61</f>
        <v/>
      </c>
      <c r="AC61">
        <f>2*((Scenario_Data!D61*1000)-(IF(OR(Inputs!$C$27=TRUE,Inputs!$C$27="TRUE",Inputs!$C$27=1),1,0)*(Inputs!$C$51*(115*EXP(-(((0)-25)^2)/(4.5^2))+70*EXP(-(((0)+38)^2)/(7^2))*(0.55+0.45*SIN(2*PI()*(Scenario_Data!V61)/45))+24*SIN(2*PI()*(0)/9+(Scenario_Data!V61)/18)*EXP(-(((0)+5)^2)/(22^2))+18*SIN(2*PI()*(Scenario_Data!V61)/70))+Inputs!$C$28*EXP(-(((Scenario_Data!V61)-Inputs!$C$29)^2)/(2*Inputs!$C$31^2))*EXP(-(((0)-Inputs!$C$30)^2)/(2*Inputs!$C$32^2))+-Inputs!$C$33*EXP(-(((((Scenario_Data!V61)-Inputs!$C$34)^2)+(((0)-Inputs!$C$35)^2))/(2*Inputs!$C$36^2)))+Inputs!$C$37*(0.55*SIN(2*PI()*(Scenario_Data!V61)/Inputs!$C$39)+0.35*COS(2*PI()*(0)/Inputs!$C$40)+0.2*SIN(2*PI()*((Scenario_Data!V61)+(0))/(0.5*(Inputs!$C$39+Inputs!$C$40))))+Inputs!$C$38*SIN(2*PI()*(Scenario_Data!V61)/Inputs!$C$39)*SIN(2*PI()*(0)/Inputs!$C$40)+-Inputs!$C$41*EXP(-(((0)-Inputs!$C$43)^2)/(2*Inputs!$C$44^2))*EXP(-(((Scenario_Data!V61)-Inputs!$C$42)^2)/(2*Inputs!$C$45^2))+Inputs!$C$48*(0.7*(0.45*SIN(2*PI()*(((Scenario_Data!V61)/Inputs!$C$49)+Inputs!$C$47*0.137))+0.35*COS(2*PI()*(((0)/Inputs!$C$50)+Inputs!$C$47*0.173))+0.2*SIN(2*PI()*((((Scenario_Data!V61)+(0))/(0.5*(Inputs!$C$49+Inputs!$C$50)))+Inputs!$C$47*0.097)))+0.3*(2*((SIN(((Scenario_Data!V61)*12.9898+(0)*78.233+Inputs!$C$47*37.719))*43758.5453)-INT((SIN(((Scenario_Data!V61)*12.9898+(0)*78.233+Inputs!$C$47*37.719))*43758.5453)))-1)))))/Inputs!$C$21*1000000</f>
        <v/>
      </c>
      <c r="AD61">
        <f>Scenario_Data!W61</f>
        <v/>
      </c>
      <c r="AE61">
        <f>2*((Scenario_Data!E61*1000)-(IF(OR(Inputs!$C$27=TRUE,Inputs!$C$27="TRUE",Inputs!$C$27=1),1,0)*(Inputs!$C$51*(115*EXP(-(((0)-25)^2)/(4.5^2))+70*EXP(-(((0)+38)^2)/(7^2))*(0.55+0.45*SIN(2*PI()*(Scenario_Data!W61)/45))+24*SIN(2*PI()*(0)/9+(Scenario_Data!W61)/18)*EXP(-(((0)+5)^2)/(22^2))+18*SIN(2*PI()*(Scenario_Data!W61)/70))+Inputs!$C$28*EXP(-(((Scenario_Data!W61)-Inputs!$C$29)^2)/(2*Inputs!$C$31^2))*EXP(-(((0)-Inputs!$C$30)^2)/(2*Inputs!$C$32^2))+-Inputs!$C$33*EXP(-(((((Scenario_Data!W61)-Inputs!$C$34)^2)+(((0)-Inputs!$C$35)^2))/(2*Inputs!$C$36^2)))+Inputs!$C$37*(0.55*SIN(2*PI()*(Scenario_Data!W61)/Inputs!$C$39)+0.35*COS(2*PI()*(0)/Inputs!$C$40)+0.2*SIN(2*PI()*((Scenario_Data!W61)+(0))/(0.5*(Inputs!$C$39+Inputs!$C$40))))+Inputs!$C$38*SIN(2*PI()*(Scenario_Data!W61)/Inputs!$C$39)*SIN(2*PI()*(0)/Inputs!$C$40)+-Inputs!$C$41*EXP(-(((0)-Inputs!$C$43)^2)/(2*Inputs!$C$44^2))*EXP(-(((Scenario_Data!W61)-Inputs!$C$42)^2)/(2*Inputs!$C$45^2))+Inputs!$C$48*(0.7*(0.45*SIN(2*PI()*(((Scenario_Data!W61)/Inputs!$C$49)+Inputs!$C$47*0.137))+0.35*COS(2*PI()*(((0)/Inputs!$C$50)+Inputs!$C$47*0.173))+0.2*SIN(2*PI()*((((Scenario_Data!W61)+(0))/(0.5*(Inputs!$C$49+Inputs!$C$50)))+Inputs!$C$47*0.097)))+0.3*(2*((SIN(((Scenario_Data!W61)*12.9898+(0)*78.233+Inputs!$C$47*37.719))*43758.5453)-INT((SIN(((Scenario_Data!W61)*12.9898+(0)*78.233+Inputs!$C$47*37.719))*43758.5453)))-1)))))/Inputs!$C$21*1000000</f>
        <v/>
      </c>
      <c r="AG61">
        <f>Scenario_Data!T61</f>
        <v/>
      </c>
      <c r="AH61">
        <f>2*(SQRT((Inputs!$C$52+(Scenario_Data!B61))^2+Inputs!$C$52^2-2*(Inputs!$C$52+(Scenario_Data!B61))*Inputs!$C$52*COS(SQRT((Scenario_Data!T61)^2+Inputs!$C$6^2)/Inputs!$C$52))*1000)/Inputs!$C$21*1000000</f>
        <v/>
      </c>
      <c r="AI61">
        <f>Scenario_Data!U61</f>
        <v/>
      </c>
      <c r="AJ61">
        <f>2*(SQRT((Inputs!$C$52+(Scenario_Data!C61))^2+Inputs!$C$52^2-2*(Inputs!$C$52+(Scenario_Data!C61))*Inputs!$C$52*COS(SQRT((Scenario_Data!U61)^2+Inputs!$C$6^2)/Inputs!$C$52))*1000)/Inputs!$C$21*1000000</f>
        <v/>
      </c>
      <c r="AK61">
        <f>Scenario_Data!V61</f>
        <v/>
      </c>
      <c r="AL61">
        <f>2*(SQRT((Inputs!$C$52+(Scenario_Data!D61))^2+Inputs!$C$52^2-2*(Inputs!$C$52+(Scenario_Data!D61))*Inputs!$C$52*COS(SQRT((Scenario_Data!V61)^2+Inputs!$C$6^2)/Inputs!$C$52))*1000)/Inputs!$C$21*1000000</f>
        <v/>
      </c>
      <c r="AM61">
        <f>Scenario_Data!W61</f>
        <v/>
      </c>
      <c r="AN61">
        <f>2*(SQRT((Inputs!$C$52+(Scenario_Data!E61))^2+Inputs!$C$52^2-2*(Inputs!$C$52+(Scenario_Data!E61))*Inputs!$C$52*COS(SQRT((Scenario_Data!W61)^2+Inputs!$C$6^2)/Inputs!$C$52))*1000)/Inputs!$C$21*1000000</f>
        <v/>
      </c>
      <c r="AP61">
        <f>Scenario_Data!T61</f>
        <v/>
      </c>
      <c r="AQ61">
        <f>2*(SQRT((Inputs!$C$52+(Scenario_Data!B61))^2+(Inputs!$C$52+((IF(OR(Inputs!$C$27=TRUE,Inputs!$C$27="TRUE",Inputs!$C$27=1),1,0)*(Inputs!$C$51*(115*EXP(-(((Inputs!$C$6)-25)^2)/(4.5^2))+70*EXP(-(((Inputs!$C$6)+38)^2)/(7^2))*(0.55+0.45*SIN(2*PI()*(Scenario_Data!T61)/45))+24*SIN(2*PI()*(Inputs!$C$6)/9+(Scenario_Data!T61)/18)*EXP(-(((Inputs!$C$6)+5)^2)/(22^2))+18*SIN(2*PI()*(Scenario_Data!T61)/70))+Inputs!$C$28*EXP(-(((Scenario_Data!T61)-Inputs!$C$29)^2)/(2*Inputs!$C$31^2))*EXP(-(((Inputs!$C$6)-Inputs!$C$30)^2)/(2*Inputs!$C$32^2))+-Inputs!$C$33*EXP(-(((((Scenario_Data!T61)-Inputs!$C$34)^2)+(((Inputs!$C$6)-Inputs!$C$35)^2))/(2*Inputs!$C$36^2)))+Inputs!$C$37*(0.55*SIN(2*PI()*(Scenario_Data!T61)/Inputs!$C$39)+0.35*COS(2*PI()*(Inputs!$C$6)/Inputs!$C$40)+0.2*SIN(2*PI()*((Scenario_Data!T61)+(Inputs!$C$6))/(0.5*(Inputs!$C$39+Inputs!$C$40))))+Inputs!$C$38*SIN(2*PI()*(Scenario_Data!T61)/Inputs!$C$39)*SIN(2*PI()*(Inputs!$C$6)/Inputs!$C$40)+-Inputs!$C$41*EXP(-(((Inputs!$C$6)-Inputs!$C$43)^2)/(2*Inputs!$C$44^2))*EXP(-(((Scenario_Data!T61)-Inputs!$C$42)^2)/(2*Inputs!$C$45^2))+Inputs!$C$48*(0.7*(0.45*SIN(2*PI()*(((Scenario_Data!T61)/Inputs!$C$49)+Inputs!$C$47*0.137))+0.35*COS(2*PI()*(((Inputs!$C$6)/Inputs!$C$50)+Inputs!$C$47*0.173))+0.2*SIN(2*PI()*((((Scenario_Data!T61)+(Inputs!$C$6))/(0.5*(Inputs!$C$49+Inputs!$C$50)))+Inputs!$C$47*0.097)))+0.3*(2*((SIN(((Scenario_Data!T61)*12.9898+(Inputs!$C$6)*78.233+Inputs!$C$47*37.719))*43758.5453)-INT((SIN(((Scenario_Data!T61)*12.9898+(Inputs!$C$6)*78.233+Inputs!$C$47*37.719))*43758.5453)))-1))))/1000))^2-2*(Inputs!$C$52+(Scenario_Data!B61))*(Inputs!$C$52+((IF(OR(Inputs!$C$27=TRUE,Inputs!$C$27="TRUE",Inputs!$C$27=1),1,0)*(Inputs!$C$51*(115*EXP(-(((Inputs!$C$6)-25)^2)/(4.5^2))+70*EXP(-(((Inputs!$C$6)+38)^2)/(7^2))*(0.55+0.45*SIN(2*PI()*(Scenario_Data!T61)/45))+24*SIN(2*PI()*(Inputs!$C$6)/9+(Scenario_Data!T61)/18)*EXP(-(((Inputs!$C$6)+5)^2)/(22^2))+18*SIN(2*PI()*(Scenario_Data!T61)/70))+Inputs!$C$28*EXP(-(((Scenario_Data!T61)-Inputs!$C$29)^2)/(2*Inputs!$C$31^2))*EXP(-(((Inputs!$C$6)-Inputs!$C$30)^2)/(2*Inputs!$C$32^2))+-Inputs!$C$33*EXP(-(((((Scenario_Data!T61)-Inputs!$C$34)^2)+(((Inputs!$C$6)-Inputs!$C$35)^2))/(2*Inputs!$C$36^2)))+Inputs!$C$37*(0.55*SIN(2*PI()*(Scenario_Data!T61)/Inputs!$C$39)+0.35*COS(2*PI()*(Inputs!$C$6)/Inputs!$C$40)+0.2*SIN(2*PI()*((Scenario_Data!T61)+(Inputs!$C$6))/(0.5*(Inputs!$C$39+Inputs!$C$40))))+Inputs!$C$38*SIN(2*PI()*(Scenario_Data!T61)/Inputs!$C$39)*SIN(2*PI()*(Inputs!$C$6)/Inputs!$C$40)+-Inputs!$C$41*EXP(-(((Inputs!$C$6)-Inputs!$C$43)^2)/(2*Inputs!$C$44^2))*EXP(-(((Scenario_Data!T61)-Inputs!$C$42)^2)/(2*Inputs!$C$45^2))+Inputs!$C$48*(0.7*(0.45*SIN(2*PI()*(((Scenario_Data!T61)/Inputs!$C$49)+Inputs!$C$47*0.137))+0.35*COS(2*PI()*(((Inputs!$C$6)/Inputs!$C$50)+Inputs!$C$47*0.173))+0.2*SIN(2*PI()*((((Scenario_Data!T61)+(Inputs!$C$6))/(0.5*(Inputs!$C$49+Inputs!$C$50)))+Inputs!$C$47*0.097)))+0.3*(2*((SIN(((Scenario_Data!T61)*12.9898+(Inputs!$C$6)*78.233+Inputs!$C$47*37.719))*43758.5453)-INT((SIN(((Scenario_Data!T61)*12.9898+(Inputs!$C$6)*78.233+Inputs!$C$47*37.719))*43758.5453)))-1))))/1000))*COS(SQRT((Scenario_Data!T61)^2+Inputs!$C$6^2)/Inputs!$C$52))*1000)/Inputs!$C$21*1000000</f>
        <v/>
      </c>
      <c r="AR61">
        <f>Scenario_Data!U61</f>
        <v/>
      </c>
      <c r="AS61">
        <f>2*(SQRT((Inputs!$C$52+(Scenario_Data!C61))^2+(Inputs!$C$52+((IF(OR(Inputs!$C$27=TRUE,Inputs!$C$27="TRUE",Inputs!$C$27=1),1,0)*(Inputs!$C$51*(115*EXP(-(((Inputs!$C$6)-25)^2)/(4.5^2))+70*EXP(-(((Inputs!$C$6)+38)^2)/(7^2))*(0.55+0.45*SIN(2*PI()*(Scenario_Data!U61)/45))+24*SIN(2*PI()*(Inputs!$C$6)/9+(Scenario_Data!U61)/18)*EXP(-(((Inputs!$C$6)+5)^2)/(22^2))+18*SIN(2*PI()*(Scenario_Data!U61)/70))+Inputs!$C$28*EXP(-(((Scenario_Data!U61)-Inputs!$C$29)^2)/(2*Inputs!$C$31^2))*EXP(-(((Inputs!$C$6)-Inputs!$C$30)^2)/(2*Inputs!$C$32^2))+-Inputs!$C$33*EXP(-(((((Scenario_Data!U61)-Inputs!$C$34)^2)+(((Inputs!$C$6)-Inputs!$C$35)^2))/(2*Inputs!$C$36^2)))+Inputs!$C$37*(0.55*SIN(2*PI()*(Scenario_Data!U61)/Inputs!$C$39)+0.35*COS(2*PI()*(Inputs!$C$6)/Inputs!$C$40)+0.2*SIN(2*PI()*((Scenario_Data!U61)+(Inputs!$C$6))/(0.5*(Inputs!$C$39+Inputs!$C$40))))+Inputs!$C$38*SIN(2*PI()*(Scenario_Data!U61)/Inputs!$C$39)*SIN(2*PI()*(Inputs!$C$6)/Inputs!$C$40)+-Inputs!$C$41*EXP(-(((Inputs!$C$6)-Inputs!$C$43)^2)/(2*Inputs!$C$44^2))*EXP(-(((Scenario_Data!U61)-Inputs!$C$42)^2)/(2*Inputs!$C$45^2))+Inputs!$C$48*(0.7*(0.45*SIN(2*PI()*(((Scenario_Data!U61)/Inputs!$C$49)+Inputs!$C$47*0.137))+0.35*COS(2*PI()*(((Inputs!$C$6)/Inputs!$C$50)+Inputs!$C$47*0.173))+0.2*SIN(2*PI()*((((Scenario_Data!U61)+(Inputs!$C$6))/(0.5*(Inputs!$C$49+Inputs!$C$50)))+Inputs!$C$47*0.097)))+0.3*(2*((SIN(((Scenario_Data!U61)*12.9898+(Inputs!$C$6)*78.233+Inputs!$C$47*37.719))*43758.5453)-INT((SIN(((Scenario_Data!U61)*12.9898+(Inputs!$C$6)*78.233+Inputs!$C$47*37.719))*43758.5453)))-1))))/1000))^2-2*(Inputs!$C$52+(Scenario_Data!C61))*(Inputs!$C$52+((IF(OR(Inputs!$C$27=TRUE,Inputs!$C$27="TRUE",Inputs!$C$27=1),1,0)*(Inputs!$C$51*(115*EXP(-(((Inputs!$C$6)-25)^2)/(4.5^2))+70*EXP(-(((Inputs!$C$6)+38)^2)/(7^2))*(0.55+0.45*SIN(2*PI()*(Scenario_Data!U61)/45))+24*SIN(2*PI()*(Inputs!$C$6)/9+(Scenario_Data!U61)/18)*EXP(-(((Inputs!$C$6)+5)^2)/(22^2))+18*SIN(2*PI()*(Scenario_Data!U61)/70))+Inputs!$C$28*EXP(-(((Scenario_Data!U61)-Inputs!$C$29)^2)/(2*Inputs!$C$31^2))*EXP(-(((Inputs!$C$6)-Inputs!$C$30)^2)/(2*Inputs!$C$32^2))+-Inputs!$C$33*EXP(-(((((Scenario_Data!U61)-Inputs!$C$34)^2)+(((Inputs!$C$6)-Inputs!$C$35)^2))/(2*Inputs!$C$36^2)))+Inputs!$C$37*(0.55*SIN(2*PI()*(Scenario_Data!U61)/Inputs!$C$39)+0.35*COS(2*PI()*(Inputs!$C$6)/Inputs!$C$40)+0.2*SIN(2*PI()*((Scenario_Data!U61)+(Inputs!$C$6))/(0.5*(Inputs!$C$39+Inputs!$C$40))))+Inputs!$C$38*SIN(2*PI()*(Scenario_Data!U61)/Inputs!$C$39)*SIN(2*PI()*(Inputs!$C$6)/Inputs!$C$40)+-Inputs!$C$41*EXP(-(((Inputs!$C$6)-Inputs!$C$43)^2)/(2*Inputs!$C$44^2))*EXP(-(((Scenario_Data!U61)-Inputs!$C$42)^2)/(2*Inputs!$C$45^2))+Inputs!$C$48*(0.7*(0.45*SIN(2*PI()*(((Scenario_Data!U61)/Inputs!$C$49)+Inputs!$C$47*0.137))+0.35*COS(2*PI()*(((Inputs!$C$6)/Inputs!$C$50)+Inputs!$C$47*0.173))+0.2*SIN(2*PI()*((((Scenario_Data!U61)+(Inputs!$C$6))/(0.5*(Inputs!$C$49+Inputs!$C$50)))+Inputs!$C$47*0.097)))+0.3*(2*((SIN(((Scenario_Data!U61)*12.9898+(Inputs!$C$6)*78.233+Inputs!$C$47*37.719))*43758.5453)-INT((SIN(((Scenario_Data!U61)*12.9898+(Inputs!$C$6)*78.233+Inputs!$C$47*37.719))*43758.5453)))-1))))/1000))*COS(SQRT((Scenario_Data!U61)^2+Inputs!$C$6^2)/Inputs!$C$52))*1000)/Inputs!$C$21*1000000</f>
        <v/>
      </c>
      <c r="AT61">
        <f>Scenario_Data!V61</f>
        <v/>
      </c>
      <c r="AU61">
        <f>2*(SQRT((Inputs!$C$52+(Scenario_Data!D61))^2+(Inputs!$C$52+((IF(OR(Inputs!$C$27=TRUE,Inputs!$C$27="TRUE",Inputs!$C$27=1),1,0)*(Inputs!$C$51*(115*EXP(-(((Inputs!$C$6)-25)^2)/(4.5^2))+70*EXP(-(((Inputs!$C$6)+38)^2)/(7^2))*(0.55+0.45*SIN(2*PI()*(Scenario_Data!V61)/45))+24*SIN(2*PI()*(Inputs!$C$6)/9+(Scenario_Data!V61)/18)*EXP(-(((Inputs!$C$6)+5)^2)/(22^2))+18*SIN(2*PI()*(Scenario_Data!V61)/70))+Inputs!$C$28*EXP(-(((Scenario_Data!V61)-Inputs!$C$29)^2)/(2*Inputs!$C$31^2))*EXP(-(((Inputs!$C$6)-Inputs!$C$30)^2)/(2*Inputs!$C$32^2))+-Inputs!$C$33*EXP(-(((((Scenario_Data!V61)-Inputs!$C$34)^2)+(((Inputs!$C$6)-Inputs!$C$35)^2))/(2*Inputs!$C$36^2)))+Inputs!$C$37*(0.55*SIN(2*PI()*(Scenario_Data!V61)/Inputs!$C$39)+0.35*COS(2*PI()*(Inputs!$C$6)/Inputs!$C$40)+0.2*SIN(2*PI()*((Scenario_Data!V61)+(Inputs!$C$6))/(0.5*(Inputs!$C$39+Inputs!$C$40))))+Inputs!$C$38*SIN(2*PI()*(Scenario_Data!V61)/Inputs!$C$39)*SIN(2*PI()*(Inputs!$C$6)/Inputs!$C$40)+-Inputs!$C$41*EXP(-(((Inputs!$C$6)-Inputs!$C$43)^2)/(2*Inputs!$C$44^2))*EXP(-(((Scenario_Data!V61)-Inputs!$C$42)^2)/(2*Inputs!$C$45^2))+Inputs!$C$48*(0.7*(0.45*SIN(2*PI()*(((Scenario_Data!V61)/Inputs!$C$49)+Inputs!$C$47*0.137))+0.35*COS(2*PI()*(((Inputs!$C$6)/Inputs!$C$50)+Inputs!$C$47*0.173))+0.2*SIN(2*PI()*((((Scenario_Data!V61)+(Inputs!$C$6))/(0.5*(Inputs!$C$49+Inputs!$C$50)))+Inputs!$C$47*0.097)))+0.3*(2*((SIN(((Scenario_Data!V61)*12.9898+(Inputs!$C$6)*78.233+Inputs!$C$47*37.719))*43758.5453)-INT((SIN(((Scenario_Data!V61)*12.9898+(Inputs!$C$6)*78.233+Inputs!$C$47*37.719))*43758.5453)))-1))))/1000))^2-2*(Inputs!$C$52+(Scenario_Data!D61))*(Inputs!$C$52+((IF(OR(Inputs!$C$27=TRUE,Inputs!$C$27="TRUE",Inputs!$C$27=1),1,0)*(Inputs!$C$51*(115*EXP(-(((Inputs!$C$6)-25)^2)/(4.5^2))+70*EXP(-(((Inputs!$C$6)+38)^2)/(7^2))*(0.55+0.45*SIN(2*PI()*(Scenario_Data!V61)/45))+24*SIN(2*PI()*(Inputs!$C$6)/9+(Scenario_Data!V61)/18)*EXP(-(((Inputs!$C$6)+5)^2)/(22^2))+18*SIN(2*PI()*(Scenario_Data!V61)/70))+Inputs!$C$28*EXP(-(((Scenario_Data!V61)-Inputs!$C$29)^2)/(2*Inputs!$C$31^2))*EXP(-(((Inputs!$C$6)-Inputs!$C$30)^2)/(2*Inputs!$C$32^2))+-Inputs!$C$33*EXP(-(((((Scenario_Data!V61)-Inputs!$C$34)^2)+(((Inputs!$C$6)-Inputs!$C$35)^2))/(2*Inputs!$C$36^2)))+Inputs!$C$37*(0.55*SIN(2*PI()*(Scenario_Data!V61)/Inputs!$C$39)+0.35*COS(2*PI()*(Inputs!$C$6)/Inputs!$C$40)+0.2*SIN(2*PI()*((Scenario_Data!V61)+(Inputs!$C$6))/(0.5*(Inputs!$C$39+Inputs!$C$40))))+Inputs!$C$38*SIN(2*PI()*(Scenario_Data!V61)/Inputs!$C$39)*SIN(2*PI()*(Inputs!$C$6)/Inputs!$C$40)+-Inputs!$C$41*EXP(-(((Inputs!$C$6)-Inputs!$C$43)^2)/(2*Inputs!$C$44^2))*EXP(-(((Scenario_Data!V61)-Inputs!$C$42)^2)/(2*Inputs!$C$45^2))+Inputs!$C$48*(0.7*(0.45*SIN(2*PI()*(((Scenario_Data!V61)/Inputs!$C$49)+Inputs!$C$47*0.137))+0.35*COS(2*PI()*(((Inputs!$C$6)/Inputs!$C$50)+Inputs!$C$47*0.173))+0.2*SIN(2*PI()*((((Scenario_Data!V61)+(Inputs!$C$6))/(0.5*(Inputs!$C$49+Inputs!$C$50)))+Inputs!$C$47*0.097)))+0.3*(2*((SIN(((Scenario_Data!V61)*12.9898+(Inputs!$C$6)*78.233+Inputs!$C$47*37.719))*43758.5453)-INT((SIN(((Scenario_Data!V61)*12.9898+(Inputs!$C$6)*78.233+Inputs!$C$47*37.719))*43758.5453)))-1))))/1000))*COS(SQRT((Scenario_Data!V61)^2+Inputs!$C$6^2)/Inputs!$C$52))*1000)/Inputs!$C$21*1000000</f>
        <v/>
      </c>
      <c r="AV61">
        <f>Scenario_Data!W61</f>
        <v/>
      </c>
      <c r="AW61">
        <f>2*(SQRT((Inputs!$C$52+(Scenario_Data!E61))^2+(Inputs!$C$52+((IF(OR(Inputs!$C$27=TRUE,Inputs!$C$27="TRUE",Inputs!$C$27=1),1,0)*(Inputs!$C$51*(115*EXP(-(((Inputs!$C$6)-25)^2)/(4.5^2))+70*EXP(-(((Inputs!$C$6)+38)^2)/(7^2))*(0.55+0.45*SIN(2*PI()*(Scenario_Data!W61)/45))+24*SIN(2*PI()*(Inputs!$C$6)/9+(Scenario_Data!W61)/18)*EXP(-(((Inputs!$C$6)+5)^2)/(22^2))+18*SIN(2*PI()*(Scenario_Data!W61)/70))+Inputs!$C$28*EXP(-(((Scenario_Data!W61)-Inputs!$C$29)^2)/(2*Inputs!$C$31^2))*EXP(-(((Inputs!$C$6)-Inputs!$C$30)^2)/(2*Inputs!$C$32^2))+-Inputs!$C$33*EXP(-(((((Scenario_Data!W61)-Inputs!$C$34)^2)+(((Inputs!$C$6)-Inputs!$C$35)^2))/(2*Inputs!$C$36^2)))+Inputs!$C$37*(0.55*SIN(2*PI()*(Scenario_Data!W61)/Inputs!$C$39)+0.35*COS(2*PI()*(Inputs!$C$6)/Inputs!$C$40)+0.2*SIN(2*PI()*((Scenario_Data!W61)+(Inputs!$C$6))/(0.5*(Inputs!$C$39+Inputs!$C$40))))+Inputs!$C$38*SIN(2*PI()*(Scenario_Data!W61)/Inputs!$C$39)*SIN(2*PI()*(Inputs!$C$6)/Inputs!$C$40)+-Inputs!$C$41*EXP(-(((Inputs!$C$6)-Inputs!$C$43)^2)/(2*Inputs!$C$44^2))*EXP(-(((Scenario_Data!W61)-Inputs!$C$42)^2)/(2*Inputs!$C$45^2))+Inputs!$C$48*(0.7*(0.45*SIN(2*PI()*(((Scenario_Data!W61)/Inputs!$C$49)+Inputs!$C$47*0.137))+0.35*COS(2*PI()*(((Inputs!$C$6)/Inputs!$C$50)+Inputs!$C$47*0.173))+0.2*SIN(2*PI()*((((Scenario_Data!W61)+(Inputs!$C$6))/(0.5*(Inputs!$C$49+Inputs!$C$50)))+Inputs!$C$47*0.097)))+0.3*(2*((SIN(((Scenario_Data!W61)*12.9898+(Inputs!$C$6)*78.233+Inputs!$C$47*37.719))*43758.5453)-INT((SIN(((Scenario_Data!W61)*12.9898+(Inputs!$C$6)*78.233+Inputs!$C$47*37.719))*43758.5453)))-1))))/1000))^2-2*(Inputs!$C$52+(Scenario_Data!E61))*(Inputs!$C$52+((IF(OR(Inputs!$C$27=TRUE,Inputs!$C$27="TRUE",Inputs!$C$27=1),1,0)*(Inputs!$C$51*(115*EXP(-(((Inputs!$C$6)-25)^2)/(4.5^2))+70*EXP(-(((Inputs!$C$6)+38)^2)/(7^2))*(0.55+0.45*SIN(2*PI()*(Scenario_Data!W61)/45))+24*SIN(2*PI()*(Inputs!$C$6)/9+(Scenario_Data!W61)/18)*EXP(-(((Inputs!$C$6)+5)^2)/(22^2))+18*SIN(2*PI()*(Scenario_Data!W61)/70))+Inputs!$C$28*EXP(-(((Scenario_Data!W61)-Inputs!$C$29)^2)/(2*Inputs!$C$31^2))*EXP(-(((Inputs!$C$6)-Inputs!$C$30)^2)/(2*Inputs!$C$32^2))+-Inputs!$C$33*EXP(-(((((Scenario_Data!W61)-Inputs!$C$34)^2)+(((Inputs!$C$6)-Inputs!$C$35)^2))/(2*Inputs!$C$36^2)))+Inputs!$C$37*(0.55*SIN(2*PI()*(Scenario_Data!W61)/Inputs!$C$39)+0.35*COS(2*PI()*(Inputs!$C$6)/Inputs!$C$40)+0.2*SIN(2*PI()*((Scenario_Data!W61)+(Inputs!$C$6))/(0.5*(Inputs!$C$39+Inputs!$C$40))))+Inputs!$C$38*SIN(2*PI()*(Scenario_Data!W61)/Inputs!$C$39)*SIN(2*PI()*(Inputs!$C$6)/Inputs!$C$40)+-Inputs!$C$41*EXP(-(((Inputs!$C$6)-Inputs!$C$43)^2)/(2*Inputs!$C$44^2))*EXP(-(((Scenario_Data!W61)-Inputs!$C$42)^2)/(2*Inputs!$C$45^2))+Inputs!$C$48*(0.7*(0.45*SIN(2*PI()*(((Scenario_Data!W61)/Inputs!$C$49)+Inputs!$C$47*0.137))+0.35*COS(2*PI()*(((Inputs!$C$6)/Inputs!$C$50)+Inputs!$C$47*0.173))+0.2*SIN(2*PI()*((((Scenario_Data!W61)+(Inputs!$C$6))/(0.5*(Inputs!$C$49+Inputs!$C$50)))+Inputs!$C$47*0.097)))+0.3*(2*((SIN(((Scenario_Data!W61)*12.9898+(Inputs!$C$6)*78.233+Inputs!$C$47*37.719))*43758.5453)-INT((SIN(((Scenario_Data!W61)*12.9898+(Inputs!$C$6)*78.233+Inputs!$C$47*37.719))*43758.5453)))-1))))/1000))*COS(SQRT((Scenario_Data!W61)^2+Inputs!$C$6^2)/Inputs!$C$52))*1000)/Inputs!$C$21*1000000</f>
        <v/>
      </c>
    </row>
    <row r="62">
      <c r="A62">
        <f>Chart_Data!K62</f>
        <v/>
      </c>
      <c r="B62">
        <f>Chart_Data!N62-Chart_Data!L62</f>
        <v/>
      </c>
      <c r="D62">
        <f>Chart_Data!G62</f>
        <v/>
      </c>
      <c r="E62">
        <f>Chart_Data!H62</f>
        <v/>
      </c>
      <c r="F62">
        <f>Chart_Data!I62</f>
        <v/>
      </c>
      <c r="G62">
        <f>Chart_Data!J62</f>
        <v/>
      </c>
      <c r="I62">
        <f>Scenario_Data!A62</f>
        <v/>
      </c>
      <c r="J62">
        <f>Scenario_Data!H62-(((SQRT((Inputs!$C$52+(Inputs!$H$6))^2+Inputs!$C$52^2-2*(Inputs!$C$52+(Inputs!$H$6))*Inputs!$C$52*COS(SQRT((Scenario_Data!T62)^2+Inputs!$C$6^2)/Inputs!$C$52)))-(Inputs!$H$6))*1000/Inputs!$C$12)</f>
        <v/>
      </c>
      <c r="K62">
        <f>Scenario_Data!I62-(((SQRT((Inputs!$C$52+(Inputs!$H$7))^2+Inputs!$C$52^2-2*(Inputs!$C$52+(Inputs!$H$7))*Inputs!$C$52*COS(SQRT((Scenario_Data!U62)^2+Inputs!$C$6^2)/Inputs!$C$52)))-(Inputs!$H$7))*1000/Inputs!$C$12)</f>
        <v/>
      </c>
      <c r="L62">
        <f>Scenario_Data!J62-(((SQRT((Inputs!$C$52+(Inputs!$H$8))^2+Inputs!$C$52^2-2*(Inputs!$C$52+(Inputs!$H$8))*Inputs!$C$52*COS(SQRT((Scenario_Data!V62)^2+Inputs!$C$6^2)/Inputs!$C$52)))-(Inputs!$H$8))*1000/Inputs!$C$12)</f>
        <v/>
      </c>
      <c r="M62">
        <f>Scenario_Data!K62-(((SQRT((Inputs!$C$52+(Inputs!$H$9))^2+Inputs!$C$52^2-2*(Inputs!$C$52+(Inputs!$H$9))*Inputs!$C$52*COS(SQRT((Scenario_Data!W62)^2+Inputs!$C$6^2)/Inputs!$C$52)))-(Inputs!$H$9))*1000/Inputs!$C$12)</f>
        <v/>
      </c>
      <c r="O62">
        <f>Scenario_Data!T62</f>
        <v/>
      </c>
      <c r="P62">
        <f>2*(Scenario_Data!B62*1000)/Inputs!$C$21*1000000</f>
        <v/>
      </c>
      <c r="Q62">
        <f>Scenario_Data!U62</f>
        <v/>
      </c>
      <c r="R62">
        <f>2*(Scenario_Data!C62*1000)/Inputs!$C$21*1000000</f>
        <v/>
      </c>
      <c r="S62">
        <f>Scenario_Data!V62</f>
        <v/>
      </c>
      <c r="T62">
        <f>2*(Scenario_Data!D62*1000)/Inputs!$C$21*1000000</f>
        <v/>
      </c>
      <c r="U62">
        <f>Scenario_Data!W62</f>
        <v/>
      </c>
      <c r="V62">
        <f>2*(Scenario_Data!E62*1000)/Inputs!$C$21*1000000</f>
        <v/>
      </c>
      <c r="X62">
        <f>Scenario_Data!T62</f>
        <v/>
      </c>
      <c r="Y62">
        <f>2*((Scenario_Data!B62*1000)-(IF(OR(Inputs!$C$27=TRUE,Inputs!$C$27="TRUE",Inputs!$C$27=1),1,0)*(Inputs!$C$51*(115*EXP(-(((0)-25)^2)/(4.5^2))+70*EXP(-(((0)+38)^2)/(7^2))*(0.55+0.45*SIN(2*PI()*(Scenario_Data!T62)/45))+24*SIN(2*PI()*(0)/9+(Scenario_Data!T62)/18)*EXP(-(((0)+5)^2)/(22^2))+18*SIN(2*PI()*(Scenario_Data!T62)/70))+Inputs!$C$28*EXP(-(((Scenario_Data!T62)-Inputs!$C$29)^2)/(2*Inputs!$C$31^2))*EXP(-(((0)-Inputs!$C$30)^2)/(2*Inputs!$C$32^2))+-Inputs!$C$33*EXP(-(((((Scenario_Data!T62)-Inputs!$C$34)^2)+(((0)-Inputs!$C$35)^2))/(2*Inputs!$C$36^2)))+Inputs!$C$37*(0.55*SIN(2*PI()*(Scenario_Data!T62)/Inputs!$C$39)+0.35*COS(2*PI()*(0)/Inputs!$C$40)+0.2*SIN(2*PI()*((Scenario_Data!T62)+(0))/(0.5*(Inputs!$C$39+Inputs!$C$40))))+Inputs!$C$38*SIN(2*PI()*(Scenario_Data!T62)/Inputs!$C$39)*SIN(2*PI()*(0)/Inputs!$C$40)+-Inputs!$C$41*EXP(-(((0)-Inputs!$C$43)^2)/(2*Inputs!$C$44^2))*EXP(-(((Scenario_Data!T62)-Inputs!$C$42)^2)/(2*Inputs!$C$45^2))+Inputs!$C$48*(0.7*(0.45*SIN(2*PI()*(((Scenario_Data!T62)/Inputs!$C$49)+Inputs!$C$47*0.137))+0.35*COS(2*PI()*(((0)/Inputs!$C$50)+Inputs!$C$47*0.173))+0.2*SIN(2*PI()*((((Scenario_Data!T62)+(0))/(0.5*(Inputs!$C$49+Inputs!$C$50)))+Inputs!$C$47*0.097)))+0.3*(2*((SIN(((Scenario_Data!T62)*12.9898+(0)*78.233+Inputs!$C$47*37.719))*43758.5453)-INT((SIN(((Scenario_Data!T62)*12.9898+(0)*78.233+Inputs!$C$47*37.719))*43758.5453)))-1)))))/Inputs!$C$21*1000000</f>
        <v/>
      </c>
      <c r="Z62">
        <f>Scenario_Data!U62</f>
        <v/>
      </c>
      <c r="AA62">
        <f>2*((Scenario_Data!C62*1000)-(IF(OR(Inputs!$C$27=TRUE,Inputs!$C$27="TRUE",Inputs!$C$27=1),1,0)*(Inputs!$C$51*(115*EXP(-(((0)-25)^2)/(4.5^2))+70*EXP(-(((0)+38)^2)/(7^2))*(0.55+0.45*SIN(2*PI()*(Scenario_Data!U62)/45))+24*SIN(2*PI()*(0)/9+(Scenario_Data!U62)/18)*EXP(-(((0)+5)^2)/(22^2))+18*SIN(2*PI()*(Scenario_Data!U62)/70))+Inputs!$C$28*EXP(-(((Scenario_Data!U62)-Inputs!$C$29)^2)/(2*Inputs!$C$31^2))*EXP(-(((0)-Inputs!$C$30)^2)/(2*Inputs!$C$32^2))+-Inputs!$C$33*EXP(-(((((Scenario_Data!U62)-Inputs!$C$34)^2)+(((0)-Inputs!$C$35)^2))/(2*Inputs!$C$36^2)))+Inputs!$C$37*(0.55*SIN(2*PI()*(Scenario_Data!U62)/Inputs!$C$39)+0.35*COS(2*PI()*(0)/Inputs!$C$40)+0.2*SIN(2*PI()*((Scenario_Data!U62)+(0))/(0.5*(Inputs!$C$39+Inputs!$C$40))))+Inputs!$C$38*SIN(2*PI()*(Scenario_Data!U62)/Inputs!$C$39)*SIN(2*PI()*(0)/Inputs!$C$40)+-Inputs!$C$41*EXP(-(((0)-Inputs!$C$43)^2)/(2*Inputs!$C$44^2))*EXP(-(((Scenario_Data!U62)-Inputs!$C$42)^2)/(2*Inputs!$C$45^2))+Inputs!$C$48*(0.7*(0.45*SIN(2*PI()*(((Scenario_Data!U62)/Inputs!$C$49)+Inputs!$C$47*0.137))+0.35*COS(2*PI()*(((0)/Inputs!$C$50)+Inputs!$C$47*0.173))+0.2*SIN(2*PI()*((((Scenario_Data!U62)+(0))/(0.5*(Inputs!$C$49+Inputs!$C$50)))+Inputs!$C$47*0.097)))+0.3*(2*((SIN(((Scenario_Data!U62)*12.9898+(0)*78.233+Inputs!$C$47*37.719))*43758.5453)-INT((SIN(((Scenario_Data!U62)*12.9898+(0)*78.233+Inputs!$C$47*37.719))*43758.5453)))-1)))))/Inputs!$C$21*1000000</f>
        <v/>
      </c>
      <c r="AB62">
        <f>Scenario_Data!V62</f>
        <v/>
      </c>
      <c r="AC62">
        <f>2*((Scenario_Data!D62*1000)-(IF(OR(Inputs!$C$27=TRUE,Inputs!$C$27="TRUE",Inputs!$C$27=1),1,0)*(Inputs!$C$51*(115*EXP(-(((0)-25)^2)/(4.5^2))+70*EXP(-(((0)+38)^2)/(7^2))*(0.55+0.45*SIN(2*PI()*(Scenario_Data!V62)/45))+24*SIN(2*PI()*(0)/9+(Scenario_Data!V62)/18)*EXP(-(((0)+5)^2)/(22^2))+18*SIN(2*PI()*(Scenario_Data!V62)/70))+Inputs!$C$28*EXP(-(((Scenario_Data!V62)-Inputs!$C$29)^2)/(2*Inputs!$C$31^2))*EXP(-(((0)-Inputs!$C$30)^2)/(2*Inputs!$C$32^2))+-Inputs!$C$33*EXP(-(((((Scenario_Data!V62)-Inputs!$C$34)^2)+(((0)-Inputs!$C$35)^2))/(2*Inputs!$C$36^2)))+Inputs!$C$37*(0.55*SIN(2*PI()*(Scenario_Data!V62)/Inputs!$C$39)+0.35*COS(2*PI()*(0)/Inputs!$C$40)+0.2*SIN(2*PI()*((Scenario_Data!V62)+(0))/(0.5*(Inputs!$C$39+Inputs!$C$40))))+Inputs!$C$38*SIN(2*PI()*(Scenario_Data!V62)/Inputs!$C$39)*SIN(2*PI()*(0)/Inputs!$C$40)+-Inputs!$C$41*EXP(-(((0)-Inputs!$C$43)^2)/(2*Inputs!$C$44^2))*EXP(-(((Scenario_Data!V62)-Inputs!$C$42)^2)/(2*Inputs!$C$45^2))+Inputs!$C$48*(0.7*(0.45*SIN(2*PI()*(((Scenario_Data!V62)/Inputs!$C$49)+Inputs!$C$47*0.137))+0.35*COS(2*PI()*(((0)/Inputs!$C$50)+Inputs!$C$47*0.173))+0.2*SIN(2*PI()*((((Scenario_Data!V62)+(0))/(0.5*(Inputs!$C$49+Inputs!$C$50)))+Inputs!$C$47*0.097)))+0.3*(2*((SIN(((Scenario_Data!V62)*12.9898+(0)*78.233+Inputs!$C$47*37.719))*43758.5453)-INT((SIN(((Scenario_Data!V62)*12.9898+(0)*78.233+Inputs!$C$47*37.719))*43758.5453)))-1)))))/Inputs!$C$21*1000000</f>
        <v/>
      </c>
      <c r="AD62">
        <f>Scenario_Data!W62</f>
        <v/>
      </c>
      <c r="AE62">
        <f>2*((Scenario_Data!E62*1000)-(IF(OR(Inputs!$C$27=TRUE,Inputs!$C$27="TRUE",Inputs!$C$27=1),1,0)*(Inputs!$C$51*(115*EXP(-(((0)-25)^2)/(4.5^2))+70*EXP(-(((0)+38)^2)/(7^2))*(0.55+0.45*SIN(2*PI()*(Scenario_Data!W62)/45))+24*SIN(2*PI()*(0)/9+(Scenario_Data!W62)/18)*EXP(-(((0)+5)^2)/(22^2))+18*SIN(2*PI()*(Scenario_Data!W62)/70))+Inputs!$C$28*EXP(-(((Scenario_Data!W62)-Inputs!$C$29)^2)/(2*Inputs!$C$31^2))*EXP(-(((0)-Inputs!$C$30)^2)/(2*Inputs!$C$32^2))+-Inputs!$C$33*EXP(-(((((Scenario_Data!W62)-Inputs!$C$34)^2)+(((0)-Inputs!$C$35)^2))/(2*Inputs!$C$36^2)))+Inputs!$C$37*(0.55*SIN(2*PI()*(Scenario_Data!W62)/Inputs!$C$39)+0.35*COS(2*PI()*(0)/Inputs!$C$40)+0.2*SIN(2*PI()*((Scenario_Data!W62)+(0))/(0.5*(Inputs!$C$39+Inputs!$C$40))))+Inputs!$C$38*SIN(2*PI()*(Scenario_Data!W62)/Inputs!$C$39)*SIN(2*PI()*(0)/Inputs!$C$40)+-Inputs!$C$41*EXP(-(((0)-Inputs!$C$43)^2)/(2*Inputs!$C$44^2))*EXP(-(((Scenario_Data!W62)-Inputs!$C$42)^2)/(2*Inputs!$C$45^2))+Inputs!$C$48*(0.7*(0.45*SIN(2*PI()*(((Scenario_Data!W62)/Inputs!$C$49)+Inputs!$C$47*0.137))+0.35*COS(2*PI()*(((0)/Inputs!$C$50)+Inputs!$C$47*0.173))+0.2*SIN(2*PI()*((((Scenario_Data!W62)+(0))/(0.5*(Inputs!$C$49+Inputs!$C$50)))+Inputs!$C$47*0.097)))+0.3*(2*((SIN(((Scenario_Data!W62)*12.9898+(0)*78.233+Inputs!$C$47*37.719))*43758.5453)-INT((SIN(((Scenario_Data!W62)*12.9898+(0)*78.233+Inputs!$C$47*37.719))*43758.5453)))-1)))))/Inputs!$C$21*1000000</f>
        <v/>
      </c>
      <c r="AG62">
        <f>Scenario_Data!T62</f>
        <v/>
      </c>
      <c r="AH62">
        <f>2*(SQRT((Inputs!$C$52+(Scenario_Data!B62))^2+Inputs!$C$52^2-2*(Inputs!$C$52+(Scenario_Data!B62))*Inputs!$C$52*COS(SQRT((Scenario_Data!T62)^2+Inputs!$C$6^2)/Inputs!$C$52))*1000)/Inputs!$C$21*1000000</f>
        <v/>
      </c>
      <c r="AI62">
        <f>Scenario_Data!U62</f>
        <v/>
      </c>
      <c r="AJ62">
        <f>2*(SQRT((Inputs!$C$52+(Scenario_Data!C62))^2+Inputs!$C$52^2-2*(Inputs!$C$52+(Scenario_Data!C62))*Inputs!$C$52*COS(SQRT((Scenario_Data!U62)^2+Inputs!$C$6^2)/Inputs!$C$52))*1000)/Inputs!$C$21*1000000</f>
        <v/>
      </c>
      <c r="AK62">
        <f>Scenario_Data!V62</f>
        <v/>
      </c>
      <c r="AL62">
        <f>2*(SQRT((Inputs!$C$52+(Scenario_Data!D62))^2+Inputs!$C$52^2-2*(Inputs!$C$52+(Scenario_Data!D62))*Inputs!$C$52*COS(SQRT((Scenario_Data!V62)^2+Inputs!$C$6^2)/Inputs!$C$52))*1000)/Inputs!$C$21*1000000</f>
        <v/>
      </c>
      <c r="AM62">
        <f>Scenario_Data!W62</f>
        <v/>
      </c>
      <c r="AN62">
        <f>2*(SQRT((Inputs!$C$52+(Scenario_Data!E62))^2+Inputs!$C$52^2-2*(Inputs!$C$52+(Scenario_Data!E62))*Inputs!$C$52*COS(SQRT((Scenario_Data!W62)^2+Inputs!$C$6^2)/Inputs!$C$52))*1000)/Inputs!$C$21*1000000</f>
        <v/>
      </c>
      <c r="AP62">
        <f>Scenario_Data!T62</f>
        <v/>
      </c>
      <c r="AQ62">
        <f>2*(SQRT((Inputs!$C$52+(Scenario_Data!B62))^2+(Inputs!$C$52+((IF(OR(Inputs!$C$27=TRUE,Inputs!$C$27="TRUE",Inputs!$C$27=1),1,0)*(Inputs!$C$51*(115*EXP(-(((Inputs!$C$6)-25)^2)/(4.5^2))+70*EXP(-(((Inputs!$C$6)+38)^2)/(7^2))*(0.55+0.45*SIN(2*PI()*(Scenario_Data!T62)/45))+24*SIN(2*PI()*(Inputs!$C$6)/9+(Scenario_Data!T62)/18)*EXP(-(((Inputs!$C$6)+5)^2)/(22^2))+18*SIN(2*PI()*(Scenario_Data!T62)/70))+Inputs!$C$28*EXP(-(((Scenario_Data!T62)-Inputs!$C$29)^2)/(2*Inputs!$C$31^2))*EXP(-(((Inputs!$C$6)-Inputs!$C$30)^2)/(2*Inputs!$C$32^2))+-Inputs!$C$33*EXP(-(((((Scenario_Data!T62)-Inputs!$C$34)^2)+(((Inputs!$C$6)-Inputs!$C$35)^2))/(2*Inputs!$C$36^2)))+Inputs!$C$37*(0.55*SIN(2*PI()*(Scenario_Data!T62)/Inputs!$C$39)+0.35*COS(2*PI()*(Inputs!$C$6)/Inputs!$C$40)+0.2*SIN(2*PI()*((Scenario_Data!T62)+(Inputs!$C$6))/(0.5*(Inputs!$C$39+Inputs!$C$40))))+Inputs!$C$38*SIN(2*PI()*(Scenario_Data!T62)/Inputs!$C$39)*SIN(2*PI()*(Inputs!$C$6)/Inputs!$C$40)+-Inputs!$C$41*EXP(-(((Inputs!$C$6)-Inputs!$C$43)^2)/(2*Inputs!$C$44^2))*EXP(-(((Scenario_Data!T62)-Inputs!$C$42)^2)/(2*Inputs!$C$45^2))+Inputs!$C$48*(0.7*(0.45*SIN(2*PI()*(((Scenario_Data!T62)/Inputs!$C$49)+Inputs!$C$47*0.137))+0.35*COS(2*PI()*(((Inputs!$C$6)/Inputs!$C$50)+Inputs!$C$47*0.173))+0.2*SIN(2*PI()*((((Scenario_Data!T62)+(Inputs!$C$6))/(0.5*(Inputs!$C$49+Inputs!$C$50)))+Inputs!$C$47*0.097)))+0.3*(2*((SIN(((Scenario_Data!T62)*12.9898+(Inputs!$C$6)*78.233+Inputs!$C$47*37.719))*43758.5453)-INT((SIN(((Scenario_Data!T62)*12.9898+(Inputs!$C$6)*78.233+Inputs!$C$47*37.719))*43758.5453)))-1))))/1000))^2-2*(Inputs!$C$52+(Scenario_Data!B62))*(Inputs!$C$52+((IF(OR(Inputs!$C$27=TRUE,Inputs!$C$27="TRUE",Inputs!$C$27=1),1,0)*(Inputs!$C$51*(115*EXP(-(((Inputs!$C$6)-25)^2)/(4.5^2))+70*EXP(-(((Inputs!$C$6)+38)^2)/(7^2))*(0.55+0.45*SIN(2*PI()*(Scenario_Data!T62)/45))+24*SIN(2*PI()*(Inputs!$C$6)/9+(Scenario_Data!T62)/18)*EXP(-(((Inputs!$C$6)+5)^2)/(22^2))+18*SIN(2*PI()*(Scenario_Data!T62)/70))+Inputs!$C$28*EXP(-(((Scenario_Data!T62)-Inputs!$C$29)^2)/(2*Inputs!$C$31^2))*EXP(-(((Inputs!$C$6)-Inputs!$C$30)^2)/(2*Inputs!$C$32^2))+-Inputs!$C$33*EXP(-(((((Scenario_Data!T62)-Inputs!$C$34)^2)+(((Inputs!$C$6)-Inputs!$C$35)^2))/(2*Inputs!$C$36^2)))+Inputs!$C$37*(0.55*SIN(2*PI()*(Scenario_Data!T62)/Inputs!$C$39)+0.35*COS(2*PI()*(Inputs!$C$6)/Inputs!$C$40)+0.2*SIN(2*PI()*((Scenario_Data!T62)+(Inputs!$C$6))/(0.5*(Inputs!$C$39+Inputs!$C$40))))+Inputs!$C$38*SIN(2*PI()*(Scenario_Data!T62)/Inputs!$C$39)*SIN(2*PI()*(Inputs!$C$6)/Inputs!$C$40)+-Inputs!$C$41*EXP(-(((Inputs!$C$6)-Inputs!$C$43)^2)/(2*Inputs!$C$44^2))*EXP(-(((Scenario_Data!T62)-Inputs!$C$42)^2)/(2*Inputs!$C$45^2))+Inputs!$C$48*(0.7*(0.45*SIN(2*PI()*(((Scenario_Data!T62)/Inputs!$C$49)+Inputs!$C$47*0.137))+0.35*COS(2*PI()*(((Inputs!$C$6)/Inputs!$C$50)+Inputs!$C$47*0.173))+0.2*SIN(2*PI()*((((Scenario_Data!T62)+(Inputs!$C$6))/(0.5*(Inputs!$C$49+Inputs!$C$50)))+Inputs!$C$47*0.097)))+0.3*(2*((SIN(((Scenario_Data!T62)*12.9898+(Inputs!$C$6)*78.233+Inputs!$C$47*37.719))*43758.5453)-INT((SIN(((Scenario_Data!T62)*12.9898+(Inputs!$C$6)*78.233+Inputs!$C$47*37.719))*43758.5453)))-1))))/1000))*COS(SQRT((Scenario_Data!T62)^2+Inputs!$C$6^2)/Inputs!$C$52))*1000)/Inputs!$C$21*1000000</f>
        <v/>
      </c>
      <c r="AR62">
        <f>Scenario_Data!U62</f>
        <v/>
      </c>
      <c r="AS62">
        <f>2*(SQRT((Inputs!$C$52+(Scenario_Data!C62))^2+(Inputs!$C$52+((IF(OR(Inputs!$C$27=TRUE,Inputs!$C$27="TRUE",Inputs!$C$27=1),1,0)*(Inputs!$C$51*(115*EXP(-(((Inputs!$C$6)-25)^2)/(4.5^2))+70*EXP(-(((Inputs!$C$6)+38)^2)/(7^2))*(0.55+0.45*SIN(2*PI()*(Scenario_Data!U62)/45))+24*SIN(2*PI()*(Inputs!$C$6)/9+(Scenario_Data!U62)/18)*EXP(-(((Inputs!$C$6)+5)^2)/(22^2))+18*SIN(2*PI()*(Scenario_Data!U62)/70))+Inputs!$C$28*EXP(-(((Scenario_Data!U62)-Inputs!$C$29)^2)/(2*Inputs!$C$31^2))*EXP(-(((Inputs!$C$6)-Inputs!$C$30)^2)/(2*Inputs!$C$32^2))+-Inputs!$C$33*EXP(-(((((Scenario_Data!U62)-Inputs!$C$34)^2)+(((Inputs!$C$6)-Inputs!$C$35)^2))/(2*Inputs!$C$36^2)))+Inputs!$C$37*(0.55*SIN(2*PI()*(Scenario_Data!U62)/Inputs!$C$39)+0.35*COS(2*PI()*(Inputs!$C$6)/Inputs!$C$40)+0.2*SIN(2*PI()*((Scenario_Data!U62)+(Inputs!$C$6))/(0.5*(Inputs!$C$39+Inputs!$C$40))))+Inputs!$C$38*SIN(2*PI()*(Scenario_Data!U62)/Inputs!$C$39)*SIN(2*PI()*(Inputs!$C$6)/Inputs!$C$40)+-Inputs!$C$41*EXP(-(((Inputs!$C$6)-Inputs!$C$43)^2)/(2*Inputs!$C$44^2))*EXP(-(((Scenario_Data!U62)-Inputs!$C$42)^2)/(2*Inputs!$C$45^2))+Inputs!$C$48*(0.7*(0.45*SIN(2*PI()*(((Scenario_Data!U62)/Inputs!$C$49)+Inputs!$C$47*0.137))+0.35*COS(2*PI()*(((Inputs!$C$6)/Inputs!$C$50)+Inputs!$C$47*0.173))+0.2*SIN(2*PI()*((((Scenario_Data!U62)+(Inputs!$C$6))/(0.5*(Inputs!$C$49+Inputs!$C$50)))+Inputs!$C$47*0.097)))+0.3*(2*((SIN(((Scenario_Data!U62)*12.9898+(Inputs!$C$6)*78.233+Inputs!$C$47*37.719))*43758.5453)-INT((SIN(((Scenario_Data!U62)*12.9898+(Inputs!$C$6)*78.233+Inputs!$C$47*37.719))*43758.5453)))-1))))/1000))^2-2*(Inputs!$C$52+(Scenario_Data!C62))*(Inputs!$C$52+((IF(OR(Inputs!$C$27=TRUE,Inputs!$C$27="TRUE",Inputs!$C$27=1),1,0)*(Inputs!$C$51*(115*EXP(-(((Inputs!$C$6)-25)^2)/(4.5^2))+70*EXP(-(((Inputs!$C$6)+38)^2)/(7^2))*(0.55+0.45*SIN(2*PI()*(Scenario_Data!U62)/45))+24*SIN(2*PI()*(Inputs!$C$6)/9+(Scenario_Data!U62)/18)*EXP(-(((Inputs!$C$6)+5)^2)/(22^2))+18*SIN(2*PI()*(Scenario_Data!U62)/70))+Inputs!$C$28*EXP(-(((Scenario_Data!U62)-Inputs!$C$29)^2)/(2*Inputs!$C$31^2))*EXP(-(((Inputs!$C$6)-Inputs!$C$30)^2)/(2*Inputs!$C$32^2))+-Inputs!$C$33*EXP(-(((((Scenario_Data!U62)-Inputs!$C$34)^2)+(((Inputs!$C$6)-Inputs!$C$35)^2))/(2*Inputs!$C$36^2)))+Inputs!$C$37*(0.55*SIN(2*PI()*(Scenario_Data!U62)/Inputs!$C$39)+0.35*COS(2*PI()*(Inputs!$C$6)/Inputs!$C$40)+0.2*SIN(2*PI()*((Scenario_Data!U62)+(Inputs!$C$6))/(0.5*(Inputs!$C$39+Inputs!$C$40))))+Inputs!$C$38*SIN(2*PI()*(Scenario_Data!U62)/Inputs!$C$39)*SIN(2*PI()*(Inputs!$C$6)/Inputs!$C$40)+-Inputs!$C$41*EXP(-(((Inputs!$C$6)-Inputs!$C$43)^2)/(2*Inputs!$C$44^2))*EXP(-(((Scenario_Data!U62)-Inputs!$C$42)^2)/(2*Inputs!$C$45^2))+Inputs!$C$48*(0.7*(0.45*SIN(2*PI()*(((Scenario_Data!U62)/Inputs!$C$49)+Inputs!$C$47*0.137))+0.35*COS(2*PI()*(((Inputs!$C$6)/Inputs!$C$50)+Inputs!$C$47*0.173))+0.2*SIN(2*PI()*((((Scenario_Data!U62)+(Inputs!$C$6))/(0.5*(Inputs!$C$49+Inputs!$C$50)))+Inputs!$C$47*0.097)))+0.3*(2*((SIN(((Scenario_Data!U62)*12.9898+(Inputs!$C$6)*78.233+Inputs!$C$47*37.719))*43758.5453)-INT((SIN(((Scenario_Data!U62)*12.9898+(Inputs!$C$6)*78.233+Inputs!$C$47*37.719))*43758.5453)))-1))))/1000))*COS(SQRT((Scenario_Data!U62)^2+Inputs!$C$6^2)/Inputs!$C$52))*1000)/Inputs!$C$21*1000000</f>
        <v/>
      </c>
      <c r="AT62">
        <f>Scenario_Data!V62</f>
        <v/>
      </c>
      <c r="AU62">
        <f>2*(SQRT((Inputs!$C$52+(Scenario_Data!D62))^2+(Inputs!$C$52+((IF(OR(Inputs!$C$27=TRUE,Inputs!$C$27="TRUE",Inputs!$C$27=1),1,0)*(Inputs!$C$51*(115*EXP(-(((Inputs!$C$6)-25)^2)/(4.5^2))+70*EXP(-(((Inputs!$C$6)+38)^2)/(7^2))*(0.55+0.45*SIN(2*PI()*(Scenario_Data!V62)/45))+24*SIN(2*PI()*(Inputs!$C$6)/9+(Scenario_Data!V62)/18)*EXP(-(((Inputs!$C$6)+5)^2)/(22^2))+18*SIN(2*PI()*(Scenario_Data!V62)/70))+Inputs!$C$28*EXP(-(((Scenario_Data!V62)-Inputs!$C$29)^2)/(2*Inputs!$C$31^2))*EXP(-(((Inputs!$C$6)-Inputs!$C$30)^2)/(2*Inputs!$C$32^2))+-Inputs!$C$33*EXP(-(((((Scenario_Data!V62)-Inputs!$C$34)^2)+(((Inputs!$C$6)-Inputs!$C$35)^2))/(2*Inputs!$C$36^2)))+Inputs!$C$37*(0.55*SIN(2*PI()*(Scenario_Data!V62)/Inputs!$C$39)+0.35*COS(2*PI()*(Inputs!$C$6)/Inputs!$C$40)+0.2*SIN(2*PI()*((Scenario_Data!V62)+(Inputs!$C$6))/(0.5*(Inputs!$C$39+Inputs!$C$40))))+Inputs!$C$38*SIN(2*PI()*(Scenario_Data!V62)/Inputs!$C$39)*SIN(2*PI()*(Inputs!$C$6)/Inputs!$C$40)+-Inputs!$C$41*EXP(-(((Inputs!$C$6)-Inputs!$C$43)^2)/(2*Inputs!$C$44^2))*EXP(-(((Scenario_Data!V62)-Inputs!$C$42)^2)/(2*Inputs!$C$45^2))+Inputs!$C$48*(0.7*(0.45*SIN(2*PI()*(((Scenario_Data!V62)/Inputs!$C$49)+Inputs!$C$47*0.137))+0.35*COS(2*PI()*(((Inputs!$C$6)/Inputs!$C$50)+Inputs!$C$47*0.173))+0.2*SIN(2*PI()*((((Scenario_Data!V62)+(Inputs!$C$6))/(0.5*(Inputs!$C$49+Inputs!$C$50)))+Inputs!$C$47*0.097)))+0.3*(2*((SIN(((Scenario_Data!V62)*12.9898+(Inputs!$C$6)*78.233+Inputs!$C$47*37.719))*43758.5453)-INT((SIN(((Scenario_Data!V62)*12.9898+(Inputs!$C$6)*78.233+Inputs!$C$47*37.719))*43758.5453)))-1))))/1000))^2-2*(Inputs!$C$52+(Scenario_Data!D62))*(Inputs!$C$52+((IF(OR(Inputs!$C$27=TRUE,Inputs!$C$27="TRUE",Inputs!$C$27=1),1,0)*(Inputs!$C$51*(115*EXP(-(((Inputs!$C$6)-25)^2)/(4.5^2))+70*EXP(-(((Inputs!$C$6)+38)^2)/(7^2))*(0.55+0.45*SIN(2*PI()*(Scenario_Data!V62)/45))+24*SIN(2*PI()*(Inputs!$C$6)/9+(Scenario_Data!V62)/18)*EXP(-(((Inputs!$C$6)+5)^2)/(22^2))+18*SIN(2*PI()*(Scenario_Data!V62)/70))+Inputs!$C$28*EXP(-(((Scenario_Data!V62)-Inputs!$C$29)^2)/(2*Inputs!$C$31^2))*EXP(-(((Inputs!$C$6)-Inputs!$C$30)^2)/(2*Inputs!$C$32^2))+-Inputs!$C$33*EXP(-(((((Scenario_Data!V62)-Inputs!$C$34)^2)+(((Inputs!$C$6)-Inputs!$C$35)^2))/(2*Inputs!$C$36^2)))+Inputs!$C$37*(0.55*SIN(2*PI()*(Scenario_Data!V62)/Inputs!$C$39)+0.35*COS(2*PI()*(Inputs!$C$6)/Inputs!$C$40)+0.2*SIN(2*PI()*((Scenario_Data!V62)+(Inputs!$C$6))/(0.5*(Inputs!$C$39+Inputs!$C$40))))+Inputs!$C$38*SIN(2*PI()*(Scenario_Data!V62)/Inputs!$C$39)*SIN(2*PI()*(Inputs!$C$6)/Inputs!$C$40)+-Inputs!$C$41*EXP(-(((Inputs!$C$6)-Inputs!$C$43)^2)/(2*Inputs!$C$44^2))*EXP(-(((Scenario_Data!V62)-Inputs!$C$42)^2)/(2*Inputs!$C$45^2))+Inputs!$C$48*(0.7*(0.45*SIN(2*PI()*(((Scenario_Data!V62)/Inputs!$C$49)+Inputs!$C$47*0.137))+0.35*COS(2*PI()*(((Inputs!$C$6)/Inputs!$C$50)+Inputs!$C$47*0.173))+0.2*SIN(2*PI()*((((Scenario_Data!V62)+(Inputs!$C$6))/(0.5*(Inputs!$C$49+Inputs!$C$50)))+Inputs!$C$47*0.097)))+0.3*(2*((SIN(((Scenario_Data!V62)*12.9898+(Inputs!$C$6)*78.233+Inputs!$C$47*37.719))*43758.5453)-INT((SIN(((Scenario_Data!V62)*12.9898+(Inputs!$C$6)*78.233+Inputs!$C$47*37.719))*43758.5453)))-1))))/1000))*COS(SQRT((Scenario_Data!V62)^2+Inputs!$C$6^2)/Inputs!$C$52))*1000)/Inputs!$C$21*1000000</f>
        <v/>
      </c>
      <c r="AV62">
        <f>Scenario_Data!W62</f>
        <v/>
      </c>
      <c r="AW62">
        <f>2*(SQRT((Inputs!$C$52+(Scenario_Data!E62))^2+(Inputs!$C$52+((IF(OR(Inputs!$C$27=TRUE,Inputs!$C$27="TRUE",Inputs!$C$27=1),1,0)*(Inputs!$C$51*(115*EXP(-(((Inputs!$C$6)-25)^2)/(4.5^2))+70*EXP(-(((Inputs!$C$6)+38)^2)/(7^2))*(0.55+0.45*SIN(2*PI()*(Scenario_Data!W62)/45))+24*SIN(2*PI()*(Inputs!$C$6)/9+(Scenario_Data!W62)/18)*EXP(-(((Inputs!$C$6)+5)^2)/(22^2))+18*SIN(2*PI()*(Scenario_Data!W62)/70))+Inputs!$C$28*EXP(-(((Scenario_Data!W62)-Inputs!$C$29)^2)/(2*Inputs!$C$31^2))*EXP(-(((Inputs!$C$6)-Inputs!$C$30)^2)/(2*Inputs!$C$32^2))+-Inputs!$C$33*EXP(-(((((Scenario_Data!W62)-Inputs!$C$34)^2)+(((Inputs!$C$6)-Inputs!$C$35)^2))/(2*Inputs!$C$36^2)))+Inputs!$C$37*(0.55*SIN(2*PI()*(Scenario_Data!W62)/Inputs!$C$39)+0.35*COS(2*PI()*(Inputs!$C$6)/Inputs!$C$40)+0.2*SIN(2*PI()*((Scenario_Data!W62)+(Inputs!$C$6))/(0.5*(Inputs!$C$39+Inputs!$C$40))))+Inputs!$C$38*SIN(2*PI()*(Scenario_Data!W62)/Inputs!$C$39)*SIN(2*PI()*(Inputs!$C$6)/Inputs!$C$40)+-Inputs!$C$41*EXP(-(((Inputs!$C$6)-Inputs!$C$43)^2)/(2*Inputs!$C$44^2))*EXP(-(((Scenario_Data!W62)-Inputs!$C$42)^2)/(2*Inputs!$C$45^2))+Inputs!$C$48*(0.7*(0.45*SIN(2*PI()*(((Scenario_Data!W62)/Inputs!$C$49)+Inputs!$C$47*0.137))+0.35*COS(2*PI()*(((Inputs!$C$6)/Inputs!$C$50)+Inputs!$C$47*0.173))+0.2*SIN(2*PI()*((((Scenario_Data!W62)+(Inputs!$C$6))/(0.5*(Inputs!$C$49+Inputs!$C$50)))+Inputs!$C$47*0.097)))+0.3*(2*((SIN(((Scenario_Data!W62)*12.9898+(Inputs!$C$6)*78.233+Inputs!$C$47*37.719))*43758.5453)-INT((SIN(((Scenario_Data!W62)*12.9898+(Inputs!$C$6)*78.233+Inputs!$C$47*37.719))*43758.5453)))-1))))/1000))^2-2*(Inputs!$C$52+(Scenario_Data!E62))*(Inputs!$C$52+((IF(OR(Inputs!$C$27=TRUE,Inputs!$C$27="TRUE",Inputs!$C$27=1),1,0)*(Inputs!$C$51*(115*EXP(-(((Inputs!$C$6)-25)^2)/(4.5^2))+70*EXP(-(((Inputs!$C$6)+38)^2)/(7^2))*(0.55+0.45*SIN(2*PI()*(Scenario_Data!W62)/45))+24*SIN(2*PI()*(Inputs!$C$6)/9+(Scenario_Data!W62)/18)*EXP(-(((Inputs!$C$6)+5)^2)/(22^2))+18*SIN(2*PI()*(Scenario_Data!W62)/70))+Inputs!$C$28*EXP(-(((Scenario_Data!W62)-Inputs!$C$29)^2)/(2*Inputs!$C$31^2))*EXP(-(((Inputs!$C$6)-Inputs!$C$30)^2)/(2*Inputs!$C$32^2))+-Inputs!$C$33*EXP(-(((((Scenario_Data!W62)-Inputs!$C$34)^2)+(((Inputs!$C$6)-Inputs!$C$35)^2))/(2*Inputs!$C$36^2)))+Inputs!$C$37*(0.55*SIN(2*PI()*(Scenario_Data!W62)/Inputs!$C$39)+0.35*COS(2*PI()*(Inputs!$C$6)/Inputs!$C$40)+0.2*SIN(2*PI()*((Scenario_Data!W62)+(Inputs!$C$6))/(0.5*(Inputs!$C$39+Inputs!$C$40))))+Inputs!$C$38*SIN(2*PI()*(Scenario_Data!W62)/Inputs!$C$39)*SIN(2*PI()*(Inputs!$C$6)/Inputs!$C$40)+-Inputs!$C$41*EXP(-(((Inputs!$C$6)-Inputs!$C$43)^2)/(2*Inputs!$C$44^2))*EXP(-(((Scenario_Data!W62)-Inputs!$C$42)^2)/(2*Inputs!$C$45^2))+Inputs!$C$48*(0.7*(0.45*SIN(2*PI()*(((Scenario_Data!W62)/Inputs!$C$49)+Inputs!$C$47*0.137))+0.35*COS(2*PI()*(((Inputs!$C$6)/Inputs!$C$50)+Inputs!$C$47*0.173))+0.2*SIN(2*PI()*((((Scenario_Data!W62)+(Inputs!$C$6))/(0.5*(Inputs!$C$49+Inputs!$C$50)))+Inputs!$C$47*0.097)))+0.3*(2*((SIN(((Scenario_Data!W62)*12.9898+(Inputs!$C$6)*78.233+Inputs!$C$47*37.719))*43758.5453)-INT((SIN(((Scenario_Data!W62)*12.9898+(Inputs!$C$6)*78.233+Inputs!$C$47*37.719))*43758.5453)))-1))))/1000))*COS(SQRT((Scenario_Data!W62)^2+Inputs!$C$6^2)/Inputs!$C$52))*1000)/Inputs!$C$21*1000000</f>
        <v/>
      </c>
    </row>
    <row r="63">
      <c r="A63">
        <f>Chart_Data!K63</f>
        <v/>
      </c>
      <c r="B63">
        <f>Chart_Data!N63-Chart_Data!L63</f>
        <v/>
      </c>
      <c r="D63">
        <f>Chart_Data!G63</f>
        <v/>
      </c>
      <c r="E63">
        <f>Chart_Data!H63</f>
        <v/>
      </c>
      <c r="F63">
        <f>Chart_Data!I63</f>
        <v/>
      </c>
      <c r="G63">
        <f>Chart_Data!J63</f>
        <v/>
      </c>
      <c r="I63">
        <f>Scenario_Data!A63</f>
        <v/>
      </c>
      <c r="J63">
        <f>Scenario_Data!H63-(((SQRT((Inputs!$C$52+(Inputs!$H$6))^2+Inputs!$C$52^2-2*(Inputs!$C$52+(Inputs!$H$6))*Inputs!$C$52*COS(SQRT((Scenario_Data!T63)^2+Inputs!$C$6^2)/Inputs!$C$52)))-(Inputs!$H$6))*1000/Inputs!$C$12)</f>
        <v/>
      </c>
      <c r="K63">
        <f>Scenario_Data!I63-(((SQRT((Inputs!$C$52+(Inputs!$H$7))^2+Inputs!$C$52^2-2*(Inputs!$C$52+(Inputs!$H$7))*Inputs!$C$52*COS(SQRT((Scenario_Data!U63)^2+Inputs!$C$6^2)/Inputs!$C$52)))-(Inputs!$H$7))*1000/Inputs!$C$12)</f>
        <v/>
      </c>
      <c r="L63">
        <f>Scenario_Data!J63-(((SQRT((Inputs!$C$52+(Inputs!$H$8))^2+Inputs!$C$52^2-2*(Inputs!$C$52+(Inputs!$H$8))*Inputs!$C$52*COS(SQRT((Scenario_Data!V63)^2+Inputs!$C$6^2)/Inputs!$C$52)))-(Inputs!$H$8))*1000/Inputs!$C$12)</f>
        <v/>
      </c>
      <c r="M63">
        <f>Scenario_Data!K63-(((SQRT((Inputs!$C$52+(Inputs!$H$9))^2+Inputs!$C$52^2-2*(Inputs!$C$52+(Inputs!$H$9))*Inputs!$C$52*COS(SQRT((Scenario_Data!W63)^2+Inputs!$C$6^2)/Inputs!$C$52)))-(Inputs!$H$9))*1000/Inputs!$C$12)</f>
        <v/>
      </c>
      <c r="O63">
        <f>Scenario_Data!T63</f>
        <v/>
      </c>
      <c r="P63">
        <f>2*(Scenario_Data!B63*1000)/Inputs!$C$21*1000000</f>
        <v/>
      </c>
      <c r="Q63">
        <f>Scenario_Data!U63</f>
        <v/>
      </c>
      <c r="R63">
        <f>2*(Scenario_Data!C63*1000)/Inputs!$C$21*1000000</f>
        <v/>
      </c>
      <c r="S63">
        <f>Scenario_Data!V63</f>
        <v/>
      </c>
      <c r="T63">
        <f>2*(Scenario_Data!D63*1000)/Inputs!$C$21*1000000</f>
        <v/>
      </c>
      <c r="U63">
        <f>Scenario_Data!W63</f>
        <v/>
      </c>
      <c r="V63">
        <f>2*(Scenario_Data!E63*1000)/Inputs!$C$21*1000000</f>
        <v/>
      </c>
      <c r="X63">
        <f>Scenario_Data!T63</f>
        <v/>
      </c>
      <c r="Y63">
        <f>2*((Scenario_Data!B63*1000)-(IF(OR(Inputs!$C$27=TRUE,Inputs!$C$27="TRUE",Inputs!$C$27=1),1,0)*(Inputs!$C$51*(115*EXP(-(((0)-25)^2)/(4.5^2))+70*EXP(-(((0)+38)^2)/(7^2))*(0.55+0.45*SIN(2*PI()*(Scenario_Data!T63)/45))+24*SIN(2*PI()*(0)/9+(Scenario_Data!T63)/18)*EXP(-(((0)+5)^2)/(22^2))+18*SIN(2*PI()*(Scenario_Data!T63)/70))+Inputs!$C$28*EXP(-(((Scenario_Data!T63)-Inputs!$C$29)^2)/(2*Inputs!$C$31^2))*EXP(-(((0)-Inputs!$C$30)^2)/(2*Inputs!$C$32^2))+-Inputs!$C$33*EXP(-(((((Scenario_Data!T63)-Inputs!$C$34)^2)+(((0)-Inputs!$C$35)^2))/(2*Inputs!$C$36^2)))+Inputs!$C$37*(0.55*SIN(2*PI()*(Scenario_Data!T63)/Inputs!$C$39)+0.35*COS(2*PI()*(0)/Inputs!$C$40)+0.2*SIN(2*PI()*((Scenario_Data!T63)+(0))/(0.5*(Inputs!$C$39+Inputs!$C$40))))+Inputs!$C$38*SIN(2*PI()*(Scenario_Data!T63)/Inputs!$C$39)*SIN(2*PI()*(0)/Inputs!$C$40)+-Inputs!$C$41*EXP(-(((0)-Inputs!$C$43)^2)/(2*Inputs!$C$44^2))*EXP(-(((Scenario_Data!T63)-Inputs!$C$42)^2)/(2*Inputs!$C$45^2))+Inputs!$C$48*(0.7*(0.45*SIN(2*PI()*(((Scenario_Data!T63)/Inputs!$C$49)+Inputs!$C$47*0.137))+0.35*COS(2*PI()*(((0)/Inputs!$C$50)+Inputs!$C$47*0.173))+0.2*SIN(2*PI()*((((Scenario_Data!T63)+(0))/(0.5*(Inputs!$C$49+Inputs!$C$50)))+Inputs!$C$47*0.097)))+0.3*(2*((SIN(((Scenario_Data!T63)*12.9898+(0)*78.233+Inputs!$C$47*37.719))*43758.5453)-INT((SIN(((Scenario_Data!T63)*12.9898+(0)*78.233+Inputs!$C$47*37.719))*43758.5453)))-1)))))/Inputs!$C$21*1000000</f>
        <v/>
      </c>
      <c r="Z63">
        <f>Scenario_Data!U63</f>
        <v/>
      </c>
      <c r="AA63">
        <f>2*((Scenario_Data!C63*1000)-(IF(OR(Inputs!$C$27=TRUE,Inputs!$C$27="TRUE",Inputs!$C$27=1),1,0)*(Inputs!$C$51*(115*EXP(-(((0)-25)^2)/(4.5^2))+70*EXP(-(((0)+38)^2)/(7^2))*(0.55+0.45*SIN(2*PI()*(Scenario_Data!U63)/45))+24*SIN(2*PI()*(0)/9+(Scenario_Data!U63)/18)*EXP(-(((0)+5)^2)/(22^2))+18*SIN(2*PI()*(Scenario_Data!U63)/70))+Inputs!$C$28*EXP(-(((Scenario_Data!U63)-Inputs!$C$29)^2)/(2*Inputs!$C$31^2))*EXP(-(((0)-Inputs!$C$30)^2)/(2*Inputs!$C$32^2))+-Inputs!$C$33*EXP(-(((((Scenario_Data!U63)-Inputs!$C$34)^2)+(((0)-Inputs!$C$35)^2))/(2*Inputs!$C$36^2)))+Inputs!$C$37*(0.55*SIN(2*PI()*(Scenario_Data!U63)/Inputs!$C$39)+0.35*COS(2*PI()*(0)/Inputs!$C$40)+0.2*SIN(2*PI()*((Scenario_Data!U63)+(0))/(0.5*(Inputs!$C$39+Inputs!$C$40))))+Inputs!$C$38*SIN(2*PI()*(Scenario_Data!U63)/Inputs!$C$39)*SIN(2*PI()*(0)/Inputs!$C$40)+-Inputs!$C$41*EXP(-(((0)-Inputs!$C$43)^2)/(2*Inputs!$C$44^2))*EXP(-(((Scenario_Data!U63)-Inputs!$C$42)^2)/(2*Inputs!$C$45^2))+Inputs!$C$48*(0.7*(0.45*SIN(2*PI()*(((Scenario_Data!U63)/Inputs!$C$49)+Inputs!$C$47*0.137))+0.35*COS(2*PI()*(((0)/Inputs!$C$50)+Inputs!$C$47*0.173))+0.2*SIN(2*PI()*((((Scenario_Data!U63)+(0))/(0.5*(Inputs!$C$49+Inputs!$C$50)))+Inputs!$C$47*0.097)))+0.3*(2*((SIN(((Scenario_Data!U63)*12.9898+(0)*78.233+Inputs!$C$47*37.719))*43758.5453)-INT((SIN(((Scenario_Data!U63)*12.9898+(0)*78.233+Inputs!$C$47*37.719))*43758.5453)))-1)))))/Inputs!$C$21*1000000</f>
        <v/>
      </c>
      <c r="AB63">
        <f>Scenario_Data!V63</f>
        <v/>
      </c>
      <c r="AC63">
        <f>2*((Scenario_Data!D63*1000)-(IF(OR(Inputs!$C$27=TRUE,Inputs!$C$27="TRUE",Inputs!$C$27=1),1,0)*(Inputs!$C$51*(115*EXP(-(((0)-25)^2)/(4.5^2))+70*EXP(-(((0)+38)^2)/(7^2))*(0.55+0.45*SIN(2*PI()*(Scenario_Data!V63)/45))+24*SIN(2*PI()*(0)/9+(Scenario_Data!V63)/18)*EXP(-(((0)+5)^2)/(22^2))+18*SIN(2*PI()*(Scenario_Data!V63)/70))+Inputs!$C$28*EXP(-(((Scenario_Data!V63)-Inputs!$C$29)^2)/(2*Inputs!$C$31^2))*EXP(-(((0)-Inputs!$C$30)^2)/(2*Inputs!$C$32^2))+-Inputs!$C$33*EXP(-(((((Scenario_Data!V63)-Inputs!$C$34)^2)+(((0)-Inputs!$C$35)^2))/(2*Inputs!$C$36^2)))+Inputs!$C$37*(0.55*SIN(2*PI()*(Scenario_Data!V63)/Inputs!$C$39)+0.35*COS(2*PI()*(0)/Inputs!$C$40)+0.2*SIN(2*PI()*((Scenario_Data!V63)+(0))/(0.5*(Inputs!$C$39+Inputs!$C$40))))+Inputs!$C$38*SIN(2*PI()*(Scenario_Data!V63)/Inputs!$C$39)*SIN(2*PI()*(0)/Inputs!$C$40)+-Inputs!$C$41*EXP(-(((0)-Inputs!$C$43)^2)/(2*Inputs!$C$44^2))*EXP(-(((Scenario_Data!V63)-Inputs!$C$42)^2)/(2*Inputs!$C$45^2))+Inputs!$C$48*(0.7*(0.45*SIN(2*PI()*(((Scenario_Data!V63)/Inputs!$C$49)+Inputs!$C$47*0.137))+0.35*COS(2*PI()*(((0)/Inputs!$C$50)+Inputs!$C$47*0.173))+0.2*SIN(2*PI()*((((Scenario_Data!V63)+(0))/(0.5*(Inputs!$C$49+Inputs!$C$50)))+Inputs!$C$47*0.097)))+0.3*(2*((SIN(((Scenario_Data!V63)*12.9898+(0)*78.233+Inputs!$C$47*37.719))*43758.5453)-INT((SIN(((Scenario_Data!V63)*12.9898+(0)*78.233+Inputs!$C$47*37.719))*43758.5453)))-1)))))/Inputs!$C$21*1000000</f>
        <v/>
      </c>
      <c r="AD63">
        <f>Scenario_Data!W63</f>
        <v/>
      </c>
      <c r="AE63">
        <f>2*((Scenario_Data!E63*1000)-(IF(OR(Inputs!$C$27=TRUE,Inputs!$C$27="TRUE",Inputs!$C$27=1),1,0)*(Inputs!$C$51*(115*EXP(-(((0)-25)^2)/(4.5^2))+70*EXP(-(((0)+38)^2)/(7^2))*(0.55+0.45*SIN(2*PI()*(Scenario_Data!W63)/45))+24*SIN(2*PI()*(0)/9+(Scenario_Data!W63)/18)*EXP(-(((0)+5)^2)/(22^2))+18*SIN(2*PI()*(Scenario_Data!W63)/70))+Inputs!$C$28*EXP(-(((Scenario_Data!W63)-Inputs!$C$29)^2)/(2*Inputs!$C$31^2))*EXP(-(((0)-Inputs!$C$30)^2)/(2*Inputs!$C$32^2))+-Inputs!$C$33*EXP(-(((((Scenario_Data!W63)-Inputs!$C$34)^2)+(((0)-Inputs!$C$35)^2))/(2*Inputs!$C$36^2)))+Inputs!$C$37*(0.55*SIN(2*PI()*(Scenario_Data!W63)/Inputs!$C$39)+0.35*COS(2*PI()*(0)/Inputs!$C$40)+0.2*SIN(2*PI()*((Scenario_Data!W63)+(0))/(0.5*(Inputs!$C$39+Inputs!$C$40))))+Inputs!$C$38*SIN(2*PI()*(Scenario_Data!W63)/Inputs!$C$39)*SIN(2*PI()*(0)/Inputs!$C$40)+-Inputs!$C$41*EXP(-(((0)-Inputs!$C$43)^2)/(2*Inputs!$C$44^2))*EXP(-(((Scenario_Data!W63)-Inputs!$C$42)^2)/(2*Inputs!$C$45^2))+Inputs!$C$48*(0.7*(0.45*SIN(2*PI()*(((Scenario_Data!W63)/Inputs!$C$49)+Inputs!$C$47*0.137))+0.35*COS(2*PI()*(((0)/Inputs!$C$50)+Inputs!$C$47*0.173))+0.2*SIN(2*PI()*((((Scenario_Data!W63)+(0))/(0.5*(Inputs!$C$49+Inputs!$C$50)))+Inputs!$C$47*0.097)))+0.3*(2*((SIN(((Scenario_Data!W63)*12.9898+(0)*78.233+Inputs!$C$47*37.719))*43758.5453)-INT((SIN(((Scenario_Data!W63)*12.9898+(0)*78.233+Inputs!$C$47*37.719))*43758.5453)))-1)))))/Inputs!$C$21*1000000</f>
        <v/>
      </c>
      <c r="AG63">
        <f>Scenario_Data!T63</f>
        <v/>
      </c>
      <c r="AH63">
        <f>2*(SQRT((Inputs!$C$52+(Scenario_Data!B63))^2+Inputs!$C$52^2-2*(Inputs!$C$52+(Scenario_Data!B63))*Inputs!$C$52*COS(SQRT((Scenario_Data!T63)^2+Inputs!$C$6^2)/Inputs!$C$52))*1000)/Inputs!$C$21*1000000</f>
        <v/>
      </c>
      <c r="AI63">
        <f>Scenario_Data!U63</f>
        <v/>
      </c>
      <c r="AJ63">
        <f>2*(SQRT((Inputs!$C$52+(Scenario_Data!C63))^2+Inputs!$C$52^2-2*(Inputs!$C$52+(Scenario_Data!C63))*Inputs!$C$52*COS(SQRT((Scenario_Data!U63)^2+Inputs!$C$6^2)/Inputs!$C$52))*1000)/Inputs!$C$21*1000000</f>
        <v/>
      </c>
      <c r="AK63">
        <f>Scenario_Data!V63</f>
        <v/>
      </c>
      <c r="AL63">
        <f>2*(SQRT((Inputs!$C$52+(Scenario_Data!D63))^2+Inputs!$C$52^2-2*(Inputs!$C$52+(Scenario_Data!D63))*Inputs!$C$52*COS(SQRT((Scenario_Data!V63)^2+Inputs!$C$6^2)/Inputs!$C$52))*1000)/Inputs!$C$21*1000000</f>
        <v/>
      </c>
      <c r="AM63">
        <f>Scenario_Data!W63</f>
        <v/>
      </c>
      <c r="AN63">
        <f>2*(SQRT((Inputs!$C$52+(Scenario_Data!E63))^2+Inputs!$C$52^2-2*(Inputs!$C$52+(Scenario_Data!E63))*Inputs!$C$52*COS(SQRT((Scenario_Data!W63)^2+Inputs!$C$6^2)/Inputs!$C$52))*1000)/Inputs!$C$21*1000000</f>
        <v/>
      </c>
      <c r="AP63">
        <f>Scenario_Data!T63</f>
        <v/>
      </c>
      <c r="AQ63">
        <f>2*(SQRT((Inputs!$C$52+(Scenario_Data!B63))^2+(Inputs!$C$52+((IF(OR(Inputs!$C$27=TRUE,Inputs!$C$27="TRUE",Inputs!$C$27=1),1,0)*(Inputs!$C$51*(115*EXP(-(((Inputs!$C$6)-25)^2)/(4.5^2))+70*EXP(-(((Inputs!$C$6)+38)^2)/(7^2))*(0.55+0.45*SIN(2*PI()*(Scenario_Data!T63)/45))+24*SIN(2*PI()*(Inputs!$C$6)/9+(Scenario_Data!T63)/18)*EXP(-(((Inputs!$C$6)+5)^2)/(22^2))+18*SIN(2*PI()*(Scenario_Data!T63)/70))+Inputs!$C$28*EXP(-(((Scenario_Data!T63)-Inputs!$C$29)^2)/(2*Inputs!$C$31^2))*EXP(-(((Inputs!$C$6)-Inputs!$C$30)^2)/(2*Inputs!$C$32^2))+-Inputs!$C$33*EXP(-(((((Scenario_Data!T63)-Inputs!$C$34)^2)+(((Inputs!$C$6)-Inputs!$C$35)^2))/(2*Inputs!$C$36^2)))+Inputs!$C$37*(0.55*SIN(2*PI()*(Scenario_Data!T63)/Inputs!$C$39)+0.35*COS(2*PI()*(Inputs!$C$6)/Inputs!$C$40)+0.2*SIN(2*PI()*((Scenario_Data!T63)+(Inputs!$C$6))/(0.5*(Inputs!$C$39+Inputs!$C$40))))+Inputs!$C$38*SIN(2*PI()*(Scenario_Data!T63)/Inputs!$C$39)*SIN(2*PI()*(Inputs!$C$6)/Inputs!$C$40)+-Inputs!$C$41*EXP(-(((Inputs!$C$6)-Inputs!$C$43)^2)/(2*Inputs!$C$44^2))*EXP(-(((Scenario_Data!T63)-Inputs!$C$42)^2)/(2*Inputs!$C$45^2))+Inputs!$C$48*(0.7*(0.45*SIN(2*PI()*(((Scenario_Data!T63)/Inputs!$C$49)+Inputs!$C$47*0.137))+0.35*COS(2*PI()*(((Inputs!$C$6)/Inputs!$C$50)+Inputs!$C$47*0.173))+0.2*SIN(2*PI()*((((Scenario_Data!T63)+(Inputs!$C$6))/(0.5*(Inputs!$C$49+Inputs!$C$50)))+Inputs!$C$47*0.097)))+0.3*(2*((SIN(((Scenario_Data!T63)*12.9898+(Inputs!$C$6)*78.233+Inputs!$C$47*37.719))*43758.5453)-INT((SIN(((Scenario_Data!T63)*12.9898+(Inputs!$C$6)*78.233+Inputs!$C$47*37.719))*43758.5453)))-1))))/1000))^2-2*(Inputs!$C$52+(Scenario_Data!B63))*(Inputs!$C$52+((IF(OR(Inputs!$C$27=TRUE,Inputs!$C$27="TRUE",Inputs!$C$27=1),1,0)*(Inputs!$C$51*(115*EXP(-(((Inputs!$C$6)-25)^2)/(4.5^2))+70*EXP(-(((Inputs!$C$6)+38)^2)/(7^2))*(0.55+0.45*SIN(2*PI()*(Scenario_Data!T63)/45))+24*SIN(2*PI()*(Inputs!$C$6)/9+(Scenario_Data!T63)/18)*EXP(-(((Inputs!$C$6)+5)^2)/(22^2))+18*SIN(2*PI()*(Scenario_Data!T63)/70))+Inputs!$C$28*EXP(-(((Scenario_Data!T63)-Inputs!$C$29)^2)/(2*Inputs!$C$31^2))*EXP(-(((Inputs!$C$6)-Inputs!$C$30)^2)/(2*Inputs!$C$32^2))+-Inputs!$C$33*EXP(-(((((Scenario_Data!T63)-Inputs!$C$34)^2)+(((Inputs!$C$6)-Inputs!$C$35)^2))/(2*Inputs!$C$36^2)))+Inputs!$C$37*(0.55*SIN(2*PI()*(Scenario_Data!T63)/Inputs!$C$39)+0.35*COS(2*PI()*(Inputs!$C$6)/Inputs!$C$40)+0.2*SIN(2*PI()*((Scenario_Data!T63)+(Inputs!$C$6))/(0.5*(Inputs!$C$39+Inputs!$C$40))))+Inputs!$C$38*SIN(2*PI()*(Scenario_Data!T63)/Inputs!$C$39)*SIN(2*PI()*(Inputs!$C$6)/Inputs!$C$40)+-Inputs!$C$41*EXP(-(((Inputs!$C$6)-Inputs!$C$43)^2)/(2*Inputs!$C$44^2))*EXP(-(((Scenario_Data!T63)-Inputs!$C$42)^2)/(2*Inputs!$C$45^2))+Inputs!$C$48*(0.7*(0.45*SIN(2*PI()*(((Scenario_Data!T63)/Inputs!$C$49)+Inputs!$C$47*0.137))+0.35*COS(2*PI()*(((Inputs!$C$6)/Inputs!$C$50)+Inputs!$C$47*0.173))+0.2*SIN(2*PI()*((((Scenario_Data!T63)+(Inputs!$C$6))/(0.5*(Inputs!$C$49+Inputs!$C$50)))+Inputs!$C$47*0.097)))+0.3*(2*((SIN(((Scenario_Data!T63)*12.9898+(Inputs!$C$6)*78.233+Inputs!$C$47*37.719))*43758.5453)-INT((SIN(((Scenario_Data!T63)*12.9898+(Inputs!$C$6)*78.233+Inputs!$C$47*37.719))*43758.5453)))-1))))/1000))*COS(SQRT((Scenario_Data!T63)^2+Inputs!$C$6^2)/Inputs!$C$52))*1000)/Inputs!$C$21*1000000</f>
        <v/>
      </c>
      <c r="AR63">
        <f>Scenario_Data!U63</f>
        <v/>
      </c>
      <c r="AS63">
        <f>2*(SQRT((Inputs!$C$52+(Scenario_Data!C63))^2+(Inputs!$C$52+((IF(OR(Inputs!$C$27=TRUE,Inputs!$C$27="TRUE",Inputs!$C$27=1),1,0)*(Inputs!$C$51*(115*EXP(-(((Inputs!$C$6)-25)^2)/(4.5^2))+70*EXP(-(((Inputs!$C$6)+38)^2)/(7^2))*(0.55+0.45*SIN(2*PI()*(Scenario_Data!U63)/45))+24*SIN(2*PI()*(Inputs!$C$6)/9+(Scenario_Data!U63)/18)*EXP(-(((Inputs!$C$6)+5)^2)/(22^2))+18*SIN(2*PI()*(Scenario_Data!U63)/70))+Inputs!$C$28*EXP(-(((Scenario_Data!U63)-Inputs!$C$29)^2)/(2*Inputs!$C$31^2))*EXP(-(((Inputs!$C$6)-Inputs!$C$30)^2)/(2*Inputs!$C$32^2))+-Inputs!$C$33*EXP(-(((((Scenario_Data!U63)-Inputs!$C$34)^2)+(((Inputs!$C$6)-Inputs!$C$35)^2))/(2*Inputs!$C$36^2)))+Inputs!$C$37*(0.55*SIN(2*PI()*(Scenario_Data!U63)/Inputs!$C$39)+0.35*COS(2*PI()*(Inputs!$C$6)/Inputs!$C$40)+0.2*SIN(2*PI()*((Scenario_Data!U63)+(Inputs!$C$6))/(0.5*(Inputs!$C$39+Inputs!$C$40))))+Inputs!$C$38*SIN(2*PI()*(Scenario_Data!U63)/Inputs!$C$39)*SIN(2*PI()*(Inputs!$C$6)/Inputs!$C$40)+-Inputs!$C$41*EXP(-(((Inputs!$C$6)-Inputs!$C$43)^2)/(2*Inputs!$C$44^2))*EXP(-(((Scenario_Data!U63)-Inputs!$C$42)^2)/(2*Inputs!$C$45^2))+Inputs!$C$48*(0.7*(0.45*SIN(2*PI()*(((Scenario_Data!U63)/Inputs!$C$49)+Inputs!$C$47*0.137))+0.35*COS(2*PI()*(((Inputs!$C$6)/Inputs!$C$50)+Inputs!$C$47*0.173))+0.2*SIN(2*PI()*((((Scenario_Data!U63)+(Inputs!$C$6))/(0.5*(Inputs!$C$49+Inputs!$C$50)))+Inputs!$C$47*0.097)))+0.3*(2*((SIN(((Scenario_Data!U63)*12.9898+(Inputs!$C$6)*78.233+Inputs!$C$47*37.719))*43758.5453)-INT((SIN(((Scenario_Data!U63)*12.9898+(Inputs!$C$6)*78.233+Inputs!$C$47*37.719))*43758.5453)))-1))))/1000))^2-2*(Inputs!$C$52+(Scenario_Data!C63))*(Inputs!$C$52+((IF(OR(Inputs!$C$27=TRUE,Inputs!$C$27="TRUE",Inputs!$C$27=1),1,0)*(Inputs!$C$51*(115*EXP(-(((Inputs!$C$6)-25)^2)/(4.5^2))+70*EXP(-(((Inputs!$C$6)+38)^2)/(7^2))*(0.55+0.45*SIN(2*PI()*(Scenario_Data!U63)/45))+24*SIN(2*PI()*(Inputs!$C$6)/9+(Scenario_Data!U63)/18)*EXP(-(((Inputs!$C$6)+5)^2)/(22^2))+18*SIN(2*PI()*(Scenario_Data!U63)/70))+Inputs!$C$28*EXP(-(((Scenario_Data!U63)-Inputs!$C$29)^2)/(2*Inputs!$C$31^2))*EXP(-(((Inputs!$C$6)-Inputs!$C$30)^2)/(2*Inputs!$C$32^2))+-Inputs!$C$33*EXP(-(((((Scenario_Data!U63)-Inputs!$C$34)^2)+(((Inputs!$C$6)-Inputs!$C$35)^2))/(2*Inputs!$C$36^2)))+Inputs!$C$37*(0.55*SIN(2*PI()*(Scenario_Data!U63)/Inputs!$C$39)+0.35*COS(2*PI()*(Inputs!$C$6)/Inputs!$C$40)+0.2*SIN(2*PI()*((Scenario_Data!U63)+(Inputs!$C$6))/(0.5*(Inputs!$C$39+Inputs!$C$40))))+Inputs!$C$38*SIN(2*PI()*(Scenario_Data!U63)/Inputs!$C$39)*SIN(2*PI()*(Inputs!$C$6)/Inputs!$C$40)+-Inputs!$C$41*EXP(-(((Inputs!$C$6)-Inputs!$C$43)^2)/(2*Inputs!$C$44^2))*EXP(-(((Scenario_Data!U63)-Inputs!$C$42)^2)/(2*Inputs!$C$45^2))+Inputs!$C$48*(0.7*(0.45*SIN(2*PI()*(((Scenario_Data!U63)/Inputs!$C$49)+Inputs!$C$47*0.137))+0.35*COS(2*PI()*(((Inputs!$C$6)/Inputs!$C$50)+Inputs!$C$47*0.173))+0.2*SIN(2*PI()*((((Scenario_Data!U63)+(Inputs!$C$6))/(0.5*(Inputs!$C$49+Inputs!$C$50)))+Inputs!$C$47*0.097)))+0.3*(2*((SIN(((Scenario_Data!U63)*12.9898+(Inputs!$C$6)*78.233+Inputs!$C$47*37.719))*43758.5453)-INT((SIN(((Scenario_Data!U63)*12.9898+(Inputs!$C$6)*78.233+Inputs!$C$47*37.719))*43758.5453)))-1))))/1000))*COS(SQRT((Scenario_Data!U63)^2+Inputs!$C$6^2)/Inputs!$C$52))*1000)/Inputs!$C$21*1000000</f>
        <v/>
      </c>
      <c r="AT63">
        <f>Scenario_Data!V63</f>
        <v/>
      </c>
      <c r="AU63">
        <f>2*(SQRT((Inputs!$C$52+(Scenario_Data!D63))^2+(Inputs!$C$52+((IF(OR(Inputs!$C$27=TRUE,Inputs!$C$27="TRUE",Inputs!$C$27=1),1,0)*(Inputs!$C$51*(115*EXP(-(((Inputs!$C$6)-25)^2)/(4.5^2))+70*EXP(-(((Inputs!$C$6)+38)^2)/(7^2))*(0.55+0.45*SIN(2*PI()*(Scenario_Data!V63)/45))+24*SIN(2*PI()*(Inputs!$C$6)/9+(Scenario_Data!V63)/18)*EXP(-(((Inputs!$C$6)+5)^2)/(22^2))+18*SIN(2*PI()*(Scenario_Data!V63)/70))+Inputs!$C$28*EXP(-(((Scenario_Data!V63)-Inputs!$C$29)^2)/(2*Inputs!$C$31^2))*EXP(-(((Inputs!$C$6)-Inputs!$C$30)^2)/(2*Inputs!$C$32^2))+-Inputs!$C$33*EXP(-(((((Scenario_Data!V63)-Inputs!$C$34)^2)+(((Inputs!$C$6)-Inputs!$C$35)^2))/(2*Inputs!$C$36^2)))+Inputs!$C$37*(0.55*SIN(2*PI()*(Scenario_Data!V63)/Inputs!$C$39)+0.35*COS(2*PI()*(Inputs!$C$6)/Inputs!$C$40)+0.2*SIN(2*PI()*((Scenario_Data!V63)+(Inputs!$C$6))/(0.5*(Inputs!$C$39+Inputs!$C$40))))+Inputs!$C$38*SIN(2*PI()*(Scenario_Data!V63)/Inputs!$C$39)*SIN(2*PI()*(Inputs!$C$6)/Inputs!$C$40)+-Inputs!$C$41*EXP(-(((Inputs!$C$6)-Inputs!$C$43)^2)/(2*Inputs!$C$44^2))*EXP(-(((Scenario_Data!V63)-Inputs!$C$42)^2)/(2*Inputs!$C$45^2))+Inputs!$C$48*(0.7*(0.45*SIN(2*PI()*(((Scenario_Data!V63)/Inputs!$C$49)+Inputs!$C$47*0.137))+0.35*COS(2*PI()*(((Inputs!$C$6)/Inputs!$C$50)+Inputs!$C$47*0.173))+0.2*SIN(2*PI()*((((Scenario_Data!V63)+(Inputs!$C$6))/(0.5*(Inputs!$C$49+Inputs!$C$50)))+Inputs!$C$47*0.097)))+0.3*(2*((SIN(((Scenario_Data!V63)*12.9898+(Inputs!$C$6)*78.233+Inputs!$C$47*37.719))*43758.5453)-INT((SIN(((Scenario_Data!V63)*12.9898+(Inputs!$C$6)*78.233+Inputs!$C$47*37.719))*43758.5453)))-1))))/1000))^2-2*(Inputs!$C$52+(Scenario_Data!D63))*(Inputs!$C$52+((IF(OR(Inputs!$C$27=TRUE,Inputs!$C$27="TRUE",Inputs!$C$27=1),1,0)*(Inputs!$C$51*(115*EXP(-(((Inputs!$C$6)-25)^2)/(4.5^2))+70*EXP(-(((Inputs!$C$6)+38)^2)/(7^2))*(0.55+0.45*SIN(2*PI()*(Scenario_Data!V63)/45))+24*SIN(2*PI()*(Inputs!$C$6)/9+(Scenario_Data!V63)/18)*EXP(-(((Inputs!$C$6)+5)^2)/(22^2))+18*SIN(2*PI()*(Scenario_Data!V63)/70))+Inputs!$C$28*EXP(-(((Scenario_Data!V63)-Inputs!$C$29)^2)/(2*Inputs!$C$31^2))*EXP(-(((Inputs!$C$6)-Inputs!$C$30)^2)/(2*Inputs!$C$32^2))+-Inputs!$C$33*EXP(-(((((Scenario_Data!V63)-Inputs!$C$34)^2)+(((Inputs!$C$6)-Inputs!$C$35)^2))/(2*Inputs!$C$36^2)))+Inputs!$C$37*(0.55*SIN(2*PI()*(Scenario_Data!V63)/Inputs!$C$39)+0.35*COS(2*PI()*(Inputs!$C$6)/Inputs!$C$40)+0.2*SIN(2*PI()*((Scenario_Data!V63)+(Inputs!$C$6))/(0.5*(Inputs!$C$39+Inputs!$C$40))))+Inputs!$C$38*SIN(2*PI()*(Scenario_Data!V63)/Inputs!$C$39)*SIN(2*PI()*(Inputs!$C$6)/Inputs!$C$40)+-Inputs!$C$41*EXP(-(((Inputs!$C$6)-Inputs!$C$43)^2)/(2*Inputs!$C$44^2))*EXP(-(((Scenario_Data!V63)-Inputs!$C$42)^2)/(2*Inputs!$C$45^2))+Inputs!$C$48*(0.7*(0.45*SIN(2*PI()*(((Scenario_Data!V63)/Inputs!$C$49)+Inputs!$C$47*0.137))+0.35*COS(2*PI()*(((Inputs!$C$6)/Inputs!$C$50)+Inputs!$C$47*0.173))+0.2*SIN(2*PI()*((((Scenario_Data!V63)+(Inputs!$C$6))/(0.5*(Inputs!$C$49+Inputs!$C$50)))+Inputs!$C$47*0.097)))+0.3*(2*((SIN(((Scenario_Data!V63)*12.9898+(Inputs!$C$6)*78.233+Inputs!$C$47*37.719))*43758.5453)-INT((SIN(((Scenario_Data!V63)*12.9898+(Inputs!$C$6)*78.233+Inputs!$C$47*37.719))*43758.5453)))-1))))/1000))*COS(SQRT((Scenario_Data!V63)^2+Inputs!$C$6^2)/Inputs!$C$52))*1000)/Inputs!$C$21*1000000</f>
        <v/>
      </c>
      <c r="AV63">
        <f>Scenario_Data!W63</f>
        <v/>
      </c>
      <c r="AW63">
        <f>2*(SQRT((Inputs!$C$52+(Scenario_Data!E63))^2+(Inputs!$C$52+((IF(OR(Inputs!$C$27=TRUE,Inputs!$C$27="TRUE",Inputs!$C$27=1),1,0)*(Inputs!$C$51*(115*EXP(-(((Inputs!$C$6)-25)^2)/(4.5^2))+70*EXP(-(((Inputs!$C$6)+38)^2)/(7^2))*(0.55+0.45*SIN(2*PI()*(Scenario_Data!W63)/45))+24*SIN(2*PI()*(Inputs!$C$6)/9+(Scenario_Data!W63)/18)*EXP(-(((Inputs!$C$6)+5)^2)/(22^2))+18*SIN(2*PI()*(Scenario_Data!W63)/70))+Inputs!$C$28*EXP(-(((Scenario_Data!W63)-Inputs!$C$29)^2)/(2*Inputs!$C$31^2))*EXP(-(((Inputs!$C$6)-Inputs!$C$30)^2)/(2*Inputs!$C$32^2))+-Inputs!$C$33*EXP(-(((((Scenario_Data!W63)-Inputs!$C$34)^2)+(((Inputs!$C$6)-Inputs!$C$35)^2))/(2*Inputs!$C$36^2)))+Inputs!$C$37*(0.55*SIN(2*PI()*(Scenario_Data!W63)/Inputs!$C$39)+0.35*COS(2*PI()*(Inputs!$C$6)/Inputs!$C$40)+0.2*SIN(2*PI()*((Scenario_Data!W63)+(Inputs!$C$6))/(0.5*(Inputs!$C$39+Inputs!$C$40))))+Inputs!$C$38*SIN(2*PI()*(Scenario_Data!W63)/Inputs!$C$39)*SIN(2*PI()*(Inputs!$C$6)/Inputs!$C$40)+-Inputs!$C$41*EXP(-(((Inputs!$C$6)-Inputs!$C$43)^2)/(2*Inputs!$C$44^2))*EXP(-(((Scenario_Data!W63)-Inputs!$C$42)^2)/(2*Inputs!$C$45^2))+Inputs!$C$48*(0.7*(0.45*SIN(2*PI()*(((Scenario_Data!W63)/Inputs!$C$49)+Inputs!$C$47*0.137))+0.35*COS(2*PI()*(((Inputs!$C$6)/Inputs!$C$50)+Inputs!$C$47*0.173))+0.2*SIN(2*PI()*((((Scenario_Data!W63)+(Inputs!$C$6))/(0.5*(Inputs!$C$49+Inputs!$C$50)))+Inputs!$C$47*0.097)))+0.3*(2*((SIN(((Scenario_Data!W63)*12.9898+(Inputs!$C$6)*78.233+Inputs!$C$47*37.719))*43758.5453)-INT((SIN(((Scenario_Data!W63)*12.9898+(Inputs!$C$6)*78.233+Inputs!$C$47*37.719))*43758.5453)))-1))))/1000))^2-2*(Inputs!$C$52+(Scenario_Data!E63))*(Inputs!$C$52+((IF(OR(Inputs!$C$27=TRUE,Inputs!$C$27="TRUE",Inputs!$C$27=1),1,0)*(Inputs!$C$51*(115*EXP(-(((Inputs!$C$6)-25)^2)/(4.5^2))+70*EXP(-(((Inputs!$C$6)+38)^2)/(7^2))*(0.55+0.45*SIN(2*PI()*(Scenario_Data!W63)/45))+24*SIN(2*PI()*(Inputs!$C$6)/9+(Scenario_Data!W63)/18)*EXP(-(((Inputs!$C$6)+5)^2)/(22^2))+18*SIN(2*PI()*(Scenario_Data!W63)/70))+Inputs!$C$28*EXP(-(((Scenario_Data!W63)-Inputs!$C$29)^2)/(2*Inputs!$C$31^2))*EXP(-(((Inputs!$C$6)-Inputs!$C$30)^2)/(2*Inputs!$C$32^2))+-Inputs!$C$33*EXP(-(((((Scenario_Data!W63)-Inputs!$C$34)^2)+(((Inputs!$C$6)-Inputs!$C$35)^2))/(2*Inputs!$C$36^2)))+Inputs!$C$37*(0.55*SIN(2*PI()*(Scenario_Data!W63)/Inputs!$C$39)+0.35*COS(2*PI()*(Inputs!$C$6)/Inputs!$C$40)+0.2*SIN(2*PI()*((Scenario_Data!W63)+(Inputs!$C$6))/(0.5*(Inputs!$C$39+Inputs!$C$40))))+Inputs!$C$38*SIN(2*PI()*(Scenario_Data!W63)/Inputs!$C$39)*SIN(2*PI()*(Inputs!$C$6)/Inputs!$C$40)+-Inputs!$C$41*EXP(-(((Inputs!$C$6)-Inputs!$C$43)^2)/(2*Inputs!$C$44^2))*EXP(-(((Scenario_Data!W63)-Inputs!$C$42)^2)/(2*Inputs!$C$45^2))+Inputs!$C$48*(0.7*(0.45*SIN(2*PI()*(((Scenario_Data!W63)/Inputs!$C$49)+Inputs!$C$47*0.137))+0.35*COS(2*PI()*(((Inputs!$C$6)/Inputs!$C$50)+Inputs!$C$47*0.173))+0.2*SIN(2*PI()*((((Scenario_Data!W63)+(Inputs!$C$6))/(0.5*(Inputs!$C$49+Inputs!$C$50)))+Inputs!$C$47*0.097)))+0.3*(2*((SIN(((Scenario_Data!W63)*12.9898+(Inputs!$C$6)*78.233+Inputs!$C$47*37.719))*43758.5453)-INT((SIN(((Scenario_Data!W63)*12.9898+(Inputs!$C$6)*78.233+Inputs!$C$47*37.719))*43758.5453)))-1))))/1000))*COS(SQRT((Scenario_Data!W63)^2+Inputs!$C$6^2)/Inputs!$C$52))*1000)/Inputs!$C$21*1000000</f>
        <v/>
      </c>
    </row>
    <row r="64">
      <c r="A64">
        <f>Chart_Data!K64</f>
        <v/>
      </c>
      <c r="B64">
        <f>Chart_Data!N64-Chart_Data!L64</f>
        <v/>
      </c>
      <c r="D64">
        <f>Chart_Data!G64</f>
        <v/>
      </c>
      <c r="E64">
        <f>Chart_Data!H64</f>
        <v/>
      </c>
      <c r="F64">
        <f>Chart_Data!I64</f>
        <v/>
      </c>
      <c r="G64">
        <f>Chart_Data!J64</f>
        <v/>
      </c>
      <c r="I64">
        <f>Scenario_Data!A64</f>
        <v/>
      </c>
      <c r="J64">
        <f>Scenario_Data!H64-(((SQRT((Inputs!$C$52+(Inputs!$H$6))^2+Inputs!$C$52^2-2*(Inputs!$C$52+(Inputs!$H$6))*Inputs!$C$52*COS(SQRT((Scenario_Data!T64)^2+Inputs!$C$6^2)/Inputs!$C$52)))-(Inputs!$H$6))*1000/Inputs!$C$12)</f>
        <v/>
      </c>
      <c r="K64">
        <f>Scenario_Data!I64-(((SQRT((Inputs!$C$52+(Inputs!$H$7))^2+Inputs!$C$52^2-2*(Inputs!$C$52+(Inputs!$H$7))*Inputs!$C$52*COS(SQRT((Scenario_Data!U64)^2+Inputs!$C$6^2)/Inputs!$C$52)))-(Inputs!$H$7))*1000/Inputs!$C$12)</f>
        <v/>
      </c>
      <c r="L64">
        <f>Scenario_Data!J64-(((SQRT((Inputs!$C$52+(Inputs!$H$8))^2+Inputs!$C$52^2-2*(Inputs!$C$52+(Inputs!$H$8))*Inputs!$C$52*COS(SQRT((Scenario_Data!V64)^2+Inputs!$C$6^2)/Inputs!$C$52)))-(Inputs!$H$8))*1000/Inputs!$C$12)</f>
        <v/>
      </c>
      <c r="M64">
        <f>Scenario_Data!K64-(((SQRT((Inputs!$C$52+(Inputs!$H$9))^2+Inputs!$C$52^2-2*(Inputs!$C$52+(Inputs!$H$9))*Inputs!$C$52*COS(SQRT((Scenario_Data!W64)^2+Inputs!$C$6^2)/Inputs!$C$52)))-(Inputs!$H$9))*1000/Inputs!$C$12)</f>
        <v/>
      </c>
      <c r="O64">
        <f>Scenario_Data!T64</f>
        <v/>
      </c>
      <c r="P64">
        <f>2*(Scenario_Data!B64*1000)/Inputs!$C$21*1000000</f>
        <v/>
      </c>
      <c r="Q64">
        <f>Scenario_Data!U64</f>
        <v/>
      </c>
      <c r="R64">
        <f>2*(Scenario_Data!C64*1000)/Inputs!$C$21*1000000</f>
        <v/>
      </c>
      <c r="S64">
        <f>Scenario_Data!V64</f>
        <v/>
      </c>
      <c r="T64">
        <f>2*(Scenario_Data!D64*1000)/Inputs!$C$21*1000000</f>
        <v/>
      </c>
      <c r="U64">
        <f>Scenario_Data!W64</f>
        <v/>
      </c>
      <c r="V64">
        <f>2*(Scenario_Data!E64*1000)/Inputs!$C$21*1000000</f>
        <v/>
      </c>
      <c r="X64">
        <f>Scenario_Data!T64</f>
        <v/>
      </c>
      <c r="Y64">
        <f>2*((Scenario_Data!B64*1000)-(IF(OR(Inputs!$C$27=TRUE,Inputs!$C$27="TRUE",Inputs!$C$27=1),1,0)*(Inputs!$C$51*(115*EXP(-(((0)-25)^2)/(4.5^2))+70*EXP(-(((0)+38)^2)/(7^2))*(0.55+0.45*SIN(2*PI()*(Scenario_Data!T64)/45))+24*SIN(2*PI()*(0)/9+(Scenario_Data!T64)/18)*EXP(-(((0)+5)^2)/(22^2))+18*SIN(2*PI()*(Scenario_Data!T64)/70))+Inputs!$C$28*EXP(-(((Scenario_Data!T64)-Inputs!$C$29)^2)/(2*Inputs!$C$31^2))*EXP(-(((0)-Inputs!$C$30)^2)/(2*Inputs!$C$32^2))+-Inputs!$C$33*EXP(-(((((Scenario_Data!T64)-Inputs!$C$34)^2)+(((0)-Inputs!$C$35)^2))/(2*Inputs!$C$36^2)))+Inputs!$C$37*(0.55*SIN(2*PI()*(Scenario_Data!T64)/Inputs!$C$39)+0.35*COS(2*PI()*(0)/Inputs!$C$40)+0.2*SIN(2*PI()*((Scenario_Data!T64)+(0))/(0.5*(Inputs!$C$39+Inputs!$C$40))))+Inputs!$C$38*SIN(2*PI()*(Scenario_Data!T64)/Inputs!$C$39)*SIN(2*PI()*(0)/Inputs!$C$40)+-Inputs!$C$41*EXP(-(((0)-Inputs!$C$43)^2)/(2*Inputs!$C$44^2))*EXP(-(((Scenario_Data!T64)-Inputs!$C$42)^2)/(2*Inputs!$C$45^2))+Inputs!$C$48*(0.7*(0.45*SIN(2*PI()*(((Scenario_Data!T64)/Inputs!$C$49)+Inputs!$C$47*0.137))+0.35*COS(2*PI()*(((0)/Inputs!$C$50)+Inputs!$C$47*0.173))+0.2*SIN(2*PI()*((((Scenario_Data!T64)+(0))/(0.5*(Inputs!$C$49+Inputs!$C$50)))+Inputs!$C$47*0.097)))+0.3*(2*((SIN(((Scenario_Data!T64)*12.9898+(0)*78.233+Inputs!$C$47*37.719))*43758.5453)-INT((SIN(((Scenario_Data!T64)*12.9898+(0)*78.233+Inputs!$C$47*37.719))*43758.5453)))-1)))))/Inputs!$C$21*1000000</f>
        <v/>
      </c>
      <c r="Z64">
        <f>Scenario_Data!U64</f>
        <v/>
      </c>
      <c r="AA64">
        <f>2*((Scenario_Data!C64*1000)-(IF(OR(Inputs!$C$27=TRUE,Inputs!$C$27="TRUE",Inputs!$C$27=1),1,0)*(Inputs!$C$51*(115*EXP(-(((0)-25)^2)/(4.5^2))+70*EXP(-(((0)+38)^2)/(7^2))*(0.55+0.45*SIN(2*PI()*(Scenario_Data!U64)/45))+24*SIN(2*PI()*(0)/9+(Scenario_Data!U64)/18)*EXP(-(((0)+5)^2)/(22^2))+18*SIN(2*PI()*(Scenario_Data!U64)/70))+Inputs!$C$28*EXP(-(((Scenario_Data!U64)-Inputs!$C$29)^2)/(2*Inputs!$C$31^2))*EXP(-(((0)-Inputs!$C$30)^2)/(2*Inputs!$C$32^2))+-Inputs!$C$33*EXP(-(((((Scenario_Data!U64)-Inputs!$C$34)^2)+(((0)-Inputs!$C$35)^2))/(2*Inputs!$C$36^2)))+Inputs!$C$37*(0.55*SIN(2*PI()*(Scenario_Data!U64)/Inputs!$C$39)+0.35*COS(2*PI()*(0)/Inputs!$C$40)+0.2*SIN(2*PI()*((Scenario_Data!U64)+(0))/(0.5*(Inputs!$C$39+Inputs!$C$40))))+Inputs!$C$38*SIN(2*PI()*(Scenario_Data!U64)/Inputs!$C$39)*SIN(2*PI()*(0)/Inputs!$C$40)+-Inputs!$C$41*EXP(-(((0)-Inputs!$C$43)^2)/(2*Inputs!$C$44^2))*EXP(-(((Scenario_Data!U64)-Inputs!$C$42)^2)/(2*Inputs!$C$45^2))+Inputs!$C$48*(0.7*(0.45*SIN(2*PI()*(((Scenario_Data!U64)/Inputs!$C$49)+Inputs!$C$47*0.137))+0.35*COS(2*PI()*(((0)/Inputs!$C$50)+Inputs!$C$47*0.173))+0.2*SIN(2*PI()*((((Scenario_Data!U64)+(0))/(0.5*(Inputs!$C$49+Inputs!$C$50)))+Inputs!$C$47*0.097)))+0.3*(2*((SIN(((Scenario_Data!U64)*12.9898+(0)*78.233+Inputs!$C$47*37.719))*43758.5453)-INT((SIN(((Scenario_Data!U64)*12.9898+(0)*78.233+Inputs!$C$47*37.719))*43758.5453)))-1)))))/Inputs!$C$21*1000000</f>
        <v/>
      </c>
      <c r="AB64">
        <f>Scenario_Data!V64</f>
        <v/>
      </c>
      <c r="AC64">
        <f>2*((Scenario_Data!D64*1000)-(IF(OR(Inputs!$C$27=TRUE,Inputs!$C$27="TRUE",Inputs!$C$27=1),1,0)*(Inputs!$C$51*(115*EXP(-(((0)-25)^2)/(4.5^2))+70*EXP(-(((0)+38)^2)/(7^2))*(0.55+0.45*SIN(2*PI()*(Scenario_Data!V64)/45))+24*SIN(2*PI()*(0)/9+(Scenario_Data!V64)/18)*EXP(-(((0)+5)^2)/(22^2))+18*SIN(2*PI()*(Scenario_Data!V64)/70))+Inputs!$C$28*EXP(-(((Scenario_Data!V64)-Inputs!$C$29)^2)/(2*Inputs!$C$31^2))*EXP(-(((0)-Inputs!$C$30)^2)/(2*Inputs!$C$32^2))+-Inputs!$C$33*EXP(-(((((Scenario_Data!V64)-Inputs!$C$34)^2)+(((0)-Inputs!$C$35)^2))/(2*Inputs!$C$36^2)))+Inputs!$C$37*(0.55*SIN(2*PI()*(Scenario_Data!V64)/Inputs!$C$39)+0.35*COS(2*PI()*(0)/Inputs!$C$40)+0.2*SIN(2*PI()*((Scenario_Data!V64)+(0))/(0.5*(Inputs!$C$39+Inputs!$C$40))))+Inputs!$C$38*SIN(2*PI()*(Scenario_Data!V64)/Inputs!$C$39)*SIN(2*PI()*(0)/Inputs!$C$40)+-Inputs!$C$41*EXP(-(((0)-Inputs!$C$43)^2)/(2*Inputs!$C$44^2))*EXP(-(((Scenario_Data!V64)-Inputs!$C$42)^2)/(2*Inputs!$C$45^2))+Inputs!$C$48*(0.7*(0.45*SIN(2*PI()*(((Scenario_Data!V64)/Inputs!$C$49)+Inputs!$C$47*0.137))+0.35*COS(2*PI()*(((0)/Inputs!$C$50)+Inputs!$C$47*0.173))+0.2*SIN(2*PI()*((((Scenario_Data!V64)+(0))/(0.5*(Inputs!$C$49+Inputs!$C$50)))+Inputs!$C$47*0.097)))+0.3*(2*((SIN(((Scenario_Data!V64)*12.9898+(0)*78.233+Inputs!$C$47*37.719))*43758.5453)-INT((SIN(((Scenario_Data!V64)*12.9898+(0)*78.233+Inputs!$C$47*37.719))*43758.5453)))-1)))))/Inputs!$C$21*1000000</f>
        <v/>
      </c>
      <c r="AD64">
        <f>Scenario_Data!W64</f>
        <v/>
      </c>
      <c r="AE64">
        <f>2*((Scenario_Data!E64*1000)-(IF(OR(Inputs!$C$27=TRUE,Inputs!$C$27="TRUE",Inputs!$C$27=1),1,0)*(Inputs!$C$51*(115*EXP(-(((0)-25)^2)/(4.5^2))+70*EXP(-(((0)+38)^2)/(7^2))*(0.55+0.45*SIN(2*PI()*(Scenario_Data!W64)/45))+24*SIN(2*PI()*(0)/9+(Scenario_Data!W64)/18)*EXP(-(((0)+5)^2)/(22^2))+18*SIN(2*PI()*(Scenario_Data!W64)/70))+Inputs!$C$28*EXP(-(((Scenario_Data!W64)-Inputs!$C$29)^2)/(2*Inputs!$C$31^2))*EXP(-(((0)-Inputs!$C$30)^2)/(2*Inputs!$C$32^2))+-Inputs!$C$33*EXP(-(((((Scenario_Data!W64)-Inputs!$C$34)^2)+(((0)-Inputs!$C$35)^2))/(2*Inputs!$C$36^2)))+Inputs!$C$37*(0.55*SIN(2*PI()*(Scenario_Data!W64)/Inputs!$C$39)+0.35*COS(2*PI()*(0)/Inputs!$C$40)+0.2*SIN(2*PI()*((Scenario_Data!W64)+(0))/(0.5*(Inputs!$C$39+Inputs!$C$40))))+Inputs!$C$38*SIN(2*PI()*(Scenario_Data!W64)/Inputs!$C$39)*SIN(2*PI()*(0)/Inputs!$C$40)+-Inputs!$C$41*EXP(-(((0)-Inputs!$C$43)^2)/(2*Inputs!$C$44^2))*EXP(-(((Scenario_Data!W64)-Inputs!$C$42)^2)/(2*Inputs!$C$45^2))+Inputs!$C$48*(0.7*(0.45*SIN(2*PI()*(((Scenario_Data!W64)/Inputs!$C$49)+Inputs!$C$47*0.137))+0.35*COS(2*PI()*(((0)/Inputs!$C$50)+Inputs!$C$47*0.173))+0.2*SIN(2*PI()*((((Scenario_Data!W64)+(0))/(0.5*(Inputs!$C$49+Inputs!$C$50)))+Inputs!$C$47*0.097)))+0.3*(2*((SIN(((Scenario_Data!W64)*12.9898+(0)*78.233+Inputs!$C$47*37.719))*43758.5453)-INT((SIN(((Scenario_Data!W64)*12.9898+(0)*78.233+Inputs!$C$47*37.719))*43758.5453)))-1)))))/Inputs!$C$21*1000000</f>
        <v/>
      </c>
      <c r="AG64">
        <f>Scenario_Data!T64</f>
        <v/>
      </c>
      <c r="AH64">
        <f>2*(SQRT((Inputs!$C$52+(Scenario_Data!B64))^2+Inputs!$C$52^2-2*(Inputs!$C$52+(Scenario_Data!B64))*Inputs!$C$52*COS(SQRT((Scenario_Data!T64)^2+Inputs!$C$6^2)/Inputs!$C$52))*1000)/Inputs!$C$21*1000000</f>
        <v/>
      </c>
      <c r="AI64">
        <f>Scenario_Data!U64</f>
        <v/>
      </c>
      <c r="AJ64">
        <f>2*(SQRT((Inputs!$C$52+(Scenario_Data!C64))^2+Inputs!$C$52^2-2*(Inputs!$C$52+(Scenario_Data!C64))*Inputs!$C$52*COS(SQRT((Scenario_Data!U64)^2+Inputs!$C$6^2)/Inputs!$C$52))*1000)/Inputs!$C$21*1000000</f>
        <v/>
      </c>
      <c r="AK64">
        <f>Scenario_Data!V64</f>
        <v/>
      </c>
      <c r="AL64">
        <f>2*(SQRT((Inputs!$C$52+(Scenario_Data!D64))^2+Inputs!$C$52^2-2*(Inputs!$C$52+(Scenario_Data!D64))*Inputs!$C$52*COS(SQRT((Scenario_Data!V64)^2+Inputs!$C$6^2)/Inputs!$C$52))*1000)/Inputs!$C$21*1000000</f>
        <v/>
      </c>
      <c r="AM64">
        <f>Scenario_Data!W64</f>
        <v/>
      </c>
      <c r="AN64">
        <f>2*(SQRT((Inputs!$C$52+(Scenario_Data!E64))^2+Inputs!$C$52^2-2*(Inputs!$C$52+(Scenario_Data!E64))*Inputs!$C$52*COS(SQRT((Scenario_Data!W64)^2+Inputs!$C$6^2)/Inputs!$C$52))*1000)/Inputs!$C$21*1000000</f>
        <v/>
      </c>
      <c r="AP64">
        <f>Scenario_Data!T64</f>
        <v/>
      </c>
      <c r="AQ64">
        <f>2*(SQRT((Inputs!$C$52+(Scenario_Data!B64))^2+(Inputs!$C$52+((IF(OR(Inputs!$C$27=TRUE,Inputs!$C$27="TRUE",Inputs!$C$27=1),1,0)*(Inputs!$C$51*(115*EXP(-(((Inputs!$C$6)-25)^2)/(4.5^2))+70*EXP(-(((Inputs!$C$6)+38)^2)/(7^2))*(0.55+0.45*SIN(2*PI()*(Scenario_Data!T64)/45))+24*SIN(2*PI()*(Inputs!$C$6)/9+(Scenario_Data!T64)/18)*EXP(-(((Inputs!$C$6)+5)^2)/(22^2))+18*SIN(2*PI()*(Scenario_Data!T64)/70))+Inputs!$C$28*EXP(-(((Scenario_Data!T64)-Inputs!$C$29)^2)/(2*Inputs!$C$31^2))*EXP(-(((Inputs!$C$6)-Inputs!$C$30)^2)/(2*Inputs!$C$32^2))+-Inputs!$C$33*EXP(-(((((Scenario_Data!T64)-Inputs!$C$34)^2)+(((Inputs!$C$6)-Inputs!$C$35)^2))/(2*Inputs!$C$36^2)))+Inputs!$C$37*(0.55*SIN(2*PI()*(Scenario_Data!T64)/Inputs!$C$39)+0.35*COS(2*PI()*(Inputs!$C$6)/Inputs!$C$40)+0.2*SIN(2*PI()*((Scenario_Data!T64)+(Inputs!$C$6))/(0.5*(Inputs!$C$39+Inputs!$C$40))))+Inputs!$C$38*SIN(2*PI()*(Scenario_Data!T64)/Inputs!$C$39)*SIN(2*PI()*(Inputs!$C$6)/Inputs!$C$40)+-Inputs!$C$41*EXP(-(((Inputs!$C$6)-Inputs!$C$43)^2)/(2*Inputs!$C$44^2))*EXP(-(((Scenario_Data!T64)-Inputs!$C$42)^2)/(2*Inputs!$C$45^2))+Inputs!$C$48*(0.7*(0.45*SIN(2*PI()*(((Scenario_Data!T64)/Inputs!$C$49)+Inputs!$C$47*0.137))+0.35*COS(2*PI()*(((Inputs!$C$6)/Inputs!$C$50)+Inputs!$C$47*0.173))+0.2*SIN(2*PI()*((((Scenario_Data!T64)+(Inputs!$C$6))/(0.5*(Inputs!$C$49+Inputs!$C$50)))+Inputs!$C$47*0.097)))+0.3*(2*((SIN(((Scenario_Data!T64)*12.9898+(Inputs!$C$6)*78.233+Inputs!$C$47*37.719))*43758.5453)-INT((SIN(((Scenario_Data!T64)*12.9898+(Inputs!$C$6)*78.233+Inputs!$C$47*37.719))*43758.5453)))-1))))/1000))^2-2*(Inputs!$C$52+(Scenario_Data!B64))*(Inputs!$C$52+((IF(OR(Inputs!$C$27=TRUE,Inputs!$C$27="TRUE",Inputs!$C$27=1),1,0)*(Inputs!$C$51*(115*EXP(-(((Inputs!$C$6)-25)^2)/(4.5^2))+70*EXP(-(((Inputs!$C$6)+38)^2)/(7^2))*(0.55+0.45*SIN(2*PI()*(Scenario_Data!T64)/45))+24*SIN(2*PI()*(Inputs!$C$6)/9+(Scenario_Data!T64)/18)*EXP(-(((Inputs!$C$6)+5)^2)/(22^2))+18*SIN(2*PI()*(Scenario_Data!T64)/70))+Inputs!$C$28*EXP(-(((Scenario_Data!T64)-Inputs!$C$29)^2)/(2*Inputs!$C$31^2))*EXP(-(((Inputs!$C$6)-Inputs!$C$30)^2)/(2*Inputs!$C$32^2))+-Inputs!$C$33*EXP(-(((((Scenario_Data!T64)-Inputs!$C$34)^2)+(((Inputs!$C$6)-Inputs!$C$35)^2))/(2*Inputs!$C$36^2)))+Inputs!$C$37*(0.55*SIN(2*PI()*(Scenario_Data!T64)/Inputs!$C$39)+0.35*COS(2*PI()*(Inputs!$C$6)/Inputs!$C$40)+0.2*SIN(2*PI()*((Scenario_Data!T64)+(Inputs!$C$6))/(0.5*(Inputs!$C$39+Inputs!$C$40))))+Inputs!$C$38*SIN(2*PI()*(Scenario_Data!T64)/Inputs!$C$39)*SIN(2*PI()*(Inputs!$C$6)/Inputs!$C$40)+-Inputs!$C$41*EXP(-(((Inputs!$C$6)-Inputs!$C$43)^2)/(2*Inputs!$C$44^2))*EXP(-(((Scenario_Data!T64)-Inputs!$C$42)^2)/(2*Inputs!$C$45^2))+Inputs!$C$48*(0.7*(0.45*SIN(2*PI()*(((Scenario_Data!T64)/Inputs!$C$49)+Inputs!$C$47*0.137))+0.35*COS(2*PI()*(((Inputs!$C$6)/Inputs!$C$50)+Inputs!$C$47*0.173))+0.2*SIN(2*PI()*((((Scenario_Data!T64)+(Inputs!$C$6))/(0.5*(Inputs!$C$49+Inputs!$C$50)))+Inputs!$C$47*0.097)))+0.3*(2*((SIN(((Scenario_Data!T64)*12.9898+(Inputs!$C$6)*78.233+Inputs!$C$47*37.719))*43758.5453)-INT((SIN(((Scenario_Data!T64)*12.9898+(Inputs!$C$6)*78.233+Inputs!$C$47*37.719))*43758.5453)))-1))))/1000))*COS(SQRT((Scenario_Data!T64)^2+Inputs!$C$6^2)/Inputs!$C$52))*1000)/Inputs!$C$21*1000000</f>
        <v/>
      </c>
      <c r="AR64">
        <f>Scenario_Data!U64</f>
        <v/>
      </c>
      <c r="AS64">
        <f>2*(SQRT((Inputs!$C$52+(Scenario_Data!C64))^2+(Inputs!$C$52+((IF(OR(Inputs!$C$27=TRUE,Inputs!$C$27="TRUE",Inputs!$C$27=1),1,0)*(Inputs!$C$51*(115*EXP(-(((Inputs!$C$6)-25)^2)/(4.5^2))+70*EXP(-(((Inputs!$C$6)+38)^2)/(7^2))*(0.55+0.45*SIN(2*PI()*(Scenario_Data!U64)/45))+24*SIN(2*PI()*(Inputs!$C$6)/9+(Scenario_Data!U64)/18)*EXP(-(((Inputs!$C$6)+5)^2)/(22^2))+18*SIN(2*PI()*(Scenario_Data!U64)/70))+Inputs!$C$28*EXP(-(((Scenario_Data!U64)-Inputs!$C$29)^2)/(2*Inputs!$C$31^2))*EXP(-(((Inputs!$C$6)-Inputs!$C$30)^2)/(2*Inputs!$C$32^2))+-Inputs!$C$33*EXP(-(((((Scenario_Data!U64)-Inputs!$C$34)^2)+(((Inputs!$C$6)-Inputs!$C$35)^2))/(2*Inputs!$C$36^2)))+Inputs!$C$37*(0.55*SIN(2*PI()*(Scenario_Data!U64)/Inputs!$C$39)+0.35*COS(2*PI()*(Inputs!$C$6)/Inputs!$C$40)+0.2*SIN(2*PI()*((Scenario_Data!U64)+(Inputs!$C$6))/(0.5*(Inputs!$C$39+Inputs!$C$40))))+Inputs!$C$38*SIN(2*PI()*(Scenario_Data!U64)/Inputs!$C$39)*SIN(2*PI()*(Inputs!$C$6)/Inputs!$C$40)+-Inputs!$C$41*EXP(-(((Inputs!$C$6)-Inputs!$C$43)^2)/(2*Inputs!$C$44^2))*EXP(-(((Scenario_Data!U64)-Inputs!$C$42)^2)/(2*Inputs!$C$45^2))+Inputs!$C$48*(0.7*(0.45*SIN(2*PI()*(((Scenario_Data!U64)/Inputs!$C$49)+Inputs!$C$47*0.137))+0.35*COS(2*PI()*(((Inputs!$C$6)/Inputs!$C$50)+Inputs!$C$47*0.173))+0.2*SIN(2*PI()*((((Scenario_Data!U64)+(Inputs!$C$6))/(0.5*(Inputs!$C$49+Inputs!$C$50)))+Inputs!$C$47*0.097)))+0.3*(2*((SIN(((Scenario_Data!U64)*12.9898+(Inputs!$C$6)*78.233+Inputs!$C$47*37.719))*43758.5453)-INT((SIN(((Scenario_Data!U64)*12.9898+(Inputs!$C$6)*78.233+Inputs!$C$47*37.719))*43758.5453)))-1))))/1000))^2-2*(Inputs!$C$52+(Scenario_Data!C64))*(Inputs!$C$52+((IF(OR(Inputs!$C$27=TRUE,Inputs!$C$27="TRUE",Inputs!$C$27=1),1,0)*(Inputs!$C$51*(115*EXP(-(((Inputs!$C$6)-25)^2)/(4.5^2))+70*EXP(-(((Inputs!$C$6)+38)^2)/(7^2))*(0.55+0.45*SIN(2*PI()*(Scenario_Data!U64)/45))+24*SIN(2*PI()*(Inputs!$C$6)/9+(Scenario_Data!U64)/18)*EXP(-(((Inputs!$C$6)+5)^2)/(22^2))+18*SIN(2*PI()*(Scenario_Data!U64)/70))+Inputs!$C$28*EXP(-(((Scenario_Data!U64)-Inputs!$C$29)^2)/(2*Inputs!$C$31^2))*EXP(-(((Inputs!$C$6)-Inputs!$C$30)^2)/(2*Inputs!$C$32^2))+-Inputs!$C$33*EXP(-(((((Scenario_Data!U64)-Inputs!$C$34)^2)+(((Inputs!$C$6)-Inputs!$C$35)^2))/(2*Inputs!$C$36^2)))+Inputs!$C$37*(0.55*SIN(2*PI()*(Scenario_Data!U64)/Inputs!$C$39)+0.35*COS(2*PI()*(Inputs!$C$6)/Inputs!$C$40)+0.2*SIN(2*PI()*((Scenario_Data!U64)+(Inputs!$C$6))/(0.5*(Inputs!$C$39+Inputs!$C$40))))+Inputs!$C$38*SIN(2*PI()*(Scenario_Data!U64)/Inputs!$C$39)*SIN(2*PI()*(Inputs!$C$6)/Inputs!$C$40)+-Inputs!$C$41*EXP(-(((Inputs!$C$6)-Inputs!$C$43)^2)/(2*Inputs!$C$44^2))*EXP(-(((Scenario_Data!U64)-Inputs!$C$42)^2)/(2*Inputs!$C$45^2))+Inputs!$C$48*(0.7*(0.45*SIN(2*PI()*(((Scenario_Data!U64)/Inputs!$C$49)+Inputs!$C$47*0.137))+0.35*COS(2*PI()*(((Inputs!$C$6)/Inputs!$C$50)+Inputs!$C$47*0.173))+0.2*SIN(2*PI()*((((Scenario_Data!U64)+(Inputs!$C$6))/(0.5*(Inputs!$C$49+Inputs!$C$50)))+Inputs!$C$47*0.097)))+0.3*(2*((SIN(((Scenario_Data!U64)*12.9898+(Inputs!$C$6)*78.233+Inputs!$C$47*37.719))*43758.5453)-INT((SIN(((Scenario_Data!U64)*12.9898+(Inputs!$C$6)*78.233+Inputs!$C$47*37.719))*43758.5453)))-1))))/1000))*COS(SQRT((Scenario_Data!U64)^2+Inputs!$C$6^2)/Inputs!$C$52))*1000)/Inputs!$C$21*1000000</f>
        <v/>
      </c>
      <c r="AT64">
        <f>Scenario_Data!V64</f>
        <v/>
      </c>
      <c r="AU64">
        <f>2*(SQRT((Inputs!$C$52+(Scenario_Data!D64))^2+(Inputs!$C$52+((IF(OR(Inputs!$C$27=TRUE,Inputs!$C$27="TRUE",Inputs!$C$27=1),1,0)*(Inputs!$C$51*(115*EXP(-(((Inputs!$C$6)-25)^2)/(4.5^2))+70*EXP(-(((Inputs!$C$6)+38)^2)/(7^2))*(0.55+0.45*SIN(2*PI()*(Scenario_Data!V64)/45))+24*SIN(2*PI()*(Inputs!$C$6)/9+(Scenario_Data!V64)/18)*EXP(-(((Inputs!$C$6)+5)^2)/(22^2))+18*SIN(2*PI()*(Scenario_Data!V64)/70))+Inputs!$C$28*EXP(-(((Scenario_Data!V64)-Inputs!$C$29)^2)/(2*Inputs!$C$31^2))*EXP(-(((Inputs!$C$6)-Inputs!$C$30)^2)/(2*Inputs!$C$32^2))+-Inputs!$C$33*EXP(-(((((Scenario_Data!V64)-Inputs!$C$34)^2)+(((Inputs!$C$6)-Inputs!$C$35)^2))/(2*Inputs!$C$36^2)))+Inputs!$C$37*(0.55*SIN(2*PI()*(Scenario_Data!V64)/Inputs!$C$39)+0.35*COS(2*PI()*(Inputs!$C$6)/Inputs!$C$40)+0.2*SIN(2*PI()*((Scenario_Data!V64)+(Inputs!$C$6))/(0.5*(Inputs!$C$39+Inputs!$C$40))))+Inputs!$C$38*SIN(2*PI()*(Scenario_Data!V64)/Inputs!$C$39)*SIN(2*PI()*(Inputs!$C$6)/Inputs!$C$40)+-Inputs!$C$41*EXP(-(((Inputs!$C$6)-Inputs!$C$43)^2)/(2*Inputs!$C$44^2))*EXP(-(((Scenario_Data!V64)-Inputs!$C$42)^2)/(2*Inputs!$C$45^2))+Inputs!$C$48*(0.7*(0.45*SIN(2*PI()*(((Scenario_Data!V64)/Inputs!$C$49)+Inputs!$C$47*0.137))+0.35*COS(2*PI()*(((Inputs!$C$6)/Inputs!$C$50)+Inputs!$C$47*0.173))+0.2*SIN(2*PI()*((((Scenario_Data!V64)+(Inputs!$C$6))/(0.5*(Inputs!$C$49+Inputs!$C$50)))+Inputs!$C$47*0.097)))+0.3*(2*((SIN(((Scenario_Data!V64)*12.9898+(Inputs!$C$6)*78.233+Inputs!$C$47*37.719))*43758.5453)-INT((SIN(((Scenario_Data!V64)*12.9898+(Inputs!$C$6)*78.233+Inputs!$C$47*37.719))*43758.5453)))-1))))/1000))^2-2*(Inputs!$C$52+(Scenario_Data!D64))*(Inputs!$C$52+((IF(OR(Inputs!$C$27=TRUE,Inputs!$C$27="TRUE",Inputs!$C$27=1),1,0)*(Inputs!$C$51*(115*EXP(-(((Inputs!$C$6)-25)^2)/(4.5^2))+70*EXP(-(((Inputs!$C$6)+38)^2)/(7^2))*(0.55+0.45*SIN(2*PI()*(Scenario_Data!V64)/45))+24*SIN(2*PI()*(Inputs!$C$6)/9+(Scenario_Data!V64)/18)*EXP(-(((Inputs!$C$6)+5)^2)/(22^2))+18*SIN(2*PI()*(Scenario_Data!V64)/70))+Inputs!$C$28*EXP(-(((Scenario_Data!V64)-Inputs!$C$29)^2)/(2*Inputs!$C$31^2))*EXP(-(((Inputs!$C$6)-Inputs!$C$30)^2)/(2*Inputs!$C$32^2))+-Inputs!$C$33*EXP(-(((((Scenario_Data!V64)-Inputs!$C$34)^2)+(((Inputs!$C$6)-Inputs!$C$35)^2))/(2*Inputs!$C$36^2)))+Inputs!$C$37*(0.55*SIN(2*PI()*(Scenario_Data!V64)/Inputs!$C$39)+0.35*COS(2*PI()*(Inputs!$C$6)/Inputs!$C$40)+0.2*SIN(2*PI()*((Scenario_Data!V64)+(Inputs!$C$6))/(0.5*(Inputs!$C$39+Inputs!$C$40))))+Inputs!$C$38*SIN(2*PI()*(Scenario_Data!V64)/Inputs!$C$39)*SIN(2*PI()*(Inputs!$C$6)/Inputs!$C$40)+-Inputs!$C$41*EXP(-(((Inputs!$C$6)-Inputs!$C$43)^2)/(2*Inputs!$C$44^2))*EXP(-(((Scenario_Data!V64)-Inputs!$C$42)^2)/(2*Inputs!$C$45^2))+Inputs!$C$48*(0.7*(0.45*SIN(2*PI()*(((Scenario_Data!V64)/Inputs!$C$49)+Inputs!$C$47*0.137))+0.35*COS(2*PI()*(((Inputs!$C$6)/Inputs!$C$50)+Inputs!$C$47*0.173))+0.2*SIN(2*PI()*((((Scenario_Data!V64)+(Inputs!$C$6))/(0.5*(Inputs!$C$49+Inputs!$C$50)))+Inputs!$C$47*0.097)))+0.3*(2*((SIN(((Scenario_Data!V64)*12.9898+(Inputs!$C$6)*78.233+Inputs!$C$47*37.719))*43758.5453)-INT((SIN(((Scenario_Data!V64)*12.9898+(Inputs!$C$6)*78.233+Inputs!$C$47*37.719))*43758.5453)))-1))))/1000))*COS(SQRT((Scenario_Data!V64)^2+Inputs!$C$6^2)/Inputs!$C$52))*1000)/Inputs!$C$21*1000000</f>
        <v/>
      </c>
      <c r="AV64">
        <f>Scenario_Data!W64</f>
        <v/>
      </c>
      <c r="AW64">
        <f>2*(SQRT((Inputs!$C$52+(Scenario_Data!E64))^2+(Inputs!$C$52+((IF(OR(Inputs!$C$27=TRUE,Inputs!$C$27="TRUE",Inputs!$C$27=1),1,0)*(Inputs!$C$51*(115*EXP(-(((Inputs!$C$6)-25)^2)/(4.5^2))+70*EXP(-(((Inputs!$C$6)+38)^2)/(7^2))*(0.55+0.45*SIN(2*PI()*(Scenario_Data!W64)/45))+24*SIN(2*PI()*(Inputs!$C$6)/9+(Scenario_Data!W64)/18)*EXP(-(((Inputs!$C$6)+5)^2)/(22^2))+18*SIN(2*PI()*(Scenario_Data!W64)/70))+Inputs!$C$28*EXP(-(((Scenario_Data!W64)-Inputs!$C$29)^2)/(2*Inputs!$C$31^2))*EXP(-(((Inputs!$C$6)-Inputs!$C$30)^2)/(2*Inputs!$C$32^2))+-Inputs!$C$33*EXP(-(((((Scenario_Data!W64)-Inputs!$C$34)^2)+(((Inputs!$C$6)-Inputs!$C$35)^2))/(2*Inputs!$C$36^2)))+Inputs!$C$37*(0.55*SIN(2*PI()*(Scenario_Data!W64)/Inputs!$C$39)+0.35*COS(2*PI()*(Inputs!$C$6)/Inputs!$C$40)+0.2*SIN(2*PI()*((Scenario_Data!W64)+(Inputs!$C$6))/(0.5*(Inputs!$C$39+Inputs!$C$40))))+Inputs!$C$38*SIN(2*PI()*(Scenario_Data!W64)/Inputs!$C$39)*SIN(2*PI()*(Inputs!$C$6)/Inputs!$C$40)+-Inputs!$C$41*EXP(-(((Inputs!$C$6)-Inputs!$C$43)^2)/(2*Inputs!$C$44^2))*EXP(-(((Scenario_Data!W64)-Inputs!$C$42)^2)/(2*Inputs!$C$45^2))+Inputs!$C$48*(0.7*(0.45*SIN(2*PI()*(((Scenario_Data!W64)/Inputs!$C$49)+Inputs!$C$47*0.137))+0.35*COS(2*PI()*(((Inputs!$C$6)/Inputs!$C$50)+Inputs!$C$47*0.173))+0.2*SIN(2*PI()*((((Scenario_Data!W64)+(Inputs!$C$6))/(0.5*(Inputs!$C$49+Inputs!$C$50)))+Inputs!$C$47*0.097)))+0.3*(2*((SIN(((Scenario_Data!W64)*12.9898+(Inputs!$C$6)*78.233+Inputs!$C$47*37.719))*43758.5453)-INT((SIN(((Scenario_Data!W64)*12.9898+(Inputs!$C$6)*78.233+Inputs!$C$47*37.719))*43758.5453)))-1))))/1000))^2-2*(Inputs!$C$52+(Scenario_Data!E64))*(Inputs!$C$52+((IF(OR(Inputs!$C$27=TRUE,Inputs!$C$27="TRUE",Inputs!$C$27=1),1,0)*(Inputs!$C$51*(115*EXP(-(((Inputs!$C$6)-25)^2)/(4.5^2))+70*EXP(-(((Inputs!$C$6)+38)^2)/(7^2))*(0.55+0.45*SIN(2*PI()*(Scenario_Data!W64)/45))+24*SIN(2*PI()*(Inputs!$C$6)/9+(Scenario_Data!W64)/18)*EXP(-(((Inputs!$C$6)+5)^2)/(22^2))+18*SIN(2*PI()*(Scenario_Data!W64)/70))+Inputs!$C$28*EXP(-(((Scenario_Data!W64)-Inputs!$C$29)^2)/(2*Inputs!$C$31^2))*EXP(-(((Inputs!$C$6)-Inputs!$C$30)^2)/(2*Inputs!$C$32^2))+-Inputs!$C$33*EXP(-(((((Scenario_Data!W64)-Inputs!$C$34)^2)+(((Inputs!$C$6)-Inputs!$C$35)^2))/(2*Inputs!$C$36^2)))+Inputs!$C$37*(0.55*SIN(2*PI()*(Scenario_Data!W64)/Inputs!$C$39)+0.35*COS(2*PI()*(Inputs!$C$6)/Inputs!$C$40)+0.2*SIN(2*PI()*((Scenario_Data!W64)+(Inputs!$C$6))/(0.5*(Inputs!$C$39+Inputs!$C$40))))+Inputs!$C$38*SIN(2*PI()*(Scenario_Data!W64)/Inputs!$C$39)*SIN(2*PI()*(Inputs!$C$6)/Inputs!$C$40)+-Inputs!$C$41*EXP(-(((Inputs!$C$6)-Inputs!$C$43)^2)/(2*Inputs!$C$44^2))*EXP(-(((Scenario_Data!W64)-Inputs!$C$42)^2)/(2*Inputs!$C$45^2))+Inputs!$C$48*(0.7*(0.45*SIN(2*PI()*(((Scenario_Data!W64)/Inputs!$C$49)+Inputs!$C$47*0.137))+0.35*COS(2*PI()*(((Inputs!$C$6)/Inputs!$C$50)+Inputs!$C$47*0.173))+0.2*SIN(2*PI()*((((Scenario_Data!W64)+(Inputs!$C$6))/(0.5*(Inputs!$C$49+Inputs!$C$50)))+Inputs!$C$47*0.097)))+0.3*(2*((SIN(((Scenario_Data!W64)*12.9898+(Inputs!$C$6)*78.233+Inputs!$C$47*37.719))*43758.5453)-INT((SIN(((Scenario_Data!W64)*12.9898+(Inputs!$C$6)*78.233+Inputs!$C$47*37.719))*43758.5453)))-1))))/1000))*COS(SQRT((Scenario_Data!W64)^2+Inputs!$C$6^2)/Inputs!$C$52))*1000)/Inputs!$C$21*1000000</f>
        <v/>
      </c>
    </row>
    <row r="65">
      <c r="A65">
        <f>Chart_Data!K65</f>
        <v/>
      </c>
      <c r="B65">
        <f>Chart_Data!N65-Chart_Data!L65</f>
        <v/>
      </c>
      <c r="D65">
        <f>Chart_Data!G65</f>
        <v/>
      </c>
      <c r="E65">
        <f>Chart_Data!H65</f>
        <v/>
      </c>
      <c r="F65">
        <f>Chart_Data!I65</f>
        <v/>
      </c>
      <c r="G65">
        <f>Chart_Data!J65</f>
        <v/>
      </c>
      <c r="I65">
        <f>Scenario_Data!A65</f>
        <v/>
      </c>
      <c r="J65">
        <f>Scenario_Data!H65-(((SQRT((Inputs!$C$52+(Inputs!$H$6))^2+Inputs!$C$52^2-2*(Inputs!$C$52+(Inputs!$H$6))*Inputs!$C$52*COS(SQRT((Scenario_Data!T65)^2+Inputs!$C$6^2)/Inputs!$C$52)))-(Inputs!$H$6))*1000/Inputs!$C$12)</f>
        <v/>
      </c>
      <c r="K65">
        <f>Scenario_Data!I65-(((SQRT((Inputs!$C$52+(Inputs!$H$7))^2+Inputs!$C$52^2-2*(Inputs!$C$52+(Inputs!$H$7))*Inputs!$C$52*COS(SQRT((Scenario_Data!U65)^2+Inputs!$C$6^2)/Inputs!$C$52)))-(Inputs!$H$7))*1000/Inputs!$C$12)</f>
        <v/>
      </c>
      <c r="L65">
        <f>Scenario_Data!J65-(((SQRT((Inputs!$C$52+(Inputs!$H$8))^2+Inputs!$C$52^2-2*(Inputs!$C$52+(Inputs!$H$8))*Inputs!$C$52*COS(SQRT((Scenario_Data!V65)^2+Inputs!$C$6^2)/Inputs!$C$52)))-(Inputs!$H$8))*1000/Inputs!$C$12)</f>
        <v/>
      </c>
      <c r="M65">
        <f>Scenario_Data!K65-(((SQRT((Inputs!$C$52+(Inputs!$H$9))^2+Inputs!$C$52^2-2*(Inputs!$C$52+(Inputs!$H$9))*Inputs!$C$52*COS(SQRT((Scenario_Data!W65)^2+Inputs!$C$6^2)/Inputs!$C$52)))-(Inputs!$H$9))*1000/Inputs!$C$12)</f>
        <v/>
      </c>
      <c r="O65">
        <f>Scenario_Data!T65</f>
        <v/>
      </c>
      <c r="P65">
        <f>2*(Scenario_Data!B65*1000)/Inputs!$C$21*1000000</f>
        <v/>
      </c>
      <c r="Q65">
        <f>Scenario_Data!U65</f>
        <v/>
      </c>
      <c r="R65">
        <f>2*(Scenario_Data!C65*1000)/Inputs!$C$21*1000000</f>
        <v/>
      </c>
      <c r="S65">
        <f>Scenario_Data!V65</f>
        <v/>
      </c>
      <c r="T65">
        <f>2*(Scenario_Data!D65*1000)/Inputs!$C$21*1000000</f>
        <v/>
      </c>
      <c r="U65">
        <f>Scenario_Data!W65</f>
        <v/>
      </c>
      <c r="V65">
        <f>2*(Scenario_Data!E65*1000)/Inputs!$C$21*1000000</f>
        <v/>
      </c>
      <c r="X65">
        <f>Scenario_Data!T65</f>
        <v/>
      </c>
      <c r="Y65">
        <f>2*((Scenario_Data!B65*1000)-(IF(OR(Inputs!$C$27=TRUE,Inputs!$C$27="TRUE",Inputs!$C$27=1),1,0)*(Inputs!$C$51*(115*EXP(-(((0)-25)^2)/(4.5^2))+70*EXP(-(((0)+38)^2)/(7^2))*(0.55+0.45*SIN(2*PI()*(Scenario_Data!T65)/45))+24*SIN(2*PI()*(0)/9+(Scenario_Data!T65)/18)*EXP(-(((0)+5)^2)/(22^2))+18*SIN(2*PI()*(Scenario_Data!T65)/70))+Inputs!$C$28*EXP(-(((Scenario_Data!T65)-Inputs!$C$29)^2)/(2*Inputs!$C$31^2))*EXP(-(((0)-Inputs!$C$30)^2)/(2*Inputs!$C$32^2))+-Inputs!$C$33*EXP(-(((((Scenario_Data!T65)-Inputs!$C$34)^2)+(((0)-Inputs!$C$35)^2))/(2*Inputs!$C$36^2)))+Inputs!$C$37*(0.55*SIN(2*PI()*(Scenario_Data!T65)/Inputs!$C$39)+0.35*COS(2*PI()*(0)/Inputs!$C$40)+0.2*SIN(2*PI()*((Scenario_Data!T65)+(0))/(0.5*(Inputs!$C$39+Inputs!$C$40))))+Inputs!$C$38*SIN(2*PI()*(Scenario_Data!T65)/Inputs!$C$39)*SIN(2*PI()*(0)/Inputs!$C$40)+-Inputs!$C$41*EXP(-(((0)-Inputs!$C$43)^2)/(2*Inputs!$C$44^2))*EXP(-(((Scenario_Data!T65)-Inputs!$C$42)^2)/(2*Inputs!$C$45^2))+Inputs!$C$48*(0.7*(0.45*SIN(2*PI()*(((Scenario_Data!T65)/Inputs!$C$49)+Inputs!$C$47*0.137))+0.35*COS(2*PI()*(((0)/Inputs!$C$50)+Inputs!$C$47*0.173))+0.2*SIN(2*PI()*((((Scenario_Data!T65)+(0))/(0.5*(Inputs!$C$49+Inputs!$C$50)))+Inputs!$C$47*0.097)))+0.3*(2*((SIN(((Scenario_Data!T65)*12.9898+(0)*78.233+Inputs!$C$47*37.719))*43758.5453)-INT((SIN(((Scenario_Data!T65)*12.9898+(0)*78.233+Inputs!$C$47*37.719))*43758.5453)))-1)))))/Inputs!$C$21*1000000</f>
        <v/>
      </c>
      <c r="Z65">
        <f>Scenario_Data!U65</f>
        <v/>
      </c>
      <c r="AA65">
        <f>2*((Scenario_Data!C65*1000)-(IF(OR(Inputs!$C$27=TRUE,Inputs!$C$27="TRUE",Inputs!$C$27=1),1,0)*(Inputs!$C$51*(115*EXP(-(((0)-25)^2)/(4.5^2))+70*EXP(-(((0)+38)^2)/(7^2))*(0.55+0.45*SIN(2*PI()*(Scenario_Data!U65)/45))+24*SIN(2*PI()*(0)/9+(Scenario_Data!U65)/18)*EXP(-(((0)+5)^2)/(22^2))+18*SIN(2*PI()*(Scenario_Data!U65)/70))+Inputs!$C$28*EXP(-(((Scenario_Data!U65)-Inputs!$C$29)^2)/(2*Inputs!$C$31^2))*EXP(-(((0)-Inputs!$C$30)^2)/(2*Inputs!$C$32^2))+-Inputs!$C$33*EXP(-(((((Scenario_Data!U65)-Inputs!$C$34)^2)+(((0)-Inputs!$C$35)^2))/(2*Inputs!$C$36^2)))+Inputs!$C$37*(0.55*SIN(2*PI()*(Scenario_Data!U65)/Inputs!$C$39)+0.35*COS(2*PI()*(0)/Inputs!$C$40)+0.2*SIN(2*PI()*((Scenario_Data!U65)+(0))/(0.5*(Inputs!$C$39+Inputs!$C$40))))+Inputs!$C$38*SIN(2*PI()*(Scenario_Data!U65)/Inputs!$C$39)*SIN(2*PI()*(0)/Inputs!$C$40)+-Inputs!$C$41*EXP(-(((0)-Inputs!$C$43)^2)/(2*Inputs!$C$44^2))*EXP(-(((Scenario_Data!U65)-Inputs!$C$42)^2)/(2*Inputs!$C$45^2))+Inputs!$C$48*(0.7*(0.45*SIN(2*PI()*(((Scenario_Data!U65)/Inputs!$C$49)+Inputs!$C$47*0.137))+0.35*COS(2*PI()*(((0)/Inputs!$C$50)+Inputs!$C$47*0.173))+0.2*SIN(2*PI()*((((Scenario_Data!U65)+(0))/(0.5*(Inputs!$C$49+Inputs!$C$50)))+Inputs!$C$47*0.097)))+0.3*(2*((SIN(((Scenario_Data!U65)*12.9898+(0)*78.233+Inputs!$C$47*37.719))*43758.5453)-INT((SIN(((Scenario_Data!U65)*12.9898+(0)*78.233+Inputs!$C$47*37.719))*43758.5453)))-1)))))/Inputs!$C$21*1000000</f>
        <v/>
      </c>
      <c r="AB65">
        <f>Scenario_Data!V65</f>
        <v/>
      </c>
      <c r="AC65">
        <f>2*((Scenario_Data!D65*1000)-(IF(OR(Inputs!$C$27=TRUE,Inputs!$C$27="TRUE",Inputs!$C$27=1),1,0)*(Inputs!$C$51*(115*EXP(-(((0)-25)^2)/(4.5^2))+70*EXP(-(((0)+38)^2)/(7^2))*(0.55+0.45*SIN(2*PI()*(Scenario_Data!V65)/45))+24*SIN(2*PI()*(0)/9+(Scenario_Data!V65)/18)*EXP(-(((0)+5)^2)/(22^2))+18*SIN(2*PI()*(Scenario_Data!V65)/70))+Inputs!$C$28*EXP(-(((Scenario_Data!V65)-Inputs!$C$29)^2)/(2*Inputs!$C$31^2))*EXP(-(((0)-Inputs!$C$30)^2)/(2*Inputs!$C$32^2))+-Inputs!$C$33*EXP(-(((((Scenario_Data!V65)-Inputs!$C$34)^2)+(((0)-Inputs!$C$35)^2))/(2*Inputs!$C$36^2)))+Inputs!$C$37*(0.55*SIN(2*PI()*(Scenario_Data!V65)/Inputs!$C$39)+0.35*COS(2*PI()*(0)/Inputs!$C$40)+0.2*SIN(2*PI()*((Scenario_Data!V65)+(0))/(0.5*(Inputs!$C$39+Inputs!$C$40))))+Inputs!$C$38*SIN(2*PI()*(Scenario_Data!V65)/Inputs!$C$39)*SIN(2*PI()*(0)/Inputs!$C$40)+-Inputs!$C$41*EXP(-(((0)-Inputs!$C$43)^2)/(2*Inputs!$C$44^2))*EXP(-(((Scenario_Data!V65)-Inputs!$C$42)^2)/(2*Inputs!$C$45^2))+Inputs!$C$48*(0.7*(0.45*SIN(2*PI()*(((Scenario_Data!V65)/Inputs!$C$49)+Inputs!$C$47*0.137))+0.35*COS(2*PI()*(((0)/Inputs!$C$50)+Inputs!$C$47*0.173))+0.2*SIN(2*PI()*((((Scenario_Data!V65)+(0))/(0.5*(Inputs!$C$49+Inputs!$C$50)))+Inputs!$C$47*0.097)))+0.3*(2*((SIN(((Scenario_Data!V65)*12.9898+(0)*78.233+Inputs!$C$47*37.719))*43758.5453)-INT((SIN(((Scenario_Data!V65)*12.9898+(0)*78.233+Inputs!$C$47*37.719))*43758.5453)))-1)))))/Inputs!$C$21*1000000</f>
        <v/>
      </c>
      <c r="AD65">
        <f>Scenario_Data!W65</f>
        <v/>
      </c>
      <c r="AE65">
        <f>2*((Scenario_Data!E65*1000)-(IF(OR(Inputs!$C$27=TRUE,Inputs!$C$27="TRUE",Inputs!$C$27=1),1,0)*(Inputs!$C$51*(115*EXP(-(((0)-25)^2)/(4.5^2))+70*EXP(-(((0)+38)^2)/(7^2))*(0.55+0.45*SIN(2*PI()*(Scenario_Data!W65)/45))+24*SIN(2*PI()*(0)/9+(Scenario_Data!W65)/18)*EXP(-(((0)+5)^2)/(22^2))+18*SIN(2*PI()*(Scenario_Data!W65)/70))+Inputs!$C$28*EXP(-(((Scenario_Data!W65)-Inputs!$C$29)^2)/(2*Inputs!$C$31^2))*EXP(-(((0)-Inputs!$C$30)^2)/(2*Inputs!$C$32^2))+-Inputs!$C$33*EXP(-(((((Scenario_Data!W65)-Inputs!$C$34)^2)+(((0)-Inputs!$C$35)^2))/(2*Inputs!$C$36^2)))+Inputs!$C$37*(0.55*SIN(2*PI()*(Scenario_Data!W65)/Inputs!$C$39)+0.35*COS(2*PI()*(0)/Inputs!$C$40)+0.2*SIN(2*PI()*((Scenario_Data!W65)+(0))/(0.5*(Inputs!$C$39+Inputs!$C$40))))+Inputs!$C$38*SIN(2*PI()*(Scenario_Data!W65)/Inputs!$C$39)*SIN(2*PI()*(0)/Inputs!$C$40)+-Inputs!$C$41*EXP(-(((0)-Inputs!$C$43)^2)/(2*Inputs!$C$44^2))*EXP(-(((Scenario_Data!W65)-Inputs!$C$42)^2)/(2*Inputs!$C$45^2))+Inputs!$C$48*(0.7*(0.45*SIN(2*PI()*(((Scenario_Data!W65)/Inputs!$C$49)+Inputs!$C$47*0.137))+0.35*COS(2*PI()*(((0)/Inputs!$C$50)+Inputs!$C$47*0.173))+0.2*SIN(2*PI()*((((Scenario_Data!W65)+(0))/(0.5*(Inputs!$C$49+Inputs!$C$50)))+Inputs!$C$47*0.097)))+0.3*(2*((SIN(((Scenario_Data!W65)*12.9898+(0)*78.233+Inputs!$C$47*37.719))*43758.5453)-INT((SIN(((Scenario_Data!W65)*12.9898+(0)*78.233+Inputs!$C$47*37.719))*43758.5453)))-1)))))/Inputs!$C$21*1000000</f>
        <v/>
      </c>
      <c r="AG65">
        <f>Scenario_Data!T65</f>
        <v/>
      </c>
      <c r="AH65">
        <f>2*(SQRT((Inputs!$C$52+(Scenario_Data!B65))^2+Inputs!$C$52^2-2*(Inputs!$C$52+(Scenario_Data!B65))*Inputs!$C$52*COS(SQRT((Scenario_Data!T65)^2+Inputs!$C$6^2)/Inputs!$C$52))*1000)/Inputs!$C$21*1000000</f>
        <v/>
      </c>
      <c r="AI65">
        <f>Scenario_Data!U65</f>
        <v/>
      </c>
      <c r="AJ65">
        <f>2*(SQRT((Inputs!$C$52+(Scenario_Data!C65))^2+Inputs!$C$52^2-2*(Inputs!$C$52+(Scenario_Data!C65))*Inputs!$C$52*COS(SQRT((Scenario_Data!U65)^2+Inputs!$C$6^2)/Inputs!$C$52))*1000)/Inputs!$C$21*1000000</f>
        <v/>
      </c>
      <c r="AK65">
        <f>Scenario_Data!V65</f>
        <v/>
      </c>
      <c r="AL65">
        <f>2*(SQRT((Inputs!$C$52+(Scenario_Data!D65))^2+Inputs!$C$52^2-2*(Inputs!$C$52+(Scenario_Data!D65))*Inputs!$C$52*COS(SQRT((Scenario_Data!V65)^2+Inputs!$C$6^2)/Inputs!$C$52))*1000)/Inputs!$C$21*1000000</f>
        <v/>
      </c>
      <c r="AM65">
        <f>Scenario_Data!W65</f>
        <v/>
      </c>
      <c r="AN65">
        <f>2*(SQRT((Inputs!$C$52+(Scenario_Data!E65))^2+Inputs!$C$52^2-2*(Inputs!$C$52+(Scenario_Data!E65))*Inputs!$C$52*COS(SQRT((Scenario_Data!W65)^2+Inputs!$C$6^2)/Inputs!$C$52))*1000)/Inputs!$C$21*1000000</f>
        <v/>
      </c>
      <c r="AP65">
        <f>Scenario_Data!T65</f>
        <v/>
      </c>
      <c r="AQ65">
        <f>2*(SQRT((Inputs!$C$52+(Scenario_Data!B65))^2+(Inputs!$C$52+((IF(OR(Inputs!$C$27=TRUE,Inputs!$C$27="TRUE",Inputs!$C$27=1),1,0)*(Inputs!$C$51*(115*EXP(-(((Inputs!$C$6)-25)^2)/(4.5^2))+70*EXP(-(((Inputs!$C$6)+38)^2)/(7^2))*(0.55+0.45*SIN(2*PI()*(Scenario_Data!T65)/45))+24*SIN(2*PI()*(Inputs!$C$6)/9+(Scenario_Data!T65)/18)*EXP(-(((Inputs!$C$6)+5)^2)/(22^2))+18*SIN(2*PI()*(Scenario_Data!T65)/70))+Inputs!$C$28*EXP(-(((Scenario_Data!T65)-Inputs!$C$29)^2)/(2*Inputs!$C$31^2))*EXP(-(((Inputs!$C$6)-Inputs!$C$30)^2)/(2*Inputs!$C$32^2))+-Inputs!$C$33*EXP(-(((((Scenario_Data!T65)-Inputs!$C$34)^2)+(((Inputs!$C$6)-Inputs!$C$35)^2))/(2*Inputs!$C$36^2)))+Inputs!$C$37*(0.55*SIN(2*PI()*(Scenario_Data!T65)/Inputs!$C$39)+0.35*COS(2*PI()*(Inputs!$C$6)/Inputs!$C$40)+0.2*SIN(2*PI()*((Scenario_Data!T65)+(Inputs!$C$6))/(0.5*(Inputs!$C$39+Inputs!$C$40))))+Inputs!$C$38*SIN(2*PI()*(Scenario_Data!T65)/Inputs!$C$39)*SIN(2*PI()*(Inputs!$C$6)/Inputs!$C$40)+-Inputs!$C$41*EXP(-(((Inputs!$C$6)-Inputs!$C$43)^2)/(2*Inputs!$C$44^2))*EXP(-(((Scenario_Data!T65)-Inputs!$C$42)^2)/(2*Inputs!$C$45^2))+Inputs!$C$48*(0.7*(0.45*SIN(2*PI()*(((Scenario_Data!T65)/Inputs!$C$49)+Inputs!$C$47*0.137))+0.35*COS(2*PI()*(((Inputs!$C$6)/Inputs!$C$50)+Inputs!$C$47*0.173))+0.2*SIN(2*PI()*((((Scenario_Data!T65)+(Inputs!$C$6))/(0.5*(Inputs!$C$49+Inputs!$C$50)))+Inputs!$C$47*0.097)))+0.3*(2*((SIN(((Scenario_Data!T65)*12.9898+(Inputs!$C$6)*78.233+Inputs!$C$47*37.719))*43758.5453)-INT((SIN(((Scenario_Data!T65)*12.9898+(Inputs!$C$6)*78.233+Inputs!$C$47*37.719))*43758.5453)))-1))))/1000))^2-2*(Inputs!$C$52+(Scenario_Data!B65))*(Inputs!$C$52+((IF(OR(Inputs!$C$27=TRUE,Inputs!$C$27="TRUE",Inputs!$C$27=1),1,0)*(Inputs!$C$51*(115*EXP(-(((Inputs!$C$6)-25)^2)/(4.5^2))+70*EXP(-(((Inputs!$C$6)+38)^2)/(7^2))*(0.55+0.45*SIN(2*PI()*(Scenario_Data!T65)/45))+24*SIN(2*PI()*(Inputs!$C$6)/9+(Scenario_Data!T65)/18)*EXP(-(((Inputs!$C$6)+5)^2)/(22^2))+18*SIN(2*PI()*(Scenario_Data!T65)/70))+Inputs!$C$28*EXP(-(((Scenario_Data!T65)-Inputs!$C$29)^2)/(2*Inputs!$C$31^2))*EXP(-(((Inputs!$C$6)-Inputs!$C$30)^2)/(2*Inputs!$C$32^2))+-Inputs!$C$33*EXP(-(((((Scenario_Data!T65)-Inputs!$C$34)^2)+(((Inputs!$C$6)-Inputs!$C$35)^2))/(2*Inputs!$C$36^2)))+Inputs!$C$37*(0.55*SIN(2*PI()*(Scenario_Data!T65)/Inputs!$C$39)+0.35*COS(2*PI()*(Inputs!$C$6)/Inputs!$C$40)+0.2*SIN(2*PI()*((Scenario_Data!T65)+(Inputs!$C$6))/(0.5*(Inputs!$C$39+Inputs!$C$40))))+Inputs!$C$38*SIN(2*PI()*(Scenario_Data!T65)/Inputs!$C$39)*SIN(2*PI()*(Inputs!$C$6)/Inputs!$C$40)+-Inputs!$C$41*EXP(-(((Inputs!$C$6)-Inputs!$C$43)^2)/(2*Inputs!$C$44^2))*EXP(-(((Scenario_Data!T65)-Inputs!$C$42)^2)/(2*Inputs!$C$45^2))+Inputs!$C$48*(0.7*(0.45*SIN(2*PI()*(((Scenario_Data!T65)/Inputs!$C$49)+Inputs!$C$47*0.137))+0.35*COS(2*PI()*(((Inputs!$C$6)/Inputs!$C$50)+Inputs!$C$47*0.173))+0.2*SIN(2*PI()*((((Scenario_Data!T65)+(Inputs!$C$6))/(0.5*(Inputs!$C$49+Inputs!$C$50)))+Inputs!$C$47*0.097)))+0.3*(2*((SIN(((Scenario_Data!T65)*12.9898+(Inputs!$C$6)*78.233+Inputs!$C$47*37.719))*43758.5453)-INT((SIN(((Scenario_Data!T65)*12.9898+(Inputs!$C$6)*78.233+Inputs!$C$47*37.719))*43758.5453)))-1))))/1000))*COS(SQRT((Scenario_Data!T65)^2+Inputs!$C$6^2)/Inputs!$C$52))*1000)/Inputs!$C$21*1000000</f>
        <v/>
      </c>
      <c r="AR65">
        <f>Scenario_Data!U65</f>
        <v/>
      </c>
      <c r="AS65">
        <f>2*(SQRT((Inputs!$C$52+(Scenario_Data!C65))^2+(Inputs!$C$52+((IF(OR(Inputs!$C$27=TRUE,Inputs!$C$27="TRUE",Inputs!$C$27=1),1,0)*(Inputs!$C$51*(115*EXP(-(((Inputs!$C$6)-25)^2)/(4.5^2))+70*EXP(-(((Inputs!$C$6)+38)^2)/(7^2))*(0.55+0.45*SIN(2*PI()*(Scenario_Data!U65)/45))+24*SIN(2*PI()*(Inputs!$C$6)/9+(Scenario_Data!U65)/18)*EXP(-(((Inputs!$C$6)+5)^2)/(22^2))+18*SIN(2*PI()*(Scenario_Data!U65)/70))+Inputs!$C$28*EXP(-(((Scenario_Data!U65)-Inputs!$C$29)^2)/(2*Inputs!$C$31^2))*EXP(-(((Inputs!$C$6)-Inputs!$C$30)^2)/(2*Inputs!$C$32^2))+-Inputs!$C$33*EXP(-(((((Scenario_Data!U65)-Inputs!$C$34)^2)+(((Inputs!$C$6)-Inputs!$C$35)^2))/(2*Inputs!$C$36^2)))+Inputs!$C$37*(0.55*SIN(2*PI()*(Scenario_Data!U65)/Inputs!$C$39)+0.35*COS(2*PI()*(Inputs!$C$6)/Inputs!$C$40)+0.2*SIN(2*PI()*((Scenario_Data!U65)+(Inputs!$C$6))/(0.5*(Inputs!$C$39+Inputs!$C$40))))+Inputs!$C$38*SIN(2*PI()*(Scenario_Data!U65)/Inputs!$C$39)*SIN(2*PI()*(Inputs!$C$6)/Inputs!$C$40)+-Inputs!$C$41*EXP(-(((Inputs!$C$6)-Inputs!$C$43)^2)/(2*Inputs!$C$44^2))*EXP(-(((Scenario_Data!U65)-Inputs!$C$42)^2)/(2*Inputs!$C$45^2))+Inputs!$C$48*(0.7*(0.45*SIN(2*PI()*(((Scenario_Data!U65)/Inputs!$C$49)+Inputs!$C$47*0.137))+0.35*COS(2*PI()*(((Inputs!$C$6)/Inputs!$C$50)+Inputs!$C$47*0.173))+0.2*SIN(2*PI()*((((Scenario_Data!U65)+(Inputs!$C$6))/(0.5*(Inputs!$C$49+Inputs!$C$50)))+Inputs!$C$47*0.097)))+0.3*(2*((SIN(((Scenario_Data!U65)*12.9898+(Inputs!$C$6)*78.233+Inputs!$C$47*37.719))*43758.5453)-INT((SIN(((Scenario_Data!U65)*12.9898+(Inputs!$C$6)*78.233+Inputs!$C$47*37.719))*43758.5453)))-1))))/1000))^2-2*(Inputs!$C$52+(Scenario_Data!C65))*(Inputs!$C$52+((IF(OR(Inputs!$C$27=TRUE,Inputs!$C$27="TRUE",Inputs!$C$27=1),1,0)*(Inputs!$C$51*(115*EXP(-(((Inputs!$C$6)-25)^2)/(4.5^2))+70*EXP(-(((Inputs!$C$6)+38)^2)/(7^2))*(0.55+0.45*SIN(2*PI()*(Scenario_Data!U65)/45))+24*SIN(2*PI()*(Inputs!$C$6)/9+(Scenario_Data!U65)/18)*EXP(-(((Inputs!$C$6)+5)^2)/(22^2))+18*SIN(2*PI()*(Scenario_Data!U65)/70))+Inputs!$C$28*EXP(-(((Scenario_Data!U65)-Inputs!$C$29)^2)/(2*Inputs!$C$31^2))*EXP(-(((Inputs!$C$6)-Inputs!$C$30)^2)/(2*Inputs!$C$32^2))+-Inputs!$C$33*EXP(-(((((Scenario_Data!U65)-Inputs!$C$34)^2)+(((Inputs!$C$6)-Inputs!$C$35)^2))/(2*Inputs!$C$36^2)))+Inputs!$C$37*(0.55*SIN(2*PI()*(Scenario_Data!U65)/Inputs!$C$39)+0.35*COS(2*PI()*(Inputs!$C$6)/Inputs!$C$40)+0.2*SIN(2*PI()*((Scenario_Data!U65)+(Inputs!$C$6))/(0.5*(Inputs!$C$39+Inputs!$C$40))))+Inputs!$C$38*SIN(2*PI()*(Scenario_Data!U65)/Inputs!$C$39)*SIN(2*PI()*(Inputs!$C$6)/Inputs!$C$40)+-Inputs!$C$41*EXP(-(((Inputs!$C$6)-Inputs!$C$43)^2)/(2*Inputs!$C$44^2))*EXP(-(((Scenario_Data!U65)-Inputs!$C$42)^2)/(2*Inputs!$C$45^2))+Inputs!$C$48*(0.7*(0.45*SIN(2*PI()*(((Scenario_Data!U65)/Inputs!$C$49)+Inputs!$C$47*0.137))+0.35*COS(2*PI()*(((Inputs!$C$6)/Inputs!$C$50)+Inputs!$C$47*0.173))+0.2*SIN(2*PI()*((((Scenario_Data!U65)+(Inputs!$C$6))/(0.5*(Inputs!$C$49+Inputs!$C$50)))+Inputs!$C$47*0.097)))+0.3*(2*((SIN(((Scenario_Data!U65)*12.9898+(Inputs!$C$6)*78.233+Inputs!$C$47*37.719))*43758.5453)-INT((SIN(((Scenario_Data!U65)*12.9898+(Inputs!$C$6)*78.233+Inputs!$C$47*37.719))*43758.5453)))-1))))/1000))*COS(SQRT((Scenario_Data!U65)^2+Inputs!$C$6^2)/Inputs!$C$52))*1000)/Inputs!$C$21*1000000</f>
        <v/>
      </c>
      <c r="AT65">
        <f>Scenario_Data!V65</f>
        <v/>
      </c>
      <c r="AU65">
        <f>2*(SQRT((Inputs!$C$52+(Scenario_Data!D65))^2+(Inputs!$C$52+((IF(OR(Inputs!$C$27=TRUE,Inputs!$C$27="TRUE",Inputs!$C$27=1),1,0)*(Inputs!$C$51*(115*EXP(-(((Inputs!$C$6)-25)^2)/(4.5^2))+70*EXP(-(((Inputs!$C$6)+38)^2)/(7^2))*(0.55+0.45*SIN(2*PI()*(Scenario_Data!V65)/45))+24*SIN(2*PI()*(Inputs!$C$6)/9+(Scenario_Data!V65)/18)*EXP(-(((Inputs!$C$6)+5)^2)/(22^2))+18*SIN(2*PI()*(Scenario_Data!V65)/70))+Inputs!$C$28*EXP(-(((Scenario_Data!V65)-Inputs!$C$29)^2)/(2*Inputs!$C$31^2))*EXP(-(((Inputs!$C$6)-Inputs!$C$30)^2)/(2*Inputs!$C$32^2))+-Inputs!$C$33*EXP(-(((((Scenario_Data!V65)-Inputs!$C$34)^2)+(((Inputs!$C$6)-Inputs!$C$35)^2))/(2*Inputs!$C$36^2)))+Inputs!$C$37*(0.55*SIN(2*PI()*(Scenario_Data!V65)/Inputs!$C$39)+0.35*COS(2*PI()*(Inputs!$C$6)/Inputs!$C$40)+0.2*SIN(2*PI()*((Scenario_Data!V65)+(Inputs!$C$6))/(0.5*(Inputs!$C$39+Inputs!$C$40))))+Inputs!$C$38*SIN(2*PI()*(Scenario_Data!V65)/Inputs!$C$39)*SIN(2*PI()*(Inputs!$C$6)/Inputs!$C$40)+-Inputs!$C$41*EXP(-(((Inputs!$C$6)-Inputs!$C$43)^2)/(2*Inputs!$C$44^2))*EXP(-(((Scenario_Data!V65)-Inputs!$C$42)^2)/(2*Inputs!$C$45^2))+Inputs!$C$48*(0.7*(0.45*SIN(2*PI()*(((Scenario_Data!V65)/Inputs!$C$49)+Inputs!$C$47*0.137))+0.35*COS(2*PI()*(((Inputs!$C$6)/Inputs!$C$50)+Inputs!$C$47*0.173))+0.2*SIN(2*PI()*((((Scenario_Data!V65)+(Inputs!$C$6))/(0.5*(Inputs!$C$49+Inputs!$C$50)))+Inputs!$C$47*0.097)))+0.3*(2*((SIN(((Scenario_Data!V65)*12.9898+(Inputs!$C$6)*78.233+Inputs!$C$47*37.719))*43758.5453)-INT((SIN(((Scenario_Data!V65)*12.9898+(Inputs!$C$6)*78.233+Inputs!$C$47*37.719))*43758.5453)))-1))))/1000))^2-2*(Inputs!$C$52+(Scenario_Data!D65))*(Inputs!$C$52+((IF(OR(Inputs!$C$27=TRUE,Inputs!$C$27="TRUE",Inputs!$C$27=1),1,0)*(Inputs!$C$51*(115*EXP(-(((Inputs!$C$6)-25)^2)/(4.5^2))+70*EXP(-(((Inputs!$C$6)+38)^2)/(7^2))*(0.55+0.45*SIN(2*PI()*(Scenario_Data!V65)/45))+24*SIN(2*PI()*(Inputs!$C$6)/9+(Scenario_Data!V65)/18)*EXP(-(((Inputs!$C$6)+5)^2)/(22^2))+18*SIN(2*PI()*(Scenario_Data!V65)/70))+Inputs!$C$28*EXP(-(((Scenario_Data!V65)-Inputs!$C$29)^2)/(2*Inputs!$C$31^2))*EXP(-(((Inputs!$C$6)-Inputs!$C$30)^2)/(2*Inputs!$C$32^2))+-Inputs!$C$33*EXP(-(((((Scenario_Data!V65)-Inputs!$C$34)^2)+(((Inputs!$C$6)-Inputs!$C$35)^2))/(2*Inputs!$C$36^2)))+Inputs!$C$37*(0.55*SIN(2*PI()*(Scenario_Data!V65)/Inputs!$C$39)+0.35*COS(2*PI()*(Inputs!$C$6)/Inputs!$C$40)+0.2*SIN(2*PI()*((Scenario_Data!V65)+(Inputs!$C$6))/(0.5*(Inputs!$C$39+Inputs!$C$40))))+Inputs!$C$38*SIN(2*PI()*(Scenario_Data!V65)/Inputs!$C$39)*SIN(2*PI()*(Inputs!$C$6)/Inputs!$C$40)+-Inputs!$C$41*EXP(-(((Inputs!$C$6)-Inputs!$C$43)^2)/(2*Inputs!$C$44^2))*EXP(-(((Scenario_Data!V65)-Inputs!$C$42)^2)/(2*Inputs!$C$45^2))+Inputs!$C$48*(0.7*(0.45*SIN(2*PI()*(((Scenario_Data!V65)/Inputs!$C$49)+Inputs!$C$47*0.137))+0.35*COS(2*PI()*(((Inputs!$C$6)/Inputs!$C$50)+Inputs!$C$47*0.173))+0.2*SIN(2*PI()*((((Scenario_Data!V65)+(Inputs!$C$6))/(0.5*(Inputs!$C$49+Inputs!$C$50)))+Inputs!$C$47*0.097)))+0.3*(2*((SIN(((Scenario_Data!V65)*12.9898+(Inputs!$C$6)*78.233+Inputs!$C$47*37.719))*43758.5453)-INT((SIN(((Scenario_Data!V65)*12.9898+(Inputs!$C$6)*78.233+Inputs!$C$47*37.719))*43758.5453)))-1))))/1000))*COS(SQRT((Scenario_Data!V65)^2+Inputs!$C$6^2)/Inputs!$C$52))*1000)/Inputs!$C$21*1000000</f>
        <v/>
      </c>
      <c r="AV65">
        <f>Scenario_Data!W65</f>
        <v/>
      </c>
      <c r="AW65">
        <f>2*(SQRT((Inputs!$C$52+(Scenario_Data!E65))^2+(Inputs!$C$52+((IF(OR(Inputs!$C$27=TRUE,Inputs!$C$27="TRUE",Inputs!$C$27=1),1,0)*(Inputs!$C$51*(115*EXP(-(((Inputs!$C$6)-25)^2)/(4.5^2))+70*EXP(-(((Inputs!$C$6)+38)^2)/(7^2))*(0.55+0.45*SIN(2*PI()*(Scenario_Data!W65)/45))+24*SIN(2*PI()*(Inputs!$C$6)/9+(Scenario_Data!W65)/18)*EXP(-(((Inputs!$C$6)+5)^2)/(22^2))+18*SIN(2*PI()*(Scenario_Data!W65)/70))+Inputs!$C$28*EXP(-(((Scenario_Data!W65)-Inputs!$C$29)^2)/(2*Inputs!$C$31^2))*EXP(-(((Inputs!$C$6)-Inputs!$C$30)^2)/(2*Inputs!$C$32^2))+-Inputs!$C$33*EXP(-(((((Scenario_Data!W65)-Inputs!$C$34)^2)+(((Inputs!$C$6)-Inputs!$C$35)^2))/(2*Inputs!$C$36^2)))+Inputs!$C$37*(0.55*SIN(2*PI()*(Scenario_Data!W65)/Inputs!$C$39)+0.35*COS(2*PI()*(Inputs!$C$6)/Inputs!$C$40)+0.2*SIN(2*PI()*((Scenario_Data!W65)+(Inputs!$C$6))/(0.5*(Inputs!$C$39+Inputs!$C$40))))+Inputs!$C$38*SIN(2*PI()*(Scenario_Data!W65)/Inputs!$C$39)*SIN(2*PI()*(Inputs!$C$6)/Inputs!$C$40)+-Inputs!$C$41*EXP(-(((Inputs!$C$6)-Inputs!$C$43)^2)/(2*Inputs!$C$44^2))*EXP(-(((Scenario_Data!W65)-Inputs!$C$42)^2)/(2*Inputs!$C$45^2))+Inputs!$C$48*(0.7*(0.45*SIN(2*PI()*(((Scenario_Data!W65)/Inputs!$C$49)+Inputs!$C$47*0.137))+0.35*COS(2*PI()*(((Inputs!$C$6)/Inputs!$C$50)+Inputs!$C$47*0.173))+0.2*SIN(2*PI()*((((Scenario_Data!W65)+(Inputs!$C$6))/(0.5*(Inputs!$C$49+Inputs!$C$50)))+Inputs!$C$47*0.097)))+0.3*(2*((SIN(((Scenario_Data!W65)*12.9898+(Inputs!$C$6)*78.233+Inputs!$C$47*37.719))*43758.5453)-INT((SIN(((Scenario_Data!W65)*12.9898+(Inputs!$C$6)*78.233+Inputs!$C$47*37.719))*43758.5453)))-1))))/1000))^2-2*(Inputs!$C$52+(Scenario_Data!E65))*(Inputs!$C$52+((IF(OR(Inputs!$C$27=TRUE,Inputs!$C$27="TRUE",Inputs!$C$27=1),1,0)*(Inputs!$C$51*(115*EXP(-(((Inputs!$C$6)-25)^2)/(4.5^2))+70*EXP(-(((Inputs!$C$6)+38)^2)/(7^2))*(0.55+0.45*SIN(2*PI()*(Scenario_Data!W65)/45))+24*SIN(2*PI()*(Inputs!$C$6)/9+(Scenario_Data!W65)/18)*EXP(-(((Inputs!$C$6)+5)^2)/(22^2))+18*SIN(2*PI()*(Scenario_Data!W65)/70))+Inputs!$C$28*EXP(-(((Scenario_Data!W65)-Inputs!$C$29)^2)/(2*Inputs!$C$31^2))*EXP(-(((Inputs!$C$6)-Inputs!$C$30)^2)/(2*Inputs!$C$32^2))+-Inputs!$C$33*EXP(-(((((Scenario_Data!W65)-Inputs!$C$34)^2)+(((Inputs!$C$6)-Inputs!$C$35)^2))/(2*Inputs!$C$36^2)))+Inputs!$C$37*(0.55*SIN(2*PI()*(Scenario_Data!W65)/Inputs!$C$39)+0.35*COS(2*PI()*(Inputs!$C$6)/Inputs!$C$40)+0.2*SIN(2*PI()*((Scenario_Data!W65)+(Inputs!$C$6))/(0.5*(Inputs!$C$39+Inputs!$C$40))))+Inputs!$C$38*SIN(2*PI()*(Scenario_Data!W65)/Inputs!$C$39)*SIN(2*PI()*(Inputs!$C$6)/Inputs!$C$40)+-Inputs!$C$41*EXP(-(((Inputs!$C$6)-Inputs!$C$43)^2)/(2*Inputs!$C$44^2))*EXP(-(((Scenario_Data!W65)-Inputs!$C$42)^2)/(2*Inputs!$C$45^2))+Inputs!$C$48*(0.7*(0.45*SIN(2*PI()*(((Scenario_Data!W65)/Inputs!$C$49)+Inputs!$C$47*0.137))+0.35*COS(2*PI()*(((Inputs!$C$6)/Inputs!$C$50)+Inputs!$C$47*0.173))+0.2*SIN(2*PI()*((((Scenario_Data!W65)+(Inputs!$C$6))/(0.5*(Inputs!$C$49+Inputs!$C$50)))+Inputs!$C$47*0.097)))+0.3*(2*((SIN(((Scenario_Data!W65)*12.9898+(Inputs!$C$6)*78.233+Inputs!$C$47*37.719))*43758.5453)-INT((SIN(((Scenario_Data!W65)*12.9898+(Inputs!$C$6)*78.233+Inputs!$C$47*37.719))*43758.5453)))-1))))/1000))*COS(SQRT((Scenario_Data!W65)^2+Inputs!$C$6^2)/Inputs!$C$52))*1000)/Inputs!$C$21*1000000</f>
        <v/>
      </c>
    </row>
    <row r="66">
      <c r="A66">
        <f>Chart_Data!K66</f>
        <v/>
      </c>
      <c r="B66">
        <f>Chart_Data!N66-Chart_Data!L66</f>
        <v/>
      </c>
      <c r="D66">
        <f>Chart_Data!G66</f>
        <v/>
      </c>
      <c r="E66">
        <f>Chart_Data!H66</f>
        <v/>
      </c>
      <c r="F66">
        <f>Chart_Data!I66</f>
        <v/>
      </c>
      <c r="G66">
        <f>Chart_Data!J66</f>
        <v/>
      </c>
      <c r="I66">
        <f>Scenario_Data!A66</f>
        <v/>
      </c>
      <c r="J66">
        <f>Scenario_Data!H66-(((SQRT((Inputs!$C$52+(Inputs!$H$6))^2+Inputs!$C$52^2-2*(Inputs!$C$52+(Inputs!$H$6))*Inputs!$C$52*COS(SQRT((Scenario_Data!T66)^2+Inputs!$C$6^2)/Inputs!$C$52)))-(Inputs!$H$6))*1000/Inputs!$C$12)</f>
        <v/>
      </c>
      <c r="K66">
        <f>Scenario_Data!I66-(((SQRT((Inputs!$C$52+(Inputs!$H$7))^2+Inputs!$C$52^2-2*(Inputs!$C$52+(Inputs!$H$7))*Inputs!$C$52*COS(SQRT((Scenario_Data!U66)^2+Inputs!$C$6^2)/Inputs!$C$52)))-(Inputs!$H$7))*1000/Inputs!$C$12)</f>
        <v/>
      </c>
      <c r="L66">
        <f>Scenario_Data!J66-(((SQRT((Inputs!$C$52+(Inputs!$H$8))^2+Inputs!$C$52^2-2*(Inputs!$C$52+(Inputs!$H$8))*Inputs!$C$52*COS(SQRT((Scenario_Data!V66)^2+Inputs!$C$6^2)/Inputs!$C$52)))-(Inputs!$H$8))*1000/Inputs!$C$12)</f>
        <v/>
      </c>
      <c r="M66">
        <f>Scenario_Data!K66-(((SQRT((Inputs!$C$52+(Inputs!$H$9))^2+Inputs!$C$52^2-2*(Inputs!$C$52+(Inputs!$H$9))*Inputs!$C$52*COS(SQRT((Scenario_Data!W66)^2+Inputs!$C$6^2)/Inputs!$C$52)))-(Inputs!$H$9))*1000/Inputs!$C$12)</f>
        <v/>
      </c>
      <c r="O66">
        <f>Scenario_Data!T66</f>
        <v/>
      </c>
      <c r="P66">
        <f>2*(Scenario_Data!B66*1000)/Inputs!$C$21*1000000</f>
        <v/>
      </c>
      <c r="Q66">
        <f>Scenario_Data!U66</f>
        <v/>
      </c>
      <c r="R66">
        <f>2*(Scenario_Data!C66*1000)/Inputs!$C$21*1000000</f>
        <v/>
      </c>
      <c r="S66">
        <f>Scenario_Data!V66</f>
        <v/>
      </c>
      <c r="T66">
        <f>2*(Scenario_Data!D66*1000)/Inputs!$C$21*1000000</f>
        <v/>
      </c>
      <c r="U66">
        <f>Scenario_Data!W66</f>
        <v/>
      </c>
      <c r="V66">
        <f>2*(Scenario_Data!E66*1000)/Inputs!$C$21*1000000</f>
        <v/>
      </c>
      <c r="X66">
        <f>Scenario_Data!T66</f>
        <v/>
      </c>
      <c r="Y66">
        <f>2*((Scenario_Data!B66*1000)-(IF(OR(Inputs!$C$27=TRUE,Inputs!$C$27="TRUE",Inputs!$C$27=1),1,0)*(Inputs!$C$51*(115*EXP(-(((0)-25)^2)/(4.5^2))+70*EXP(-(((0)+38)^2)/(7^2))*(0.55+0.45*SIN(2*PI()*(Scenario_Data!T66)/45))+24*SIN(2*PI()*(0)/9+(Scenario_Data!T66)/18)*EXP(-(((0)+5)^2)/(22^2))+18*SIN(2*PI()*(Scenario_Data!T66)/70))+Inputs!$C$28*EXP(-(((Scenario_Data!T66)-Inputs!$C$29)^2)/(2*Inputs!$C$31^2))*EXP(-(((0)-Inputs!$C$30)^2)/(2*Inputs!$C$32^2))+-Inputs!$C$33*EXP(-(((((Scenario_Data!T66)-Inputs!$C$34)^2)+(((0)-Inputs!$C$35)^2))/(2*Inputs!$C$36^2)))+Inputs!$C$37*(0.55*SIN(2*PI()*(Scenario_Data!T66)/Inputs!$C$39)+0.35*COS(2*PI()*(0)/Inputs!$C$40)+0.2*SIN(2*PI()*((Scenario_Data!T66)+(0))/(0.5*(Inputs!$C$39+Inputs!$C$40))))+Inputs!$C$38*SIN(2*PI()*(Scenario_Data!T66)/Inputs!$C$39)*SIN(2*PI()*(0)/Inputs!$C$40)+-Inputs!$C$41*EXP(-(((0)-Inputs!$C$43)^2)/(2*Inputs!$C$44^2))*EXP(-(((Scenario_Data!T66)-Inputs!$C$42)^2)/(2*Inputs!$C$45^2))+Inputs!$C$48*(0.7*(0.45*SIN(2*PI()*(((Scenario_Data!T66)/Inputs!$C$49)+Inputs!$C$47*0.137))+0.35*COS(2*PI()*(((0)/Inputs!$C$50)+Inputs!$C$47*0.173))+0.2*SIN(2*PI()*((((Scenario_Data!T66)+(0))/(0.5*(Inputs!$C$49+Inputs!$C$50)))+Inputs!$C$47*0.097)))+0.3*(2*((SIN(((Scenario_Data!T66)*12.9898+(0)*78.233+Inputs!$C$47*37.719))*43758.5453)-INT((SIN(((Scenario_Data!T66)*12.9898+(0)*78.233+Inputs!$C$47*37.719))*43758.5453)))-1)))))/Inputs!$C$21*1000000</f>
        <v/>
      </c>
      <c r="Z66">
        <f>Scenario_Data!U66</f>
        <v/>
      </c>
      <c r="AA66">
        <f>2*((Scenario_Data!C66*1000)-(IF(OR(Inputs!$C$27=TRUE,Inputs!$C$27="TRUE",Inputs!$C$27=1),1,0)*(Inputs!$C$51*(115*EXP(-(((0)-25)^2)/(4.5^2))+70*EXP(-(((0)+38)^2)/(7^2))*(0.55+0.45*SIN(2*PI()*(Scenario_Data!U66)/45))+24*SIN(2*PI()*(0)/9+(Scenario_Data!U66)/18)*EXP(-(((0)+5)^2)/(22^2))+18*SIN(2*PI()*(Scenario_Data!U66)/70))+Inputs!$C$28*EXP(-(((Scenario_Data!U66)-Inputs!$C$29)^2)/(2*Inputs!$C$31^2))*EXP(-(((0)-Inputs!$C$30)^2)/(2*Inputs!$C$32^2))+-Inputs!$C$33*EXP(-(((((Scenario_Data!U66)-Inputs!$C$34)^2)+(((0)-Inputs!$C$35)^2))/(2*Inputs!$C$36^2)))+Inputs!$C$37*(0.55*SIN(2*PI()*(Scenario_Data!U66)/Inputs!$C$39)+0.35*COS(2*PI()*(0)/Inputs!$C$40)+0.2*SIN(2*PI()*((Scenario_Data!U66)+(0))/(0.5*(Inputs!$C$39+Inputs!$C$40))))+Inputs!$C$38*SIN(2*PI()*(Scenario_Data!U66)/Inputs!$C$39)*SIN(2*PI()*(0)/Inputs!$C$40)+-Inputs!$C$41*EXP(-(((0)-Inputs!$C$43)^2)/(2*Inputs!$C$44^2))*EXP(-(((Scenario_Data!U66)-Inputs!$C$42)^2)/(2*Inputs!$C$45^2))+Inputs!$C$48*(0.7*(0.45*SIN(2*PI()*(((Scenario_Data!U66)/Inputs!$C$49)+Inputs!$C$47*0.137))+0.35*COS(2*PI()*(((0)/Inputs!$C$50)+Inputs!$C$47*0.173))+0.2*SIN(2*PI()*((((Scenario_Data!U66)+(0))/(0.5*(Inputs!$C$49+Inputs!$C$50)))+Inputs!$C$47*0.097)))+0.3*(2*((SIN(((Scenario_Data!U66)*12.9898+(0)*78.233+Inputs!$C$47*37.719))*43758.5453)-INT((SIN(((Scenario_Data!U66)*12.9898+(0)*78.233+Inputs!$C$47*37.719))*43758.5453)))-1)))))/Inputs!$C$21*1000000</f>
        <v/>
      </c>
      <c r="AB66">
        <f>Scenario_Data!V66</f>
        <v/>
      </c>
      <c r="AC66">
        <f>2*((Scenario_Data!D66*1000)-(IF(OR(Inputs!$C$27=TRUE,Inputs!$C$27="TRUE",Inputs!$C$27=1),1,0)*(Inputs!$C$51*(115*EXP(-(((0)-25)^2)/(4.5^2))+70*EXP(-(((0)+38)^2)/(7^2))*(0.55+0.45*SIN(2*PI()*(Scenario_Data!V66)/45))+24*SIN(2*PI()*(0)/9+(Scenario_Data!V66)/18)*EXP(-(((0)+5)^2)/(22^2))+18*SIN(2*PI()*(Scenario_Data!V66)/70))+Inputs!$C$28*EXP(-(((Scenario_Data!V66)-Inputs!$C$29)^2)/(2*Inputs!$C$31^2))*EXP(-(((0)-Inputs!$C$30)^2)/(2*Inputs!$C$32^2))+-Inputs!$C$33*EXP(-(((((Scenario_Data!V66)-Inputs!$C$34)^2)+(((0)-Inputs!$C$35)^2))/(2*Inputs!$C$36^2)))+Inputs!$C$37*(0.55*SIN(2*PI()*(Scenario_Data!V66)/Inputs!$C$39)+0.35*COS(2*PI()*(0)/Inputs!$C$40)+0.2*SIN(2*PI()*((Scenario_Data!V66)+(0))/(0.5*(Inputs!$C$39+Inputs!$C$40))))+Inputs!$C$38*SIN(2*PI()*(Scenario_Data!V66)/Inputs!$C$39)*SIN(2*PI()*(0)/Inputs!$C$40)+-Inputs!$C$41*EXP(-(((0)-Inputs!$C$43)^2)/(2*Inputs!$C$44^2))*EXP(-(((Scenario_Data!V66)-Inputs!$C$42)^2)/(2*Inputs!$C$45^2))+Inputs!$C$48*(0.7*(0.45*SIN(2*PI()*(((Scenario_Data!V66)/Inputs!$C$49)+Inputs!$C$47*0.137))+0.35*COS(2*PI()*(((0)/Inputs!$C$50)+Inputs!$C$47*0.173))+0.2*SIN(2*PI()*((((Scenario_Data!V66)+(0))/(0.5*(Inputs!$C$49+Inputs!$C$50)))+Inputs!$C$47*0.097)))+0.3*(2*((SIN(((Scenario_Data!V66)*12.9898+(0)*78.233+Inputs!$C$47*37.719))*43758.5453)-INT((SIN(((Scenario_Data!V66)*12.9898+(0)*78.233+Inputs!$C$47*37.719))*43758.5453)))-1)))))/Inputs!$C$21*1000000</f>
        <v/>
      </c>
      <c r="AD66">
        <f>Scenario_Data!W66</f>
        <v/>
      </c>
      <c r="AE66">
        <f>2*((Scenario_Data!E66*1000)-(IF(OR(Inputs!$C$27=TRUE,Inputs!$C$27="TRUE",Inputs!$C$27=1),1,0)*(Inputs!$C$51*(115*EXP(-(((0)-25)^2)/(4.5^2))+70*EXP(-(((0)+38)^2)/(7^2))*(0.55+0.45*SIN(2*PI()*(Scenario_Data!W66)/45))+24*SIN(2*PI()*(0)/9+(Scenario_Data!W66)/18)*EXP(-(((0)+5)^2)/(22^2))+18*SIN(2*PI()*(Scenario_Data!W66)/70))+Inputs!$C$28*EXP(-(((Scenario_Data!W66)-Inputs!$C$29)^2)/(2*Inputs!$C$31^2))*EXP(-(((0)-Inputs!$C$30)^2)/(2*Inputs!$C$32^2))+-Inputs!$C$33*EXP(-(((((Scenario_Data!W66)-Inputs!$C$34)^2)+(((0)-Inputs!$C$35)^2))/(2*Inputs!$C$36^2)))+Inputs!$C$37*(0.55*SIN(2*PI()*(Scenario_Data!W66)/Inputs!$C$39)+0.35*COS(2*PI()*(0)/Inputs!$C$40)+0.2*SIN(2*PI()*((Scenario_Data!W66)+(0))/(0.5*(Inputs!$C$39+Inputs!$C$40))))+Inputs!$C$38*SIN(2*PI()*(Scenario_Data!W66)/Inputs!$C$39)*SIN(2*PI()*(0)/Inputs!$C$40)+-Inputs!$C$41*EXP(-(((0)-Inputs!$C$43)^2)/(2*Inputs!$C$44^2))*EXP(-(((Scenario_Data!W66)-Inputs!$C$42)^2)/(2*Inputs!$C$45^2))+Inputs!$C$48*(0.7*(0.45*SIN(2*PI()*(((Scenario_Data!W66)/Inputs!$C$49)+Inputs!$C$47*0.137))+0.35*COS(2*PI()*(((0)/Inputs!$C$50)+Inputs!$C$47*0.173))+0.2*SIN(2*PI()*((((Scenario_Data!W66)+(0))/(0.5*(Inputs!$C$49+Inputs!$C$50)))+Inputs!$C$47*0.097)))+0.3*(2*((SIN(((Scenario_Data!W66)*12.9898+(0)*78.233+Inputs!$C$47*37.719))*43758.5453)-INT((SIN(((Scenario_Data!W66)*12.9898+(0)*78.233+Inputs!$C$47*37.719))*43758.5453)))-1)))))/Inputs!$C$21*1000000</f>
        <v/>
      </c>
      <c r="AG66">
        <f>Scenario_Data!T66</f>
        <v/>
      </c>
      <c r="AH66">
        <f>2*(SQRT((Inputs!$C$52+(Scenario_Data!B66))^2+Inputs!$C$52^2-2*(Inputs!$C$52+(Scenario_Data!B66))*Inputs!$C$52*COS(SQRT((Scenario_Data!T66)^2+Inputs!$C$6^2)/Inputs!$C$52))*1000)/Inputs!$C$21*1000000</f>
        <v/>
      </c>
      <c r="AI66">
        <f>Scenario_Data!U66</f>
        <v/>
      </c>
      <c r="AJ66">
        <f>2*(SQRT((Inputs!$C$52+(Scenario_Data!C66))^2+Inputs!$C$52^2-2*(Inputs!$C$52+(Scenario_Data!C66))*Inputs!$C$52*COS(SQRT((Scenario_Data!U66)^2+Inputs!$C$6^2)/Inputs!$C$52))*1000)/Inputs!$C$21*1000000</f>
        <v/>
      </c>
      <c r="AK66">
        <f>Scenario_Data!V66</f>
        <v/>
      </c>
      <c r="AL66">
        <f>2*(SQRT((Inputs!$C$52+(Scenario_Data!D66))^2+Inputs!$C$52^2-2*(Inputs!$C$52+(Scenario_Data!D66))*Inputs!$C$52*COS(SQRT((Scenario_Data!V66)^2+Inputs!$C$6^2)/Inputs!$C$52))*1000)/Inputs!$C$21*1000000</f>
        <v/>
      </c>
      <c r="AM66">
        <f>Scenario_Data!W66</f>
        <v/>
      </c>
      <c r="AN66">
        <f>2*(SQRT((Inputs!$C$52+(Scenario_Data!E66))^2+Inputs!$C$52^2-2*(Inputs!$C$52+(Scenario_Data!E66))*Inputs!$C$52*COS(SQRT((Scenario_Data!W66)^2+Inputs!$C$6^2)/Inputs!$C$52))*1000)/Inputs!$C$21*1000000</f>
        <v/>
      </c>
      <c r="AP66">
        <f>Scenario_Data!T66</f>
        <v/>
      </c>
      <c r="AQ66">
        <f>2*(SQRT((Inputs!$C$52+(Scenario_Data!B66))^2+(Inputs!$C$52+((IF(OR(Inputs!$C$27=TRUE,Inputs!$C$27="TRUE",Inputs!$C$27=1),1,0)*(Inputs!$C$51*(115*EXP(-(((Inputs!$C$6)-25)^2)/(4.5^2))+70*EXP(-(((Inputs!$C$6)+38)^2)/(7^2))*(0.55+0.45*SIN(2*PI()*(Scenario_Data!T66)/45))+24*SIN(2*PI()*(Inputs!$C$6)/9+(Scenario_Data!T66)/18)*EXP(-(((Inputs!$C$6)+5)^2)/(22^2))+18*SIN(2*PI()*(Scenario_Data!T66)/70))+Inputs!$C$28*EXP(-(((Scenario_Data!T66)-Inputs!$C$29)^2)/(2*Inputs!$C$31^2))*EXP(-(((Inputs!$C$6)-Inputs!$C$30)^2)/(2*Inputs!$C$32^2))+-Inputs!$C$33*EXP(-(((((Scenario_Data!T66)-Inputs!$C$34)^2)+(((Inputs!$C$6)-Inputs!$C$35)^2))/(2*Inputs!$C$36^2)))+Inputs!$C$37*(0.55*SIN(2*PI()*(Scenario_Data!T66)/Inputs!$C$39)+0.35*COS(2*PI()*(Inputs!$C$6)/Inputs!$C$40)+0.2*SIN(2*PI()*((Scenario_Data!T66)+(Inputs!$C$6))/(0.5*(Inputs!$C$39+Inputs!$C$40))))+Inputs!$C$38*SIN(2*PI()*(Scenario_Data!T66)/Inputs!$C$39)*SIN(2*PI()*(Inputs!$C$6)/Inputs!$C$40)+-Inputs!$C$41*EXP(-(((Inputs!$C$6)-Inputs!$C$43)^2)/(2*Inputs!$C$44^2))*EXP(-(((Scenario_Data!T66)-Inputs!$C$42)^2)/(2*Inputs!$C$45^2))+Inputs!$C$48*(0.7*(0.45*SIN(2*PI()*(((Scenario_Data!T66)/Inputs!$C$49)+Inputs!$C$47*0.137))+0.35*COS(2*PI()*(((Inputs!$C$6)/Inputs!$C$50)+Inputs!$C$47*0.173))+0.2*SIN(2*PI()*((((Scenario_Data!T66)+(Inputs!$C$6))/(0.5*(Inputs!$C$49+Inputs!$C$50)))+Inputs!$C$47*0.097)))+0.3*(2*((SIN(((Scenario_Data!T66)*12.9898+(Inputs!$C$6)*78.233+Inputs!$C$47*37.719))*43758.5453)-INT((SIN(((Scenario_Data!T66)*12.9898+(Inputs!$C$6)*78.233+Inputs!$C$47*37.719))*43758.5453)))-1))))/1000))^2-2*(Inputs!$C$52+(Scenario_Data!B66))*(Inputs!$C$52+((IF(OR(Inputs!$C$27=TRUE,Inputs!$C$27="TRUE",Inputs!$C$27=1),1,0)*(Inputs!$C$51*(115*EXP(-(((Inputs!$C$6)-25)^2)/(4.5^2))+70*EXP(-(((Inputs!$C$6)+38)^2)/(7^2))*(0.55+0.45*SIN(2*PI()*(Scenario_Data!T66)/45))+24*SIN(2*PI()*(Inputs!$C$6)/9+(Scenario_Data!T66)/18)*EXP(-(((Inputs!$C$6)+5)^2)/(22^2))+18*SIN(2*PI()*(Scenario_Data!T66)/70))+Inputs!$C$28*EXP(-(((Scenario_Data!T66)-Inputs!$C$29)^2)/(2*Inputs!$C$31^2))*EXP(-(((Inputs!$C$6)-Inputs!$C$30)^2)/(2*Inputs!$C$32^2))+-Inputs!$C$33*EXP(-(((((Scenario_Data!T66)-Inputs!$C$34)^2)+(((Inputs!$C$6)-Inputs!$C$35)^2))/(2*Inputs!$C$36^2)))+Inputs!$C$37*(0.55*SIN(2*PI()*(Scenario_Data!T66)/Inputs!$C$39)+0.35*COS(2*PI()*(Inputs!$C$6)/Inputs!$C$40)+0.2*SIN(2*PI()*((Scenario_Data!T66)+(Inputs!$C$6))/(0.5*(Inputs!$C$39+Inputs!$C$40))))+Inputs!$C$38*SIN(2*PI()*(Scenario_Data!T66)/Inputs!$C$39)*SIN(2*PI()*(Inputs!$C$6)/Inputs!$C$40)+-Inputs!$C$41*EXP(-(((Inputs!$C$6)-Inputs!$C$43)^2)/(2*Inputs!$C$44^2))*EXP(-(((Scenario_Data!T66)-Inputs!$C$42)^2)/(2*Inputs!$C$45^2))+Inputs!$C$48*(0.7*(0.45*SIN(2*PI()*(((Scenario_Data!T66)/Inputs!$C$49)+Inputs!$C$47*0.137))+0.35*COS(2*PI()*(((Inputs!$C$6)/Inputs!$C$50)+Inputs!$C$47*0.173))+0.2*SIN(2*PI()*((((Scenario_Data!T66)+(Inputs!$C$6))/(0.5*(Inputs!$C$49+Inputs!$C$50)))+Inputs!$C$47*0.097)))+0.3*(2*((SIN(((Scenario_Data!T66)*12.9898+(Inputs!$C$6)*78.233+Inputs!$C$47*37.719))*43758.5453)-INT((SIN(((Scenario_Data!T66)*12.9898+(Inputs!$C$6)*78.233+Inputs!$C$47*37.719))*43758.5453)))-1))))/1000))*COS(SQRT((Scenario_Data!T66)^2+Inputs!$C$6^2)/Inputs!$C$52))*1000)/Inputs!$C$21*1000000</f>
        <v/>
      </c>
      <c r="AR66">
        <f>Scenario_Data!U66</f>
        <v/>
      </c>
      <c r="AS66">
        <f>2*(SQRT((Inputs!$C$52+(Scenario_Data!C66))^2+(Inputs!$C$52+((IF(OR(Inputs!$C$27=TRUE,Inputs!$C$27="TRUE",Inputs!$C$27=1),1,0)*(Inputs!$C$51*(115*EXP(-(((Inputs!$C$6)-25)^2)/(4.5^2))+70*EXP(-(((Inputs!$C$6)+38)^2)/(7^2))*(0.55+0.45*SIN(2*PI()*(Scenario_Data!U66)/45))+24*SIN(2*PI()*(Inputs!$C$6)/9+(Scenario_Data!U66)/18)*EXP(-(((Inputs!$C$6)+5)^2)/(22^2))+18*SIN(2*PI()*(Scenario_Data!U66)/70))+Inputs!$C$28*EXP(-(((Scenario_Data!U66)-Inputs!$C$29)^2)/(2*Inputs!$C$31^2))*EXP(-(((Inputs!$C$6)-Inputs!$C$30)^2)/(2*Inputs!$C$32^2))+-Inputs!$C$33*EXP(-(((((Scenario_Data!U66)-Inputs!$C$34)^2)+(((Inputs!$C$6)-Inputs!$C$35)^2))/(2*Inputs!$C$36^2)))+Inputs!$C$37*(0.55*SIN(2*PI()*(Scenario_Data!U66)/Inputs!$C$39)+0.35*COS(2*PI()*(Inputs!$C$6)/Inputs!$C$40)+0.2*SIN(2*PI()*((Scenario_Data!U66)+(Inputs!$C$6))/(0.5*(Inputs!$C$39+Inputs!$C$40))))+Inputs!$C$38*SIN(2*PI()*(Scenario_Data!U66)/Inputs!$C$39)*SIN(2*PI()*(Inputs!$C$6)/Inputs!$C$40)+-Inputs!$C$41*EXP(-(((Inputs!$C$6)-Inputs!$C$43)^2)/(2*Inputs!$C$44^2))*EXP(-(((Scenario_Data!U66)-Inputs!$C$42)^2)/(2*Inputs!$C$45^2))+Inputs!$C$48*(0.7*(0.45*SIN(2*PI()*(((Scenario_Data!U66)/Inputs!$C$49)+Inputs!$C$47*0.137))+0.35*COS(2*PI()*(((Inputs!$C$6)/Inputs!$C$50)+Inputs!$C$47*0.173))+0.2*SIN(2*PI()*((((Scenario_Data!U66)+(Inputs!$C$6))/(0.5*(Inputs!$C$49+Inputs!$C$50)))+Inputs!$C$47*0.097)))+0.3*(2*((SIN(((Scenario_Data!U66)*12.9898+(Inputs!$C$6)*78.233+Inputs!$C$47*37.719))*43758.5453)-INT((SIN(((Scenario_Data!U66)*12.9898+(Inputs!$C$6)*78.233+Inputs!$C$47*37.719))*43758.5453)))-1))))/1000))^2-2*(Inputs!$C$52+(Scenario_Data!C66))*(Inputs!$C$52+((IF(OR(Inputs!$C$27=TRUE,Inputs!$C$27="TRUE",Inputs!$C$27=1),1,0)*(Inputs!$C$51*(115*EXP(-(((Inputs!$C$6)-25)^2)/(4.5^2))+70*EXP(-(((Inputs!$C$6)+38)^2)/(7^2))*(0.55+0.45*SIN(2*PI()*(Scenario_Data!U66)/45))+24*SIN(2*PI()*(Inputs!$C$6)/9+(Scenario_Data!U66)/18)*EXP(-(((Inputs!$C$6)+5)^2)/(22^2))+18*SIN(2*PI()*(Scenario_Data!U66)/70))+Inputs!$C$28*EXP(-(((Scenario_Data!U66)-Inputs!$C$29)^2)/(2*Inputs!$C$31^2))*EXP(-(((Inputs!$C$6)-Inputs!$C$30)^2)/(2*Inputs!$C$32^2))+-Inputs!$C$33*EXP(-(((((Scenario_Data!U66)-Inputs!$C$34)^2)+(((Inputs!$C$6)-Inputs!$C$35)^2))/(2*Inputs!$C$36^2)))+Inputs!$C$37*(0.55*SIN(2*PI()*(Scenario_Data!U66)/Inputs!$C$39)+0.35*COS(2*PI()*(Inputs!$C$6)/Inputs!$C$40)+0.2*SIN(2*PI()*((Scenario_Data!U66)+(Inputs!$C$6))/(0.5*(Inputs!$C$39+Inputs!$C$40))))+Inputs!$C$38*SIN(2*PI()*(Scenario_Data!U66)/Inputs!$C$39)*SIN(2*PI()*(Inputs!$C$6)/Inputs!$C$40)+-Inputs!$C$41*EXP(-(((Inputs!$C$6)-Inputs!$C$43)^2)/(2*Inputs!$C$44^2))*EXP(-(((Scenario_Data!U66)-Inputs!$C$42)^2)/(2*Inputs!$C$45^2))+Inputs!$C$48*(0.7*(0.45*SIN(2*PI()*(((Scenario_Data!U66)/Inputs!$C$49)+Inputs!$C$47*0.137))+0.35*COS(2*PI()*(((Inputs!$C$6)/Inputs!$C$50)+Inputs!$C$47*0.173))+0.2*SIN(2*PI()*((((Scenario_Data!U66)+(Inputs!$C$6))/(0.5*(Inputs!$C$49+Inputs!$C$50)))+Inputs!$C$47*0.097)))+0.3*(2*((SIN(((Scenario_Data!U66)*12.9898+(Inputs!$C$6)*78.233+Inputs!$C$47*37.719))*43758.5453)-INT((SIN(((Scenario_Data!U66)*12.9898+(Inputs!$C$6)*78.233+Inputs!$C$47*37.719))*43758.5453)))-1))))/1000))*COS(SQRT((Scenario_Data!U66)^2+Inputs!$C$6^2)/Inputs!$C$52))*1000)/Inputs!$C$21*1000000</f>
        <v/>
      </c>
      <c r="AT66">
        <f>Scenario_Data!V66</f>
        <v/>
      </c>
      <c r="AU66">
        <f>2*(SQRT((Inputs!$C$52+(Scenario_Data!D66))^2+(Inputs!$C$52+((IF(OR(Inputs!$C$27=TRUE,Inputs!$C$27="TRUE",Inputs!$C$27=1),1,0)*(Inputs!$C$51*(115*EXP(-(((Inputs!$C$6)-25)^2)/(4.5^2))+70*EXP(-(((Inputs!$C$6)+38)^2)/(7^2))*(0.55+0.45*SIN(2*PI()*(Scenario_Data!V66)/45))+24*SIN(2*PI()*(Inputs!$C$6)/9+(Scenario_Data!V66)/18)*EXP(-(((Inputs!$C$6)+5)^2)/(22^2))+18*SIN(2*PI()*(Scenario_Data!V66)/70))+Inputs!$C$28*EXP(-(((Scenario_Data!V66)-Inputs!$C$29)^2)/(2*Inputs!$C$31^2))*EXP(-(((Inputs!$C$6)-Inputs!$C$30)^2)/(2*Inputs!$C$32^2))+-Inputs!$C$33*EXP(-(((((Scenario_Data!V66)-Inputs!$C$34)^2)+(((Inputs!$C$6)-Inputs!$C$35)^2))/(2*Inputs!$C$36^2)))+Inputs!$C$37*(0.55*SIN(2*PI()*(Scenario_Data!V66)/Inputs!$C$39)+0.35*COS(2*PI()*(Inputs!$C$6)/Inputs!$C$40)+0.2*SIN(2*PI()*((Scenario_Data!V66)+(Inputs!$C$6))/(0.5*(Inputs!$C$39+Inputs!$C$40))))+Inputs!$C$38*SIN(2*PI()*(Scenario_Data!V66)/Inputs!$C$39)*SIN(2*PI()*(Inputs!$C$6)/Inputs!$C$40)+-Inputs!$C$41*EXP(-(((Inputs!$C$6)-Inputs!$C$43)^2)/(2*Inputs!$C$44^2))*EXP(-(((Scenario_Data!V66)-Inputs!$C$42)^2)/(2*Inputs!$C$45^2))+Inputs!$C$48*(0.7*(0.45*SIN(2*PI()*(((Scenario_Data!V66)/Inputs!$C$49)+Inputs!$C$47*0.137))+0.35*COS(2*PI()*(((Inputs!$C$6)/Inputs!$C$50)+Inputs!$C$47*0.173))+0.2*SIN(2*PI()*((((Scenario_Data!V66)+(Inputs!$C$6))/(0.5*(Inputs!$C$49+Inputs!$C$50)))+Inputs!$C$47*0.097)))+0.3*(2*((SIN(((Scenario_Data!V66)*12.9898+(Inputs!$C$6)*78.233+Inputs!$C$47*37.719))*43758.5453)-INT((SIN(((Scenario_Data!V66)*12.9898+(Inputs!$C$6)*78.233+Inputs!$C$47*37.719))*43758.5453)))-1))))/1000))^2-2*(Inputs!$C$52+(Scenario_Data!D66))*(Inputs!$C$52+((IF(OR(Inputs!$C$27=TRUE,Inputs!$C$27="TRUE",Inputs!$C$27=1),1,0)*(Inputs!$C$51*(115*EXP(-(((Inputs!$C$6)-25)^2)/(4.5^2))+70*EXP(-(((Inputs!$C$6)+38)^2)/(7^2))*(0.55+0.45*SIN(2*PI()*(Scenario_Data!V66)/45))+24*SIN(2*PI()*(Inputs!$C$6)/9+(Scenario_Data!V66)/18)*EXP(-(((Inputs!$C$6)+5)^2)/(22^2))+18*SIN(2*PI()*(Scenario_Data!V66)/70))+Inputs!$C$28*EXP(-(((Scenario_Data!V66)-Inputs!$C$29)^2)/(2*Inputs!$C$31^2))*EXP(-(((Inputs!$C$6)-Inputs!$C$30)^2)/(2*Inputs!$C$32^2))+-Inputs!$C$33*EXP(-(((((Scenario_Data!V66)-Inputs!$C$34)^2)+(((Inputs!$C$6)-Inputs!$C$35)^2))/(2*Inputs!$C$36^2)))+Inputs!$C$37*(0.55*SIN(2*PI()*(Scenario_Data!V66)/Inputs!$C$39)+0.35*COS(2*PI()*(Inputs!$C$6)/Inputs!$C$40)+0.2*SIN(2*PI()*((Scenario_Data!V66)+(Inputs!$C$6))/(0.5*(Inputs!$C$39+Inputs!$C$40))))+Inputs!$C$38*SIN(2*PI()*(Scenario_Data!V66)/Inputs!$C$39)*SIN(2*PI()*(Inputs!$C$6)/Inputs!$C$40)+-Inputs!$C$41*EXP(-(((Inputs!$C$6)-Inputs!$C$43)^2)/(2*Inputs!$C$44^2))*EXP(-(((Scenario_Data!V66)-Inputs!$C$42)^2)/(2*Inputs!$C$45^2))+Inputs!$C$48*(0.7*(0.45*SIN(2*PI()*(((Scenario_Data!V66)/Inputs!$C$49)+Inputs!$C$47*0.137))+0.35*COS(2*PI()*(((Inputs!$C$6)/Inputs!$C$50)+Inputs!$C$47*0.173))+0.2*SIN(2*PI()*((((Scenario_Data!V66)+(Inputs!$C$6))/(0.5*(Inputs!$C$49+Inputs!$C$50)))+Inputs!$C$47*0.097)))+0.3*(2*((SIN(((Scenario_Data!V66)*12.9898+(Inputs!$C$6)*78.233+Inputs!$C$47*37.719))*43758.5453)-INT((SIN(((Scenario_Data!V66)*12.9898+(Inputs!$C$6)*78.233+Inputs!$C$47*37.719))*43758.5453)))-1))))/1000))*COS(SQRT((Scenario_Data!V66)^2+Inputs!$C$6^2)/Inputs!$C$52))*1000)/Inputs!$C$21*1000000</f>
        <v/>
      </c>
      <c r="AV66">
        <f>Scenario_Data!W66</f>
        <v/>
      </c>
      <c r="AW66">
        <f>2*(SQRT((Inputs!$C$52+(Scenario_Data!E66))^2+(Inputs!$C$52+((IF(OR(Inputs!$C$27=TRUE,Inputs!$C$27="TRUE",Inputs!$C$27=1),1,0)*(Inputs!$C$51*(115*EXP(-(((Inputs!$C$6)-25)^2)/(4.5^2))+70*EXP(-(((Inputs!$C$6)+38)^2)/(7^2))*(0.55+0.45*SIN(2*PI()*(Scenario_Data!W66)/45))+24*SIN(2*PI()*(Inputs!$C$6)/9+(Scenario_Data!W66)/18)*EXP(-(((Inputs!$C$6)+5)^2)/(22^2))+18*SIN(2*PI()*(Scenario_Data!W66)/70))+Inputs!$C$28*EXP(-(((Scenario_Data!W66)-Inputs!$C$29)^2)/(2*Inputs!$C$31^2))*EXP(-(((Inputs!$C$6)-Inputs!$C$30)^2)/(2*Inputs!$C$32^2))+-Inputs!$C$33*EXP(-(((((Scenario_Data!W66)-Inputs!$C$34)^2)+(((Inputs!$C$6)-Inputs!$C$35)^2))/(2*Inputs!$C$36^2)))+Inputs!$C$37*(0.55*SIN(2*PI()*(Scenario_Data!W66)/Inputs!$C$39)+0.35*COS(2*PI()*(Inputs!$C$6)/Inputs!$C$40)+0.2*SIN(2*PI()*((Scenario_Data!W66)+(Inputs!$C$6))/(0.5*(Inputs!$C$39+Inputs!$C$40))))+Inputs!$C$38*SIN(2*PI()*(Scenario_Data!W66)/Inputs!$C$39)*SIN(2*PI()*(Inputs!$C$6)/Inputs!$C$40)+-Inputs!$C$41*EXP(-(((Inputs!$C$6)-Inputs!$C$43)^2)/(2*Inputs!$C$44^2))*EXP(-(((Scenario_Data!W66)-Inputs!$C$42)^2)/(2*Inputs!$C$45^2))+Inputs!$C$48*(0.7*(0.45*SIN(2*PI()*(((Scenario_Data!W66)/Inputs!$C$49)+Inputs!$C$47*0.137))+0.35*COS(2*PI()*(((Inputs!$C$6)/Inputs!$C$50)+Inputs!$C$47*0.173))+0.2*SIN(2*PI()*((((Scenario_Data!W66)+(Inputs!$C$6))/(0.5*(Inputs!$C$49+Inputs!$C$50)))+Inputs!$C$47*0.097)))+0.3*(2*((SIN(((Scenario_Data!W66)*12.9898+(Inputs!$C$6)*78.233+Inputs!$C$47*37.719))*43758.5453)-INT((SIN(((Scenario_Data!W66)*12.9898+(Inputs!$C$6)*78.233+Inputs!$C$47*37.719))*43758.5453)))-1))))/1000))^2-2*(Inputs!$C$52+(Scenario_Data!E66))*(Inputs!$C$52+((IF(OR(Inputs!$C$27=TRUE,Inputs!$C$27="TRUE",Inputs!$C$27=1),1,0)*(Inputs!$C$51*(115*EXP(-(((Inputs!$C$6)-25)^2)/(4.5^2))+70*EXP(-(((Inputs!$C$6)+38)^2)/(7^2))*(0.55+0.45*SIN(2*PI()*(Scenario_Data!W66)/45))+24*SIN(2*PI()*(Inputs!$C$6)/9+(Scenario_Data!W66)/18)*EXP(-(((Inputs!$C$6)+5)^2)/(22^2))+18*SIN(2*PI()*(Scenario_Data!W66)/70))+Inputs!$C$28*EXP(-(((Scenario_Data!W66)-Inputs!$C$29)^2)/(2*Inputs!$C$31^2))*EXP(-(((Inputs!$C$6)-Inputs!$C$30)^2)/(2*Inputs!$C$32^2))+-Inputs!$C$33*EXP(-(((((Scenario_Data!W66)-Inputs!$C$34)^2)+(((Inputs!$C$6)-Inputs!$C$35)^2))/(2*Inputs!$C$36^2)))+Inputs!$C$37*(0.55*SIN(2*PI()*(Scenario_Data!W66)/Inputs!$C$39)+0.35*COS(2*PI()*(Inputs!$C$6)/Inputs!$C$40)+0.2*SIN(2*PI()*((Scenario_Data!W66)+(Inputs!$C$6))/(0.5*(Inputs!$C$39+Inputs!$C$40))))+Inputs!$C$38*SIN(2*PI()*(Scenario_Data!W66)/Inputs!$C$39)*SIN(2*PI()*(Inputs!$C$6)/Inputs!$C$40)+-Inputs!$C$41*EXP(-(((Inputs!$C$6)-Inputs!$C$43)^2)/(2*Inputs!$C$44^2))*EXP(-(((Scenario_Data!W66)-Inputs!$C$42)^2)/(2*Inputs!$C$45^2))+Inputs!$C$48*(0.7*(0.45*SIN(2*PI()*(((Scenario_Data!W66)/Inputs!$C$49)+Inputs!$C$47*0.137))+0.35*COS(2*PI()*(((Inputs!$C$6)/Inputs!$C$50)+Inputs!$C$47*0.173))+0.2*SIN(2*PI()*((((Scenario_Data!W66)+(Inputs!$C$6))/(0.5*(Inputs!$C$49+Inputs!$C$50)))+Inputs!$C$47*0.097)))+0.3*(2*((SIN(((Scenario_Data!W66)*12.9898+(Inputs!$C$6)*78.233+Inputs!$C$47*37.719))*43758.5453)-INT((SIN(((Scenario_Data!W66)*12.9898+(Inputs!$C$6)*78.233+Inputs!$C$47*37.719))*43758.5453)))-1))))/1000))*COS(SQRT((Scenario_Data!W66)^2+Inputs!$C$6^2)/Inputs!$C$52))*1000)/Inputs!$C$21*1000000</f>
        <v/>
      </c>
    </row>
    <row r="67">
      <c r="A67">
        <f>Chart_Data!K67</f>
        <v/>
      </c>
      <c r="B67">
        <f>Chart_Data!N67-Chart_Data!L67</f>
        <v/>
      </c>
      <c r="D67">
        <f>Chart_Data!G67</f>
        <v/>
      </c>
      <c r="E67">
        <f>Chart_Data!H67</f>
        <v/>
      </c>
      <c r="F67">
        <f>Chart_Data!I67</f>
        <v/>
      </c>
      <c r="G67">
        <f>Chart_Data!J67</f>
        <v/>
      </c>
      <c r="I67">
        <f>Scenario_Data!A67</f>
        <v/>
      </c>
      <c r="J67">
        <f>Scenario_Data!H67-(((SQRT((Inputs!$C$52+(Inputs!$H$6))^2+Inputs!$C$52^2-2*(Inputs!$C$52+(Inputs!$H$6))*Inputs!$C$52*COS(SQRT((Scenario_Data!T67)^2+Inputs!$C$6^2)/Inputs!$C$52)))-(Inputs!$H$6))*1000/Inputs!$C$12)</f>
        <v/>
      </c>
      <c r="K67">
        <f>Scenario_Data!I67-(((SQRT((Inputs!$C$52+(Inputs!$H$7))^2+Inputs!$C$52^2-2*(Inputs!$C$52+(Inputs!$H$7))*Inputs!$C$52*COS(SQRT((Scenario_Data!U67)^2+Inputs!$C$6^2)/Inputs!$C$52)))-(Inputs!$H$7))*1000/Inputs!$C$12)</f>
        <v/>
      </c>
      <c r="L67">
        <f>Scenario_Data!J67-(((SQRT((Inputs!$C$52+(Inputs!$H$8))^2+Inputs!$C$52^2-2*(Inputs!$C$52+(Inputs!$H$8))*Inputs!$C$52*COS(SQRT((Scenario_Data!V67)^2+Inputs!$C$6^2)/Inputs!$C$52)))-(Inputs!$H$8))*1000/Inputs!$C$12)</f>
        <v/>
      </c>
      <c r="M67">
        <f>Scenario_Data!K67-(((SQRT((Inputs!$C$52+(Inputs!$H$9))^2+Inputs!$C$52^2-2*(Inputs!$C$52+(Inputs!$H$9))*Inputs!$C$52*COS(SQRT((Scenario_Data!W67)^2+Inputs!$C$6^2)/Inputs!$C$52)))-(Inputs!$H$9))*1000/Inputs!$C$12)</f>
        <v/>
      </c>
      <c r="O67">
        <f>Scenario_Data!T67</f>
        <v/>
      </c>
      <c r="P67">
        <f>2*(Scenario_Data!B67*1000)/Inputs!$C$21*1000000</f>
        <v/>
      </c>
      <c r="Q67">
        <f>Scenario_Data!U67</f>
        <v/>
      </c>
      <c r="R67">
        <f>2*(Scenario_Data!C67*1000)/Inputs!$C$21*1000000</f>
        <v/>
      </c>
      <c r="S67">
        <f>Scenario_Data!V67</f>
        <v/>
      </c>
      <c r="T67">
        <f>2*(Scenario_Data!D67*1000)/Inputs!$C$21*1000000</f>
        <v/>
      </c>
      <c r="U67">
        <f>Scenario_Data!W67</f>
        <v/>
      </c>
      <c r="V67">
        <f>2*(Scenario_Data!E67*1000)/Inputs!$C$21*1000000</f>
        <v/>
      </c>
      <c r="X67">
        <f>Scenario_Data!T67</f>
        <v/>
      </c>
      <c r="Y67">
        <f>2*((Scenario_Data!B67*1000)-(IF(OR(Inputs!$C$27=TRUE,Inputs!$C$27="TRUE",Inputs!$C$27=1),1,0)*(Inputs!$C$51*(115*EXP(-(((0)-25)^2)/(4.5^2))+70*EXP(-(((0)+38)^2)/(7^2))*(0.55+0.45*SIN(2*PI()*(Scenario_Data!T67)/45))+24*SIN(2*PI()*(0)/9+(Scenario_Data!T67)/18)*EXP(-(((0)+5)^2)/(22^2))+18*SIN(2*PI()*(Scenario_Data!T67)/70))+Inputs!$C$28*EXP(-(((Scenario_Data!T67)-Inputs!$C$29)^2)/(2*Inputs!$C$31^2))*EXP(-(((0)-Inputs!$C$30)^2)/(2*Inputs!$C$32^2))+-Inputs!$C$33*EXP(-(((((Scenario_Data!T67)-Inputs!$C$34)^2)+(((0)-Inputs!$C$35)^2))/(2*Inputs!$C$36^2)))+Inputs!$C$37*(0.55*SIN(2*PI()*(Scenario_Data!T67)/Inputs!$C$39)+0.35*COS(2*PI()*(0)/Inputs!$C$40)+0.2*SIN(2*PI()*((Scenario_Data!T67)+(0))/(0.5*(Inputs!$C$39+Inputs!$C$40))))+Inputs!$C$38*SIN(2*PI()*(Scenario_Data!T67)/Inputs!$C$39)*SIN(2*PI()*(0)/Inputs!$C$40)+-Inputs!$C$41*EXP(-(((0)-Inputs!$C$43)^2)/(2*Inputs!$C$44^2))*EXP(-(((Scenario_Data!T67)-Inputs!$C$42)^2)/(2*Inputs!$C$45^2))+Inputs!$C$48*(0.7*(0.45*SIN(2*PI()*(((Scenario_Data!T67)/Inputs!$C$49)+Inputs!$C$47*0.137))+0.35*COS(2*PI()*(((0)/Inputs!$C$50)+Inputs!$C$47*0.173))+0.2*SIN(2*PI()*((((Scenario_Data!T67)+(0))/(0.5*(Inputs!$C$49+Inputs!$C$50)))+Inputs!$C$47*0.097)))+0.3*(2*((SIN(((Scenario_Data!T67)*12.9898+(0)*78.233+Inputs!$C$47*37.719))*43758.5453)-INT((SIN(((Scenario_Data!T67)*12.9898+(0)*78.233+Inputs!$C$47*37.719))*43758.5453)))-1)))))/Inputs!$C$21*1000000</f>
        <v/>
      </c>
      <c r="Z67">
        <f>Scenario_Data!U67</f>
        <v/>
      </c>
      <c r="AA67">
        <f>2*((Scenario_Data!C67*1000)-(IF(OR(Inputs!$C$27=TRUE,Inputs!$C$27="TRUE",Inputs!$C$27=1),1,0)*(Inputs!$C$51*(115*EXP(-(((0)-25)^2)/(4.5^2))+70*EXP(-(((0)+38)^2)/(7^2))*(0.55+0.45*SIN(2*PI()*(Scenario_Data!U67)/45))+24*SIN(2*PI()*(0)/9+(Scenario_Data!U67)/18)*EXP(-(((0)+5)^2)/(22^2))+18*SIN(2*PI()*(Scenario_Data!U67)/70))+Inputs!$C$28*EXP(-(((Scenario_Data!U67)-Inputs!$C$29)^2)/(2*Inputs!$C$31^2))*EXP(-(((0)-Inputs!$C$30)^2)/(2*Inputs!$C$32^2))+-Inputs!$C$33*EXP(-(((((Scenario_Data!U67)-Inputs!$C$34)^2)+(((0)-Inputs!$C$35)^2))/(2*Inputs!$C$36^2)))+Inputs!$C$37*(0.55*SIN(2*PI()*(Scenario_Data!U67)/Inputs!$C$39)+0.35*COS(2*PI()*(0)/Inputs!$C$40)+0.2*SIN(2*PI()*((Scenario_Data!U67)+(0))/(0.5*(Inputs!$C$39+Inputs!$C$40))))+Inputs!$C$38*SIN(2*PI()*(Scenario_Data!U67)/Inputs!$C$39)*SIN(2*PI()*(0)/Inputs!$C$40)+-Inputs!$C$41*EXP(-(((0)-Inputs!$C$43)^2)/(2*Inputs!$C$44^2))*EXP(-(((Scenario_Data!U67)-Inputs!$C$42)^2)/(2*Inputs!$C$45^2))+Inputs!$C$48*(0.7*(0.45*SIN(2*PI()*(((Scenario_Data!U67)/Inputs!$C$49)+Inputs!$C$47*0.137))+0.35*COS(2*PI()*(((0)/Inputs!$C$50)+Inputs!$C$47*0.173))+0.2*SIN(2*PI()*((((Scenario_Data!U67)+(0))/(0.5*(Inputs!$C$49+Inputs!$C$50)))+Inputs!$C$47*0.097)))+0.3*(2*((SIN(((Scenario_Data!U67)*12.9898+(0)*78.233+Inputs!$C$47*37.719))*43758.5453)-INT((SIN(((Scenario_Data!U67)*12.9898+(0)*78.233+Inputs!$C$47*37.719))*43758.5453)))-1)))))/Inputs!$C$21*1000000</f>
        <v/>
      </c>
      <c r="AB67">
        <f>Scenario_Data!V67</f>
        <v/>
      </c>
      <c r="AC67">
        <f>2*((Scenario_Data!D67*1000)-(IF(OR(Inputs!$C$27=TRUE,Inputs!$C$27="TRUE",Inputs!$C$27=1),1,0)*(Inputs!$C$51*(115*EXP(-(((0)-25)^2)/(4.5^2))+70*EXP(-(((0)+38)^2)/(7^2))*(0.55+0.45*SIN(2*PI()*(Scenario_Data!V67)/45))+24*SIN(2*PI()*(0)/9+(Scenario_Data!V67)/18)*EXP(-(((0)+5)^2)/(22^2))+18*SIN(2*PI()*(Scenario_Data!V67)/70))+Inputs!$C$28*EXP(-(((Scenario_Data!V67)-Inputs!$C$29)^2)/(2*Inputs!$C$31^2))*EXP(-(((0)-Inputs!$C$30)^2)/(2*Inputs!$C$32^2))+-Inputs!$C$33*EXP(-(((((Scenario_Data!V67)-Inputs!$C$34)^2)+(((0)-Inputs!$C$35)^2))/(2*Inputs!$C$36^2)))+Inputs!$C$37*(0.55*SIN(2*PI()*(Scenario_Data!V67)/Inputs!$C$39)+0.35*COS(2*PI()*(0)/Inputs!$C$40)+0.2*SIN(2*PI()*((Scenario_Data!V67)+(0))/(0.5*(Inputs!$C$39+Inputs!$C$40))))+Inputs!$C$38*SIN(2*PI()*(Scenario_Data!V67)/Inputs!$C$39)*SIN(2*PI()*(0)/Inputs!$C$40)+-Inputs!$C$41*EXP(-(((0)-Inputs!$C$43)^2)/(2*Inputs!$C$44^2))*EXP(-(((Scenario_Data!V67)-Inputs!$C$42)^2)/(2*Inputs!$C$45^2))+Inputs!$C$48*(0.7*(0.45*SIN(2*PI()*(((Scenario_Data!V67)/Inputs!$C$49)+Inputs!$C$47*0.137))+0.35*COS(2*PI()*(((0)/Inputs!$C$50)+Inputs!$C$47*0.173))+0.2*SIN(2*PI()*((((Scenario_Data!V67)+(0))/(0.5*(Inputs!$C$49+Inputs!$C$50)))+Inputs!$C$47*0.097)))+0.3*(2*((SIN(((Scenario_Data!V67)*12.9898+(0)*78.233+Inputs!$C$47*37.719))*43758.5453)-INT((SIN(((Scenario_Data!V67)*12.9898+(0)*78.233+Inputs!$C$47*37.719))*43758.5453)))-1)))))/Inputs!$C$21*1000000</f>
        <v/>
      </c>
      <c r="AD67">
        <f>Scenario_Data!W67</f>
        <v/>
      </c>
      <c r="AE67">
        <f>2*((Scenario_Data!E67*1000)-(IF(OR(Inputs!$C$27=TRUE,Inputs!$C$27="TRUE",Inputs!$C$27=1),1,0)*(Inputs!$C$51*(115*EXP(-(((0)-25)^2)/(4.5^2))+70*EXP(-(((0)+38)^2)/(7^2))*(0.55+0.45*SIN(2*PI()*(Scenario_Data!W67)/45))+24*SIN(2*PI()*(0)/9+(Scenario_Data!W67)/18)*EXP(-(((0)+5)^2)/(22^2))+18*SIN(2*PI()*(Scenario_Data!W67)/70))+Inputs!$C$28*EXP(-(((Scenario_Data!W67)-Inputs!$C$29)^2)/(2*Inputs!$C$31^2))*EXP(-(((0)-Inputs!$C$30)^2)/(2*Inputs!$C$32^2))+-Inputs!$C$33*EXP(-(((((Scenario_Data!W67)-Inputs!$C$34)^2)+(((0)-Inputs!$C$35)^2))/(2*Inputs!$C$36^2)))+Inputs!$C$37*(0.55*SIN(2*PI()*(Scenario_Data!W67)/Inputs!$C$39)+0.35*COS(2*PI()*(0)/Inputs!$C$40)+0.2*SIN(2*PI()*((Scenario_Data!W67)+(0))/(0.5*(Inputs!$C$39+Inputs!$C$40))))+Inputs!$C$38*SIN(2*PI()*(Scenario_Data!W67)/Inputs!$C$39)*SIN(2*PI()*(0)/Inputs!$C$40)+-Inputs!$C$41*EXP(-(((0)-Inputs!$C$43)^2)/(2*Inputs!$C$44^2))*EXP(-(((Scenario_Data!W67)-Inputs!$C$42)^2)/(2*Inputs!$C$45^2))+Inputs!$C$48*(0.7*(0.45*SIN(2*PI()*(((Scenario_Data!W67)/Inputs!$C$49)+Inputs!$C$47*0.137))+0.35*COS(2*PI()*(((0)/Inputs!$C$50)+Inputs!$C$47*0.173))+0.2*SIN(2*PI()*((((Scenario_Data!W67)+(0))/(0.5*(Inputs!$C$49+Inputs!$C$50)))+Inputs!$C$47*0.097)))+0.3*(2*((SIN(((Scenario_Data!W67)*12.9898+(0)*78.233+Inputs!$C$47*37.719))*43758.5453)-INT((SIN(((Scenario_Data!W67)*12.9898+(0)*78.233+Inputs!$C$47*37.719))*43758.5453)))-1)))))/Inputs!$C$21*1000000</f>
        <v/>
      </c>
      <c r="AG67">
        <f>Scenario_Data!T67</f>
        <v/>
      </c>
      <c r="AH67">
        <f>2*(SQRT((Inputs!$C$52+(Scenario_Data!B67))^2+Inputs!$C$52^2-2*(Inputs!$C$52+(Scenario_Data!B67))*Inputs!$C$52*COS(SQRT((Scenario_Data!T67)^2+Inputs!$C$6^2)/Inputs!$C$52))*1000)/Inputs!$C$21*1000000</f>
        <v/>
      </c>
      <c r="AI67">
        <f>Scenario_Data!U67</f>
        <v/>
      </c>
      <c r="AJ67">
        <f>2*(SQRT((Inputs!$C$52+(Scenario_Data!C67))^2+Inputs!$C$52^2-2*(Inputs!$C$52+(Scenario_Data!C67))*Inputs!$C$52*COS(SQRT((Scenario_Data!U67)^2+Inputs!$C$6^2)/Inputs!$C$52))*1000)/Inputs!$C$21*1000000</f>
        <v/>
      </c>
      <c r="AK67">
        <f>Scenario_Data!V67</f>
        <v/>
      </c>
      <c r="AL67">
        <f>2*(SQRT((Inputs!$C$52+(Scenario_Data!D67))^2+Inputs!$C$52^2-2*(Inputs!$C$52+(Scenario_Data!D67))*Inputs!$C$52*COS(SQRT((Scenario_Data!V67)^2+Inputs!$C$6^2)/Inputs!$C$52))*1000)/Inputs!$C$21*1000000</f>
        <v/>
      </c>
      <c r="AM67">
        <f>Scenario_Data!W67</f>
        <v/>
      </c>
      <c r="AN67">
        <f>2*(SQRT((Inputs!$C$52+(Scenario_Data!E67))^2+Inputs!$C$52^2-2*(Inputs!$C$52+(Scenario_Data!E67))*Inputs!$C$52*COS(SQRT((Scenario_Data!W67)^2+Inputs!$C$6^2)/Inputs!$C$52))*1000)/Inputs!$C$21*1000000</f>
        <v/>
      </c>
      <c r="AP67">
        <f>Scenario_Data!T67</f>
        <v/>
      </c>
      <c r="AQ67">
        <f>2*(SQRT((Inputs!$C$52+(Scenario_Data!B67))^2+(Inputs!$C$52+((IF(OR(Inputs!$C$27=TRUE,Inputs!$C$27="TRUE",Inputs!$C$27=1),1,0)*(Inputs!$C$51*(115*EXP(-(((Inputs!$C$6)-25)^2)/(4.5^2))+70*EXP(-(((Inputs!$C$6)+38)^2)/(7^2))*(0.55+0.45*SIN(2*PI()*(Scenario_Data!T67)/45))+24*SIN(2*PI()*(Inputs!$C$6)/9+(Scenario_Data!T67)/18)*EXP(-(((Inputs!$C$6)+5)^2)/(22^2))+18*SIN(2*PI()*(Scenario_Data!T67)/70))+Inputs!$C$28*EXP(-(((Scenario_Data!T67)-Inputs!$C$29)^2)/(2*Inputs!$C$31^2))*EXP(-(((Inputs!$C$6)-Inputs!$C$30)^2)/(2*Inputs!$C$32^2))+-Inputs!$C$33*EXP(-(((((Scenario_Data!T67)-Inputs!$C$34)^2)+(((Inputs!$C$6)-Inputs!$C$35)^2))/(2*Inputs!$C$36^2)))+Inputs!$C$37*(0.55*SIN(2*PI()*(Scenario_Data!T67)/Inputs!$C$39)+0.35*COS(2*PI()*(Inputs!$C$6)/Inputs!$C$40)+0.2*SIN(2*PI()*((Scenario_Data!T67)+(Inputs!$C$6))/(0.5*(Inputs!$C$39+Inputs!$C$40))))+Inputs!$C$38*SIN(2*PI()*(Scenario_Data!T67)/Inputs!$C$39)*SIN(2*PI()*(Inputs!$C$6)/Inputs!$C$40)+-Inputs!$C$41*EXP(-(((Inputs!$C$6)-Inputs!$C$43)^2)/(2*Inputs!$C$44^2))*EXP(-(((Scenario_Data!T67)-Inputs!$C$42)^2)/(2*Inputs!$C$45^2))+Inputs!$C$48*(0.7*(0.45*SIN(2*PI()*(((Scenario_Data!T67)/Inputs!$C$49)+Inputs!$C$47*0.137))+0.35*COS(2*PI()*(((Inputs!$C$6)/Inputs!$C$50)+Inputs!$C$47*0.173))+0.2*SIN(2*PI()*((((Scenario_Data!T67)+(Inputs!$C$6))/(0.5*(Inputs!$C$49+Inputs!$C$50)))+Inputs!$C$47*0.097)))+0.3*(2*((SIN(((Scenario_Data!T67)*12.9898+(Inputs!$C$6)*78.233+Inputs!$C$47*37.719))*43758.5453)-INT((SIN(((Scenario_Data!T67)*12.9898+(Inputs!$C$6)*78.233+Inputs!$C$47*37.719))*43758.5453)))-1))))/1000))^2-2*(Inputs!$C$52+(Scenario_Data!B67))*(Inputs!$C$52+((IF(OR(Inputs!$C$27=TRUE,Inputs!$C$27="TRUE",Inputs!$C$27=1),1,0)*(Inputs!$C$51*(115*EXP(-(((Inputs!$C$6)-25)^2)/(4.5^2))+70*EXP(-(((Inputs!$C$6)+38)^2)/(7^2))*(0.55+0.45*SIN(2*PI()*(Scenario_Data!T67)/45))+24*SIN(2*PI()*(Inputs!$C$6)/9+(Scenario_Data!T67)/18)*EXP(-(((Inputs!$C$6)+5)^2)/(22^2))+18*SIN(2*PI()*(Scenario_Data!T67)/70))+Inputs!$C$28*EXP(-(((Scenario_Data!T67)-Inputs!$C$29)^2)/(2*Inputs!$C$31^2))*EXP(-(((Inputs!$C$6)-Inputs!$C$30)^2)/(2*Inputs!$C$32^2))+-Inputs!$C$33*EXP(-(((((Scenario_Data!T67)-Inputs!$C$34)^2)+(((Inputs!$C$6)-Inputs!$C$35)^2))/(2*Inputs!$C$36^2)))+Inputs!$C$37*(0.55*SIN(2*PI()*(Scenario_Data!T67)/Inputs!$C$39)+0.35*COS(2*PI()*(Inputs!$C$6)/Inputs!$C$40)+0.2*SIN(2*PI()*((Scenario_Data!T67)+(Inputs!$C$6))/(0.5*(Inputs!$C$39+Inputs!$C$40))))+Inputs!$C$38*SIN(2*PI()*(Scenario_Data!T67)/Inputs!$C$39)*SIN(2*PI()*(Inputs!$C$6)/Inputs!$C$40)+-Inputs!$C$41*EXP(-(((Inputs!$C$6)-Inputs!$C$43)^2)/(2*Inputs!$C$44^2))*EXP(-(((Scenario_Data!T67)-Inputs!$C$42)^2)/(2*Inputs!$C$45^2))+Inputs!$C$48*(0.7*(0.45*SIN(2*PI()*(((Scenario_Data!T67)/Inputs!$C$49)+Inputs!$C$47*0.137))+0.35*COS(2*PI()*(((Inputs!$C$6)/Inputs!$C$50)+Inputs!$C$47*0.173))+0.2*SIN(2*PI()*((((Scenario_Data!T67)+(Inputs!$C$6))/(0.5*(Inputs!$C$49+Inputs!$C$50)))+Inputs!$C$47*0.097)))+0.3*(2*((SIN(((Scenario_Data!T67)*12.9898+(Inputs!$C$6)*78.233+Inputs!$C$47*37.719))*43758.5453)-INT((SIN(((Scenario_Data!T67)*12.9898+(Inputs!$C$6)*78.233+Inputs!$C$47*37.719))*43758.5453)))-1))))/1000))*COS(SQRT((Scenario_Data!T67)^2+Inputs!$C$6^2)/Inputs!$C$52))*1000)/Inputs!$C$21*1000000</f>
        <v/>
      </c>
      <c r="AR67">
        <f>Scenario_Data!U67</f>
        <v/>
      </c>
      <c r="AS67">
        <f>2*(SQRT((Inputs!$C$52+(Scenario_Data!C67))^2+(Inputs!$C$52+((IF(OR(Inputs!$C$27=TRUE,Inputs!$C$27="TRUE",Inputs!$C$27=1),1,0)*(Inputs!$C$51*(115*EXP(-(((Inputs!$C$6)-25)^2)/(4.5^2))+70*EXP(-(((Inputs!$C$6)+38)^2)/(7^2))*(0.55+0.45*SIN(2*PI()*(Scenario_Data!U67)/45))+24*SIN(2*PI()*(Inputs!$C$6)/9+(Scenario_Data!U67)/18)*EXP(-(((Inputs!$C$6)+5)^2)/(22^2))+18*SIN(2*PI()*(Scenario_Data!U67)/70))+Inputs!$C$28*EXP(-(((Scenario_Data!U67)-Inputs!$C$29)^2)/(2*Inputs!$C$31^2))*EXP(-(((Inputs!$C$6)-Inputs!$C$30)^2)/(2*Inputs!$C$32^2))+-Inputs!$C$33*EXP(-(((((Scenario_Data!U67)-Inputs!$C$34)^2)+(((Inputs!$C$6)-Inputs!$C$35)^2))/(2*Inputs!$C$36^2)))+Inputs!$C$37*(0.55*SIN(2*PI()*(Scenario_Data!U67)/Inputs!$C$39)+0.35*COS(2*PI()*(Inputs!$C$6)/Inputs!$C$40)+0.2*SIN(2*PI()*((Scenario_Data!U67)+(Inputs!$C$6))/(0.5*(Inputs!$C$39+Inputs!$C$40))))+Inputs!$C$38*SIN(2*PI()*(Scenario_Data!U67)/Inputs!$C$39)*SIN(2*PI()*(Inputs!$C$6)/Inputs!$C$40)+-Inputs!$C$41*EXP(-(((Inputs!$C$6)-Inputs!$C$43)^2)/(2*Inputs!$C$44^2))*EXP(-(((Scenario_Data!U67)-Inputs!$C$42)^2)/(2*Inputs!$C$45^2))+Inputs!$C$48*(0.7*(0.45*SIN(2*PI()*(((Scenario_Data!U67)/Inputs!$C$49)+Inputs!$C$47*0.137))+0.35*COS(2*PI()*(((Inputs!$C$6)/Inputs!$C$50)+Inputs!$C$47*0.173))+0.2*SIN(2*PI()*((((Scenario_Data!U67)+(Inputs!$C$6))/(0.5*(Inputs!$C$49+Inputs!$C$50)))+Inputs!$C$47*0.097)))+0.3*(2*((SIN(((Scenario_Data!U67)*12.9898+(Inputs!$C$6)*78.233+Inputs!$C$47*37.719))*43758.5453)-INT((SIN(((Scenario_Data!U67)*12.9898+(Inputs!$C$6)*78.233+Inputs!$C$47*37.719))*43758.5453)))-1))))/1000))^2-2*(Inputs!$C$52+(Scenario_Data!C67))*(Inputs!$C$52+((IF(OR(Inputs!$C$27=TRUE,Inputs!$C$27="TRUE",Inputs!$C$27=1),1,0)*(Inputs!$C$51*(115*EXP(-(((Inputs!$C$6)-25)^2)/(4.5^2))+70*EXP(-(((Inputs!$C$6)+38)^2)/(7^2))*(0.55+0.45*SIN(2*PI()*(Scenario_Data!U67)/45))+24*SIN(2*PI()*(Inputs!$C$6)/9+(Scenario_Data!U67)/18)*EXP(-(((Inputs!$C$6)+5)^2)/(22^2))+18*SIN(2*PI()*(Scenario_Data!U67)/70))+Inputs!$C$28*EXP(-(((Scenario_Data!U67)-Inputs!$C$29)^2)/(2*Inputs!$C$31^2))*EXP(-(((Inputs!$C$6)-Inputs!$C$30)^2)/(2*Inputs!$C$32^2))+-Inputs!$C$33*EXP(-(((((Scenario_Data!U67)-Inputs!$C$34)^2)+(((Inputs!$C$6)-Inputs!$C$35)^2))/(2*Inputs!$C$36^2)))+Inputs!$C$37*(0.55*SIN(2*PI()*(Scenario_Data!U67)/Inputs!$C$39)+0.35*COS(2*PI()*(Inputs!$C$6)/Inputs!$C$40)+0.2*SIN(2*PI()*((Scenario_Data!U67)+(Inputs!$C$6))/(0.5*(Inputs!$C$39+Inputs!$C$40))))+Inputs!$C$38*SIN(2*PI()*(Scenario_Data!U67)/Inputs!$C$39)*SIN(2*PI()*(Inputs!$C$6)/Inputs!$C$40)+-Inputs!$C$41*EXP(-(((Inputs!$C$6)-Inputs!$C$43)^2)/(2*Inputs!$C$44^2))*EXP(-(((Scenario_Data!U67)-Inputs!$C$42)^2)/(2*Inputs!$C$45^2))+Inputs!$C$48*(0.7*(0.45*SIN(2*PI()*(((Scenario_Data!U67)/Inputs!$C$49)+Inputs!$C$47*0.137))+0.35*COS(2*PI()*(((Inputs!$C$6)/Inputs!$C$50)+Inputs!$C$47*0.173))+0.2*SIN(2*PI()*((((Scenario_Data!U67)+(Inputs!$C$6))/(0.5*(Inputs!$C$49+Inputs!$C$50)))+Inputs!$C$47*0.097)))+0.3*(2*((SIN(((Scenario_Data!U67)*12.9898+(Inputs!$C$6)*78.233+Inputs!$C$47*37.719))*43758.5453)-INT((SIN(((Scenario_Data!U67)*12.9898+(Inputs!$C$6)*78.233+Inputs!$C$47*37.719))*43758.5453)))-1))))/1000))*COS(SQRT((Scenario_Data!U67)^2+Inputs!$C$6^2)/Inputs!$C$52))*1000)/Inputs!$C$21*1000000</f>
        <v/>
      </c>
      <c r="AT67">
        <f>Scenario_Data!V67</f>
        <v/>
      </c>
      <c r="AU67">
        <f>2*(SQRT((Inputs!$C$52+(Scenario_Data!D67))^2+(Inputs!$C$52+((IF(OR(Inputs!$C$27=TRUE,Inputs!$C$27="TRUE",Inputs!$C$27=1),1,0)*(Inputs!$C$51*(115*EXP(-(((Inputs!$C$6)-25)^2)/(4.5^2))+70*EXP(-(((Inputs!$C$6)+38)^2)/(7^2))*(0.55+0.45*SIN(2*PI()*(Scenario_Data!V67)/45))+24*SIN(2*PI()*(Inputs!$C$6)/9+(Scenario_Data!V67)/18)*EXP(-(((Inputs!$C$6)+5)^2)/(22^2))+18*SIN(2*PI()*(Scenario_Data!V67)/70))+Inputs!$C$28*EXP(-(((Scenario_Data!V67)-Inputs!$C$29)^2)/(2*Inputs!$C$31^2))*EXP(-(((Inputs!$C$6)-Inputs!$C$30)^2)/(2*Inputs!$C$32^2))+-Inputs!$C$33*EXP(-(((((Scenario_Data!V67)-Inputs!$C$34)^2)+(((Inputs!$C$6)-Inputs!$C$35)^2))/(2*Inputs!$C$36^2)))+Inputs!$C$37*(0.55*SIN(2*PI()*(Scenario_Data!V67)/Inputs!$C$39)+0.35*COS(2*PI()*(Inputs!$C$6)/Inputs!$C$40)+0.2*SIN(2*PI()*((Scenario_Data!V67)+(Inputs!$C$6))/(0.5*(Inputs!$C$39+Inputs!$C$40))))+Inputs!$C$38*SIN(2*PI()*(Scenario_Data!V67)/Inputs!$C$39)*SIN(2*PI()*(Inputs!$C$6)/Inputs!$C$40)+-Inputs!$C$41*EXP(-(((Inputs!$C$6)-Inputs!$C$43)^2)/(2*Inputs!$C$44^2))*EXP(-(((Scenario_Data!V67)-Inputs!$C$42)^2)/(2*Inputs!$C$45^2))+Inputs!$C$48*(0.7*(0.45*SIN(2*PI()*(((Scenario_Data!V67)/Inputs!$C$49)+Inputs!$C$47*0.137))+0.35*COS(2*PI()*(((Inputs!$C$6)/Inputs!$C$50)+Inputs!$C$47*0.173))+0.2*SIN(2*PI()*((((Scenario_Data!V67)+(Inputs!$C$6))/(0.5*(Inputs!$C$49+Inputs!$C$50)))+Inputs!$C$47*0.097)))+0.3*(2*((SIN(((Scenario_Data!V67)*12.9898+(Inputs!$C$6)*78.233+Inputs!$C$47*37.719))*43758.5453)-INT((SIN(((Scenario_Data!V67)*12.9898+(Inputs!$C$6)*78.233+Inputs!$C$47*37.719))*43758.5453)))-1))))/1000))^2-2*(Inputs!$C$52+(Scenario_Data!D67))*(Inputs!$C$52+((IF(OR(Inputs!$C$27=TRUE,Inputs!$C$27="TRUE",Inputs!$C$27=1),1,0)*(Inputs!$C$51*(115*EXP(-(((Inputs!$C$6)-25)^2)/(4.5^2))+70*EXP(-(((Inputs!$C$6)+38)^2)/(7^2))*(0.55+0.45*SIN(2*PI()*(Scenario_Data!V67)/45))+24*SIN(2*PI()*(Inputs!$C$6)/9+(Scenario_Data!V67)/18)*EXP(-(((Inputs!$C$6)+5)^2)/(22^2))+18*SIN(2*PI()*(Scenario_Data!V67)/70))+Inputs!$C$28*EXP(-(((Scenario_Data!V67)-Inputs!$C$29)^2)/(2*Inputs!$C$31^2))*EXP(-(((Inputs!$C$6)-Inputs!$C$30)^2)/(2*Inputs!$C$32^2))+-Inputs!$C$33*EXP(-(((((Scenario_Data!V67)-Inputs!$C$34)^2)+(((Inputs!$C$6)-Inputs!$C$35)^2))/(2*Inputs!$C$36^2)))+Inputs!$C$37*(0.55*SIN(2*PI()*(Scenario_Data!V67)/Inputs!$C$39)+0.35*COS(2*PI()*(Inputs!$C$6)/Inputs!$C$40)+0.2*SIN(2*PI()*((Scenario_Data!V67)+(Inputs!$C$6))/(0.5*(Inputs!$C$39+Inputs!$C$40))))+Inputs!$C$38*SIN(2*PI()*(Scenario_Data!V67)/Inputs!$C$39)*SIN(2*PI()*(Inputs!$C$6)/Inputs!$C$40)+-Inputs!$C$41*EXP(-(((Inputs!$C$6)-Inputs!$C$43)^2)/(2*Inputs!$C$44^2))*EXP(-(((Scenario_Data!V67)-Inputs!$C$42)^2)/(2*Inputs!$C$45^2))+Inputs!$C$48*(0.7*(0.45*SIN(2*PI()*(((Scenario_Data!V67)/Inputs!$C$49)+Inputs!$C$47*0.137))+0.35*COS(2*PI()*(((Inputs!$C$6)/Inputs!$C$50)+Inputs!$C$47*0.173))+0.2*SIN(2*PI()*((((Scenario_Data!V67)+(Inputs!$C$6))/(0.5*(Inputs!$C$49+Inputs!$C$50)))+Inputs!$C$47*0.097)))+0.3*(2*((SIN(((Scenario_Data!V67)*12.9898+(Inputs!$C$6)*78.233+Inputs!$C$47*37.719))*43758.5453)-INT((SIN(((Scenario_Data!V67)*12.9898+(Inputs!$C$6)*78.233+Inputs!$C$47*37.719))*43758.5453)))-1))))/1000))*COS(SQRT((Scenario_Data!V67)^2+Inputs!$C$6^2)/Inputs!$C$52))*1000)/Inputs!$C$21*1000000</f>
        <v/>
      </c>
      <c r="AV67">
        <f>Scenario_Data!W67</f>
        <v/>
      </c>
      <c r="AW67">
        <f>2*(SQRT((Inputs!$C$52+(Scenario_Data!E67))^2+(Inputs!$C$52+((IF(OR(Inputs!$C$27=TRUE,Inputs!$C$27="TRUE",Inputs!$C$27=1),1,0)*(Inputs!$C$51*(115*EXP(-(((Inputs!$C$6)-25)^2)/(4.5^2))+70*EXP(-(((Inputs!$C$6)+38)^2)/(7^2))*(0.55+0.45*SIN(2*PI()*(Scenario_Data!W67)/45))+24*SIN(2*PI()*(Inputs!$C$6)/9+(Scenario_Data!W67)/18)*EXP(-(((Inputs!$C$6)+5)^2)/(22^2))+18*SIN(2*PI()*(Scenario_Data!W67)/70))+Inputs!$C$28*EXP(-(((Scenario_Data!W67)-Inputs!$C$29)^2)/(2*Inputs!$C$31^2))*EXP(-(((Inputs!$C$6)-Inputs!$C$30)^2)/(2*Inputs!$C$32^2))+-Inputs!$C$33*EXP(-(((((Scenario_Data!W67)-Inputs!$C$34)^2)+(((Inputs!$C$6)-Inputs!$C$35)^2))/(2*Inputs!$C$36^2)))+Inputs!$C$37*(0.55*SIN(2*PI()*(Scenario_Data!W67)/Inputs!$C$39)+0.35*COS(2*PI()*(Inputs!$C$6)/Inputs!$C$40)+0.2*SIN(2*PI()*((Scenario_Data!W67)+(Inputs!$C$6))/(0.5*(Inputs!$C$39+Inputs!$C$40))))+Inputs!$C$38*SIN(2*PI()*(Scenario_Data!W67)/Inputs!$C$39)*SIN(2*PI()*(Inputs!$C$6)/Inputs!$C$40)+-Inputs!$C$41*EXP(-(((Inputs!$C$6)-Inputs!$C$43)^2)/(2*Inputs!$C$44^2))*EXP(-(((Scenario_Data!W67)-Inputs!$C$42)^2)/(2*Inputs!$C$45^2))+Inputs!$C$48*(0.7*(0.45*SIN(2*PI()*(((Scenario_Data!W67)/Inputs!$C$49)+Inputs!$C$47*0.137))+0.35*COS(2*PI()*(((Inputs!$C$6)/Inputs!$C$50)+Inputs!$C$47*0.173))+0.2*SIN(2*PI()*((((Scenario_Data!W67)+(Inputs!$C$6))/(0.5*(Inputs!$C$49+Inputs!$C$50)))+Inputs!$C$47*0.097)))+0.3*(2*((SIN(((Scenario_Data!W67)*12.9898+(Inputs!$C$6)*78.233+Inputs!$C$47*37.719))*43758.5453)-INT((SIN(((Scenario_Data!W67)*12.9898+(Inputs!$C$6)*78.233+Inputs!$C$47*37.719))*43758.5453)))-1))))/1000))^2-2*(Inputs!$C$52+(Scenario_Data!E67))*(Inputs!$C$52+((IF(OR(Inputs!$C$27=TRUE,Inputs!$C$27="TRUE",Inputs!$C$27=1),1,0)*(Inputs!$C$51*(115*EXP(-(((Inputs!$C$6)-25)^2)/(4.5^2))+70*EXP(-(((Inputs!$C$6)+38)^2)/(7^2))*(0.55+0.45*SIN(2*PI()*(Scenario_Data!W67)/45))+24*SIN(2*PI()*(Inputs!$C$6)/9+(Scenario_Data!W67)/18)*EXP(-(((Inputs!$C$6)+5)^2)/(22^2))+18*SIN(2*PI()*(Scenario_Data!W67)/70))+Inputs!$C$28*EXP(-(((Scenario_Data!W67)-Inputs!$C$29)^2)/(2*Inputs!$C$31^2))*EXP(-(((Inputs!$C$6)-Inputs!$C$30)^2)/(2*Inputs!$C$32^2))+-Inputs!$C$33*EXP(-(((((Scenario_Data!W67)-Inputs!$C$34)^2)+(((Inputs!$C$6)-Inputs!$C$35)^2))/(2*Inputs!$C$36^2)))+Inputs!$C$37*(0.55*SIN(2*PI()*(Scenario_Data!W67)/Inputs!$C$39)+0.35*COS(2*PI()*(Inputs!$C$6)/Inputs!$C$40)+0.2*SIN(2*PI()*((Scenario_Data!W67)+(Inputs!$C$6))/(0.5*(Inputs!$C$39+Inputs!$C$40))))+Inputs!$C$38*SIN(2*PI()*(Scenario_Data!W67)/Inputs!$C$39)*SIN(2*PI()*(Inputs!$C$6)/Inputs!$C$40)+-Inputs!$C$41*EXP(-(((Inputs!$C$6)-Inputs!$C$43)^2)/(2*Inputs!$C$44^2))*EXP(-(((Scenario_Data!W67)-Inputs!$C$42)^2)/(2*Inputs!$C$45^2))+Inputs!$C$48*(0.7*(0.45*SIN(2*PI()*(((Scenario_Data!W67)/Inputs!$C$49)+Inputs!$C$47*0.137))+0.35*COS(2*PI()*(((Inputs!$C$6)/Inputs!$C$50)+Inputs!$C$47*0.173))+0.2*SIN(2*PI()*((((Scenario_Data!W67)+(Inputs!$C$6))/(0.5*(Inputs!$C$49+Inputs!$C$50)))+Inputs!$C$47*0.097)))+0.3*(2*((SIN(((Scenario_Data!W67)*12.9898+(Inputs!$C$6)*78.233+Inputs!$C$47*37.719))*43758.5453)-INT((SIN(((Scenario_Data!W67)*12.9898+(Inputs!$C$6)*78.233+Inputs!$C$47*37.719))*43758.5453)))-1))))/1000))*COS(SQRT((Scenario_Data!W67)^2+Inputs!$C$6^2)/Inputs!$C$52))*1000)/Inputs!$C$21*1000000</f>
        <v/>
      </c>
    </row>
    <row r="68">
      <c r="A68">
        <f>Chart_Data!K68</f>
        <v/>
      </c>
      <c r="B68">
        <f>Chart_Data!N68-Chart_Data!L68</f>
        <v/>
      </c>
      <c r="D68">
        <f>Chart_Data!G68</f>
        <v/>
      </c>
      <c r="E68">
        <f>Chart_Data!H68</f>
        <v/>
      </c>
      <c r="F68">
        <f>Chart_Data!I68</f>
        <v/>
      </c>
      <c r="G68">
        <f>Chart_Data!J68</f>
        <v/>
      </c>
      <c r="I68">
        <f>Scenario_Data!A68</f>
        <v/>
      </c>
      <c r="J68">
        <f>Scenario_Data!H68-(((SQRT((Inputs!$C$52+(Inputs!$H$6))^2+Inputs!$C$52^2-2*(Inputs!$C$52+(Inputs!$H$6))*Inputs!$C$52*COS(SQRT((Scenario_Data!T68)^2+Inputs!$C$6^2)/Inputs!$C$52)))-(Inputs!$H$6))*1000/Inputs!$C$12)</f>
        <v/>
      </c>
      <c r="K68">
        <f>Scenario_Data!I68-(((SQRT((Inputs!$C$52+(Inputs!$H$7))^2+Inputs!$C$52^2-2*(Inputs!$C$52+(Inputs!$H$7))*Inputs!$C$52*COS(SQRT((Scenario_Data!U68)^2+Inputs!$C$6^2)/Inputs!$C$52)))-(Inputs!$H$7))*1000/Inputs!$C$12)</f>
        <v/>
      </c>
      <c r="L68">
        <f>Scenario_Data!J68-(((SQRT((Inputs!$C$52+(Inputs!$H$8))^2+Inputs!$C$52^2-2*(Inputs!$C$52+(Inputs!$H$8))*Inputs!$C$52*COS(SQRT((Scenario_Data!V68)^2+Inputs!$C$6^2)/Inputs!$C$52)))-(Inputs!$H$8))*1000/Inputs!$C$12)</f>
        <v/>
      </c>
      <c r="M68">
        <f>Scenario_Data!K68-(((SQRT((Inputs!$C$52+(Inputs!$H$9))^2+Inputs!$C$52^2-2*(Inputs!$C$52+(Inputs!$H$9))*Inputs!$C$52*COS(SQRT((Scenario_Data!W68)^2+Inputs!$C$6^2)/Inputs!$C$52)))-(Inputs!$H$9))*1000/Inputs!$C$12)</f>
        <v/>
      </c>
      <c r="O68">
        <f>Scenario_Data!T68</f>
        <v/>
      </c>
      <c r="P68">
        <f>2*(Scenario_Data!B68*1000)/Inputs!$C$21*1000000</f>
        <v/>
      </c>
      <c r="Q68">
        <f>Scenario_Data!U68</f>
        <v/>
      </c>
      <c r="R68">
        <f>2*(Scenario_Data!C68*1000)/Inputs!$C$21*1000000</f>
        <v/>
      </c>
      <c r="S68">
        <f>Scenario_Data!V68</f>
        <v/>
      </c>
      <c r="T68">
        <f>2*(Scenario_Data!D68*1000)/Inputs!$C$21*1000000</f>
        <v/>
      </c>
      <c r="U68">
        <f>Scenario_Data!W68</f>
        <v/>
      </c>
      <c r="V68">
        <f>2*(Scenario_Data!E68*1000)/Inputs!$C$21*1000000</f>
        <v/>
      </c>
      <c r="X68">
        <f>Scenario_Data!T68</f>
        <v/>
      </c>
      <c r="Y68">
        <f>2*((Scenario_Data!B68*1000)-(IF(OR(Inputs!$C$27=TRUE,Inputs!$C$27="TRUE",Inputs!$C$27=1),1,0)*(Inputs!$C$51*(115*EXP(-(((0)-25)^2)/(4.5^2))+70*EXP(-(((0)+38)^2)/(7^2))*(0.55+0.45*SIN(2*PI()*(Scenario_Data!T68)/45))+24*SIN(2*PI()*(0)/9+(Scenario_Data!T68)/18)*EXP(-(((0)+5)^2)/(22^2))+18*SIN(2*PI()*(Scenario_Data!T68)/70))+Inputs!$C$28*EXP(-(((Scenario_Data!T68)-Inputs!$C$29)^2)/(2*Inputs!$C$31^2))*EXP(-(((0)-Inputs!$C$30)^2)/(2*Inputs!$C$32^2))+-Inputs!$C$33*EXP(-(((((Scenario_Data!T68)-Inputs!$C$34)^2)+(((0)-Inputs!$C$35)^2))/(2*Inputs!$C$36^2)))+Inputs!$C$37*(0.55*SIN(2*PI()*(Scenario_Data!T68)/Inputs!$C$39)+0.35*COS(2*PI()*(0)/Inputs!$C$40)+0.2*SIN(2*PI()*((Scenario_Data!T68)+(0))/(0.5*(Inputs!$C$39+Inputs!$C$40))))+Inputs!$C$38*SIN(2*PI()*(Scenario_Data!T68)/Inputs!$C$39)*SIN(2*PI()*(0)/Inputs!$C$40)+-Inputs!$C$41*EXP(-(((0)-Inputs!$C$43)^2)/(2*Inputs!$C$44^2))*EXP(-(((Scenario_Data!T68)-Inputs!$C$42)^2)/(2*Inputs!$C$45^2))+Inputs!$C$48*(0.7*(0.45*SIN(2*PI()*(((Scenario_Data!T68)/Inputs!$C$49)+Inputs!$C$47*0.137))+0.35*COS(2*PI()*(((0)/Inputs!$C$50)+Inputs!$C$47*0.173))+0.2*SIN(2*PI()*((((Scenario_Data!T68)+(0))/(0.5*(Inputs!$C$49+Inputs!$C$50)))+Inputs!$C$47*0.097)))+0.3*(2*((SIN(((Scenario_Data!T68)*12.9898+(0)*78.233+Inputs!$C$47*37.719))*43758.5453)-INT((SIN(((Scenario_Data!T68)*12.9898+(0)*78.233+Inputs!$C$47*37.719))*43758.5453)))-1)))))/Inputs!$C$21*1000000</f>
        <v/>
      </c>
      <c r="Z68">
        <f>Scenario_Data!U68</f>
        <v/>
      </c>
      <c r="AA68">
        <f>2*((Scenario_Data!C68*1000)-(IF(OR(Inputs!$C$27=TRUE,Inputs!$C$27="TRUE",Inputs!$C$27=1),1,0)*(Inputs!$C$51*(115*EXP(-(((0)-25)^2)/(4.5^2))+70*EXP(-(((0)+38)^2)/(7^2))*(0.55+0.45*SIN(2*PI()*(Scenario_Data!U68)/45))+24*SIN(2*PI()*(0)/9+(Scenario_Data!U68)/18)*EXP(-(((0)+5)^2)/(22^2))+18*SIN(2*PI()*(Scenario_Data!U68)/70))+Inputs!$C$28*EXP(-(((Scenario_Data!U68)-Inputs!$C$29)^2)/(2*Inputs!$C$31^2))*EXP(-(((0)-Inputs!$C$30)^2)/(2*Inputs!$C$32^2))+-Inputs!$C$33*EXP(-(((((Scenario_Data!U68)-Inputs!$C$34)^2)+(((0)-Inputs!$C$35)^2))/(2*Inputs!$C$36^2)))+Inputs!$C$37*(0.55*SIN(2*PI()*(Scenario_Data!U68)/Inputs!$C$39)+0.35*COS(2*PI()*(0)/Inputs!$C$40)+0.2*SIN(2*PI()*((Scenario_Data!U68)+(0))/(0.5*(Inputs!$C$39+Inputs!$C$40))))+Inputs!$C$38*SIN(2*PI()*(Scenario_Data!U68)/Inputs!$C$39)*SIN(2*PI()*(0)/Inputs!$C$40)+-Inputs!$C$41*EXP(-(((0)-Inputs!$C$43)^2)/(2*Inputs!$C$44^2))*EXP(-(((Scenario_Data!U68)-Inputs!$C$42)^2)/(2*Inputs!$C$45^2))+Inputs!$C$48*(0.7*(0.45*SIN(2*PI()*(((Scenario_Data!U68)/Inputs!$C$49)+Inputs!$C$47*0.137))+0.35*COS(2*PI()*(((0)/Inputs!$C$50)+Inputs!$C$47*0.173))+0.2*SIN(2*PI()*((((Scenario_Data!U68)+(0))/(0.5*(Inputs!$C$49+Inputs!$C$50)))+Inputs!$C$47*0.097)))+0.3*(2*((SIN(((Scenario_Data!U68)*12.9898+(0)*78.233+Inputs!$C$47*37.719))*43758.5453)-INT((SIN(((Scenario_Data!U68)*12.9898+(0)*78.233+Inputs!$C$47*37.719))*43758.5453)))-1)))))/Inputs!$C$21*1000000</f>
        <v/>
      </c>
      <c r="AB68">
        <f>Scenario_Data!V68</f>
        <v/>
      </c>
      <c r="AC68">
        <f>2*((Scenario_Data!D68*1000)-(IF(OR(Inputs!$C$27=TRUE,Inputs!$C$27="TRUE",Inputs!$C$27=1),1,0)*(Inputs!$C$51*(115*EXP(-(((0)-25)^2)/(4.5^2))+70*EXP(-(((0)+38)^2)/(7^2))*(0.55+0.45*SIN(2*PI()*(Scenario_Data!V68)/45))+24*SIN(2*PI()*(0)/9+(Scenario_Data!V68)/18)*EXP(-(((0)+5)^2)/(22^2))+18*SIN(2*PI()*(Scenario_Data!V68)/70))+Inputs!$C$28*EXP(-(((Scenario_Data!V68)-Inputs!$C$29)^2)/(2*Inputs!$C$31^2))*EXP(-(((0)-Inputs!$C$30)^2)/(2*Inputs!$C$32^2))+-Inputs!$C$33*EXP(-(((((Scenario_Data!V68)-Inputs!$C$34)^2)+(((0)-Inputs!$C$35)^2))/(2*Inputs!$C$36^2)))+Inputs!$C$37*(0.55*SIN(2*PI()*(Scenario_Data!V68)/Inputs!$C$39)+0.35*COS(2*PI()*(0)/Inputs!$C$40)+0.2*SIN(2*PI()*((Scenario_Data!V68)+(0))/(0.5*(Inputs!$C$39+Inputs!$C$40))))+Inputs!$C$38*SIN(2*PI()*(Scenario_Data!V68)/Inputs!$C$39)*SIN(2*PI()*(0)/Inputs!$C$40)+-Inputs!$C$41*EXP(-(((0)-Inputs!$C$43)^2)/(2*Inputs!$C$44^2))*EXP(-(((Scenario_Data!V68)-Inputs!$C$42)^2)/(2*Inputs!$C$45^2))+Inputs!$C$48*(0.7*(0.45*SIN(2*PI()*(((Scenario_Data!V68)/Inputs!$C$49)+Inputs!$C$47*0.137))+0.35*COS(2*PI()*(((0)/Inputs!$C$50)+Inputs!$C$47*0.173))+0.2*SIN(2*PI()*((((Scenario_Data!V68)+(0))/(0.5*(Inputs!$C$49+Inputs!$C$50)))+Inputs!$C$47*0.097)))+0.3*(2*((SIN(((Scenario_Data!V68)*12.9898+(0)*78.233+Inputs!$C$47*37.719))*43758.5453)-INT((SIN(((Scenario_Data!V68)*12.9898+(0)*78.233+Inputs!$C$47*37.719))*43758.5453)))-1)))))/Inputs!$C$21*1000000</f>
        <v/>
      </c>
      <c r="AD68">
        <f>Scenario_Data!W68</f>
        <v/>
      </c>
      <c r="AE68">
        <f>2*((Scenario_Data!E68*1000)-(IF(OR(Inputs!$C$27=TRUE,Inputs!$C$27="TRUE",Inputs!$C$27=1),1,0)*(Inputs!$C$51*(115*EXP(-(((0)-25)^2)/(4.5^2))+70*EXP(-(((0)+38)^2)/(7^2))*(0.55+0.45*SIN(2*PI()*(Scenario_Data!W68)/45))+24*SIN(2*PI()*(0)/9+(Scenario_Data!W68)/18)*EXP(-(((0)+5)^2)/(22^2))+18*SIN(2*PI()*(Scenario_Data!W68)/70))+Inputs!$C$28*EXP(-(((Scenario_Data!W68)-Inputs!$C$29)^2)/(2*Inputs!$C$31^2))*EXP(-(((0)-Inputs!$C$30)^2)/(2*Inputs!$C$32^2))+-Inputs!$C$33*EXP(-(((((Scenario_Data!W68)-Inputs!$C$34)^2)+(((0)-Inputs!$C$35)^2))/(2*Inputs!$C$36^2)))+Inputs!$C$37*(0.55*SIN(2*PI()*(Scenario_Data!W68)/Inputs!$C$39)+0.35*COS(2*PI()*(0)/Inputs!$C$40)+0.2*SIN(2*PI()*((Scenario_Data!W68)+(0))/(0.5*(Inputs!$C$39+Inputs!$C$40))))+Inputs!$C$38*SIN(2*PI()*(Scenario_Data!W68)/Inputs!$C$39)*SIN(2*PI()*(0)/Inputs!$C$40)+-Inputs!$C$41*EXP(-(((0)-Inputs!$C$43)^2)/(2*Inputs!$C$44^2))*EXP(-(((Scenario_Data!W68)-Inputs!$C$42)^2)/(2*Inputs!$C$45^2))+Inputs!$C$48*(0.7*(0.45*SIN(2*PI()*(((Scenario_Data!W68)/Inputs!$C$49)+Inputs!$C$47*0.137))+0.35*COS(2*PI()*(((0)/Inputs!$C$50)+Inputs!$C$47*0.173))+0.2*SIN(2*PI()*((((Scenario_Data!W68)+(0))/(0.5*(Inputs!$C$49+Inputs!$C$50)))+Inputs!$C$47*0.097)))+0.3*(2*((SIN(((Scenario_Data!W68)*12.9898+(0)*78.233+Inputs!$C$47*37.719))*43758.5453)-INT((SIN(((Scenario_Data!W68)*12.9898+(0)*78.233+Inputs!$C$47*37.719))*43758.5453)))-1)))))/Inputs!$C$21*1000000</f>
        <v/>
      </c>
      <c r="AG68">
        <f>Scenario_Data!T68</f>
        <v/>
      </c>
      <c r="AH68">
        <f>2*(SQRT((Inputs!$C$52+(Scenario_Data!B68))^2+Inputs!$C$52^2-2*(Inputs!$C$52+(Scenario_Data!B68))*Inputs!$C$52*COS(SQRT((Scenario_Data!T68)^2+Inputs!$C$6^2)/Inputs!$C$52))*1000)/Inputs!$C$21*1000000</f>
        <v/>
      </c>
      <c r="AI68">
        <f>Scenario_Data!U68</f>
        <v/>
      </c>
      <c r="AJ68">
        <f>2*(SQRT((Inputs!$C$52+(Scenario_Data!C68))^2+Inputs!$C$52^2-2*(Inputs!$C$52+(Scenario_Data!C68))*Inputs!$C$52*COS(SQRT((Scenario_Data!U68)^2+Inputs!$C$6^2)/Inputs!$C$52))*1000)/Inputs!$C$21*1000000</f>
        <v/>
      </c>
      <c r="AK68">
        <f>Scenario_Data!V68</f>
        <v/>
      </c>
      <c r="AL68">
        <f>2*(SQRT((Inputs!$C$52+(Scenario_Data!D68))^2+Inputs!$C$52^2-2*(Inputs!$C$52+(Scenario_Data!D68))*Inputs!$C$52*COS(SQRT((Scenario_Data!V68)^2+Inputs!$C$6^2)/Inputs!$C$52))*1000)/Inputs!$C$21*1000000</f>
        <v/>
      </c>
      <c r="AM68">
        <f>Scenario_Data!W68</f>
        <v/>
      </c>
      <c r="AN68">
        <f>2*(SQRT((Inputs!$C$52+(Scenario_Data!E68))^2+Inputs!$C$52^2-2*(Inputs!$C$52+(Scenario_Data!E68))*Inputs!$C$52*COS(SQRT((Scenario_Data!W68)^2+Inputs!$C$6^2)/Inputs!$C$52))*1000)/Inputs!$C$21*1000000</f>
        <v/>
      </c>
      <c r="AP68">
        <f>Scenario_Data!T68</f>
        <v/>
      </c>
      <c r="AQ68">
        <f>2*(SQRT((Inputs!$C$52+(Scenario_Data!B68))^2+(Inputs!$C$52+((IF(OR(Inputs!$C$27=TRUE,Inputs!$C$27="TRUE",Inputs!$C$27=1),1,0)*(Inputs!$C$51*(115*EXP(-(((Inputs!$C$6)-25)^2)/(4.5^2))+70*EXP(-(((Inputs!$C$6)+38)^2)/(7^2))*(0.55+0.45*SIN(2*PI()*(Scenario_Data!T68)/45))+24*SIN(2*PI()*(Inputs!$C$6)/9+(Scenario_Data!T68)/18)*EXP(-(((Inputs!$C$6)+5)^2)/(22^2))+18*SIN(2*PI()*(Scenario_Data!T68)/70))+Inputs!$C$28*EXP(-(((Scenario_Data!T68)-Inputs!$C$29)^2)/(2*Inputs!$C$31^2))*EXP(-(((Inputs!$C$6)-Inputs!$C$30)^2)/(2*Inputs!$C$32^2))+-Inputs!$C$33*EXP(-(((((Scenario_Data!T68)-Inputs!$C$34)^2)+(((Inputs!$C$6)-Inputs!$C$35)^2))/(2*Inputs!$C$36^2)))+Inputs!$C$37*(0.55*SIN(2*PI()*(Scenario_Data!T68)/Inputs!$C$39)+0.35*COS(2*PI()*(Inputs!$C$6)/Inputs!$C$40)+0.2*SIN(2*PI()*((Scenario_Data!T68)+(Inputs!$C$6))/(0.5*(Inputs!$C$39+Inputs!$C$40))))+Inputs!$C$38*SIN(2*PI()*(Scenario_Data!T68)/Inputs!$C$39)*SIN(2*PI()*(Inputs!$C$6)/Inputs!$C$40)+-Inputs!$C$41*EXP(-(((Inputs!$C$6)-Inputs!$C$43)^2)/(2*Inputs!$C$44^2))*EXP(-(((Scenario_Data!T68)-Inputs!$C$42)^2)/(2*Inputs!$C$45^2))+Inputs!$C$48*(0.7*(0.45*SIN(2*PI()*(((Scenario_Data!T68)/Inputs!$C$49)+Inputs!$C$47*0.137))+0.35*COS(2*PI()*(((Inputs!$C$6)/Inputs!$C$50)+Inputs!$C$47*0.173))+0.2*SIN(2*PI()*((((Scenario_Data!T68)+(Inputs!$C$6))/(0.5*(Inputs!$C$49+Inputs!$C$50)))+Inputs!$C$47*0.097)))+0.3*(2*((SIN(((Scenario_Data!T68)*12.9898+(Inputs!$C$6)*78.233+Inputs!$C$47*37.719))*43758.5453)-INT((SIN(((Scenario_Data!T68)*12.9898+(Inputs!$C$6)*78.233+Inputs!$C$47*37.719))*43758.5453)))-1))))/1000))^2-2*(Inputs!$C$52+(Scenario_Data!B68))*(Inputs!$C$52+((IF(OR(Inputs!$C$27=TRUE,Inputs!$C$27="TRUE",Inputs!$C$27=1),1,0)*(Inputs!$C$51*(115*EXP(-(((Inputs!$C$6)-25)^2)/(4.5^2))+70*EXP(-(((Inputs!$C$6)+38)^2)/(7^2))*(0.55+0.45*SIN(2*PI()*(Scenario_Data!T68)/45))+24*SIN(2*PI()*(Inputs!$C$6)/9+(Scenario_Data!T68)/18)*EXP(-(((Inputs!$C$6)+5)^2)/(22^2))+18*SIN(2*PI()*(Scenario_Data!T68)/70))+Inputs!$C$28*EXP(-(((Scenario_Data!T68)-Inputs!$C$29)^2)/(2*Inputs!$C$31^2))*EXP(-(((Inputs!$C$6)-Inputs!$C$30)^2)/(2*Inputs!$C$32^2))+-Inputs!$C$33*EXP(-(((((Scenario_Data!T68)-Inputs!$C$34)^2)+(((Inputs!$C$6)-Inputs!$C$35)^2))/(2*Inputs!$C$36^2)))+Inputs!$C$37*(0.55*SIN(2*PI()*(Scenario_Data!T68)/Inputs!$C$39)+0.35*COS(2*PI()*(Inputs!$C$6)/Inputs!$C$40)+0.2*SIN(2*PI()*((Scenario_Data!T68)+(Inputs!$C$6))/(0.5*(Inputs!$C$39+Inputs!$C$40))))+Inputs!$C$38*SIN(2*PI()*(Scenario_Data!T68)/Inputs!$C$39)*SIN(2*PI()*(Inputs!$C$6)/Inputs!$C$40)+-Inputs!$C$41*EXP(-(((Inputs!$C$6)-Inputs!$C$43)^2)/(2*Inputs!$C$44^2))*EXP(-(((Scenario_Data!T68)-Inputs!$C$42)^2)/(2*Inputs!$C$45^2))+Inputs!$C$48*(0.7*(0.45*SIN(2*PI()*(((Scenario_Data!T68)/Inputs!$C$49)+Inputs!$C$47*0.137))+0.35*COS(2*PI()*(((Inputs!$C$6)/Inputs!$C$50)+Inputs!$C$47*0.173))+0.2*SIN(2*PI()*((((Scenario_Data!T68)+(Inputs!$C$6))/(0.5*(Inputs!$C$49+Inputs!$C$50)))+Inputs!$C$47*0.097)))+0.3*(2*((SIN(((Scenario_Data!T68)*12.9898+(Inputs!$C$6)*78.233+Inputs!$C$47*37.719))*43758.5453)-INT((SIN(((Scenario_Data!T68)*12.9898+(Inputs!$C$6)*78.233+Inputs!$C$47*37.719))*43758.5453)))-1))))/1000))*COS(SQRT((Scenario_Data!T68)^2+Inputs!$C$6^2)/Inputs!$C$52))*1000)/Inputs!$C$21*1000000</f>
        <v/>
      </c>
      <c r="AR68">
        <f>Scenario_Data!U68</f>
        <v/>
      </c>
      <c r="AS68">
        <f>2*(SQRT((Inputs!$C$52+(Scenario_Data!C68))^2+(Inputs!$C$52+((IF(OR(Inputs!$C$27=TRUE,Inputs!$C$27="TRUE",Inputs!$C$27=1),1,0)*(Inputs!$C$51*(115*EXP(-(((Inputs!$C$6)-25)^2)/(4.5^2))+70*EXP(-(((Inputs!$C$6)+38)^2)/(7^2))*(0.55+0.45*SIN(2*PI()*(Scenario_Data!U68)/45))+24*SIN(2*PI()*(Inputs!$C$6)/9+(Scenario_Data!U68)/18)*EXP(-(((Inputs!$C$6)+5)^2)/(22^2))+18*SIN(2*PI()*(Scenario_Data!U68)/70))+Inputs!$C$28*EXP(-(((Scenario_Data!U68)-Inputs!$C$29)^2)/(2*Inputs!$C$31^2))*EXP(-(((Inputs!$C$6)-Inputs!$C$30)^2)/(2*Inputs!$C$32^2))+-Inputs!$C$33*EXP(-(((((Scenario_Data!U68)-Inputs!$C$34)^2)+(((Inputs!$C$6)-Inputs!$C$35)^2))/(2*Inputs!$C$36^2)))+Inputs!$C$37*(0.55*SIN(2*PI()*(Scenario_Data!U68)/Inputs!$C$39)+0.35*COS(2*PI()*(Inputs!$C$6)/Inputs!$C$40)+0.2*SIN(2*PI()*((Scenario_Data!U68)+(Inputs!$C$6))/(0.5*(Inputs!$C$39+Inputs!$C$40))))+Inputs!$C$38*SIN(2*PI()*(Scenario_Data!U68)/Inputs!$C$39)*SIN(2*PI()*(Inputs!$C$6)/Inputs!$C$40)+-Inputs!$C$41*EXP(-(((Inputs!$C$6)-Inputs!$C$43)^2)/(2*Inputs!$C$44^2))*EXP(-(((Scenario_Data!U68)-Inputs!$C$42)^2)/(2*Inputs!$C$45^2))+Inputs!$C$48*(0.7*(0.45*SIN(2*PI()*(((Scenario_Data!U68)/Inputs!$C$49)+Inputs!$C$47*0.137))+0.35*COS(2*PI()*(((Inputs!$C$6)/Inputs!$C$50)+Inputs!$C$47*0.173))+0.2*SIN(2*PI()*((((Scenario_Data!U68)+(Inputs!$C$6))/(0.5*(Inputs!$C$49+Inputs!$C$50)))+Inputs!$C$47*0.097)))+0.3*(2*((SIN(((Scenario_Data!U68)*12.9898+(Inputs!$C$6)*78.233+Inputs!$C$47*37.719))*43758.5453)-INT((SIN(((Scenario_Data!U68)*12.9898+(Inputs!$C$6)*78.233+Inputs!$C$47*37.719))*43758.5453)))-1))))/1000))^2-2*(Inputs!$C$52+(Scenario_Data!C68))*(Inputs!$C$52+((IF(OR(Inputs!$C$27=TRUE,Inputs!$C$27="TRUE",Inputs!$C$27=1),1,0)*(Inputs!$C$51*(115*EXP(-(((Inputs!$C$6)-25)^2)/(4.5^2))+70*EXP(-(((Inputs!$C$6)+38)^2)/(7^2))*(0.55+0.45*SIN(2*PI()*(Scenario_Data!U68)/45))+24*SIN(2*PI()*(Inputs!$C$6)/9+(Scenario_Data!U68)/18)*EXP(-(((Inputs!$C$6)+5)^2)/(22^2))+18*SIN(2*PI()*(Scenario_Data!U68)/70))+Inputs!$C$28*EXP(-(((Scenario_Data!U68)-Inputs!$C$29)^2)/(2*Inputs!$C$31^2))*EXP(-(((Inputs!$C$6)-Inputs!$C$30)^2)/(2*Inputs!$C$32^2))+-Inputs!$C$33*EXP(-(((((Scenario_Data!U68)-Inputs!$C$34)^2)+(((Inputs!$C$6)-Inputs!$C$35)^2))/(2*Inputs!$C$36^2)))+Inputs!$C$37*(0.55*SIN(2*PI()*(Scenario_Data!U68)/Inputs!$C$39)+0.35*COS(2*PI()*(Inputs!$C$6)/Inputs!$C$40)+0.2*SIN(2*PI()*((Scenario_Data!U68)+(Inputs!$C$6))/(0.5*(Inputs!$C$39+Inputs!$C$40))))+Inputs!$C$38*SIN(2*PI()*(Scenario_Data!U68)/Inputs!$C$39)*SIN(2*PI()*(Inputs!$C$6)/Inputs!$C$40)+-Inputs!$C$41*EXP(-(((Inputs!$C$6)-Inputs!$C$43)^2)/(2*Inputs!$C$44^2))*EXP(-(((Scenario_Data!U68)-Inputs!$C$42)^2)/(2*Inputs!$C$45^2))+Inputs!$C$48*(0.7*(0.45*SIN(2*PI()*(((Scenario_Data!U68)/Inputs!$C$49)+Inputs!$C$47*0.137))+0.35*COS(2*PI()*(((Inputs!$C$6)/Inputs!$C$50)+Inputs!$C$47*0.173))+0.2*SIN(2*PI()*((((Scenario_Data!U68)+(Inputs!$C$6))/(0.5*(Inputs!$C$49+Inputs!$C$50)))+Inputs!$C$47*0.097)))+0.3*(2*((SIN(((Scenario_Data!U68)*12.9898+(Inputs!$C$6)*78.233+Inputs!$C$47*37.719))*43758.5453)-INT((SIN(((Scenario_Data!U68)*12.9898+(Inputs!$C$6)*78.233+Inputs!$C$47*37.719))*43758.5453)))-1))))/1000))*COS(SQRT((Scenario_Data!U68)^2+Inputs!$C$6^2)/Inputs!$C$52))*1000)/Inputs!$C$21*1000000</f>
        <v/>
      </c>
      <c r="AT68">
        <f>Scenario_Data!V68</f>
        <v/>
      </c>
      <c r="AU68">
        <f>2*(SQRT((Inputs!$C$52+(Scenario_Data!D68))^2+(Inputs!$C$52+((IF(OR(Inputs!$C$27=TRUE,Inputs!$C$27="TRUE",Inputs!$C$27=1),1,0)*(Inputs!$C$51*(115*EXP(-(((Inputs!$C$6)-25)^2)/(4.5^2))+70*EXP(-(((Inputs!$C$6)+38)^2)/(7^2))*(0.55+0.45*SIN(2*PI()*(Scenario_Data!V68)/45))+24*SIN(2*PI()*(Inputs!$C$6)/9+(Scenario_Data!V68)/18)*EXP(-(((Inputs!$C$6)+5)^2)/(22^2))+18*SIN(2*PI()*(Scenario_Data!V68)/70))+Inputs!$C$28*EXP(-(((Scenario_Data!V68)-Inputs!$C$29)^2)/(2*Inputs!$C$31^2))*EXP(-(((Inputs!$C$6)-Inputs!$C$30)^2)/(2*Inputs!$C$32^2))+-Inputs!$C$33*EXP(-(((((Scenario_Data!V68)-Inputs!$C$34)^2)+(((Inputs!$C$6)-Inputs!$C$35)^2))/(2*Inputs!$C$36^2)))+Inputs!$C$37*(0.55*SIN(2*PI()*(Scenario_Data!V68)/Inputs!$C$39)+0.35*COS(2*PI()*(Inputs!$C$6)/Inputs!$C$40)+0.2*SIN(2*PI()*((Scenario_Data!V68)+(Inputs!$C$6))/(0.5*(Inputs!$C$39+Inputs!$C$40))))+Inputs!$C$38*SIN(2*PI()*(Scenario_Data!V68)/Inputs!$C$39)*SIN(2*PI()*(Inputs!$C$6)/Inputs!$C$40)+-Inputs!$C$41*EXP(-(((Inputs!$C$6)-Inputs!$C$43)^2)/(2*Inputs!$C$44^2))*EXP(-(((Scenario_Data!V68)-Inputs!$C$42)^2)/(2*Inputs!$C$45^2))+Inputs!$C$48*(0.7*(0.45*SIN(2*PI()*(((Scenario_Data!V68)/Inputs!$C$49)+Inputs!$C$47*0.137))+0.35*COS(2*PI()*(((Inputs!$C$6)/Inputs!$C$50)+Inputs!$C$47*0.173))+0.2*SIN(2*PI()*((((Scenario_Data!V68)+(Inputs!$C$6))/(0.5*(Inputs!$C$49+Inputs!$C$50)))+Inputs!$C$47*0.097)))+0.3*(2*((SIN(((Scenario_Data!V68)*12.9898+(Inputs!$C$6)*78.233+Inputs!$C$47*37.719))*43758.5453)-INT((SIN(((Scenario_Data!V68)*12.9898+(Inputs!$C$6)*78.233+Inputs!$C$47*37.719))*43758.5453)))-1))))/1000))^2-2*(Inputs!$C$52+(Scenario_Data!D68))*(Inputs!$C$52+((IF(OR(Inputs!$C$27=TRUE,Inputs!$C$27="TRUE",Inputs!$C$27=1),1,0)*(Inputs!$C$51*(115*EXP(-(((Inputs!$C$6)-25)^2)/(4.5^2))+70*EXP(-(((Inputs!$C$6)+38)^2)/(7^2))*(0.55+0.45*SIN(2*PI()*(Scenario_Data!V68)/45))+24*SIN(2*PI()*(Inputs!$C$6)/9+(Scenario_Data!V68)/18)*EXP(-(((Inputs!$C$6)+5)^2)/(22^2))+18*SIN(2*PI()*(Scenario_Data!V68)/70))+Inputs!$C$28*EXP(-(((Scenario_Data!V68)-Inputs!$C$29)^2)/(2*Inputs!$C$31^2))*EXP(-(((Inputs!$C$6)-Inputs!$C$30)^2)/(2*Inputs!$C$32^2))+-Inputs!$C$33*EXP(-(((((Scenario_Data!V68)-Inputs!$C$34)^2)+(((Inputs!$C$6)-Inputs!$C$35)^2))/(2*Inputs!$C$36^2)))+Inputs!$C$37*(0.55*SIN(2*PI()*(Scenario_Data!V68)/Inputs!$C$39)+0.35*COS(2*PI()*(Inputs!$C$6)/Inputs!$C$40)+0.2*SIN(2*PI()*((Scenario_Data!V68)+(Inputs!$C$6))/(0.5*(Inputs!$C$39+Inputs!$C$40))))+Inputs!$C$38*SIN(2*PI()*(Scenario_Data!V68)/Inputs!$C$39)*SIN(2*PI()*(Inputs!$C$6)/Inputs!$C$40)+-Inputs!$C$41*EXP(-(((Inputs!$C$6)-Inputs!$C$43)^2)/(2*Inputs!$C$44^2))*EXP(-(((Scenario_Data!V68)-Inputs!$C$42)^2)/(2*Inputs!$C$45^2))+Inputs!$C$48*(0.7*(0.45*SIN(2*PI()*(((Scenario_Data!V68)/Inputs!$C$49)+Inputs!$C$47*0.137))+0.35*COS(2*PI()*(((Inputs!$C$6)/Inputs!$C$50)+Inputs!$C$47*0.173))+0.2*SIN(2*PI()*((((Scenario_Data!V68)+(Inputs!$C$6))/(0.5*(Inputs!$C$49+Inputs!$C$50)))+Inputs!$C$47*0.097)))+0.3*(2*((SIN(((Scenario_Data!V68)*12.9898+(Inputs!$C$6)*78.233+Inputs!$C$47*37.719))*43758.5453)-INT((SIN(((Scenario_Data!V68)*12.9898+(Inputs!$C$6)*78.233+Inputs!$C$47*37.719))*43758.5453)))-1))))/1000))*COS(SQRT((Scenario_Data!V68)^2+Inputs!$C$6^2)/Inputs!$C$52))*1000)/Inputs!$C$21*1000000</f>
        <v/>
      </c>
      <c r="AV68">
        <f>Scenario_Data!W68</f>
        <v/>
      </c>
      <c r="AW68">
        <f>2*(SQRT((Inputs!$C$52+(Scenario_Data!E68))^2+(Inputs!$C$52+((IF(OR(Inputs!$C$27=TRUE,Inputs!$C$27="TRUE",Inputs!$C$27=1),1,0)*(Inputs!$C$51*(115*EXP(-(((Inputs!$C$6)-25)^2)/(4.5^2))+70*EXP(-(((Inputs!$C$6)+38)^2)/(7^2))*(0.55+0.45*SIN(2*PI()*(Scenario_Data!W68)/45))+24*SIN(2*PI()*(Inputs!$C$6)/9+(Scenario_Data!W68)/18)*EXP(-(((Inputs!$C$6)+5)^2)/(22^2))+18*SIN(2*PI()*(Scenario_Data!W68)/70))+Inputs!$C$28*EXP(-(((Scenario_Data!W68)-Inputs!$C$29)^2)/(2*Inputs!$C$31^2))*EXP(-(((Inputs!$C$6)-Inputs!$C$30)^2)/(2*Inputs!$C$32^2))+-Inputs!$C$33*EXP(-(((((Scenario_Data!W68)-Inputs!$C$34)^2)+(((Inputs!$C$6)-Inputs!$C$35)^2))/(2*Inputs!$C$36^2)))+Inputs!$C$37*(0.55*SIN(2*PI()*(Scenario_Data!W68)/Inputs!$C$39)+0.35*COS(2*PI()*(Inputs!$C$6)/Inputs!$C$40)+0.2*SIN(2*PI()*((Scenario_Data!W68)+(Inputs!$C$6))/(0.5*(Inputs!$C$39+Inputs!$C$40))))+Inputs!$C$38*SIN(2*PI()*(Scenario_Data!W68)/Inputs!$C$39)*SIN(2*PI()*(Inputs!$C$6)/Inputs!$C$40)+-Inputs!$C$41*EXP(-(((Inputs!$C$6)-Inputs!$C$43)^2)/(2*Inputs!$C$44^2))*EXP(-(((Scenario_Data!W68)-Inputs!$C$42)^2)/(2*Inputs!$C$45^2))+Inputs!$C$48*(0.7*(0.45*SIN(2*PI()*(((Scenario_Data!W68)/Inputs!$C$49)+Inputs!$C$47*0.137))+0.35*COS(2*PI()*(((Inputs!$C$6)/Inputs!$C$50)+Inputs!$C$47*0.173))+0.2*SIN(2*PI()*((((Scenario_Data!W68)+(Inputs!$C$6))/(0.5*(Inputs!$C$49+Inputs!$C$50)))+Inputs!$C$47*0.097)))+0.3*(2*((SIN(((Scenario_Data!W68)*12.9898+(Inputs!$C$6)*78.233+Inputs!$C$47*37.719))*43758.5453)-INT((SIN(((Scenario_Data!W68)*12.9898+(Inputs!$C$6)*78.233+Inputs!$C$47*37.719))*43758.5453)))-1))))/1000))^2-2*(Inputs!$C$52+(Scenario_Data!E68))*(Inputs!$C$52+((IF(OR(Inputs!$C$27=TRUE,Inputs!$C$27="TRUE",Inputs!$C$27=1),1,0)*(Inputs!$C$51*(115*EXP(-(((Inputs!$C$6)-25)^2)/(4.5^2))+70*EXP(-(((Inputs!$C$6)+38)^2)/(7^2))*(0.55+0.45*SIN(2*PI()*(Scenario_Data!W68)/45))+24*SIN(2*PI()*(Inputs!$C$6)/9+(Scenario_Data!W68)/18)*EXP(-(((Inputs!$C$6)+5)^2)/(22^2))+18*SIN(2*PI()*(Scenario_Data!W68)/70))+Inputs!$C$28*EXP(-(((Scenario_Data!W68)-Inputs!$C$29)^2)/(2*Inputs!$C$31^2))*EXP(-(((Inputs!$C$6)-Inputs!$C$30)^2)/(2*Inputs!$C$32^2))+-Inputs!$C$33*EXP(-(((((Scenario_Data!W68)-Inputs!$C$34)^2)+(((Inputs!$C$6)-Inputs!$C$35)^2))/(2*Inputs!$C$36^2)))+Inputs!$C$37*(0.55*SIN(2*PI()*(Scenario_Data!W68)/Inputs!$C$39)+0.35*COS(2*PI()*(Inputs!$C$6)/Inputs!$C$40)+0.2*SIN(2*PI()*((Scenario_Data!W68)+(Inputs!$C$6))/(0.5*(Inputs!$C$39+Inputs!$C$40))))+Inputs!$C$38*SIN(2*PI()*(Scenario_Data!W68)/Inputs!$C$39)*SIN(2*PI()*(Inputs!$C$6)/Inputs!$C$40)+-Inputs!$C$41*EXP(-(((Inputs!$C$6)-Inputs!$C$43)^2)/(2*Inputs!$C$44^2))*EXP(-(((Scenario_Data!W68)-Inputs!$C$42)^2)/(2*Inputs!$C$45^2))+Inputs!$C$48*(0.7*(0.45*SIN(2*PI()*(((Scenario_Data!W68)/Inputs!$C$49)+Inputs!$C$47*0.137))+0.35*COS(2*PI()*(((Inputs!$C$6)/Inputs!$C$50)+Inputs!$C$47*0.173))+0.2*SIN(2*PI()*((((Scenario_Data!W68)+(Inputs!$C$6))/(0.5*(Inputs!$C$49+Inputs!$C$50)))+Inputs!$C$47*0.097)))+0.3*(2*((SIN(((Scenario_Data!W68)*12.9898+(Inputs!$C$6)*78.233+Inputs!$C$47*37.719))*43758.5453)-INT((SIN(((Scenario_Data!W68)*12.9898+(Inputs!$C$6)*78.233+Inputs!$C$47*37.719))*43758.5453)))-1))))/1000))*COS(SQRT((Scenario_Data!W68)^2+Inputs!$C$6^2)/Inputs!$C$52))*1000)/Inputs!$C$21*1000000</f>
        <v/>
      </c>
    </row>
    <row r="69">
      <c r="A69">
        <f>Chart_Data!K69</f>
        <v/>
      </c>
      <c r="B69">
        <f>Chart_Data!N69-Chart_Data!L69</f>
        <v/>
      </c>
      <c r="D69">
        <f>Chart_Data!G69</f>
        <v/>
      </c>
      <c r="E69">
        <f>Chart_Data!H69</f>
        <v/>
      </c>
      <c r="F69">
        <f>Chart_Data!I69</f>
        <v/>
      </c>
      <c r="G69">
        <f>Chart_Data!J69</f>
        <v/>
      </c>
      <c r="I69">
        <f>Scenario_Data!A69</f>
        <v/>
      </c>
      <c r="J69">
        <f>Scenario_Data!H69-(((SQRT((Inputs!$C$52+(Inputs!$H$6))^2+Inputs!$C$52^2-2*(Inputs!$C$52+(Inputs!$H$6))*Inputs!$C$52*COS(SQRT((Scenario_Data!T69)^2+Inputs!$C$6^2)/Inputs!$C$52)))-(Inputs!$H$6))*1000/Inputs!$C$12)</f>
        <v/>
      </c>
      <c r="K69">
        <f>Scenario_Data!I69-(((SQRT((Inputs!$C$52+(Inputs!$H$7))^2+Inputs!$C$52^2-2*(Inputs!$C$52+(Inputs!$H$7))*Inputs!$C$52*COS(SQRT((Scenario_Data!U69)^2+Inputs!$C$6^2)/Inputs!$C$52)))-(Inputs!$H$7))*1000/Inputs!$C$12)</f>
        <v/>
      </c>
      <c r="L69">
        <f>Scenario_Data!J69-(((SQRT((Inputs!$C$52+(Inputs!$H$8))^2+Inputs!$C$52^2-2*(Inputs!$C$52+(Inputs!$H$8))*Inputs!$C$52*COS(SQRT((Scenario_Data!V69)^2+Inputs!$C$6^2)/Inputs!$C$52)))-(Inputs!$H$8))*1000/Inputs!$C$12)</f>
        <v/>
      </c>
      <c r="M69">
        <f>Scenario_Data!K69-(((SQRT((Inputs!$C$52+(Inputs!$H$9))^2+Inputs!$C$52^2-2*(Inputs!$C$52+(Inputs!$H$9))*Inputs!$C$52*COS(SQRT((Scenario_Data!W69)^2+Inputs!$C$6^2)/Inputs!$C$52)))-(Inputs!$H$9))*1000/Inputs!$C$12)</f>
        <v/>
      </c>
      <c r="O69">
        <f>Scenario_Data!T69</f>
        <v/>
      </c>
      <c r="P69">
        <f>2*(Scenario_Data!B69*1000)/Inputs!$C$21*1000000</f>
        <v/>
      </c>
      <c r="Q69">
        <f>Scenario_Data!U69</f>
        <v/>
      </c>
      <c r="R69">
        <f>2*(Scenario_Data!C69*1000)/Inputs!$C$21*1000000</f>
        <v/>
      </c>
      <c r="S69">
        <f>Scenario_Data!V69</f>
        <v/>
      </c>
      <c r="T69">
        <f>2*(Scenario_Data!D69*1000)/Inputs!$C$21*1000000</f>
        <v/>
      </c>
      <c r="U69">
        <f>Scenario_Data!W69</f>
        <v/>
      </c>
      <c r="V69">
        <f>2*(Scenario_Data!E69*1000)/Inputs!$C$21*1000000</f>
        <v/>
      </c>
      <c r="X69">
        <f>Scenario_Data!T69</f>
        <v/>
      </c>
      <c r="Y69">
        <f>2*((Scenario_Data!B69*1000)-(IF(OR(Inputs!$C$27=TRUE,Inputs!$C$27="TRUE",Inputs!$C$27=1),1,0)*(Inputs!$C$51*(115*EXP(-(((0)-25)^2)/(4.5^2))+70*EXP(-(((0)+38)^2)/(7^2))*(0.55+0.45*SIN(2*PI()*(Scenario_Data!T69)/45))+24*SIN(2*PI()*(0)/9+(Scenario_Data!T69)/18)*EXP(-(((0)+5)^2)/(22^2))+18*SIN(2*PI()*(Scenario_Data!T69)/70))+Inputs!$C$28*EXP(-(((Scenario_Data!T69)-Inputs!$C$29)^2)/(2*Inputs!$C$31^2))*EXP(-(((0)-Inputs!$C$30)^2)/(2*Inputs!$C$32^2))+-Inputs!$C$33*EXP(-(((((Scenario_Data!T69)-Inputs!$C$34)^2)+(((0)-Inputs!$C$35)^2))/(2*Inputs!$C$36^2)))+Inputs!$C$37*(0.55*SIN(2*PI()*(Scenario_Data!T69)/Inputs!$C$39)+0.35*COS(2*PI()*(0)/Inputs!$C$40)+0.2*SIN(2*PI()*((Scenario_Data!T69)+(0))/(0.5*(Inputs!$C$39+Inputs!$C$40))))+Inputs!$C$38*SIN(2*PI()*(Scenario_Data!T69)/Inputs!$C$39)*SIN(2*PI()*(0)/Inputs!$C$40)+-Inputs!$C$41*EXP(-(((0)-Inputs!$C$43)^2)/(2*Inputs!$C$44^2))*EXP(-(((Scenario_Data!T69)-Inputs!$C$42)^2)/(2*Inputs!$C$45^2))+Inputs!$C$48*(0.7*(0.45*SIN(2*PI()*(((Scenario_Data!T69)/Inputs!$C$49)+Inputs!$C$47*0.137))+0.35*COS(2*PI()*(((0)/Inputs!$C$50)+Inputs!$C$47*0.173))+0.2*SIN(2*PI()*((((Scenario_Data!T69)+(0))/(0.5*(Inputs!$C$49+Inputs!$C$50)))+Inputs!$C$47*0.097)))+0.3*(2*((SIN(((Scenario_Data!T69)*12.9898+(0)*78.233+Inputs!$C$47*37.719))*43758.5453)-INT((SIN(((Scenario_Data!T69)*12.9898+(0)*78.233+Inputs!$C$47*37.719))*43758.5453)))-1)))))/Inputs!$C$21*1000000</f>
        <v/>
      </c>
      <c r="Z69">
        <f>Scenario_Data!U69</f>
        <v/>
      </c>
      <c r="AA69">
        <f>2*((Scenario_Data!C69*1000)-(IF(OR(Inputs!$C$27=TRUE,Inputs!$C$27="TRUE",Inputs!$C$27=1),1,0)*(Inputs!$C$51*(115*EXP(-(((0)-25)^2)/(4.5^2))+70*EXP(-(((0)+38)^2)/(7^2))*(0.55+0.45*SIN(2*PI()*(Scenario_Data!U69)/45))+24*SIN(2*PI()*(0)/9+(Scenario_Data!U69)/18)*EXP(-(((0)+5)^2)/(22^2))+18*SIN(2*PI()*(Scenario_Data!U69)/70))+Inputs!$C$28*EXP(-(((Scenario_Data!U69)-Inputs!$C$29)^2)/(2*Inputs!$C$31^2))*EXP(-(((0)-Inputs!$C$30)^2)/(2*Inputs!$C$32^2))+-Inputs!$C$33*EXP(-(((((Scenario_Data!U69)-Inputs!$C$34)^2)+(((0)-Inputs!$C$35)^2))/(2*Inputs!$C$36^2)))+Inputs!$C$37*(0.55*SIN(2*PI()*(Scenario_Data!U69)/Inputs!$C$39)+0.35*COS(2*PI()*(0)/Inputs!$C$40)+0.2*SIN(2*PI()*((Scenario_Data!U69)+(0))/(0.5*(Inputs!$C$39+Inputs!$C$40))))+Inputs!$C$38*SIN(2*PI()*(Scenario_Data!U69)/Inputs!$C$39)*SIN(2*PI()*(0)/Inputs!$C$40)+-Inputs!$C$41*EXP(-(((0)-Inputs!$C$43)^2)/(2*Inputs!$C$44^2))*EXP(-(((Scenario_Data!U69)-Inputs!$C$42)^2)/(2*Inputs!$C$45^2))+Inputs!$C$48*(0.7*(0.45*SIN(2*PI()*(((Scenario_Data!U69)/Inputs!$C$49)+Inputs!$C$47*0.137))+0.35*COS(2*PI()*(((0)/Inputs!$C$50)+Inputs!$C$47*0.173))+0.2*SIN(2*PI()*((((Scenario_Data!U69)+(0))/(0.5*(Inputs!$C$49+Inputs!$C$50)))+Inputs!$C$47*0.097)))+0.3*(2*((SIN(((Scenario_Data!U69)*12.9898+(0)*78.233+Inputs!$C$47*37.719))*43758.5453)-INT((SIN(((Scenario_Data!U69)*12.9898+(0)*78.233+Inputs!$C$47*37.719))*43758.5453)))-1)))))/Inputs!$C$21*1000000</f>
        <v/>
      </c>
      <c r="AB69">
        <f>Scenario_Data!V69</f>
        <v/>
      </c>
      <c r="AC69">
        <f>2*((Scenario_Data!D69*1000)-(IF(OR(Inputs!$C$27=TRUE,Inputs!$C$27="TRUE",Inputs!$C$27=1),1,0)*(Inputs!$C$51*(115*EXP(-(((0)-25)^2)/(4.5^2))+70*EXP(-(((0)+38)^2)/(7^2))*(0.55+0.45*SIN(2*PI()*(Scenario_Data!V69)/45))+24*SIN(2*PI()*(0)/9+(Scenario_Data!V69)/18)*EXP(-(((0)+5)^2)/(22^2))+18*SIN(2*PI()*(Scenario_Data!V69)/70))+Inputs!$C$28*EXP(-(((Scenario_Data!V69)-Inputs!$C$29)^2)/(2*Inputs!$C$31^2))*EXP(-(((0)-Inputs!$C$30)^2)/(2*Inputs!$C$32^2))+-Inputs!$C$33*EXP(-(((((Scenario_Data!V69)-Inputs!$C$34)^2)+(((0)-Inputs!$C$35)^2))/(2*Inputs!$C$36^2)))+Inputs!$C$37*(0.55*SIN(2*PI()*(Scenario_Data!V69)/Inputs!$C$39)+0.35*COS(2*PI()*(0)/Inputs!$C$40)+0.2*SIN(2*PI()*((Scenario_Data!V69)+(0))/(0.5*(Inputs!$C$39+Inputs!$C$40))))+Inputs!$C$38*SIN(2*PI()*(Scenario_Data!V69)/Inputs!$C$39)*SIN(2*PI()*(0)/Inputs!$C$40)+-Inputs!$C$41*EXP(-(((0)-Inputs!$C$43)^2)/(2*Inputs!$C$44^2))*EXP(-(((Scenario_Data!V69)-Inputs!$C$42)^2)/(2*Inputs!$C$45^2))+Inputs!$C$48*(0.7*(0.45*SIN(2*PI()*(((Scenario_Data!V69)/Inputs!$C$49)+Inputs!$C$47*0.137))+0.35*COS(2*PI()*(((0)/Inputs!$C$50)+Inputs!$C$47*0.173))+0.2*SIN(2*PI()*((((Scenario_Data!V69)+(0))/(0.5*(Inputs!$C$49+Inputs!$C$50)))+Inputs!$C$47*0.097)))+0.3*(2*((SIN(((Scenario_Data!V69)*12.9898+(0)*78.233+Inputs!$C$47*37.719))*43758.5453)-INT((SIN(((Scenario_Data!V69)*12.9898+(0)*78.233+Inputs!$C$47*37.719))*43758.5453)))-1)))))/Inputs!$C$21*1000000</f>
        <v/>
      </c>
      <c r="AD69">
        <f>Scenario_Data!W69</f>
        <v/>
      </c>
      <c r="AE69">
        <f>2*((Scenario_Data!E69*1000)-(IF(OR(Inputs!$C$27=TRUE,Inputs!$C$27="TRUE",Inputs!$C$27=1),1,0)*(Inputs!$C$51*(115*EXP(-(((0)-25)^2)/(4.5^2))+70*EXP(-(((0)+38)^2)/(7^2))*(0.55+0.45*SIN(2*PI()*(Scenario_Data!W69)/45))+24*SIN(2*PI()*(0)/9+(Scenario_Data!W69)/18)*EXP(-(((0)+5)^2)/(22^2))+18*SIN(2*PI()*(Scenario_Data!W69)/70))+Inputs!$C$28*EXP(-(((Scenario_Data!W69)-Inputs!$C$29)^2)/(2*Inputs!$C$31^2))*EXP(-(((0)-Inputs!$C$30)^2)/(2*Inputs!$C$32^2))+-Inputs!$C$33*EXP(-(((((Scenario_Data!W69)-Inputs!$C$34)^2)+(((0)-Inputs!$C$35)^2))/(2*Inputs!$C$36^2)))+Inputs!$C$37*(0.55*SIN(2*PI()*(Scenario_Data!W69)/Inputs!$C$39)+0.35*COS(2*PI()*(0)/Inputs!$C$40)+0.2*SIN(2*PI()*((Scenario_Data!W69)+(0))/(0.5*(Inputs!$C$39+Inputs!$C$40))))+Inputs!$C$38*SIN(2*PI()*(Scenario_Data!W69)/Inputs!$C$39)*SIN(2*PI()*(0)/Inputs!$C$40)+-Inputs!$C$41*EXP(-(((0)-Inputs!$C$43)^2)/(2*Inputs!$C$44^2))*EXP(-(((Scenario_Data!W69)-Inputs!$C$42)^2)/(2*Inputs!$C$45^2))+Inputs!$C$48*(0.7*(0.45*SIN(2*PI()*(((Scenario_Data!W69)/Inputs!$C$49)+Inputs!$C$47*0.137))+0.35*COS(2*PI()*(((0)/Inputs!$C$50)+Inputs!$C$47*0.173))+0.2*SIN(2*PI()*((((Scenario_Data!W69)+(0))/(0.5*(Inputs!$C$49+Inputs!$C$50)))+Inputs!$C$47*0.097)))+0.3*(2*((SIN(((Scenario_Data!W69)*12.9898+(0)*78.233+Inputs!$C$47*37.719))*43758.5453)-INT((SIN(((Scenario_Data!W69)*12.9898+(0)*78.233+Inputs!$C$47*37.719))*43758.5453)))-1)))))/Inputs!$C$21*1000000</f>
        <v/>
      </c>
      <c r="AG69">
        <f>Scenario_Data!T69</f>
        <v/>
      </c>
      <c r="AH69">
        <f>2*(SQRT((Inputs!$C$52+(Scenario_Data!B69))^2+Inputs!$C$52^2-2*(Inputs!$C$52+(Scenario_Data!B69))*Inputs!$C$52*COS(SQRT((Scenario_Data!T69)^2+Inputs!$C$6^2)/Inputs!$C$52))*1000)/Inputs!$C$21*1000000</f>
        <v/>
      </c>
      <c r="AI69">
        <f>Scenario_Data!U69</f>
        <v/>
      </c>
      <c r="AJ69">
        <f>2*(SQRT((Inputs!$C$52+(Scenario_Data!C69))^2+Inputs!$C$52^2-2*(Inputs!$C$52+(Scenario_Data!C69))*Inputs!$C$52*COS(SQRT((Scenario_Data!U69)^2+Inputs!$C$6^2)/Inputs!$C$52))*1000)/Inputs!$C$21*1000000</f>
        <v/>
      </c>
      <c r="AK69">
        <f>Scenario_Data!V69</f>
        <v/>
      </c>
      <c r="AL69">
        <f>2*(SQRT((Inputs!$C$52+(Scenario_Data!D69))^2+Inputs!$C$52^2-2*(Inputs!$C$52+(Scenario_Data!D69))*Inputs!$C$52*COS(SQRT((Scenario_Data!V69)^2+Inputs!$C$6^2)/Inputs!$C$52))*1000)/Inputs!$C$21*1000000</f>
        <v/>
      </c>
      <c r="AM69">
        <f>Scenario_Data!W69</f>
        <v/>
      </c>
      <c r="AN69">
        <f>2*(SQRT((Inputs!$C$52+(Scenario_Data!E69))^2+Inputs!$C$52^2-2*(Inputs!$C$52+(Scenario_Data!E69))*Inputs!$C$52*COS(SQRT((Scenario_Data!W69)^2+Inputs!$C$6^2)/Inputs!$C$52))*1000)/Inputs!$C$21*1000000</f>
        <v/>
      </c>
      <c r="AP69">
        <f>Scenario_Data!T69</f>
        <v/>
      </c>
      <c r="AQ69">
        <f>2*(SQRT((Inputs!$C$52+(Scenario_Data!B69))^2+(Inputs!$C$52+((IF(OR(Inputs!$C$27=TRUE,Inputs!$C$27="TRUE",Inputs!$C$27=1),1,0)*(Inputs!$C$51*(115*EXP(-(((Inputs!$C$6)-25)^2)/(4.5^2))+70*EXP(-(((Inputs!$C$6)+38)^2)/(7^2))*(0.55+0.45*SIN(2*PI()*(Scenario_Data!T69)/45))+24*SIN(2*PI()*(Inputs!$C$6)/9+(Scenario_Data!T69)/18)*EXP(-(((Inputs!$C$6)+5)^2)/(22^2))+18*SIN(2*PI()*(Scenario_Data!T69)/70))+Inputs!$C$28*EXP(-(((Scenario_Data!T69)-Inputs!$C$29)^2)/(2*Inputs!$C$31^2))*EXP(-(((Inputs!$C$6)-Inputs!$C$30)^2)/(2*Inputs!$C$32^2))+-Inputs!$C$33*EXP(-(((((Scenario_Data!T69)-Inputs!$C$34)^2)+(((Inputs!$C$6)-Inputs!$C$35)^2))/(2*Inputs!$C$36^2)))+Inputs!$C$37*(0.55*SIN(2*PI()*(Scenario_Data!T69)/Inputs!$C$39)+0.35*COS(2*PI()*(Inputs!$C$6)/Inputs!$C$40)+0.2*SIN(2*PI()*((Scenario_Data!T69)+(Inputs!$C$6))/(0.5*(Inputs!$C$39+Inputs!$C$40))))+Inputs!$C$38*SIN(2*PI()*(Scenario_Data!T69)/Inputs!$C$39)*SIN(2*PI()*(Inputs!$C$6)/Inputs!$C$40)+-Inputs!$C$41*EXP(-(((Inputs!$C$6)-Inputs!$C$43)^2)/(2*Inputs!$C$44^2))*EXP(-(((Scenario_Data!T69)-Inputs!$C$42)^2)/(2*Inputs!$C$45^2))+Inputs!$C$48*(0.7*(0.45*SIN(2*PI()*(((Scenario_Data!T69)/Inputs!$C$49)+Inputs!$C$47*0.137))+0.35*COS(2*PI()*(((Inputs!$C$6)/Inputs!$C$50)+Inputs!$C$47*0.173))+0.2*SIN(2*PI()*((((Scenario_Data!T69)+(Inputs!$C$6))/(0.5*(Inputs!$C$49+Inputs!$C$50)))+Inputs!$C$47*0.097)))+0.3*(2*((SIN(((Scenario_Data!T69)*12.9898+(Inputs!$C$6)*78.233+Inputs!$C$47*37.719))*43758.5453)-INT((SIN(((Scenario_Data!T69)*12.9898+(Inputs!$C$6)*78.233+Inputs!$C$47*37.719))*43758.5453)))-1))))/1000))^2-2*(Inputs!$C$52+(Scenario_Data!B69))*(Inputs!$C$52+((IF(OR(Inputs!$C$27=TRUE,Inputs!$C$27="TRUE",Inputs!$C$27=1),1,0)*(Inputs!$C$51*(115*EXP(-(((Inputs!$C$6)-25)^2)/(4.5^2))+70*EXP(-(((Inputs!$C$6)+38)^2)/(7^2))*(0.55+0.45*SIN(2*PI()*(Scenario_Data!T69)/45))+24*SIN(2*PI()*(Inputs!$C$6)/9+(Scenario_Data!T69)/18)*EXP(-(((Inputs!$C$6)+5)^2)/(22^2))+18*SIN(2*PI()*(Scenario_Data!T69)/70))+Inputs!$C$28*EXP(-(((Scenario_Data!T69)-Inputs!$C$29)^2)/(2*Inputs!$C$31^2))*EXP(-(((Inputs!$C$6)-Inputs!$C$30)^2)/(2*Inputs!$C$32^2))+-Inputs!$C$33*EXP(-(((((Scenario_Data!T69)-Inputs!$C$34)^2)+(((Inputs!$C$6)-Inputs!$C$35)^2))/(2*Inputs!$C$36^2)))+Inputs!$C$37*(0.55*SIN(2*PI()*(Scenario_Data!T69)/Inputs!$C$39)+0.35*COS(2*PI()*(Inputs!$C$6)/Inputs!$C$40)+0.2*SIN(2*PI()*((Scenario_Data!T69)+(Inputs!$C$6))/(0.5*(Inputs!$C$39+Inputs!$C$40))))+Inputs!$C$38*SIN(2*PI()*(Scenario_Data!T69)/Inputs!$C$39)*SIN(2*PI()*(Inputs!$C$6)/Inputs!$C$40)+-Inputs!$C$41*EXP(-(((Inputs!$C$6)-Inputs!$C$43)^2)/(2*Inputs!$C$44^2))*EXP(-(((Scenario_Data!T69)-Inputs!$C$42)^2)/(2*Inputs!$C$45^2))+Inputs!$C$48*(0.7*(0.45*SIN(2*PI()*(((Scenario_Data!T69)/Inputs!$C$49)+Inputs!$C$47*0.137))+0.35*COS(2*PI()*(((Inputs!$C$6)/Inputs!$C$50)+Inputs!$C$47*0.173))+0.2*SIN(2*PI()*((((Scenario_Data!T69)+(Inputs!$C$6))/(0.5*(Inputs!$C$49+Inputs!$C$50)))+Inputs!$C$47*0.097)))+0.3*(2*((SIN(((Scenario_Data!T69)*12.9898+(Inputs!$C$6)*78.233+Inputs!$C$47*37.719))*43758.5453)-INT((SIN(((Scenario_Data!T69)*12.9898+(Inputs!$C$6)*78.233+Inputs!$C$47*37.719))*43758.5453)))-1))))/1000))*COS(SQRT((Scenario_Data!T69)^2+Inputs!$C$6^2)/Inputs!$C$52))*1000)/Inputs!$C$21*1000000</f>
        <v/>
      </c>
      <c r="AR69">
        <f>Scenario_Data!U69</f>
        <v/>
      </c>
      <c r="AS69">
        <f>2*(SQRT((Inputs!$C$52+(Scenario_Data!C69))^2+(Inputs!$C$52+((IF(OR(Inputs!$C$27=TRUE,Inputs!$C$27="TRUE",Inputs!$C$27=1),1,0)*(Inputs!$C$51*(115*EXP(-(((Inputs!$C$6)-25)^2)/(4.5^2))+70*EXP(-(((Inputs!$C$6)+38)^2)/(7^2))*(0.55+0.45*SIN(2*PI()*(Scenario_Data!U69)/45))+24*SIN(2*PI()*(Inputs!$C$6)/9+(Scenario_Data!U69)/18)*EXP(-(((Inputs!$C$6)+5)^2)/(22^2))+18*SIN(2*PI()*(Scenario_Data!U69)/70))+Inputs!$C$28*EXP(-(((Scenario_Data!U69)-Inputs!$C$29)^2)/(2*Inputs!$C$31^2))*EXP(-(((Inputs!$C$6)-Inputs!$C$30)^2)/(2*Inputs!$C$32^2))+-Inputs!$C$33*EXP(-(((((Scenario_Data!U69)-Inputs!$C$34)^2)+(((Inputs!$C$6)-Inputs!$C$35)^2))/(2*Inputs!$C$36^2)))+Inputs!$C$37*(0.55*SIN(2*PI()*(Scenario_Data!U69)/Inputs!$C$39)+0.35*COS(2*PI()*(Inputs!$C$6)/Inputs!$C$40)+0.2*SIN(2*PI()*((Scenario_Data!U69)+(Inputs!$C$6))/(0.5*(Inputs!$C$39+Inputs!$C$40))))+Inputs!$C$38*SIN(2*PI()*(Scenario_Data!U69)/Inputs!$C$39)*SIN(2*PI()*(Inputs!$C$6)/Inputs!$C$40)+-Inputs!$C$41*EXP(-(((Inputs!$C$6)-Inputs!$C$43)^2)/(2*Inputs!$C$44^2))*EXP(-(((Scenario_Data!U69)-Inputs!$C$42)^2)/(2*Inputs!$C$45^2))+Inputs!$C$48*(0.7*(0.45*SIN(2*PI()*(((Scenario_Data!U69)/Inputs!$C$49)+Inputs!$C$47*0.137))+0.35*COS(2*PI()*(((Inputs!$C$6)/Inputs!$C$50)+Inputs!$C$47*0.173))+0.2*SIN(2*PI()*((((Scenario_Data!U69)+(Inputs!$C$6))/(0.5*(Inputs!$C$49+Inputs!$C$50)))+Inputs!$C$47*0.097)))+0.3*(2*((SIN(((Scenario_Data!U69)*12.9898+(Inputs!$C$6)*78.233+Inputs!$C$47*37.719))*43758.5453)-INT((SIN(((Scenario_Data!U69)*12.9898+(Inputs!$C$6)*78.233+Inputs!$C$47*37.719))*43758.5453)))-1))))/1000))^2-2*(Inputs!$C$52+(Scenario_Data!C69))*(Inputs!$C$52+((IF(OR(Inputs!$C$27=TRUE,Inputs!$C$27="TRUE",Inputs!$C$27=1),1,0)*(Inputs!$C$51*(115*EXP(-(((Inputs!$C$6)-25)^2)/(4.5^2))+70*EXP(-(((Inputs!$C$6)+38)^2)/(7^2))*(0.55+0.45*SIN(2*PI()*(Scenario_Data!U69)/45))+24*SIN(2*PI()*(Inputs!$C$6)/9+(Scenario_Data!U69)/18)*EXP(-(((Inputs!$C$6)+5)^2)/(22^2))+18*SIN(2*PI()*(Scenario_Data!U69)/70))+Inputs!$C$28*EXP(-(((Scenario_Data!U69)-Inputs!$C$29)^2)/(2*Inputs!$C$31^2))*EXP(-(((Inputs!$C$6)-Inputs!$C$30)^2)/(2*Inputs!$C$32^2))+-Inputs!$C$33*EXP(-(((((Scenario_Data!U69)-Inputs!$C$34)^2)+(((Inputs!$C$6)-Inputs!$C$35)^2))/(2*Inputs!$C$36^2)))+Inputs!$C$37*(0.55*SIN(2*PI()*(Scenario_Data!U69)/Inputs!$C$39)+0.35*COS(2*PI()*(Inputs!$C$6)/Inputs!$C$40)+0.2*SIN(2*PI()*((Scenario_Data!U69)+(Inputs!$C$6))/(0.5*(Inputs!$C$39+Inputs!$C$40))))+Inputs!$C$38*SIN(2*PI()*(Scenario_Data!U69)/Inputs!$C$39)*SIN(2*PI()*(Inputs!$C$6)/Inputs!$C$40)+-Inputs!$C$41*EXP(-(((Inputs!$C$6)-Inputs!$C$43)^2)/(2*Inputs!$C$44^2))*EXP(-(((Scenario_Data!U69)-Inputs!$C$42)^2)/(2*Inputs!$C$45^2))+Inputs!$C$48*(0.7*(0.45*SIN(2*PI()*(((Scenario_Data!U69)/Inputs!$C$49)+Inputs!$C$47*0.137))+0.35*COS(2*PI()*(((Inputs!$C$6)/Inputs!$C$50)+Inputs!$C$47*0.173))+0.2*SIN(2*PI()*((((Scenario_Data!U69)+(Inputs!$C$6))/(0.5*(Inputs!$C$49+Inputs!$C$50)))+Inputs!$C$47*0.097)))+0.3*(2*((SIN(((Scenario_Data!U69)*12.9898+(Inputs!$C$6)*78.233+Inputs!$C$47*37.719))*43758.5453)-INT((SIN(((Scenario_Data!U69)*12.9898+(Inputs!$C$6)*78.233+Inputs!$C$47*37.719))*43758.5453)))-1))))/1000))*COS(SQRT((Scenario_Data!U69)^2+Inputs!$C$6^2)/Inputs!$C$52))*1000)/Inputs!$C$21*1000000</f>
        <v/>
      </c>
      <c r="AT69">
        <f>Scenario_Data!V69</f>
        <v/>
      </c>
      <c r="AU69">
        <f>2*(SQRT((Inputs!$C$52+(Scenario_Data!D69))^2+(Inputs!$C$52+((IF(OR(Inputs!$C$27=TRUE,Inputs!$C$27="TRUE",Inputs!$C$27=1),1,0)*(Inputs!$C$51*(115*EXP(-(((Inputs!$C$6)-25)^2)/(4.5^2))+70*EXP(-(((Inputs!$C$6)+38)^2)/(7^2))*(0.55+0.45*SIN(2*PI()*(Scenario_Data!V69)/45))+24*SIN(2*PI()*(Inputs!$C$6)/9+(Scenario_Data!V69)/18)*EXP(-(((Inputs!$C$6)+5)^2)/(22^2))+18*SIN(2*PI()*(Scenario_Data!V69)/70))+Inputs!$C$28*EXP(-(((Scenario_Data!V69)-Inputs!$C$29)^2)/(2*Inputs!$C$31^2))*EXP(-(((Inputs!$C$6)-Inputs!$C$30)^2)/(2*Inputs!$C$32^2))+-Inputs!$C$33*EXP(-(((((Scenario_Data!V69)-Inputs!$C$34)^2)+(((Inputs!$C$6)-Inputs!$C$35)^2))/(2*Inputs!$C$36^2)))+Inputs!$C$37*(0.55*SIN(2*PI()*(Scenario_Data!V69)/Inputs!$C$39)+0.35*COS(2*PI()*(Inputs!$C$6)/Inputs!$C$40)+0.2*SIN(2*PI()*((Scenario_Data!V69)+(Inputs!$C$6))/(0.5*(Inputs!$C$39+Inputs!$C$40))))+Inputs!$C$38*SIN(2*PI()*(Scenario_Data!V69)/Inputs!$C$39)*SIN(2*PI()*(Inputs!$C$6)/Inputs!$C$40)+-Inputs!$C$41*EXP(-(((Inputs!$C$6)-Inputs!$C$43)^2)/(2*Inputs!$C$44^2))*EXP(-(((Scenario_Data!V69)-Inputs!$C$42)^2)/(2*Inputs!$C$45^2))+Inputs!$C$48*(0.7*(0.45*SIN(2*PI()*(((Scenario_Data!V69)/Inputs!$C$49)+Inputs!$C$47*0.137))+0.35*COS(2*PI()*(((Inputs!$C$6)/Inputs!$C$50)+Inputs!$C$47*0.173))+0.2*SIN(2*PI()*((((Scenario_Data!V69)+(Inputs!$C$6))/(0.5*(Inputs!$C$49+Inputs!$C$50)))+Inputs!$C$47*0.097)))+0.3*(2*((SIN(((Scenario_Data!V69)*12.9898+(Inputs!$C$6)*78.233+Inputs!$C$47*37.719))*43758.5453)-INT((SIN(((Scenario_Data!V69)*12.9898+(Inputs!$C$6)*78.233+Inputs!$C$47*37.719))*43758.5453)))-1))))/1000))^2-2*(Inputs!$C$52+(Scenario_Data!D69))*(Inputs!$C$52+((IF(OR(Inputs!$C$27=TRUE,Inputs!$C$27="TRUE",Inputs!$C$27=1),1,0)*(Inputs!$C$51*(115*EXP(-(((Inputs!$C$6)-25)^2)/(4.5^2))+70*EXP(-(((Inputs!$C$6)+38)^2)/(7^2))*(0.55+0.45*SIN(2*PI()*(Scenario_Data!V69)/45))+24*SIN(2*PI()*(Inputs!$C$6)/9+(Scenario_Data!V69)/18)*EXP(-(((Inputs!$C$6)+5)^2)/(22^2))+18*SIN(2*PI()*(Scenario_Data!V69)/70))+Inputs!$C$28*EXP(-(((Scenario_Data!V69)-Inputs!$C$29)^2)/(2*Inputs!$C$31^2))*EXP(-(((Inputs!$C$6)-Inputs!$C$30)^2)/(2*Inputs!$C$32^2))+-Inputs!$C$33*EXP(-(((((Scenario_Data!V69)-Inputs!$C$34)^2)+(((Inputs!$C$6)-Inputs!$C$35)^2))/(2*Inputs!$C$36^2)))+Inputs!$C$37*(0.55*SIN(2*PI()*(Scenario_Data!V69)/Inputs!$C$39)+0.35*COS(2*PI()*(Inputs!$C$6)/Inputs!$C$40)+0.2*SIN(2*PI()*((Scenario_Data!V69)+(Inputs!$C$6))/(0.5*(Inputs!$C$39+Inputs!$C$40))))+Inputs!$C$38*SIN(2*PI()*(Scenario_Data!V69)/Inputs!$C$39)*SIN(2*PI()*(Inputs!$C$6)/Inputs!$C$40)+-Inputs!$C$41*EXP(-(((Inputs!$C$6)-Inputs!$C$43)^2)/(2*Inputs!$C$44^2))*EXP(-(((Scenario_Data!V69)-Inputs!$C$42)^2)/(2*Inputs!$C$45^2))+Inputs!$C$48*(0.7*(0.45*SIN(2*PI()*(((Scenario_Data!V69)/Inputs!$C$49)+Inputs!$C$47*0.137))+0.35*COS(2*PI()*(((Inputs!$C$6)/Inputs!$C$50)+Inputs!$C$47*0.173))+0.2*SIN(2*PI()*((((Scenario_Data!V69)+(Inputs!$C$6))/(0.5*(Inputs!$C$49+Inputs!$C$50)))+Inputs!$C$47*0.097)))+0.3*(2*((SIN(((Scenario_Data!V69)*12.9898+(Inputs!$C$6)*78.233+Inputs!$C$47*37.719))*43758.5453)-INT((SIN(((Scenario_Data!V69)*12.9898+(Inputs!$C$6)*78.233+Inputs!$C$47*37.719))*43758.5453)))-1))))/1000))*COS(SQRT((Scenario_Data!V69)^2+Inputs!$C$6^2)/Inputs!$C$52))*1000)/Inputs!$C$21*1000000</f>
        <v/>
      </c>
      <c r="AV69">
        <f>Scenario_Data!W69</f>
        <v/>
      </c>
      <c r="AW69">
        <f>2*(SQRT((Inputs!$C$52+(Scenario_Data!E69))^2+(Inputs!$C$52+((IF(OR(Inputs!$C$27=TRUE,Inputs!$C$27="TRUE",Inputs!$C$27=1),1,0)*(Inputs!$C$51*(115*EXP(-(((Inputs!$C$6)-25)^2)/(4.5^2))+70*EXP(-(((Inputs!$C$6)+38)^2)/(7^2))*(0.55+0.45*SIN(2*PI()*(Scenario_Data!W69)/45))+24*SIN(2*PI()*(Inputs!$C$6)/9+(Scenario_Data!W69)/18)*EXP(-(((Inputs!$C$6)+5)^2)/(22^2))+18*SIN(2*PI()*(Scenario_Data!W69)/70))+Inputs!$C$28*EXP(-(((Scenario_Data!W69)-Inputs!$C$29)^2)/(2*Inputs!$C$31^2))*EXP(-(((Inputs!$C$6)-Inputs!$C$30)^2)/(2*Inputs!$C$32^2))+-Inputs!$C$33*EXP(-(((((Scenario_Data!W69)-Inputs!$C$34)^2)+(((Inputs!$C$6)-Inputs!$C$35)^2))/(2*Inputs!$C$36^2)))+Inputs!$C$37*(0.55*SIN(2*PI()*(Scenario_Data!W69)/Inputs!$C$39)+0.35*COS(2*PI()*(Inputs!$C$6)/Inputs!$C$40)+0.2*SIN(2*PI()*((Scenario_Data!W69)+(Inputs!$C$6))/(0.5*(Inputs!$C$39+Inputs!$C$40))))+Inputs!$C$38*SIN(2*PI()*(Scenario_Data!W69)/Inputs!$C$39)*SIN(2*PI()*(Inputs!$C$6)/Inputs!$C$40)+-Inputs!$C$41*EXP(-(((Inputs!$C$6)-Inputs!$C$43)^2)/(2*Inputs!$C$44^2))*EXP(-(((Scenario_Data!W69)-Inputs!$C$42)^2)/(2*Inputs!$C$45^2))+Inputs!$C$48*(0.7*(0.45*SIN(2*PI()*(((Scenario_Data!W69)/Inputs!$C$49)+Inputs!$C$47*0.137))+0.35*COS(2*PI()*(((Inputs!$C$6)/Inputs!$C$50)+Inputs!$C$47*0.173))+0.2*SIN(2*PI()*((((Scenario_Data!W69)+(Inputs!$C$6))/(0.5*(Inputs!$C$49+Inputs!$C$50)))+Inputs!$C$47*0.097)))+0.3*(2*((SIN(((Scenario_Data!W69)*12.9898+(Inputs!$C$6)*78.233+Inputs!$C$47*37.719))*43758.5453)-INT((SIN(((Scenario_Data!W69)*12.9898+(Inputs!$C$6)*78.233+Inputs!$C$47*37.719))*43758.5453)))-1))))/1000))^2-2*(Inputs!$C$52+(Scenario_Data!E69))*(Inputs!$C$52+((IF(OR(Inputs!$C$27=TRUE,Inputs!$C$27="TRUE",Inputs!$C$27=1),1,0)*(Inputs!$C$51*(115*EXP(-(((Inputs!$C$6)-25)^2)/(4.5^2))+70*EXP(-(((Inputs!$C$6)+38)^2)/(7^2))*(0.55+0.45*SIN(2*PI()*(Scenario_Data!W69)/45))+24*SIN(2*PI()*(Inputs!$C$6)/9+(Scenario_Data!W69)/18)*EXP(-(((Inputs!$C$6)+5)^2)/(22^2))+18*SIN(2*PI()*(Scenario_Data!W69)/70))+Inputs!$C$28*EXP(-(((Scenario_Data!W69)-Inputs!$C$29)^2)/(2*Inputs!$C$31^2))*EXP(-(((Inputs!$C$6)-Inputs!$C$30)^2)/(2*Inputs!$C$32^2))+-Inputs!$C$33*EXP(-(((((Scenario_Data!W69)-Inputs!$C$34)^2)+(((Inputs!$C$6)-Inputs!$C$35)^2))/(2*Inputs!$C$36^2)))+Inputs!$C$37*(0.55*SIN(2*PI()*(Scenario_Data!W69)/Inputs!$C$39)+0.35*COS(2*PI()*(Inputs!$C$6)/Inputs!$C$40)+0.2*SIN(2*PI()*((Scenario_Data!W69)+(Inputs!$C$6))/(0.5*(Inputs!$C$39+Inputs!$C$40))))+Inputs!$C$38*SIN(2*PI()*(Scenario_Data!W69)/Inputs!$C$39)*SIN(2*PI()*(Inputs!$C$6)/Inputs!$C$40)+-Inputs!$C$41*EXP(-(((Inputs!$C$6)-Inputs!$C$43)^2)/(2*Inputs!$C$44^2))*EXP(-(((Scenario_Data!W69)-Inputs!$C$42)^2)/(2*Inputs!$C$45^2))+Inputs!$C$48*(0.7*(0.45*SIN(2*PI()*(((Scenario_Data!W69)/Inputs!$C$49)+Inputs!$C$47*0.137))+0.35*COS(2*PI()*(((Inputs!$C$6)/Inputs!$C$50)+Inputs!$C$47*0.173))+0.2*SIN(2*PI()*((((Scenario_Data!W69)+(Inputs!$C$6))/(0.5*(Inputs!$C$49+Inputs!$C$50)))+Inputs!$C$47*0.097)))+0.3*(2*((SIN(((Scenario_Data!W69)*12.9898+(Inputs!$C$6)*78.233+Inputs!$C$47*37.719))*43758.5453)-INT((SIN(((Scenario_Data!W69)*12.9898+(Inputs!$C$6)*78.233+Inputs!$C$47*37.719))*43758.5453)))-1))))/1000))*COS(SQRT((Scenario_Data!W69)^2+Inputs!$C$6^2)/Inputs!$C$52))*1000)/Inputs!$C$21*1000000</f>
        <v/>
      </c>
    </row>
    <row r="70">
      <c r="A70">
        <f>Chart_Data!K70</f>
        <v/>
      </c>
      <c r="B70">
        <f>Chart_Data!N70-Chart_Data!L70</f>
        <v/>
      </c>
      <c r="D70">
        <f>Chart_Data!G70</f>
        <v/>
      </c>
      <c r="E70">
        <f>Chart_Data!H70</f>
        <v/>
      </c>
      <c r="F70">
        <f>Chart_Data!I70</f>
        <v/>
      </c>
      <c r="G70">
        <f>Chart_Data!J70</f>
        <v/>
      </c>
      <c r="I70">
        <f>Scenario_Data!A70</f>
        <v/>
      </c>
      <c r="J70">
        <f>Scenario_Data!H70-(((SQRT((Inputs!$C$52+(Inputs!$H$6))^2+Inputs!$C$52^2-2*(Inputs!$C$52+(Inputs!$H$6))*Inputs!$C$52*COS(SQRT((Scenario_Data!T70)^2+Inputs!$C$6^2)/Inputs!$C$52)))-(Inputs!$H$6))*1000/Inputs!$C$12)</f>
        <v/>
      </c>
      <c r="K70">
        <f>Scenario_Data!I70-(((SQRT((Inputs!$C$52+(Inputs!$H$7))^2+Inputs!$C$52^2-2*(Inputs!$C$52+(Inputs!$H$7))*Inputs!$C$52*COS(SQRT((Scenario_Data!U70)^2+Inputs!$C$6^2)/Inputs!$C$52)))-(Inputs!$H$7))*1000/Inputs!$C$12)</f>
        <v/>
      </c>
      <c r="L70">
        <f>Scenario_Data!J70-(((SQRT((Inputs!$C$52+(Inputs!$H$8))^2+Inputs!$C$52^2-2*(Inputs!$C$52+(Inputs!$H$8))*Inputs!$C$52*COS(SQRT((Scenario_Data!V70)^2+Inputs!$C$6^2)/Inputs!$C$52)))-(Inputs!$H$8))*1000/Inputs!$C$12)</f>
        <v/>
      </c>
      <c r="M70">
        <f>Scenario_Data!K70-(((SQRT((Inputs!$C$52+(Inputs!$H$9))^2+Inputs!$C$52^2-2*(Inputs!$C$52+(Inputs!$H$9))*Inputs!$C$52*COS(SQRT((Scenario_Data!W70)^2+Inputs!$C$6^2)/Inputs!$C$52)))-(Inputs!$H$9))*1000/Inputs!$C$12)</f>
        <v/>
      </c>
      <c r="O70">
        <f>Scenario_Data!T70</f>
        <v/>
      </c>
      <c r="P70">
        <f>2*(Scenario_Data!B70*1000)/Inputs!$C$21*1000000</f>
        <v/>
      </c>
      <c r="Q70">
        <f>Scenario_Data!U70</f>
        <v/>
      </c>
      <c r="R70">
        <f>2*(Scenario_Data!C70*1000)/Inputs!$C$21*1000000</f>
        <v/>
      </c>
      <c r="S70">
        <f>Scenario_Data!V70</f>
        <v/>
      </c>
      <c r="T70">
        <f>2*(Scenario_Data!D70*1000)/Inputs!$C$21*1000000</f>
        <v/>
      </c>
      <c r="U70">
        <f>Scenario_Data!W70</f>
        <v/>
      </c>
      <c r="V70">
        <f>2*(Scenario_Data!E70*1000)/Inputs!$C$21*1000000</f>
        <v/>
      </c>
      <c r="X70">
        <f>Scenario_Data!T70</f>
        <v/>
      </c>
      <c r="Y70">
        <f>2*((Scenario_Data!B70*1000)-(IF(OR(Inputs!$C$27=TRUE,Inputs!$C$27="TRUE",Inputs!$C$27=1),1,0)*(Inputs!$C$51*(115*EXP(-(((0)-25)^2)/(4.5^2))+70*EXP(-(((0)+38)^2)/(7^2))*(0.55+0.45*SIN(2*PI()*(Scenario_Data!T70)/45))+24*SIN(2*PI()*(0)/9+(Scenario_Data!T70)/18)*EXP(-(((0)+5)^2)/(22^2))+18*SIN(2*PI()*(Scenario_Data!T70)/70))+Inputs!$C$28*EXP(-(((Scenario_Data!T70)-Inputs!$C$29)^2)/(2*Inputs!$C$31^2))*EXP(-(((0)-Inputs!$C$30)^2)/(2*Inputs!$C$32^2))+-Inputs!$C$33*EXP(-(((((Scenario_Data!T70)-Inputs!$C$34)^2)+(((0)-Inputs!$C$35)^2))/(2*Inputs!$C$36^2)))+Inputs!$C$37*(0.55*SIN(2*PI()*(Scenario_Data!T70)/Inputs!$C$39)+0.35*COS(2*PI()*(0)/Inputs!$C$40)+0.2*SIN(2*PI()*((Scenario_Data!T70)+(0))/(0.5*(Inputs!$C$39+Inputs!$C$40))))+Inputs!$C$38*SIN(2*PI()*(Scenario_Data!T70)/Inputs!$C$39)*SIN(2*PI()*(0)/Inputs!$C$40)+-Inputs!$C$41*EXP(-(((0)-Inputs!$C$43)^2)/(2*Inputs!$C$44^2))*EXP(-(((Scenario_Data!T70)-Inputs!$C$42)^2)/(2*Inputs!$C$45^2))+Inputs!$C$48*(0.7*(0.45*SIN(2*PI()*(((Scenario_Data!T70)/Inputs!$C$49)+Inputs!$C$47*0.137))+0.35*COS(2*PI()*(((0)/Inputs!$C$50)+Inputs!$C$47*0.173))+0.2*SIN(2*PI()*((((Scenario_Data!T70)+(0))/(0.5*(Inputs!$C$49+Inputs!$C$50)))+Inputs!$C$47*0.097)))+0.3*(2*((SIN(((Scenario_Data!T70)*12.9898+(0)*78.233+Inputs!$C$47*37.719))*43758.5453)-INT((SIN(((Scenario_Data!T70)*12.9898+(0)*78.233+Inputs!$C$47*37.719))*43758.5453)))-1)))))/Inputs!$C$21*1000000</f>
        <v/>
      </c>
      <c r="Z70">
        <f>Scenario_Data!U70</f>
        <v/>
      </c>
      <c r="AA70">
        <f>2*((Scenario_Data!C70*1000)-(IF(OR(Inputs!$C$27=TRUE,Inputs!$C$27="TRUE",Inputs!$C$27=1),1,0)*(Inputs!$C$51*(115*EXP(-(((0)-25)^2)/(4.5^2))+70*EXP(-(((0)+38)^2)/(7^2))*(0.55+0.45*SIN(2*PI()*(Scenario_Data!U70)/45))+24*SIN(2*PI()*(0)/9+(Scenario_Data!U70)/18)*EXP(-(((0)+5)^2)/(22^2))+18*SIN(2*PI()*(Scenario_Data!U70)/70))+Inputs!$C$28*EXP(-(((Scenario_Data!U70)-Inputs!$C$29)^2)/(2*Inputs!$C$31^2))*EXP(-(((0)-Inputs!$C$30)^2)/(2*Inputs!$C$32^2))+-Inputs!$C$33*EXP(-(((((Scenario_Data!U70)-Inputs!$C$34)^2)+(((0)-Inputs!$C$35)^2))/(2*Inputs!$C$36^2)))+Inputs!$C$37*(0.55*SIN(2*PI()*(Scenario_Data!U70)/Inputs!$C$39)+0.35*COS(2*PI()*(0)/Inputs!$C$40)+0.2*SIN(2*PI()*((Scenario_Data!U70)+(0))/(0.5*(Inputs!$C$39+Inputs!$C$40))))+Inputs!$C$38*SIN(2*PI()*(Scenario_Data!U70)/Inputs!$C$39)*SIN(2*PI()*(0)/Inputs!$C$40)+-Inputs!$C$41*EXP(-(((0)-Inputs!$C$43)^2)/(2*Inputs!$C$44^2))*EXP(-(((Scenario_Data!U70)-Inputs!$C$42)^2)/(2*Inputs!$C$45^2))+Inputs!$C$48*(0.7*(0.45*SIN(2*PI()*(((Scenario_Data!U70)/Inputs!$C$49)+Inputs!$C$47*0.137))+0.35*COS(2*PI()*(((0)/Inputs!$C$50)+Inputs!$C$47*0.173))+0.2*SIN(2*PI()*((((Scenario_Data!U70)+(0))/(0.5*(Inputs!$C$49+Inputs!$C$50)))+Inputs!$C$47*0.097)))+0.3*(2*((SIN(((Scenario_Data!U70)*12.9898+(0)*78.233+Inputs!$C$47*37.719))*43758.5453)-INT((SIN(((Scenario_Data!U70)*12.9898+(0)*78.233+Inputs!$C$47*37.719))*43758.5453)))-1)))))/Inputs!$C$21*1000000</f>
        <v/>
      </c>
      <c r="AB70">
        <f>Scenario_Data!V70</f>
        <v/>
      </c>
      <c r="AC70">
        <f>2*((Scenario_Data!D70*1000)-(IF(OR(Inputs!$C$27=TRUE,Inputs!$C$27="TRUE",Inputs!$C$27=1),1,0)*(Inputs!$C$51*(115*EXP(-(((0)-25)^2)/(4.5^2))+70*EXP(-(((0)+38)^2)/(7^2))*(0.55+0.45*SIN(2*PI()*(Scenario_Data!V70)/45))+24*SIN(2*PI()*(0)/9+(Scenario_Data!V70)/18)*EXP(-(((0)+5)^2)/(22^2))+18*SIN(2*PI()*(Scenario_Data!V70)/70))+Inputs!$C$28*EXP(-(((Scenario_Data!V70)-Inputs!$C$29)^2)/(2*Inputs!$C$31^2))*EXP(-(((0)-Inputs!$C$30)^2)/(2*Inputs!$C$32^2))+-Inputs!$C$33*EXP(-(((((Scenario_Data!V70)-Inputs!$C$34)^2)+(((0)-Inputs!$C$35)^2))/(2*Inputs!$C$36^2)))+Inputs!$C$37*(0.55*SIN(2*PI()*(Scenario_Data!V70)/Inputs!$C$39)+0.35*COS(2*PI()*(0)/Inputs!$C$40)+0.2*SIN(2*PI()*((Scenario_Data!V70)+(0))/(0.5*(Inputs!$C$39+Inputs!$C$40))))+Inputs!$C$38*SIN(2*PI()*(Scenario_Data!V70)/Inputs!$C$39)*SIN(2*PI()*(0)/Inputs!$C$40)+-Inputs!$C$41*EXP(-(((0)-Inputs!$C$43)^2)/(2*Inputs!$C$44^2))*EXP(-(((Scenario_Data!V70)-Inputs!$C$42)^2)/(2*Inputs!$C$45^2))+Inputs!$C$48*(0.7*(0.45*SIN(2*PI()*(((Scenario_Data!V70)/Inputs!$C$49)+Inputs!$C$47*0.137))+0.35*COS(2*PI()*(((0)/Inputs!$C$50)+Inputs!$C$47*0.173))+0.2*SIN(2*PI()*((((Scenario_Data!V70)+(0))/(0.5*(Inputs!$C$49+Inputs!$C$50)))+Inputs!$C$47*0.097)))+0.3*(2*((SIN(((Scenario_Data!V70)*12.9898+(0)*78.233+Inputs!$C$47*37.719))*43758.5453)-INT((SIN(((Scenario_Data!V70)*12.9898+(0)*78.233+Inputs!$C$47*37.719))*43758.5453)))-1)))))/Inputs!$C$21*1000000</f>
        <v/>
      </c>
      <c r="AD70">
        <f>Scenario_Data!W70</f>
        <v/>
      </c>
      <c r="AE70">
        <f>2*((Scenario_Data!E70*1000)-(IF(OR(Inputs!$C$27=TRUE,Inputs!$C$27="TRUE",Inputs!$C$27=1),1,0)*(Inputs!$C$51*(115*EXP(-(((0)-25)^2)/(4.5^2))+70*EXP(-(((0)+38)^2)/(7^2))*(0.55+0.45*SIN(2*PI()*(Scenario_Data!W70)/45))+24*SIN(2*PI()*(0)/9+(Scenario_Data!W70)/18)*EXP(-(((0)+5)^2)/(22^2))+18*SIN(2*PI()*(Scenario_Data!W70)/70))+Inputs!$C$28*EXP(-(((Scenario_Data!W70)-Inputs!$C$29)^2)/(2*Inputs!$C$31^2))*EXP(-(((0)-Inputs!$C$30)^2)/(2*Inputs!$C$32^2))+-Inputs!$C$33*EXP(-(((((Scenario_Data!W70)-Inputs!$C$34)^2)+(((0)-Inputs!$C$35)^2))/(2*Inputs!$C$36^2)))+Inputs!$C$37*(0.55*SIN(2*PI()*(Scenario_Data!W70)/Inputs!$C$39)+0.35*COS(2*PI()*(0)/Inputs!$C$40)+0.2*SIN(2*PI()*((Scenario_Data!W70)+(0))/(0.5*(Inputs!$C$39+Inputs!$C$40))))+Inputs!$C$38*SIN(2*PI()*(Scenario_Data!W70)/Inputs!$C$39)*SIN(2*PI()*(0)/Inputs!$C$40)+-Inputs!$C$41*EXP(-(((0)-Inputs!$C$43)^2)/(2*Inputs!$C$44^2))*EXP(-(((Scenario_Data!W70)-Inputs!$C$42)^2)/(2*Inputs!$C$45^2))+Inputs!$C$48*(0.7*(0.45*SIN(2*PI()*(((Scenario_Data!W70)/Inputs!$C$49)+Inputs!$C$47*0.137))+0.35*COS(2*PI()*(((0)/Inputs!$C$50)+Inputs!$C$47*0.173))+0.2*SIN(2*PI()*((((Scenario_Data!W70)+(0))/(0.5*(Inputs!$C$49+Inputs!$C$50)))+Inputs!$C$47*0.097)))+0.3*(2*((SIN(((Scenario_Data!W70)*12.9898+(0)*78.233+Inputs!$C$47*37.719))*43758.5453)-INT((SIN(((Scenario_Data!W70)*12.9898+(0)*78.233+Inputs!$C$47*37.719))*43758.5453)))-1)))))/Inputs!$C$21*1000000</f>
        <v/>
      </c>
      <c r="AG70">
        <f>Scenario_Data!T70</f>
        <v/>
      </c>
      <c r="AH70">
        <f>2*(SQRT((Inputs!$C$52+(Scenario_Data!B70))^2+Inputs!$C$52^2-2*(Inputs!$C$52+(Scenario_Data!B70))*Inputs!$C$52*COS(SQRT((Scenario_Data!T70)^2+Inputs!$C$6^2)/Inputs!$C$52))*1000)/Inputs!$C$21*1000000</f>
        <v/>
      </c>
      <c r="AI70">
        <f>Scenario_Data!U70</f>
        <v/>
      </c>
      <c r="AJ70">
        <f>2*(SQRT((Inputs!$C$52+(Scenario_Data!C70))^2+Inputs!$C$52^2-2*(Inputs!$C$52+(Scenario_Data!C70))*Inputs!$C$52*COS(SQRT((Scenario_Data!U70)^2+Inputs!$C$6^2)/Inputs!$C$52))*1000)/Inputs!$C$21*1000000</f>
        <v/>
      </c>
      <c r="AK70">
        <f>Scenario_Data!V70</f>
        <v/>
      </c>
      <c r="AL70">
        <f>2*(SQRT((Inputs!$C$52+(Scenario_Data!D70))^2+Inputs!$C$52^2-2*(Inputs!$C$52+(Scenario_Data!D70))*Inputs!$C$52*COS(SQRT((Scenario_Data!V70)^2+Inputs!$C$6^2)/Inputs!$C$52))*1000)/Inputs!$C$21*1000000</f>
        <v/>
      </c>
      <c r="AM70">
        <f>Scenario_Data!W70</f>
        <v/>
      </c>
      <c r="AN70">
        <f>2*(SQRT((Inputs!$C$52+(Scenario_Data!E70))^2+Inputs!$C$52^2-2*(Inputs!$C$52+(Scenario_Data!E70))*Inputs!$C$52*COS(SQRT((Scenario_Data!W70)^2+Inputs!$C$6^2)/Inputs!$C$52))*1000)/Inputs!$C$21*1000000</f>
        <v/>
      </c>
      <c r="AP70">
        <f>Scenario_Data!T70</f>
        <v/>
      </c>
      <c r="AQ70">
        <f>2*(SQRT((Inputs!$C$52+(Scenario_Data!B70))^2+(Inputs!$C$52+((IF(OR(Inputs!$C$27=TRUE,Inputs!$C$27="TRUE",Inputs!$C$27=1),1,0)*(Inputs!$C$51*(115*EXP(-(((Inputs!$C$6)-25)^2)/(4.5^2))+70*EXP(-(((Inputs!$C$6)+38)^2)/(7^2))*(0.55+0.45*SIN(2*PI()*(Scenario_Data!T70)/45))+24*SIN(2*PI()*(Inputs!$C$6)/9+(Scenario_Data!T70)/18)*EXP(-(((Inputs!$C$6)+5)^2)/(22^2))+18*SIN(2*PI()*(Scenario_Data!T70)/70))+Inputs!$C$28*EXP(-(((Scenario_Data!T70)-Inputs!$C$29)^2)/(2*Inputs!$C$31^2))*EXP(-(((Inputs!$C$6)-Inputs!$C$30)^2)/(2*Inputs!$C$32^2))+-Inputs!$C$33*EXP(-(((((Scenario_Data!T70)-Inputs!$C$34)^2)+(((Inputs!$C$6)-Inputs!$C$35)^2))/(2*Inputs!$C$36^2)))+Inputs!$C$37*(0.55*SIN(2*PI()*(Scenario_Data!T70)/Inputs!$C$39)+0.35*COS(2*PI()*(Inputs!$C$6)/Inputs!$C$40)+0.2*SIN(2*PI()*((Scenario_Data!T70)+(Inputs!$C$6))/(0.5*(Inputs!$C$39+Inputs!$C$40))))+Inputs!$C$38*SIN(2*PI()*(Scenario_Data!T70)/Inputs!$C$39)*SIN(2*PI()*(Inputs!$C$6)/Inputs!$C$40)+-Inputs!$C$41*EXP(-(((Inputs!$C$6)-Inputs!$C$43)^2)/(2*Inputs!$C$44^2))*EXP(-(((Scenario_Data!T70)-Inputs!$C$42)^2)/(2*Inputs!$C$45^2))+Inputs!$C$48*(0.7*(0.45*SIN(2*PI()*(((Scenario_Data!T70)/Inputs!$C$49)+Inputs!$C$47*0.137))+0.35*COS(2*PI()*(((Inputs!$C$6)/Inputs!$C$50)+Inputs!$C$47*0.173))+0.2*SIN(2*PI()*((((Scenario_Data!T70)+(Inputs!$C$6))/(0.5*(Inputs!$C$49+Inputs!$C$50)))+Inputs!$C$47*0.097)))+0.3*(2*((SIN(((Scenario_Data!T70)*12.9898+(Inputs!$C$6)*78.233+Inputs!$C$47*37.719))*43758.5453)-INT((SIN(((Scenario_Data!T70)*12.9898+(Inputs!$C$6)*78.233+Inputs!$C$47*37.719))*43758.5453)))-1))))/1000))^2-2*(Inputs!$C$52+(Scenario_Data!B70))*(Inputs!$C$52+((IF(OR(Inputs!$C$27=TRUE,Inputs!$C$27="TRUE",Inputs!$C$27=1),1,0)*(Inputs!$C$51*(115*EXP(-(((Inputs!$C$6)-25)^2)/(4.5^2))+70*EXP(-(((Inputs!$C$6)+38)^2)/(7^2))*(0.55+0.45*SIN(2*PI()*(Scenario_Data!T70)/45))+24*SIN(2*PI()*(Inputs!$C$6)/9+(Scenario_Data!T70)/18)*EXP(-(((Inputs!$C$6)+5)^2)/(22^2))+18*SIN(2*PI()*(Scenario_Data!T70)/70))+Inputs!$C$28*EXP(-(((Scenario_Data!T70)-Inputs!$C$29)^2)/(2*Inputs!$C$31^2))*EXP(-(((Inputs!$C$6)-Inputs!$C$30)^2)/(2*Inputs!$C$32^2))+-Inputs!$C$33*EXP(-(((((Scenario_Data!T70)-Inputs!$C$34)^2)+(((Inputs!$C$6)-Inputs!$C$35)^2))/(2*Inputs!$C$36^2)))+Inputs!$C$37*(0.55*SIN(2*PI()*(Scenario_Data!T70)/Inputs!$C$39)+0.35*COS(2*PI()*(Inputs!$C$6)/Inputs!$C$40)+0.2*SIN(2*PI()*((Scenario_Data!T70)+(Inputs!$C$6))/(0.5*(Inputs!$C$39+Inputs!$C$40))))+Inputs!$C$38*SIN(2*PI()*(Scenario_Data!T70)/Inputs!$C$39)*SIN(2*PI()*(Inputs!$C$6)/Inputs!$C$40)+-Inputs!$C$41*EXP(-(((Inputs!$C$6)-Inputs!$C$43)^2)/(2*Inputs!$C$44^2))*EXP(-(((Scenario_Data!T70)-Inputs!$C$42)^2)/(2*Inputs!$C$45^2))+Inputs!$C$48*(0.7*(0.45*SIN(2*PI()*(((Scenario_Data!T70)/Inputs!$C$49)+Inputs!$C$47*0.137))+0.35*COS(2*PI()*(((Inputs!$C$6)/Inputs!$C$50)+Inputs!$C$47*0.173))+0.2*SIN(2*PI()*((((Scenario_Data!T70)+(Inputs!$C$6))/(0.5*(Inputs!$C$49+Inputs!$C$50)))+Inputs!$C$47*0.097)))+0.3*(2*((SIN(((Scenario_Data!T70)*12.9898+(Inputs!$C$6)*78.233+Inputs!$C$47*37.719))*43758.5453)-INT((SIN(((Scenario_Data!T70)*12.9898+(Inputs!$C$6)*78.233+Inputs!$C$47*37.719))*43758.5453)))-1))))/1000))*COS(SQRT((Scenario_Data!T70)^2+Inputs!$C$6^2)/Inputs!$C$52))*1000)/Inputs!$C$21*1000000</f>
        <v/>
      </c>
      <c r="AR70">
        <f>Scenario_Data!U70</f>
        <v/>
      </c>
      <c r="AS70">
        <f>2*(SQRT((Inputs!$C$52+(Scenario_Data!C70))^2+(Inputs!$C$52+((IF(OR(Inputs!$C$27=TRUE,Inputs!$C$27="TRUE",Inputs!$C$27=1),1,0)*(Inputs!$C$51*(115*EXP(-(((Inputs!$C$6)-25)^2)/(4.5^2))+70*EXP(-(((Inputs!$C$6)+38)^2)/(7^2))*(0.55+0.45*SIN(2*PI()*(Scenario_Data!U70)/45))+24*SIN(2*PI()*(Inputs!$C$6)/9+(Scenario_Data!U70)/18)*EXP(-(((Inputs!$C$6)+5)^2)/(22^2))+18*SIN(2*PI()*(Scenario_Data!U70)/70))+Inputs!$C$28*EXP(-(((Scenario_Data!U70)-Inputs!$C$29)^2)/(2*Inputs!$C$31^2))*EXP(-(((Inputs!$C$6)-Inputs!$C$30)^2)/(2*Inputs!$C$32^2))+-Inputs!$C$33*EXP(-(((((Scenario_Data!U70)-Inputs!$C$34)^2)+(((Inputs!$C$6)-Inputs!$C$35)^2))/(2*Inputs!$C$36^2)))+Inputs!$C$37*(0.55*SIN(2*PI()*(Scenario_Data!U70)/Inputs!$C$39)+0.35*COS(2*PI()*(Inputs!$C$6)/Inputs!$C$40)+0.2*SIN(2*PI()*((Scenario_Data!U70)+(Inputs!$C$6))/(0.5*(Inputs!$C$39+Inputs!$C$40))))+Inputs!$C$38*SIN(2*PI()*(Scenario_Data!U70)/Inputs!$C$39)*SIN(2*PI()*(Inputs!$C$6)/Inputs!$C$40)+-Inputs!$C$41*EXP(-(((Inputs!$C$6)-Inputs!$C$43)^2)/(2*Inputs!$C$44^2))*EXP(-(((Scenario_Data!U70)-Inputs!$C$42)^2)/(2*Inputs!$C$45^2))+Inputs!$C$48*(0.7*(0.45*SIN(2*PI()*(((Scenario_Data!U70)/Inputs!$C$49)+Inputs!$C$47*0.137))+0.35*COS(2*PI()*(((Inputs!$C$6)/Inputs!$C$50)+Inputs!$C$47*0.173))+0.2*SIN(2*PI()*((((Scenario_Data!U70)+(Inputs!$C$6))/(0.5*(Inputs!$C$49+Inputs!$C$50)))+Inputs!$C$47*0.097)))+0.3*(2*((SIN(((Scenario_Data!U70)*12.9898+(Inputs!$C$6)*78.233+Inputs!$C$47*37.719))*43758.5453)-INT((SIN(((Scenario_Data!U70)*12.9898+(Inputs!$C$6)*78.233+Inputs!$C$47*37.719))*43758.5453)))-1))))/1000))^2-2*(Inputs!$C$52+(Scenario_Data!C70))*(Inputs!$C$52+((IF(OR(Inputs!$C$27=TRUE,Inputs!$C$27="TRUE",Inputs!$C$27=1),1,0)*(Inputs!$C$51*(115*EXP(-(((Inputs!$C$6)-25)^2)/(4.5^2))+70*EXP(-(((Inputs!$C$6)+38)^2)/(7^2))*(0.55+0.45*SIN(2*PI()*(Scenario_Data!U70)/45))+24*SIN(2*PI()*(Inputs!$C$6)/9+(Scenario_Data!U70)/18)*EXP(-(((Inputs!$C$6)+5)^2)/(22^2))+18*SIN(2*PI()*(Scenario_Data!U70)/70))+Inputs!$C$28*EXP(-(((Scenario_Data!U70)-Inputs!$C$29)^2)/(2*Inputs!$C$31^2))*EXP(-(((Inputs!$C$6)-Inputs!$C$30)^2)/(2*Inputs!$C$32^2))+-Inputs!$C$33*EXP(-(((((Scenario_Data!U70)-Inputs!$C$34)^2)+(((Inputs!$C$6)-Inputs!$C$35)^2))/(2*Inputs!$C$36^2)))+Inputs!$C$37*(0.55*SIN(2*PI()*(Scenario_Data!U70)/Inputs!$C$39)+0.35*COS(2*PI()*(Inputs!$C$6)/Inputs!$C$40)+0.2*SIN(2*PI()*((Scenario_Data!U70)+(Inputs!$C$6))/(0.5*(Inputs!$C$39+Inputs!$C$40))))+Inputs!$C$38*SIN(2*PI()*(Scenario_Data!U70)/Inputs!$C$39)*SIN(2*PI()*(Inputs!$C$6)/Inputs!$C$40)+-Inputs!$C$41*EXP(-(((Inputs!$C$6)-Inputs!$C$43)^2)/(2*Inputs!$C$44^2))*EXP(-(((Scenario_Data!U70)-Inputs!$C$42)^2)/(2*Inputs!$C$45^2))+Inputs!$C$48*(0.7*(0.45*SIN(2*PI()*(((Scenario_Data!U70)/Inputs!$C$49)+Inputs!$C$47*0.137))+0.35*COS(2*PI()*(((Inputs!$C$6)/Inputs!$C$50)+Inputs!$C$47*0.173))+0.2*SIN(2*PI()*((((Scenario_Data!U70)+(Inputs!$C$6))/(0.5*(Inputs!$C$49+Inputs!$C$50)))+Inputs!$C$47*0.097)))+0.3*(2*((SIN(((Scenario_Data!U70)*12.9898+(Inputs!$C$6)*78.233+Inputs!$C$47*37.719))*43758.5453)-INT((SIN(((Scenario_Data!U70)*12.9898+(Inputs!$C$6)*78.233+Inputs!$C$47*37.719))*43758.5453)))-1))))/1000))*COS(SQRT((Scenario_Data!U70)^2+Inputs!$C$6^2)/Inputs!$C$52))*1000)/Inputs!$C$21*1000000</f>
        <v/>
      </c>
      <c r="AT70">
        <f>Scenario_Data!V70</f>
        <v/>
      </c>
      <c r="AU70">
        <f>2*(SQRT((Inputs!$C$52+(Scenario_Data!D70))^2+(Inputs!$C$52+((IF(OR(Inputs!$C$27=TRUE,Inputs!$C$27="TRUE",Inputs!$C$27=1),1,0)*(Inputs!$C$51*(115*EXP(-(((Inputs!$C$6)-25)^2)/(4.5^2))+70*EXP(-(((Inputs!$C$6)+38)^2)/(7^2))*(0.55+0.45*SIN(2*PI()*(Scenario_Data!V70)/45))+24*SIN(2*PI()*(Inputs!$C$6)/9+(Scenario_Data!V70)/18)*EXP(-(((Inputs!$C$6)+5)^2)/(22^2))+18*SIN(2*PI()*(Scenario_Data!V70)/70))+Inputs!$C$28*EXP(-(((Scenario_Data!V70)-Inputs!$C$29)^2)/(2*Inputs!$C$31^2))*EXP(-(((Inputs!$C$6)-Inputs!$C$30)^2)/(2*Inputs!$C$32^2))+-Inputs!$C$33*EXP(-(((((Scenario_Data!V70)-Inputs!$C$34)^2)+(((Inputs!$C$6)-Inputs!$C$35)^2))/(2*Inputs!$C$36^2)))+Inputs!$C$37*(0.55*SIN(2*PI()*(Scenario_Data!V70)/Inputs!$C$39)+0.35*COS(2*PI()*(Inputs!$C$6)/Inputs!$C$40)+0.2*SIN(2*PI()*((Scenario_Data!V70)+(Inputs!$C$6))/(0.5*(Inputs!$C$39+Inputs!$C$40))))+Inputs!$C$38*SIN(2*PI()*(Scenario_Data!V70)/Inputs!$C$39)*SIN(2*PI()*(Inputs!$C$6)/Inputs!$C$40)+-Inputs!$C$41*EXP(-(((Inputs!$C$6)-Inputs!$C$43)^2)/(2*Inputs!$C$44^2))*EXP(-(((Scenario_Data!V70)-Inputs!$C$42)^2)/(2*Inputs!$C$45^2))+Inputs!$C$48*(0.7*(0.45*SIN(2*PI()*(((Scenario_Data!V70)/Inputs!$C$49)+Inputs!$C$47*0.137))+0.35*COS(2*PI()*(((Inputs!$C$6)/Inputs!$C$50)+Inputs!$C$47*0.173))+0.2*SIN(2*PI()*((((Scenario_Data!V70)+(Inputs!$C$6))/(0.5*(Inputs!$C$49+Inputs!$C$50)))+Inputs!$C$47*0.097)))+0.3*(2*((SIN(((Scenario_Data!V70)*12.9898+(Inputs!$C$6)*78.233+Inputs!$C$47*37.719))*43758.5453)-INT((SIN(((Scenario_Data!V70)*12.9898+(Inputs!$C$6)*78.233+Inputs!$C$47*37.719))*43758.5453)))-1))))/1000))^2-2*(Inputs!$C$52+(Scenario_Data!D70))*(Inputs!$C$52+((IF(OR(Inputs!$C$27=TRUE,Inputs!$C$27="TRUE",Inputs!$C$27=1),1,0)*(Inputs!$C$51*(115*EXP(-(((Inputs!$C$6)-25)^2)/(4.5^2))+70*EXP(-(((Inputs!$C$6)+38)^2)/(7^2))*(0.55+0.45*SIN(2*PI()*(Scenario_Data!V70)/45))+24*SIN(2*PI()*(Inputs!$C$6)/9+(Scenario_Data!V70)/18)*EXP(-(((Inputs!$C$6)+5)^2)/(22^2))+18*SIN(2*PI()*(Scenario_Data!V70)/70))+Inputs!$C$28*EXP(-(((Scenario_Data!V70)-Inputs!$C$29)^2)/(2*Inputs!$C$31^2))*EXP(-(((Inputs!$C$6)-Inputs!$C$30)^2)/(2*Inputs!$C$32^2))+-Inputs!$C$33*EXP(-(((((Scenario_Data!V70)-Inputs!$C$34)^2)+(((Inputs!$C$6)-Inputs!$C$35)^2))/(2*Inputs!$C$36^2)))+Inputs!$C$37*(0.55*SIN(2*PI()*(Scenario_Data!V70)/Inputs!$C$39)+0.35*COS(2*PI()*(Inputs!$C$6)/Inputs!$C$40)+0.2*SIN(2*PI()*((Scenario_Data!V70)+(Inputs!$C$6))/(0.5*(Inputs!$C$39+Inputs!$C$40))))+Inputs!$C$38*SIN(2*PI()*(Scenario_Data!V70)/Inputs!$C$39)*SIN(2*PI()*(Inputs!$C$6)/Inputs!$C$40)+-Inputs!$C$41*EXP(-(((Inputs!$C$6)-Inputs!$C$43)^2)/(2*Inputs!$C$44^2))*EXP(-(((Scenario_Data!V70)-Inputs!$C$42)^2)/(2*Inputs!$C$45^2))+Inputs!$C$48*(0.7*(0.45*SIN(2*PI()*(((Scenario_Data!V70)/Inputs!$C$49)+Inputs!$C$47*0.137))+0.35*COS(2*PI()*(((Inputs!$C$6)/Inputs!$C$50)+Inputs!$C$47*0.173))+0.2*SIN(2*PI()*((((Scenario_Data!V70)+(Inputs!$C$6))/(0.5*(Inputs!$C$49+Inputs!$C$50)))+Inputs!$C$47*0.097)))+0.3*(2*((SIN(((Scenario_Data!V70)*12.9898+(Inputs!$C$6)*78.233+Inputs!$C$47*37.719))*43758.5453)-INT((SIN(((Scenario_Data!V70)*12.9898+(Inputs!$C$6)*78.233+Inputs!$C$47*37.719))*43758.5453)))-1))))/1000))*COS(SQRT((Scenario_Data!V70)^2+Inputs!$C$6^2)/Inputs!$C$52))*1000)/Inputs!$C$21*1000000</f>
        <v/>
      </c>
      <c r="AV70">
        <f>Scenario_Data!W70</f>
        <v/>
      </c>
      <c r="AW70">
        <f>2*(SQRT((Inputs!$C$52+(Scenario_Data!E70))^2+(Inputs!$C$52+((IF(OR(Inputs!$C$27=TRUE,Inputs!$C$27="TRUE",Inputs!$C$27=1),1,0)*(Inputs!$C$51*(115*EXP(-(((Inputs!$C$6)-25)^2)/(4.5^2))+70*EXP(-(((Inputs!$C$6)+38)^2)/(7^2))*(0.55+0.45*SIN(2*PI()*(Scenario_Data!W70)/45))+24*SIN(2*PI()*(Inputs!$C$6)/9+(Scenario_Data!W70)/18)*EXP(-(((Inputs!$C$6)+5)^2)/(22^2))+18*SIN(2*PI()*(Scenario_Data!W70)/70))+Inputs!$C$28*EXP(-(((Scenario_Data!W70)-Inputs!$C$29)^2)/(2*Inputs!$C$31^2))*EXP(-(((Inputs!$C$6)-Inputs!$C$30)^2)/(2*Inputs!$C$32^2))+-Inputs!$C$33*EXP(-(((((Scenario_Data!W70)-Inputs!$C$34)^2)+(((Inputs!$C$6)-Inputs!$C$35)^2))/(2*Inputs!$C$36^2)))+Inputs!$C$37*(0.55*SIN(2*PI()*(Scenario_Data!W70)/Inputs!$C$39)+0.35*COS(2*PI()*(Inputs!$C$6)/Inputs!$C$40)+0.2*SIN(2*PI()*((Scenario_Data!W70)+(Inputs!$C$6))/(0.5*(Inputs!$C$39+Inputs!$C$40))))+Inputs!$C$38*SIN(2*PI()*(Scenario_Data!W70)/Inputs!$C$39)*SIN(2*PI()*(Inputs!$C$6)/Inputs!$C$40)+-Inputs!$C$41*EXP(-(((Inputs!$C$6)-Inputs!$C$43)^2)/(2*Inputs!$C$44^2))*EXP(-(((Scenario_Data!W70)-Inputs!$C$42)^2)/(2*Inputs!$C$45^2))+Inputs!$C$48*(0.7*(0.45*SIN(2*PI()*(((Scenario_Data!W70)/Inputs!$C$49)+Inputs!$C$47*0.137))+0.35*COS(2*PI()*(((Inputs!$C$6)/Inputs!$C$50)+Inputs!$C$47*0.173))+0.2*SIN(2*PI()*((((Scenario_Data!W70)+(Inputs!$C$6))/(0.5*(Inputs!$C$49+Inputs!$C$50)))+Inputs!$C$47*0.097)))+0.3*(2*((SIN(((Scenario_Data!W70)*12.9898+(Inputs!$C$6)*78.233+Inputs!$C$47*37.719))*43758.5453)-INT((SIN(((Scenario_Data!W70)*12.9898+(Inputs!$C$6)*78.233+Inputs!$C$47*37.719))*43758.5453)))-1))))/1000))^2-2*(Inputs!$C$52+(Scenario_Data!E70))*(Inputs!$C$52+((IF(OR(Inputs!$C$27=TRUE,Inputs!$C$27="TRUE",Inputs!$C$27=1),1,0)*(Inputs!$C$51*(115*EXP(-(((Inputs!$C$6)-25)^2)/(4.5^2))+70*EXP(-(((Inputs!$C$6)+38)^2)/(7^2))*(0.55+0.45*SIN(2*PI()*(Scenario_Data!W70)/45))+24*SIN(2*PI()*(Inputs!$C$6)/9+(Scenario_Data!W70)/18)*EXP(-(((Inputs!$C$6)+5)^2)/(22^2))+18*SIN(2*PI()*(Scenario_Data!W70)/70))+Inputs!$C$28*EXP(-(((Scenario_Data!W70)-Inputs!$C$29)^2)/(2*Inputs!$C$31^2))*EXP(-(((Inputs!$C$6)-Inputs!$C$30)^2)/(2*Inputs!$C$32^2))+-Inputs!$C$33*EXP(-(((((Scenario_Data!W70)-Inputs!$C$34)^2)+(((Inputs!$C$6)-Inputs!$C$35)^2))/(2*Inputs!$C$36^2)))+Inputs!$C$37*(0.55*SIN(2*PI()*(Scenario_Data!W70)/Inputs!$C$39)+0.35*COS(2*PI()*(Inputs!$C$6)/Inputs!$C$40)+0.2*SIN(2*PI()*((Scenario_Data!W70)+(Inputs!$C$6))/(0.5*(Inputs!$C$39+Inputs!$C$40))))+Inputs!$C$38*SIN(2*PI()*(Scenario_Data!W70)/Inputs!$C$39)*SIN(2*PI()*(Inputs!$C$6)/Inputs!$C$40)+-Inputs!$C$41*EXP(-(((Inputs!$C$6)-Inputs!$C$43)^2)/(2*Inputs!$C$44^2))*EXP(-(((Scenario_Data!W70)-Inputs!$C$42)^2)/(2*Inputs!$C$45^2))+Inputs!$C$48*(0.7*(0.45*SIN(2*PI()*(((Scenario_Data!W70)/Inputs!$C$49)+Inputs!$C$47*0.137))+0.35*COS(2*PI()*(((Inputs!$C$6)/Inputs!$C$50)+Inputs!$C$47*0.173))+0.2*SIN(2*PI()*((((Scenario_Data!W70)+(Inputs!$C$6))/(0.5*(Inputs!$C$49+Inputs!$C$50)))+Inputs!$C$47*0.097)))+0.3*(2*((SIN(((Scenario_Data!W70)*12.9898+(Inputs!$C$6)*78.233+Inputs!$C$47*37.719))*43758.5453)-INT((SIN(((Scenario_Data!W70)*12.9898+(Inputs!$C$6)*78.233+Inputs!$C$47*37.719))*43758.5453)))-1))))/1000))*COS(SQRT((Scenario_Data!W70)^2+Inputs!$C$6^2)/Inputs!$C$52))*1000)/Inputs!$C$21*1000000</f>
        <v/>
      </c>
    </row>
    <row r="71">
      <c r="A71">
        <f>Chart_Data!K71</f>
        <v/>
      </c>
      <c r="B71">
        <f>Chart_Data!N71-Chart_Data!L71</f>
        <v/>
      </c>
      <c r="D71">
        <f>Chart_Data!G71</f>
        <v/>
      </c>
      <c r="E71">
        <f>Chart_Data!H71</f>
        <v/>
      </c>
      <c r="F71">
        <f>Chart_Data!I71</f>
        <v/>
      </c>
      <c r="G71">
        <f>Chart_Data!J71</f>
        <v/>
      </c>
      <c r="I71">
        <f>Scenario_Data!A71</f>
        <v/>
      </c>
      <c r="J71">
        <f>Scenario_Data!H71-(((SQRT((Inputs!$C$52+(Inputs!$H$6))^2+Inputs!$C$52^2-2*(Inputs!$C$52+(Inputs!$H$6))*Inputs!$C$52*COS(SQRT((Scenario_Data!T71)^2+Inputs!$C$6^2)/Inputs!$C$52)))-(Inputs!$H$6))*1000/Inputs!$C$12)</f>
        <v/>
      </c>
      <c r="K71">
        <f>Scenario_Data!I71-(((SQRT((Inputs!$C$52+(Inputs!$H$7))^2+Inputs!$C$52^2-2*(Inputs!$C$52+(Inputs!$H$7))*Inputs!$C$52*COS(SQRT((Scenario_Data!U71)^2+Inputs!$C$6^2)/Inputs!$C$52)))-(Inputs!$H$7))*1000/Inputs!$C$12)</f>
        <v/>
      </c>
      <c r="L71">
        <f>Scenario_Data!J71-(((SQRT((Inputs!$C$52+(Inputs!$H$8))^2+Inputs!$C$52^2-2*(Inputs!$C$52+(Inputs!$H$8))*Inputs!$C$52*COS(SQRT((Scenario_Data!V71)^2+Inputs!$C$6^2)/Inputs!$C$52)))-(Inputs!$H$8))*1000/Inputs!$C$12)</f>
        <v/>
      </c>
      <c r="M71">
        <f>Scenario_Data!K71-(((SQRT((Inputs!$C$52+(Inputs!$H$9))^2+Inputs!$C$52^2-2*(Inputs!$C$52+(Inputs!$H$9))*Inputs!$C$52*COS(SQRT((Scenario_Data!W71)^2+Inputs!$C$6^2)/Inputs!$C$52)))-(Inputs!$H$9))*1000/Inputs!$C$12)</f>
        <v/>
      </c>
      <c r="O71">
        <f>Scenario_Data!T71</f>
        <v/>
      </c>
      <c r="P71">
        <f>2*(Scenario_Data!B71*1000)/Inputs!$C$21*1000000</f>
        <v/>
      </c>
      <c r="Q71">
        <f>Scenario_Data!U71</f>
        <v/>
      </c>
      <c r="R71">
        <f>2*(Scenario_Data!C71*1000)/Inputs!$C$21*1000000</f>
        <v/>
      </c>
      <c r="S71">
        <f>Scenario_Data!V71</f>
        <v/>
      </c>
      <c r="T71">
        <f>2*(Scenario_Data!D71*1000)/Inputs!$C$21*1000000</f>
        <v/>
      </c>
      <c r="U71">
        <f>Scenario_Data!W71</f>
        <v/>
      </c>
      <c r="V71">
        <f>2*(Scenario_Data!E71*1000)/Inputs!$C$21*1000000</f>
        <v/>
      </c>
      <c r="X71">
        <f>Scenario_Data!T71</f>
        <v/>
      </c>
      <c r="Y71">
        <f>2*((Scenario_Data!B71*1000)-(IF(OR(Inputs!$C$27=TRUE,Inputs!$C$27="TRUE",Inputs!$C$27=1),1,0)*(Inputs!$C$51*(115*EXP(-(((0)-25)^2)/(4.5^2))+70*EXP(-(((0)+38)^2)/(7^2))*(0.55+0.45*SIN(2*PI()*(Scenario_Data!T71)/45))+24*SIN(2*PI()*(0)/9+(Scenario_Data!T71)/18)*EXP(-(((0)+5)^2)/(22^2))+18*SIN(2*PI()*(Scenario_Data!T71)/70))+Inputs!$C$28*EXP(-(((Scenario_Data!T71)-Inputs!$C$29)^2)/(2*Inputs!$C$31^2))*EXP(-(((0)-Inputs!$C$30)^2)/(2*Inputs!$C$32^2))+-Inputs!$C$33*EXP(-(((((Scenario_Data!T71)-Inputs!$C$34)^2)+(((0)-Inputs!$C$35)^2))/(2*Inputs!$C$36^2)))+Inputs!$C$37*(0.55*SIN(2*PI()*(Scenario_Data!T71)/Inputs!$C$39)+0.35*COS(2*PI()*(0)/Inputs!$C$40)+0.2*SIN(2*PI()*((Scenario_Data!T71)+(0))/(0.5*(Inputs!$C$39+Inputs!$C$40))))+Inputs!$C$38*SIN(2*PI()*(Scenario_Data!T71)/Inputs!$C$39)*SIN(2*PI()*(0)/Inputs!$C$40)+-Inputs!$C$41*EXP(-(((0)-Inputs!$C$43)^2)/(2*Inputs!$C$44^2))*EXP(-(((Scenario_Data!T71)-Inputs!$C$42)^2)/(2*Inputs!$C$45^2))+Inputs!$C$48*(0.7*(0.45*SIN(2*PI()*(((Scenario_Data!T71)/Inputs!$C$49)+Inputs!$C$47*0.137))+0.35*COS(2*PI()*(((0)/Inputs!$C$50)+Inputs!$C$47*0.173))+0.2*SIN(2*PI()*((((Scenario_Data!T71)+(0))/(0.5*(Inputs!$C$49+Inputs!$C$50)))+Inputs!$C$47*0.097)))+0.3*(2*((SIN(((Scenario_Data!T71)*12.9898+(0)*78.233+Inputs!$C$47*37.719))*43758.5453)-INT((SIN(((Scenario_Data!T71)*12.9898+(0)*78.233+Inputs!$C$47*37.719))*43758.5453)))-1)))))/Inputs!$C$21*1000000</f>
        <v/>
      </c>
      <c r="Z71">
        <f>Scenario_Data!U71</f>
        <v/>
      </c>
      <c r="AA71">
        <f>2*((Scenario_Data!C71*1000)-(IF(OR(Inputs!$C$27=TRUE,Inputs!$C$27="TRUE",Inputs!$C$27=1),1,0)*(Inputs!$C$51*(115*EXP(-(((0)-25)^2)/(4.5^2))+70*EXP(-(((0)+38)^2)/(7^2))*(0.55+0.45*SIN(2*PI()*(Scenario_Data!U71)/45))+24*SIN(2*PI()*(0)/9+(Scenario_Data!U71)/18)*EXP(-(((0)+5)^2)/(22^2))+18*SIN(2*PI()*(Scenario_Data!U71)/70))+Inputs!$C$28*EXP(-(((Scenario_Data!U71)-Inputs!$C$29)^2)/(2*Inputs!$C$31^2))*EXP(-(((0)-Inputs!$C$30)^2)/(2*Inputs!$C$32^2))+-Inputs!$C$33*EXP(-(((((Scenario_Data!U71)-Inputs!$C$34)^2)+(((0)-Inputs!$C$35)^2))/(2*Inputs!$C$36^2)))+Inputs!$C$37*(0.55*SIN(2*PI()*(Scenario_Data!U71)/Inputs!$C$39)+0.35*COS(2*PI()*(0)/Inputs!$C$40)+0.2*SIN(2*PI()*((Scenario_Data!U71)+(0))/(0.5*(Inputs!$C$39+Inputs!$C$40))))+Inputs!$C$38*SIN(2*PI()*(Scenario_Data!U71)/Inputs!$C$39)*SIN(2*PI()*(0)/Inputs!$C$40)+-Inputs!$C$41*EXP(-(((0)-Inputs!$C$43)^2)/(2*Inputs!$C$44^2))*EXP(-(((Scenario_Data!U71)-Inputs!$C$42)^2)/(2*Inputs!$C$45^2))+Inputs!$C$48*(0.7*(0.45*SIN(2*PI()*(((Scenario_Data!U71)/Inputs!$C$49)+Inputs!$C$47*0.137))+0.35*COS(2*PI()*(((0)/Inputs!$C$50)+Inputs!$C$47*0.173))+0.2*SIN(2*PI()*((((Scenario_Data!U71)+(0))/(0.5*(Inputs!$C$49+Inputs!$C$50)))+Inputs!$C$47*0.097)))+0.3*(2*((SIN(((Scenario_Data!U71)*12.9898+(0)*78.233+Inputs!$C$47*37.719))*43758.5453)-INT((SIN(((Scenario_Data!U71)*12.9898+(0)*78.233+Inputs!$C$47*37.719))*43758.5453)))-1)))))/Inputs!$C$21*1000000</f>
        <v/>
      </c>
      <c r="AB71">
        <f>Scenario_Data!V71</f>
        <v/>
      </c>
      <c r="AC71">
        <f>2*((Scenario_Data!D71*1000)-(IF(OR(Inputs!$C$27=TRUE,Inputs!$C$27="TRUE",Inputs!$C$27=1),1,0)*(Inputs!$C$51*(115*EXP(-(((0)-25)^2)/(4.5^2))+70*EXP(-(((0)+38)^2)/(7^2))*(0.55+0.45*SIN(2*PI()*(Scenario_Data!V71)/45))+24*SIN(2*PI()*(0)/9+(Scenario_Data!V71)/18)*EXP(-(((0)+5)^2)/(22^2))+18*SIN(2*PI()*(Scenario_Data!V71)/70))+Inputs!$C$28*EXP(-(((Scenario_Data!V71)-Inputs!$C$29)^2)/(2*Inputs!$C$31^2))*EXP(-(((0)-Inputs!$C$30)^2)/(2*Inputs!$C$32^2))+-Inputs!$C$33*EXP(-(((((Scenario_Data!V71)-Inputs!$C$34)^2)+(((0)-Inputs!$C$35)^2))/(2*Inputs!$C$36^2)))+Inputs!$C$37*(0.55*SIN(2*PI()*(Scenario_Data!V71)/Inputs!$C$39)+0.35*COS(2*PI()*(0)/Inputs!$C$40)+0.2*SIN(2*PI()*((Scenario_Data!V71)+(0))/(0.5*(Inputs!$C$39+Inputs!$C$40))))+Inputs!$C$38*SIN(2*PI()*(Scenario_Data!V71)/Inputs!$C$39)*SIN(2*PI()*(0)/Inputs!$C$40)+-Inputs!$C$41*EXP(-(((0)-Inputs!$C$43)^2)/(2*Inputs!$C$44^2))*EXP(-(((Scenario_Data!V71)-Inputs!$C$42)^2)/(2*Inputs!$C$45^2))+Inputs!$C$48*(0.7*(0.45*SIN(2*PI()*(((Scenario_Data!V71)/Inputs!$C$49)+Inputs!$C$47*0.137))+0.35*COS(2*PI()*(((0)/Inputs!$C$50)+Inputs!$C$47*0.173))+0.2*SIN(2*PI()*((((Scenario_Data!V71)+(0))/(0.5*(Inputs!$C$49+Inputs!$C$50)))+Inputs!$C$47*0.097)))+0.3*(2*((SIN(((Scenario_Data!V71)*12.9898+(0)*78.233+Inputs!$C$47*37.719))*43758.5453)-INT((SIN(((Scenario_Data!V71)*12.9898+(0)*78.233+Inputs!$C$47*37.719))*43758.5453)))-1)))))/Inputs!$C$21*1000000</f>
        <v/>
      </c>
      <c r="AD71">
        <f>Scenario_Data!W71</f>
        <v/>
      </c>
      <c r="AE71">
        <f>2*((Scenario_Data!E71*1000)-(IF(OR(Inputs!$C$27=TRUE,Inputs!$C$27="TRUE",Inputs!$C$27=1),1,0)*(Inputs!$C$51*(115*EXP(-(((0)-25)^2)/(4.5^2))+70*EXP(-(((0)+38)^2)/(7^2))*(0.55+0.45*SIN(2*PI()*(Scenario_Data!W71)/45))+24*SIN(2*PI()*(0)/9+(Scenario_Data!W71)/18)*EXP(-(((0)+5)^2)/(22^2))+18*SIN(2*PI()*(Scenario_Data!W71)/70))+Inputs!$C$28*EXP(-(((Scenario_Data!W71)-Inputs!$C$29)^2)/(2*Inputs!$C$31^2))*EXP(-(((0)-Inputs!$C$30)^2)/(2*Inputs!$C$32^2))+-Inputs!$C$33*EXP(-(((((Scenario_Data!W71)-Inputs!$C$34)^2)+(((0)-Inputs!$C$35)^2))/(2*Inputs!$C$36^2)))+Inputs!$C$37*(0.55*SIN(2*PI()*(Scenario_Data!W71)/Inputs!$C$39)+0.35*COS(2*PI()*(0)/Inputs!$C$40)+0.2*SIN(2*PI()*((Scenario_Data!W71)+(0))/(0.5*(Inputs!$C$39+Inputs!$C$40))))+Inputs!$C$38*SIN(2*PI()*(Scenario_Data!W71)/Inputs!$C$39)*SIN(2*PI()*(0)/Inputs!$C$40)+-Inputs!$C$41*EXP(-(((0)-Inputs!$C$43)^2)/(2*Inputs!$C$44^2))*EXP(-(((Scenario_Data!W71)-Inputs!$C$42)^2)/(2*Inputs!$C$45^2))+Inputs!$C$48*(0.7*(0.45*SIN(2*PI()*(((Scenario_Data!W71)/Inputs!$C$49)+Inputs!$C$47*0.137))+0.35*COS(2*PI()*(((0)/Inputs!$C$50)+Inputs!$C$47*0.173))+0.2*SIN(2*PI()*((((Scenario_Data!W71)+(0))/(0.5*(Inputs!$C$49+Inputs!$C$50)))+Inputs!$C$47*0.097)))+0.3*(2*((SIN(((Scenario_Data!W71)*12.9898+(0)*78.233+Inputs!$C$47*37.719))*43758.5453)-INT((SIN(((Scenario_Data!W71)*12.9898+(0)*78.233+Inputs!$C$47*37.719))*43758.5453)))-1)))))/Inputs!$C$21*1000000</f>
        <v/>
      </c>
      <c r="AG71">
        <f>Scenario_Data!T71</f>
        <v/>
      </c>
      <c r="AH71">
        <f>2*(SQRT((Inputs!$C$52+(Scenario_Data!B71))^2+Inputs!$C$52^2-2*(Inputs!$C$52+(Scenario_Data!B71))*Inputs!$C$52*COS(SQRT((Scenario_Data!T71)^2+Inputs!$C$6^2)/Inputs!$C$52))*1000)/Inputs!$C$21*1000000</f>
        <v/>
      </c>
      <c r="AI71">
        <f>Scenario_Data!U71</f>
        <v/>
      </c>
      <c r="AJ71">
        <f>2*(SQRT((Inputs!$C$52+(Scenario_Data!C71))^2+Inputs!$C$52^2-2*(Inputs!$C$52+(Scenario_Data!C71))*Inputs!$C$52*COS(SQRT((Scenario_Data!U71)^2+Inputs!$C$6^2)/Inputs!$C$52))*1000)/Inputs!$C$21*1000000</f>
        <v/>
      </c>
      <c r="AK71">
        <f>Scenario_Data!V71</f>
        <v/>
      </c>
      <c r="AL71">
        <f>2*(SQRT((Inputs!$C$52+(Scenario_Data!D71))^2+Inputs!$C$52^2-2*(Inputs!$C$52+(Scenario_Data!D71))*Inputs!$C$52*COS(SQRT((Scenario_Data!V71)^2+Inputs!$C$6^2)/Inputs!$C$52))*1000)/Inputs!$C$21*1000000</f>
        <v/>
      </c>
      <c r="AM71">
        <f>Scenario_Data!W71</f>
        <v/>
      </c>
      <c r="AN71">
        <f>2*(SQRT((Inputs!$C$52+(Scenario_Data!E71))^2+Inputs!$C$52^2-2*(Inputs!$C$52+(Scenario_Data!E71))*Inputs!$C$52*COS(SQRT((Scenario_Data!W71)^2+Inputs!$C$6^2)/Inputs!$C$52))*1000)/Inputs!$C$21*1000000</f>
        <v/>
      </c>
      <c r="AP71">
        <f>Scenario_Data!T71</f>
        <v/>
      </c>
      <c r="AQ71">
        <f>2*(SQRT((Inputs!$C$52+(Scenario_Data!B71))^2+(Inputs!$C$52+((IF(OR(Inputs!$C$27=TRUE,Inputs!$C$27="TRUE",Inputs!$C$27=1),1,0)*(Inputs!$C$51*(115*EXP(-(((Inputs!$C$6)-25)^2)/(4.5^2))+70*EXP(-(((Inputs!$C$6)+38)^2)/(7^2))*(0.55+0.45*SIN(2*PI()*(Scenario_Data!T71)/45))+24*SIN(2*PI()*(Inputs!$C$6)/9+(Scenario_Data!T71)/18)*EXP(-(((Inputs!$C$6)+5)^2)/(22^2))+18*SIN(2*PI()*(Scenario_Data!T71)/70))+Inputs!$C$28*EXP(-(((Scenario_Data!T71)-Inputs!$C$29)^2)/(2*Inputs!$C$31^2))*EXP(-(((Inputs!$C$6)-Inputs!$C$30)^2)/(2*Inputs!$C$32^2))+-Inputs!$C$33*EXP(-(((((Scenario_Data!T71)-Inputs!$C$34)^2)+(((Inputs!$C$6)-Inputs!$C$35)^2))/(2*Inputs!$C$36^2)))+Inputs!$C$37*(0.55*SIN(2*PI()*(Scenario_Data!T71)/Inputs!$C$39)+0.35*COS(2*PI()*(Inputs!$C$6)/Inputs!$C$40)+0.2*SIN(2*PI()*((Scenario_Data!T71)+(Inputs!$C$6))/(0.5*(Inputs!$C$39+Inputs!$C$40))))+Inputs!$C$38*SIN(2*PI()*(Scenario_Data!T71)/Inputs!$C$39)*SIN(2*PI()*(Inputs!$C$6)/Inputs!$C$40)+-Inputs!$C$41*EXP(-(((Inputs!$C$6)-Inputs!$C$43)^2)/(2*Inputs!$C$44^2))*EXP(-(((Scenario_Data!T71)-Inputs!$C$42)^2)/(2*Inputs!$C$45^2))+Inputs!$C$48*(0.7*(0.45*SIN(2*PI()*(((Scenario_Data!T71)/Inputs!$C$49)+Inputs!$C$47*0.137))+0.35*COS(2*PI()*(((Inputs!$C$6)/Inputs!$C$50)+Inputs!$C$47*0.173))+0.2*SIN(2*PI()*((((Scenario_Data!T71)+(Inputs!$C$6))/(0.5*(Inputs!$C$49+Inputs!$C$50)))+Inputs!$C$47*0.097)))+0.3*(2*((SIN(((Scenario_Data!T71)*12.9898+(Inputs!$C$6)*78.233+Inputs!$C$47*37.719))*43758.5453)-INT((SIN(((Scenario_Data!T71)*12.9898+(Inputs!$C$6)*78.233+Inputs!$C$47*37.719))*43758.5453)))-1))))/1000))^2-2*(Inputs!$C$52+(Scenario_Data!B71))*(Inputs!$C$52+((IF(OR(Inputs!$C$27=TRUE,Inputs!$C$27="TRUE",Inputs!$C$27=1),1,0)*(Inputs!$C$51*(115*EXP(-(((Inputs!$C$6)-25)^2)/(4.5^2))+70*EXP(-(((Inputs!$C$6)+38)^2)/(7^2))*(0.55+0.45*SIN(2*PI()*(Scenario_Data!T71)/45))+24*SIN(2*PI()*(Inputs!$C$6)/9+(Scenario_Data!T71)/18)*EXP(-(((Inputs!$C$6)+5)^2)/(22^2))+18*SIN(2*PI()*(Scenario_Data!T71)/70))+Inputs!$C$28*EXP(-(((Scenario_Data!T71)-Inputs!$C$29)^2)/(2*Inputs!$C$31^2))*EXP(-(((Inputs!$C$6)-Inputs!$C$30)^2)/(2*Inputs!$C$32^2))+-Inputs!$C$33*EXP(-(((((Scenario_Data!T71)-Inputs!$C$34)^2)+(((Inputs!$C$6)-Inputs!$C$35)^2))/(2*Inputs!$C$36^2)))+Inputs!$C$37*(0.55*SIN(2*PI()*(Scenario_Data!T71)/Inputs!$C$39)+0.35*COS(2*PI()*(Inputs!$C$6)/Inputs!$C$40)+0.2*SIN(2*PI()*((Scenario_Data!T71)+(Inputs!$C$6))/(0.5*(Inputs!$C$39+Inputs!$C$40))))+Inputs!$C$38*SIN(2*PI()*(Scenario_Data!T71)/Inputs!$C$39)*SIN(2*PI()*(Inputs!$C$6)/Inputs!$C$40)+-Inputs!$C$41*EXP(-(((Inputs!$C$6)-Inputs!$C$43)^2)/(2*Inputs!$C$44^2))*EXP(-(((Scenario_Data!T71)-Inputs!$C$42)^2)/(2*Inputs!$C$45^2))+Inputs!$C$48*(0.7*(0.45*SIN(2*PI()*(((Scenario_Data!T71)/Inputs!$C$49)+Inputs!$C$47*0.137))+0.35*COS(2*PI()*(((Inputs!$C$6)/Inputs!$C$50)+Inputs!$C$47*0.173))+0.2*SIN(2*PI()*((((Scenario_Data!T71)+(Inputs!$C$6))/(0.5*(Inputs!$C$49+Inputs!$C$50)))+Inputs!$C$47*0.097)))+0.3*(2*((SIN(((Scenario_Data!T71)*12.9898+(Inputs!$C$6)*78.233+Inputs!$C$47*37.719))*43758.5453)-INT((SIN(((Scenario_Data!T71)*12.9898+(Inputs!$C$6)*78.233+Inputs!$C$47*37.719))*43758.5453)))-1))))/1000))*COS(SQRT((Scenario_Data!T71)^2+Inputs!$C$6^2)/Inputs!$C$52))*1000)/Inputs!$C$21*1000000</f>
        <v/>
      </c>
      <c r="AR71">
        <f>Scenario_Data!U71</f>
        <v/>
      </c>
      <c r="AS71">
        <f>2*(SQRT((Inputs!$C$52+(Scenario_Data!C71))^2+(Inputs!$C$52+((IF(OR(Inputs!$C$27=TRUE,Inputs!$C$27="TRUE",Inputs!$C$27=1),1,0)*(Inputs!$C$51*(115*EXP(-(((Inputs!$C$6)-25)^2)/(4.5^2))+70*EXP(-(((Inputs!$C$6)+38)^2)/(7^2))*(0.55+0.45*SIN(2*PI()*(Scenario_Data!U71)/45))+24*SIN(2*PI()*(Inputs!$C$6)/9+(Scenario_Data!U71)/18)*EXP(-(((Inputs!$C$6)+5)^2)/(22^2))+18*SIN(2*PI()*(Scenario_Data!U71)/70))+Inputs!$C$28*EXP(-(((Scenario_Data!U71)-Inputs!$C$29)^2)/(2*Inputs!$C$31^2))*EXP(-(((Inputs!$C$6)-Inputs!$C$30)^2)/(2*Inputs!$C$32^2))+-Inputs!$C$33*EXP(-(((((Scenario_Data!U71)-Inputs!$C$34)^2)+(((Inputs!$C$6)-Inputs!$C$35)^2))/(2*Inputs!$C$36^2)))+Inputs!$C$37*(0.55*SIN(2*PI()*(Scenario_Data!U71)/Inputs!$C$39)+0.35*COS(2*PI()*(Inputs!$C$6)/Inputs!$C$40)+0.2*SIN(2*PI()*((Scenario_Data!U71)+(Inputs!$C$6))/(0.5*(Inputs!$C$39+Inputs!$C$40))))+Inputs!$C$38*SIN(2*PI()*(Scenario_Data!U71)/Inputs!$C$39)*SIN(2*PI()*(Inputs!$C$6)/Inputs!$C$40)+-Inputs!$C$41*EXP(-(((Inputs!$C$6)-Inputs!$C$43)^2)/(2*Inputs!$C$44^2))*EXP(-(((Scenario_Data!U71)-Inputs!$C$42)^2)/(2*Inputs!$C$45^2))+Inputs!$C$48*(0.7*(0.45*SIN(2*PI()*(((Scenario_Data!U71)/Inputs!$C$49)+Inputs!$C$47*0.137))+0.35*COS(2*PI()*(((Inputs!$C$6)/Inputs!$C$50)+Inputs!$C$47*0.173))+0.2*SIN(2*PI()*((((Scenario_Data!U71)+(Inputs!$C$6))/(0.5*(Inputs!$C$49+Inputs!$C$50)))+Inputs!$C$47*0.097)))+0.3*(2*((SIN(((Scenario_Data!U71)*12.9898+(Inputs!$C$6)*78.233+Inputs!$C$47*37.719))*43758.5453)-INT((SIN(((Scenario_Data!U71)*12.9898+(Inputs!$C$6)*78.233+Inputs!$C$47*37.719))*43758.5453)))-1))))/1000))^2-2*(Inputs!$C$52+(Scenario_Data!C71))*(Inputs!$C$52+((IF(OR(Inputs!$C$27=TRUE,Inputs!$C$27="TRUE",Inputs!$C$27=1),1,0)*(Inputs!$C$51*(115*EXP(-(((Inputs!$C$6)-25)^2)/(4.5^2))+70*EXP(-(((Inputs!$C$6)+38)^2)/(7^2))*(0.55+0.45*SIN(2*PI()*(Scenario_Data!U71)/45))+24*SIN(2*PI()*(Inputs!$C$6)/9+(Scenario_Data!U71)/18)*EXP(-(((Inputs!$C$6)+5)^2)/(22^2))+18*SIN(2*PI()*(Scenario_Data!U71)/70))+Inputs!$C$28*EXP(-(((Scenario_Data!U71)-Inputs!$C$29)^2)/(2*Inputs!$C$31^2))*EXP(-(((Inputs!$C$6)-Inputs!$C$30)^2)/(2*Inputs!$C$32^2))+-Inputs!$C$33*EXP(-(((((Scenario_Data!U71)-Inputs!$C$34)^2)+(((Inputs!$C$6)-Inputs!$C$35)^2))/(2*Inputs!$C$36^2)))+Inputs!$C$37*(0.55*SIN(2*PI()*(Scenario_Data!U71)/Inputs!$C$39)+0.35*COS(2*PI()*(Inputs!$C$6)/Inputs!$C$40)+0.2*SIN(2*PI()*((Scenario_Data!U71)+(Inputs!$C$6))/(0.5*(Inputs!$C$39+Inputs!$C$40))))+Inputs!$C$38*SIN(2*PI()*(Scenario_Data!U71)/Inputs!$C$39)*SIN(2*PI()*(Inputs!$C$6)/Inputs!$C$40)+-Inputs!$C$41*EXP(-(((Inputs!$C$6)-Inputs!$C$43)^2)/(2*Inputs!$C$44^2))*EXP(-(((Scenario_Data!U71)-Inputs!$C$42)^2)/(2*Inputs!$C$45^2))+Inputs!$C$48*(0.7*(0.45*SIN(2*PI()*(((Scenario_Data!U71)/Inputs!$C$49)+Inputs!$C$47*0.137))+0.35*COS(2*PI()*(((Inputs!$C$6)/Inputs!$C$50)+Inputs!$C$47*0.173))+0.2*SIN(2*PI()*((((Scenario_Data!U71)+(Inputs!$C$6))/(0.5*(Inputs!$C$49+Inputs!$C$50)))+Inputs!$C$47*0.097)))+0.3*(2*((SIN(((Scenario_Data!U71)*12.9898+(Inputs!$C$6)*78.233+Inputs!$C$47*37.719))*43758.5453)-INT((SIN(((Scenario_Data!U71)*12.9898+(Inputs!$C$6)*78.233+Inputs!$C$47*37.719))*43758.5453)))-1))))/1000))*COS(SQRT((Scenario_Data!U71)^2+Inputs!$C$6^2)/Inputs!$C$52))*1000)/Inputs!$C$21*1000000</f>
        <v/>
      </c>
      <c r="AT71">
        <f>Scenario_Data!V71</f>
        <v/>
      </c>
      <c r="AU71">
        <f>2*(SQRT((Inputs!$C$52+(Scenario_Data!D71))^2+(Inputs!$C$52+((IF(OR(Inputs!$C$27=TRUE,Inputs!$C$27="TRUE",Inputs!$C$27=1),1,0)*(Inputs!$C$51*(115*EXP(-(((Inputs!$C$6)-25)^2)/(4.5^2))+70*EXP(-(((Inputs!$C$6)+38)^2)/(7^2))*(0.55+0.45*SIN(2*PI()*(Scenario_Data!V71)/45))+24*SIN(2*PI()*(Inputs!$C$6)/9+(Scenario_Data!V71)/18)*EXP(-(((Inputs!$C$6)+5)^2)/(22^2))+18*SIN(2*PI()*(Scenario_Data!V71)/70))+Inputs!$C$28*EXP(-(((Scenario_Data!V71)-Inputs!$C$29)^2)/(2*Inputs!$C$31^2))*EXP(-(((Inputs!$C$6)-Inputs!$C$30)^2)/(2*Inputs!$C$32^2))+-Inputs!$C$33*EXP(-(((((Scenario_Data!V71)-Inputs!$C$34)^2)+(((Inputs!$C$6)-Inputs!$C$35)^2))/(2*Inputs!$C$36^2)))+Inputs!$C$37*(0.55*SIN(2*PI()*(Scenario_Data!V71)/Inputs!$C$39)+0.35*COS(2*PI()*(Inputs!$C$6)/Inputs!$C$40)+0.2*SIN(2*PI()*((Scenario_Data!V71)+(Inputs!$C$6))/(0.5*(Inputs!$C$39+Inputs!$C$40))))+Inputs!$C$38*SIN(2*PI()*(Scenario_Data!V71)/Inputs!$C$39)*SIN(2*PI()*(Inputs!$C$6)/Inputs!$C$40)+-Inputs!$C$41*EXP(-(((Inputs!$C$6)-Inputs!$C$43)^2)/(2*Inputs!$C$44^2))*EXP(-(((Scenario_Data!V71)-Inputs!$C$42)^2)/(2*Inputs!$C$45^2))+Inputs!$C$48*(0.7*(0.45*SIN(2*PI()*(((Scenario_Data!V71)/Inputs!$C$49)+Inputs!$C$47*0.137))+0.35*COS(2*PI()*(((Inputs!$C$6)/Inputs!$C$50)+Inputs!$C$47*0.173))+0.2*SIN(2*PI()*((((Scenario_Data!V71)+(Inputs!$C$6))/(0.5*(Inputs!$C$49+Inputs!$C$50)))+Inputs!$C$47*0.097)))+0.3*(2*((SIN(((Scenario_Data!V71)*12.9898+(Inputs!$C$6)*78.233+Inputs!$C$47*37.719))*43758.5453)-INT((SIN(((Scenario_Data!V71)*12.9898+(Inputs!$C$6)*78.233+Inputs!$C$47*37.719))*43758.5453)))-1))))/1000))^2-2*(Inputs!$C$52+(Scenario_Data!D71))*(Inputs!$C$52+((IF(OR(Inputs!$C$27=TRUE,Inputs!$C$27="TRUE",Inputs!$C$27=1),1,0)*(Inputs!$C$51*(115*EXP(-(((Inputs!$C$6)-25)^2)/(4.5^2))+70*EXP(-(((Inputs!$C$6)+38)^2)/(7^2))*(0.55+0.45*SIN(2*PI()*(Scenario_Data!V71)/45))+24*SIN(2*PI()*(Inputs!$C$6)/9+(Scenario_Data!V71)/18)*EXP(-(((Inputs!$C$6)+5)^2)/(22^2))+18*SIN(2*PI()*(Scenario_Data!V71)/70))+Inputs!$C$28*EXP(-(((Scenario_Data!V71)-Inputs!$C$29)^2)/(2*Inputs!$C$31^2))*EXP(-(((Inputs!$C$6)-Inputs!$C$30)^2)/(2*Inputs!$C$32^2))+-Inputs!$C$33*EXP(-(((((Scenario_Data!V71)-Inputs!$C$34)^2)+(((Inputs!$C$6)-Inputs!$C$35)^2))/(2*Inputs!$C$36^2)))+Inputs!$C$37*(0.55*SIN(2*PI()*(Scenario_Data!V71)/Inputs!$C$39)+0.35*COS(2*PI()*(Inputs!$C$6)/Inputs!$C$40)+0.2*SIN(2*PI()*((Scenario_Data!V71)+(Inputs!$C$6))/(0.5*(Inputs!$C$39+Inputs!$C$40))))+Inputs!$C$38*SIN(2*PI()*(Scenario_Data!V71)/Inputs!$C$39)*SIN(2*PI()*(Inputs!$C$6)/Inputs!$C$40)+-Inputs!$C$41*EXP(-(((Inputs!$C$6)-Inputs!$C$43)^2)/(2*Inputs!$C$44^2))*EXP(-(((Scenario_Data!V71)-Inputs!$C$42)^2)/(2*Inputs!$C$45^2))+Inputs!$C$48*(0.7*(0.45*SIN(2*PI()*(((Scenario_Data!V71)/Inputs!$C$49)+Inputs!$C$47*0.137))+0.35*COS(2*PI()*(((Inputs!$C$6)/Inputs!$C$50)+Inputs!$C$47*0.173))+0.2*SIN(2*PI()*((((Scenario_Data!V71)+(Inputs!$C$6))/(0.5*(Inputs!$C$49+Inputs!$C$50)))+Inputs!$C$47*0.097)))+0.3*(2*((SIN(((Scenario_Data!V71)*12.9898+(Inputs!$C$6)*78.233+Inputs!$C$47*37.719))*43758.5453)-INT((SIN(((Scenario_Data!V71)*12.9898+(Inputs!$C$6)*78.233+Inputs!$C$47*37.719))*43758.5453)))-1))))/1000))*COS(SQRT((Scenario_Data!V71)^2+Inputs!$C$6^2)/Inputs!$C$52))*1000)/Inputs!$C$21*1000000</f>
        <v/>
      </c>
      <c r="AV71">
        <f>Scenario_Data!W71</f>
        <v/>
      </c>
      <c r="AW71">
        <f>2*(SQRT((Inputs!$C$52+(Scenario_Data!E71))^2+(Inputs!$C$52+((IF(OR(Inputs!$C$27=TRUE,Inputs!$C$27="TRUE",Inputs!$C$27=1),1,0)*(Inputs!$C$51*(115*EXP(-(((Inputs!$C$6)-25)^2)/(4.5^2))+70*EXP(-(((Inputs!$C$6)+38)^2)/(7^2))*(0.55+0.45*SIN(2*PI()*(Scenario_Data!W71)/45))+24*SIN(2*PI()*(Inputs!$C$6)/9+(Scenario_Data!W71)/18)*EXP(-(((Inputs!$C$6)+5)^2)/(22^2))+18*SIN(2*PI()*(Scenario_Data!W71)/70))+Inputs!$C$28*EXP(-(((Scenario_Data!W71)-Inputs!$C$29)^2)/(2*Inputs!$C$31^2))*EXP(-(((Inputs!$C$6)-Inputs!$C$30)^2)/(2*Inputs!$C$32^2))+-Inputs!$C$33*EXP(-(((((Scenario_Data!W71)-Inputs!$C$34)^2)+(((Inputs!$C$6)-Inputs!$C$35)^2))/(2*Inputs!$C$36^2)))+Inputs!$C$37*(0.55*SIN(2*PI()*(Scenario_Data!W71)/Inputs!$C$39)+0.35*COS(2*PI()*(Inputs!$C$6)/Inputs!$C$40)+0.2*SIN(2*PI()*((Scenario_Data!W71)+(Inputs!$C$6))/(0.5*(Inputs!$C$39+Inputs!$C$40))))+Inputs!$C$38*SIN(2*PI()*(Scenario_Data!W71)/Inputs!$C$39)*SIN(2*PI()*(Inputs!$C$6)/Inputs!$C$40)+-Inputs!$C$41*EXP(-(((Inputs!$C$6)-Inputs!$C$43)^2)/(2*Inputs!$C$44^2))*EXP(-(((Scenario_Data!W71)-Inputs!$C$42)^2)/(2*Inputs!$C$45^2))+Inputs!$C$48*(0.7*(0.45*SIN(2*PI()*(((Scenario_Data!W71)/Inputs!$C$49)+Inputs!$C$47*0.137))+0.35*COS(2*PI()*(((Inputs!$C$6)/Inputs!$C$50)+Inputs!$C$47*0.173))+0.2*SIN(2*PI()*((((Scenario_Data!W71)+(Inputs!$C$6))/(0.5*(Inputs!$C$49+Inputs!$C$50)))+Inputs!$C$47*0.097)))+0.3*(2*((SIN(((Scenario_Data!W71)*12.9898+(Inputs!$C$6)*78.233+Inputs!$C$47*37.719))*43758.5453)-INT((SIN(((Scenario_Data!W71)*12.9898+(Inputs!$C$6)*78.233+Inputs!$C$47*37.719))*43758.5453)))-1))))/1000))^2-2*(Inputs!$C$52+(Scenario_Data!E71))*(Inputs!$C$52+((IF(OR(Inputs!$C$27=TRUE,Inputs!$C$27="TRUE",Inputs!$C$27=1),1,0)*(Inputs!$C$51*(115*EXP(-(((Inputs!$C$6)-25)^2)/(4.5^2))+70*EXP(-(((Inputs!$C$6)+38)^2)/(7^2))*(0.55+0.45*SIN(2*PI()*(Scenario_Data!W71)/45))+24*SIN(2*PI()*(Inputs!$C$6)/9+(Scenario_Data!W71)/18)*EXP(-(((Inputs!$C$6)+5)^2)/(22^2))+18*SIN(2*PI()*(Scenario_Data!W71)/70))+Inputs!$C$28*EXP(-(((Scenario_Data!W71)-Inputs!$C$29)^2)/(2*Inputs!$C$31^2))*EXP(-(((Inputs!$C$6)-Inputs!$C$30)^2)/(2*Inputs!$C$32^2))+-Inputs!$C$33*EXP(-(((((Scenario_Data!W71)-Inputs!$C$34)^2)+(((Inputs!$C$6)-Inputs!$C$35)^2))/(2*Inputs!$C$36^2)))+Inputs!$C$37*(0.55*SIN(2*PI()*(Scenario_Data!W71)/Inputs!$C$39)+0.35*COS(2*PI()*(Inputs!$C$6)/Inputs!$C$40)+0.2*SIN(2*PI()*((Scenario_Data!W71)+(Inputs!$C$6))/(0.5*(Inputs!$C$39+Inputs!$C$40))))+Inputs!$C$38*SIN(2*PI()*(Scenario_Data!W71)/Inputs!$C$39)*SIN(2*PI()*(Inputs!$C$6)/Inputs!$C$40)+-Inputs!$C$41*EXP(-(((Inputs!$C$6)-Inputs!$C$43)^2)/(2*Inputs!$C$44^2))*EXP(-(((Scenario_Data!W71)-Inputs!$C$42)^2)/(2*Inputs!$C$45^2))+Inputs!$C$48*(0.7*(0.45*SIN(2*PI()*(((Scenario_Data!W71)/Inputs!$C$49)+Inputs!$C$47*0.137))+0.35*COS(2*PI()*(((Inputs!$C$6)/Inputs!$C$50)+Inputs!$C$47*0.173))+0.2*SIN(2*PI()*((((Scenario_Data!W71)+(Inputs!$C$6))/(0.5*(Inputs!$C$49+Inputs!$C$50)))+Inputs!$C$47*0.097)))+0.3*(2*((SIN(((Scenario_Data!W71)*12.9898+(Inputs!$C$6)*78.233+Inputs!$C$47*37.719))*43758.5453)-INT((SIN(((Scenario_Data!W71)*12.9898+(Inputs!$C$6)*78.233+Inputs!$C$47*37.719))*43758.5453)))-1))))/1000))*COS(SQRT((Scenario_Data!W71)^2+Inputs!$C$6^2)/Inputs!$C$52))*1000)/Inputs!$C$21*1000000</f>
        <v/>
      </c>
    </row>
    <row r="72">
      <c r="A72">
        <f>Chart_Data!K72</f>
        <v/>
      </c>
      <c r="B72">
        <f>Chart_Data!N72-Chart_Data!L72</f>
        <v/>
      </c>
      <c r="D72">
        <f>Chart_Data!G72</f>
        <v/>
      </c>
      <c r="E72">
        <f>Chart_Data!H72</f>
        <v/>
      </c>
      <c r="F72">
        <f>Chart_Data!I72</f>
        <v/>
      </c>
      <c r="G72">
        <f>Chart_Data!J72</f>
        <v/>
      </c>
      <c r="I72">
        <f>Scenario_Data!A72</f>
        <v/>
      </c>
      <c r="J72">
        <f>Scenario_Data!H72-(((SQRT((Inputs!$C$52+(Inputs!$H$6))^2+Inputs!$C$52^2-2*(Inputs!$C$52+(Inputs!$H$6))*Inputs!$C$52*COS(SQRT((Scenario_Data!T72)^2+Inputs!$C$6^2)/Inputs!$C$52)))-(Inputs!$H$6))*1000/Inputs!$C$12)</f>
        <v/>
      </c>
      <c r="K72">
        <f>Scenario_Data!I72-(((SQRT((Inputs!$C$52+(Inputs!$H$7))^2+Inputs!$C$52^2-2*(Inputs!$C$52+(Inputs!$H$7))*Inputs!$C$52*COS(SQRT((Scenario_Data!U72)^2+Inputs!$C$6^2)/Inputs!$C$52)))-(Inputs!$H$7))*1000/Inputs!$C$12)</f>
        <v/>
      </c>
      <c r="L72">
        <f>Scenario_Data!J72-(((SQRT((Inputs!$C$52+(Inputs!$H$8))^2+Inputs!$C$52^2-2*(Inputs!$C$52+(Inputs!$H$8))*Inputs!$C$52*COS(SQRT((Scenario_Data!V72)^2+Inputs!$C$6^2)/Inputs!$C$52)))-(Inputs!$H$8))*1000/Inputs!$C$12)</f>
        <v/>
      </c>
      <c r="M72">
        <f>Scenario_Data!K72-(((SQRT((Inputs!$C$52+(Inputs!$H$9))^2+Inputs!$C$52^2-2*(Inputs!$C$52+(Inputs!$H$9))*Inputs!$C$52*COS(SQRT((Scenario_Data!W72)^2+Inputs!$C$6^2)/Inputs!$C$52)))-(Inputs!$H$9))*1000/Inputs!$C$12)</f>
        <v/>
      </c>
      <c r="O72">
        <f>Scenario_Data!T72</f>
        <v/>
      </c>
      <c r="P72">
        <f>2*(Scenario_Data!B72*1000)/Inputs!$C$21*1000000</f>
        <v/>
      </c>
      <c r="Q72">
        <f>Scenario_Data!U72</f>
        <v/>
      </c>
      <c r="R72">
        <f>2*(Scenario_Data!C72*1000)/Inputs!$C$21*1000000</f>
        <v/>
      </c>
      <c r="S72">
        <f>Scenario_Data!V72</f>
        <v/>
      </c>
      <c r="T72">
        <f>2*(Scenario_Data!D72*1000)/Inputs!$C$21*1000000</f>
        <v/>
      </c>
      <c r="U72">
        <f>Scenario_Data!W72</f>
        <v/>
      </c>
      <c r="V72">
        <f>2*(Scenario_Data!E72*1000)/Inputs!$C$21*1000000</f>
        <v/>
      </c>
      <c r="X72">
        <f>Scenario_Data!T72</f>
        <v/>
      </c>
      <c r="Y72">
        <f>2*((Scenario_Data!B72*1000)-(IF(OR(Inputs!$C$27=TRUE,Inputs!$C$27="TRUE",Inputs!$C$27=1),1,0)*(Inputs!$C$51*(115*EXP(-(((0)-25)^2)/(4.5^2))+70*EXP(-(((0)+38)^2)/(7^2))*(0.55+0.45*SIN(2*PI()*(Scenario_Data!T72)/45))+24*SIN(2*PI()*(0)/9+(Scenario_Data!T72)/18)*EXP(-(((0)+5)^2)/(22^2))+18*SIN(2*PI()*(Scenario_Data!T72)/70))+Inputs!$C$28*EXP(-(((Scenario_Data!T72)-Inputs!$C$29)^2)/(2*Inputs!$C$31^2))*EXP(-(((0)-Inputs!$C$30)^2)/(2*Inputs!$C$32^2))+-Inputs!$C$33*EXP(-(((((Scenario_Data!T72)-Inputs!$C$34)^2)+(((0)-Inputs!$C$35)^2))/(2*Inputs!$C$36^2)))+Inputs!$C$37*(0.55*SIN(2*PI()*(Scenario_Data!T72)/Inputs!$C$39)+0.35*COS(2*PI()*(0)/Inputs!$C$40)+0.2*SIN(2*PI()*((Scenario_Data!T72)+(0))/(0.5*(Inputs!$C$39+Inputs!$C$40))))+Inputs!$C$38*SIN(2*PI()*(Scenario_Data!T72)/Inputs!$C$39)*SIN(2*PI()*(0)/Inputs!$C$40)+-Inputs!$C$41*EXP(-(((0)-Inputs!$C$43)^2)/(2*Inputs!$C$44^2))*EXP(-(((Scenario_Data!T72)-Inputs!$C$42)^2)/(2*Inputs!$C$45^2))+Inputs!$C$48*(0.7*(0.45*SIN(2*PI()*(((Scenario_Data!T72)/Inputs!$C$49)+Inputs!$C$47*0.137))+0.35*COS(2*PI()*(((0)/Inputs!$C$50)+Inputs!$C$47*0.173))+0.2*SIN(2*PI()*((((Scenario_Data!T72)+(0))/(0.5*(Inputs!$C$49+Inputs!$C$50)))+Inputs!$C$47*0.097)))+0.3*(2*((SIN(((Scenario_Data!T72)*12.9898+(0)*78.233+Inputs!$C$47*37.719))*43758.5453)-INT((SIN(((Scenario_Data!T72)*12.9898+(0)*78.233+Inputs!$C$47*37.719))*43758.5453)))-1)))))/Inputs!$C$21*1000000</f>
        <v/>
      </c>
      <c r="Z72">
        <f>Scenario_Data!U72</f>
        <v/>
      </c>
      <c r="AA72">
        <f>2*((Scenario_Data!C72*1000)-(IF(OR(Inputs!$C$27=TRUE,Inputs!$C$27="TRUE",Inputs!$C$27=1),1,0)*(Inputs!$C$51*(115*EXP(-(((0)-25)^2)/(4.5^2))+70*EXP(-(((0)+38)^2)/(7^2))*(0.55+0.45*SIN(2*PI()*(Scenario_Data!U72)/45))+24*SIN(2*PI()*(0)/9+(Scenario_Data!U72)/18)*EXP(-(((0)+5)^2)/(22^2))+18*SIN(2*PI()*(Scenario_Data!U72)/70))+Inputs!$C$28*EXP(-(((Scenario_Data!U72)-Inputs!$C$29)^2)/(2*Inputs!$C$31^2))*EXP(-(((0)-Inputs!$C$30)^2)/(2*Inputs!$C$32^2))+-Inputs!$C$33*EXP(-(((((Scenario_Data!U72)-Inputs!$C$34)^2)+(((0)-Inputs!$C$35)^2))/(2*Inputs!$C$36^2)))+Inputs!$C$37*(0.55*SIN(2*PI()*(Scenario_Data!U72)/Inputs!$C$39)+0.35*COS(2*PI()*(0)/Inputs!$C$40)+0.2*SIN(2*PI()*((Scenario_Data!U72)+(0))/(0.5*(Inputs!$C$39+Inputs!$C$40))))+Inputs!$C$38*SIN(2*PI()*(Scenario_Data!U72)/Inputs!$C$39)*SIN(2*PI()*(0)/Inputs!$C$40)+-Inputs!$C$41*EXP(-(((0)-Inputs!$C$43)^2)/(2*Inputs!$C$44^2))*EXP(-(((Scenario_Data!U72)-Inputs!$C$42)^2)/(2*Inputs!$C$45^2))+Inputs!$C$48*(0.7*(0.45*SIN(2*PI()*(((Scenario_Data!U72)/Inputs!$C$49)+Inputs!$C$47*0.137))+0.35*COS(2*PI()*(((0)/Inputs!$C$50)+Inputs!$C$47*0.173))+0.2*SIN(2*PI()*((((Scenario_Data!U72)+(0))/(0.5*(Inputs!$C$49+Inputs!$C$50)))+Inputs!$C$47*0.097)))+0.3*(2*((SIN(((Scenario_Data!U72)*12.9898+(0)*78.233+Inputs!$C$47*37.719))*43758.5453)-INT((SIN(((Scenario_Data!U72)*12.9898+(0)*78.233+Inputs!$C$47*37.719))*43758.5453)))-1)))))/Inputs!$C$21*1000000</f>
        <v/>
      </c>
      <c r="AB72">
        <f>Scenario_Data!V72</f>
        <v/>
      </c>
      <c r="AC72">
        <f>2*((Scenario_Data!D72*1000)-(IF(OR(Inputs!$C$27=TRUE,Inputs!$C$27="TRUE",Inputs!$C$27=1),1,0)*(Inputs!$C$51*(115*EXP(-(((0)-25)^2)/(4.5^2))+70*EXP(-(((0)+38)^2)/(7^2))*(0.55+0.45*SIN(2*PI()*(Scenario_Data!V72)/45))+24*SIN(2*PI()*(0)/9+(Scenario_Data!V72)/18)*EXP(-(((0)+5)^2)/(22^2))+18*SIN(2*PI()*(Scenario_Data!V72)/70))+Inputs!$C$28*EXP(-(((Scenario_Data!V72)-Inputs!$C$29)^2)/(2*Inputs!$C$31^2))*EXP(-(((0)-Inputs!$C$30)^2)/(2*Inputs!$C$32^2))+-Inputs!$C$33*EXP(-(((((Scenario_Data!V72)-Inputs!$C$34)^2)+(((0)-Inputs!$C$35)^2))/(2*Inputs!$C$36^2)))+Inputs!$C$37*(0.55*SIN(2*PI()*(Scenario_Data!V72)/Inputs!$C$39)+0.35*COS(2*PI()*(0)/Inputs!$C$40)+0.2*SIN(2*PI()*((Scenario_Data!V72)+(0))/(0.5*(Inputs!$C$39+Inputs!$C$40))))+Inputs!$C$38*SIN(2*PI()*(Scenario_Data!V72)/Inputs!$C$39)*SIN(2*PI()*(0)/Inputs!$C$40)+-Inputs!$C$41*EXP(-(((0)-Inputs!$C$43)^2)/(2*Inputs!$C$44^2))*EXP(-(((Scenario_Data!V72)-Inputs!$C$42)^2)/(2*Inputs!$C$45^2))+Inputs!$C$48*(0.7*(0.45*SIN(2*PI()*(((Scenario_Data!V72)/Inputs!$C$49)+Inputs!$C$47*0.137))+0.35*COS(2*PI()*(((0)/Inputs!$C$50)+Inputs!$C$47*0.173))+0.2*SIN(2*PI()*((((Scenario_Data!V72)+(0))/(0.5*(Inputs!$C$49+Inputs!$C$50)))+Inputs!$C$47*0.097)))+0.3*(2*((SIN(((Scenario_Data!V72)*12.9898+(0)*78.233+Inputs!$C$47*37.719))*43758.5453)-INT((SIN(((Scenario_Data!V72)*12.9898+(0)*78.233+Inputs!$C$47*37.719))*43758.5453)))-1)))))/Inputs!$C$21*1000000</f>
        <v/>
      </c>
      <c r="AD72">
        <f>Scenario_Data!W72</f>
        <v/>
      </c>
      <c r="AE72">
        <f>2*((Scenario_Data!E72*1000)-(IF(OR(Inputs!$C$27=TRUE,Inputs!$C$27="TRUE",Inputs!$C$27=1),1,0)*(Inputs!$C$51*(115*EXP(-(((0)-25)^2)/(4.5^2))+70*EXP(-(((0)+38)^2)/(7^2))*(0.55+0.45*SIN(2*PI()*(Scenario_Data!W72)/45))+24*SIN(2*PI()*(0)/9+(Scenario_Data!W72)/18)*EXP(-(((0)+5)^2)/(22^2))+18*SIN(2*PI()*(Scenario_Data!W72)/70))+Inputs!$C$28*EXP(-(((Scenario_Data!W72)-Inputs!$C$29)^2)/(2*Inputs!$C$31^2))*EXP(-(((0)-Inputs!$C$30)^2)/(2*Inputs!$C$32^2))+-Inputs!$C$33*EXP(-(((((Scenario_Data!W72)-Inputs!$C$34)^2)+(((0)-Inputs!$C$35)^2))/(2*Inputs!$C$36^2)))+Inputs!$C$37*(0.55*SIN(2*PI()*(Scenario_Data!W72)/Inputs!$C$39)+0.35*COS(2*PI()*(0)/Inputs!$C$40)+0.2*SIN(2*PI()*((Scenario_Data!W72)+(0))/(0.5*(Inputs!$C$39+Inputs!$C$40))))+Inputs!$C$38*SIN(2*PI()*(Scenario_Data!W72)/Inputs!$C$39)*SIN(2*PI()*(0)/Inputs!$C$40)+-Inputs!$C$41*EXP(-(((0)-Inputs!$C$43)^2)/(2*Inputs!$C$44^2))*EXP(-(((Scenario_Data!W72)-Inputs!$C$42)^2)/(2*Inputs!$C$45^2))+Inputs!$C$48*(0.7*(0.45*SIN(2*PI()*(((Scenario_Data!W72)/Inputs!$C$49)+Inputs!$C$47*0.137))+0.35*COS(2*PI()*(((0)/Inputs!$C$50)+Inputs!$C$47*0.173))+0.2*SIN(2*PI()*((((Scenario_Data!W72)+(0))/(0.5*(Inputs!$C$49+Inputs!$C$50)))+Inputs!$C$47*0.097)))+0.3*(2*((SIN(((Scenario_Data!W72)*12.9898+(0)*78.233+Inputs!$C$47*37.719))*43758.5453)-INT((SIN(((Scenario_Data!W72)*12.9898+(0)*78.233+Inputs!$C$47*37.719))*43758.5453)))-1)))))/Inputs!$C$21*1000000</f>
        <v/>
      </c>
      <c r="AG72">
        <f>Scenario_Data!T72</f>
        <v/>
      </c>
      <c r="AH72">
        <f>2*(SQRT((Inputs!$C$52+(Scenario_Data!B72))^2+Inputs!$C$52^2-2*(Inputs!$C$52+(Scenario_Data!B72))*Inputs!$C$52*COS(SQRT((Scenario_Data!T72)^2+Inputs!$C$6^2)/Inputs!$C$52))*1000)/Inputs!$C$21*1000000</f>
        <v/>
      </c>
      <c r="AI72">
        <f>Scenario_Data!U72</f>
        <v/>
      </c>
      <c r="AJ72">
        <f>2*(SQRT((Inputs!$C$52+(Scenario_Data!C72))^2+Inputs!$C$52^2-2*(Inputs!$C$52+(Scenario_Data!C72))*Inputs!$C$52*COS(SQRT((Scenario_Data!U72)^2+Inputs!$C$6^2)/Inputs!$C$52))*1000)/Inputs!$C$21*1000000</f>
        <v/>
      </c>
      <c r="AK72">
        <f>Scenario_Data!V72</f>
        <v/>
      </c>
      <c r="AL72">
        <f>2*(SQRT((Inputs!$C$52+(Scenario_Data!D72))^2+Inputs!$C$52^2-2*(Inputs!$C$52+(Scenario_Data!D72))*Inputs!$C$52*COS(SQRT((Scenario_Data!V72)^2+Inputs!$C$6^2)/Inputs!$C$52))*1000)/Inputs!$C$21*1000000</f>
        <v/>
      </c>
      <c r="AM72">
        <f>Scenario_Data!W72</f>
        <v/>
      </c>
      <c r="AN72">
        <f>2*(SQRT((Inputs!$C$52+(Scenario_Data!E72))^2+Inputs!$C$52^2-2*(Inputs!$C$52+(Scenario_Data!E72))*Inputs!$C$52*COS(SQRT((Scenario_Data!W72)^2+Inputs!$C$6^2)/Inputs!$C$52))*1000)/Inputs!$C$21*1000000</f>
        <v/>
      </c>
      <c r="AP72">
        <f>Scenario_Data!T72</f>
        <v/>
      </c>
      <c r="AQ72">
        <f>2*(SQRT((Inputs!$C$52+(Scenario_Data!B72))^2+(Inputs!$C$52+((IF(OR(Inputs!$C$27=TRUE,Inputs!$C$27="TRUE",Inputs!$C$27=1),1,0)*(Inputs!$C$51*(115*EXP(-(((Inputs!$C$6)-25)^2)/(4.5^2))+70*EXP(-(((Inputs!$C$6)+38)^2)/(7^2))*(0.55+0.45*SIN(2*PI()*(Scenario_Data!T72)/45))+24*SIN(2*PI()*(Inputs!$C$6)/9+(Scenario_Data!T72)/18)*EXP(-(((Inputs!$C$6)+5)^2)/(22^2))+18*SIN(2*PI()*(Scenario_Data!T72)/70))+Inputs!$C$28*EXP(-(((Scenario_Data!T72)-Inputs!$C$29)^2)/(2*Inputs!$C$31^2))*EXP(-(((Inputs!$C$6)-Inputs!$C$30)^2)/(2*Inputs!$C$32^2))+-Inputs!$C$33*EXP(-(((((Scenario_Data!T72)-Inputs!$C$34)^2)+(((Inputs!$C$6)-Inputs!$C$35)^2))/(2*Inputs!$C$36^2)))+Inputs!$C$37*(0.55*SIN(2*PI()*(Scenario_Data!T72)/Inputs!$C$39)+0.35*COS(2*PI()*(Inputs!$C$6)/Inputs!$C$40)+0.2*SIN(2*PI()*((Scenario_Data!T72)+(Inputs!$C$6))/(0.5*(Inputs!$C$39+Inputs!$C$40))))+Inputs!$C$38*SIN(2*PI()*(Scenario_Data!T72)/Inputs!$C$39)*SIN(2*PI()*(Inputs!$C$6)/Inputs!$C$40)+-Inputs!$C$41*EXP(-(((Inputs!$C$6)-Inputs!$C$43)^2)/(2*Inputs!$C$44^2))*EXP(-(((Scenario_Data!T72)-Inputs!$C$42)^2)/(2*Inputs!$C$45^2))+Inputs!$C$48*(0.7*(0.45*SIN(2*PI()*(((Scenario_Data!T72)/Inputs!$C$49)+Inputs!$C$47*0.137))+0.35*COS(2*PI()*(((Inputs!$C$6)/Inputs!$C$50)+Inputs!$C$47*0.173))+0.2*SIN(2*PI()*((((Scenario_Data!T72)+(Inputs!$C$6))/(0.5*(Inputs!$C$49+Inputs!$C$50)))+Inputs!$C$47*0.097)))+0.3*(2*((SIN(((Scenario_Data!T72)*12.9898+(Inputs!$C$6)*78.233+Inputs!$C$47*37.719))*43758.5453)-INT((SIN(((Scenario_Data!T72)*12.9898+(Inputs!$C$6)*78.233+Inputs!$C$47*37.719))*43758.5453)))-1))))/1000))^2-2*(Inputs!$C$52+(Scenario_Data!B72))*(Inputs!$C$52+((IF(OR(Inputs!$C$27=TRUE,Inputs!$C$27="TRUE",Inputs!$C$27=1),1,0)*(Inputs!$C$51*(115*EXP(-(((Inputs!$C$6)-25)^2)/(4.5^2))+70*EXP(-(((Inputs!$C$6)+38)^2)/(7^2))*(0.55+0.45*SIN(2*PI()*(Scenario_Data!T72)/45))+24*SIN(2*PI()*(Inputs!$C$6)/9+(Scenario_Data!T72)/18)*EXP(-(((Inputs!$C$6)+5)^2)/(22^2))+18*SIN(2*PI()*(Scenario_Data!T72)/70))+Inputs!$C$28*EXP(-(((Scenario_Data!T72)-Inputs!$C$29)^2)/(2*Inputs!$C$31^2))*EXP(-(((Inputs!$C$6)-Inputs!$C$30)^2)/(2*Inputs!$C$32^2))+-Inputs!$C$33*EXP(-(((((Scenario_Data!T72)-Inputs!$C$34)^2)+(((Inputs!$C$6)-Inputs!$C$35)^2))/(2*Inputs!$C$36^2)))+Inputs!$C$37*(0.55*SIN(2*PI()*(Scenario_Data!T72)/Inputs!$C$39)+0.35*COS(2*PI()*(Inputs!$C$6)/Inputs!$C$40)+0.2*SIN(2*PI()*((Scenario_Data!T72)+(Inputs!$C$6))/(0.5*(Inputs!$C$39+Inputs!$C$40))))+Inputs!$C$38*SIN(2*PI()*(Scenario_Data!T72)/Inputs!$C$39)*SIN(2*PI()*(Inputs!$C$6)/Inputs!$C$40)+-Inputs!$C$41*EXP(-(((Inputs!$C$6)-Inputs!$C$43)^2)/(2*Inputs!$C$44^2))*EXP(-(((Scenario_Data!T72)-Inputs!$C$42)^2)/(2*Inputs!$C$45^2))+Inputs!$C$48*(0.7*(0.45*SIN(2*PI()*(((Scenario_Data!T72)/Inputs!$C$49)+Inputs!$C$47*0.137))+0.35*COS(2*PI()*(((Inputs!$C$6)/Inputs!$C$50)+Inputs!$C$47*0.173))+0.2*SIN(2*PI()*((((Scenario_Data!T72)+(Inputs!$C$6))/(0.5*(Inputs!$C$49+Inputs!$C$50)))+Inputs!$C$47*0.097)))+0.3*(2*((SIN(((Scenario_Data!T72)*12.9898+(Inputs!$C$6)*78.233+Inputs!$C$47*37.719))*43758.5453)-INT((SIN(((Scenario_Data!T72)*12.9898+(Inputs!$C$6)*78.233+Inputs!$C$47*37.719))*43758.5453)))-1))))/1000))*COS(SQRT((Scenario_Data!T72)^2+Inputs!$C$6^2)/Inputs!$C$52))*1000)/Inputs!$C$21*1000000</f>
        <v/>
      </c>
      <c r="AR72">
        <f>Scenario_Data!U72</f>
        <v/>
      </c>
      <c r="AS72">
        <f>2*(SQRT((Inputs!$C$52+(Scenario_Data!C72))^2+(Inputs!$C$52+((IF(OR(Inputs!$C$27=TRUE,Inputs!$C$27="TRUE",Inputs!$C$27=1),1,0)*(Inputs!$C$51*(115*EXP(-(((Inputs!$C$6)-25)^2)/(4.5^2))+70*EXP(-(((Inputs!$C$6)+38)^2)/(7^2))*(0.55+0.45*SIN(2*PI()*(Scenario_Data!U72)/45))+24*SIN(2*PI()*(Inputs!$C$6)/9+(Scenario_Data!U72)/18)*EXP(-(((Inputs!$C$6)+5)^2)/(22^2))+18*SIN(2*PI()*(Scenario_Data!U72)/70))+Inputs!$C$28*EXP(-(((Scenario_Data!U72)-Inputs!$C$29)^2)/(2*Inputs!$C$31^2))*EXP(-(((Inputs!$C$6)-Inputs!$C$30)^2)/(2*Inputs!$C$32^2))+-Inputs!$C$33*EXP(-(((((Scenario_Data!U72)-Inputs!$C$34)^2)+(((Inputs!$C$6)-Inputs!$C$35)^2))/(2*Inputs!$C$36^2)))+Inputs!$C$37*(0.55*SIN(2*PI()*(Scenario_Data!U72)/Inputs!$C$39)+0.35*COS(2*PI()*(Inputs!$C$6)/Inputs!$C$40)+0.2*SIN(2*PI()*((Scenario_Data!U72)+(Inputs!$C$6))/(0.5*(Inputs!$C$39+Inputs!$C$40))))+Inputs!$C$38*SIN(2*PI()*(Scenario_Data!U72)/Inputs!$C$39)*SIN(2*PI()*(Inputs!$C$6)/Inputs!$C$40)+-Inputs!$C$41*EXP(-(((Inputs!$C$6)-Inputs!$C$43)^2)/(2*Inputs!$C$44^2))*EXP(-(((Scenario_Data!U72)-Inputs!$C$42)^2)/(2*Inputs!$C$45^2))+Inputs!$C$48*(0.7*(0.45*SIN(2*PI()*(((Scenario_Data!U72)/Inputs!$C$49)+Inputs!$C$47*0.137))+0.35*COS(2*PI()*(((Inputs!$C$6)/Inputs!$C$50)+Inputs!$C$47*0.173))+0.2*SIN(2*PI()*((((Scenario_Data!U72)+(Inputs!$C$6))/(0.5*(Inputs!$C$49+Inputs!$C$50)))+Inputs!$C$47*0.097)))+0.3*(2*((SIN(((Scenario_Data!U72)*12.9898+(Inputs!$C$6)*78.233+Inputs!$C$47*37.719))*43758.5453)-INT((SIN(((Scenario_Data!U72)*12.9898+(Inputs!$C$6)*78.233+Inputs!$C$47*37.719))*43758.5453)))-1))))/1000))^2-2*(Inputs!$C$52+(Scenario_Data!C72))*(Inputs!$C$52+((IF(OR(Inputs!$C$27=TRUE,Inputs!$C$27="TRUE",Inputs!$C$27=1),1,0)*(Inputs!$C$51*(115*EXP(-(((Inputs!$C$6)-25)^2)/(4.5^2))+70*EXP(-(((Inputs!$C$6)+38)^2)/(7^2))*(0.55+0.45*SIN(2*PI()*(Scenario_Data!U72)/45))+24*SIN(2*PI()*(Inputs!$C$6)/9+(Scenario_Data!U72)/18)*EXP(-(((Inputs!$C$6)+5)^2)/(22^2))+18*SIN(2*PI()*(Scenario_Data!U72)/70))+Inputs!$C$28*EXP(-(((Scenario_Data!U72)-Inputs!$C$29)^2)/(2*Inputs!$C$31^2))*EXP(-(((Inputs!$C$6)-Inputs!$C$30)^2)/(2*Inputs!$C$32^2))+-Inputs!$C$33*EXP(-(((((Scenario_Data!U72)-Inputs!$C$34)^2)+(((Inputs!$C$6)-Inputs!$C$35)^2))/(2*Inputs!$C$36^2)))+Inputs!$C$37*(0.55*SIN(2*PI()*(Scenario_Data!U72)/Inputs!$C$39)+0.35*COS(2*PI()*(Inputs!$C$6)/Inputs!$C$40)+0.2*SIN(2*PI()*((Scenario_Data!U72)+(Inputs!$C$6))/(0.5*(Inputs!$C$39+Inputs!$C$40))))+Inputs!$C$38*SIN(2*PI()*(Scenario_Data!U72)/Inputs!$C$39)*SIN(2*PI()*(Inputs!$C$6)/Inputs!$C$40)+-Inputs!$C$41*EXP(-(((Inputs!$C$6)-Inputs!$C$43)^2)/(2*Inputs!$C$44^2))*EXP(-(((Scenario_Data!U72)-Inputs!$C$42)^2)/(2*Inputs!$C$45^2))+Inputs!$C$48*(0.7*(0.45*SIN(2*PI()*(((Scenario_Data!U72)/Inputs!$C$49)+Inputs!$C$47*0.137))+0.35*COS(2*PI()*(((Inputs!$C$6)/Inputs!$C$50)+Inputs!$C$47*0.173))+0.2*SIN(2*PI()*((((Scenario_Data!U72)+(Inputs!$C$6))/(0.5*(Inputs!$C$49+Inputs!$C$50)))+Inputs!$C$47*0.097)))+0.3*(2*((SIN(((Scenario_Data!U72)*12.9898+(Inputs!$C$6)*78.233+Inputs!$C$47*37.719))*43758.5453)-INT((SIN(((Scenario_Data!U72)*12.9898+(Inputs!$C$6)*78.233+Inputs!$C$47*37.719))*43758.5453)))-1))))/1000))*COS(SQRT((Scenario_Data!U72)^2+Inputs!$C$6^2)/Inputs!$C$52))*1000)/Inputs!$C$21*1000000</f>
        <v/>
      </c>
      <c r="AT72">
        <f>Scenario_Data!V72</f>
        <v/>
      </c>
      <c r="AU72">
        <f>2*(SQRT((Inputs!$C$52+(Scenario_Data!D72))^2+(Inputs!$C$52+((IF(OR(Inputs!$C$27=TRUE,Inputs!$C$27="TRUE",Inputs!$C$27=1),1,0)*(Inputs!$C$51*(115*EXP(-(((Inputs!$C$6)-25)^2)/(4.5^2))+70*EXP(-(((Inputs!$C$6)+38)^2)/(7^2))*(0.55+0.45*SIN(2*PI()*(Scenario_Data!V72)/45))+24*SIN(2*PI()*(Inputs!$C$6)/9+(Scenario_Data!V72)/18)*EXP(-(((Inputs!$C$6)+5)^2)/(22^2))+18*SIN(2*PI()*(Scenario_Data!V72)/70))+Inputs!$C$28*EXP(-(((Scenario_Data!V72)-Inputs!$C$29)^2)/(2*Inputs!$C$31^2))*EXP(-(((Inputs!$C$6)-Inputs!$C$30)^2)/(2*Inputs!$C$32^2))+-Inputs!$C$33*EXP(-(((((Scenario_Data!V72)-Inputs!$C$34)^2)+(((Inputs!$C$6)-Inputs!$C$35)^2))/(2*Inputs!$C$36^2)))+Inputs!$C$37*(0.55*SIN(2*PI()*(Scenario_Data!V72)/Inputs!$C$39)+0.35*COS(2*PI()*(Inputs!$C$6)/Inputs!$C$40)+0.2*SIN(2*PI()*((Scenario_Data!V72)+(Inputs!$C$6))/(0.5*(Inputs!$C$39+Inputs!$C$40))))+Inputs!$C$38*SIN(2*PI()*(Scenario_Data!V72)/Inputs!$C$39)*SIN(2*PI()*(Inputs!$C$6)/Inputs!$C$40)+-Inputs!$C$41*EXP(-(((Inputs!$C$6)-Inputs!$C$43)^2)/(2*Inputs!$C$44^2))*EXP(-(((Scenario_Data!V72)-Inputs!$C$42)^2)/(2*Inputs!$C$45^2))+Inputs!$C$48*(0.7*(0.45*SIN(2*PI()*(((Scenario_Data!V72)/Inputs!$C$49)+Inputs!$C$47*0.137))+0.35*COS(2*PI()*(((Inputs!$C$6)/Inputs!$C$50)+Inputs!$C$47*0.173))+0.2*SIN(2*PI()*((((Scenario_Data!V72)+(Inputs!$C$6))/(0.5*(Inputs!$C$49+Inputs!$C$50)))+Inputs!$C$47*0.097)))+0.3*(2*((SIN(((Scenario_Data!V72)*12.9898+(Inputs!$C$6)*78.233+Inputs!$C$47*37.719))*43758.5453)-INT((SIN(((Scenario_Data!V72)*12.9898+(Inputs!$C$6)*78.233+Inputs!$C$47*37.719))*43758.5453)))-1))))/1000))^2-2*(Inputs!$C$52+(Scenario_Data!D72))*(Inputs!$C$52+((IF(OR(Inputs!$C$27=TRUE,Inputs!$C$27="TRUE",Inputs!$C$27=1),1,0)*(Inputs!$C$51*(115*EXP(-(((Inputs!$C$6)-25)^2)/(4.5^2))+70*EXP(-(((Inputs!$C$6)+38)^2)/(7^2))*(0.55+0.45*SIN(2*PI()*(Scenario_Data!V72)/45))+24*SIN(2*PI()*(Inputs!$C$6)/9+(Scenario_Data!V72)/18)*EXP(-(((Inputs!$C$6)+5)^2)/(22^2))+18*SIN(2*PI()*(Scenario_Data!V72)/70))+Inputs!$C$28*EXP(-(((Scenario_Data!V72)-Inputs!$C$29)^2)/(2*Inputs!$C$31^2))*EXP(-(((Inputs!$C$6)-Inputs!$C$30)^2)/(2*Inputs!$C$32^2))+-Inputs!$C$33*EXP(-(((((Scenario_Data!V72)-Inputs!$C$34)^2)+(((Inputs!$C$6)-Inputs!$C$35)^2))/(2*Inputs!$C$36^2)))+Inputs!$C$37*(0.55*SIN(2*PI()*(Scenario_Data!V72)/Inputs!$C$39)+0.35*COS(2*PI()*(Inputs!$C$6)/Inputs!$C$40)+0.2*SIN(2*PI()*((Scenario_Data!V72)+(Inputs!$C$6))/(0.5*(Inputs!$C$39+Inputs!$C$40))))+Inputs!$C$38*SIN(2*PI()*(Scenario_Data!V72)/Inputs!$C$39)*SIN(2*PI()*(Inputs!$C$6)/Inputs!$C$40)+-Inputs!$C$41*EXP(-(((Inputs!$C$6)-Inputs!$C$43)^2)/(2*Inputs!$C$44^2))*EXP(-(((Scenario_Data!V72)-Inputs!$C$42)^2)/(2*Inputs!$C$45^2))+Inputs!$C$48*(0.7*(0.45*SIN(2*PI()*(((Scenario_Data!V72)/Inputs!$C$49)+Inputs!$C$47*0.137))+0.35*COS(2*PI()*(((Inputs!$C$6)/Inputs!$C$50)+Inputs!$C$47*0.173))+0.2*SIN(2*PI()*((((Scenario_Data!V72)+(Inputs!$C$6))/(0.5*(Inputs!$C$49+Inputs!$C$50)))+Inputs!$C$47*0.097)))+0.3*(2*((SIN(((Scenario_Data!V72)*12.9898+(Inputs!$C$6)*78.233+Inputs!$C$47*37.719))*43758.5453)-INT((SIN(((Scenario_Data!V72)*12.9898+(Inputs!$C$6)*78.233+Inputs!$C$47*37.719))*43758.5453)))-1))))/1000))*COS(SQRT((Scenario_Data!V72)^2+Inputs!$C$6^2)/Inputs!$C$52))*1000)/Inputs!$C$21*1000000</f>
        <v/>
      </c>
      <c r="AV72">
        <f>Scenario_Data!W72</f>
        <v/>
      </c>
      <c r="AW72">
        <f>2*(SQRT((Inputs!$C$52+(Scenario_Data!E72))^2+(Inputs!$C$52+((IF(OR(Inputs!$C$27=TRUE,Inputs!$C$27="TRUE",Inputs!$C$27=1),1,0)*(Inputs!$C$51*(115*EXP(-(((Inputs!$C$6)-25)^2)/(4.5^2))+70*EXP(-(((Inputs!$C$6)+38)^2)/(7^2))*(0.55+0.45*SIN(2*PI()*(Scenario_Data!W72)/45))+24*SIN(2*PI()*(Inputs!$C$6)/9+(Scenario_Data!W72)/18)*EXP(-(((Inputs!$C$6)+5)^2)/(22^2))+18*SIN(2*PI()*(Scenario_Data!W72)/70))+Inputs!$C$28*EXP(-(((Scenario_Data!W72)-Inputs!$C$29)^2)/(2*Inputs!$C$31^2))*EXP(-(((Inputs!$C$6)-Inputs!$C$30)^2)/(2*Inputs!$C$32^2))+-Inputs!$C$33*EXP(-(((((Scenario_Data!W72)-Inputs!$C$34)^2)+(((Inputs!$C$6)-Inputs!$C$35)^2))/(2*Inputs!$C$36^2)))+Inputs!$C$37*(0.55*SIN(2*PI()*(Scenario_Data!W72)/Inputs!$C$39)+0.35*COS(2*PI()*(Inputs!$C$6)/Inputs!$C$40)+0.2*SIN(2*PI()*((Scenario_Data!W72)+(Inputs!$C$6))/(0.5*(Inputs!$C$39+Inputs!$C$40))))+Inputs!$C$38*SIN(2*PI()*(Scenario_Data!W72)/Inputs!$C$39)*SIN(2*PI()*(Inputs!$C$6)/Inputs!$C$40)+-Inputs!$C$41*EXP(-(((Inputs!$C$6)-Inputs!$C$43)^2)/(2*Inputs!$C$44^2))*EXP(-(((Scenario_Data!W72)-Inputs!$C$42)^2)/(2*Inputs!$C$45^2))+Inputs!$C$48*(0.7*(0.45*SIN(2*PI()*(((Scenario_Data!W72)/Inputs!$C$49)+Inputs!$C$47*0.137))+0.35*COS(2*PI()*(((Inputs!$C$6)/Inputs!$C$50)+Inputs!$C$47*0.173))+0.2*SIN(2*PI()*((((Scenario_Data!W72)+(Inputs!$C$6))/(0.5*(Inputs!$C$49+Inputs!$C$50)))+Inputs!$C$47*0.097)))+0.3*(2*((SIN(((Scenario_Data!W72)*12.9898+(Inputs!$C$6)*78.233+Inputs!$C$47*37.719))*43758.5453)-INT((SIN(((Scenario_Data!W72)*12.9898+(Inputs!$C$6)*78.233+Inputs!$C$47*37.719))*43758.5453)))-1))))/1000))^2-2*(Inputs!$C$52+(Scenario_Data!E72))*(Inputs!$C$52+((IF(OR(Inputs!$C$27=TRUE,Inputs!$C$27="TRUE",Inputs!$C$27=1),1,0)*(Inputs!$C$51*(115*EXP(-(((Inputs!$C$6)-25)^2)/(4.5^2))+70*EXP(-(((Inputs!$C$6)+38)^2)/(7^2))*(0.55+0.45*SIN(2*PI()*(Scenario_Data!W72)/45))+24*SIN(2*PI()*(Inputs!$C$6)/9+(Scenario_Data!W72)/18)*EXP(-(((Inputs!$C$6)+5)^2)/(22^2))+18*SIN(2*PI()*(Scenario_Data!W72)/70))+Inputs!$C$28*EXP(-(((Scenario_Data!W72)-Inputs!$C$29)^2)/(2*Inputs!$C$31^2))*EXP(-(((Inputs!$C$6)-Inputs!$C$30)^2)/(2*Inputs!$C$32^2))+-Inputs!$C$33*EXP(-(((((Scenario_Data!W72)-Inputs!$C$34)^2)+(((Inputs!$C$6)-Inputs!$C$35)^2))/(2*Inputs!$C$36^2)))+Inputs!$C$37*(0.55*SIN(2*PI()*(Scenario_Data!W72)/Inputs!$C$39)+0.35*COS(2*PI()*(Inputs!$C$6)/Inputs!$C$40)+0.2*SIN(2*PI()*((Scenario_Data!W72)+(Inputs!$C$6))/(0.5*(Inputs!$C$39+Inputs!$C$40))))+Inputs!$C$38*SIN(2*PI()*(Scenario_Data!W72)/Inputs!$C$39)*SIN(2*PI()*(Inputs!$C$6)/Inputs!$C$40)+-Inputs!$C$41*EXP(-(((Inputs!$C$6)-Inputs!$C$43)^2)/(2*Inputs!$C$44^2))*EXP(-(((Scenario_Data!W72)-Inputs!$C$42)^2)/(2*Inputs!$C$45^2))+Inputs!$C$48*(0.7*(0.45*SIN(2*PI()*(((Scenario_Data!W72)/Inputs!$C$49)+Inputs!$C$47*0.137))+0.35*COS(2*PI()*(((Inputs!$C$6)/Inputs!$C$50)+Inputs!$C$47*0.173))+0.2*SIN(2*PI()*((((Scenario_Data!W72)+(Inputs!$C$6))/(0.5*(Inputs!$C$49+Inputs!$C$50)))+Inputs!$C$47*0.097)))+0.3*(2*((SIN(((Scenario_Data!W72)*12.9898+(Inputs!$C$6)*78.233+Inputs!$C$47*37.719))*43758.5453)-INT((SIN(((Scenario_Data!W72)*12.9898+(Inputs!$C$6)*78.233+Inputs!$C$47*37.719))*43758.5453)))-1))))/1000))*COS(SQRT((Scenario_Data!W72)^2+Inputs!$C$6^2)/Inputs!$C$52))*1000)/Inputs!$C$21*1000000</f>
        <v/>
      </c>
    </row>
    <row r="73">
      <c r="A73">
        <f>Chart_Data!K73</f>
        <v/>
      </c>
      <c r="B73">
        <f>Chart_Data!N73-Chart_Data!L73</f>
        <v/>
      </c>
      <c r="D73">
        <f>Chart_Data!G73</f>
        <v/>
      </c>
      <c r="E73">
        <f>Chart_Data!H73</f>
        <v/>
      </c>
      <c r="F73">
        <f>Chart_Data!I73</f>
        <v/>
      </c>
      <c r="G73">
        <f>Chart_Data!J73</f>
        <v/>
      </c>
      <c r="I73">
        <f>Scenario_Data!A73</f>
        <v/>
      </c>
      <c r="J73">
        <f>Scenario_Data!H73-(((SQRT((Inputs!$C$52+(Inputs!$H$6))^2+Inputs!$C$52^2-2*(Inputs!$C$52+(Inputs!$H$6))*Inputs!$C$52*COS(SQRT((Scenario_Data!T73)^2+Inputs!$C$6^2)/Inputs!$C$52)))-(Inputs!$H$6))*1000/Inputs!$C$12)</f>
        <v/>
      </c>
      <c r="K73">
        <f>Scenario_Data!I73-(((SQRT((Inputs!$C$52+(Inputs!$H$7))^2+Inputs!$C$52^2-2*(Inputs!$C$52+(Inputs!$H$7))*Inputs!$C$52*COS(SQRT((Scenario_Data!U73)^2+Inputs!$C$6^2)/Inputs!$C$52)))-(Inputs!$H$7))*1000/Inputs!$C$12)</f>
        <v/>
      </c>
      <c r="L73">
        <f>Scenario_Data!J73-(((SQRT((Inputs!$C$52+(Inputs!$H$8))^2+Inputs!$C$52^2-2*(Inputs!$C$52+(Inputs!$H$8))*Inputs!$C$52*COS(SQRT((Scenario_Data!V73)^2+Inputs!$C$6^2)/Inputs!$C$52)))-(Inputs!$H$8))*1000/Inputs!$C$12)</f>
        <v/>
      </c>
      <c r="M73">
        <f>Scenario_Data!K73-(((SQRT((Inputs!$C$52+(Inputs!$H$9))^2+Inputs!$C$52^2-2*(Inputs!$C$52+(Inputs!$H$9))*Inputs!$C$52*COS(SQRT((Scenario_Data!W73)^2+Inputs!$C$6^2)/Inputs!$C$52)))-(Inputs!$H$9))*1000/Inputs!$C$12)</f>
        <v/>
      </c>
      <c r="O73">
        <f>Scenario_Data!T73</f>
        <v/>
      </c>
      <c r="P73">
        <f>2*(Scenario_Data!B73*1000)/Inputs!$C$21*1000000</f>
        <v/>
      </c>
      <c r="Q73">
        <f>Scenario_Data!U73</f>
        <v/>
      </c>
      <c r="R73">
        <f>2*(Scenario_Data!C73*1000)/Inputs!$C$21*1000000</f>
        <v/>
      </c>
      <c r="S73">
        <f>Scenario_Data!V73</f>
        <v/>
      </c>
      <c r="T73">
        <f>2*(Scenario_Data!D73*1000)/Inputs!$C$21*1000000</f>
        <v/>
      </c>
      <c r="U73">
        <f>Scenario_Data!W73</f>
        <v/>
      </c>
      <c r="V73">
        <f>2*(Scenario_Data!E73*1000)/Inputs!$C$21*1000000</f>
        <v/>
      </c>
      <c r="X73">
        <f>Scenario_Data!T73</f>
        <v/>
      </c>
      <c r="Y73">
        <f>2*((Scenario_Data!B73*1000)-(IF(OR(Inputs!$C$27=TRUE,Inputs!$C$27="TRUE",Inputs!$C$27=1),1,0)*(Inputs!$C$51*(115*EXP(-(((0)-25)^2)/(4.5^2))+70*EXP(-(((0)+38)^2)/(7^2))*(0.55+0.45*SIN(2*PI()*(Scenario_Data!T73)/45))+24*SIN(2*PI()*(0)/9+(Scenario_Data!T73)/18)*EXP(-(((0)+5)^2)/(22^2))+18*SIN(2*PI()*(Scenario_Data!T73)/70))+Inputs!$C$28*EXP(-(((Scenario_Data!T73)-Inputs!$C$29)^2)/(2*Inputs!$C$31^2))*EXP(-(((0)-Inputs!$C$30)^2)/(2*Inputs!$C$32^2))+-Inputs!$C$33*EXP(-(((((Scenario_Data!T73)-Inputs!$C$34)^2)+(((0)-Inputs!$C$35)^2))/(2*Inputs!$C$36^2)))+Inputs!$C$37*(0.55*SIN(2*PI()*(Scenario_Data!T73)/Inputs!$C$39)+0.35*COS(2*PI()*(0)/Inputs!$C$40)+0.2*SIN(2*PI()*((Scenario_Data!T73)+(0))/(0.5*(Inputs!$C$39+Inputs!$C$40))))+Inputs!$C$38*SIN(2*PI()*(Scenario_Data!T73)/Inputs!$C$39)*SIN(2*PI()*(0)/Inputs!$C$40)+-Inputs!$C$41*EXP(-(((0)-Inputs!$C$43)^2)/(2*Inputs!$C$44^2))*EXP(-(((Scenario_Data!T73)-Inputs!$C$42)^2)/(2*Inputs!$C$45^2))+Inputs!$C$48*(0.7*(0.45*SIN(2*PI()*(((Scenario_Data!T73)/Inputs!$C$49)+Inputs!$C$47*0.137))+0.35*COS(2*PI()*(((0)/Inputs!$C$50)+Inputs!$C$47*0.173))+0.2*SIN(2*PI()*((((Scenario_Data!T73)+(0))/(0.5*(Inputs!$C$49+Inputs!$C$50)))+Inputs!$C$47*0.097)))+0.3*(2*((SIN(((Scenario_Data!T73)*12.9898+(0)*78.233+Inputs!$C$47*37.719))*43758.5453)-INT((SIN(((Scenario_Data!T73)*12.9898+(0)*78.233+Inputs!$C$47*37.719))*43758.5453)))-1)))))/Inputs!$C$21*1000000</f>
        <v/>
      </c>
      <c r="Z73">
        <f>Scenario_Data!U73</f>
        <v/>
      </c>
      <c r="AA73">
        <f>2*((Scenario_Data!C73*1000)-(IF(OR(Inputs!$C$27=TRUE,Inputs!$C$27="TRUE",Inputs!$C$27=1),1,0)*(Inputs!$C$51*(115*EXP(-(((0)-25)^2)/(4.5^2))+70*EXP(-(((0)+38)^2)/(7^2))*(0.55+0.45*SIN(2*PI()*(Scenario_Data!U73)/45))+24*SIN(2*PI()*(0)/9+(Scenario_Data!U73)/18)*EXP(-(((0)+5)^2)/(22^2))+18*SIN(2*PI()*(Scenario_Data!U73)/70))+Inputs!$C$28*EXP(-(((Scenario_Data!U73)-Inputs!$C$29)^2)/(2*Inputs!$C$31^2))*EXP(-(((0)-Inputs!$C$30)^2)/(2*Inputs!$C$32^2))+-Inputs!$C$33*EXP(-(((((Scenario_Data!U73)-Inputs!$C$34)^2)+(((0)-Inputs!$C$35)^2))/(2*Inputs!$C$36^2)))+Inputs!$C$37*(0.55*SIN(2*PI()*(Scenario_Data!U73)/Inputs!$C$39)+0.35*COS(2*PI()*(0)/Inputs!$C$40)+0.2*SIN(2*PI()*((Scenario_Data!U73)+(0))/(0.5*(Inputs!$C$39+Inputs!$C$40))))+Inputs!$C$38*SIN(2*PI()*(Scenario_Data!U73)/Inputs!$C$39)*SIN(2*PI()*(0)/Inputs!$C$40)+-Inputs!$C$41*EXP(-(((0)-Inputs!$C$43)^2)/(2*Inputs!$C$44^2))*EXP(-(((Scenario_Data!U73)-Inputs!$C$42)^2)/(2*Inputs!$C$45^2))+Inputs!$C$48*(0.7*(0.45*SIN(2*PI()*(((Scenario_Data!U73)/Inputs!$C$49)+Inputs!$C$47*0.137))+0.35*COS(2*PI()*(((0)/Inputs!$C$50)+Inputs!$C$47*0.173))+0.2*SIN(2*PI()*((((Scenario_Data!U73)+(0))/(0.5*(Inputs!$C$49+Inputs!$C$50)))+Inputs!$C$47*0.097)))+0.3*(2*((SIN(((Scenario_Data!U73)*12.9898+(0)*78.233+Inputs!$C$47*37.719))*43758.5453)-INT((SIN(((Scenario_Data!U73)*12.9898+(0)*78.233+Inputs!$C$47*37.719))*43758.5453)))-1)))))/Inputs!$C$21*1000000</f>
        <v/>
      </c>
      <c r="AB73">
        <f>Scenario_Data!V73</f>
        <v/>
      </c>
      <c r="AC73">
        <f>2*((Scenario_Data!D73*1000)-(IF(OR(Inputs!$C$27=TRUE,Inputs!$C$27="TRUE",Inputs!$C$27=1),1,0)*(Inputs!$C$51*(115*EXP(-(((0)-25)^2)/(4.5^2))+70*EXP(-(((0)+38)^2)/(7^2))*(0.55+0.45*SIN(2*PI()*(Scenario_Data!V73)/45))+24*SIN(2*PI()*(0)/9+(Scenario_Data!V73)/18)*EXP(-(((0)+5)^2)/(22^2))+18*SIN(2*PI()*(Scenario_Data!V73)/70))+Inputs!$C$28*EXP(-(((Scenario_Data!V73)-Inputs!$C$29)^2)/(2*Inputs!$C$31^2))*EXP(-(((0)-Inputs!$C$30)^2)/(2*Inputs!$C$32^2))+-Inputs!$C$33*EXP(-(((((Scenario_Data!V73)-Inputs!$C$34)^2)+(((0)-Inputs!$C$35)^2))/(2*Inputs!$C$36^2)))+Inputs!$C$37*(0.55*SIN(2*PI()*(Scenario_Data!V73)/Inputs!$C$39)+0.35*COS(2*PI()*(0)/Inputs!$C$40)+0.2*SIN(2*PI()*((Scenario_Data!V73)+(0))/(0.5*(Inputs!$C$39+Inputs!$C$40))))+Inputs!$C$38*SIN(2*PI()*(Scenario_Data!V73)/Inputs!$C$39)*SIN(2*PI()*(0)/Inputs!$C$40)+-Inputs!$C$41*EXP(-(((0)-Inputs!$C$43)^2)/(2*Inputs!$C$44^2))*EXP(-(((Scenario_Data!V73)-Inputs!$C$42)^2)/(2*Inputs!$C$45^2))+Inputs!$C$48*(0.7*(0.45*SIN(2*PI()*(((Scenario_Data!V73)/Inputs!$C$49)+Inputs!$C$47*0.137))+0.35*COS(2*PI()*(((0)/Inputs!$C$50)+Inputs!$C$47*0.173))+0.2*SIN(2*PI()*((((Scenario_Data!V73)+(0))/(0.5*(Inputs!$C$49+Inputs!$C$50)))+Inputs!$C$47*0.097)))+0.3*(2*((SIN(((Scenario_Data!V73)*12.9898+(0)*78.233+Inputs!$C$47*37.719))*43758.5453)-INT((SIN(((Scenario_Data!V73)*12.9898+(0)*78.233+Inputs!$C$47*37.719))*43758.5453)))-1)))))/Inputs!$C$21*1000000</f>
        <v/>
      </c>
      <c r="AD73">
        <f>Scenario_Data!W73</f>
        <v/>
      </c>
      <c r="AE73">
        <f>2*((Scenario_Data!E73*1000)-(IF(OR(Inputs!$C$27=TRUE,Inputs!$C$27="TRUE",Inputs!$C$27=1),1,0)*(Inputs!$C$51*(115*EXP(-(((0)-25)^2)/(4.5^2))+70*EXP(-(((0)+38)^2)/(7^2))*(0.55+0.45*SIN(2*PI()*(Scenario_Data!W73)/45))+24*SIN(2*PI()*(0)/9+(Scenario_Data!W73)/18)*EXP(-(((0)+5)^2)/(22^2))+18*SIN(2*PI()*(Scenario_Data!W73)/70))+Inputs!$C$28*EXP(-(((Scenario_Data!W73)-Inputs!$C$29)^2)/(2*Inputs!$C$31^2))*EXP(-(((0)-Inputs!$C$30)^2)/(2*Inputs!$C$32^2))+-Inputs!$C$33*EXP(-(((((Scenario_Data!W73)-Inputs!$C$34)^2)+(((0)-Inputs!$C$35)^2))/(2*Inputs!$C$36^2)))+Inputs!$C$37*(0.55*SIN(2*PI()*(Scenario_Data!W73)/Inputs!$C$39)+0.35*COS(2*PI()*(0)/Inputs!$C$40)+0.2*SIN(2*PI()*((Scenario_Data!W73)+(0))/(0.5*(Inputs!$C$39+Inputs!$C$40))))+Inputs!$C$38*SIN(2*PI()*(Scenario_Data!W73)/Inputs!$C$39)*SIN(2*PI()*(0)/Inputs!$C$40)+-Inputs!$C$41*EXP(-(((0)-Inputs!$C$43)^2)/(2*Inputs!$C$44^2))*EXP(-(((Scenario_Data!W73)-Inputs!$C$42)^2)/(2*Inputs!$C$45^2))+Inputs!$C$48*(0.7*(0.45*SIN(2*PI()*(((Scenario_Data!W73)/Inputs!$C$49)+Inputs!$C$47*0.137))+0.35*COS(2*PI()*(((0)/Inputs!$C$50)+Inputs!$C$47*0.173))+0.2*SIN(2*PI()*((((Scenario_Data!W73)+(0))/(0.5*(Inputs!$C$49+Inputs!$C$50)))+Inputs!$C$47*0.097)))+0.3*(2*((SIN(((Scenario_Data!W73)*12.9898+(0)*78.233+Inputs!$C$47*37.719))*43758.5453)-INT((SIN(((Scenario_Data!W73)*12.9898+(0)*78.233+Inputs!$C$47*37.719))*43758.5453)))-1)))))/Inputs!$C$21*1000000</f>
        <v/>
      </c>
      <c r="AG73">
        <f>Scenario_Data!T73</f>
        <v/>
      </c>
      <c r="AH73">
        <f>2*(SQRT((Inputs!$C$52+(Scenario_Data!B73))^2+Inputs!$C$52^2-2*(Inputs!$C$52+(Scenario_Data!B73))*Inputs!$C$52*COS(SQRT((Scenario_Data!T73)^2+Inputs!$C$6^2)/Inputs!$C$52))*1000)/Inputs!$C$21*1000000</f>
        <v/>
      </c>
      <c r="AI73">
        <f>Scenario_Data!U73</f>
        <v/>
      </c>
      <c r="AJ73">
        <f>2*(SQRT((Inputs!$C$52+(Scenario_Data!C73))^2+Inputs!$C$52^2-2*(Inputs!$C$52+(Scenario_Data!C73))*Inputs!$C$52*COS(SQRT((Scenario_Data!U73)^2+Inputs!$C$6^2)/Inputs!$C$52))*1000)/Inputs!$C$21*1000000</f>
        <v/>
      </c>
      <c r="AK73">
        <f>Scenario_Data!V73</f>
        <v/>
      </c>
      <c r="AL73">
        <f>2*(SQRT((Inputs!$C$52+(Scenario_Data!D73))^2+Inputs!$C$52^2-2*(Inputs!$C$52+(Scenario_Data!D73))*Inputs!$C$52*COS(SQRT((Scenario_Data!V73)^2+Inputs!$C$6^2)/Inputs!$C$52))*1000)/Inputs!$C$21*1000000</f>
        <v/>
      </c>
      <c r="AM73">
        <f>Scenario_Data!W73</f>
        <v/>
      </c>
      <c r="AN73">
        <f>2*(SQRT((Inputs!$C$52+(Scenario_Data!E73))^2+Inputs!$C$52^2-2*(Inputs!$C$52+(Scenario_Data!E73))*Inputs!$C$52*COS(SQRT((Scenario_Data!W73)^2+Inputs!$C$6^2)/Inputs!$C$52))*1000)/Inputs!$C$21*1000000</f>
        <v/>
      </c>
      <c r="AP73">
        <f>Scenario_Data!T73</f>
        <v/>
      </c>
      <c r="AQ73">
        <f>2*(SQRT((Inputs!$C$52+(Scenario_Data!B73))^2+(Inputs!$C$52+((IF(OR(Inputs!$C$27=TRUE,Inputs!$C$27="TRUE",Inputs!$C$27=1),1,0)*(Inputs!$C$51*(115*EXP(-(((Inputs!$C$6)-25)^2)/(4.5^2))+70*EXP(-(((Inputs!$C$6)+38)^2)/(7^2))*(0.55+0.45*SIN(2*PI()*(Scenario_Data!T73)/45))+24*SIN(2*PI()*(Inputs!$C$6)/9+(Scenario_Data!T73)/18)*EXP(-(((Inputs!$C$6)+5)^2)/(22^2))+18*SIN(2*PI()*(Scenario_Data!T73)/70))+Inputs!$C$28*EXP(-(((Scenario_Data!T73)-Inputs!$C$29)^2)/(2*Inputs!$C$31^2))*EXP(-(((Inputs!$C$6)-Inputs!$C$30)^2)/(2*Inputs!$C$32^2))+-Inputs!$C$33*EXP(-(((((Scenario_Data!T73)-Inputs!$C$34)^2)+(((Inputs!$C$6)-Inputs!$C$35)^2))/(2*Inputs!$C$36^2)))+Inputs!$C$37*(0.55*SIN(2*PI()*(Scenario_Data!T73)/Inputs!$C$39)+0.35*COS(2*PI()*(Inputs!$C$6)/Inputs!$C$40)+0.2*SIN(2*PI()*((Scenario_Data!T73)+(Inputs!$C$6))/(0.5*(Inputs!$C$39+Inputs!$C$40))))+Inputs!$C$38*SIN(2*PI()*(Scenario_Data!T73)/Inputs!$C$39)*SIN(2*PI()*(Inputs!$C$6)/Inputs!$C$40)+-Inputs!$C$41*EXP(-(((Inputs!$C$6)-Inputs!$C$43)^2)/(2*Inputs!$C$44^2))*EXP(-(((Scenario_Data!T73)-Inputs!$C$42)^2)/(2*Inputs!$C$45^2))+Inputs!$C$48*(0.7*(0.45*SIN(2*PI()*(((Scenario_Data!T73)/Inputs!$C$49)+Inputs!$C$47*0.137))+0.35*COS(2*PI()*(((Inputs!$C$6)/Inputs!$C$50)+Inputs!$C$47*0.173))+0.2*SIN(2*PI()*((((Scenario_Data!T73)+(Inputs!$C$6))/(0.5*(Inputs!$C$49+Inputs!$C$50)))+Inputs!$C$47*0.097)))+0.3*(2*((SIN(((Scenario_Data!T73)*12.9898+(Inputs!$C$6)*78.233+Inputs!$C$47*37.719))*43758.5453)-INT((SIN(((Scenario_Data!T73)*12.9898+(Inputs!$C$6)*78.233+Inputs!$C$47*37.719))*43758.5453)))-1))))/1000))^2-2*(Inputs!$C$52+(Scenario_Data!B73))*(Inputs!$C$52+((IF(OR(Inputs!$C$27=TRUE,Inputs!$C$27="TRUE",Inputs!$C$27=1),1,0)*(Inputs!$C$51*(115*EXP(-(((Inputs!$C$6)-25)^2)/(4.5^2))+70*EXP(-(((Inputs!$C$6)+38)^2)/(7^2))*(0.55+0.45*SIN(2*PI()*(Scenario_Data!T73)/45))+24*SIN(2*PI()*(Inputs!$C$6)/9+(Scenario_Data!T73)/18)*EXP(-(((Inputs!$C$6)+5)^2)/(22^2))+18*SIN(2*PI()*(Scenario_Data!T73)/70))+Inputs!$C$28*EXP(-(((Scenario_Data!T73)-Inputs!$C$29)^2)/(2*Inputs!$C$31^2))*EXP(-(((Inputs!$C$6)-Inputs!$C$30)^2)/(2*Inputs!$C$32^2))+-Inputs!$C$33*EXP(-(((((Scenario_Data!T73)-Inputs!$C$34)^2)+(((Inputs!$C$6)-Inputs!$C$35)^2))/(2*Inputs!$C$36^2)))+Inputs!$C$37*(0.55*SIN(2*PI()*(Scenario_Data!T73)/Inputs!$C$39)+0.35*COS(2*PI()*(Inputs!$C$6)/Inputs!$C$40)+0.2*SIN(2*PI()*((Scenario_Data!T73)+(Inputs!$C$6))/(0.5*(Inputs!$C$39+Inputs!$C$40))))+Inputs!$C$38*SIN(2*PI()*(Scenario_Data!T73)/Inputs!$C$39)*SIN(2*PI()*(Inputs!$C$6)/Inputs!$C$40)+-Inputs!$C$41*EXP(-(((Inputs!$C$6)-Inputs!$C$43)^2)/(2*Inputs!$C$44^2))*EXP(-(((Scenario_Data!T73)-Inputs!$C$42)^2)/(2*Inputs!$C$45^2))+Inputs!$C$48*(0.7*(0.45*SIN(2*PI()*(((Scenario_Data!T73)/Inputs!$C$49)+Inputs!$C$47*0.137))+0.35*COS(2*PI()*(((Inputs!$C$6)/Inputs!$C$50)+Inputs!$C$47*0.173))+0.2*SIN(2*PI()*((((Scenario_Data!T73)+(Inputs!$C$6))/(0.5*(Inputs!$C$49+Inputs!$C$50)))+Inputs!$C$47*0.097)))+0.3*(2*((SIN(((Scenario_Data!T73)*12.9898+(Inputs!$C$6)*78.233+Inputs!$C$47*37.719))*43758.5453)-INT((SIN(((Scenario_Data!T73)*12.9898+(Inputs!$C$6)*78.233+Inputs!$C$47*37.719))*43758.5453)))-1))))/1000))*COS(SQRT((Scenario_Data!T73)^2+Inputs!$C$6^2)/Inputs!$C$52))*1000)/Inputs!$C$21*1000000</f>
        <v/>
      </c>
      <c r="AR73">
        <f>Scenario_Data!U73</f>
        <v/>
      </c>
      <c r="AS73">
        <f>2*(SQRT((Inputs!$C$52+(Scenario_Data!C73))^2+(Inputs!$C$52+((IF(OR(Inputs!$C$27=TRUE,Inputs!$C$27="TRUE",Inputs!$C$27=1),1,0)*(Inputs!$C$51*(115*EXP(-(((Inputs!$C$6)-25)^2)/(4.5^2))+70*EXP(-(((Inputs!$C$6)+38)^2)/(7^2))*(0.55+0.45*SIN(2*PI()*(Scenario_Data!U73)/45))+24*SIN(2*PI()*(Inputs!$C$6)/9+(Scenario_Data!U73)/18)*EXP(-(((Inputs!$C$6)+5)^2)/(22^2))+18*SIN(2*PI()*(Scenario_Data!U73)/70))+Inputs!$C$28*EXP(-(((Scenario_Data!U73)-Inputs!$C$29)^2)/(2*Inputs!$C$31^2))*EXP(-(((Inputs!$C$6)-Inputs!$C$30)^2)/(2*Inputs!$C$32^2))+-Inputs!$C$33*EXP(-(((((Scenario_Data!U73)-Inputs!$C$34)^2)+(((Inputs!$C$6)-Inputs!$C$35)^2))/(2*Inputs!$C$36^2)))+Inputs!$C$37*(0.55*SIN(2*PI()*(Scenario_Data!U73)/Inputs!$C$39)+0.35*COS(2*PI()*(Inputs!$C$6)/Inputs!$C$40)+0.2*SIN(2*PI()*((Scenario_Data!U73)+(Inputs!$C$6))/(0.5*(Inputs!$C$39+Inputs!$C$40))))+Inputs!$C$38*SIN(2*PI()*(Scenario_Data!U73)/Inputs!$C$39)*SIN(2*PI()*(Inputs!$C$6)/Inputs!$C$40)+-Inputs!$C$41*EXP(-(((Inputs!$C$6)-Inputs!$C$43)^2)/(2*Inputs!$C$44^2))*EXP(-(((Scenario_Data!U73)-Inputs!$C$42)^2)/(2*Inputs!$C$45^2))+Inputs!$C$48*(0.7*(0.45*SIN(2*PI()*(((Scenario_Data!U73)/Inputs!$C$49)+Inputs!$C$47*0.137))+0.35*COS(2*PI()*(((Inputs!$C$6)/Inputs!$C$50)+Inputs!$C$47*0.173))+0.2*SIN(2*PI()*((((Scenario_Data!U73)+(Inputs!$C$6))/(0.5*(Inputs!$C$49+Inputs!$C$50)))+Inputs!$C$47*0.097)))+0.3*(2*((SIN(((Scenario_Data!U73)*12.9898+(Inputs!$C$6)*78.233+Inputs!$C$47*37.719))*43758.5453)-INT((SIN(((Scenario_Data!U73)*12.9898+(Inputs!$C$6)*78.233+Inputs!$C$47*37.719))*43758.5453)))-1))))/1000))^2-2*(Inputs!$C$52+(Scenario_Data!C73))*(Inputs!$C$52+((IF(OR(Inputs!$C$27=TRUE,Inputs!$C$27="TRUE",Inputs!$C$27=1),1,0)*(Inputs!$C$51*(115*EXP(-(((Inputs!$C$6)-25)^2)/(4.5^2))+70*EXP(-(((Inputs!$C$6)+38)^2)/(7^2))*(0.55+0.45*SIN(2*PI()*(Scenario_Data!U73)/45))+24*SIN(2*PI()*(Inputs!$C$6)/9+(Scenario_Data!U73)/18)*EXP(-(((Inputs!$C$6)+5)^2)/(22^2))+18*SIN(2*PI()*(Scenario_Data!U73)/70))+Inputs!$C$28*EXP(-(((Scenario_Data!U73)-Inputs!$C$29)^2)/(2*Inputs!$C$31^2))*EXP(-(((Inputs!$C$6)-Inputs!$C$30)^2)/(2*Inputs!$C$32^2))+-Inputs!$C$33*EXP(-(((((Scenario_Data!U73)-Inputs!$C$34)^2)+(((Inputs!$C$6)-Inputs!$C$35)^2))/(2*Inputs!$C$36^2)))+Inputs!$C$37*(0.55*SIN(2*PI()*(Scenario_Data!U73)/Inputs!$C$39)+0.35*COS(2*PI()*(Inputs!$C$6)/Inputs!$C$40)+0.2*SIN(2*PI()*((Scenario_Data!U73)+(Inputs!$C$6))/(0.5*(Inputs!$C$39+Inputs!$C$40))))+Inputs!$C$38*SIN(2*PI()*(Scenario_Data!U73)/Inputs!$C$39)*SIN(2*PI()*(Inputs!$C$6)/Inputs!$C$40)+-Inputs!$C$41*EXP(-(((Inputs!$C$6)-Inputs!$C$43)^2)/(2*Inputs!$C$44^2))*EXP(-(((Scenario_Data!U73)-Inputs!$C$42)^2)/(2*Inputs!$C$45^2))+Inputs!$C$48*(0.7*(0.45*SIN(2*PI()*(((Scenario_Data!U73)/Inputs!$C$49)+Inputs!$C$47*0.137))+0.35*COS(2*PI()*(((Inputs!$C$6)/Inputs!$C$50)+Inputs!$C$47*0.173))+0.2*SIN(2*PI()*((((Scenario_Data!U73)+(Inputs!$C$6))/(0.5*(Inputs!$C$49+Inputs!$C$50)))+Inputs!$C$47*0.097)))+0.3*(2*((SIN(((Scenario_Data!U73)*12.9898+(Inputs!$C$6)*78.233+Inputs!$C$47*37.719))*43758.5453)-INT((SIN(((Scenario_Data!U73)*12.9898+(Inputs!$C$6)*78.233+Inputs!$C$47*37.719))*43758.5453)))-1))))/1000))*COS(SQRT((Scenario_Data!U73)^2+Inputs!$C$6^2)/Inputs!$C$52))*1000)/Inputs!$C$21*1000000</f>
        <v/>
      </c>
      <c r="AT73">
        <f>Scenario_Data!V73</f>
        <v/>
      </c>
      <c r="AU73">
        <f>2*(SQRT((Inputs!$C$52+(Scenario_Data!D73))^2+(Inputs!$C$52+((IF(OR(Inputs!$C$27=TRUE,Inputs!$C$27="TRUE",Inputs!$C$27=1),1,0)*(Inputs!$C$51*(115*EXP(-(((Inputs!$C$6)-25)^2)/(4.5^2))+70*EXP(-(((Inputs!$C$6)+38)^2)/(7^2))*(0.55+0.45*SIN(2*PI()*(Scenario_Data!V73)/45))+24*SIN(2*PI()*(Inputs!$C$6)/9+(Scenario_Data!V73)/18)*EXP(-(((Inputs!$C$6)+5)^2)/(22^2))+18*SIN(2*PI()*(Scenario_Data!V73)/70))+Inputs!$C$28*EXP(-(((Scenario_Data!V73)-Inputs!$C$29)^2)/(2*Inputs!$C$31^2))*EXP(-(((Inputs!$C$6)-Inputs!$C$30)^2)/(2*Inputs!$C$32^2))+-Inputs!$C$33*EXP(-(((((Scenario_Data!V73)-Inputs!$C$34)^2)+(((Inputs!$C$6)-Inputs!$C$35)^2))/(2*Inputs!$C$36^2)))+Inputs!$C$37*(0.55*SIN(2*PI()*(Scenario_Data!V73)/Inputs!$C$39)+0.35*COS(2*PI()*(Inputs!$C$6)/Inputs!$C$40)+0.2*SIN(2*PI()*((Scenario_Data!V73)+(Inputs!$C$6))/(0.5*(Inputs!$C$39+Inputs!$C$40))))+Inputs!$C$38*SIN(2*PI()*(Scenario_Data!V73)/Inputs!$C$39)*SIN(2*PI()*(Inputs!$C$6)/Inputs!$C$40)+-Inputs!$C$41*EXP(-(((Inputs!$C$6)-Inputs!$C$43)^2)/(2*Inputs!$C$44^2))*EXP(-(((Scenario_Data!V73)-Inputs!$C$42)^2)/(2*Inputs!$C$45^2))+Inputs!$C$48*(0.7*(0.45*SIN(2*PI()*(((Scenario_Data!V73)/Inputs!$C$49)+Inputs!$C$47*0.137))+0.35*COS(2*PI()*(((Inputs!$C$6)/Inputs!$C$50)+Inputs!$C$47*0.173))+0.2*SIN(2*PI()*((((Scenario_Data!V73)+(Inputs!$C$6))/(0.5*(Inputs!$C$49+Inputs!$C$50)))+Inputs!$C$47*0.097)))+0.3*(2*((SIN(((Scenario_Data!V73)*12.9898+(Inputs!$C$6)*78.233+Inputs!$C$47*37.719))*43758.5453)-INT((SIN(((Scenario_Data!V73)*12.9898+(Inputs!$C$6)*78.233+Inputs!$C$47*37.719))*43758.5453)))-1))))/1000))^2-2*(Inputs!$C$52+(Scenario_Data!D73))*(Inputs!$C$52+((IF(OR(Inputs!$C$27=TRUE,Inputs!$C$27="TRUE",Inputs!$C$27=1),1,0)*(Inputs!$C$51*(115*EXP(-(((Inputs!$C$6)-25)^2)/(4.5^2))+70*EXP(-(((Inputs!$C$6)+38)^2)/(7^2))*(0.55+0.45*SIN(2*PI()*(Scenario_Data!V73)/45))+24*SIN(2*PI()*(Inputs!$C$6)/9+(Scenario_Data!V73)/18)*EXP(-(((Inputs!$C$6)+5)^2)/(22^2))+18*SIN(2*PI()*(Scenario_Data!V73)/70))+Inputs!$C$28*EXP(-(((Scenario_Data!V73)-Inputs!$C$29)^2)/(2*Inputs!$C$31^2))*EXP(-(((Inputs!$C$6)-Inputs!$C$30)^2)/(2*Inputs!$C$32^2))+-Inputs!$C$33*EXP(-(((((Scenario_Data!V73)-Inputs!$C$34)^2)+(((Inputs!$C$6)-Inputs!$C$35)^2))/(2*Inputs!$C$36^2)))+Inputs!$C$37*(0.55*SIN(2*PI()*(Scenario_Data!V73)/Inputs!$C$39)+0.35*COS(2*PI()*(Inputs!$C$6)/Inputs!$C$40)+0.2*SIN(2*PI()*((Scenario_Data!V73)+(Inputs!$C$6))/(0.5*(Inputs!$C$39+Inputs!$C$40))))+Inputs!$C$38*SIN(2*PI()*(Scenario_Data!V73)/Inputs!$C$39)*SIN(2*PI()*(Inputs!$C$6)/Inputs!$C$40)+-Inputs!$C$41*EXP(-(((Inputs!$C$6)-Inputs!$C$43)^2)/(2*Inputs!$C$44^2))*EXP(-(((Scenario_Data!V73)-Inputs!$C$42)^2)/(2*Inputs!$C$45^2))+Inputs!$C$48*(0.7*(0.45*SIN(2*PI()*(((Scenario_Data!V73)/Inputs!$C$49)+Inputs!$C$47*0.137))+0.35*COS(2*PI()*(((Inputs!$C$6)/Inputs!$C$50)+Inputs!$C$47*0.173))+0.2*SIN(2*PI()*((((Scenario_Data!V73)+(Inputs!$C$6))/(0.5*(Inputs!$C$49+Inputs!$C$50)))+Inputs!$C$47*0.097)))+0.3*(2*((SIN(((Scenario_Data!V73)*12.9898+(Inputs!$C$6)*78.233+Inputs!$C$47*37.719))*43758.5453)-INT((SIN(((Scenario_Data!V73)*12.9898+(Inputs!$C$6)*78.233+Inputs!$C$47*37.719))*43758.5453)))-1))))/1000))*COS(SQRT((Scenario_Data!V73)^2+Inputs!$C$6^2)/Inputs!$C$52))*1000)/Inputs!$C$21*1000000</f>
        <v/>
      </c>
      <c r="AV73">
        <f>Scenario_Data!W73</f>
        <v/>
      </c>
      <c r="AW73">
        <f>2*(SQRT((Inputs!$C$52+(Scenario_Data!E73))^2+(Inputs!$C$52+((IF(OR(Inputs!$C$27=TRUE,Inputs!$C$27="TRUE",Inputs!$C$27=1),1,0)*(Inputs!$C$51*(115*EXP(-(((Inputs!$C$6)-25)^2)/(4.5^2))+70*EXP(-(((Inputs!$C$6)+38)^2)/(7^2))*(0.55+0.45*SIN(2*PI()*(Scenario_Data!W73)/45))+24*SIN(2*PI()*(Inputs!$C$6)/9+(Scenario_Data!W73)/18)*EXP(-(((Inputs!$C$6)+5)^2)/(22^2))+18*SIN(2*PI()*(Scenario_Data!W73)/70))+Inputs!$C$28*EXP(-(((Scenario_Data!W73)-Inputs!$C$29)^2)/(2*Inputs!$C$31^2))*EXP(-(((Inputs!$C$6)-Inputs!$C$30)^2)/(2*Inputs!$C$32^2))+-Inputs!$C$33*EXP(-(((((Scenario_Data!W73)-Inputs!$C$34)^2)+(((Inputs!$C$6)-Inputs!$C$35)^2))/(2*Inputs!$C$36^2)))+Inputs!$C$37*(0.55*SIN(2*PI()*(Scenario_Data!W73)/Inputs!$C$39)+0.35*COS(2*PI()*(Inputs!$C$6)/Inputs!$C$40)+0.2*SIN(2*PI()*((Scenario_Data!W73)+(Inputs!$C$6))/(0.5*(Inputs!$C$39+Inputs!$C$40))))+Inputs!$C$38*SIN(2*PI()*(Scenario_Data!W73)/Inputs!$C$39)*SIN(2*PI()*(Inputs!$C$6)/Inputs!$C$40)+-Inputs!$C$41*EXP(-(((Inputs!$C$6)-Inputs!$C$43)^2)/(2*Inputs!$C$44^2))*EXP(-(((Scenario_Data!W73)-Inputs!$C$42)^2)/(2*Inputs!$C$45^2))+Inputs!$C$48*(0.7*(0.45*SIN(2*PI()*(((Scenario_Data!W73)/Inputs!$C$49)+Inputs!$C$47*0.137))+0.35*COS(2*PI()*(((Inputs!$C$6)/Inputs!$C$50)+Inputs!$C$47*0.173))+0.2*SIN(2*PI()*((((Scenario_Data!W73)+(Inputs!$C$6))/(0.5*(Inputs!$C$49+Inputs!$C$50)))+Inputs!$C$47*0.097)))+0.3*(2*((SIN(((Scenario_Data!W73)*12.9898+(Inputs!$C$6)*78.233+Inputs!$C$47*37.719))*43758.5453)-INT((SIN(((Scenario_Data!W73)*12.9898+(Inputs!$C$6)*78.233+Inputs!$C$47*37.719))*43758.5453)))-1))))/1000))^2-2*(Inputs!$C$52+(Scenario_Data!E73))*(Inputs!$C$52+((IF(OR(Inputs!$C$27=TRUE,Inputs!$C$27="TRUE",Inputs!$C$27=1),1,0)*(Inputs!$C$51*(115*EXP(-(((Inputs!$C$6)-25)^2)/(4.5^2))+70*EXP(-(((Inputs!$C$6)+38)^2)/(7^2))*(0.55+0.45*SIN(2*PI()*(Scenario_Data!W73)/45))+24*SIN(2*PI()*(Inputs!$C$6)/9+(Scenario_Data!W73)/18)*EXP(-(((Inputs!$C$6)+5)^2)/(22^2))+18*SIN(2*PI()*(Scenario_Data!W73)/70))+Inputs!$C$28*EXP(-(((Scenario_Data!W73)-Inputs!$C$29)^2)/(2*Inputs!$C$31^2))*EXP(-(((Inputs!$C$6)-Inputs!$C$30)^2)/(2*Inputs!$C$32^2))+-Inputs!$C$33*EXP(-(((((Scenario_Data!W73)-Inputs!$C$34)^2)+(((Inputs!$C$6)-Inputs!$C$35)^2))/(2*Inputs!$C$36^2)))+Inputs!$C$37*(0.55*SIN(2*PI()*(Scenario_Data!W73)/Inputs!$C$39)+0.35*COS(2*PI()*(Inputs!$C$6)/Inputs!$C$40)+0.2*SIN(2*PI()*((Scenario_Data!W73)+(Inputs!$C$6))/(0.5*(Inputs!$C$39+Inputs!$C$40))))+Inputs!$C$38*SIN(2*PI()*(Scenario_Data!W73)/Inputs!$C$39)*SIN(2*PI()*(Inputs!$C$6)/Inputs!$C$40)+-Inputs!$C$41*EXP(-(((Inputs!$C$6)-Inputs!$C$43)^2)/(2*Inputs!$C$44^2))*EXP(-(((Scenario_Data!W73)-Inputs!$C$42)^2)/(2*Inputs!$C$45^2))+Inputs!$C$48*(0.7*(0.45*SIN(2*PI()*(((Scenario_Data!W73)/Inputs!$C$49)+Inputs!$C$47*0.137))+0.35*COS(2*PI()*(((Inputs!$C$6)/Inputs!$C$50)+Inputs!$C$47*0.173))+0.2*SIN(2*PI()*((((Scenario_Data!W73)+(Inputs!$C$6))/(0.5*(Inputs!$C$49+Inputs!$C$50)))+Inputs!$C$47*0.097)))+0.3*(2*((SIN(((Scenario_Data!W73)*12.9898+(Inputs!$C$6)*78.233+Inputs!$C$47*37.719))*43758.5453)-INT((SIN(((Scenario_Data!W73)*12.9898+(Inputs!$C$6)*78.233+Inputs!$C$47*37.719))*43758.5453)))-1))))/1000))*COS(SQRT((Scenario_Data!W73)^2+Inputs!$C$6^2)/Inputs!$C$52))*1000)/Inputs!$C$21*1000000</f>
        <v/>
      </c>
    </row>
    <row r="74">
      <c r="A74">
        <f>Chart_Data!K74</f>
        <v/>
      </c>
      <c r="B74">
        <f>Chart_Data!N74-Chart_Data!L74</f>
        <v/>
      </c>
      <c r="D74">
        <f>Chart_Data!G74</f>
        <v/>
      </c>
      <c r="E74">
        <f>Chart_Data!H74</f>
        <v/>
      </c>
      <c r="F74">
        <f>Chart_Data!I74</f>
        <v/>
      </c>
      <c r="G74">
        <f>Chart_Data!J74</f>
        <v/>
      </c>
      <c r="I74">
        <f>Scenario_Data!A74</f>
        <v/>
      </c>
      <c r="J74">
        <f>Scenario_Data!H74-(((SQRT((Inputs!$C$52+(Inputs!$H$6))^2+Inputs!$C$52^2-2*(Inputs!$C$52+(Inputs!$H$6))*Inputs!$C$52*COS(SQRT((Scenario_Data!T74)^2+Inputs!$C$6^2)/Inputs!$C$52)))-(Inputs!$H$6))*1000/Inputs!$C$12)</f>
        <v/>
      </c>
      <c r="K74">
        <f>Scenario_Data!I74-(((SQRT((Inputs!$C$52+(Inputs!$H$7))^2+Inputs!$C$52^2-2*(Inputs!$C$52+(Inputs!$H$7))*Inputs!$C$52*COS(SQRT((Scenario_Data!U74)^2+Inputs!$C$6^2)/Inputs!$C$52)))-(Inputs!$H$7))*1000/Inputs!$C$12)</f>
        <v/>
      </c>
      <c r="L74">
        <f>Scenario_Data!J74-(((SQRT((Inputs!$C$52+(Inputs!$H$8))^2+Inputs!$C$52^2-2*(Inputs!$C$52+(Inputs!$H$8))*Inputs!$C$52*COS(SQRT((Scenario_Data!V74)^2+Inputs!$C$6^2)/Inputs!$C$52)))-(Inputs!$H$8))*1000/Inputs!$C$12)</f>
        <v/>
      </c>
      <c r="M74">
        <f>Scenario_Data!K74-(((SQRT((Inputs!$C$52+(Inputs!$H$9))^2+Inputs!$C$52^2-2*(Inputs!$C$52+(Inputs!$H$9))*Inputs!$C$52*COS(SQRT((Scenario_Data!W74)^2+Inputs!$C$6^2)/Inputs!$C$52)))-(Inputs!$H$9))*1000/Inputs!$C$12)</f>
        <v/>
      </c>
      <c r="O74">
        <f>Scenario_Data!T74</f>
        <v/>
      </c>
      <c r="P74">
        <f>2*(Scenario_Data!B74*1000)/Inputs!$C$21*1000000</f>
        <v/>
      </c>
      <c r="Q74">
        <f>Scenario_Data!U74</f>
        <v/>
      </c>
      <c r="R74">
        <f>2*(Scenario_Data!C74*1000)/Inputs!$C$21*1000000</f>
        <v/>
      </c>
      <c r="S74">
        <f>Scenario_Data!V74</f>
        <v/>
      </c>
      <c r="T74">
        <f>2*(Scenario_Data!D74*1000)/Inputs!$C$21*1000000</f>
        <v/>
      </c>
      <c r="U74">
        <f>Scenario_Data!W74</f>
        <v/>
      </c>
      <c r="V74">
        <f>2*(Scenario_Data!E74*1000)/Inputs!$C$21*1000000</f>
        <v/>
      </c>
      <c r="X74">
        <f>Scenario_Data!T74</f>
        <v/>
      </c>
      <c r="Y74">
        <f>2*((Scenario_Data!B74*1000)-(IF(OR(Inputs!$C$27=TRUE,Inputs!$C$27="TRUE",Inputs!$C$27=1),1,0)*(Inputs!$C$51*(115*EXP(-(((0)-25)^2)/(4.5^2))+70*EXP(-(((0)+38)^2)/(7^2))*(0.55+0.45*SIN(2*PI()*(Scenario_Data!T74)/45))+24*SIN(2*PI()*(0)/9+(Scenario_Data!T74)/18)*EXP(-(((0)+5)^2)/(22^2))+18*SIN(2*PI()*(Scenario_Data!T74)/70))+Inputs!$C$28*EXP(-(((Scenario_Data!T74)-Inputs!$C$29)^2)/(2*Inputs!$C$31^2))*EXP(-(((0)-Inputs!$C$30)^2)/(2*Inputs!$C$32^2))+-Inputs!$C$33*EXP(-(((((Scenario_Data!T74)-Inputs!$C$34)^2)+(((0)-Inputs!$C$35)^2))/(2*Inputs!$C$36^2)))+Inputs!$C$37*(0.55*SIN(2*PI()*(Scenario_Data!T74)/Inputs!$C$39)+0.35*COS(2*PI()*(0)/Inputs!$C$40)+0.2*SIN(2*PI()*((Scenario_Data!T74)+(0))/(0.5*(Inputs!$C$39+Inputs!$C$40))))+Inputs!$C$38*SIN(2*PI()*(Scenario_Data!T74)/Inputs!$C$39)*SIN(2*PI()*(0)/Inputs!$C$40)+-Inputs!$C$41*EXP(-(((0)-Inputs!$C$43)^2)/(2*Inputs!$C$44^2))*EXP(-(((Scenario_Data!T74)-Inputs!$C$42)^2)/(2*Inputs!$C$45^2))+Inputs!$C$48*(0.7*(0.45*SIN(2*PI()*(((Scenario_Data!T74)/Inputs!$C$49)+Inputs!$C$47*0.137))+0.35*COS(2*PI()*(((0)/Inputs!$C$50)+Inputs!$C$47*0.173))+0.2*SIN(2*PI()*((((Scenario_Data!T74)+(0))/(0.5*(Inputs!$C$49+Inputs!$C$50)))+Inputs!$C$47*0.097)))+0.3*(2*((SIN(((Scenario_Data!T74)*12.9898+(0)*78.233+Inputs!$C$47*37.719))*43758.5453)-INT((SIN(((Scenario_Data!T74)*12.9898+(0)*78.233+Inputs!$C$47*37.719))*43758.5453)))-1)))))/Inputs!$C$21*1000000</f>
        <v/>
      </c>
      <c r="Z74">
        <f>Scenario_Data!U74</f>
        <v/>
      </c>
      <c r="AA74">
        <f>2*((Scenario_Data!C74*1000)-(IF(OR(Inputs!$C$27=TRUE,Inputs!$C$27="TRUE",Inputs!$C$27=1),1,0)*(Inputs!$C$51*(115*EXP(-(((0)-25)^2)/(4.5^2))+70*EXP(-(((0)+38)^2)/(7^2))*(0.55+0.45*SIN(2*PI()*(Scenario_Data!U74)/45))+24*SIN(2*PI()*(0)/9+(Scenario_Data!U74)/18)*EXP(-(((0)+5)^2)/(22^2))+18*SIN(2*PI()*(Scenario_Data!U74)/70))+Inputs!$C$28*EXP(-(((Scenario_Data!U74)-Inputs!$C$29)^2)/(2*Inputs!$C$31^2))*EXP(-(((0)-Inputs!$C$30)^2)/(2*Inputs!$C$32^2))+-Inputs!$C$33*EXP(-(((((Scenario_Data!U74)-Inputs!$C$34)^2)+(((0)-Inputs!$C$35)^2))/(2*Inputs!$C$36^2)))+Inputs!$C$37*(0.55*SIN(2*PI()*(Scenario_Data!U74)/Inputs!$C$39)+0.35*COS(2*PI()*(0)/Inputs!$C$40)+0.2*SIN(2*PI()*((Scenario_Data!U74)+(0))/(0.5*(Inputs!$C$39+Inputs!$C$40))))+Inputs!$C$38*SIN(2*PI()*(Scenario_Data!U74)/Inputs!$C$39)*SIN(2*PI()*(0)/Inputs!$C$40)+-Inputs!$C$41*EXP(-(((0)-Inputs!$C$43)^2)/(2*Inputs!$C$44^2))*EXP(-(((Scenario_Data!U74)-Inputs!$C$42)^2)/(2*Inputs!$C$45^2))+Inputs!$C$48*(0.7*(0.45*SIN(2*PI()*(((Scenario_Data!U74)/Inputs!$C$49)+Inputs!$C$47*0.137))+0.35*COS(2*PI()*(((0)/Inputs!$C$50)+Inputs!$C$47*0.173))+0.2*SIN(2*PI()*((((Scenario_Data!U74)+(0))/(0.5*(Inputs!$C$49+Inputs!$C$50)))+Inputs!$C$47*0.097)))+0.3*(2*((SIN(((Scenario_Data!U74)*12.9898+(0)*78.233+Inputs!$C$47*37.719))*43758.5453)-INT((SIN(((Scenario_Data!U74)*12.9898+(0)*78.233+Inputs!$C$47*37.719))*43758.5453)))-1)))))/Inputs!$C$21*1000000</f>
        <v/>
      </c>
      <c r="AB74">
        <f>Scenario_Data!V74</f>
        <v/>
      </c>
      <c r="AC74">
        <f>2*((Scenario_Data!D74*1000)-(IF(OR(Inputs!$C$27=TRUE,Inputs!$C$27="TRUE",Inputs!$C$27=1),1,0)*(Inputs!$C$51*(115*EXP(-(((0)-25)^2)/(4.5^2))+70*EXP(-(((0)+38)^2)/(7^2))*(0.55+0.45*SIN(2*PI()*(Scenario_Data!V74)/45))+24*SIN(2*PI()*(0)/9+(Scenario_Data!V74)/18)*EXP(-(((0)+5)^2)/(22^2))+18*SIN(2*PI()*(Scenario_Data!V74)/70))+Inputs!$C$28*EXP(-(((Scenario_Data!V74)-Inputs!$C$29)^2)/(2*Inputs!$C$31^2))*EXP(-(((0)-Inputs!$C$30)^2)/(2*Inputs!$C$32^2))+-Inputs!$C$33*EXP(-(((((Scenario_Data!V74)-Inputs!$C$34)^2)+(((0)-Inputs!$C$35)^2))/(2*Inputs!$C$36^2)))+Inputs!$C$37*(0.55*SIN(2*PI()*(Scenario_Data!V74)/Inputs!$C$39)+0.35*COS(2*PI()*(0)/Inputs!$C$40)+0.2*SIN(2*PI()*((Scenario_Data!V74)+(0))/(0.5*(Inputs!$C$39+Inputs!$C$40))))+Inputs!$C$38*SIN(2*PI()*(Scenario_Data!V74)/Inputs!$C$39)*SIN(2*PI()*(0)/Inputs!$C$40)+-Inputs!$C$41*EXP(-(((0)-Inputs!$C$43)^2)/(2*Inputs!$C$44^2))*EXP(-(((Scenario_Data!V74)-Inputs!$C$42)^2)/(2*Inputs!$C$45^2))+Inputs!$C$48*(0.7*(0.45*SIN(2*PI()*(((Scenario_Data!V74)/Inputs!$C$49)+Inputs!$C$47*0.137))+0.35*COS(2*PI()*(((0)/Inputs!$C$50)+Inputs!$C$47*0.173))+0.2*SIN(2*PI()*((((Scenario_Data!V74)+(0))/(0.5*(Inputs!$C$49+Inputs!$C$50)))+Inputs!$C$47*0.097)))+0.3*(2*((SIN(((Scenario_Data!V74)*12.9898+(0)*78.233+Inputs!$C$47*37.719))*43758.5453)-INT((SIN(((Scenario_Data!V74)*12.9898+(0)*78.233+Inputs!$C$47*37.719))*43758.5453)))-1)))))/Inputs!$C$21*1000000</f>
        <v/>
      </c>
      <c r="AD74">
        <f>Scenario_Data!W74</f>
        <v/>
      </c>
      <c r="AE74">
        <f>2*((Scenario_Data!E74*1000)-(IF(OR(Inputs!$C$27=TRUE,Inputs!$C$27="TRUE",Inputs!$C$27=1),1,0)*(Inputs!$C$51*(115*EXP(-(((0)-25)^2)/(4.5^2))+70*EXP(-(((0)+38)^2)/(7^2))*(0.55+0.45*SIN(2*PI()*(Scenario_Data!W74)/45))+24*SIN(2*PI()*(0)/9+(Scenario_Data!W74)/18)*EXP(-(((0)+5)^2)/(22^2))+18*SIN(2*PI()*(Scenario_Data!W74)/70))+Inputs!$C$28*EXP(-(((Scenario_Data!W74)-Inputs!$C$29)^2)/(2*Inputs!$C$31^2))*EXP(-(((0)-Inputs!$C$30)^2)/(2*Inputs!$C$32^2))+-Inputs!$C$33*EXP(-(((((Scenario_Data!W74)-Inputs!$C$34)^2)+(((0)-Inputs!$C$35)^2))/(2*Inputs!$C$36^2)))+Inputs!$C$37*(0.55*SIN(2*PI()*(Scenario_Data!W74)/Inputs!$C$39)+0.35*COS(2*PI()*(0)/Inputs!$C$40)+0.2*SIN(2*PI()*((Scenario_Data!W74)+(0))/(0.5*(Inputs!$C$39+Inputs!$C$40))))+Inputs!$C$38*SIN(2*PI()*(Scenario_Data!W74)/Inputs!$C$39)*SIN(2*PI()*(0)/Inputs!$C$40)+-Inputs!$C$41*EXP(-(((0)-Inputs!$C$43)^2)/(2*Inputs!$C$44^2))*EXP(-(((Scenario_Data!W74)-Inputs!$C$42)^2)/(2*Inputs!$C$45^2))+Inputs!$C$48*(0.7*(0.45*SIN(2*PI()*(((Scenario_Data!W74)/Inputs!$C$49)+Inputs!$C$47*0.137))+0.35*COS(2*PI()*(((0)/Inputs!$C$50)+Inputs!$C$47*0.173))+0.2*SIN(2*PI()*((((Scenario_Data!W74)+(0))/(0.5*(Inputs!$C$49+Inputs!$C$50)))+Inputs!$C$47*0.097)))+0.3*(2*((SIN(((Scenario_Data!W74)*12.9898+(0)*78.233+Inputs!$C$47*37.719))*43758.5453)-INT((SIN(((Scenario_Data!W74)*12.9898+(0)*78.233+Inputs!$C$47*37.719))*43758.5453)))-1)))))/Inputs!$C$21*1000000</f>
        <v/>
      </c>
      <c r="AG74">
        <f>Scenario_Data!T74</f>
        <v/>
      </c>
      <c r="AH74">
        <f>2*(SQRT((Inputs!$C$52+(Scenario_Data!B74))^2+Inputs!$C$52^2-2*(Inputs!$C$52+(Scenario_Data!B74))*Inputs!$C$52*COS(SQRT((Scenario_Data!T74)^2+Inputs!$C$6^2)/Inputs!$C$52))*1000)/Inputs!$C$21*1000000</f>
        <v/>
      </c>
      <c r="AI74">
        <f>Scenario_Data!U74</f>
        <v/>
      </c>
      <c r="AJ74">
        <f>2*(SQRT((Inputs!$C$52+(Scenario_Data!C74))^2+Inputs!$C$52^2-2*(Inputs!$C$52+(Scenario_Data!C74))*Inputs!$C$52*COS(SQRT((Scenario_Data!U74)^2+Inputs!$C$6^2)/Inputs!$C$52))*1000)/Inputs!$C$21*1000000</f>
        <v/>
      </c>
      <c r="AK74">
        <f>Scenario_Data!V74</f>
        <v/>
      </c>
      <c r="AL74">
        <f>2*(SQRT((Inputs!$C$52+(Scenario_Data!D74))^2+Inputs!$C$52^2-2*(Inputs!$C$52+(Scenario_Data!D74))*Inputs!$C$52*COS(SQRT((Scenario_Data!V74)^2+Inputs!$C$6^2)/Inputs!$C$52))*1000)/Inputs!$C$21*1000000</f>
        <v/>
      </c>
      <c r="AM74">
        <f>Scenario_Data!W74</f>
        <v/>
      </c>
      <c r="AN74">
        <f>2*(SQRT((Inputs!$C$52+(Scenario_Data!E74))^2+Inputs!$C$52^2-2*(Inputs!$C$52+(Scenario_Data!E74))*Inputs!$C$52*COS(SQRT((Scenario_Data!W74)^2+Inputs!$C$6^2)/Inputs!$C$52))*1000)/Inputs!$C$21*1000000</f>
        <v/>
      </c>
      <c r="AP74">
        <f>Scenario_Data!T74</f>
        <v/>
      </c>
      <c r="AQ74">
        <f>2*(SQRT((Inputs!$C$52+(Scenario_Data!B74))^2+(Inputs!$C$52+((IF(OR(Inputs!$C$27=TRUE,Inputs!$C$27="TRUE",Inputs!$C$27=1),1,0)*(Inputs!$C$51*(115*EXP(-(((Inputs!$C$6)-25)^2)/(4.5^2))+70*EXP(-(((Inputs!$C$6)+38)^2)/(7^2))*(0.55+0.45*SIN(2*PI()*(Scenario_Data!T74)/45))+24*SIN(2*PI()*(Inputs!$C$6)/9+(Scenario_Data!T74)/18)*EXP(-(((Inputs!$C$6)+5)^2)/(22^2))+18*SIN(2*PI()*(Scenario_Data!T74)/70))+Inputs!$C$28*EXP(-(((Scenario_Data!T74)-Inputs!$C$29)^2)/(2*Inputs!$C$31^2))*EXP(-(((Inputs!$C$6)-Inputs!$C$30)^2)/(2*Inputs!$C$32^2))+-Inputs!$C$33*EXP(-(((((Scenario_Data!T74)-Inputs!$C$34)^2)+(((Inputs!$C$6)-Inputs!$C$35)^2))/(2*Inputs!$C$36^2)))+Inputs!$C$37*(0.55*SIN(2*PI()*(Scenario_Data!T74)/Inputs!$C$39)+0.35*COS(2*PI()*(Inputs!$C$6)/Inputs!$C$40)+0.2*SIN(2*PI()*((Scenario_Data!T74)+(Inputs!$C$6))/(0.5*(Inputs!$C$39+Inputs!$C$40))))+Inputs!$C$38*SIN(2*PI()*(Scenario_Data!T74)/Inputs!$C$39)*SIN(2*PI()*(Inputs!$C$6)/Inputs!$C$40)+-Inputs!$C$41*EXP(-(((Inputs!$C$6)-Inputs!$C$43)^2)/(2*Inputs!$C$44^2))*EXP(-(((Scenario_Data!T74)-Inputs!$C$42)^2)/(2*Inputs!$C$45^2))+Inputs!$C$48*(0.7*(0.45*SIN(2*PI()*(((Scenario_Data!T74)/Inputs!$C$49)+Inputs!$C$47*0.137))+0.35*COS(2*PI()*(((Inputs!$C$6)/Inputs!$C$50)+Inputs!$C$47*0.173))+0.2*SIN(2*PI()*((((Scenario_Data!T74)+(Inputs!$C$6))/(0.5*(Inputs!$C$49+Inputs!$C$50)))+Inputs!$C$47*0.097)))+0.3*(2*((SIN(((Scenario_Data!T74)*12.9898+(Inputs!$C$6)*78.233+Inputs!$C$47*37.719))*43758.5453)-INT((SIN(((Scenario_Data!T74)*12.9898+(Inputs!$C$6)*78.233+Inputs!$C$47*37.719))*43758.5453)))-1))))/1000))^2-2*(Inputs!$C$52+(Scenario_Data!B74))*(Inputs!$C$52+((IF(OR(Inputs!$C$27=TRUE,Inputs!$C$27="TRUE",Inputs!$C$27=1),1,0)*(Inputs!$C$51*(115*EXP(-(((Inputs!$C$6)-25)^2)/(4.5^2))+70*EXP(-(((Inputs!$C$6)+38)^2)/(7^2))*(0.55+0.45*SIN(2*PI()*(Scenario_Data!T74)/45))+24*SIN(2*PI()*(Inputs!$C$6)/9+(Scenario_Data!T74)/18)*EXP(-(((Inputs!$C$6)+5)^2)/(22^2))+18*SIN(2*PI()*(Scenario_Data!T74)/70))+Inputs!$C$28*EXP(-(((Scenario_Data!T74)-Inputs!$C$29)^2)/(2*Inputs!$C$31^2))*EXP(-(((Inputs!$C$6)-Inputs!$C$30)^2)/(2*Inputs!$C$32^2))+-Inputs!$C$33*EXP(-(((((Scenario_Data!T74)-Inputs!$C$34)^2)+(((Inputs!$C$6)-Inputs!$C$35)^2))/(2*Inputs!$C$36^2)))+Inputs!$C$37*(0.55*SIN(2*PI()*(Scenario_Data!T74)/Inputs!$C$39)+0.35*COS(2*PI()*(Inputs!$C$6)/Inputs!$C$40)+0.2*SIN(2*PI()*((Scenario_Data!T74)+(Inputs!$C$6))/(0.5*(Inputs!$C$39+Inputs!$C$40))))+Inputs!$C$38*SIN(2*PI()*(Scenario_Data!T74)/Inputs!$C$39)*SIN(2*PI()*(Inputs!$C$6)/Inputs!$C$40)+-Inputs!$C$41*EXP(-(((Inputs!$C$6)-Inputs!$C$43)^2)/(2*Inputs!$C$44^2))*EXP(-(((Scenario_Data!T74)-Inputs!$C$42)^2)/(2*Inputs!$C$45^2))+Inputs!$C$48*(0.7*(0.45*SIN(2*PI()*(((Scenario_Data!T74)/Inputs!$C$49)+Inputs!$C$47*0.137))+0.35*COS(2*PI()*(((Inputs!$C$6)/Inputs!$C$50)+Inputs!$C$47*0.173))+0.2*SIN(2*PI()*((((Scenario_Data!T74)+(Inputs!$C$6))/(0.5*(Inputs!$C$49+Inputs!$C$50)))+Inputs!$C$47*0.097)))+0.3*(2*((SIN(((Scenario_Data!T74)*12.9898+(Inputs!$C$6)*78.233+Inputs!$C$47*37.719))*43758.5453)-INT((SIN(((Scenario_Data!T74)*12.9898+(Inputs!$C$6)*78.233+Inputs!$C$47*37.719))*43758.5453)))-1))))/1000))*COS(SQRT((Scenario_Data!T74)^2+Inputs!$C$6^2)/Inputs!$C$52))*1000)/Inputs!$C$21*1000000</f>
        <v/>
      </c>
      <c r="AR74">
        <f>Scenario_Data!U74</f>
        <v/>
      </c>
      <c r="AS74">
        <f>2*(SQRT((Inputs!$C$52+(Scenario_Data!C74))^2+(Inputs!$C$52+((IF(OR(Inputs!$C$27=TRUE,Inputs!$C$27="TRUE",Inputs!$C$27=1),1,0)*(Inputs!$C$51*(115*EXP(-(((Inputs!$C$6)-25)^2)/(4.5^2))+70*EXP(-(((Inputs!$C$6)+38)^2)/(7^2))*(0.55+0.45*SIN(2*PI()*(Scenario_Data!U74)/45))+24*SIN(2*PI()*(Inputs!$C$6)/9+(Scenario_Data!U74)/18)*EXP(-(((Inputs!$C$6)+5)^2)/(22^2))+18*SIN(2*PI()*(Scenario_Data!U74)/70))+Inputs!$C$28*EXP(-(((Scenario_Data!U74)-Inputs!$C$29)^2)/(2*Inputs!$C$31^2))*EXP(-(((Inputs!$C$6)-Inputs!$C$30)^2)/(2*Inputs!$C$32^2))+-Inputs!$C$33*EXP(-(((((Scenario_Data!U74)-Inputs!$C$34)^2)+(((Inputs!$C$6)-Inputs!$C$35)^2))/(2*Inputs!$C$36^2)))+Inputs!$C$37*(0.55*SIN(2*PI()*(Scenario_Data!U74)/Inputs!$C$39)+0.35*COS(2*PI()*(Inputs!$C$6)/Inputs!$C$40)+0.2*SIN(2*PI()*((Scenario_Data!U74)+(Inputs!$C$6))/(0.5*(Inputs!$C$39+Inputs!$C$40))))+Inputs!$C$38*SIN(2*PI()*(Scenario_Data!U74)/Inputs!$C$39)*SIN(2*PI()*(Inputs!$C$6)/Inputs!$C$40)+-Inputs!$C$41*EXP(-(((Inputs!$C$6)-Inputs!$C$43)^2)/(2*Inputs!$C$44^2))*EXP(-(((Scenario_Data!U74)-Inputs!$C$42)^2)/(2*Inputs!$C$45^2))+Inputs!$C$48*(0.7*(0.45*SIN(2*PI()*(((Scenario_Data!U74)/Inputs!$C$49)+Inputs!$C$47*0.137))+0.35*COS(2*PI()*(((Inputs!$C$6)/Inputs!$C$50)+Inputs!$C$47*0.173))+0.2*SIN(2*PI()*((((Scenario_Data!U74)+(Inputs!$C$6))/(0.5*(Inputs!$C$49+Inputs!$C$50)))+Inputs!$C$47*0.097)))+0.3*(2*((SIN(((Scenario_Data!U74)*12.9898+(Inputs!$C$6)*78.233+Inputs!$C$47*37.719))*43758.5453)-INT((SIN(((Scenario_Data!U74)*12.9898+(Inputs!$C$6)*78.233+Inputs!$C$47*37.719))*43758.5453)))-1))))/1000))^2-2*(Inputs!$C$52+(Scenario_Data!C74))*(Inputs!$C$52+((IF(OR(Inputs!$C$27=TRUE,Inputs!$C$27="TRUE",Inputs!$C$27=1),1,0)*(Inputs!$C$51*(115*EXP(-(((Inputs!$C$6)-25)^2)/(4.5^2))+70*EXP(-(((Inputs!$C$6)+38)^2)/(7^2))*(0.55+0.45*SIN(2*PI()*(Scenario_Data!U74)/45))+24*SIN(2*PI()*(Inputs!$C$6)/9+(Scenario_Data!U74)/18)*EXP(-(((Inputs!$C$6)+5)^2)/(22^2))+18*SIN(2*PI()*(Scenario_Data!U74)/70))+Inputs!$C$28*EXP(-(((Scenario_Data!U74)-Inputs!$C$29)^2)/(2*Inputs!$C$31^2))*EXP(-(((Inputs!$C$6)-Inputs!$C$30)^2)/(2*Inputs!$C$32^2))+-Inputs!$C$33*EXP(-(((((Scenario_Data!U74)-Inputs!$C$34)^2)+(((Inputs!$C$6)-Inputs!$C$35)^2))/(2*Inputs!$C$36^2)))+Inputs!$C$37*(0.55*SIN(2*PI()*(Scenario_Data!U74)/Inputs!$C$39)+0.35*COS(2*PI()*(Inputs!$C$6)/Inputs!$C$40)+0.2*SIN(2*PI()*((Scenario_Data!U74)+(Inputs!$C$6))/(0.5*(Inputs!$C$39+Inputs!$C$40))))+Inputs!$C$38*SIN(2*PI()*(Scenario_Data!U74)/Inputs!$C$39)*SIN(2*PI()*(Inputs!$C$6)/Inputs!$C$40)+-Inputs!$C$41*EXP(-(((Inputs!$C$6)-Inputs!$C$43)^2)/(2*Inputs!$C$44^2))*EXP(-(((Scenario_Data!U74)-Inputs!$C$42)^2)/(2*Inputs!$C$45^2))+Inputs!$C$48*(0.7*(0.45*SIN(2*PI()*(((Scenario_Data!U74)/Inputs!$C$49)+Inputs!$C$47*0.137))+0.35*COS(2*PI()*(((Inputs!$C$6)/Inputs!$C$50)+Inputs!$C$47*0.173))+0.2*SIN(2*PI()*((((Scenario_Data!U74)+(Inputs!$C$6))/(0.5*(Inputs!$C$49+Inputs!$C$50)))+Inputs!$C$47*0.097)))+0.3*(2*((SIN(((Scenario_Data!U74)*12.9898+(Inputs!$C$6)*78.233+Inputs!$C$47*37.719))*43758.5453)-INT((SIN(((Scenario_Data!U74)*12.9898+(Inputs!$C$6)*78.233+Inputs!$C$47*37.719))*43758.5453)))-1))))/1000))*COS(SQRT((Scenario_Data!U74)^2+Inputs!$C$6^2)/Inputs!$C$52))*1000)/Inputs!$C$21*1000000</f>
        <v/>
      </c>
      <c r="AT74">
        <f>Scenario_Data!V74</f>
        <v/>
      </c>
      <c r="AU74">
        <f>2*(SQRT((Inputs!$C$52+(Scenario_Data!D74))^2+(Inputs!$C$52+((IF(OR(Inputs!$C$27=TRUE,Inputs!$C$27="TRUE",Inputs!$C$27=1),1,0)*(Inputs!$C$51*(115*EXP(-(((Inputs!$C$6)-25)^2)/(4.5^2))+70*EXP(-(((Inputs!$C$6)+38)^2)/(7^2))*(0.55+0.45*SIN(2*PI()*(Scenario_Data!V74)/45))+24*SIN(2*PI()*(Inputs!$C$6)/9+(Scenario_Data!V74)/18)*EXP(-(((Inputs!$C$6)+5)^2)/(22^2))+18*SIN(2*PI()*(Scenario_Data!V74)/70))+Inputs!$C$28*EXP(-(((Scenario_Data!V74)-Inputs!$C$29)^2)/(2*Inputs!$C$31^2))*EXP(-(((Inputs!$C$6)-Inputs!$C$30)^2)/(2*Inputs!$C$32^2))+-Inputs!$C$33*EXP(-(((((Scenario_Data!V74)-Inputs!$C$34)^2)+(((Inputs!$C$6)-Inputs!$C$35)^2))/(2*Inputs!$C$36^2)))+Inputs!$C$37*(0.55*SIN(2*PI()*(Scenario_Data!V74)/Inputs!$C$39)+0.35*COS(2*PI()*(Inputs!$C$6)/Inputs!$C$40)+0.2*SIN(2*PI()*((Scenario_Data!V74)+(Inputs!$C$6))/(0.5*(Inputs!$C$39+Inputs!$C$40))))+Inputs!$C$38*SIN(2*PI()*(Scenario_Data!V74)/Inputs!$C$39)*SIN(2*PI()*(Inputs!$C$6)/Inputs!$C$40)+-Inputs!$C$41*EXP(-(((Inputs!$C$6)-Inputs!$C$43)^2)/(2*Inputs!$C$44^2))*EXP(-(((Scenario_Data!V74)-Inputs!$C$42)^2)/(2*Inputs!$C$45^2))+Inputs!$C$48*(0.7*(0.45*SIN(2*PI()*(((Scenario_Data!V74)/Inputs!$C$49)+Inputs!$C$47*0.137))+0.35*COS(2*PI()*(((Inputs!$C$6)/Inputs!$C$50)+Inputs!$C$47*0.173))+0.2*SIN(2*PI()*((((Scenario_Data!V74)+(Inputs!$C$6))/(0.5*(Inputs!$C$49+Inputs!$C$50)))+Inputs!$C$47*0.097)))+0.3*(2*((SIN(((Scenario_Data!V74)*12.9898+(Inputs!$C$6)*78.233+Inputs!$C$47*37.719))*43758.5453)-INT((SIN(((Scenario_Data!V74)*12.9898+(Inputs!$C$6)*78.233+Inputs!$C$47*37.719))*43758.5453)))-1))))/1000))^2-2*(Inputs!$C$52+(Scenario_Data!D74))*(Inputs!$C$52+((IF(OR(Inputs!$C$27=TRUE,Inputs!$C$27="TRUE",Inputs!$C$27=1),1,0)*(Inputs!$C$51*(115*EXP(-(((Inputs!$C$6)-25)^2)/(4.5^2))+70*EXP(-(((Inputs!$C$6)+38)^2)/(7^2))*(0.55+0.45*SIN(2*PI()*(Scenario_Data!V74)/45))+24*SIN(2*PI()*(Inputs!$C$6)/9+(Scenario_Data!V74)/18)*EXP(-(((Inputs!$C$6)+5)^2)/(22^2))+18*SIN(2*PI()*(Scenario_Data!V74)/70))+Inputs!$C$28*EXP(-(((Scenario_Data!V74)-Inputs!$C$29)^2)/(2*Inputs!$C$31^2))*EXP(-(((Inputs!$C$6)-Inputs!$C$30)^2)/(2*Inputs!$C$32^2))+-Inputs!$C$33*EXP(-(((((Scenario_Data!V74)-Inputs!$C$34)^2)+(((Inputs!$C$6)-Inputs!$C$35)^2))/(2*Inputs!$C$36^2)))+Inputs!$C$37*(0.55*SIN(2*PI()*(Scenario_Data!V74)/Inputs!$C$39)+0.35*COS(2*PI()*(Inputs!$C$6)/Inputs!$C$40)+0.2*SIN(2*PI()*((Scenario_Data!V74)+(Inputs!$C$6))/(0.5*(Inputs!$C$39+Inputs!$C$40))))+Inputs!$C$38*SIN(2*PI()*(Scenario_Data!V74)/Inputs!$C$39)*SIN(2*PI()*(Inputs!$C$6)/Inputs!$C$40)+-Inputs!$C$41*EXP(-(((Inputs!$C$6)-Inputs!$C$43)^2)/(2*Inputs!$C$44^2))*EXP(-(((Scenario_Data!V74)-Inputs!$C$42)^2)/(2*Inputs!$C$45^2))+Inputs!$C$48*(0.7*(0.45*SIN(2*PI()*(((Scenario_Data!V74)/Inputs!$C$49)+Inputs!$C$47*0.137))+0.35*COS(2*PI()*(((Inputs!$C$6)/Inputs!$C$50)+Inputs!$C$47*0.173))+0.2*SIN(2*PI()*((((Scenario_Data!V74)+(Inputs!$C$6))/(0.5*(Inputs!$C$49+Inputs!$C$50)))+Inputs!$C$47*0.097)))+0.3*(2*((SIN(((Scenario_Data!V74)*12.9898+(Inputs!$C$6)*78.233+Inputs!$C$47*37.719))*43758.5453)-INT((SIN(((Scenario_Data!V74)*12.9898+(Inputs!$C$6)*78.233+Inputs!$C$47*37.719))*43758.5453)))-1))))/1000))*COS(SQRT((Scenario_Data!V74)^2+Inputs!$C$6^2)/Inputs!$C$52))*1000)/Inputs!$C$21*1000000</f>
        <v/>
      </c>
      <c r="AV74">
        <f>Scenario_Data!W74</f>
        <v/>
      </c>
      <c r="AW74">
        <f>2*(SQRT((Inputs!$C$52+(Scenario_Data!E74))^2+(Inputs!$C$52+((IF(OR(Inputs!$C$27=TRUE,Inputs!$C$27="TRUE",Inputs!$C$27=1),1,0)*(Inputs!$C$51*(115*EXP(-(((Inputs!$C$6)-25)^2)/(4.5^2))+70*EXP(-(((Inputs!$C$6)+38)^2)/(7^2))*(0.55+0.45*SIN(2*PI()*(Scenario_Data!W74)/45))+24*SIN(2*PI()*(Inputs!$C$6)/9+(Scenario_Data!W74)/18)*EXP(-(((Inputs!$C$6)+5)^2)/(22^2))+18*SIN(2*PI()*(Scenario_Data!W74)/70))+Inputs!$C$28*EXP(-(((Scenario_Data!W74)-Inputs!$C$29)^2)/(2*Inputs!$C$31^2))*EXP(-(((Inputs!$C$6)-Inputs!$C$30)^2)/(2*Inputs!$C$32^2))+-Inputs!$C$33*EXP(-(((((Scenario_Data!W74)-Inputs!$C$34)^2)+(((Inputs!$C$6)-Inputs!$C$35)^2))/(2*Inputs!$C$36^2)))+Inputs!$C$37*(0.55*SIN(2*PI()*(Scenario_Data!W74)/Inputs!$C$39)+0.35*COS(2*PI()*(Inputs!$C$6)/Inputs!$C$40)+0.2*SIN(2*PI()*((Scenario_Data!W74)+(Inputs!$C$6))/(0.5*(Inputs!$C$39+Inputs!$C$40))))+Inputs!$C$38*SIN(2*PI()*(Scenario_Data!W74)/Inputs!$C$39)*SIN(2*PI()*(Inputs!$C$6)/Inputs!$C$40)+-Inputs!$C$41*EXP(-(((Inputs!$C$6)-Inputs!$C$43)^2)/(2*Inputs!$C$44^2))*EXP(-(((Scenario_Data!W74)-Inputs!$C$42)^2)/(2*Inputs!$C$45^2))+Inputs!$C$48*(0.7*(0.45*SIN(2*PI()*(((Scenario_Data!W74)/Inputs!$C$49)+Inputs!$C$47*0.137))+0.35*COS(2*PI()*(((Inputs!$C$6)/Inputs!$C$50)+Inputs!$C$47*0.173))+0.2*SIN(2*PI()*((((Scenario_Data!W74)+(Inputs!$C$6))/(0.5*(Inputs!$C$49+Inputs!$C$50)))+Inputs!$C$47*0.097)))+0.3*(2*((SIN(((Scenario_Data!W74)*12.9898+(Inputs!$C$6)*78.233+Inputs!$C$47*37.719))*43758.5453)-INT((SIN(((Scenario_Data!W74)*12.9898+(Inputs!$C$6)*78.233+Inputs!$C$47*37.719))*43758.5453)))-1))))/1000))^2-2*(Inputs!$C$52+(Scenario_Data!E74))*(Inputs!$C$52+((IF(OR(Inputs!$C$27=TRUE,Inputs!$C$27="TRUE",Inputs!$C$27=1),1,0)*(Inputs!$C$51*(115*EXP(-(((Inputs!$C$6)-25)^2)/(4.5^2))+70*EXP(-(((Inputs!$C$6)+38)^2)/(7^2))*(0.55+0.45*SIN(2*PI()*(Scenario_Data!W74)/45))+24*SIN(2*PI()*(Inputs!$C$6)/9+(Scenario_Data!W74)/18)*EXP(-(((Inputs!$C$6)+5)^2)/(22^2))+18*SIN(2*PI()*(Scenario_Data!W74)/70))+Inputs!$C$28*EXP(-(((Scenario_Data!W74)-Inputs!$C$29)^2)/(2*Inputs!$C$31^2))*EXP(-(((Inputs!$C$6)-Inputs!$C$30)^2)/(2*Inputs!$C$32^2))+-Inputs!$C$33*EXP(-(((((Scenario_Data!W74)-Inputs!$C$34)^2)+(((Inputs!$C$6)-Inputs!$C$35)^2))/(2*Inputs!$C$36^2)))+Inputs!$C$37*(0.55*SIN(2*PI()*(Scenario_Data!W74)/Inputs!$C$39)+0.35*COS(2*PI()*(Inputs!$C$6)/Inputs!$C$40)+0.2*SIN(2*PI()*((Scenario_Data!W74)+(Inputs!$C$6))/(0.5*(Inputs!$C$39+Inputs!$C$40))))+Inputs!$C$38*SIN(2*PI()*(Scenario_Data!W74)/Inputs!$C$39)*SIN(2*PI()*(Inputs!$C$6)/Inputs!$C$40)+-Inputs!$C$41*EXP(-(((Inputs!$C$6)-Inputs!$C$43)^2)/(2*Inputs!$C$44^2))*EXP(-(((Scenario_Data!W74)-Inputs!$C$42)^2)/(2*Inputs!$C$45^2))+Inputs!$C$48*(0.7*(0.45*SIN(2*PI()*(((Scenario_Data!W74)/Inputs!$C$49)+Inputs!$C$47*0.137))+0.35*COS(2*PI()*(((Inputs!$C$6)/Inputs!$C$50)+Inputs!$C$47*0.173))+0.2*SIN(2*PI()*((((Scenario_Data!W74)+(Inputs!$C$6))/(0.5*(Inputs!$C$49+Inputs!$C$50)))+Inputs!$C$47*0.097)))+0.3*(2*((SIN(((Scenario_Data!W74)*12.9898+(Inputs!$C$6)*78.233+Inputs!$C$47*37.719))*43758.5453)-INT((SIN(((Scenario_Data!W74)*12.9898+(Inputs!$C$6)*78.233+Inputs!$C$47*37.719))*43758.5453)))-1))))/1000))*COS(SQRT((Scenario_Data!W74)^2+Inputs!$C$6^2)/Inputs!$C$52))*1000)/Inputs!$C$21*1000000</f>
        <v/>
      </c>
    </row>
    <row r="75">
      <c r="A75">
        <f>Chart_Data!K75</f>
        <v/>
      </c>
      <c r="B75">
        <f>Chart_Data!N75-Chart_Data!L75</f>
        <v/>
      </c>
      <c r="D75">
        <f>Chart_Data!G75</f>
        <v/>
      </c>
      <c r="E75">
        <f>Chart_Data!H75</f>
        <v/>
      </c>
      <c r="F75">
        <f>Chart_Data!I75</f>
        <v/>
      </c>
      <c r="G75">
        <f>Chart_Data!J75</f>
        <v/>
      </c>
      <c r="I75">
        <f>Scenario_Data!A75</f>
        <v/>
      </c>
      <c r="J75">
        <f>Scenario_Data!H75-(((SQRT((Inputs!$C$52+(Inputs!$H$6))^2+Inputs!$C$52^2-2*(Inputs!$C$52+(Inputs!$H$6))*Inputs!$C$52*COS(SQRT((Scenario_Data!T75)^2+Inputs!$C$6^2)/Inputs!$C$52)))-(Inputs!$H$6))*1000/Inputs!$C$12)</f>
        <v/>
      </c>
      <c r="K75">
        <f>Scenario_Data!I75-(((SQRT((Inputs!$C$52+(Inputs!$H$7))^2+Inputs!$C$52^2-2*(Inputs!$C$52+(Inputs!$H$7))*Inputs!$C$52*COS(SQRT((Scenario_Data!U75)^2+Inputs!$C$6^2)/Inputs!$C$52)))-(Inputs!$H$7))*1000/Inputs!$C$12)</f>
        <v/>
      </c>
      <c r="L75">
        <f>Scenario_Data!J75-(((SQRT((Inputs!$C$52+(Inputs!$H$8))^2+Inputs!$C$52^2-2*(Inputs!$C$52+(Inputs!$H$8))*Inputs!$C$52*COS(SQRT((Scenario_Data!V75)^2+Inputs!$C$6^2)/Inputs!$C$52)))-(Inputs!$H$8))*1000/Inputs!$C$12)</f>
        <v/>
      </c>
      <c r="M75">
        <f>Scenario_Data!K75-(((SQRT((Inputs!$C$52+(Inputs!$H$9))^2+Inputs!$C$52^2-2*(Inputs!$C$52+(Inputs!$H$9))*Inputs!$C$52*COS(SQRT((Scenario_Data!W75)^2+Inputs!$C$6^2)/Inputs!$C$52)))-(Inputs!$H$9))*1000/Inputs!$C$12)</f>
        <v/>
      </c>
      <c r="O75">
        <f>Scenario_Data!T75</f>
        <v/>
      </c>
      <c r="P75">
        <f>2*(Scenario_Data!B75*1000)/Inputs!$C$21*1000000</f>
        <v/>
      </c>
      <c r="Q75">
        <f>Scenario_Data!U75</f>
        <v/>
      </c>
      <c r="R75">
        <f>2*(Scenario_Data!C75*1000)/Inputs!$C$21*1000000</f>
        <v/>
      </c>
      <c r="S75">
        <f>Scenario_Data!V75</f>
        <v/>
      </c>
      <c r="T75">
        <f>2*(Scenario_Data!D75*1000)/Inputs!$C$21*1000000</f>
        <v/>
      </c>
      <c r="U75">
        <f>Scenario_Data!W75</f>
        <v/>
      </c>
      <c r="V75">
        <f>2*(Scenario_Data!E75*1000)/Inputs!$C$21*1000000</f>
        <v/>
      </c>
      <c r="X75">
        <f>Scenario_Data!T75</f>
        <v/>
      </c>
      <c r="Y75">
        <f>2*((Scenario_Data!B75*1000)-(IF(OR(Inputs!$C$27=TRUE,Inputs!$C$27="TRUE",Inputs!$C$27=1),1,0)*(Inputs!$C$51*(115*EXP(-(((0)-25)^2)/(4.5^2))+70*EXP(-(((0)+38)^2)/(7^2))*(0.55+0.45*SIN(2*PI()*(Scenario_Data!T75)/45))+24*SIN(2*PI()*(0)/9+(Scenario_Data!T75)/18)*EXP(-(((0)+5)^2)/(22^2))+18*SIN(2*PI()*(Scenario_Data!T75)/70))+Inputs!$C$28*EXP(-(((Scenario_Data!T75)-Inputs!$C$29)^2)/(2*Inputs!$C$31^2))*EXP(-(((0)-Inputs!$C$30)^2)/(2*Inputs!$C$32^2))+-Inputs!$C$33*EXP(-(((((Scenario_Data!T75)-Inputs!$C$34)^2)+(((0)-Inputs!$C$35)^2))/(2*Inputs!$C$36^2)))+Inputs!$C$37*(0.55*SIN(2*PI()*(Scenario_Data!T75)/Inputs!$C$39)+0.35*COS(2*PI()*(0)/Inputs!$C$40)+0.2*SIN(2*PI()*((Scenario_Data!T75)+(0))/(0.5*(Inputs!$C$39+Inputs!$C$40))))+Inputs!$C$38*SIN(2*PI()*(Scenario_Data!T75)/Inputs!$C$39)*SIN(2*PI()*(0)/Inputs!$C$40)+-Inputs!$C$41*EXP(-(((0)-Inputs!$C$43)^2)/(2*Inputs!$C$44^2))*EXP(-(((Scenario_Data!T75)-Inputs!$C$42)^2)/(2*Inputs!$C$45^2))+Inputs!$C$48*(0.7*(0.45*SIN(2*PI()*(((Scenario_Data!T75)/Inputs!$C$49)+Inputs!$C$47*0.137))+0.35*COS(2*PI()*(((0)/Inputs!$C$50)+Inputs!$C$47*0.173))+0.2*SIN(2*PI()*((((Scenario_Data!T75)+(0))/(0.5*(Inputs!$C$49+Inputs!$C$50)))+Inputs!$C$47*0.097)))+0.3*(2*((SIN(((Scenario_Data!T75)*12.9898+(0)*78.233+Inputs!$C$47*37.719))*43758.5453)-INT((SIN(((Scenario_Data!T75)*12.9898+(0)*78.233+Inputs!$C$47*37.719))*43758.5453)))-1)))))/Inputs!$C$21*1000000</f>
        <v/>
      </c>
      <c r="Z75">
        <f>Scenario_Data!U75</f>
        <v/>
      </c>
      <c r="AA75">
        <f>2*((Scenario_Data!C75*1000)-(IF(OR(Inputs!$C$27=TRUE,Inputs!$C$27="TRUE",Inputs!$C$27=1),1,0)*(Inputs!$C$51*(115*EXP(-(((0)-25)^2)/(4.5^2))+70*EXP(-(((0)+38)^2)/(7^2))*(0.55+0.45*SIN(2*PI()*(Scenario_Data!U75)/45))+24*SIN(2*PI()*(0)/9+(Scenario_Data!U75)/18)*EXP(-(((0)+5)^2)/(22^2))+18*SIN(2*PI()*(Scenario_Data!U75)/70))+Inputs!$C$28*EXP(-(((Scenario_Data!U75)-Inputs!$C$29)^2)/(2*Inputs!$C$31^2))*EXP(-(((0)-Inputs!$C$30)^2)/(2*Inputs!$C$32^2))+-Inputs!$C$33*EXP(-(((((Scenario_Data!U75)-Inputs!$C$34)^2)+(((0)-Inputs!$C$35)^2))/(2*Inputs!$C$36^2)))+Inputs!$C$37*(0.55*SIN(2*PI()*(Scenario_Data!U75)/Inputs!$C$39)+0.35*COS(2*PI()*(0)/Inputs!$C$40)+0.2*SIN(2*PI()*((Scenario_Data!U75)+(0))/(0.5*(Inputs!$C$39+Inputs!$C$40))))+Inputs!$C$38*SIN(2*PI()*(Scenario_Data!U75)/Inputs!$C$39)*SIN(2*PI()*(0)/Inputs!$C$40)+-Inputs!$C$41*EXP(-(((0)-Inputs!$C$43)^2)/(2*Inputs!$C$44^2))*EXP(-(((Scenario_Data!U75)-Inputs!$C$42)^2)/(2*Inputs!$C$45^2))+Inputs!$C$48*(0.7*(0.45*SIN(2*PI()*(((Scenario_Data!U75)/Inputs!$C$49)+Inputs!$C$47*0.137))+0.35*COS(2*PI()*(((0)/Inputs!$C$50)+Inputs!$C$47*0.173))+0.2*SIN(2*PI()*((((Scenario_Data!U75)+(0))/(0.5*(Inputs!$C$49+Inputs!$C$50)))+Inputs!$C$47*0.097)))+0.3*(2*((SIN(((Scenario_Data!U75)*12.9898+(0)*78.233+Inputs!$C$47*37.719))*43758.5453)-INT((SIN(((Scenario_Data!U75)*12.9898+(0)*78.233+Inputs!$C$47*37.719))*43758.5453)))-1)))))/Inputs!$C$21*1000000</f>
        <v/>
      </c>
      <c r="AB75">
        <f>Scenario_Data!V75</f>
        <v/>
      </c>
      <c r="AC75">
        <f>2*((Scenario_Data!D75*1000)-(IF(OR(Inputs!$C$27=TRUE,Inputs!$C$27="TRUE",Inputs!$C$27=1),1,0)*(Inputs!$C$51*(115*EXP(-(((0)-25)^2)/(4.5^2))+70*EXP(-(((0)+38)^2)/(7^2))*(0.55+0.45*SIN(2*PI()*(Scenario_Data!V75)/45))+24*SIN(2*PI()*(0)/9+(Scenario_Data!V75)/18)*EXP(-(((0)+5)^2)/(22^2))+18*SIN(2*PI()*(Scenario_Data!V75)/70))+Inputs!$C$28*EXP(-(((Scenario_Data!V75)-Inputs!$C$29)^2)/(2*Inputs!$C$31^2))*EXP(-(((0)-Inputs!$C$30)^2)/(2*Inputs!$C$32^2))+-Inputs!$C$33*EXP(-(((((Scenario_Data!V75)-Inputs!$C$34)^2)+(((0)-Inputs!$C$35)^2))/(2*Inputs!$C$36^2)))+Inputs!$C$37*(0.55*SIN(2*PI()*(Scenario_Data!V75)/Inputs!$C$39)+0.35*COS(2*PI()*(0)/Inputs!$C$40)+0.2*SIN(2*PI()*((Scenario_Data!V75)+(0))/(0.5*(Inputs!$C$39+Inputs!$C$40))))+Inputs!$C$38*SIN(2*PI()*(Scenario_Data!V75)/Inputs!$C$39)*SIN(2*PI()*(0)/Inputs!$C$40)+-Inputs!$C$41*EXP(-(((0)-Inputs!$C$43)^2)/(2*Inputs!$C$44^2))*EXP(-(((Scenario_Data!V75)-Inputs!$C$42)^2)/(2*Inputs!$C$45^2))+Inputs!$C$48*(0.7*(0.45*SIN(2*PI()*(((Scenario_Data!V75)/Inputs!$C$49)+Inputs!$C$47*0.137))+0.35*COS(2*PI()*(((0)/Inputs!$C$50)+Inputs!$C$47*0.173))+0.2*SIN(2*PI()*((((Scenario_Data!V75)+(0))/(0.5*(Inputs!$C$49+Inputs!$C$50)))+Inputs!$C$47*0.097)))+0.3*(2*((SIN(((Scenario_Data!V75)*12.9898+(0)*78.233+Inputs!$C$47*37.719))*43758.5453)-INT((SIN(((Scenario_Data!V75)*12.9898+(0)*78.233+Inputs!$C$47*37.719))*43758.5453)))-1)))))/Inputs!$C$21*1000000</f>
        <v/>
      </c>
      <c r="AD75">
        <f>Scenario_Data!W75</f>
        <v/>
      </c>
      <c r="AE75">
        <f>2*((Scenario_Data!E75*1000)-(IF(OR(Inputs!$C$27=TRUE,Inputs!$C$27="TRUE",Inputs!$C$27=1),1,0)*(Inputs!$C$51*(115*EXP(-(((0)-25)^2)/(4.5^2))+70*EXP(-(((0)+38)^2)/(7^2))*(0.55+0.45*SIN(2*PI()*(Scenario_Data!W75)/45))+24*SIN(2*PI()*(0)/9+(Scenario_Data!W75)/18)*EXP(-(((0)+5)^2)/(22^2))+18*SIN(2*PI()*(Scenario_Data!W75)/70))+Inputs!$C$28*EXP(-(((Scenario_Data!W75)-Inputs!$C$29)^2)/(2*Inputs!$C$31^2))*EXP(-(((0)-Inputs!$C$30)^2)/(2*Inputs!$C$32^2))+-Inputs!$C$33*EXP(-(((((Scenario_Data!W75)-Inputs!$C$34)^2)+(((0)-Inputs!$C$35)^2))/(2*Inputs!$C$36^2)))+Inputs!$C$37*(0.55*SIN(2*PI()*(Scenario_Data!W75)/Inputs!$C$39)+0.35*COS(2*PI()*(0)/Inputs!$C$40)+0.2*SIN(2*PI()*((Scenario_Data!W75)+(0))/(0.5*(Inputs!$C$39+Inputs!$C$40))))+Inputs!$C$38*SIN(2*PI()*(Scenario_Data!W75)/Inputs!$C$39)*SIN(2*PI()*(0)/Inputs!$C$40)+-Inputs!$C$41*EXP(-(((0)-Inputs!$C$43)^2)/(2*Inputs!$C$44^2))*EXP(-(((Scenario_Data!W75)-Inputs!$C$42)^2)/(2*Inputs!$C$45^2))+Inputs!$C$48*(0.7*(0.45*SIN(2*PI()*(((Scenario_Data!W75)/Inputs!$C$49)+Inputs!$C$47*0.137))+0.35*COS(2*PI()*(((0)/Inputs!$C$50)+Inputs!$C$47*0.173))+0.2*SIN(2*PI()*((((Scenario_Data!W75)+(0))/(0.5*(Inputs!$C$49+Inputs!$C$50)))+Inputs!$C$47*0.097)))+0.3*(2*((SIN(((Scenario_Data!W75)*12.9898+(0)*78.233+Inputs!$C$47*37.719))*43758.5453)-INT((SIN(((Scenario_Data!W75)*12.9898+(0)*78.233+Inputs!$C$47*37.719))*43758.5453)))-1)))))/Inputs!$C$21*1000000</f>
        <v/>
      </c>
      <c r="AG75">
        <f>Scenario_Data!T75</f>
        <v/>
      </c>
      <c r="AH75">
        <f>2*(SQRT((Inputs!$C$52+(Scenario_Data!B75))^2+Inputs!$C$52^2-2*(Inputs!$C$52+(Scenario_Data!B75))*Inputs!$C$52*COS(SQRT((Scenario_Data!T75)^2+Inputs!$C$6^2)/Inputs!$C$52))*1000)/Inputs!$C$21*1000000</f>
        <v/>
      </c>
      <c r="AI75">
        <f>Scenario_Data!U75</f>
        <v/>
      </c>
      <c r="AJ75">
        <f>2*(SQRT((Inputs!$C$52+(Scenario_Data!C75))^2+Inputs!$C$52^2-2*(Inputs!$C$52+(Scenario_Data!C75))*Inputs!$C$52*COS(SQRT((Scenario_Data!U75)^2+Inputs!$C$6^2)/Inputs!$C$52))*1000)/Inputs!$C$21*1000000</f>
        <v/>
      </c>
      <c r="AK75">
        <f>Scenario_Data!V75</f>
        <v/>
      </c>
      <c r="AL75">
        <f>2*(SQRT((Inputs!$C$52+(Scenario_Data!D75))^2+Inputs!$C$52^2-2*(Inputs!$C$52+(Scenario_Data!D75))*Inputs!$C$52*COS(SQRT((Scenario_Data!V75)^2+Inputs!$C$6^2)/Inputs!$C$52))*1000)/Inputs!$C$21*1000000</f>
        <v/>
      </c>
      <c r="AM75">
        <f>Scenario_Data!W75</f>
        <v/>
      </c>
      <c r="AN75">
        <f>2*(SQRT((Inputs!$C$52+(Scenario_Data!E75))^2+Inputs!$C$52^2-2*(Inputs!$C$52+(Scenario_Data!E75))*Inputs!$C$52*COS(SQRT((Scenario_Data!W75)^2+Inputs!$C$6^2)/Inputs!$C$52))*1000)/Inputs!$C$21*1000000</f>
        <v/>
      </c>
      <c r="AP75">
        <f>Scenario_Data!T75</f>
        <v/>
      </c>
      <c r="AQ75">
        <f>2*(SQRT((Inputs!$C$52+(Scenario_Data!B75))^2+(Inputs!$C$52+((IF(OR(Inputs!$C$27=TRUE,Inputs!$C$27="TRUE",Inputs!$C$27=1),1,0)*(Inputs!$C$51*(115*EXP(-(((Inputs!$C$6)-25)^2)/(4.5^2))+70*EXP(-(((Inputs!$C$6)+38)^2)/(7^2))*(0.55+0.45*SIN(2*PI()*(Scenario_Data!T75)/45))+24*SIN(2*PI()*(Inputs!$C$6)/9+(Scenario_Data!T75)/18)*EXP(-(((Inputs!$C$6)+5)^2)/(22^2))+18*SIN(2*PI()*(Scenario_Data!T75)/70))+Inputs!$C$28*EXP(-(((Scenario_Data!T75)-Inputs!$C$29)^2)/(2*Inputs!$C$31^2))*EXP(-(((Inputs!$C$6)-Inputs!$C$30)^2)/(2*Inputs!$C$32^2))+-Inputs!$C$33*EXP(-(((((Scenario_Data!T75)-Inputs!$C$34)^2)+(((Inputs!$C$6)-Inputs!$C$35)^2))/(2*Inputs!$C$36^2)))+Inputs!$C$37*(0.55*SIN(2*PI()*(Scenario_Data!T75)/Inputs!$C$39)+0.35*COS(2*PI()*(Inputs!$C$6)/Inputs!$C$40)+0.2*SIN(2*PI()*((Scenario_Data!T75)+(Inputs!$C$6))/(0.5*(Inputs!$C$39+Inputs!$C$40))))+Inputs!$C$38*SIN(2*PI()*(Scenario_Data!T75)/Inputs!$C$39)*SIN(2*PI()*(Inputs!$C$6)/Inputs!$C$40)+-Inputs!$C$41*EXP(-(((Inputs!$C$6)-Inputs!$C$43)^2)/(2*Inputs!$C$44^2))*EXP(-(((Scenario_Data!T75)-Inputs!$C$42)^2)/(2*Inputs!$C$45^2))+Inputs!$C$48*(0.7*(0.45*SIN(2*PI()*(((Scenario_Data!T75)/Inputs!$C$49)+Inputs!$C$47*0.137))+0.35*COS(2*PI()*(((Inputs!$C$6)/Inputs!$C$50)+Inputs!$C$47*0.173))+0.2*SIN(2*PI()*((((Scenario_Data!T75)+(Inputs!$C$6))/(0.5*(Inputs!$C$49+Inputs!$C$50)))+Inputs!$C$47*0.097)))+0.3*(2*((SIN(((Scenario_Data!T75)*12.9898+(Inputs!$C$6)*78.233+Inputs!$C$47*37.719))*43758.5453)-INT((SIN(((Scenario_Data!T75)*12.9898+(Inputs!$C$6)*78.233+Inputs!$C$47*37.719))*43758.5453)))-1))))/1000))^2-2*(Inputs!$C$52+(Scenario_Data!B75))*(Inputs!$C$52+((IF(OR(Inputs!$C$27=TRUE,Inputs!$C$27="TRUE",Inputs!$C$27=1),1,0)*(Inputs!$C$51*(115*EXP(-(((Inputs!$C$6)-25)^2)/(4.5^2))+70*EXP(-(((Inputs!$C$6)+38)^2)/(7^2))*(0.55+0.45*SIN(2*PI()*(Scenario_Data!T75)/45))+24*SIN(2*PI()*(Inputs!$C$6)/9+(Scenario_Data!T75)/18)*EXP(-(((Inputs!$C$6)+5)^2)/(22^2))+18*SIN(2*PI()*(Scenario_Data!T75)/70))+Inputs!$C$28*EXP(-(((Scenario_Data!T75)-Inputs!$C$29)^2)/(2*Inputs!$C$31^2))*EXP(-(((Inputs!$C$6)-Inputs!$C$30)^2)/(2*Inputs!$C$32^2))+-Inputs!$C$33*EXP(-(((((Scenario_Data!T75)-Inputs!$C$34)^2)+(((Inputs!$C$6)-Inputs!$C$35)^2))/(2*Inputs!$C$36^2)))+Inputs!$C$37*(0.55*SIN(2*PI()*(Scenario_Data!T75)/Inputs!$C$39)+0.35*COS(2*PI()*(Inputs!$C$6)/Inputs!$C$40)+0.2*SIN(2*PI()*((Scenario_Data!T75)+(Inputs!$C$6))/(0.5*(Inputs!$C$39+Inputs!$C$40))))+Inputs!$C$38*SIN(2*PI()*(Scenario_Data!T75)/Inputs!$C$39)*SIN(2*PI()*(Inputs!$C$6)/Inputs!$C$40)+-Inputs!$C$41*EXP(-(((Inputs!$C$6)-Inputs!$C$43)^2)/(2*Inputs!$C$44^2))*EXP(-(((Scenario_Data!T75)-Inputs!$C$42)^2)/(2*Inputs!$C$45^2))+Inputs!$C$48*(0.7*(0.45*SIN(2*PI()*(((Scenario_Data!T75)/Inputs!$C$49)+Inputs!$C$47*0.137))+0.35*COS(2*PI()*(((Inputs!$C$6)/Inputs!$C$50)+Inputs!$C$47*0.173))+0.2*SIN(2*PI()*((((Scenario_Data!T75)+(Inputs!$C$6))/(0.5*(Inputs!$C$49+Inputs!$C$50)))+Inputs!$C$47*0.097)))+0.3*(2*((SIN(((Scenario_Data!T75)*12.9898+(Inputs!$C$6)*78.233+Inputs!$C$47*37.719))*43758.5453)-INT((SIN(((Scenario_Data!T75)*12.9898+(Inputs!$C$6)*78.233+Inputs!$C$47*37.719))*43758.5453)))-1))))/1000))*COS(SQRT((Scenario_Data!T75)^2+Inputs!$C$6^2)/Inputs!$C$52))*1000)/Inputs!$C$21*1000000</f>
        <v/>
      </c>
      <c r="AR75">
        <f>Scenario_Data!U75</f>
        <v/>
      </c>
      <c r="AS75">
        <f>2*(SQRT((Inputs!$C$52+(Scenario_Data!C75))^2+(Inputs!$C$52+((IF(OR(Inputs!$C$27=TRUE,Inputs!$C$27="TRUE",Inputs!$C$27=1),1,0)*(Inputs!$C$51*(115*EXP(-(((Inputs!$C$6)-25)^2)/(4.5^2))+70*EXP(-(((Inputs!$C$6)+38)^2)/(7^2))*(0.55+0.45*SIN(2*PI()*(Scenario_Data!U75)/45))+24*SIN(2*PI()*(Inputs!$C$6)/9+(Scenario_Data!U75)/18)*EXP(-(((Inputs!$C$6)+5)^2)/(22^2))+18*SIN(2*PI()*(Scenario_Data!U75)/70))+Inputs!$C$28*EXP(-(((Scenario_Data!U75)-Inputs!$C$29)^2)/(2*Inputs!$C$31^2))*EXP(-(((Inputs!$C$6)-Inputs!$C$30)^2)/(2*Inputs!$C$32^2))+-Inputs!$C$33*EXP(-(((((Scenario_Data!U75)-Inputs!$C$34)^2)+(((Inputs!$C$6)-Inputs!$C$35)^2))/(2*Inputs!$C$36^2)))+Inputs!$C$37*(0.55*SIN(2*PI()*(Scenario_Data!U75)/Inputs!$C$39)+0.35*COS(2*PI()*(Inputs!$C$6)/Inputs!$C$40)+0.2*SIN(2*PI()*((Scenario_Data!U75)+(Inputs!$C$6))/(0.5*(Inputs!$C$39+Inputs!$C$40))))+Inputs!$C$38*SIN(2*PI()*(Scenario_Data!U75)/Inputs!$C$39)*SIN(2*PI()*(Inputs!$C$6)/Inputs!$C$40)+-Inputs!$C$41*EXP(-(((Inputs!$C$6)-Inputs!$C$43)^2)/(2*Inputs!$C$44^2))*EXP(-(((Scenario_Data!U75)-Inputs!$C$42)^2)/(2*Inputs!$C$45^2))+Inputs!$C$48*(0.7*(0.45*SIN(2*PI()*(((Scenario_Data!U75)/Inputs!$C$49)+Inputs!$C$47*0.137))+0.35*COS(2*PI()*(((Inputs!$C$6)/Inputs!$C$50)+Inputs!$C$47*0.173))+0.2*SIN(2*PI()*((((Scenario_Data!U75)+(Inputs!$C$6))/(0.5*(Inputs!$C$49+Inputs!$C$50)))+Inputs!$C$47*0.097)))+0.3*(2*((SIN(((Scenario_Data!U75)*12.9898+(Inputs!$C$6)*78.233+Inputs!$C$47*37.719))*43758.5453)-INT((SIN(((Scenario_Data!U75)*12.9898+(Inputs!$C$6)*78.233+Inputs!$C$47*37.719))*43758.5453)))-1))))/1000))^2-2*(Inputs!$C$52+(Scenario_Data!C75))*(Inputs!$C$52+((IF(OR(Inputs!$C$27=TRUE,Inputs!$C$27="TRUE",Inputs!$C$27=1),1,0)*(Inputs!$C$51*(115*EXP(-(((Inputs!$C$6)-25)^2)/(4.5^2))+70*EXP(-(((Inputs!$C$6)+38)^2)/(7^2))*(0.55+0.45*SIN(2*PI()*(Scenario_Data!U75)/45))+24*SIN(2*PI()*(Inputs!$C$6)/9+(Scenario_Data!U75)/18)*EXP(-(((Inputs!$C$6)+5)^2)/(22^2))+18*SIN(2*PI()*(Scenario_Data!U75)/70))+Inputs!$C$28*EXP(-(((Scenario_Data!U75)-Inputs!$C$29)^2)/(2*Inputs!$C$31^2))*EXP(-(((Inputs!$C$6)-Inputs!$C$30)^2)/(2*Inputs!$C$32^2))+-Inputs!$C$33*EXP(-(((((Scenario_Data!U75)-Inputs!$C$34)^2)+(((Inputs!$C$6)-Inputs!$C$35)^2))/(2*Inputs!$C$36^2)))+Inputs!$C$37*(0.55*SIN(2*PI()*(Scenario_Data!U75)/Inputs!$C$39)+0.35*COS(2*PI()*(Inputs!$C$6)/Inputs!$C$40)+0.2*SIN(2*PI()*((Scenario_Data!U75)+(Inputs!$C$6))/(0.5*(Inputs!$C$39+Inputs!$C$40))))+Inputs!$C$38*SIN(2*PI()*(Scenario_Data!U75)/Inputs!$C$39)*SIN(2*PI()*(Inputs!$C$6)/Inputs!$C$40)+-Inputs!$C$41*EXP(-(((Inputs!$C$6)-Inputs!$C$43)^2)/(2*Inputs!$C$44^2))*EXP(-(((Scenario_Data!U75)-Inputs!$C$42)^2)/(2*Inputs!$C$45^2))+Inputs!$C$48*(0.7*(0.45*SIN(2*PI()*(((Scenario_Data!U75)/Inputs!$C$49)+Inputs!$C$47*0.137))+0.35*COS(2*PI()*(((Inputs!$C$6)/Inputs!$C$50)+Inputs!$C$47*0.173))+0.2*SIN(2*PI()*((((Scenario_Data!U75)+(Inputs!$C$6))/(0.5*(Inputs!$C$49+Inputs!$C$50)))+Inputs!$C$47*0.097)))+0.3*(2*((SIN(((Scenario_Data!U75)*12.9898+(Inputs!$C$6)*78.233+Inputs!$C$47*37.719))*43758.5453)-INT((SIN(((Scenario_Data!U75)*12.9898+(Inputs!$C$6)*78.233+Inputs!$C$47*37.719))*43758.5453)))-1))))/1000))*COS(SQRT((Scenario_Data!U75)^2+Inputs!$C$6^2)/Inputs!$C$52))*1000)/Inputs!$C$21*1000000</f>
        <v/>
      </c>
      <c r="AT75">
        <f>Scenario_Data!V75</f>
        <v/>
      </c>
      <c r="AU75">
        <f>2*(SQRT((Inputs!$C$52+(Scenario_Data!D75))^2+(Inputs!$C$52+((IF(OR(Inputs!$C$27=TRUE,Inputs!$C$27="TRUE",Inputs!$C$27=1),1,0)*(Inputs!$C$51*(115*EXP(-(((Inputs!$C$6)-25)^2)/(4.5^2))+70*EXP(-(((Inputs!$C$6)+38)^2)/(7^2))*(0.55+0.45*SIN(2*PI()*(Scenario_Data!V75)/45))+24*SIN(2*PI()*(Inputs!$C$6)/9+(Scenario_Data!V75)/18)*EXP(-(((Inputs!$C$6)+5)^2)/(22^2))+18*SIN(2*PI()*(Scenario_Data!V75)/70))+Inputs!$C$28*EXP(-(((Scenario_Data!V75)-Inputs!$C$29)^2)/(2*Inputs!$C$31^2))*EXP(-(((Inputs!$C$6)-Inputs!$C$30)^2)/(2*Inputs!$C$32^2))+-Inputs!$C$33*EXP(-(((((Scenario_Data!V75)-Inputs!$C$34)^2)+(((Inputs!$C$6)-Inputs!$C$35)^2))/(2*Inputs!$C$36^2)))+Inputs!$C$37*(0.55*SIN(2*PI()*(Scenario_Data!V75)/Inputs!$C$39)+0.35*COS(2*PI()*(Inputs!$C$6)/Inputs!$C$40)+0.2*SIN(2*PI()*((Scenario_Data!V75)+(Inputs!$C$6))/(0.5*(Inputs!$C$39+Inputs!$C$40))))+Inputs!$C$38*SIN(2*PI()*(Scenario_Data!V75)/Inputs!$C$39)*SIN(2*PI()*(Inputs!$C$6)/Inputs!$C$40)+-Inputs!$C$41*EXP(-(((Inputs!$C$6)-Inputs!$C$43)^2)/(2*Inputs!$C$44^2))*EXP(-(((Scenario_Data!V75)-Inputs!$C$42)^2)/(2*Inputs!$C$45^2))+Inputs!$C$48*(0.7*(0.45*SIN(2*PI()*(((Scenario_Data!V75)/Inputs!$C$49)+Inputs!$C$47*0.137))+0.35*COS(2*PI()*(((Inputs!$C$6)/Inputs!$C$50)+Inputs!$C$47*0.173))+0.2*SIN(2*PI()*((((Scenario_Data!V75)+(Inputs!$C$6))/(0.5*(Inputs!$C$49+Inputs!$C$50)))+Inputs!$C$47*0.097)))+0.3*(2*((SIN(((Scenario_Data!V75)*12.9898+(Inputs!$C$6)*78.233+Inputs!$C$47*37.719))*43758.5453)-INT((SIN(((Scenario_Data!V75)*12.9898+(Inputs!$C$6)*78.233+Inputs!$C$47*37.719))*43758.5453)))-1))))/1000))^2-2*(Inputs!$C$52+(Scenario_Data!D75))*(Inputs!$C$52+((IF(OR(Inputs!$C$27=TRUE,Inputs!$C$27="TRUE",Inputs!$C$27=1),1,0)*(Inputs!$C$51*(115*EXP(-(((Inputs!$C$6)-25)^2)/(4.5^2))+70*EXP(-(((Inputs!$C$6)+38)^2)/(7^2))*(0.55+0.45*SIN(2*PI()*(Scenario_Data!V75)/45))+24*SIN(2*PI()*(Inputs!$C$6)/9+(Scenario_Data!V75)/18)*EXP(-(((Inputs!$C$6)+5)^2)/(22^2))+18*SIN(2*PI()*(Scenario_Data!V75)/70))+Inputs!$C$28*EXP(-(((Scenario_Data!V75)-Inputs!$C$29)^2)/(2*Inputs!$C$31^2))*EXP(-(((Inputs!$C$6)-Inputs!$C$30)^2)/(2*Inputs!$C$32^2))+-Inputs!$C$33*EXP(-(((((Scenario_Data!V75)-Inputs!$C$34)^2)+(((Inputs!$C$6)-Inputs!$C$35)^2))/(2*Inputs!$C$36^2)))+Inputs!$C$37*(0.55*SIN(2*PI()*(Scenario_Data!V75)/Inputs!$C$39)+0.35*COS(2*PI()*(Inputs!$C$6)/Inputs!$C$40)+0.2*SIN(2*PI()*((Scenario_Data!V75)+(Inputs!$C$6))/(0.5*(Inputs!$C$39+Inputs!$C$40))))+Inputs!$C$38*SIN(2*PI()*(Scenario_Data!V75)/Inputs!$C$39)*SIN(2*PI()*(Inputs!$C$6)/Inputs!$C$40)+-Inputs!$C$41*EXP(-(((Inputs!$C$6)-Inputs!$C$43)^2)/(2*Inputs!$C$44^2))*EXP(-(((Scenario_Data!V75)-Inputs!$C$42)^2)/(2*Inputs!$C$45^2))+Inputs!$C$48*(0.7*(0.45*SIN(2*PI()*(((Scenario_Data!V75)/Inputs!$C$49)+Inputs!$C$47*0.137))+0.35*COS(2*PI()*(((Inputs!$C$6)/Inputs!$C$50)+Inputs!$C$47*0.173))+0.2*SIN(2*PI()*((((Scenario_Data!V75)+(Inputs!$C$6))/(0.5*(Inputs!$C$49+Inputs!$C$50)))+Inputs!$C$47*0.097)))+0.3*(2*((SIN(((Scenario_Data!V75)*12.9898+(Inputs!$C$6)*78.233+Inputs!$C$47*37.719))*43758.5453)-INT((SIN(((Scenario_Data!V75)*12.9898+(Inputs!$C$6)*78.233+Inputs!$C$47*37.719))*43758.5453)))-1))))/1000))*COS(SQRT((Scenario_Data!V75)^2+Inputs!$C$6^2)/Inputs!$C$52))*1000)/Inputs!$C$21*1000000</f>
        <v/>
      </c>
      <c r="AV75">
        <f>Scenario_Data!W75</f>
        <v/>
      </c>
      <c r="AW75">
        <f>2*(SQRT((Inputs!$C$52+(Scenario_Data!E75))^2+(Inputs!$C$52+((IF(OR(Inputs!$C$27=TRUE,Inputs!$C$27="TRUE",Inputs!$C$27=1),1,0)*(Inputs!$C$51*(115*EXP(-(((Inputs!$C$6)-25)^2)/(4.5^2))+70*EXP(-(((Inputs!$C$6)+38)^2)/(7^2))*(0.55+0.45*SIN(2*PI()*(Scenario_Data!W75)/45))+24*SIN(2*PI()*(Inputs!$C$6)/9+(Scenario_Data!W75)/18)*EXP(-(((Inputs!$C$6)+5)^2)/(22^2))+18*SIN(2*PI()*(Scenario_Data!W75)/70))+Inputs!$C$28*EXP(-(((Scenario_Data!W75)-Inputs!$C$29)^2)/(2*Inputs!$C$31^2))*EXP(-(((Inputs!$C$6)-Inputs!$C$30)^2)/(2*Inputs!$C$32^2))+-Inputs!$C$33*EXP(-(((((Scenario_Data!W75)-Inputs!$C$34)^2)+(((Inputs!$C$6)-Inputs!$C$35)^2))/(2*Inputs!$C$36^2)))+Inputs!$C$37*(0.55*SIN(2*PI()*(Scenario_Data!W75)/Inputs!$C$39)+0.35*COS(2*PI()*(Inputs!$C$6)/Inputs!$C$40)+0.2*SIN(2*PI()*((Scenario_Data!W75)+(Inputs!$C$6))/(0.5*(Inputs!$C$39+Inputs!$C$40))))+Inputs!$C$38*SIN(2*PI()*(Scenario_Data!W75)/Inputs!$C$39)*SIN(2*PI()*(Inputs!$C$6)/Inputs!$C$40)+-Inputs!$C$41*EXP(-(((Inputs!$C$6)-Inputs!$C$43)^2)/(2*Inputs!$C$44^2))*EXP(-(((Scenario_Data!W75)-Inputs!$C$42)^2)/(2*Inputs!$C$45^2))+Inputs!$C$48*(0.7*(0.45*SIN(2*PI()*(((Scenario_Data!W75)/Inputs!$C$49)+Inputs!$C$47*0.137))+0.35*COS(2*PI()*(((Inputs!$C$6)/Inputs!$C$50)+Inputs!$C$47*0.173))+0.2*SIN(2*PI()*((((Scenario_Data!W75)+(Inputs!$C$6))/(0.5*(Inputs!$C$49+Inputs!$C$50)))+Inputs!$C$47*0.097)))+0.3*(2*((SIN(((Scenario_Data!W75)*12.9898+(Inputs!$C$6)*78.233+Inputs!$C$47*37.719))*43758.5453)-INT((SIN(((Scenario_Data!W75)*12.9898+(Inputs!$C$6)*78.233+Inputs!$C$47*37.719))*43758.5453)))-1))))/1000))^2-2*(Inputs!$C$52+(Scenario_Data!E75))*(Inputs!$C$52+((IF(OR(Inputs!$C$27=TRUE,Inputs!$C$27="TRUE",Inputs!$C$27=1),1,0)*(Inputs!$C$51*(115*EXP(-(((Inputs!$C$6)-25)^2)/(4.5^2))+70*EXP(-(((Inputs!$C$6)+38)^2)/(7^2))*(0.55+0.45*SIN(2*PI()*(Scenario_Data!W75)/45))+24*SIN(2*PI()*(Inputs!$C$6)/9+(Scenario_Data!W75)/18)*EXP(-(((Inputs!$C$6)+5)^2)/(22^2))+18*SIN(2*PI()*(Scenario_Data!W75)/70))+Inputs!$C$28*EXP(-(((Scenario_Data!W75)-Inputs!$C$29)^2)/(2*Inputs!$C$31^2))*EXP(-(((Inputs!$C$6)-Inputs!$C$30)^2)/(2*Inputs!$C$32^2))+-Inputs!$C$33*EXP(-(((((Scenario_Data!W75)-Inputs!$C$34)^2)+(((Inputs!$C$6)-Inputs!$C$35)^2))/(2*Inputs!$C$36^2)))+Inputs!$C$37*(0.55*SIN(2*PI()*(Scenario_Data!W75)/Inputs!$C$39)+0.35*COS(2*PI()*(Inputs!$C$6)/Inputs!$C$40)+0.2*SIN(2*PI()*((Scenario_Data!W75)+(Inputs!$C$6))/(0.5*(Inputs!$C$39+Inputs!$C$40))))+Inputs!$C$38*SIN(2*PI()*(Scenario_Data!W75)/Inputs!$C$39)*SIN(2*PI()*(Inputs!$C$6)/Inputs!$C$40)+-Inputs!$C$41*EXP(-(((Inputs!$C$6)-Inputs!$C$43)^2)/(2*Inputs!$C$44^2))*EXP(-(((Scenario_Data!W75)-Inputs!$C$42)^2)/(2*Inputs!$C$45^2))+Inputs!$C$48*(0.7*(0.45*SIN(2*PI()*(((Scenario_Data!W75)/Inputs!$C$49)+Inputs!$C$47*0.137))+0.35*COS(2*PI()*(((Inputs!$C$6)/Inputs!$C$50)+Inputs!$C$47*0.173))+0.2*SIN(2*PI()*((((Scenario_Data!W75)+(Inputs!$C$6))/(0.5*(Inputs!$C$49+Inputs!$C$50)))+Inputs!$C$47*0.097)))+0.3*(2*((SIN(((Scenario_Data!W75)*12.9898+(Inputs!$C$6)*78.233+Inputs!$C$47*37.719))*43758.5453)-INT((SIN(((Scenario_Data!W75)*12.9898+(Inputs!$C$6)*78.233+Inputs!$C$47*37.719))*43758.5453)))-1))))/1000))*COS(SQRT((Scenario_Data!W75)^2+Inputs!$C$6^2)/Inputs!$C$52))*1000)/Inputs!$C$21*1000000</f>
        <v/>
      </c>
    </row>
    <row r="76">
      <c r="A76">
        <f>Chart_Data!K76</f>
        <v/>
      </c>
      <c r="B76">
        <f>Chart_Data!N76-Chart_Data!L76</f>
        <v/>
      </c>
      <c r="D76">
        <f>Chart_Data!G76</f>
        <v/>
      </c>
      <c r="E76">
        <f>Chart_Data!H76</f>
        <v/>
      </c>
      <c r="F76">
        <f>Chart_Data!I76</f>
        <v/>
      </c>
      <c r="G76">
        <f>Chart_Data!J76</f>
        <v/>
      </c>
      <c r="I76">
        <f>Scenario_Data!A76</f>
        <v/>
      </c>
      <c r="J76">
        <f>Scenario_Data!H76-(((SQRT((Inputs!$C$52+(Inputs!$H$6))^2+Inputs!$C$52^2-2*(Inputs!$C$52+(Inputs!$H$6))*Inputs!$C$52*COS(SQRT((Scenario_Data!T76)^2+Inputs!$C$6^2)/Inputs!$C$52)))-(Inputs!$H$6))*1000/Inputs!$C$12)</f>
        <v/>
      </c>
      <c r="K76">
        <f>Scenario_Data!I76-(((SQRT((Inputs!$C$52+(Inputs!$H$7))^2+Inputs!$C$52^2-2*(Inputs!$C$52+(Inputs!$H$7))*Inputs!$C$52*COS(SQRT((Scenario_Data!U76)^2+Inputs!$C$6^2)/Inputs!$C$52)))-(Inputs!$H$7))*1000/Inputs!$C$12)</f>
        <v/>
      </c>
      <c r="L76">
        <f>Scenario_Data!J76-(((SQRT((Inputs!$C$52+(Inputs!$H$8))^2+Inputs!$C$52^2-2*(Inputs!$C$52+(Inputs!$H$8))*Inputs!$C$52*COS(SQRT((Scenario_Data!V76)^2+Inputs!$C$6^2)/Inputs!$C$52)))-(Inputs!$H$8))*1000/Inputs!$C$12)</f>
        <v/>
      </c>
      <c r="M76">
        <f>Scenario_Data!K76-(((SQRT((Inputs!$C$52+(Inputs!$H$9))^2+Inputs!$C$52^2-2*(Inputs!$C$52+(Inputs!$H$9))*Inputs!$C$52*COS(SQRT((Scenario_Data!W76)^2+Inputs!$C$6^2)/Inputs!$C$52)))-(Inputs!$H$9))*1000/Inputs!$C$12)</f>
        <v/>
      </c>
      <c r="O76">
        <f>Scenario_Data!T76</f>
        <v/>
      </c>
      <c r="P76">
        <f>2*(Scenario_Data!B76*1000)/Inputs!$C$21*1000000</f>
        <v/>
      </c>
      <c r="Q76">
        <f>Scenario_Data!U76</f>
        <v/>
      </c>
      <c r="R76">
        <f>2*(Scenario_Data!C76*1000)/Inputs!$C$21*1000000</f>
        <v/>
      </c>
      <c r="S76">
        <f>Scenario_Data!V76</f>
        <v/>
      </c>
      <c r="T76">
        <f>2*(Scenario_Data!D76*1000)/Inputs!$C$21*1000000</f>
        <v/>
      </c>
      <c r="U76">
        <f>Scenario_Data!W76</f>
        <v/>
      </c>
      <c r="V76">
        <f>2*(Scenario_Data!E76*1000)/Inputs!$C$21*1000000</f>
        <v/>
      </c>
      <c r="X76">
        <f>Scenario_Data!T76</f>
        <v/>
      </c>
      <c r="Y76">
        <f>2*((Scenario_Data!B76*1000)-(IF(OR(Inputs!$C$27=TRUE,Inputs!$C$27="TRUE",Inputs!$C$27=1),1,0)*(Inputs!$C$51*(115*EXP(-(((0)-25)^2)/(4.5^2))+70*EXP(-(((0)+38)^2)/(7^2))*(0.55+0.45*SIN(2*PI()*(Scenario_Data!T76)/45))+24*SIN(2*PI()*(0)/9+(Scenario_Data!T76)/18)*EXP(-(((0)+5)^2)/(22^2))+18*SIN(2*PI()*(Scenario_Data!T76)/70))+Inputs!$C$28*EXP(-(((Scenario_Data!T76)-Inputs!$C$29)^2)/(2*Inputs!$C$31^2))*EXP(-(((0)-Inputs!$C$30)^2)/(2*Inputs!$C$32^2))+-Inputs!$C$33*EXP(-(((((Scenario_Data!T76)-Inputs!$C$34)^2)+(((0)-Inputs!$C$35)^2))/(2*Inputs!$C$36^2)))+Inputs!$C$37*(0.55*SIN(2*PI()*(Scenario_Data!T76)/Inputs!$C$39)+0.35*COS(2*PI()*(0)/Inputs!$C$40)+0.2*SIN(2*PI()*((Scenario_Data!T76)+(0))/(0.5*(Inputs!$C$39+Inputs!$C$40))))+Inputs!$C$38*SIN(2*PI()*(Scenario_Data!T76)/Inputs!$C$39)*SIN(2*PI()*(0)/Inputs!$C$40)+-Inputs!$C$41*EXP(-(((0)-Inputs!$C$43)^2)/(2*Inputs!$C$44^2))*EXP(-(((Scenario_Data!T76)-Inputs!$C$42)^2)/(2*Inputs!$C$45^2))+Inputs!$C$48*(0.7*(0.45*SIN(2*PI()*(((Scenario_Data!T76)/Inputs!$C$49)+Inputs!$C$47*0.137))+0.35*COS(2*PI()*(((0)/Inputs!$C$50)+Inputs!$C$47*0.173))+0.2*SIN(2*PI()*((((Scenario_Data!T76)+(0))/(0.5*(Inputs!$C$49+Inputs!$C$50)))+Inputs!$C$47*0.097)))+0.3*(2*((SIN(((Scenario_Data!T76)*12.9898+(0)*78.233+Inputs!$C$47*37.719))*43758.5453)-INT((SIN(((Scenario_Data!T76)*12.9898+(0)*78.233+Inputs!$C$47*37.719))*43758.5453)))-1)))))/Inputs!$C$21*1000000</f>
        <v/>
      </c>
      <c r="Z76">
        <f>Scenario_Data!U76</f>
        <v/>
      </c>
      <c r="AA76">
        <f>2*((Scenario_Data!C76*1000)-(IF(OR(Inputs!$C$27=TRUE,Inputs!$C$27="TRUE",Inputs!$C$27=1),1,0)*(Inputs!$C$51*(115*EXP(-(((0)-25)^2)/(4.5^2))+70*EXP(-(((0)+38)^2)/(7^2))*(0.55+0.45*SIN(2*PI()*(Scenario_Data!U76)/45))+24*SIN(2*PI()*(0)/9+(Scenario_Data!U76)/18)*EXP(-(((0)+5)^2)/(22^2))+18*SIN(2*PI()*(Scenario_Data!U76)/70))+Inputs!$C$28*EXP(-(((Scenario_Data!U76)-Inputs!$C$29)^2)/(2*Inputs!$C$31^2))*EXP(-(((0)-Inputs!$C$30)^2)/(2*Inputs!$C$32^2))+-Inputs!$C$33*EXP(-(((((Scenario_Data!U76)-Inputs!$C$34)^2)+(((0)-Inputs!$C$35)^2))/(2*Inputs!$C$36^2)))+Inputs!$C$37*(0.55*SIN(2*PI()*(Scenario_Data!U76)/Inputs!$C$39)+0.35*COS(2*PI()*(0)/Inputs!$C$40)+0.2*SIN(2*PI()*((Scenario_Data!U76)+(0))/(0.5*(Inputs!$C$39+Inputs!$C$40))))+Inputs!$C$38*SIN(2*PI()*(Scenario_Data!U76)/Inputs!$C$39)*SIN(2*PI()*(0)/Inputs!$C$40)+-Inputs!$C$41*EXP(-(((0)-Inputs!$C$43)^2)/(2*Inputs!$C$44^2))*EXP(-(((Scenario_Data!U76)-Inputs!$C$42)^2)/(2*Inputs!$C$45^2))+Inputs!$C$48*(0.7*(0.45*SIN(2*PI()*(((Scenario_Data!U76)/Inputs!$C$49)+Inputs!$C$47*0.137))+0.35*COS(2*PI()*(((0)/Inputs!$C$50)+Inputs!$C$47*0.173))+0.2*SIN(2*PI()*((((Scenario_Data!U76)+(0))/(0.5*(Inputs!$C$49+Inputs!$C$50)))+Inputs!$C$47*0.097)))+0.3*(2*((SIN(((Scenario_Data!U76)*12.9898+(0)*78.233+Inputs!$C$47*37.719))*43758.5453)-INT((SIN(((Scenario_Data!U76)*12.9898+(0)*78.233+Inputs!$C$47*37.719))*43758.5453)))-1)))))/Inputs!$C$21*1000000</f>
        <v/>
      </c>
      <c r="AB76">
        <f>Scenario_Data!V76</f>
        <v/>
      </c>
      <c r="AC76">
        <f>2*((Scenario_Data!D76*1000)-(IF(OR(Inputs!$C$27=TRUE,Inputs!$C$27="TRUE",Inputs!$C$27=1),1,0)*(Inputs!$C$51*(115*EXP(-(((0)-25)^2)/(4.5^2))+70*EXP(-(((0)+38)^2)/(7^2))*(0.55+0.45*SIN(2*PI()*(Scenario_Data!V76)/45))+24*SIN(2*PI()*(0)/9+(Scenario_Data!V76)/18)*EXP(-(((0)+5)^2)/(22^2))+18*SIN(2*PI()*(Scenario_Data!V76)/70))+Inputs!$C$28*EXP(-(((Scenario_Data!V76)-Inputs!$C$29)^2)/(2*Inputs!$C$31^2))*EXP(-(((0)-Inputs!$C$30)^2)/(2*Inputs!$C$32^2))+-Inputs!$C$33*EXP(-(((((Scenario_Data!V76)-Inputs!$C$34)^2)+(((0)-Inputs!$C$35)^2))/(2*Inputs!$C$36^2)))+Inputs!$C$37*(0.55*SIN(2*PI()*(Scenario_Data!V76)/Inputs!$C$39)+0.35*COS(2*PI()*(0)/Inputs!$C$40)+0.2*SIN(2*PI()*((Scenario_Data!V76)+(0))/(0.5*(Inputs!$C$39+Inputs!$C$40))))+Inputs!$C$38*SIN(2*PI()*(Scenario_Data!V76)/Inputs!$C$39)*SIN(2*PI()*(0)/Inputs!$C$40)+-Inputs!$C$41*EXP(-(((0)-Inputs!$C$43)^2)/(2*Inputs!$C$44^2))*EXP(-(((Scenario_Data!V76)-Inputs!$C$42)^2)/(2*Inputs!$C$45^2))+Inputs!$C$48*(0.7*(0.45*SIN(2*PI()*(((Scenario_Data!V76)/Inputs!$C$49)+Inputs!$C$47*0.137))+0.35*COS(2*PI()*(((0)/Inputs!$C$50)+Inputs!$C$47*0.173))+0.2*SIN(2*PI()*((((Scenario_Data!V76)+(0))/(0.5*(Inputs!$C$49+Inputs!$C$50)))+Inputs!$C$47*0.097)))+0.3*(2*((SIN(((Scenario_Data!V76)*12.9898+(0)*78.233+Inputs!$C$47*37.719))*43758.5453)-INT((SIN(((Scenario_Data!V76)*12.9898+(0)*78.233+Inputs!$C$47*37.719))*43758.5453)))-1)))))/Inputs!$C$21*1000000</f>
        <v/>
      </c>
      <c r="AD76">
        <f>Scenario_Data!W76</f>
        <v/>
      </c>
      <c r="AE76">
        <f>2*((Scenario_Data!E76*1000)-(IF(OR(Inputs!$C$27=TRUE,Inputs!$C$27="TRUE",Inputs!$C$27=1),1,0)*(Inputs!$C$51*(115*EXP(-(((0)-25)^2)/(4.5^2))+70*EXP(-(((0)+38)^2)/(7^2))*(0.55+0.45*SIN(2*PI()*(Scenario_Data!W76)/45))+24*SIN(2*PI()*(0)/9+(Scenario_Data!W76)/18)*EXP(-(((0)+5)^2)/(22^2))+18*SIN(2*PI()*(Scenario_Data!W76)/70))+Inputs!$C$28*EXP(-(((Scenario_Data!W76)-Inputs!$C$29)^2)/(2*Inputs!$C$31^2))*EXP(-(((0)-Inputs!$C$30)^2)/(2*Inputs!$C$32^2))+-Inputs!$C$33*EXP(-(((((Scenario_Data!W76)-Inputs!$C$34)^2)+(((0)-Inputs!$C$35)^2))/(2*Inputs!$C$36^2)))+Inputs!$C$37*(0.55*SIN(2*PI()*(Scenario_Data!W76)/Inputs!$C$39)+0.35*COS(2*PI()*(0)/Inputs!$C$40)+0.2*SIN(2*PI()*((Scenario_Data!W76)+(0))/(0.5*(Inputs!$C$39+Inputs!$C$40))))+Inputs!$C$38*SIN(2*PI()*(Scenario_Data!W76)/Inputs!$C$39)*SIN(2*PI()*(0)/Inputs!$C$40)+-Inputs!$C$41*EXP(-(((0)-Inputs!$C$43)^2)/(2*Inputs!$C$44^2))*EXP(-(((Scenario_Data!W76)-Inputs!$C$42)^2)/(2*Inputs!$C$45^2))+Inputs!$C$48*(0.7*(0.45*SIN(2*PI()*(((Scenario_Data!W76)/Inputs!$C$49)+Inputs!$C$47*0.137))+0.35*COS(2*PI()*(((0)/Inputs!$C$50)+Inputs!$C$47*0.173))+0.2*SIN(2*PI()*((((Scenario_Data!W76)+(0))/(0.5*(Inputs!$C$49+Inputs!$C$50)))+Inputs!$C$47*0.097)))+0.3*(2*((SIN(((Scenario_Data!W76)*12.9898+(0)*78.233+Inputs!$C$47*37.719))*43758.5453)-INT((SIN(((Scenario_Data!W76)*12.9898+(0)*78.233+Inputs!$C$47*37.719))*43758.5453)))-1)))))/Inputs!$C$21*1000000</f>
        <v/>
      </c>
      <c r="AG76">
        <f>Scenario_Data!T76</f>
        <v/>
      </c>
      <c r="AH76">
        <f>2*(SQRT((Inputs!$C$52+(Scenario_Data!B76))^2+Inputs!$C$52^2-2*(Inputs!$C$52+(Scenario_Data!B76))*Inputs!$C$52*COS(SQRT((Scenario_Data!T76)^2+Inputs!$C$6^2)/Inputs!$C$52))*1000)/Inputs!$C$21*1000000</f>
        <v/>
      </c>
      <c r="AI76">
        <f>Scenario_Data!U76</f>
        <v/>
      </c>
      <c r="AJ76">
        <f>2*(SQRT((Inputs!$C$52+(Scenario_Data!C76))^2+Inputs!$C$52^2-2*(Inputs!$C$52+(Scenario_Data!C76))*Inputs!$C$52*COS(SQRT((Scenario_Data!U76)^2+Inputs!$C$6^2)/Inputs!$C$52))*1000)/Inputs!$C$21*1000000</f>
        <v/>
      </c>
      <c r="AK76">
        <f>Scenario_Data!V76</f>
        <v/>
      </c>
      <c r="AL76">
        <f>2*(SQRT((Inputs!$C$52+(Scenario_Data!D76))^2+Inputs!$C$52^2-2*(Inputs!$C$52+(Scenario_Data!D76))*Inputs!$C$52*COS(SQRT((Scenario_Data!V76)^2+Inputs!$C$6^2)/Inputs!$C$52))*1000)/Inputs!$C$21*1000000</f>
        <v/>
      </c>
      <c r="AM76">
        <f>Scenario_Data!W76</f>
        <v/>
      </c>
      <c r="AN76">
        <f>2*(SQRT((Inputs!$C$52+(Scenario_Data!E76))^2+Inputs!$C$52^2-2*(Inputs!$C$52+(Scenario_Data!E76))*Inputs!$C$52*COS(SQRT((Scenario_Data!W76)^2+Inputs!$C$6^2)/Inputs!$C$52))*1000)/Inputs!$C$21*1000000</f>
        <v/>
      </c>
      <c r="AP76">
        <f>Scenario_Data!T76</f>
        <v/>
      </c>
      <c r="AQ76">
        <f>2*(SQRT((Inputs!$C$52+(Scenario_Data!B76))^2+(Inputs!$C$52+((IF(OR(Inputs!$C$27=TRUE,Inputs!$C$27="TRUE",Inputs!$C$27=1),1,0)*(Inputs!$C$51*(115*EXP(-(((Inputs!$C$6)-25)^2)/(4.5^2))+70*EXP(-(((Inputs!$C$6)+38)^2)/(7^2))*(0.55+0.45*SIN(2*PI()*(Scenario_Data!T76)/45))+24*SIN(2*PI()*(Inputs!$C$6)/9+(Scenario_Data!T76)/18)*EXP(-(((Inputs!$C$6)+5)^2)/(22^2))+18*SIN(2*PI()*(Scenario_Data!T76)/70))+Inputs!$C$28*EXP(-(((Scenario_Data!T76)-Inputs!$C$29)^2)/(2*Inputs!$C$31^2))*EXP(-(((Inputs!$C$6)-Inputs!$C$30)^2)/(2*Inputs!$C$32^2))+-Inputs!$C$33*EXP(-(((((Scenario_Data!T76)-Inputs!$C$34)^2)+(((Inputs!$C$6)-Inputs!$C$35)^2))/(2*Inputs!$C$36^2)))+Inputs!$C$37*(0.55*SIN(2*PI()*(Scenario_Data!T76)/Inputs!$C$39)+0.35*COS(2*PI()*(Inputs!$C$6)/Inputs!$C$40)+0.2*SIN(2*PI()*((Scenario_Data!T76)+(Inputs!$C$6))/(0.5*(Inputs!$C$39+Inputs!$C$40))))+Inputs!$C$38*SIN(2*PI()*(Scenario_Data!T76)/Inputs!$C$39)*SIN(2*PI()*(Inputs!$C$6)/Inputs!$C$40)+-Inputs!$C$41*EXP(-(((Inputs!$C$6)-Inputs!$C$43)^2)/(2*Inputs!$C$44^2))*EXP(-(((Scenario_Data!T76)-Inputs!$C$42)^2)/(2*Inputs!$C$45^2))+Inputs!$C$48*(0.7*(0.45*SIN(2*PI()*(((Scenario_Data!T76)/Inputs!$C$49)+Inputs!$C$47*0.137))+0.35*COS(2*PI()*(((Inputs!$C$6)/Inputs!$C$50)+Inputs!$C$47*0.173))+0.2*SIN(2*PI()*((((Scenario_Data!T76)+(Inputs!$C$6))/(0.5*(Inputs!$C$49+Inputs!$C$50)))+Inputs!$C$47*0.097)))+0.3*(2*((SIN(((Scenario_Data!T76)*12.9898+(Inputs!$C$6)*78.233+Inputs!$C$47*37.719))*43758.5453)-INT((SIN(((Scenario_Data!T76)*12.9898+(Inputs!$C$6)*78.233+Inputs!$C$47*37.719))*43758.5453)))-1))))/1000))^2-2*(Inputs!$C$52+(Scenario_Data!B76))*(Inputs!$C$52+((IF(OR(Inputs!$C$27=TRUE,Inputs!$C$27="TRUE",Inputs!$C$27=1),1,0)*(Inputs!$C$51*(115*EXP(-(((Inputs!$C$6)-25)^2)/(4.5^2))+70*EXP(-(((Inputs!$C$6)+38)^2)/(7^2))*(0.55+0.45*SIN(2*PI()*(Scenario_Data!T76)/45))+24*SIN(2*PI()*(Inputs!$C$6)/9+(Scenario_Data!T76)/18)*EXP(-(((Inputs!$C$6)+5)^2)/(22^2))+18*SIN(2*PI()*(Scenario_Data!T76)/70))+Inputs!$C$28*EXP(-(((Scenario_Data!T76)-Inputs!$C$29)^2)/(2*Inputs!$C$31^2))*EXP(-(((Inputs!$C$6)-Inputs!$C$30)^2)/(2*Inputs!$C$32^2))+-Inputs!$C$33*EXP(-(((((Scenario_Data!T76)-Inputs!$C$34)^2)+(((Inputs!$C$6)-Inputs!$C$35)^2))/(2*Inputs!$C$36^2)))+Inputs!$C$37*(0.55*SIN(2*PI()*(Scenario_Data!T76)/Inputs!$C$39)+0.35*COS(2*PI()*(Inputs!$C$6)/Inputs!$C$40)+0.2*SIN(2*PI()*((Scenario_Data!T76)+(Inputs!$C$6))/(0.5*(Inputs!$C$39+Inputs!$C$40))))+Inputs!$C$38*SIN(2*PI()*(Scenario_Data!T76)/Inputs!$C$39)*SIN(2*PI()*(Inputs!$C$6)/Inputs!$C$40)+-Inputs!$C$41*EXP(-(((Inputs!$C$6)-Inputs!$C$43)^2)/(2*Inputs!$C$44^2))*EXP(-(((Scenario_Data!T76)-Inputs!$C$42)^2)/(2*Inputs!$C$45^2))+Inputs!$C$48*(0.7*(0.45*SIN(2*PI()*(((Scenario_Data!T76)/Inputs!$C$49)+Inputs!$C$47*0.137))+0.35*COS(2*PI()*(((Inputs!$C$6)/Inputs!$C$50)+Inputs!$C$47*0.173))+0.2*SIN(2*PI()*((((Scenario_Data!T76)+(Inputs!$C$6))/(0.5*(Inputs!$C$49+Inputs!$C$50)))+Inputs!$C$47*0.097)))+0.3*(2*((SIN(((Scenario_Data!T76)*12.9898+(Inputs!$C$6)*78.233+Inputs!$C$47*37.719))*43758.5453)-INT((SIN(((Scenario_Data!T76)*12.9898+(Inputs!$C$6)*78.233+Inputs!$C$47*37.719))*43758.5453)))-1))))/1000))*COS(SQRT((Scenario_Data!T76)^2+Inputs!$C$6^2)/Inputs!$C$52))*1000)/Inputs!$C$21*1000000</f>
        <v/>
      </c>
      <c r="AR76">
        <f>Scenario_Data!U76</f>
        <v/>
      </c>
      <c r="AS76">
        <f>2*(SQRT((Inputs!$C$52+(Scenario_Data!C76))^2+(Inputs!$C$52+((IF(OR(Inputs!$C$27=TRUE,Inputs!$C$27="TRUE",Inputs!$C$27=1),1,0)*(Inputs!$C$51*(115*EXP(-(((Inputs!$C$6)-25)^2)/(4.5^2))+70*EXP(-(((Inputs!$C$6)+38)^2)/(7^2))*(0.55+0.45*SIN(2*PI()*(Scenario_Data!U76)/45))+24*SIN(2*PI()*(Inputs!$C$6)/9+(Scenario_Data!U76)/18)*EXP(-(((Inputs!$C$6)+5)^2)/(22^2))+18*SIN(2*PI()*(Scenario_Data!U76)/70))+Inputs!$C$28*EXP(-(((Scenario_Data!U76)-Inputs!$C$29)^2)/(2*Inputs!$C$31^2))*EXP(-(((Inputs!$C$6)-Inputs!$C$30)^2)/(2*Inputs!$C$32^2))+-Inputs!$C$33*EXP(-(((((Scenario_Data!U76)-Inputs!$C$34)^2)+(((Inputs!$C$6)-Inputs!$C$35)^2))/(2*Inputs!$C$36^2)))+Inputs!$C$37*(0.55*SIN(2*PI()*(Scenario_Data!U76)/Inputs!$C$39)+0.35*COS(2*PI()*(Inputs!$C$6)/Inputs!$C$40)+0.2*SIN(2*PI()*((Scenario_Data!U76)+(Inputs!$C$6))/(0.5*(Inputs!$C$39+Inputs!$C$40))))+Inputs!$C$38*SIN(2*PI()*(Scenario_Data!U76)/Inputs!$C$39)*SIN(2*PI()*(Inputs!$C$6)/Inputs!$C$40)+-Inputs!$C$41*EXP(-(((Inputs!$C$6)-Inputs!$C$43)^2)/(2*Inputs!$C$44^2))*EXP(-(((Scenario_Data!U76)-Inputs!$C$42)^2)/(2*Inputs!$C$45^2))+Inputs!$C$48*(0.7*(0.45*SIN(2*PI()*(((Scenario_Data!U76)/Inputs!$C$49)+Inputs!$C$47*0.137))+0.35*COS(2*PI()*(((Inputs!$C$6)/Inputs!$C$50)+Inputs!$C$47*0.173))+0.2*SIN(2*PI()*((((Scenario_Data!U76)+(Inputs!$C$6))/(0.5*(Inputs!$C$49+Inputs!$C$50)))+Inputs!$C$47*0.097)))+0.3*(2*((SIN(((Scenario_Data!U76)*12.9898+(Inputs!$C$6)*78.233+Inputs!$C$47*37.719))*43758.5453)-INT((SIN(((Scenario_Data!U76)*12.9898+(Inputs!$C$6)*78.233+Inputs!$C$47*37.719))*43758.5453)))-1))))/1000))^2-2*(Inputs!$C$52+(Scenario_Data!C76))*(Inputs!$C$52+((IF(OR(Inputs!$C$27=TRUE,Inputs!$C$27="TRUE",Inputs!$C$27=1),1,0)*(Inputs!$C$51*(115*EXP(-(((Inputs!$C$6)-25)^2)/(4.5^2))+70*EXP(-(((Inputs!$C$6)+38)^2)/(7^2))*(0.55+0.45*SIN(2*PI()*(Scenario_Data!U76)/45))+24*SIN(2*PI()*(Inputs!$C$6)/9+(Scenario_Data!U76)/18)*EXP(-(((Inputs!$C$6)+5)^2)/(22^2))+18*SIN(2*PI()*(Scenario_Data!U76)/70))+Inputs!$C$28*EXP(-(((Scenario_Data!U76)-Inputs!$C$29)^2)/(2*Inputs!$C$31^2))*EXP(-(((Inputs!$C$6)-Inputs!$C$30)^2)/(2*Inputs!$C$32^2))+-Inputs!$C$33*EXP(-(((((Scenario_Data!U76)-Inputs!$C$34)^2)+(((Inputs!$C$6)-Inputs!$C$35)^2))/(2*Inputs!$C$36^2)))+Inputs!$C$37*(0.55*SIN(2*PI()*(Scenario_Data!U76)/Inputs!$C$39)+0.35*COS(2*PI()*(Inputs!$C$6)/Inputs!$C$40)+0.2*SIN(2*PI()*((Scenario_Data!U76)+(Inputs!$C$6))/(0.5*(Inputs!$C$39+Inputs!$C$40))))+Inputs!$C$38*SIN(2*PI()*(Scenario_Data!U76)/Inputs!$C$39)*SIN(2*PI()*(Inputs!$C$6)/Inputs!$C$40)+-Inputs!$C$41*EXP(-(((Inputs!$C$6)-Inputs!$C$43)^2)/(2*Inputs!$C$44^2))*EXP(-(((Scenario_Data!U76)-Inputs!$C$42)^2)/(2*Inputs!$C$45^2))+Inputs!$C$48*(0.7*(0.45*SIN(2*PI()*(((Scenario_Data!U76)/Inputs!$C$49)+Inputs!$C$47*0.137))+0.35*COS(2*PI()*(((Inputs!$C$6)/Inputs!$C$50)+Inputs!$C$47*0.173))+0.2*SIN(2*PI()*((((Scenario_Data!U76)+(Inputs!$C$6))/(0.5*(Inputs!$C$49+Inputs!$C$50)))+Inputs!$C$47*0.097)))+0.3*(2*((SIN(((Scenario_Data!U76)*12.9898+(Inputs!$C$6)*78.233+Inputs!$C$47*37.719))*43758.5453)-INT((SIN(((Scenario_Data!U76)*12.9898+(Inputs!$C$6)*78.233+Inputs!$C$47*37.719))*43758.5453)))-1))))/1000))*COS(SQRT((Scenario_Data!U76)^2+Inputs!$C$6^2)/Inputs!$C$52))*1000)/Inputs!$C$21*1000000</f>
        <v/>
      </c>
      <c r="AT76">
        <f>Scenario_Data!V76</f>
        <v/>
      </c>
      <c r="AU76">
        <f>2*(SQRT((Inputs!$C$52+(Scenario_Data!D76))^2+(Inputs!$C$52+((IF(OR(Inputs!$C$27=TRUE,Inputs!$C$27="TRUE",Inputs!$C$27=1),1,0)*(Inputs!$C$51*(115*EXP(-(((Inputs!$C$6)-25)^2)/(4.5^2))+70*EXP(-(((Inputs!$C$6)+38)^2)/(7^2))*(0.55+0.45*SIN(2*PI()*(Scenario_Data!V76)/45))+24*SIN(2*PI()*(Inputs!$C$6)/9+(Scenario_Data!V76)/18)*EXP(-(((Inputs!$C$6)+5)^2)/(22^2))+18*SIN(2*PI()*(Scenario_Data!V76)/70))+Inputs!$C$28*EXP(-(((Scenario_Data!V76)-Inputs!$C$29)^2)/(2*Inputs!$C$31^2))*EXP(-(((Inputs!$C$6)-Inputs!$C$30)^2)/(2*Inputs!$C$32^2))+-Inputs!$C$33*EXP(-(((((Scenario_Data!V76)-Inputs!$C$34)^2)+(((Inputs!$C$6)-Inputs!$C$35)^2))/(2*Inputs!$C$36^2)))+Inputs!$C$37*(0.55*SIN(2*PI()*(Scenario_Data!V76)/Inputs!$C$39)+0.35*COS(2*PI()*(Inputs!$C$6)/Inputs!$C$40)+0.2*SIN(2*PI()*((Scenario_Data!V76)+(Inputs!$C$6))/(0.5*(Inputs!$C$39+Inputs!$C$40))))+Inputs!$C$38*SIN(2*PI()*(Scenario_Data!V76)/Inputs!$C$39)*SIN(2*PI()*(Inputs!$C$6)/Inputs!$C$40)+-Inputs!$C$41*EXP(-(((Inputs!$C$6)-Inputs!$C$43)^2)/(2*Inputs!$C$44^2))*EXP(-(((Scenario_Data!V76)-Inputs!$C$42)^2)/(2*Inputs!$C$45^2))+Inputs!$C$48*(0.7*(0.45*SIN(2*PI()*(((Scenario_Data!V76)/Inputs!$C$49)+Inputs!$C$47*0.137))+0.35*COS(2*PI()*(((Inputs!$C$6)/Inputs!$C$50)+Inputs!$C$47*0.173))+0.2*SIN(2*PI()*((((Scenario_Data!V76)+(Inputs!$C$6))/(0.5*(Inputs!$C$49+Inputs!$C$50)))+Inputs!$C$47*0.097)))+0.3*(2*((SIN(((Scenario_Data!V76)*12.9898+(Inputs!$C$6)*78.233+Inputs!$C$47*37.719))*43758.5453)-INT((SIN(((Scenario_Data!V76)*12.9898+(Inputs!$C$6)*78.233+Inputs!$C$47*37.719))*43758.5453)))-1))))/1000))^2-2*(Inputs!$C$52+(Scenario_Data!D76))*(Inputs!$C$52+((IF(OR(Inputs!$C$27=TRUE,Inputs!$C$27="TRUE",Inputs!$C$27=1),1,0)*(Inputs!$C$51*(115*EXP(-(((Inputs!$C$6)-25)^2)/(4.5^2))+70*EXP(-(((Inputs!$C$6)+38)^2)/(7^2))*(0.55+0.45*SIN(2*PI()*(Scenario_Data!V76)/45))+24*SIN(2*PI()*(Inputs!$C$6)/9+(Scenario_Data!V76)/18)*EXP(-(((Inputs!$C$6)+5)^2)/(22^2))+18*SIN(2*PI()*(Scenario_Data!V76)/70))+Inputs!$C$28*EXP(-(((Scenario_Data!V76)-Inputs!$C$29)^2)/(2*Inputs!$C$31^2))*EXP(-(((Inputs!$C$6)-Inputs!$C$30)^2)/(2*Inputs!$C$32^2))+-Inputs!$C$33*EXP(-(((((Scenario_Data!V76)-Inputs!$C$34)^2)+(((Inputs!$C$6)-Inputs!$C$35)^2))/(2*Inputs!$C$36^2)))+Inputs!$C$37*(0.55*SIN(2*PI()*(Scenario_Data!V76)/Inputs!$C$39)+0.35*COS(2*PI()*(Inputs!$C$6)/Inputs!$C$40)+0.2*SIN(2*PI()*((Scenario_Data!V76)+(Inputs!$C$6))/(0.5*(Inputs!$C$39+Inputs!$C$40))))+Inputs!$C$38*SIN(2*PI()*(Scenario_Data!V76)/Inputs!$C$39)*SIN(2*PI()*(Inputs!$C$6)/Inputs!$C$40)+-Inputs!$C$41*EXP(-(((Inputs!$C$6)-Inputs!$C$43)^2)/(2*Inputs!$C$44^2))*EXP(-(((Scenario_Data!V76)-Inputs!$C$42)^2)/(2*Inputs!$C$45^2))+Inputs!$C$48*(0.7*(0.45*SIN(2*PI()*(((Scenario_Data!V76)/Inputs!$C$49)+Inputs!$C$47*0.137))+0.35*COS(2*PI()*(((Inputs!$C$6)/Inputs!$C$50)+Inputs!$C$47*0.173))+0.2*SIN(2*PI()*((((Scenario_Data!V76)+(Inputs!$C$6))/(0.5*(Inputs!$C$49+Inputs!$C$50)))+Inputs!$C$47*0.097)))+0.3*(2*((SIN(((Scenario_Data!V76)*12.9898+(Inputs!$C$6)*78.233+Inputs!$C$47*37.719))*43758.5453)-INT((SIN(((Scenario_Data!V76)*12.9898+(Inputs!$C$6)*78.233+Inputs!$C$47*37.719))*43758.5453)))-1))))/1000))*COS(SQRT((Scenario_Data!V76)^2+Inputs!$C$6^2)/Inputs!$C$52))*1000)/Inputs!$C$21*1000000</f>
        <v/>
      </c>
      <c r="AV76">
        <f>Scenario_Data!W76</f>
        <v/>
      </c>
      <c r="AW76">
        <f>2*(SQRT((Inputs!$C$52+(Scenario_Data!E76))^2+(Inputs!$C$52+((IF(OR(Inputs!$C$27=TRUE,Inputs!$C$27="TRUE",Inputs!$C$27=1),1,0)*(Inputs!$C$51*(115*EXP(-(((Inputs!$C$6)-25)^2)/(4.5^2))+70*EXP(-(((Inputs!$C$6)+38)^2)/(7^2))*(0.55+0.45*SIN(2*PI()*(Scenario_Data!W76)/45))+24*SIN(2*PI()*(Inputs!$C$6)/9+(Scenario_Data!W76)/18)*EXP(-(((Inputs!$C$6)+5)^2)/(22^2))+18*SIN(2*PI()*(Scenario_Data!W76)/70))+Inputs!$C$28*EXP(-(((Scenario_Data!W76)-Inputs!$C$29)^2)/(2*Inputs!$C$31^2))*EXP(-(((Inputs!$C$6)-Inputs!$C$30)^2)/(2*Inputs!$C$32^2))+-Inputs!$C$33*EXP(-(((((Scenario_Data!W76)-Inputs!$C$34)^2)+(((Inputs!$C$6)-Inputs!$C$35)^2))/(2*Inputs!$C$36^2)))+Inputs!$C$37*(0.55*SIN(2*PI()*(Scenario_Data!W76)/Inputs!$C$39)+0.35*COS(2*PI()*(Inputs!$C$6)/Inputs!$C$40)+0.2*SIN(2*PI()*((Scenario_Data!W76)+(Inputs!$C$6))/(0.5*(Inputs!$C$39+Inputs!$C$40))))+Inputs!$C$38*SIN(2*PI()*(Scenario_Data!W76)/Inputs!$C$39)*SIN(2*PI()*(Inputs!$C$6)/Inputs!$C$40)+-Inputs!$C$41*EXP(-(((Inputs!$C$6)-Inputs!$C$43)^2)/(2*Inputs!$C$44^2))*EXP(-(((Scenario_Data!W76)-Inputs!$C$42)^2)/(2*Inputs!$C$45^2))+Inputs!$C$48*(0.7*(0.45*SIN(2*PI()*(((Scenario_Data!W76)/Inputs!$C$49)+Inputs!$C$47*0.137))+0.35*COS(2*PI()*(((Inputs!$C$6)/Inputs!$C$50)+Inputs!$C$47*0.173))+0.2*SIN(2*PI()*((((Scenario_Data!W76)+(Inputs!$C$6))/(0.5*(Inputs!$C$49+Inputs!$C$50)))+Inputs!$C$47*0.097)))+0.3*(2*((SIN(((Scenario_Data!W76)*12.9898+(Inputs!$C$6)*78.233+Inputs!$C$47*37.719))*43758.5453)-INT((SIN(((Scenario_Data!W76)*12.9898+(Inputs!$C$6)*78.233+Inputs!$C$47*37.719))*43758.5453)))-1))))/1000))^2-2*(Inputs!$C$52+(Scenario_Data!E76))*(Inputs!$C$52+((IF(OR(Inputs!$C$27=TRUE,Inputs!$C$27="TRUE",Inputs!$C$27=1),1,0)*(Inputs!$C$51*(115*EXP(-(((Inputs!$C$6)-25)^2)/(4.5^2))+70*EXP(-(((Inputs!$C$6)+38)^2)/(7^2))*(0.55+0.45*SIN(2*PI()*(Scenario_Data!W76)/45))+24*SIN(2*PI()*(Inputs!$C$6)/9+(Scenario_Data!W76)/18)*EXP(-(((Inputs!$C$6)+5)^2)/(22^2))+18*SIN(2*PI()*(Scenario_Data!W76)/70))+Inputs!$C$28*EXP(-(((Scenario_Data!W76)-Inputs!$C$29)^2)/(2*Inputs!$C$31^2))*EXP(-(((Inputs!$C$6)-Inputs!$C$30)^2)/(2*Inputs!$C$32^2))+-Inputs!$C$33*EXP(-(((((Scenario_Data!W76)-Inputs!$C$34)^2)+(((Inputs!$C$6)-Inputs!$C$35)^2))/(2*Inputs!$C$36^2)))+Inputs!$C$37*(0.55*SIN(2*PI()*(Scenario_Data!W76)/Inputs!$C$39)+0.35*COS(2*PI()*(Inputs!$C$6)/Inputs!$C$40)+0.2*SIN(2*PI()*((Scenario_Data!W76)+(Inputs!$C$6))/(0.5*(Inputs!$C$39+Inputs!$C$40))))+Inputs!$C$38*SIN(2*PI()*(Scenario_Data!W76)/Inputs!$C$39)*SIN(2*PI()*(Inputs!$C$6)/Inputs!$C$40)+-Inputs!$C$41*EXP(-(((Inputs!$C$6)-Inputs!$C$43)^2)/(2*Inputs!$C$44^2))*EXP(-(((Scenario_Data!W76)-Inputs!$C$42)^2)/(2*Inputs!$C$45^2))+Inputs!$C$48*(0.7*(0.45*SIN(2*PI()*(((Scenario_Data!W76)/Inputs!$C$49)+Inputs!$C$47*0.137))+0.35*COS(2*PI()*(((Inputs!$C$6)/Inputs!$C$50)+Inputs!$C$47*0.173))+0.2*SIN(2*PI()*((((Scenario_Data!W76)+(Inputs!$C$6))/(0.5*(Inputs!$C$49+Inputs!$C$50)))+Inputs!$C$47*0.097)))+0.3*(2*((SIN(((Scenario_Data!W76)*12.9898+(Inputs!$C$6)*78.233+Inputs!$C$47*37.719))*43758.5453)-INT((SIN(((Scenario_Data!W76)*12.9898+(Inputs!$C$6)*78.233+Inputs!$C$47*37.719))*43758.5453)))-1))))/1000))*COS(SQRT((Scenario_Data!W76)^2+Inputs!$C$6^2)/Inputs!$C$52))*1000)/Inputs!$C$21*1000000</f>
        <v/>
      </c>
    </row>
    <row r="77">
      <c r="A77">
        <f>Chart_Data!K77</f>
        <v/>
      </c>
      <c r="B77">
        <f>Chart_Data!N77-Chart_Data!L77</f>
        <v/>
      </c>
      <c r="D77">
        <f>Chart_Data!G77</f>
        <v/>
      </c>
      <c r="E77">
        <f>Chart_Data!H77</f>
        <v/>
      </c>
      <c r="F77">
        <f>Chart_Data!I77</f>
        <v/>
      </c>
      <c r="G77">
        <f>Chart_Data!J77</f>
        <v/>
      </c>
      <c r="I77">
        <f>Scenario_Data!A77</f>
        <v/>
      </c>
      <c r="J77">
        <f>Scenario_Data!H77-(((SQRT((Inputs!$C$52+(Inputs!$H$6))^2+Inputs!$C$52^2-2*(Inputs!$C$52+(Inputs!$H$6))*Inputs!$C$52*COS(SQRT((Scenario_Data!T77)^2+Inputs!$C$6^2)/Inputs!$C$52)))-(Inputs!$H$6))*1000/Inputs!$C$12)</f>
        <v/>
      </c>
      <c r="K77">
        <f>Scenario_Data!I77-(((SQRT((Inputs!$C$52+(Inputs!$H$7))^2+Inputs!$C$52^2-2*(Inputs!$C$52+(Inputs!$H$7))*Inputs!$C$52*COS(SQRT((Scenario_Data!U77)^2+Inputs!$C$6^2)/Inputs!$C$52)))-(Inputs!$H$7))*1000/Inputs!$C$12)</f>
        <v/>
      </c>
      <c r="L77">
        <f>Scenario_Data!J77-(((SQRT((Inputs!$C$52+(Inputs!$H$8))^2+Inputs!$C$52^2-2*(Inputs!$C$52+(Inputs!$H$8))*Inputs!$C$52*COS(SQRT((Scenario_Data!V77)^2+Inputs!$C$6^2)/Inputs!$C$52)))-(Inputs!$H$8))*1000/Inputs!$C$12)</f>
        <v/>
      </c>
      <c r="M77">
        <f>Scenario_Data!K77-(((SQRT((Inputs!$C$52+(Inputs!$H$9))^2+Inputs!$C$52^2-2*(Inputs!$C$52+(Inputs!$H$9))*Inputs!$C$52*COS(SQRT((Scenario_Data!W77)^2+Inputs!$C$6^2)/Inputs!$C$52)))-(Inputs!$H$9))*1000/Inputs!$C$12)</f>
        <v/>
      </c>
      <c r="O77">
        <f>Scenario_Data!T77</f>
        <v/>
      </c>
      <c r="P77">
        <f>2*(Scenario_Data!B77*1000)/Inputs!$C$21*1000000</f>
        <v/>
      </c>
      <c r="Q77">
        <f>Scenario_Data!U77</f>
        <v/>
      </c>
      <c r="R77">
        <f>2*(Scenario_Data!C77*1000)/Inputs!$C$21*1000000</f>
        <v/>
      </c>
      <c r="S77">
        <f>Scenario_Data!V77</f>
        <v/>
      </c>
      <c r="T77">
        <f>2*(Scenario_Data!D77*1000)/Inputs!$C$21*1000000</f>
        <v/>
      </c>
      <c r="U77">
        <f>Scenario_Data!W77</f>
        <v/>
      </c>
      <c r="V77">
        <f>2*(Scenario_Data!E77*1000)/Inputs!$C$21*1000000</f>
        <v/>
      </c>
      <c r="X77">
        <f>Scenario_Data!T77</f>
        <v/>
      </c>
      <c r="Y77">
        <f>2*((Scenario_Data!B77*1000)-(IF(OR(Inputs!$C$27=TRUE,Inputs!$C$27="TRUE",Inputs!$C$27=1),1,0)*(Inputs!$C$51*(115*EXP(-(((0)-25)^2)/(4.5^2))+70*EXP(-(((0)+38)^2)/(7^2))*(0.55+0.45*SIN(2*PI()*(Scenario_Data!T77)/45))+24*SIN(2*PI()*(0)/9+(Scenario_Data!T77)/18)*EXP(-(((0)+5)^2)/(22^2))+18*SIN(2*PI()*(Scenario_Data!T77)/70))+Inputs!$C$28*EXP(-(((Scenario_Data!T77)-Inputs!$C$29)^2)/(2*Inputs!$C$31^2))*EXP(-(((0)-Inputs!$C$30)^2)/(2*Inputs!$C$32^2))+-Inputs!$C$33*EXP(-(((((Scenario_Data!T77)-Inputs!$C$34)^2)+(((0)-Inputs!$C$35)^2))/(2*Inputs!$C$36^2)))+Inputs!$C$37*(0.55*SIN(2*PI()*(Scenario_Data!T77)/Inputs!$C$39)+0.35*COS(2*PI()*(0)/Inputs!$C$40)+0.2*SIN(2*PI()*((Scenario_Data!T77)+(0))/(0.5*(Inputs!$C$39+Inputs!$C$40))))+Inputs!$C$38*SIN(2*PI()*(Scenario_Data!T77)/Inputs!$C$39)*SIN(2*PI()*(0)/Inputs!$C$40)+-Inputs!$C$41*EXP(-(((0)-Inputs!$C$43)^2)/(2*Inputs!$C$44^2))*EXP(-(((Scenario_Data!T77)-Inputs!$C$42)^2)/(2*Inputs!$C$45^2))+Inputs!$C$48*(0.7*(0.45*SIN(2*PI()*(((Scenario_Data!T77)/Inputs!$C$49)+Inputs!$C$47*0.137))+0.35*COS(2*PI()*(((0)/Inputs!$C$50)+Inputs!$C$47*0.173))+0.2*SIN(2*PI()*((((Scenario_Data!T77)+(0))/(0.5*(Inputs!$C$49+Inputs!$C$50)))+Inputs!$C$47*0.097)))+0.3*(2*((SIN(((Scenario_Data!T77)*12.9898+(0)*78.233+Inputs!$C$47*37.719))*43758.5453)-INT((SIN(((Scenario_Data!T77)*12.9898+(0)*78.233+Inputs!$C$47*37.719))*43758.5453)))-1)))))/Inputs!$C$21*1000000</f>
        <v/>
      </c>
      <c r="Z77">
        <f>Scenario_Data!U77</f>
        <v/>
      </c>
      <c r="AA77">
        <f>2*((Scenario_Data!C77*1000)-(IF(OR(Inputs!$C$27=TRUE,Inputs!$C$27="TRUE",Inputs!$C$27=1),1,0)*(Inputs!$C$51*(115*EXP(-(((0)-25)^2)/(4.5^2))+70*EXP(-(((0)+38)^2)/(7^2))*(0.55+0.45*SIN(2*PI()*(Scenario_Data!U77)/45))+24*SIN(2*PI()*(0)/9+(Scenario_Data!U77)/18)*EXP(-(((0)+5)^2)/(22^2))+18*SIN(2*PI()*(Scenario_Data!U77)/70))+Inputs!$C$28*EXP(-(((Scenario_Data!U77)-Inputs!$C$29)^2)/(2*Inputs!$C$31^2))*EXP(-(((0)-Inputs!$C$30)^2)/(2*Inputs!$C$32^2))+-Inputs!$C$33*EXP(-(((((Scenario_Data!U77)-Inputs!$C$34)^2)+(((0)-Inputs!$C$35)^2))/(2*Inputs!$C$36^2)))+Inputs!$C$37*(0.55*SIN(2*PI()*(Scenario_Data!U77)/Inputs!$C$39)+0.35*COS(2*PI()*(0)/Inputs!$C$40)+0.2*SIN(2*PI()*((Scenario_Data!U77)+(0))/(0.5*(Inputs!$C$39+Inputs!$C$40))))+Inputs!$C$38*SIN(2*PI()*(Scenario_Data!U77)/Inputs!$C$39)*SIN(2*PI()*(0)/Inputs!$C$40)+-Inputs!$C$41*EXP(-(((0)-Inputs!$C$43)^2)/(2*Inputs!$C$44^2))*EXP(-(((Scenario_Data!U77)-Inputs!$C$42)^2)/(2*Inputs!$C$45^2))+Inputs!$C$48*(0.7*(0.45*SIN(2*PI()*(((Scenario_Data!U77)/Inputs!$C$49)+Inputs!$C$47*0.137))+0.35*COS(2*PI()*(((0)/Inputs!$C$50)+Inputs!$C$47*0.173))+0.2*SIN(2*PI()*((((Scenario_Data!U77)+(0))/(0.5*(Inputs!$C$49+Inputs!$C$50)))+Inputs!$C$47*0.097)))+0.3*(2*((SIN(((Scenario_Data!U77)*12.9898+(0)*78.233+Inputs!$C$47*37.719))*43758.5453)-INT((SIN(((Scenario_Data!U77)*12.9898+(0)*78.233+Inputs!$C$47*37.719))*43758.5453)))-1)))))/Inputs!$C$21*1000000</f>
        <v/>
      </c>
      <c r="AB77">
        <f>Scenario_Data!V77</f>
        <v/>
      </c>
      <c r="AC77">
        <f>2*((Scenario_Data!D77*1000)-(IF(OR(Inputs!$C$27=TRUE,Inputs!$C$27="TRUE",Inputs!$C$27=1),1,0)*(Inputs!$C$51*(115*EXP(-(((0)-25)^2)/(4.5^2))+70*EXP(-(((0)+38)^2)/(7^2))*(0.55+0.45*SIN(2*PI()*(Scenario_Data!V77)/45))+24*SIN(2*PI()*(0)/9+(Scenario_Data!V77)/18)*EXP(-(((0)+5)^2)/(22^2))+18*SIN(2*PI()*(Scenario_Data!V77)/70))+Inputs!$C$28*EXP(-(((Scenario_Data!V77)-Inputs!$C$29)^2)/(2*Inputs!$C$31^2))*EXP(-(((0)-Inputs!$C$30)^2)/(2*Inputs!$C$32^2))+-Inputs!$C$33*EXP(-(((((Scenario_Data!V77)-Inputs!$C$34)^2)+(((0)-Inputs!$C$35)^2))/(2*Inputs!$C$36^2)))+Inputs!$C$37*(0.55*SIN(2*PI()*(Scenario_Data!V77)/Inputs!$C$39)+0.35*COS(2*PI()*(0)/Inputs!$C$40)+0.2*SIN(2*PI()*((Scenario_Data!V77)+(0))/(0.5*(Inputs!$C$39+Inputs!$C$40))))+Inputs!$C$38*SIN(2*PI()*(Scenario_Data!V77)/Inputs!$C$39)*SIN(2*PI()*(0)/Inputs!$C$40)+-Inputs!$C$41*EXP(-(((0)-Inputs!$C$43)^2)/(2*Inputs!$C$44^2))*EXP(-(((Scenario_Data!V77)-Inputs!$C$42)^2)/(2*Inputs!$C$45^2))+Inputs!$C$48*(0.7*(0.45*SIN(2*PI()*(((Scenario_Data!V77)/Inputs!$C$49)+Inputs!$C$47*0.137))+0.35*COS(2*PI()*(((0)/Inputs!$C$50)+Inputs!$C$47*0.173))+0.2*SIN(2*PI()*((((Scenario_Data!V77)+(0))/(0.5*(Inputs!$C$49+Inputs!$C$50)))+Inputs!$C$47*0.097)))+0.3*(2*((SIN(((Scenario_Data!V77)*12.9898+(0)*78.233+Inputs!$C$47*37.719))*43758.5453)-INT((SIN(((Scenario_Data!V77)*12.9898+(0)*78.233+Inputs!$C$47*37.719))*43758.5453)))-1)))))/Inputs!$C$21*1000000</f>
        <v/>
      </c>
      <c r="AD77">
        <f>Scenario_Data!W77</f>
        <v/>
      </c>
      <c r="AE77">
        <f>2*((Scenario_Data!E77*1000)-(IF(OR(Inputs!$C$27=TRUE,Inputs!$C$27="TRUE",Inputs!$C$27=1),1,0)*(Inputs!$C$51*(115*EXP(-(((0)-25)^2)/(4.5^2))+70*EXP(-(((0)+38)^2)/(7^2))*(0.55+0.45*SIN(2*PI()*(Scenario_Data!W77)/45))+24*SIN(2*PI()*(0)/9+(Scenario_Data!W77)/18)*EXP(-(((0)+5)^2)/(22^2))+18*SIN(2*PI()*(Scenario_Data!W77)/70))+Inputs!$C$28*EXP(-(((Scenario_Data!W77)-Inputs!$C$29)^2)/(2*Inputs!$C$31^2))*EXP(-(((0)-Inputs!$C$30)^2)/(2*Inputs!$C$32^2))+-Inputs!$C$33*EXP(-(((((Scenario_Data!W77)-Inputs!$C$34)^2)+(((0)-Inputs!$C$35)^2))/(2*Inputs!$C$36^2)))+Inputs!$C$37*(0.55*SIN(2*PI()*(Scenario_Data!W77)/Inputs!$C$39)+0.35*COS(2*PI()*(0)/Inputs!$C$40)+0.2*SIN(2*PI()*((Scenario_Data!W77)+(0))/(0.5*(Inputs!$C$39+Inputs!$C$40))))+Inputs!$C$38*SIN(2*PI()*(Scenario_Data!W77)/Inputs!$C$39)*SIN(2*PI()*(0)/Inputs!$C$40)+-Inputs!$C$41*EXP(-(((0)-Inputs!$C$43)^2)/(2*Inputs!$C$44^2))*EXP(-(((Scenario_Data!W77)-Inputs!$C$42)^2)/(2*Inputs!$C$45^2))+Inputs!$C$48*(0.7*(0.45*SIN(2*PI()*(((Scenario_Data!W77)/Inputs!$C$49)+Inputs!$C$47*0.137))+0.35*COS(2*PI()*(((0)/Inputs!$C$50)+Inputs!$C$47*0.173))+0.2*SIN(2*PI()*((((Scenario_Data!W77)+(0))/(0.5*(Inputs!$C$49+Inputs!$C$50)))+Inputs!$C$47*0.097)))+0.3*(2*((SIN(((Scenario_Data!W77)*12.9898+(0)*78.233+Inputs!$C$47*37.719))*43758.5453)-INT((SIN(((Scenario_Data!W77)*12.9898+(0)*78.233+Inputs!$C$47*37.719))*43758.5453)))-1)))))/Inputs!$C$21*1000000</f>
        <v/>
      </c>
      <c r="AG77">
        <f>Scenario_Data!T77</f>
        <v/>
      </c>
      <c r="AH77">
        <f>2*(SQRT((Inputs!$C$52+(Scenario_Data!B77))^2+Inputs!$C$52^2-2*(Inputs!$C$52+(Scenario_Data!B77))*Inputs!$C$52*COS(SQRT((Scenario_Data!T77)^2+Inputs!$C$6^2)/Inputs!$C$52))*1000)/Inputs!$C$21*1000000</f>
        <v/>
      </c>
      <c r="AI77">
        <f>Scenario_Data!U77</f>
        <v/>
      </c>
      <c r="AJ77">
        <f>2*(SQRT((Inputs!$C$52+(Scenario_Data!C77))^2+Inputs!$C$52^2-2*(Inputs!$C$52+(Scenario_Data!C77))*Inputs!$C$52*COS(SQRT((Scenario_Data!U77)^2+Inputs!$C$6^2)/Inputs!$C$52))*1000)/Inputs!$C$21*1000000</f>
        <v/>
      </c>
      <c r="AK77">
        <f>Scenario_Data!V77</f>
        <v/>
      </c>
      <c r="AL77">
        <f>2*(SQRT((Inputs!$C$52+(Scenario_Data!D77))^2+Inputs!$C$52^2-2*(Inputs!$C$52+(Scenario_Data!D77))*Inputs!$C$52*COS(SQRT((Scenario_Data!V77)^2+Inputs!$C$6^2)/Inputs!$C$52))*1000)/Inputs!$C$21*1000000</f>
        <v/>
      </c>
      <c r="AM77">
        <f>Scenario_Data!W77</f>
        <v/>
      </c>
      <c r="AN77">
        <f>2*(SQRT((Inputs!$C$52+(Scenario_Data!E77))^2+Inputs!$C$52^2-2*(Inputs!$C$52+(Scenario_Data!E77))*Inputs!$C$52*COS(SQRT((Scenario_Data!W77)^2+Inputs!$C$6^2)/Inputs!$C$52))*1000)/Inputs!$C$21*1000000</f>
        <v/>
      </c>
      <c r="AP77">
        <f>Scenario_Data!T77</f>
        <v/>
      </c>
      <c r="AQ77">
        <f>2*(SQRT((Inputs!$C$52+(Scenario_Data!B77))^2+(Inputs!$C$52+((IF(OR(Inputs!$C$27=TRUE,Inputs!$C$27="TRUE",Inputs!$C$27=1),1,0)*(Inputs!$C$51*(115*EXP(-(((Inputs!$C$6)-25)^2)/(4.5^2))+70*EXP(-(((Inputs!$C$6)+38)^2)/(7^2))*(0.55+0.45*SIN(2*PI()*(Scenario_Data!T77)/45))+24*SIN(2*PI()*(Inputs!$C$6)/9+(Scenario_Data!T77)/18)*EXP(-(((Inputs!$C$6)+5)^2)/(22^2))+18*SIN(2*PI()*(Scenario_Data!T77)/70))+Inputs!$C$28*EXP(-(((Scenario_Data!T77)-Inputs!$C$29)^2)/(2*Inputs!$C$31^2))*EXP(-(((Inputs!$C$6)-Inputs!$C$30)^2)/(2*Inputs!$C$32^2))+-Inputs!$C$33*EXP(-(((((Scenario_Data!T77)-Inputs!$C$34)^2)+(((Inputs!$C$6)-Inputs!$C$35)^2))/(2*Inputs!$C$36^2)))+Inputs!$C$37*(0.55*SIN(2*PI()*(Scenario_Data!T77)/Inputs!$C$39)+0.35*COS(2*PI()*(Inputs!$C$6)/Inputs!$C$40)+0.2*SIN(2*PI()*((Scenario_Data!T77)+(Inputs!$C$6))/(0.5*(Inputs!$C$39+Inputs!$C$40))))+Inputs!$C$38*SIN(2*PI()*(Scenario_Data!T77)/Inputs!$C$39)*SIN(2*PI()*(Inputs!$C$6)/Inputs!$C$40)+-Inputs!$C$41*EXP(-(((Inputs!$C$6)-Inputs!$C$43)^2)/(2*Inputs!$C$44^2))*EXP(-(((Scenario_Data!T77)-Inputs!$C$42)^2)/(2*Inputs!$C$45^2))+Inputs!$C$48*(0.7*(0.45*SIN(2*PI()*(((Scenario_Data!T77)/Inputs!$C$49)+Inputs!$C$47*0.137))+0.35*COS(2*PI()*(((Inputs!$C$6)/Inputs!$C$50)+Inputs!$C$47*0.173))+0.2*SIN(2*PI()*((((Scenario_Data!T77)+(Inputs!$C$6))/(0.5*(Inputs!$C$49+Inputs!$C$50)))+Inputs!$C$47*0.097)))+0.3*(2*((SIN(((Scenario_Data!T77)*12.9898+(Inputs!$C$6)*78.233+Inputs!$C$47*37.719))*43758.5453)-INT((SIN(((Scenario_Data!T77)*12.9898+(Inputs!$C$6)*78.233+Inputs!$C$47*37.719))*43758.5453)))-1))))/1000))^2-2*(Inputs!$C$52+(Scenario_Data!B77))*(Inputs!$C$52+((IF(OR(Inputs!$C$27=TRUE,Inputs!$C$27="TRUE",Inputs!$C$27=1),1,0)*(Inputs!$C$51*(115*EXP(-(((Inputs!$C$6)-25)^2)/(4.5^2))+70*EXP(-(((Inputs!$C$6)+38)^2)/(7^2))*(0.55+0.45*SIN(2*PI()*(Scenario_Data!T77)/45))+24*SIN(2*PI()*(Inputs!$C$6)/9+(Scenario_Data!T77)/18)*EXP(-(((Inputs!$C$6)+5)^2)/(22^2))+18*SIN(2*PI()*(Scenario_Data!T77)/70))+Inputs!$C$28*EXP(-(((Scenario_Data!T77)-Inputs!$C$29)^2)/(2*Inputs!$C$31^2))*EXP(-(((Inputs!$C$6)-Inputs!$C$30)^2)/(2*Inputs!$C$32^2))+-Inputs!$C$33*EXP(-(((((Scenario_Data!T77)-Inputs!$C$34)^2)+(((Inputs!$C$6)-Inputs!$C$35)^2))/(2*Inputs!$C$36^2)))+Inputs!$C$37*(0.55*SIN(2*PI()*(Scenario_Data!T77)/Inputs!$C$39)+0.35*COS(2*PI()*(Inputs!$C$6)/Inputs!$C$40)+0.2*SIN(2*PI()*((Scenario_Data!T77)+(Inputs!$C$6))/(0.5*(Inputs!$C$39+Inputs!$C$40))))+Inputs!$C$38*SIN(2*PI()*(Scenario_Data!T77)/Inputs!$C$39)*SIN(2*PI()*(Inputs!$C$6)/Inputs!$C$40)+-Inputs!$C$41*EXP(-(((Inputs!$C$6)-Inputs!$C$43)^2)/(2*Inputs!$C$44^2))*EXP(-(((Scenario_Data!T77)-Inputs!$C$42)^2)/(2*Inputs!$C$45^2))+Inputs!$C$48*(0.7*(0.45*SIN(2*PI()*(((Scenario_Data!T77)/Inputs!$C$49)+Inputs!$C$47*0.137))+0.35*COS(2*PI()*(((Inputs!$C$6)/Inputs!$C$50)+Inputs!$C$47*0.173))+0.2*SIN(2*PI()*((((Scenario_Data!T77)+(Inputs!$C$6))/(0.5*(Inputs!$C$49+Inputs!$C$50)))+Inputs!$C$47*0.097)))+0.3*(2*((SIN(((Scenario_Data!T77)*12.9898+(Inputs!$C$6)*78.233+Inputs!$C$47*37.719))*43758.5453)-INT((SIN(((Scenario_Data!T77)*12.9898+(Inputs!$C$6)*78.233+Inputs!$C$47*37.719))*43758.5453)))-1))))/1000))*COS(SQRT((Scenario_Data!T77)^2+Inputs!$C$6^2)/Inputs!$C$52))*1000)/Inputs!$C$21*1000000</f>
        <v/>
      </c>
      <c r="AR77">
        <f>Scenario_Data!U77</f>
        <v/>
      </c>
      <c r="AS77">
        <f>2*(SQRT((Inputs!$C$52+(Scenario_Data!C77))^2+(Inputs!$C$52+((IF(OR(Inputs!$C$27=TRUE,Inputs!$C$27="TRUE",Inputs!$C$27=1),1,0)*(Inputs!$C$51*(115*EXP(-(((Inputs!$C$6)-25)^2)/(4.5^2))+70*EXP(-(((Inputs!$C$6)+38)^2)/(7^2))*(0.55+0.45*SIN(2*PI()*(Scenario_Data!U77)/45))+24*SIN(2*PI()*(Inputs!$C$6)/9+(Scenario_Data!U77)/18)*EXP(-(((Inputs!$C$6)+5)^2)/(22^2))+18*SIN(2*PI()*(Scenario_Data!U77)/70))+Inputs!$C$28*EXP(-(((Scenario_Data!U77)-Inputs!$C$29)^2)/(2*Inputs!$C$31^2))*EXP(-(((Inputs!$C$6)-Inputs!$C$30)^2)/(2*Inputs!$C$32^2))+-Inputs!$C$33*EXP(-(((((Scenario_Data!U77)-Inputs!$C$34)^2)+(((Inputs!$C$6)-Inputs!$C$35)^2))/(2*Inputs!$C$36^2)))+Inputs!$C$37*(0.55*SIN(2*PI()*(Scenario_Data!U77)/Inputs!$C$39)+0.35*COS(2*PI()*(Inputs!$C$6)/Inputs!$C$40)+0.2*SIN(2*PI()*((Scenario_Data!U77)+(Inputs!$C$6))/(0.5*(Inputs!$C$39+Inputs!$C$40))))+Inputs!$C$38*SIN(2*PI()*(Scenario_Data!U77)/Inputs!$C$39)*SIN(2*PI()*(Inputs!$C$6)/Inputs!$C$40)+-Inputs!$C$41*EXP(-(((Inputs!$C$6)-Inputs!$C$43)^2)/(2*Inputs!$C$44^2))*EXP(-(((Scenario_Data!U77)-Inputs!$C$42)^2)/(2*Inputs!$C$45^2))+Inputs!$C$48*(0.7*(0.45*SIN(2*PI()*(((Scenario_Data!U77)/Inputs!$C$49)+Inputs!$C$47*0.137))+0.35*COS(2*PI()*(((Inputs!$C$6)/Inputs!$C$50)+Inputs!$C$47*0.173))+0.2*SIN(2*PI()*((((Scenario_Data!U77)+(Inputs!$C$6))/(0.5*(Inputs!$C$49+Inputs!$C$50)))+Inputs!$C$47*0.097)))+0.3*(2*((SIN(((Scenario_Data!U77)*12.9898+(Inputs!$C$6)*78.233+Inputs!$C$47*37.719))*43758.5453)-INT((SIN(((Scenario_Data!U77)*12.9898+(Inputs!$C$6)*78.233+Inputs!$C$47*37.719))*43758.5453)))-1))))/1000))^2-2*(Inputs!$C$52+(Scenario_Data!C77))*(Inputs!$C$52+((IF(OR(Inputs!$C$27=TRUE,Inputs!$C$27="TRUE",Inputs!$C$27=1),1,0)*(Inputs!$C$51*(115*EXP(-(((Inputs!$C$6)-25)^2)/(4.5^2))+70*EXP(-(((Inputs!$C$6)+38)^2)/(7^2))*(0.55+0.45*SIN(2*PI()*(Scenario_Data!U77)/45))+24*SIN(2*PI()*(Inputs!$C$6)/9+(Scenario_Data!U77)/18)*EXP(-(((Inputs!$C$6)+5)^2)/(22^2))+18*SIN(2*PI()*(Scenario_Data!U77)/70))+Inputs!$C$28*EXP(-(((Scenario_Data!U77)-Inputs!$C$29)^2)/(2*Inputs!$C$31^2))*EXP(-(((Inputs!$C$6)-Inputs!$C$30)^2)/(2*Inputs!$C$32^2))+-Inputs!$C$33*EXP(-(((((Scenario_Data!U77)-Inputs!$C$34)^2)+(((Inputs!$C$6)-Inputs!$C$35)^2))/(2*Inputs!$C$36^2)))+Inputs!$C$37*(0.55*SIN(2*PI()*(Scenario_Data!U77)/Inputs!$C$39)+0.35*COS(2*PI()*(Inputs!$C$6)/Inputs!$C$40)+0.2*SIN(2*PI()*((Scenario_Data!U77)+(Inputs!$C$6))/(0.5*(Inputs!$C$39+Inputs!$C$40))))+Inputs!$C$38*SIN(2*PI()*(Scenario_Data!U77)/Inputs!$C$39)*SIN(2*PI()*(Inputs!$C$6)/Inputs!$C$40)+-Inputs!$C$41*EXP(-(((Inputs!$C$6)-Inputs!$C$43)^2)/(2*Inputs!$C$44^2))*EXP(-(((Scenario_Data!U77)-Inputs!$C$42)^2)/(2*Inputs!$C$45^2))+Inputs!$C$48*(0.7*(0.45*SIN(2*PI()*(((Scenario_Data!U77)/Inputs!$C$49)+Inputs!$C$47*0.137))+0.35*COS(2*PI()*(((Inputs!$C$6)/Inputs!$C$50)+Inputs!$C$47*0.173))+0.2*SIN(2*PI()*((((Scenario_Data!U77)+(Inputs!$C$6))/(0.5*(Inputs!$C$49+Inputs!$C$50)))+Inputs!$C$47*0.097)))+0.3*(2*((SIN(((Scenario_Data!U77)*12.9898+(Inputs!$C$6)*78.233+Inputs!$C$47*37.719))*43758.5453)-INT((SIN(((Scenario_Data!U77)*12.9898+(Inputs!$C$6)*78.233+Inputs!$C$47*37.719))*43758.5453)))-1))))/1000))*COS(SQRT((Scenario_Data!U77)^2+Inputs!$C$6^2)/Inputs!$C$52))*1000)/Inputs!$C$21*1000000</f>
        <v/>
      </c>
      <c r="AT77">
        <f>Scenario_Data!V77</f>
        <v/>
      </c>
      <c r="AU77">
        <f>2*(SQRT((Inputs!$C$52+(Scenario_Data!D77))^2+(Inputs!$C$52+((IF(OR(Inputs!$C$27=TRUE,Inputs!$C$27="TRUE",Inputs!$C$27=1),1,0)*(Inputs!$C$51*(115*EXP(-(((Inputs!$C$6)-25)^2)/(4.5^2))+70*EXP(-(((Inputs!$C$6)+38)^2)/(7^2))*(0.55+0.45*SIN(2*PI()*(Scenario_Data!V77)/45))+24*SIN(2*PI()*(Inputs!$C$6)/9+(Scenario_Data!V77)/18)*EXP(-(((Inputs!$C$6)+5)^2)/(22^2))+18*SIN(2*PI()*(Scenario_Data!V77)/70))+Inputs!$C$28*EXP(-(((Scenario_Data!V77)-Inputs!$C$29)^2)/(2*Inputs!$C$31^2))*EXP(-(((Inputs!$C$6)-Inputs!$C$30)^2)/(2*Inputs!$C$32^2))+-Inputs!$C$33*EXP(-(((((Scenario_Data!V77)-Inputs!$C$34)^2)+(((Inputs!$C$6)-Inputs!$C$35)^2))/(2*Inputs!$C$36^2)))+Inputs!$C$37*(0.55*SIN(2*PI()*(Scenario_Data!V77)/Inputs!$C$39)+0.35*COS(2*PI()*(Inputs!$C$6)/Inputs!$C$40)+0.2*SIN(2*PI()*((Scenario_Data!V77)+(Inputs!$C$6))/(0.5*(Inputs!$C$39+Inputs!$C$40))))+Inputs!$C$38*SIN(2*PI()*(Scenario_Data!V77)/Inputs!$C$39)*SIN(2*PI()*(Inputs!$C$6)/Inputs!$C$40)+-Inputs!$C$41*EXP(-(((Inputs!$C$6)-Inputs!$C$43)^2)/(2*Inputs!$C$44^2))*EXP(-(((Scenario_Data!V77)-Inputs!$C$42)^2)/(2*Inputs!$C$45^2))+Inputs!$C$48*(0.7*(0.45*SIN(2*PI()*(((Scenario_Data!V77)/Inputs!$C$49)+Inputs!$C$47*0.137))+0.35*COS(2*PI()*(((Inputs!$C$6)/Inputs!$C$50)+Inputs!$C$47*0.173))+0.2*SIN(2*PI()*((((Scenario_Data!V77)+(Inputs!$C$6))/(0.5*(Inputs!$C$49+Inputs!$C$50)))+Inputs!$C$47*0.097)))+0.3*(2*((SIN(((Scenario_Data!V77)*12.9898+(Inputs!$C$6)*78.233+Inputs!$C$47*37.719))*43758.5453)-INT((SIN(((Scenario_Data!V77)*12.9898+(Inputs!$C$6)*78.233+Inputs!$C$47*37.719))*43758.5453)))-1))))/1000))^2-2*(Inputs!$C$52+(Scenario_Data!D77))*(Inputs!$C$52+((IF(OR(Inputs!$C$27=TRUE,Inputs!$C$27="TRUE",Inputs!$C$27=1),1,0)*(Inputs!$C$51*(115*EXP(-(((Inputs!$C$6)-25)^2)/(4.5^2))+70*EXP(-(((Inputs!$C$6)+38)^2)/(7^2))*(0.55+0.45*SIN(2*PI()*(Scenario_Data!V77)/45))+24*SIN(2*PI()*(Inputs!$C$6)/9+(Scenario_Data!V77)/18)*EXP(-(((Inputs!$C$6)+5)^2)/(22^2))+18*SIN(2*PI()*(Scenario_Data!V77)/70))+Inputs!$C$28*EXP(-(((Scenario_Data!V77)-Inputs!$C$29)^2)/(2*Inputs!$C$31^2))*EXP(-(((Inputs!$C$6)-Inputs!$C$30)^2)/(2*Inputs!$C$32^2))+-Inputs!$C$33*EXP(-(((((Scenario_Data!V77)-Inputs!$C$34)^2)+(((Inputs!$C$6)-Inputs!$C$35)^2))/(2*Inputs!$C$36^2)))+Inputs!$C$37*(0.55*SIN(2*PI()*(Scenario_Data!V77)/Inputs!$C$39)+0.35*COS(2*PI()*(Inputs!$C$6)/Inputs!$C$40)+0.2*SIN(2*PI()*((Scenario_Data!V77)+(Inputs!$C$6))/(0.5*(Inputs!$C$39+Inputs!$C$40))))+Inputs!$C$38*SIN(2*PI()*(Scenario_Data!V77)/Inputs!$C$39)*SIN(2*PI()*(Inputs!$C$6)/Inputs!$C$40)+-Inputs!$C$41*EXP(-(((Inputs!$C$6)-Inputs!$C$43)^2)/(2*Inputs!$C$44^2))*EXP(-(((Scenario_Data!V77)-Inputs!$C$42)^2)/(2*Inputs!$C$45^2))+Inputs!$C$48*(0.7*(0.45*SIN(2*PI()*(((Scenario_Data!V77)/Inputs!$C$49)+Inputs!$C$47*0.137))+0.35*COS(2*PI()*(((Inputs!$C$6)/Inputs!$C$50)+Inputs!$C$47*0.173))+0.2*SIN(2*PI()*((((Scenario_Data!V77)+(Inputs!$C$6))/(0.5*(Inputs!$C$49+Inputs!$C$50)))+Inputs!$C$47*0.097)))+0.3*(2*((SIN(((Scenario_Data!V77)*12.9898+(Inputs!$C$6)*78.233+Inputs!$C$47*37.719))*43758.5453)-INT((SIN(((Scenario_Data!V77)*12.9898+(Inputs!$C$6)*78.233+Inputs!$C$47*37.719))*43758.5453)))-1))))/1000))*COS(SQRT((Scenario_Data!V77)^2+Inputs!$C$6^2)/Inputs!$C$52))*1000)/Inputs!$C$21*1000000</f>
        <v/>
      </c>
      <c r="AV77">
        <f>Scenario_Data!W77</f>
        <v/>
      </c>
      <c r="AW77">
        <f>2*(SQRT((Inputs!$C$52+(Scenario_Data!E77))^2+(Inputs!$C$52+((IF(OR(Inputs!$C$27=TRUE,Inputs!$C$27="TRUE",Inputs!$C$27=1),1,0)*(Inputs!$C$51*(115*EXP(-(((Inputs!$C$6)-25)^2)/(4.5^2))+70*EXP(-(((Inputs!$C$6)+38)^2)/(7^2))*(0.55+0.45*SIN(2*PI()*(Scenario_Data!W77)/45))+24*SIN(2*PI()*(Inputs!$C$6)/9+(Scenario_Data!W77)/18)*EXP(-(((Inputs!$C$6)+5)^2)/(22^2))+18*SIN(2*PI()*(Scenario_Data!W77)/70))+Inputs!$C$28*EXP(-(((Scenario_Data!W77)-Inputs!$C$29)^2)/(2*Inputs!$C$31^2))*EXP(-(((Inputs!$C$6)-Inputs!$C$30)^2)/(2*Inputs!$C$32^2))+-Inputs!$C$33*EXP(-(((((Scenario_Data!W77)-Inputs!$C$34)^2)+(((Inputs!$C$6)-Inputs!$C$35)^2))/(2*Inputs!$C$36^2)))+Inputs!$C$37*(0.55*SIN(2*PI()*(Scenario_Data!W77)/Inputs!$C$39)+0.35*COS(2*PI()*(Inputs!$C$6)/Inputs!$C$40)+0.2*SIN(2*PI()*((Scenario_Data!W77)+(Inputs!$C$6))/(0.5*(Inputs!$C$39+Inputs!$C$40))))+Inputs!$C$38*SIN(2*PI()*(Scenario_Data!W77)/Inputs!$C$39)*SIN(2*PI()*(Inputs!$C$6)/Inputs!$C$40)+-Inputs!$C$41*EXP(-(((Inputs!$C$6)-Inputs!$C$43)^2)/(2*Inputs!$C$44^2))*EXP(-(((Scenario_Data!W77)-Inputs!$C$42)^2)/(2*Inputs!$C$45^2))+Inputs!$C$48*(0.7*(0.45*SIN(2*PI()*(((Scenario_Data!W77)/Inputs!$C$49)+Inputs!$C$47*0.137))+0.35*COS(2*PI()*(((Inputs!$C$6)/Inputs!$C$50)+Inputs!$C$47*0.173))+0.2*SIN(2*PI()*((((Scenario_Data!W77)+(Inputs!$C$6))/(0.5*(Inputs!$C$49+Inputs!$C$50)))+Inputs!$C$47*0.097)))+0.3*(2*((SIN(((Scenario_Data!W77)*12.9898+(Inputs!$C$6)*78.233+Inputs!$C$47*37.719))*43758.5453)-INT((SIN(((Scenario_Data!W77)*12.9898+(Inputs!$C$6)*78.233+Inputs!$C$47*37.719))*43758.5453)))-1))))/1000))^2-2*(Inputs!$C$52+(Scenario_Data!E77))*(Inputs!$C$52+((IF(OR(Inputs!$C$27=TRUE,Inputs!$C$27="TRUE",Inputs!$C$27=1),1,0)*(Inputs!$C$51*(115*EXP(-(((Inputs!$C$6)-25)^2)/(4.5^2))+70*EXP(-(((Inputs!$C$6)+38)^2)/(7^2))*(0.55+0.45*SIN(2*PI()*(Scenario_Data!W77)/45))+24*SIN(2*PI()*(Inputs!$C$6)/9+(Scenario_Data!W77)/18)*EXP(-(((Inputs!$C$6)+5)^2)/(22^2))+18*SIN(2*PI()*(Scenario_Data!W77)/70))+Inputs!$C$28*EXP(-(((Scenario_Data!W77)-Inputs!$C$29)^2)/(2*Inputs!$C$31^2))*EXP(-(((Inputs!$C$6)-Inputs!$C$30)^2)/(2*Inputs!$C$32^2))+-Inputs!$C$33*EXP(-(((((Scenario_Data!W77)-Inputs!$C$34)^2)+(((Inputs!$C$6)-Inputs!$C$35)^2))/(2*Inputs!$C$36^2)))+Inputs!$C$37*(0.55*SIN(2*PI()*(Scenario_Data!W77)/Inputs!$C$39)+0.35*COS(2*PI()*(Inputs!$C$6)/Inputs!$C$40)+0.2*SIN(2*PI()*((Scenario_Data!W77)+(Inputs!$C$6))/(0.5*(Inputs!$C$39+Inputs!$C$40))))+Inputs!$C$38*SIN(2*PI()*(Scenario_Data!W77)/Inputs!$C$39)*SIN(2*PI()*(Inputs!$C$6)/Inputs!$C$40)+-Inputs!$C$41*EXP(-(((Inputs!$C$6)-Inputs!$C$43)^2)/(2*Inputs!$C$44^2))*EXP(-(((Scenario_Data!W77)-Inputs!$C$42)^2)/(2*Inputs!$C$45^2))+Inputs!$C$48*(0.7*(0.45*SIN(2*PI()*(((Scenario_Data!W77)/Inputs!$C$49)+Inputs!$C$47*0.137))+0.35*COS(2*PI()*(((Inputs!$C$6)/Inputs!$C$50)+Inputs!$C$47*0.173))+0.2*SIN(2*PI()*((((Scenario_Data!W77)+(Inputs!$C$6))/(0.5*(Inputs!$C$49+Inputs!$C$50)))+Inputs!$C$47*0.097)))+0.3*(2*((SIN(((Scenario_Data!W77)*12.9898+(Inputs!$C$6)*78.233+Inputs!$C$47*37.719))*43758.5453)-INT((SIN(((Scenario_Data!W77)*12.9898+(Inputs!$C$6)*78.233+Inputs!$C$47*37.719))*43758.5453)))-1))))/1000))*COS(SQRT((Scenario_Data!W77)^2+Inputs!$C$6^2)/Inputs!$C$52))*1000)/Inputs!$C$21*1000000</f>
        <v/>
      </c>
    </row>
    <row r="78">
      <c r="A78">
        <f>Chart_Data!K78</f>
        <v/>
      </c>
      <c r="B78">
        <f>Chart_Data!N78-Chart_Data!L78</f>
        <v/>
      </c>
      <c r="D78">
        <f>Chart_Data!G78</f>
        <v/>
      </c>
      <c r="E78">
        <f>Chart_Data!H78</f>
        <v/>
      </c>
      <c r="F78">
        <f>Chart_Data!I78</f>
        <v/>
      </c>
      <c r="G78">
        <f>Chart_Data!J78</f>
        <v/>
      </c>
      <c r="I78">
        <f>Scenario_Data!A78</f>
        <v/>
      </c>
      <c r="J78">
        <f>Scenario_Data!H78-(((SQRT((Inputs!$C$52+(Inputs!$H$6))^2+Inputs!$C$52^2-2*(Inputs!$C$52+(Inputs!$H$6))*Inputs!$C$52*COS(SQRT((Scenario_Data!T78)^2+Inputs!$C$6^2)/Inputs!$C$52)))-(Inputs!$H$6))*1000/Inputs!$C$12)</f>
        <v/>
      </c>
      <c r="K78">
        <f>Scenario_Data!I78-(((SQRT((Inputs!$C$52+(Inputs!$H$7))^2+Inputs!$C$52^2-2*(Inputs!$C$52+(Inputs!$H$7))*Inputs!$C$52*COS(SQRT((Scenario_Data!U78)^2+Inputs!$C$6^2)/Inputs!$C$52)))-(Inputs!$H$7))*1000/Inputs!$C$12)</f>
        <v/>
      </c>
      <c r="L78">
        <f>Scenario_Data!J78-(((SQRT((Inputs!$C$52+(Inputs!$H$8))^2+Inputs!$C$52^2-2*(Inputs!$C$52+(Inputs!$H$8))*Inputs!$C$52*COS(SQRT((Scenario_Data!V78)^2+Inputs!$C$6^2)/Inputs!$C$52)))-(Inputs!$H$8))*1000/Inputs!$C$12)</f>
        <v/>
      </c>
      <c r="M78">
        <f>Scenario_Data!K78-(((SQRT((Inputs!$C$52+(Inputs!$H$9))^2+Inputs!$C$52^2-2*(Inputs!$C$52+(Inputs!$H$9))*Inputs!$C$52*COS(SQRT((Scenario_Data!W78)^2+Inputs!$C$6^2)/Inputs!$C$52)))-(Inputs!$H$9))*1000/Inputs!$C$12)</f>
        <v/>
      </c>
      <c r="O78">
        <f>Scenario_Data!T78</f>
        <v/>
      </c>
      <c r="P78">
        <f>2*(Scenario_Data!B78*1000)/Inputs!$C$21*1000000</f>
        <v/>
      </c>
      <c r="Q78">
        <f>Scenario_Data!U78</f>
        <v/>
      </c>
      <c r="R78">
        <f>2*(Scenario_Data!C78*1000)/Inputs!$C$21*1000000</f>
        <v/>
      </c>
      <c r="S78">
        <f>Scenario_Data!V78</f>
        <v/>
      </c>
      <c r="T78">
        <f>2*(Scenario_Data!D78*1000)/Inputs!$C$21*1000000</f>
        <v/>
      </c>
      <c r="U78">
        <f>Scenario_Data!W78</f>
        <v/>
      </c>
      <c r="V78">
        <f>2*(Scenario_Data!E78*1000)/Inputs!$C$21*1000000</f>
        <v/>
      </c>
      <c r="X78">
        <f>Scenario_Data!T78</f>
        <v/>
      </c>
      <c r="Y78">
        <f>2*((Scenario_Data!B78*1000)-(IF(OR(Inputs!$C$27=TRUE,Inputs!$C$27="TRUE",Inputs!$C$27=1),1,0)*(Inputs!$C$51*(115*EXP(-(((0)-25)^2)/(4.5^2))+70*EXP(-(((0)+38)^2)/(7^2))*(0.55+0.45*SIN(2*PI()*(Scenario_Data!T78)/45))+24*SIN(2*PI()*(0)/9+(Scenario_Data!T78)/18)*EXP(-(((0)+5)^2)/(22^2))+18*SIN(2*PI()*(Scenario_Data!T78)/70))+Inputs!$C$28*EXP(-(((Scenario_Data!T78)-Inputs!$C$29)^2)/(2*Inputs!$C$31^2))*EXP(-(((0)-Inputs!$C$30)^2)/(2*Inputs!$C$32^2))+-Inputs!$C$33*EXP(-(((((Scenario_Data!T78)-Inputs!$C$34)^2)+(((0)-Inputs!$C$35)^2))/(2*Inputs!$C$36^2)))+Inputs!$C$37*(0.55*SIN(2*PI()*(Scenario_Data!T78)/Inputs!$C$39)+0.35*COS(2*PI()*(0)/Inputs!$C$40)+0.2*SIN(2*PI()*((Scenario_Data!T78)+(0))/(0.5*(Inputs!$C$39+Inputs!$C$40))))+Inputs!$C$38*SIN(2*PI()*(Scenario_Data!T78)/Inputs!$C$39)*SIN(2*PI()*(0)/Inputs!$C$40)+-Inputs!$C$41*EXP(-(((0)-Inputs!$C$43)^2)/(2*Inputs!$C$44^2))*EXP(-(((Scenario_Data!T78)-Inputs!$C$42)^2)/(2*Inputs!$C$45^2))+Inputs!$C$48*(0.7*(0.45*SIN(2*PI()*(((Scenario_Data!T78)/Inputs!$C$49)+Inputs!$C$47*0.137))+0.35*COS(2*PI()*(((0)/Inputs!$C$50)+Inputs!$C$47*0.173))+0.2*SIN(2*PI()*((((Scenario_Data!T78)+(0))/(0.5*(Inputs!$C$49+Inputs!$C$50)))+Inputs!$C$47*0.097)))+0.3*(2*((SIN(((Scenario_Data!T78)*12.9898+(0)*78.233+Inputs!$C$47*37.719))*43758.5453)-INT((SIN(((Scenario_Data!T78)*12.9898+(0)*78.233+Inputs!$C$47*37.719))*43758.5453)))-1)))))/Inputs!$C$21*1000000</f>
        <v/>
      </c>
      <c r="Z78">
        <f>Scenario_Data!U78</f>
        <v/>
      </c>
      <c r="AA78">
        <f>2*((Scenario_Data!C78*1000)-(IF(OR(Inputs!$C$27=TRUE,Inputs!$C$27="TRUE",Inputs!$C$27=1),1,0)*(Inputs!$C$51*(115*EXP(-(((0)-25)^2)/(4.5^2))+70*EXP(-(((0)+38)^2)/(7^2))*(0.55+0.45*SIN(2*PI()*(Scenario_Data!U78)/45))+24*SIN(2*PI()*(0)/9+(Scenario_Data!U78)/18)*EXP(-(((0)+5)^2)/(22^2))+18*SIN(2*PI()*(Scenario_Data!U78)/70))+Inputs!$C$28*EXP(-(((Scenario_Data!U78)-Inputs!$C$29)^2)/(2*Inputs!$C$31^2))*EXP(-(((0)-Inputs!$C$30)^2)/(2*Inputs!$C$32^2))+-Inputs!$C$33*EXP(-(((((Scenario_Data!U78)-Inputs!$C$34)^2)+(((0)-Inputs!$C$35)^2))/(2*Inputs!$C$36^2)))+Inputs!$C$37*(0.55*SIN(2*PI()*(Scenario_Data!U78)/Inputs!$C$39)+0.35*COS(2*PI()*(0)/Inputs!$C$40)+0.2*SIN(2*PI()*((Scenario_Data!U78)+(0))/(0.5*(Inputs!$C$39+Inputs!$C$40))))+Inputs!$C$38*SIN(2*PI()*(Scenario_Data!U78)/Inputs!$C$39)*SIN(2*PI()*(0)/Inputs!$C$40)+-Inputs!$C$41*EXP(-(((0)-Inputs!$C$43)^2)/(2*Inputs!$C$44^2))*EXP(-(((Scenario_Data!U78)-Inputs!$C$42)^2)/(2*Inputs!$C$45^2))+Inputs!$C$48*(0.7*(0.45*SIN(2*PI()*(((Scenario_Data!U78)/Inputs!$C$49)+Inputs!$C$47*0.137))+0.35*COS(2*PI()*(((0)/Inputs!$C$50)+Inputs!$C$47*0.173))+0.2*SIN(2*PI()*((((Scenario_Data!U78)+(0))/(0.5*(Inputs!$C$49+Inputs!$C$50)))+Inputs!$C$47*0.097)))+0.3*(2*((SIN(((Scenario_Data!U78)*12.9898+(0)*78.233+Inputs!$C$47*37.719))*43758.5453)-INT((SIN(((Scenario_Data!U78)*12.9898+(0)*78.233+Inputs!$C$47*37.719))*43758.5453)))-1)))))/Inputs!$C$21*1000000</f>
        <v/>
      </c>
      <c r="AB78">
        <f>Scenario_Data!V78</f>
        <v/>
      </c>
      <c r="AC78">
        <f>2*((Scenario_Data!D78*1000)-(IF(OR(Inputs!$C$27=TRUE,Inputs!$C$27="TRUE",Inputs!$C$27=1),1,0)*(Inputs!$C$51*(115*EXP(-(((0)-25)^2)/(4.5^2))+70*EXP(-(((0)+38)^2)/(7^2))*(0.55+0.45*SIN(2*PI()*(Scenario_Data!V78)/45))+24*SIN(2*PI()*(0)/9+(Scenario_Data!V78)/18)*EXP(-(((0)+5)^2)/(22^2))+18*SIN(2*PI()*(Scenario_Data!V78)/70))+Inputs!$C$28*EXP(-(((Scenario_Data!V78)-Inputs!$C$29)^2)/(2*Inputs!$C$31^2))*EXP(-(((0)-Inputs!$C$30)^2)/(2*Inputs!$C$32^2))+-Inputs!$C$33*EXP(-(((((Scenario_Data!V78)-Inputs!$C$34)^2)+(((0)-Inputs!$C$35)^2))/(2*Inputs!$C$36^2)))+Inputs!$C$37*(0.55*SIN(2*PI()*(Scenario_Data!V78)/Inputs!$C$39)+0.35*COS(2*PI()*(0)/Inputs!$C$40)+0.2*SIN(2*PI()*((Scenario_Data!V78)+(0))/(0.5*(Inputs!$C$39+Inputs!$C$40))))+Inputs!$C$38*SIN(2*PI()*(Scenario_Data!V78)/Inputs!$C$39)*SIN(2*PI()*(0)/Inputs!$C$40)+-Inputs!$C$41*EXP(-(((0)-Inputs!$C$43)^2)/(2*Inputs!$C$44^2))*EXP(-(((Scenario_Data!V78)-Inputs!$C$42)^2)/(2*Inputs!$C$45^2))+Inputs!$C$48*(0.7*(0.45*SIN(2*PI()*(((Scenario_Data!V78)/Inputs!$C$49)+Inputs!$C$47*0.137))+0.35*COS(2*PI()*(((0)/Inputs!$C$50)+Inputs!$C$47*0.173))+0.2*SIN(2*PI()*((((Scenario_Data!V78)+(0))/(0.5*(Inputs!$C$49+Inputs!$C$50)))+Inputs!$C$47*0.097)))+0.3*(2*((SIN(((Scenario_Data!V78)*12.9898+(0)*78.233+Inputs!$C$47*37.719))*43758.5453)-INT((SIN(((Scenario_Data!V78)*12.9898+(0)*78.233+Inputs!$C$47*37.719))*43758.5453)))-1)))))/Inputs!$C$21*1000000</f>
        <v/>
      </c>
      <c r="AD78">
        <f>Scenario_Data!W78</f>
        <v/>
      </c>
      <c r="AE78">
        <f>2*((Scenario_Data!E78*1000)-(IF(OR(Inputs!$C$27=TRUE,Inputs!$C$27="TRUE",Inputs!$C$27=1),1,0)*(Inputs!$C$51*(115*EXP(-(((0)-25)^2)/(4.5^2))+70*EXP(-(((0)+38)^2)/(7^2))*(0.55+0.45*SIN(2*PI()*(Scenario_Data!W78)/45))+24*SIN(2*PI()*(0)/9+(Scenario_Data!W78)/18)*EXP(-(((0)+5)^2)/(22^2))+18*SIN(2*PI()*(Scenario_Data!W78)/70))+Inputs!$C$28*EXP(-(((Scenario_Data!W78)-Inputs!$C$29)^2)/(2*Inputs!$C$31^2))*EXP(-(((0)-Inputs!$C$30)^2)/(2*Inputs!$C$32^2))+-Inputs!$C$33*EXP(-(((((Scenario_Data!W78)-Inputs!$C$34)^2)+(((0)-Inputs!$C$35)^2))/(2*Inputs!$C$36^2)))+Inputs!$C$37*(0.55*SIN(2*PI()*(Scenario_Data!W78)/Inputs!$C$39)+0.35*COS(2*PI()*(0)/Inputs!$C$40)+0.2*SIN(2*PI()*((Scenario_Data!W78)+(0))/(0.5*(Inputs!$C$39+Inputs!$C$40))))+Inputs!$C$38*SIN(2*PI()*(Scenario_Data!W78)/Inputs!$C$39)*SIN(2*PI()*(0)/Inputs!$C$40)+-Inputs!$C$41*EXP(-(((0)-Inputs!$C$43)^2)/(2*Inputs!$C$44^2))*EXP(-(((Scenario_Data!W78)-Inputs!$C$42)^2)/(2*Inputs!$C$45^2))+Inputs!$C$48*(0.7*(0.45*SIN(2*PI()*(((Scenario_Data!W78)/Inputs!$C$49)+Inputs!$C$47*0.137))+0.35*COS(2*PI()*(((0)/Inputs!$C$50)+Inputs!$C$47*0.173))+0.2*SIN(2*PI()*((((Scenario_Data!W78)+(0))/(0.5*(Inputs!$C$49+Inputs!$C$50)))+Inputs!$C$47*0.097)))+0.3*(2*((SIN(((Scenario_Data!W78)*12.9898+(0)*78.233+Inputs!$C$47*37.719))*43758.5453)-INT((SIN(((Scenario_Data!W78)*12.9898+(0)*78.233+Inputs!$C$47*37.719))*43758.5453)))-1)))))/Inputs!$C$21*1000000</f>
        <v/>
      </c>
      <c r="AG78">
        <f>Scenario_Data!T78</f>
        <v/>
      </c>
      <c r="AH78">
        <f>2*(SQRT((Inputs!$C$52+(Scenario_Data!B78))^2+Inputs!$C$52^2-2*(Inputs!$C$52+(Scenario_Data!B78))*Inputs!$C$52*COS(SQRT((Scenario_Data!T78)^2+Inputs!$C$6^2)/Inputs!$C$52))*1000)/Inputs!$C$21*1000000</f>
        <v/>
      </c>
      <c r="AI78">
        <f>Scenario_Data!U78</f>
        <v/>
      </c>
      <c r="AJ78">
        <f>2*(SQRT((Inputs!$C$52+(Scenario_Data!C78))^2+Inputs!$C$52^2-2*(Inputs!$C$52+(Scenario_Data!C78))*Inputs!$C$52*COS(SQRT((Scenario_Data!U78)^2+Inputs!$C$6^2)/Inputs!$C$52))*1000)/Inputs!$C$21*1000000</f>
        <v/>
      </c>
      <c r="AK78">
        <f>Scenario_Data!V78</f>
        <v/>
      </c>
      <c r="AL78">
        <f>2*(SQRT((Inputs!$C$52+(Scenario_Data!D78))^2+Inputs!$C$52^2-2*(Inputs!$C$52+(Scenario_Data!D78))*Inputs!$C$52*COS(SQRT((Scenario_Data!V78)^2+Inputs!$C$6^2)/Inputs!$C$52))*1000)/Inputs!$C$21*1000000</f>
        <v/>
      </c>
      <c r="AM78">
        <f>Scenario_Data!W78</f>
        <v/>
      </c>
      <c r="AN78">
        <f>2*(SQRT((Inputs!$C$52+(Scenario_Data!E78))^2+Inputs!$C$52^2-2*(Inputs!$C$52+(Scenario_Data!E78))*Inputs!$C$52*COS(SQRT((Scenario_Data!W78)^2+Inputs!$C$6^2)/Inputs!$C$52))*1000)/Inputs!$C$21*1000000</f>
        <v/>
      </c>
      <c r="AP78">
        <f>Scenario_Data!T78</f>
        <v/>
      </c>
      <c r="AQ78">
        <f>2*(SQRT((Inputs!$C$52+(Scenario_Data!B78))^2+(Inputs!$C$52+((IF(OR(Inputs!$C$27=TRUE,Inputs!$C$27="TRUE",Inputs!$C$27=1),1,0)*(Inputs!$C$51*(115*EXP(-(((Inputs!$C$6)-25)^2)/(4.5^2))+70*EXP(-(((Inputs!$C$6)+38)^2)/(7^2))*(0.55+0.45*SIN(2*PI()*(Scenario_Data!T78)/45))+24*SIN(2*PI()*(Inputs!$C$6)/9+(Scenario_Data!T78)/18)*EXP(-(((Inputs!$C$6)+5)^2)/(22^2))+18*SIN(2*PI()*(Scenario_Data!T78)/70))+Inputs!$C$28*EXP(-(((Scenario_Data!T78)-Inputs!$C$29)^2)/(2*Inputs!$C$31^2))*EXP(-(((Inputs!$C$6)-Inputs!$C$30)^2)/(2*Inputs!$C$32^2))+-Inputs!$C$33*EXP(-(((((Scenario_Data!T78)-Inputs!$C$34)^2)+(((Inputs!$C$6)-Inputs!$C$35)^2))/(2*Inputs!$C$36^2)))+Inputs!$C$37*(0.55*SIN(2*PI()*(Scenario_Data!T78)/Inputs!$C$39)+0.35*COS(2*PI()*(Inputs!$C$6)/Inputs!$C$40)+0.2*SIN(2*PI()*((Scenario_Data!T78)+(Inputs!$C$6))/(0.5*(Inputs!$C$39+Inputs!$C$40))))+Inputs!$C$38*SIN(2*PI()*(Scenario_Data!T78)/Inputs!$C$39)*SIN(2*PI()*(Inputs!$C$6)/Inputs!$C$40)+-Inputs!$C$41*EXP(-(((Inputs!$C$6)-Inputs!$C$43)^2)/(2*Inputs!$C$44^2))*EXP(-(((Scenario_Data!T78)-Inputs!$C$42)^2)/(2*Inputs!$C$45^2))+Inputs!$C$48*(0.7*(0.45*SIN(2*PI()*(((Scenario_Data!T78)/Inputs!$C$49)+Inputs!$C$47*0.137))+0.35*COS(2*PI()*(((Inputs!$C$6)/Inputs!$C$50)+Inputs!$C$47*0.173))+0.2*SIN(2*PI()*((((Scenario_Data!T78)+(Inputs!$C$6))/(0.5*(Inputs!$C$49+Inputs!$C$50)))+Inputs!$C$47*0.097)))+0.3*(2*((SIN(((Scenario_Data!T78)*12.9898+(Inputs!$C$6)*78.233+Inputs!$C$47*37.719))*43758.5453)-INT((SIN(((Scenario_Data!T78)*12.9898+(Inputs!$C$6)*78.233+Inputs!$C$47*37.719))*43758.5453)))-1))))/1000))^2-2*(Inputs!$C$52+(Scenario_Data!B78))*(Inputs!$C$52+((IF(OR(Inputs!$C$27=TRUE,Inputs!$C$27="TRUE",Inputs!$C$27=1),1,0)*(Inputs!$C$51*(115*EXP(-(((Inputs!$C$6)-25)^2)/(4.5^2))+70*EXP(-(((Inputs!$C$6)+38)^2)/(7^2))*(0.55+0.45*SIN(2*PI()*(Scenario_Data!T78)/45))+24*SIN(2*PI()*(Inputs!$C$6)/9+(Scenario_Data!T78)/18)*EXP(-(((Inputs!$C$6)+5)^2)/(22^2))+18*SIN(2*PI()*(Scenario_Data!T78)/70))+Inputs!$C$28*EXP(-(((Scenario_Data!T78)-Inputs!$C$29)^2)/(2*Inputs!$C$31^2))*EXP(-(((Inputs!$C$6)-Inputs!$C$30)^2)/(2*Inputs!$C$32^2))+-Inputs!$C$33*EXP(-(((((Scenario_Data!T78)-Inputs!$C$34)^2)+(((Inputs!$C$6)-Inputs!$C$35)^2))/(2*Inputs!$C$36^2)))+Inputs!$C$37*(0.55*SIN(2*PI()*(Scenario_Data!T78)/Inputs!$C$39)+0.35*COS(2*PI()*(Inputs!$C$6)/Inputs!$C$40)+0.2*SIN(2*PI()*((Scenario_Data!T78)+(Inputs!$C$6))/(0.5*(Inputs!$C$39+Inputs!$C$40))))+Inputs!$C$38*SIN(2*PI()*(Scenario_Data!T78)/Inputs!$C$39)*SIN(2*PI()*(Inputs!$C$6)/Inputs!$C$40)+-Inputs!$C$41*EXP(-(((Inputs!$C$6)-Inputs!$C$43)^2)/(2*Inputs!$C$44^2))*EXP(-(((Scenario_Data!T78)-Inputs!$C$42)^2)/(2*Inputs!$C$45^2))+Inputs!$C$48*(0.7*(0.45*SIN(2*PI()*(((Scenario_Data!T78)/Inputs!$C$49)+Inputs!$C$47*0.137))+0.35*COS(2*PI()*(((Inputs!$C$6)/Inputs!$C$50)+Inputs!$C$47*0.173))+0.2*SIN(2*PI()*((((Scenario_Data!T78)+(Inputs!$C$6))/(0.5*(Inputs!$C$49+Inputs!$C$50)))+Inputs!$C$47*0.097)))+0.3*(2*((SIN(((Scenario_Data!T78)*12.9898+(Inputs!$C$6)*78.233+Inputs!$C$47*37.719))*43758.5453)-INT((SIN(((Scenario_Data!T78)*12.9898+(Inputs!$C$6)*78.233+Inputs!$C$47*37.719))*43758.5453)))-1))))/1000))*COS(SQRT((Scenario_Data!T78)^2+Inputs!$C$6^2)/Inputs!$C$52))*1000)/Inputs!$C$21*1000000</f>
        <v/>
      </c>
      <c r="AR78">
        <f>Scenario_Data!U78</f>
        <v/>
      </c>
      <c r="AS78">
        <f>2*(SQRT((Inputs!$C$52+(Scenario_Data!C78))^2+(Inputs!$C$52+((IF(OR(Inputs!$C$27=TRUE,Inputs!$C$27="TRUE",Inputs!$C$27=1),1,0)*(Inputs!$C$51*(115*EXP(-(((Inputs!$C$6)-25)^2)/(4.5^2))+70*EXP(-(((Inputs!$C$6)+38)^2)/(7^2))*(0.55+0.45*SIN(2*PI()*(Scenario_Data!U78)/45))+24*SIN(2*PI()*(Inputs!$C$6)/9+(Scenario_Data!U78)/18)*EXP(-(((Inputs!$C$6)+5)^2)/(22^2))+18*SIN(2*PI()*(Scenario_Data!U78)/70))+Inputs!$C$28*EXP(-(((Scenario_Data!U78)-Inputs!$C$29)^2)/(2*Inputs!$C$31^2))*EXP(-(((Inputs!$C$6)-Inputs!$C$30)^2)/(2*Inputs!$C$32^2))+-Inputs!$C$33*EXP(-(((((Scenario_Data!U78)-Inputs!$C$34)^2)+(((Inputs!$C$6)-Inputs!$C$35)^2))/(2*Inputs!$C$36^2)))+Inputs!$C$37*(0.55*SIN(2*PI()*(Scenario_Data!U78)/Inputs!$C$39)+0.35*COS(2*PI()*(Inputs!$C$6)/Inputs!$C$40)+0.2*SIN(2*PI()*((Scenario_Data!U78)+(Inputs!$C$6))/(0.5*(Inputs!$C$39+Inputs!$C$40))))+Inputs!$C$38*SIN(2*PI()*(Scenario_Data!U78)/Inputs!$C$39)*SIN(2*PI()*(Inputs!$C$6)/Inputs!$C$40)+-Inputs!$C$41*EXP(-(((Inputs!$C$6)-Inputs!$C$43)^2)/(2*Inputs!$C$44^2))*EXP(-(((Scenario_Data!U78)-Inputs!$C$42)^2)/(2*Inputs!$C$45^2))+Inputs!$C$48*(0.7*(0.45*SIN(2*PI()*(((Scenario_Data!U78)/Inputs!$C$49)+Inputs!$C$47*0.137))+0.35*COS(2*PI()*(((Inputs!$C$6)/Inputs!$C$50)+Inputs!$C$47*0.173))+0.2*SIN(2*PI()*((((Scenario_Data!U78)+(Inputs!$C$6))/(0.5*(Inputs!$C$49+Inputs!$C$50)))+Inputs!$C$47*0.097)))+0.3*(2*((SIN(((Scenario_Data!U78)*12.9898+(Inputs!$C$6)*78.233+Inputs!$C$47*37.719))*43758.5453)-INT((SIN(((Scenario_Data!U78)*12.9898+(Inputs!$C$6)*78.233+Inputs!$C$47*37.719))*43758.5453)))-1))))/1000))^2-2*(Inputs!$C$52+(Scenario_Data!C78))*(Inputs!$C$52+((IF(OR(Inputs!$C$27=TRUE,Inputs!$C$27="TRUE",Inputs!$C$27=1),1,0)*(Inputs!$C$51*(115*EXP(-(((Inputs!$C$6)-25)^2)/(4.5^2))+70*EXP(-(((Inputs!$C$6)+38)^2)/(7^2))*(0.55+0.45*SIN(2*PI()*(Scenario_Data!U78)/45))+24*SIN(2*PI()*(Inputs!$C$6)/9+(Scenario_Data!U78)/18)*EXP(-(((Inputs!$C$6)+5)^2)/(22^2))+18*SIN(2*PI()*(Scenario_Data!U78)/70))+Inputs!$C$28*EXP(-(((Scenario_Data!U78)-Inputs!$C$29)^2)/(2*Inputs!$C$31^2))*EXP(-(((Inputs!$C$6)-Inputs!$C$30)^2)/(2*Inputs!$C$32^2))+-Inputs!$C$33*EXP(-(((((Scenario_Data!U78)-Inputs!$C$34)^2)+(((Inputs!$C$6)-Inputs!$C$35)^2))/(2*Inputs!$C$36^2)))+Inputs!$C$37*(0.55*SIN(2*PI()*(Scenario_Data!U78)/Inputs!$C$39)+0.35*COS(2*PI()*(Inputs!$C$6)/Inputs!$C$40)+0.2*SIN(2*PI()*((Scenario_Data!U78)+(Inputs!$C$6))/(0.5*(Inputs!$C$39+Inputs!$C$40))))+Inputs!$C$38*SIN(2*PI()*(Scenario_Data!U78)/Inputs!$C$39)*SIN(2*PI()*(Inputs!$C$6)/Inputs!$C$40)+-Inputs!$C$41*EXP(-(((Inputs!$C$6)-Inputs!$C$43)^2)/(2*Inputs!$C$44^2))*EXP(-(((Scenario_Data!U78)-Inputs!$C$42)^2)/(2*Inputs!$C$45^2))+Inputs!$C$48*(0.7*(0.45*SIN(2*PI()*(((Scenario_Data!U78)/Inputs!$C$49)+Inputs!$C$47*0.137))+0.35*COS(2*PI()*(((Inputs!$C$6)/Inputs!$C$50)+Inputs!$C$47*0.173))+0.2*SIN(2*PI()*((((Scenario_Data!U78)+(Inputs!$C$6))/(0.5*(Inputs!$C$49+Inputs!$C$50)))+Inputs!$C$47*0.097)))+0.3*(2*((SIN(((Scenario_Data!U78)*12.9898+(Inputs!$C$6)*78.233+Inputs!$C$47*37.719))*43758.5453)-INT((SIN(((Scenario_Data!U78)*12.9898+(Inputs!$C$6)*78.233+Inputs!$C$47*37.719))*43758.5453)))-1))))/1000))*COS(SQRT((Scenario_Data!U78)^2+Inputs!$C$6^2)/Inputs!$C$52))*1000)/Inputs!$C$21*1000000</f>
        <v/>
      </c>
      <c r="AT78">
        <f>Scenario_Data!V78</f>
        <v/>
      </c>
      <c r="AU78">
        <f>2*(SQRT((Inputs!$C$52+(Scenario_Data!D78))^2+(Inputs!$C$52+((IF(OR(Inputs!$C$27=TRUE,Inputs!$C$27="TRUE",Inputs!$C$27=1),1,0)*(Inputs!$C$51*(115*EXP(-(((Inputs!$C$6)-25)^2)/(4.5^2))+70*EXP(-(((Inputs!$C$6)+38)^2)/(7^2))*(0.55+0.45*SIN(2*PI()*(Scenario_Data!V78)/45))+24*SIN(2*PI()*(Inputs!$C$6)/9+(Scenario_Data!V78)/18)*EXP(-(((Inputs!$C$6)+5)^2)/(22^2))+18*SIN(2*PI()*(Scenario_Data!V78)/70))+Inputs!$C$28*EXP(-(((Scenario_Data!V78)-Inputs!$C$29)^2)/(2*Inputs!$C$31^2))*EXP(-(((Inputs!$C$6)-Inputs!$C$30)^2)/(2*Inputs!$C$32^2))+-Inputs!$C$33*EXP(-(((((Scenario_Data!V78)-Inputs!$C$34)^2)+(((Inputs!$C$6)-Inputs!$C$35)^2))/(2*Inputs!$C$36^2)))+Inputs!$C$37*(0.55*SIN(2*PI()*(Scenario_Data!V78)/Inputs!$C$39)+0.35*COS(2*PI()*(Inputs!$C$6)/Inputs!$C$40)+0.2*SIN(2*PI()*((Scenario_Data!V78)+(Inputs!$C$6))/(0.5*(Inputs!$C$39+Inputs!$C$40))))+Inputs!$C$38*SIN(2*PI()*(Scenario_Data!V78)/Inputs!$C$39)*SIN(2*PI()*(Inputs!$C$6)/Inputs!$C$40)+-Inputs!$C$41*EXP(-(((Inputs!$C$6)-Inputs!$C$43)^2)/(2*Inputs!$C$44^2))*EXP(-(((Scenario_Data!V78)-Inputs!$C$42)^2)/(2*Inputs!$C$45^2))+Inputs!$C$48*(0.7*(0.45*SIN(2*PI()*(((Scenario_Data!V78)/Inputs!$C$49)+Inputs!$C$47*0.137))+0.35*COS(2*PI()*(((Inputs!$C$6)/Inputs!$C$50)+Inputs!$C$47*0.173))+0.2*SIN(2*PI()*((((Scenario_Data!V78)+(Inputs!$C$6))/(0.5*(Inputs!$C$49+Inputs!$C$50)))+Inputs!$C$47*0.097)))+0.3*(2*((SIN(((Scenario_Data!V78)*12.9898+(Inputs!$C$6)*78.233+Inputs!$C$47*37.719))*43758.5453)-INT((SIN(((Scenario_Data!V78)*12.9898+(Inputs!$C$6)*78.233+Inputs!$C$47*37.719))*43758.5453)))-1))))/1000))^2-2*(Inputs!$C$52+(Scenario_Data!D78))*(Inputs!$C$52+((IF(OR(Inputs!$C$27=TRUE,Inputs!$C$27="TRUE",Inputs!$C$27=1),1,0)*(Inputs!$C$51*(115*EXP(-(((Inputs!$C$6)-25)^2)/(4.5^2))+70*EXP(-(((Inputs!$C$6)+38)^2)/(7^2))*(0.55+0.45*SIN(2*PI()*(Scenario_Data!V78)/45))+24*SIN(2*PI()*(Inputs!$C$6)/9+(Scenario_Data!V78)/18)*EXP(-(((Inputs!$C$6)+5)^2)/(22^2))+18*SIN(2*PI()*(Scenario_Data!V78)/70))+Inputs!$C$28*EXP(-(((Scenario_Data!V78)-Inputs!$C$29)^2)/(2*Inputs!$C$31^2))*EXP(-(((Inputs!$C$6)-Inputs!$C$30)^2)/(2*Inputs!$C$32^2))+-Inputs!$C$33*EXP(-(((((Scenario_Data!V78)-Inputs!$C$34)^2)+(((Inputs!$C$6)-Inputs!$C$35)^2))/(2*Inputs!$C$36^2)))+Inputs!$C$37*(0.55*SIN(2*PI()*(Scenario_Data!V78)/Inputs!$C$39)+0.35*COS(2*PI()*(Inputs!$C$6)/Inputs!$C$40)+0.2*SIN(2*PI()*((Scenario_Data!V78)+(Inputs!$C$6))/(0.5*(Inputs!$C$39+Inputs!$C$40))))+Inputs!$C$38*SIN(2*PI()*(Scenario_Data!V78)/Inputs!$C$39)*SIN(2*PI()*(Inputs!$C$6)/Inputs!$C$40)+-Inputs!$C$41*EXP(-(((Inputs!$C$6)-Inputs!$C$43)^2)/(2*Inputs!$C$44^2))*EXP(-(((Scenario_Data!V78)-Inputs!$C$42)^2)/(2*Inputs!$C$45^2))+Inputs!$C$48*(0.7*(0.45*SIN(2*PI()*(((Scenario_Data!V78)/Inputs!$C$49)+Inputs!$C$47*0.137))+0.35*COS(2*PI()*(((Inputs!$C$6)/Inputs!$C$50)+Inputs!$C$47*0.173))+0.2*SIN(2*PI()*((((Scenario_Data!V78)+(Inputs!$C$6))/(0.5*(Inputs!$C$49+Inputs!$C$50)))+Inputs!$C$47*0.097)))+0.3*(2*((SIN(((Scenario_Data!V78)*12.9898+(Inputs!$C$6)*78.233+Inputs!$C$47*37.719))*43758.5453)-INT((SIN(((Scenario_Data!V78)*12.9898+(Inputs!$C$6)*78.233+Inputs!$C$47*37.719))*43758.5453)))-1))))/1000))*COS(SQRT((Scenario_Data!V78)^2+Inputs!$C$6^2)/Inputs!$C$52))*1000)/Inputs!$C$21*1000000</f>
        <v/>
      </c>
      <c r="AV78">
        <f>Scenario_Data!W78</f>
        <v/>
      </c>
      <c r="AW78">
        <f>2*(SQRT((Inputs!$C$52+(Scenario_Data!E78))^2+(Inputs!$C$52+((IF(OR(Inputs!$C$27=TRUE,Inputs!$C$27="TRUE",Inputs!$C$27=1),1,0)*(Inputs!$C$51*(115*EXP(-(((Inputs!$C$6)-25)^2)/(4.5^2))+70*EXP(-(((Inputs!$C$6)+38)^2)/(7^2))*(0.55+0.45*SIN(2*PI()*(Scenario_Data!W78)/45))+24*SIN(2*PI()*(Inputs!$C$6)/9+(Scenario_Data!W78)/18)*EXP(-(((Inputs!$C$6)+5)^2)/(22^2))+18*SIN(2*PI()*(Scenario_Data!W78)/70))+Inputs!$C$28*EXP(-(((Scenario_Data!W78)-Inputs!$C$29)^2)/(2*Inputs!$C$31^2))*EXP(-(((Inputs!$C$6)-Inputs!$C$30)^2)/(2*Inputs!$C$32^2))+-Inputs!$C$33*EXP(-(((((Scenario_Data!W78)-Inputs!$C$34)^2)+(((Inputs!$C$6)-Inputs!$C$35)^2))/(2*Inputs!$C$36^2)))+Inputs!$C$37*(0.55*SIN(2*PI()*(Scenario_Data!W78)/Inputs!$C$39)+0.35*COS(2*PI()*(Inputs!$C$6)/Inputs!$C$40)+0.2*SIN(2*PI()*((Scenario_Data!W78)+(Inputs!$C$6))/(0.5*(Inputs!$C$39+Inputs!$C$40))))+Inputs!$C$38*SIN(2*PI()*(Scenario_Data!W78)/Inputs!$C$39)*SIN(2*PI()*(Inputs!$C$6)/Inputs!$C$40)+-Inputs!$C$41*EXP(-(((Inputs!$C$6)-Inputs!$C$43)^2)/(2*Inputs!$C$44^2))*EXP(-(((Scenario_Data!W78)-Inputs!$C$42)^2)/(2*Inputs!$C$45^2))+Inputs!$C$48*(0.7*(0.45*SIN(2*PI()*(((Scenario_Data!W78)/Inputs!$C$49)+Inputs!$C$47*0.137))+0.35*COS(2*PI()*(((Inputs!$C$6)/Inputs!$C$50)+Inputs!$C$47*0.173))+0.2*SIN(2*PI()*((((Scenario_Data!W78)+(Inputs!$C$6))/(0.5*(Inputs!$C$49+Inputs!$C$50)))+Inputs!$C$47*0.097)))+0.3*(2*((SIN(((Scenario_Data!W78)*12.9898+(Inputs!$C$6)*78.233+Inputs!$C$47*37.719))*43758.5453)-INT((SIN(((Scenario_Data!W78)*12.9898+(Inputs!$C$6)*78.233+Inputs!$C$47*37.719))*43758.5453)))-1))))/1000))^2-2*(Inputs!$C$52+(Scenario_Data!E78))*(Inputs!$C$52+((IF(OR(Inputs!$C$27=TRUE,Inputs!$C$27="TRUE",Inputs!$C$27=1),1,0)*(Inputs!$C$51*(115*EXP(-(((Inputs!$C$6)-25)^2)/(4.5^2))+70*EXP(-(((Inputs!$C$6)+38)^2)/(7^2))*(0.55+0.45*SIN(2*PI()*(Scenario_Data!W78)/45))+24*SIN(2*PI()*(Inputs!$C$6)/9+(Scenario_Data!W78)/18)*EXP(-(((Inputs!$C$6)+5)^2)/(22^2))+18*SIN(2*PI()*(Scenario_Data!W78)/70))+Inputs!$C$28*EXP(-(((Scenario_Data!W78)-Inputs!$C$29)^2)/(2*Inputs!$C$31^2))*EXP(-(((Inputs!$C$6)-Inputs!$C$30)^2)/(2*Inputs!$C$32^2))+-Inputs!$C$33*EXP(-(((((Scenario_Data!W78)-Inputs!$C$34)^2)+(((Inputs!$C$6)-Inputs!$C$35)^2))/(2*Inputs!$C$36^2)))+Inputs!$C$37*(0.55*SIN(2*PI()*(Scenario_Data!W78)/Inputs!$C$39)+0.35*COS(2*PI()*(Inputs!$C$6)/Inputs!$C$40)+0.2*SIN(2*PI()*((Scenario_Data!W78)+(Inputs!$C$6))/(0.5*(Inputs!$C$39+Inputs!$C$40))))+Inputs!$C$38*SIN(2*PI()*(Scenario_Data!W78)/Inputs!$C$39)*SIN(2*PI()*(Inputs!$C$6)/Inputs!$C$40)+-Inputs!$C$41*EXP(-(((Inputs!$C$6)-Inputs!$C$43)^2)/(2*Inputs!$C$44^2))*EXP(-(((Scenario_Data!W78)-Inputs!$C$42)^2)/(2*Inputs!$C$45^2))+Inputs!$C$48*(0.7*(0.45*SIN(2*PI()*(((Scenario_Data!W78)/Inputs!$C$49)+Inputs!$C$47*0.137))+0.35*COS(2*PI()*(((Inputs!$C$6)/Inputs!$C$50)+Inputs!$C$47*0.173))+0.2*SIN(2*PI()*((((Scenario_Data!W78)+(Inputs!$C$6))/(0.5*(Inputs!$C$49+Inputs!$C$50)))+Inputs!$C$47*0.097)))+0.3*(2*((SIN(((Scenario_Data!W78)*12.9898+(Inputs!$C$6)*78.233+Inputs!$C$47*37.719))*43758.5453)-INT((SIN(((Scenario_Data!W78)*12.9898+(Inputs!$C$6)*78.233+Inputs!$C$47*37.719))*43758.5453)))-1))))/1000))*COS(SQRT((Scenario_Data!W78)^2+Inputs!$C$6^2)/Inputs!$C$52))*1000)/Inputs!$C$21*1000000</f>
        <v/>
      </c>
    </row>
    <row r="79">
      <c r="A79">
        <f>Chart_Data!K79</f>
        <v/>
      </c>
      <c r="B79">
        <f>Chart_Data!N79-Chart_Data!L79</f>
        <v/>
      </c>
      <c r="D79">
        <f>Chart_Data!G79</f>
        <v/>
      </c>
      <c r="E79">
        <f>Chart_Data!H79</f>
        <v/>
      </c>
      <c r="F79">
        <f>Chart_Data!I79</f>
        <v/>
      </c>
      <c r="G79">
        <f>Chart_Data!J79</f>
        <v/>
      </c>
      <c r="I79">
        <f>Scenario_Data!A79</f>
        <v/>
      </c>
      <c r="J79">
        <f>Scenario_Data!H79-(((SQRT((Inputs!$C$52+(Inputs!$H$6))^2+Inputs!$C$52^2-2*(Inputs!$C$52+(Inputs!$H$6))*Inputs!$C$52*COS(SQRT((Scenario_Data!T79)^2+Inputs!$C$6^2)/Inputs!$C$52)))-(Inputs!$H$6))*1000/Inputs!$C$12)</f>
        <v/>
      </c>
      <c r="K79">
        <f>Scenario_Data!I79-(((SQRT((Inputs!$C$52+(Inputs!$H$7))^2+Inputs!$C$52^2-2*(Inputs!$C$52+(Inputs!$H$7))*Inputs!$C$52*COS(SQRT((Scenario_Data!U79)^2+Inputs!$C$6^2)/Inputs!$C$52)))-(Inputs!$H$7))*1000/Inputs!$C$12)</f>
        <v/>
      </c>
      <c r="L79">
        <f>Scenario_Data!J79-(((SQRT((Inputs!$C$52+(Inputs!$H$8))^2+Inputs!$C$52^2-2*(Inputs!$C$52+(Inputs!$H$8))*Inputs!$C$52*COS(SQRT((Scenario_Data!V79)^2+Inputs!$C$6^2)/Inputs!$C$52)))-(Inputs!$H$8))*1000/Inputs!$C$12)</f>
        <v/>
      </c>
      <c r="M79">
        <f>Scenario_Data!K79-(((SQRT((Inputs!$C$52+(Inputs!$H$9))^2+Inputs!$C$52^2-2*(Inputs!$C$52+(Inputs!$H$9))*Inputs!$C$52*COS(SQRT((Scenario_Data!W79)^2+Inputs!$C$6^2)/Inputs!$C$52)))-(Inputs!$H$9))*1000/Inputs!$C$12)</f>
        <v/>
      </c>
      <c r="O79">
        <f>Scenario_Data!T79</f>
        <v/>
      </c>
      <c r="P79">
        <f>2*(Scenario_Data!B79*1000)/Inputs!$C$21*1000000</f>
        <v/>
      </c>
      <c r="Q79">
        <f>Scenario_Data!U79</f>
        <v/>
      </c>
      <c r="R79">
        <f>2*(Scenario_Data!C79*1000)/Inputs!$C$21*1000000</f>
        <v/>
      </c>
      <c r="S79">
        <f>Scenario_Data!V79</f>
        <v/>
      </c>
      <c r="T79">
        <f>2*(Scenario_Data!D79*1000)/Inputs!$C$21*1000000</f>
        <v/>
      </c>
      <c r="U79">
        <f>Scenario_Data!W79</f>
        <v/>
      </c>
      <c r="V79">
        <f>2*(Scenario_Data!E79*1000)/Inputs!$C$21*1000000</f>
        <v/>
      </c>
      <c r="X79">
        <f>Scenario_Data!T79</f>
        <v/>
      </c>
      <c r="Y79">
        <f>2*((Scenario_Data!B79*1000)-(IF(OR(Inputs!$C$27=TRUE,Inputs!$C$27="TRUE",Inputs!$C$27=1),1,0)*(Inputs!$C$51*(115*EXP(-(((0)-25)^2)/(4.5^2))+70*EXP(-(((0)+38)^2)/(7^2))*(0.55+0.45*SIN(2*PI()*(Scenario_Data!T79)/45))+24*SIN(2*PI()*(0)/9+(Scenario_Data!T79)/18)*EXP(-(((0)+5)^2)/(22^2))+18*SIN(2*PI()*(Scenario_Data!T79)/70))+Inputs!$C$28*EXP(-(((Scenario_Data!T79)-Inputs!$C$29)^2)/(2*Inputs!$C$31^2))*EXP(-(((0)-Inputs!$C$30)^2)/(2*Inputs!$C$32^2))+-Inputs!$C$33*EXP(-(((((Scenario_Data!T79)-Inputs!$C$34)^2)+(((0)-Inputs!$C$35)^2))/(2*Inputs!$C$36^2)))+Inputs!$C$37*(0.55*SIN(2*PI()*(Scenario_Data!T79)/Inputs!$C$39)+0.35*COS(2*PI()*(0)/Inputs!$C$40)+0.2*SIN(2*PI()*((Scenario_Data!T79)+(0))/(0.5*(Inputs!$C$39+Inputs!$C$40))))+Inputs!$C$38*SIN(2*PI()*(Scenario_Data!T79)/Inputs!$C$39)*SIN(2*PI()*(0)/Inputs!$C$40)+-Inputs!$C$41*EXP(-(((0)-Inputs!$C$43)^2)/(2*Inputs!$C$44^2))*EXP(-(((Scenario_Data!T79)-Inputs!$C$42)^2)/(2*Inputs!$C$45^2))+Inputs!$C$48*(0.7*(0.45*SIN(2*PI()*(((Scenario_Data!T79)/Inputs!$C$49)+Inputs!$C$47*0.137))+0.35*COS(2*PI()*(((0)/Inputs!$C$50)+Inputs!$C$47*0.173))+0.2*SIN(2*PI()*((((Scenario_Data!T79)+(0))/(0.5*(Inputs!$C$49+Inputs!$C$50)))+Inputs!$C$47*0.097)))+0.3*(2*((SIN(((Scenario_Data!T79)*12.9898+(0)*78.233+Inputs!$C$47*37.719))*43758.5453)-INT((SIN(((Scenario_Data!T79)*12.9898+(0)*78.233+Inputs!$C$47*37.719))*43758.5453)))-1)))))/Inputs!$C$21*1000000</f>
        <v/>
      </c>
      <c r="Z79">
        <f>Scenario_Data!U79</f>
        <v/>
      </c>
      <c r="AA79">
        <f>2*((Scenario_Data!C79*1000)-(IF(OR(Inputs!$C$27=TRUE,Inputs!$C$27="TRUE",Inputs!$C$27=1),1,0)*(Inputs!$C$51*(115*EXP(-(((0)-25)^2)/(4.5^2))+70*EXP(-(((0)+38)^2)/(7^2))*(0.55+0.45*SIN(2*PI()*(Scenario_Data!U79)/45))+24*SIN(2*PI()*(0)/9+(Scenario_Data!U79)/18)*EXP(-(((0)+5)^2)/(22^2))+18*SIN(2*PI()*(Scenario_Data!U79)/70))+Inputs!$C$28*EXP(-(((Scenario_Data!U79)-Inputs!$C$29)^2)/(2*Inputs!$C$31^2))*EXP(-(((0)-Inputs!$C$30)^2)/(2*Inputs!$C$32^2))+-Inputs!$C$33*EXP(-(((((Scenario_Data!U79)-Inputs!$C$34)^2)+(((0)-Inputs!$C$35)^2))/(2*Inputs!$C$36^2)))+Inputs!$C$37*(0.55*SIN(2*PI()*(Scenario_Data!U79)/Inputs!$C$39)+0.35*COS(2*PI()*(0)/Inputs!$C$40)+0.2*SIN(2*PI()*((Scenario_Data!U79)+(0))/(0.5*(Inputs!$C$39+Inputs!$C$40))))+Inputs!$C$38*SIN(2*PI()*(Scenario_Data!U79)/Inputs!$C$39)*SIN(2*PI()*(0)/Inputs!$C$40)+-Inputs!$C$41*EXP(-(((0)-Inputs!$C$43)^2)/(2*Inputs!$C$44^2))*EXP(-(((Scenario_Data!U79)-Inputs!$C$42)^2)/(2*Inputs!$C$45^2))+Inputs!$C$48*(0.7*(0.45*SIN(2*PI()*(((Scenario_Data!U79)/Inputs!$C$49)+Inputs!$C$47*0.137))+0.35*COS(2*PI()*(((0)/Inputs!$C$50)+Inputs!$C$47*0.173))+0.2*SIN(2*PI()*((((Scenario_Data!U79)+(0))/(0.5*(Inputs!$C$49+Inputs!$C$50)))+Inputs!$C$47*0.097)))+0.3*(2*((SIN(((Scenario_Data!U79)*12.9898+(0)*78.233+Inputs!$C$47*37.719))*43758.5453)-INT((SIN(((Scenario_Data!U79)*12.9898+(0)*78.233+Inputs!$C$47*37.719))*43758.5453)))-1)))))/Inputs!$C$21*1000000</f>
        <v/>
      </c>
      <c r="AB79">
        <f>Scenario_Data!V79</f>
        <v/>
      </c>
      <c r="AC79">
        <f>2*((Scenario_Data!D79*1000)-(IF(OR(Inputs!$C$27=TRUE,Inputs!$C$27="TRUE",Inputs!$C$27=1),1,0)*(Inputs!$C$51*(115*EXP(-(((0)-25)^2)/(4.5^2))+70*EXP(-(((0)+38)^2)/(7^2))*(0.55+0.45*SIN(2*PI()*(Scenario_Data!V79)/45))+24*SIN(2*PI()*(0)/9+(Scenario_Data!V79)/18)*EXP(-(((0)+5)^2)/(22^2))+18*SIN(2*PI()*(Scenario_Data!V79)/70))+Inputs!$C$28*EXP(-(((Scenario_Data!V79)-Inputs!$C$29)^2)/(2*Inputs!$C$31^2))*EXP(-(((0)-Inputs!$C$30)^2)/(2*Inputs!$C$32^2))+-Inputs!$C$33*EXP(-(((((Scenario_Data!V79)-Inputs!$C$34)^2)+(((0)-Inputs!$C$35)^2))/(2*Inputs!$C$36^2)))+Inputs!$C$37*(0.55*SIN(2*PI()*(Scenario_Data!V79)/Inputs!$C$39)+0.35*COS(2*PI()*(0)/Inputs!$C$40)+0.2*SIN(2*PI()*((Scenario_Data!V79)+(0))/(0.5*(Inputs!$C$39+Inputs!$C$40))))+Inputs!$C$38*SIN(2*PI()*(Scenario_Data!V79)/Inputs!$C$39)*SIN(2*PI()*(0)/Inputs!$C$40)+-Inputs!$C$41*EXP(-(((0)-Inputs!$C$43)^2)/(2*Inputs!$C$44^2))*EXP(-(((Scenario_Data!V79)-Inputs!$C$42)^2)/(2*Inputs!$C$45^2))+Inputs!$C$48*(0.7*(0.45*SIN(2*PI()*(((Scenario_Data!V79)/Inputs!$C$49)+Inputs!$C$47*0.137))+0.35*COS(2*PI()*(((0)/Inputs!$C$50)+Inputs!$C$47*0.173))+0.2*SIN(2*PI()*((((Scenario_Data!V79)+(0))/(0.5*(Inputs!$C$49+Inputs!$C$50)))+Inputs!$C$47*0.097)))+0.3*(2*((SIN(((Scenario_Data!V79)*12.9898+(0)*78.233+Inputs!$C$47*37.719))*43758.5453)-INT((SIN(((Scenario_Data!V79)*12.9898+(0)*78.233+Inputs!$C$47*37.719))*43758.5453)))-1)))))/Inputs!$C$21*1000000</f>
        <v/>
      </c>
      <c r="AD79">
        <f>Scenario_Data!W79</f>
        <v/>
      </c>
      <c r="AE79">
        <f>2*((Scenario_Data!E79*1000)-(IF(OR(Inputs!$C$27=TRUE,Inputs!$C$27="TRUE",Inputs!$C$27=1),1,0)*(Inputs!$C$51*(115*EXP(-(((0)-25)^2)/(4.5^2))+70*EXP(-(((0)+38)^2)/(7^2))*(0.55+0.45*SIN(2*PI()*(Scenario_Data!W79)/45))+24*SIN(2*PI()*(0)/9+(Scenario_Data!W79)/18)*EXP(-(((0)+5)^2)/(22^2))+18*SIN(2*PI()*(Scenario_Data!W79)/70))+Inputs!$C$28*EXP(-(((Scenario_Data!W79)-Inputs!$C$29)^2)/(2*Inputs!$C$31^2))*EXP(-(((0)-Inputs!$C$30)^2)/(2*Inputs!$C$32^2))+-Inputs!$C$33*EXP(-(((((Scenario_Data!W79)-Inputs!$C$34)^2)+(((0)-Inputs!$C$35)^2))/(2*Inputs!$C$36^2)))+Inputs!$C$37*(0.55*SIN(2*PI()*(Scenario_Data!W79)/Inputs!$C$39)+0.35*COS(2*PI()*(0)/Inputs!$C$40)+0.2*SIN(2*PI()*((Scenario_Data!W79)+(0))/(0.5*(Inputs!$C$39+Inputs!$C$40))))+Inputs!$C$38*SIN(2*PI()*(Scenario_Data!W79)/Inputs!$C$39)*SIN(2*PI()*(0)/Inputs!$C$40)+-Inputs!$C$41*EXP(-(((0)-Inputs!$C$43)^2)/(2*Inputs!$C$44^2))*EXP(-(((Scenario_Data!W79)-Inputs!$C$42)^2)/(2*Inputs!$C$45^2))+Inputs!$C$48*(0.7*(0.45*SIN(2*PI()*(((Scenario_Data!W79)/Inputs!$C$49)+Inputs!$C$47*0.137))+0.35*COS(2*PI()*(((0)/Inputs!$C$50)+Inputs!$C$47*0.173))+0.2*SIN(2*PI()*((((Scenario_Data!W79)+(0))/(0.5*(Inputs!$C$49+Inputs!$C$50)))+Inputs!$C$47*0.097)))+0.3*(2*((SIN(((Scenario_Data!W79)*12.9898+(0)*78.233+Inputs!$C$47*37.719))*43758.5453)-INT((SIN(((Scenario_Data!W79)*12.9898+(0)*78.233+Inputs!$C$47*37.719))*43758.5453)))-1)))))/Inputs!$C$21*1000000</f>
        <v/>
      </c>
      <c r="AG79">
        <f>Scenario_Data!T79</f>
        <v/>
      </c>
      <c r="AH79">
        <f>2*(SQRT((Inputs!$C$52+(Scenario_Data!B79))^2+Inputs!$C$52^2-2*(Inputs!$C$52+(Scenario_Data!B79))*Inputs!$C$52*COS(SQRT((Scenario_Data!T79)^2+Inputs!$C$6^2)/Inputs!$C$52))*1000)/Inputs!$C$21*1000000</f>
        <v/>
      </c>
      <c r="AI79">
        <f>Scenario_Data!U79</f>
        <v/>
      </c>
      <c r="AJ79">
        <f>2*(SQRT((Inputs!$C$52+(Scenario_Data!C79))^2+Inputs!$C$52^2-2*(Inputs!$C$52+(Scenario_Data!C79))*Inputs!$C$52*COS(SQRT((Scenario_Data!U79)^2+Inputs!$C$6^2)/Inputs!$C$52))*1000)/Inputs!$C$21*1000000</f>
        <v/>
      </c>
      <c r="AK79">
        <f>Scenario_Data!V79</f>
        <v/>
      </c>
      <c r="AL79">
        <f>2*(SQRT((Inputs!$C$52+(Scenario_Data!D79))^2+Inputs!$C$52^2-2*(Inputs!$C$52+(Scenario_Data!D79))*Inputs!$C$52*COS(SQRT((Scenario_Data!V79)^2+Inputs!$C$6^2)/Inputs!$C$52))*1000)/Inputs!$C$21*1000000</f>
        <v/>
      </c>
      <c r="AM79">
        <f>Scenario_Data!W79</f>
        <v/>
      </c>
      <c r="AN79">
        <f>2*(SQRT((Inputs!$C$52+(Scenario_Data!E79))^2+Inputs!$C$52^2-2*(Inputs!$C$52+(Scenario_Data!E79))*Inputs!$C$52*COS(SQRT((Scenario_Data!W79)^2+Inputs!$C$6^2)/Inputs!$C$52))*1000)/Inputs!$C$21*1000000</f>
        <v/>
      </c>
      <c r="AP79">
        <f>Scenario_Data!T79</f>
        <v/>
      </c>
      <c r="AQ79">
        <f>2*(SQRT((Inputs!$C$52+(Scenario_Data!B79))^2+(Inputs!$C$52+((IF(OR(Inputs!$C$27=TRUE,Inputs!$C$27="TRUE",Inputs!$C$27=1),1,0)*(Inputs!$C$51*(115*EXP(-(((Inputs!$C$6)-25)^2)/(4.5^2))+70*EXP(-(((Inputs!$C$6)+38)^2)/(7^2))*(0.55+0.45*SIN(2*PI()*(Scenario_Data!T79)/45))+24*SIN(2*PI()*(Inputs!$C$6)/9+(Scenario_Data!T79)/18)*EXP(-(((Inputs!$C$6)+5)^2)/(22^2))+18*SIN(2*PI()*(Scenario_Data!T79)/70))+Inputs!$C$28*EXP(-(((Scenario_Data!T79)-Inputs!$C$29)^2)/(2*Inputs!$C$31^2))*EXP(-(((Inputs!$C$6)-Inputs!$C$30)^2)/(2*Inputs!$C$32^2))+-Inputs!$C$33*EXP(-(((((Scenario_Data!T79)-Inputs!$C$34)^2)+(((Inputs!$C$6)-Inputs!$C$35)^2))/(2*Inputs!$C$36^2)))+Inputs!$C$37*(0.55*SIN(2*PI()*(Scenario_Data!T79)/Inputs!$C$39)+0.35*COS(2*PI()*(Inputs!$C$6)/Inputs!$C$40)+0.2*SIN(2*PI()*((Scenario_Data!T79)+(Inputs!$C$6))/(0.5*(Inputs!$C$39+Inputs!$C$40))))+Inputs!$C$38*SIN(2*PI()*(Scenario_Data!T79)/Inputs!$C$39)*SIN(2*PI()*(Inputs!$C$6)/Inputs!$C$40)+-Inputs!$C$41*EXP(-(((Inputs!$C$6)-Inputs!$C$43)^2)/(2*Inputs!$C$44^2))*EXP(-(((Scenario_Data!T79)-Inputs!$C$42)^2)/(2*Inputs!$C$45^2))+Inputs!$C$48*(0.7*(0.45*SIN(2*PI()*(((Scenario_Data!T79)/Inputs!$C$49)+Inputs!$C$47*0.137))+0.35*COS(2*PI()*(((Inputs!$C$6)/Inputs!$C$50)+Inputs!$C$47*0.173))+0.2*SIN(2*PI()*((((Scenario_Data!T79)+(Inputs!$C$6))/(0.5*(Inputs!$C$49+Inputs!$C$50)))+Inputs!$C$47*0.097)))+0.3*(2*((SIN(((Scenario_Data!T79)*12.9898+(Inputs!$C$6)*78.233+Inputs!$C$47*37.719))*43758.5453)-INT((SIN(((Scenario_Data!T79)*12.9898+(Inputs!$C$6)*78.233+Inputs!$C$47*37.719))*43758.5453)))-1))))/1000))^2-2*(Inputs!$C$52+(Scenario_Data!B79))*(Inputs!$C$52+((IF(OR(Inputs!$C$27=TRUE,Inputs!$C$27="TRUE",Inputs!$C$27=1),1,0)*(Inputs!$C$51*(115*EXP(-(((Inputs!$C$6)-25)^2)/(4.5^2))+70*EXP(-(((Inputs!$C$6)+38)^2)/(7^2))*(0.55+0.45*SIN(2*PI()*(Scenario_Data!T79)/45))+24*SIN(2*PI()*(Inputs!$C$6)/9+(Scenario_Data!T79)/18)*EXP(-(((Inputs!$C$6)+5)^2)/(22^2))+18*SIN(2*PI()*(Scenario_Data!T79)/70))+Inputs!$C$28*EXP(-(((Scenario_Data!T79)-Inputs!$C$29)^2)/(2*Inputs!$C$31^2))*EXP(-(((Inputs!$C$6)-Inputs!$C$30)^2)/(2*Inputs!$C$32^2))+-Inputs!$C$33*EXP(-(((((Scenario_Data!T79)-Inputs!$C$34)^2)+(((Inputs!$C$6)-Inputs!$C$35)^2))/(2*Inputs!$C$36^2)))+Inputs!$C$37*(0.55*SIN(2*PI()*(Scenario_Data!T79)/Inputs!$C$39)+0.35*COS(2*PI()*(Inputs!$C$6)/Inputs!$C$40)+0.2*SIN(2*PI()*((Scenario_Data!T79)+(Inputs!$C$6))/(0.5*(Inputs!$C$39+Inputs!$C$40))))+Inputs!$C$38*SIN(2*PI()*(Scenario_Data!T79)/Inputs!$C$39)*SIN(2*PI()*(Inputs!$C$6)/Inputs!$C$40)+-Inputs!$C$41*EXP(-(((Inputs!$C$6)-Inputs!$C$43)^2)/(2*Inputs!$C$44^2))*EXP(-(((Scenario_Data!T79)-Inputs!$C$42)^2)/(2*Inputs!$C$45^2))+Inputs!$C$48*(0.7*(0.45*SIN(2*PI()*(((Scenario_Data!T79)/Inputs!$C$49)+Inputs!$C$47*0.137))+0.35*COS(2*PI()*(((Inputs!$C$6)/Inputs!$C$50)+Inputs!$C$47*0.173))+0.2*SIN(2*PI()*((((Scenario_Data!T79)+(Inputs!$C$6))/(0.5*(Inputs!$C$49+Inputs!$C$50)))+Inputs!$C$47*0.097)))+0.3*(2*((SIN(((Scenario_Data!T79)*12.9898+(Inputs!$C$6)*78.233+Inputs!$C$47*37.719))*43758.5453)-INT((SIN(((Scenario_Data!T79)*12.9898+(Inputs!$C$6)*78.233+Inputs!$C$47*37.719))*43758.5453)))-1))))/1000))*COS(SQRT((Scenario_Data!T79)^2+Inputs!$C$6^2)/Inputs!$C$52))*1000)/Inputs!$C$21*1000000</f>
        <v/>
      </c>
      <c r="AR79">
        <f>Scenario_Data!U79</f>
        <v/>
      </c>
      <c r="AS79">
        <f>2*(SQRT((Inputs!$C$52+(Scenario_Data!C79))^2+(Inputs!$C$52+((IF(OR(Inputs!$C$27=TRUE,Inputs!$C$27="TRUE",Inputs!$C$27=1),1,0)*(Inputs!$C$51*(115*EXP(-(((Inputs!$C$6)-25)^2)/(4.5^2))+70*EXP(-(((Inputs!$C$6)+38)^2)/(7^2))*(0.55+0.45*SIN(2*PI()*(Scenario_Data!U79)/45))+24*SIN(2*PI()*(Inputs!$C$6)/9+(Scenario_Data!U79)/18)*EXP(-(((Inputs!$C$6)+5)^2)/(22^2))+18*SIN(2*PI()*(Scenario_Data!U79)/70))+Inputs!$C$28*EXP(-(((Scenario_Data!U79)-Inputs!$C$29)^2)/(2*Inputs!$C$31^2))*EXP(-(((Inputs!$C$6)-Inputs!$C$30)^2)/(2*Inputs!$C$32^2))+-Inputs!$C$33*EXP(-(((((Scenario_Data!U79)-Inputs!$C$34)^2)+(((Inputs!$C$6)-Inputs!$C$35)^2))/(2*Inputs!$C$36^2)))+Inputs!$C$37*(0.55*SIN(2*PI()*(Scenario_Data!U79)/Inputs!$C$39)+0.35*COS(2*PI()*(Inputs!$C$6)/Inputs!$C$40)+0.2*SIN(2*PI()*((Scenario_Data!U79)+(Inputs!$C$6))/(0.5*(Inputs!$C$39+Inputs!$C$40))))+Inputs!$C$38*SIN(2*PI()*(Scenario_Data!U79)/Inputs!$C$39)*SIN(2*PI()*(Inputs!$C$6)/Inputs!$C$40)+-Inputs!$C$41*EXP(-(((Inputs!$C$6)-Inputs!$C$43)^2)/(2*Inputs!$C$44^2))*EXP(-(((Scenario_Data!U79)-Inputs!$C$42)^2)/(2*Inputs!$C$45^2))+Inputs!$C$48*(0.7*(0.45*SIN(2*PI()*(((Scenario_Data!U79)/Inputs!$C$49)+Inputs!$C$47*0.137))+0.35*COS(2*PI()*(((Inputs!$C$6)/Inputs!$C$50)+Inputs!$C$47*0.173))+0.2*SIN(2*PI()*((((Scenario_Data!U79)+(Inputs!$C$6))/(0.5*(Inputs!$C$49+Inputs!$C$50)))+Inputs!$C$47*0.097)))+0.3*(2*((SIN(((Scenario_Data!U79)*12.9898+(Inputs!$C$6)*78.233+Inputs!$C$47*37.719))*43758.5453)-INT((SIN(((Scenario_Data!U79)*12.9898+(Inputs!$C$6)*78.233+Inputs!$C$47*37.719))*43758.5453)))-1))))/1000))^2-2*(Inputs!$C$52+(Scenario_Data!C79))*(Inputs!$C$52+((IF(OR(Inputs!$C$27=TRUE,Inputs!$C$27="TRUE",Inputs!$C$27=1),1,0)*(Inputs!$C$51*(115*EXP(-(((Inputs!$C$6)-25)^2)/(4.5^2))+70*EXP(-(((Inputs!$C$6)+38)^2)/(7^2))*(0.55+0.45*SIN(2*PI()*(Scenario_Data!U79)/45))+24*SIN(2*PI()*(Inputs!$C$6)/9+(Scenario_Data!U79)/18)*EXP(-(((Inputs!$C$6)+5)^2)/(22^2))+18*SIN(2*PI()*(Scenario_Data!U79)/70))+Inputs!$C$28*EXP(-(((Scenario_Data!U79)-Inputs!$C$29)^2)/(2*Inputs!$C$31^2))*EXP(-(((Inputs!$C$6)-Inputs!$C$30)^2)/(2*Inputs!$C$32^2))+-Inputs!$C$33*EXP(-(((((Scenario_Data!U79)-Inputs!$C$34)^2)+(((Inputs!$C$6)-Inputs!$C$35)^2))/(2*Inputs!$C$36^2)))+Inputs!$C$37*(0.55*SIN(2*PI()*(Scenario_Data!U79)/Inputs!$C$39)+0.35*COS(2*PI()*(Inputs!$C$6)/Inputs!$C$40)+0.2*SIN(2*PI()*((Scenario_Data!U79)+(Inputs!$C$6))/(0.5*(Inputs!$C$39+Inputs!$C$40))))+Inputs!$C$38*SIN(2*PI()*(Scenario_Data!U79)/Inputs!$C$39)*SIN(2*PI()*(Inputs!$C$6)/Inputs!$C$40)+-Inputs!$C$41*EXP(-(((Inputs!$C$6)-Inputs!$C$43)^2)/(2*Inputs!$C$44^2))*EXP(-(((Scenario_Data!U79)-Inputs!$C$42)^2)/(2*Inputs!$C$45^2))+Inputs!$C$48*(0.7*(0.45*SIN(2*PI()*(((Scenario_Data!U79)/Inputs!$C$49)+Inputs!$C$47*0.137))+0.35*COS(2*PI()*(((Inputs!$C$6)/Inputs!$C$50)+Inputs!$C$47*0.173))+0.2*SIN(2*PI()*((((Scenario_Data!U79)+(Inputs!$C$6))/(0.5*(Inputs!$C$49+Inputs!$C$50)))+Inputs!$C$47*0.097)))+0.3*(2*((SIN(((Scenario_Data!U79)*12.9898+(Inputs!$C$6)*78.233+Inputs!$C$47*37.719))*43758.5453)-INT((SIN(((Scenario_Data!U79)*12.9898+(Inputs!$C$6)*78.233+Inputs!$C$47*37.719))*43758.5453)))-1))))/1000))*COS(SQRT((Scenario_Data!U79)^2+Inputs!$C$6^2)/Inputs!$C$52))*1000)/Inputs!$C$21*1000000</f>
        <v/>
      </c>
      <c r="AT79">
        <f>Scenario_Data!V79</f>
        <v/>
      </c>
      <c r="AU79">
        <f>2*(SQRT((Inputs!$C$52+(Scenario_Data!D79))^2+(Inputs!$C$52+((IF(OR(Inputs!$C$27=TRUE,Inputs!$C$27="TRUE",Inputs!$C$27=1),1,0)*(Inputs!$C$51*(115*EXP(-(((Inputs!$C$6)-25)^2)/(4.5^2))+70*EXP(-(((Inputs!$C$6)+38)^2)/(7^2))*(0.55+0.45*SIN(2*PI()*(Scenario_Data!V79)/45))+24*SIN(2*PI()*(Inputs!$C$6)/9+(Scenario_Data!V79)/18)*EXP(-(((Inputs!$C$6)+5)^2)/(22^2))+18*SIN(2*PI()*(Scenario_Data!V79)/70))+Inputs!$C$28*EXP(-(((Scenario_Data!V79)-Inputs!$C$29)^2)/(2*Inputs!$C$31^2))*EXP(-(((Inputs!$C$6)-Inputs!$C$30)^2)/(2*Inputs!$C$32^2))+-Inputs!$C$33*EXP(-(((((Scenario_Data!V79)-Inputs!$C$34)^2)+(((Inputs!$C$6)-Inputs!$C$35)^2))/(2*Inputs!$C$36^2)))+Inputs!$C$37*(0.55*SIN(2*PI()*(Scenario_Data!V79)/Inputs!$C$39)+0.35*COS(2*PI()*(Inputs!$C$6)/Inputs!$C$40)+0.2*SIN(2*PI()*((Scenario_Data!V79)+(Inputs!$C$6))/(0.5*(Inputs!$C$39+Inputs!$C$40))))+Inputs!$C$38*SIN(2*PI()*(Scenario_Data!V79)/Inputs!$C$39)*SIN(2*PI()*(Inputs!$C$6)/Inputs!$C$40)+-Inputs!$C$41*EXP(-(((Inputs!$C$6)-Inputs!$C$43)^2)/(2*Inputs!$C$44^2))*EXP(-(((Scenario_Data!V79)-Inputs!$C$42)^2)/(2*Inputs!$C$45^2))+Inputs!$C$48*(0.7*(0.45*SIN(2*PI()*(((Scenario_Data!V79)/Inputs!$C$49)+Inputs!$C$47*0.137))+0.35*COS(2*PI()*(((Inputs!$C$6)/Inputs!$C$50)+Inputs!$C$47*0.173))+0.2*SIN(2*PI()*((((Scenario_Data!V79)+(Inputs!$C$6))/(0.5*(Inputs!$C$49+Inputs!$C$50)))+Inputs!$C$47*0.097)))+0.3*(2*((SIN(((Scenario_Data!V79)*12.9898+(Inputs!$C$6)*78.233+Inputs!$C$47*37.719))*43758.5453)-INT((SIN(((Scenario_Data!V79)*12.9898+(Inputs!$C$6)*78.233+Inputs!$C$47*37.719))*43758.5453)))-1))))/1000))^2-2*(Inputs!$C$52+(Scenario_Data!D79))*(Inputs!$C$52+((IF(OR(Inputs!$C$27=TRUE,Inputs!$C$27="TRUE",Inputs!$C$27=1),1,0)*(Inputs!$C$51*(115*EXP(-(((Inputs!$C$6)-25)^2)/(4.5^2))+70*EXP(-(((Inputs!$C$6)+38)^2)/(7^2))*(0.55+0.45*SIN(2*PI()*(Scenario_Data!V79)/45))+24*SIN(2*PI()*(Inputs!$C$6)/9+(Scenario_Data!V79)/18)*EXP(-(((Inputs!$C$6)+5)^2)/(22^2))+18*SIN(2*PI()*(Scenario_Data!V79)/70))+Inputs!$C$28*EXP(-(((Scenario_Data!V79)-Inputs!$C$29)^2)/(2*Inputs!$C$31^2))*EXP(-(((Inputs!$C$6)-Inputs!$C$30)^2)/(2*Inputs!$C$32^2))+-Inputs!$C$33*EXP(-(((((Scenario_Data!V79)-Inputs!$C$34)^2)+(((Inputs!$C$6)-Inputs!$C$35)^2))/(2*Inputs!$C$36^2)))+Inputs!$C$37*(0.55*SIN(2*PI()*(Scenario_Data!V79)/Inputs!$C$39)+0.35*COS(2*PI()*(Inputs!$C$6)/Inputs!$C$40)+0.2*SIN(2*PI()*((Scenario_Data!V79)+(Inputs!$C$6))/(0.5*(Inputs!$C$39+Inputs!$C$40))))+Inputs!$C$38*SIN(2*PI()*(Scenario_Data!V79)/Inputs!$C$39)*SIN(2*PI()*(Inputs!$C$6)/Inputs!$C$40)+-Inputs!$C$41*EXP(-(((Inputs!$C$6)-Inputs!$C$43)^2)/(2*Inputs!$C$44^2))*EXP(-(((Scenario_Data!V79)-Inputs!$C$42)^2)/(2*Inputs!$C$45^2))+Inputs!$C$48*(0.7*(0.45*SIN(2*PI()*(((Scenario_Data!V79)/Inputs!$C$49)+Inputs!$C$47*0.137))+0.35*COS(2*PI()*(((Inputs!$C$6)/Inputs!$C$50)+Inputs!$C$47*0.173))+0.2*SIN(2*PI()*((((Scenario_Data!V79)+(Inputs!$C$6))/(0.5*(Inputs!$C$49+Inputs!$C$50)))+Inputs!$C$47*0.097)))+0.3*(2*((SIN(((Scenario_Data!V79)*12.9898+(Inputs!$C$6)*78.233+Inputs!$C$47*37.719))*43758.5453)-INT((SIN(((Scenario_Data!V79)*12.9898+(Inputs!$C$6)*78.233+Inputs!$C$47*37.719))*43758.5453)))-1))))/1000))*COS(SQRT((Scenario_Data!V79)^2+Inputs!$C$6^2)/Inputs!$C$52))*1000)/Inputs!$C$21*1000000</f>
        <v/>
      </c>
      <c r="AV79">
        <f>Scenario_Data!W79</f>
        <v/>
      </c>
      <c r="AW79">
        <f>2*(SQRT((Inputs!$C$52+(Scenario_Data!E79))^2+(Inputs!$C$52+((IF(OR(Inputs!$C$27=TRUE,Inputs!$C$27="TRUE",Inputs!$C$27=1),1,0)*(Inputs!$C$51*(115*EXP(-(((Inputs!$C$6)-25)^2)/(4.5^2))+70*EXP(-(((Inputs!$C$6)+38)^2)/(7^2))*(0.55+0.45*SIN(2*PI()*(Scenario_Data!W79)/45))+24*SIN(2*PI()*(Inputs!$C$6)/9+(Scenario_Data!W79)/18)*EXP(-(((Inputs!$C$6)+5)^2)/(22^2))+18*SIN(2*PI()*(Scenario_Data!W79)/70))+Inputs!$C$28*EXP(-(((Scenario_Data!W79)-Inputs!$C$29)^2)/(2*Inputs!$C$31^2))*EXP(-(((Inputs!$C$6)-Inputs!$C$30)^2)/(2*Inputs!$C$32^2))+-Inputs!$C$33*EXP(-(((((Scenario_Data!W79)-Inputs!$C$34)^2)+(((Inputs!$C$6)-Inputs!$C$35)^2))/(2*Inputs!$C$36^2)))+Inputs!$C$37*(0.55*SIN(2*PI()*(Scenario_Data!W79)/Inputs!$C$39)+0.35*COS(2*PI()*(Inputs!$C$6)/Inputs!$C$40)+0.2*SIN(2*PI()*((Scenario_Data!W79)+(Inputs!$C$6))/(0.5*(Inputs!$C$39+Inputs!$C$40))))+Inputs!$C$38*SIN(2*PI()*(Scenario_Data!W79)/Inputs!$C$39)*SIN(2*PI()*(Inputs!$C$6)/Inputs!$C$40)+-Inputs!$C$41*EXP(-(((Inputs!$C$6)-Inputs!$C$43)^2)/(2*Inputs!$C$44^2))*EXP(-(((Scenario_Data!W79)-Inputs!$C$42)^2)/(2*Inputs!$C$45^2))+Inputs!$C$48*(0.7*(0.45*SIN(2*PI()*(((Scenario_Data!W79)/Inputs!$C$49)+Inputs!$C$47*0.137))+0.35*COS(2*PI()*(((Inputs!$C$6)/Inputs!$C$50)+Inputs!$C$47*0.173))+0.2*SIN(2*PI()*((((Scenario_Data!W79)+(Inputs!$C$6))/(0.5*(Inputs!$C$49+Inputs!$C$50)))+Inputs!$C$47*0.097)))+0.3*(2*((SIN(((Scenario_Data!W79)*12.9898+(Inputs!$C$6)*78.233+Inputs!$C$47*37.719))*43758.5453)-INT((SIN(((Scenario_Data!W79)*12.9898+(Inputs!$C$6)*78.233+Inputs!$C$47*37.719))*43758.5453)))-1))))/1000))^2-2*(Inputs!$C$52+(Scenario_Data!E79))*(Inputs!$C$52+((IF(OR(Inputs!$C$27=TRUE,Inputs!$C$27="TRUE",Inputs!$C$27=1),1,0)*(Inputs!$C$51*(115*EXP(-(((Inputs!$C$6)-25)^2)/(4.5^2))+70*EXP(-(((Inputs!$C$6)+38)^2)/(7^2))*(0.55+0.45*SIN(2*PI()*(Scenario_Data!W79)/45))+24*SIN(2*PI()*(Inputs!$C$6)/9+(Scenario_Data!W79)/18)*EXP(-(((Inputs!$C$6)+5)^2)/(22^2))+18*SIN(2*PI()*(Scenario_Data!W79)/70))+Inputs!$C$28*EXP(-(((Scenario_Data!W79)-Inputs!$C$29)^2)/(2*Inputs!$C$31^2))*EXP(-(((Inputs!$C$6)-Inputs!$C$30)^2)/(2*Inputs!$C$32^2))+-Inputs!$C$33*EXP(-(((((Scenario_Data!W79)-Inputs!$C$34)^2)+(((Inputs!$C$6)-Inputs!$C$35)^2))/(2*Inputs!$C$36^2)))+Inputs!$C$37*(0.55*SIN(2*PI()*(Scenario_Data!W79)/Inputs!$C$39)+0.35*COS(2*PI()*(Inputs!$C$6)/Inputs!$C$40)+0.2*SIN(2*PI()*((Scenario_Data!W79)+(Inputs!$C$6))/(0.5*(Inputs!$C$39+Inputs!$C$40))))+Inputs!$C$38*SIN(2*PI()*(Scenario_Data!W79)/Inputs!$C$39)*SIN(2*PI()*(Inputs!$C$6)/Inputs!$C$40)+-Inputs!$C$41*EXP(-(((Inputs!$C$6)-Inputs!$C$43)^2)/(2*Inputs!$C$44^2))*EXP(-(((Scenario_Data!W79)-Inputs!$C$42)^2)/(2*Inputs!$C$45^2))+Inputs!$C$48*(0.7*(0.45*SIN(2*PI()*(((Scenario_Data!W79)/Inputs!$C$49)+Inputs!$C$47*0.137))+0.35*COS(2*PI()*(((Inputs!$C$6)/Inputs!$C$50)+Inputs!$C$47*0.173))+0.2*SIN(2*PI()*((((Scenario_Data!W79)+(Inputs!$C$6))/(0.5*(Inputs!$C$49+Inputs!$C$50)))+Inputs!$C$47*0.097)))+0.3*(2*((SIN(((Scenario_Data!W79)*12.9898+(Inputs!$C$6)*78.233+Inputs!$C$47*37.719))*43758.5453)-INT((SIN(((Scenario_Data!W79)*12.9898+(Inputs!$C$6)*78.233+Inputs!$C$47*37.719))*43758.5453)))-1))))/1000))*COS(SQRT((Scenario_Data!W79)^2+Inputs!$C$6^2)/Inputs!$C$52))*1000)/Inputs!$C$21*1000000</f>
        <v/>
      </c>
    </row>
    <row r="80">
      <c r="A80">
        <f>Chart_Data!K80</f>
        <v/>
      </c>
      <c r="B80">
        <f>Chart_Data!N80-Chart_Data!L80</f>
        <v/>
      </c>
      <c r="D80">
        <f>Chart_Data!G80</f>
        <v/>
      </c>
      <c r="E80">
        <f>Chart_Data!H80</f>
        <v/>
      </c>
      <c r="F80">
        <f>Chart_Data!I80</f>
        <v/>
      </c>
      <c r="G80">
        <f>Chart_Data!J80</f>
        <v/>
      </c>
      <c r="I80">
        <f>Scenario_Data!A80</f>
        <v/>
      </c>
      <c r="J80">
        <f>Scenario_Data!H80-(((SQRT((Inputs!$C$52+(Inputs!$H$6))^2+Inputs!$C$52^2-2*(Inputs!$C$52+(Inputs!$H$6))*Inputs!$C$52*COS(SQRT((Scenario_Data!T80)^2+Inputs!$C$6^2)/Inputs!$C$52)))-(Inputs!$H$6))*1000/Inputs!$C$12)</f>
        <v/>
      </c>
      <c r="K80">
        <f>Scenario_Data!I80-(((SQRT((Inputs!$C$52+(Inputs!$H$7))^2+Inputs!$C$52^2-2*(Inputs!$C$52+(Inputs!$H$7))*Inputs!$C$52*COS(SQRT((Scenario_Data!U80)^2+Inputs!$C$6^2)/Inputs!$C$52)))-(Inputs!$H$7))*1000/Inputs!$C$12)</f>
        <v/>
      </c>
      <c r="L80">
        <f>Scenario_Data!J80-(((SQRT((Inputs!$C$52+(Inputs!$H$8))^2+Inputs!$C$52^2-2*(Inputs!$C$52+(Inputs!$H$8))*Inputs!$C$52*COS(SQRT((Scenario_Data!V80)^2+Inputs!$C$6^2)/Inputs!$C$52)))-(Inputs!$H$8))*1000/Inputs!$C$12)</f>
        <v/>
      </c>
      <c r="M80">
        <f>Scenario_Data!K80-(((SQRT((Inputs!$C$52+(Inputs!$H$9))^2+Inputs!$C$52^2-2*(Inputs!$C$52+(Inputs!$H$9))*Inputs!$C$52*COS(SQRT((Scenario_Data!W80)^2+Inputs!$C$6^2)/Inputs!$C$52)))-(Inputs!$H$9))*1000/Inputs!$C$12)</f>
        <v/>
      </c>
      <c r="O80">
        <f>Scenario_Data!T80</f>
        <v/>
      </c>
      <c r="P80">
        <f>2*(Scenario_Data!B80*1000)/Inputs!$C$21*1000000</f>
        <v/>
      </c>
      <c r="Q80">
        <f>Scenario_Data!U80</f>
        <v/>
      </c>
      <c r="R80">
        <f>2*(Scenario_Data!C80*1000)/Inputs!$C$21*1000000</f>
        <v/>
      </c>
      <c r="S80">
        <f>Scenario_Data!V80</f>
        <v/>
      </c>
      <c r="T80">
        <f>2*(Scenario_Data!D80*1000)/Inputs!$C$21*1000000</f>
        <v/>
      </c>
      <c r="U80">
        <f>Scenario_Data!W80</f>
        <v/>
      </c>
      <c r="V80">
        <f>2*(Scenario_Data!E80*1000)/Inputs!$C$21*1000000</f>
        <v/>
      </c>
      <c r="X80">
        <f>Scenario_Data!T80</f>
        <v/>
      </c>
      <c r="Y80">
        <f>2*((Scenario_Data!B80*1000)-(IF(OR(Inputs!$C$27=TRUE,Inputs!$C$27="TRUE",Inputs!$C$27=1),1,0)*(Inputs!$C$51*(115*EXP(-(((0)-25)^2)/(4.5^2))+70*EXP(-(((0)+38)^2)/(7^2))*(0.55+0.45*SIN(2*PI()*(Scenario_Data!T80)/45))+24*SIN(2*PI()*(0)/9+(Scenario_Data!T80)/18)*EXP(-(((0)+5)^2)/(22^2))+18*SIN(2*PI()*(Scenario_Data!T80)/70))+Inputs!$C$28*EXP(-(((Scenario_Data!T80)-Inputs!$C$29)^2)/(2*Inputs!$C$31^2))*EXP(-(((0)-Inputs!$C$30)^2)/(2*Inputs!$C$32^2))+-Inputs!$C$33*EXP(-(((((Scenario_Data!T80)-Inputs!$C$34)^2)+(((0)-Inputs!$C$35)^2))/(2*Inputs!$C$36^2)))+Inputs!$C$37*(0.55*SIN(2*PI()*(Scenario_Data!T80)/Inputs!$C$39)+0.35*COS(2*PI()*(0)/Inputs!$C$40)+0.2*SIN(2*PI()*((Scenario_Data!T80)+(0))/(0.5*(Inputs!$C$39+Inputs!$C$40))))+Inputs!$C$38*SIN(2*PI()*(Scenario_Data!T80)/Inputs!$C$39)*SIN(2*PI()*(0)/Inputs!$C$40)+-Inputs!$C$41*EXP(-(((0)-Inputs!$C$43)^2)/(2*Inputs!$C$44^2))*EXP(-(((Scenario_Data!T80)-Inputs!$C$42)^2)/(2*Inputs!$C$45^2))+Inputs!$C$48*(0.7*(0.45*SIN(2*PI()*(((Scenario_Data!T80)/Inputs!$C$49)+Inputs!$C$47*0.137))+0.35*COS(2*PI()*(((0)/Inputs!$C$50)+Inputs!$C$47*0.173))+0.2*SIN(2*PI()*((((Scenario_Data!T80)+(0))/(0.5*(Inputs!$C$49+Inputs!$C$50)))+Inputs!$C$47*0.097)))+0.3*(2*((SIN(((Scenario_Data!T80)*12.9898+(0)*78.233+Inputs!$C$47*37.719))*43758.5453)-INT((SIN(((Scenario_Data!T80)*12.9898+(0)*78.233+Inputs!$C$47*37.719))*43758.5453)))-1)))))/Inputs!$C$21*1000000</f>
        <v/>
      </c>
      <c r="Z80">
        <f>Scenario_Data!U80</f>
        <v/>
      </c>
      <c r="AA80">
        <f>2*((Scenario_Data!C80*1000)-(IF(OR(Inputs!$C$27=TRUE,Inputs!$C$27="TRUE",Inputs!$C$27=1),1,0)*(Inputs!$C$51*(115*EXP(-(((0)-25)^2)/(4.5^2))+70*EXP(-(((0)+38)^2)/(7^2))*(0.55+0.45*SIN(2*PI()*(Scenario_Data!U80)/45))+24*SIN(2*PI()*(0)/9+(Scenario_Data!U80)/18)*EXP(-(((0)+5)^2)/(22^2))+18*SIN(2*PI()*(Scenario_Data!U80)/70))+Inputs!$C$28*EXP(-(((Scenario_Data!U80)-Inputs!$C$29)^2)/(2*Inputs!$C$31^2))*EXP(-(((0)-Inputs!$C$30)^2)/(2*Inputs!$C$32^2))+-Inputs!$C$33*EXP(-(((((Scenario_Data!U80)-Inputs!$C$34)^2)+(((0)-Inputs!$C$35)^2))/(2*Inputs!$C$36^2)))+Inputs!$C$37*(0.55*SIN(2*PI()*(Scenario_Data!U80)/Inputs!$C$39)+0.35*COS(2*PI()*(0)/Inputs!$C$40)+0.2*SIN(2*PI()*((Scenario_Data!U80)+(0))/(0.5*(Inputs!$C$39+Inputs!$C$40))))+Inputs!$C$38*SIN(2*PI()*(Scenario_Data!U80)/Inputs!$C$39)*SIN(2*PI()*(0)/Inputs!$C$40)+-Inputs!$C$41*EXP(-(((0)-Inputs!$C$43)^2)/(2*Inputs!$C$44^2))*EXP(-(((Scenario_Data!U80)-Inputs!$C$42)^2)/(2*Inputs!$C$45^2))+Inputs!$C$48*(0.7*(0.45*SIN(2*PI()*(((Scenario_Data!U80)/Inputs!$C$49)+Inputs!$C$47*0.137))+0.35*COS(2*PI()*(((0)/Inputs!$C$50)+Inputs!$C$47*0.173))+0.2*SIN(2*PI()*((((Scenario_Data!U80)+(0))/(0.5*(Inputs!$C$49+Inputs!$C$50)))+Inputs!$C$47*0.097)))+0.3*(2*((SIN(((Scenario_Data!U80)*12.9898+(0)*78.233+Inputs!$C$47*37.719))*43758.5453)-INT((SIN(((Scenario_Data!U80)*12.9898+(0)*78.233+Inputs!$C$47*37.719))*43758.5453)))-1)))))/Inputs!$C$21*1000000</f>
        <v/>
      </c>
      <c r="AB80">
        <f>Scenario_Data!V80</f>
        <v/>
      </c>
      <c r="AC80">
        <f>2*((Scenario_Data!D80*1000)-(IF(OR(Inputs!$C$27=TRUE,Inputs!$C$27="TRUE",Inputs!$C$27=1),1,0)*(Inputs!$C$51*(115*EXP(-(((0)-25)^2)/(4.5^2))+70*EXP(-(((0)+38)^2)/(7^2))*(0.55+0.45*SIN(2*PI()*(Scenario_Data!V80)/45))+24*SIN(2*PI()*(0)/9+(Scenario_Data!V80)/18)*EXP(-(((0)+5)^2)/(22^2))+18*SIN(2*PI()*(Scenario_Data!V80)/70))+Inputs!$C$28*EXP(-(((Scenario_Data!V80)-Inputs!$C$29)^2)/(2*Inputs!$C$31^2))*EXP(-(((0)-Inputs!$C$30)^2)/(2*Inputs!$C$32^2))+-Inputs!$C$33*EXP(-(((((Scenario_Data!V80)-Inputs!$C$34)^2)+(((0)-Inputs!$C$35)^2))/(2*Inputs!$C$36^2)))+Inputs!$C$37*(0.55*SIN(2*PI()*(Scenario_Data!V80)/Inputs!$C$39)+0.35*COS(2*PI()*(0)/Inputs!$C$40)+0.2*SIN(2*PI()*((Scenario_Data!V80)+(0))/(0.5*(Inputs!$C$39+Inputs!$C$40))))+Inputs!$C$38*SIN(2*PI()*(Scenario_Data!V80)/Inputs!$C$39)*SIN(2*PI()*(0)/Inputs!$C$40)+-Inputs!$C$41*EXP(-(((0)-Inputs!$C$43)^2)/(2*Inputs!$C$44^2))*EXP(-(((Scenario_Data!V80)-Inputs!$C$42)^2)/(2*Inputs!$C$45^2))+Inputs!$C$48*(0.7*(0.45*SIN(2*PI()*(((Scenario_Data!V80)/Inputs!$C$49)+Inputs!$C$47*0.137))+0.35*COS(2*PI()*(((0)/Inputs!$C$50)+Inputs!$C$47*0.173))+0.2*SIN(2*PI()*((((Scenario_Data!V80)+(0))/(0.5*(Inputs!$C$49+Inputs!$C$50)))+Inputs!$C$47*0.097)))+0.3*(2*((SIN(((Scenario_Data!V80)*12.9898+(0)*78.233+Inputs!$C$47*37.719))*43758.5453)-INT((SIN(((Scenario_Data!V80)*12.9898+(0)*78.233+Inputs!$C$47*37.719))*43758.5453)))-1)))))/Inputs!$C$21*1000000</f>
        <v/>
      </c>
      <c r="AD80">
        <f>Scenario_Data!W80</f>
        <v/>
      </c>
      <c r="AE80">
        <f>2*((Scenario_Data!E80*1000)-(IF(OR(Inputs!$C$27=TRUE,Inputs!$C$27="TRUE",Inputs!$C$27=1),1,0)*(Inputs!$C$51*(115*EXP(-(((0)-25)^2)/(4.5^2))+70*EXP(-(((0)+38)^2)/(7^2))*(0.55+0.45*SIN(2*PI()*(Scenario_Data!W80)/45))+24*SIN(2*PI()*(0)/9+(Scenario_Data!W80)/18)*EXP(-(((0)+5)^2)/(22^2))+18*SIN(2*PI()*(Scenario_Data!W80)/70))+Inputs!$C$28*EXP(-(((Scenario_Data!W80)-Inputs!$C$29)^2)/(2*Inputs!$C$31^2))*EXP(-(((0)-Inputs!$C$30)^2)/(2*Inputs!$C$32^2))+-Inputs!$C$33*EXP(-(((((Scenario_Data!W80)-Inputs!$C$34)^2)+(((0)-Inputs!$C$35)^2))/(2*Inputs!$C$36^2)))+Inputs!$C$37*(0.55*SIN(2*PI()*(Scenario_Data!W80)/Inputs!$C$39)+0.35*COS(2*PI()*(0)/Inputs!$C$40)+0.2*SIN(2*PI()*((Scenario_Data!W80)+(0))/(0.5*(Inputs!$C$39+Inputs!$C$40))))+Inputs!$C$38*SIN(2*PI()*(Scenario_Data!W80)/Inputs!$C$39)*SIN(2*PI()*(0)/Inputs!$C$40)+-Inputs!$C$41*EXP(-(((0)-Inputs!$C$43)^2)/(2*Inputs!$C$44^2))*EXP(-(((Scenario_Data!W80)-Inputs!$C$42)^2)/(2*Inputs!$C$45^2))+Inputs!$C$48*(0.7*(0.45*SIN(2*PI()*(((Scenario_Data!W80)/Inputs!$C$49)+Inputs!$C$47*0.137))+0.35*COS(2*PI()*(((0)/Inputs!$C$50)+Inputs!$C$47*0.173))+0.2*SIN(2*PI()*((((Scenario_Data!W80)+(0))/(0.5*(Inputs!$C$49+Inputs!$C$50)))+Inputs!$C$47*0.097)))+0.3*(2*((SIN(((Scenario_Data!W80)*12.9898+(0)*78.233+Inputs!$C$47*37.719))*43758.5453)-INT((SIN(((Scenario_Data!W80)*12.9898+(0)*78.233+Inputs!$C$47*37.719))*43758.5453)))-1)))))/Inputs!$C$21*1000000</f>
        <v/>
      </c>
      <c r="AG80">
        <f>Scenario_Data!T80</f>
        <v/>
      </c>
      <c r="AH80">
        <f>2*(SQRT((Inputs!$C$52+(Scenario_Data!B80))^2+Inputs!$C$52^2-2*(Inputs!$C$52+(Scenario_Data!B80))*Inputs!$C$52*COS(SQRT((Scenario_Data!T80)^2+Inputs!$C$6^2)/Inputs!$C$52))*1000)/Inputs!$C$21*1000000</f>
        <v/>
      </c>
      <c r="AI80">
        <f>Scenario_Data!U80</f>
        <v/>
      </c>
      <c r="AJ80">
        <f>2*(SQRT((Inputs!$C$52+(Scenario_Data!C80))^2+Inputs!$C$52^2-2*(Inputs!$C$52+(Scenario_Data!C80))*Inputs!$C$52*COS(SQRT((Scenario_Data!U80)^2+Inputs!$C$6^2)/Inputs!$C$52))*1000)/Inputs!$C$21*1000000</f>
        <v/>
      </c>
      <c r="AK80">
        <f>Scenario_Data!V80</f>
        <v/>
      </c>
      <c r="AL80">
        <f>2*(SQRT((Inputs!$C$52+(Scenario_Data!D80))^2+Inputs!$C$52^2-2*(Inputs!$C$52+(Scenario_Data!D80))*Inputs!$C$52*COS(SQRT((Scenario_Data!V80)^2+Inputs!$C$6^2)/Inputs!$C$52))*1000)/Inputs!$C$21*1000000</f>
        <v/>
      </c>
      <c r="AM80">
        <f>Scenario_Data!W80</f>
        <v/>
      </c>
      <c r="AN80">
        <f>2*(SQRT((Inputs!$C$52+(Scenario_Data!E80))^2+Inputs!$C$52^2-2*(Inputs!$C$52+(Scenario_Data!E80))*Inputs!$C$52*COS(SQRT((Scenario_Data!W80)^2+Inputs!$C$6^2)/Inputs!$C$52))*1000)/Inputs!$C$21*1000000</f>
        <v/>
      </c>
      <c r="AP80">
        <f>Scenario_Data!T80</f>
        <v/>
      </c>
      <c r="AQ80">
        <f>2*(SQRT((Inputs!$C$52+(Scenario_Data!B80))^2+(Inputs!$C$52+((IF(OR(Inputs!$C$27=TRUE,Inputs!$C$27="TRUE",Inputs!$C$27=1),1,0)*(Inputs!$C$51*(115*EXP(-(((Inputs!$C$6)-25)^2)/(4.5^2))+70*EXP(-(((Inputs!$C$6)+38)^2)/(7^2))*(0.55+0.45*SIN(2*PI()*(Scenario_Data!T80)/45))+24*SIN(2*PI()*(Inputs!$C$6)/9+(Scenario_Data!T80)/18)*EXP(-(((Inputs!$C$6)+5)^2)/(22^2))+18*SIN(2*PI()*(Scenario_Data!T80)/70))+Inputs!$C$28*EXP(-(((Scenario_Data!T80)-Inputs!$C$29)^2)/(2*Inputs!$C$31^2))*EXP(-(((Inputs!$C$6)-Inputs!$C$30)^2)/(2*Inputs!$C$32^2))+-Inputs!$C$33*EXP(-(((((Scenario_Data!T80)-Inputs!$C$34)^2)+(((Inputs!$C$6)-Inputs!$C$35)^2))/(2*Inputs!$C$36^2)))+Inputs!$C$37*(0.55*SIN(2*PI()*(Scenario_Data!T80)/Inputs!$C$39)+0.35*COS(2*PI()*(Inputs!$C$6)/Inputs!$C$40)+0.2*SIN(2*PI()*((Scenario_Data!T80)+(Inputs!$C$6))/(0.5*(Inputs!$C$39+Inputs!$C$40))))+Inputs!$C$38*SIN(2*PI()*(Scenario_Data!T80)/Inputs!$C$39)*SIN(2*PI()*(Inputs!$C$6)/Inputs!$C$40)+-Inputs!$C$41*EXP(-(((Inputs!$C$6)-Inputs!$C$43)^2)/(2*Inputs!$C$44^2))*EXP(-(((Scenario_Data!T80)-Inputs!$C$42)^2)/(2*Inputs!$C$45^2))+Inputs!$C$48*(0.7*(0.45*SIN(2*PI()*(((Scenario_Data!T80)/Inputs!$C$49)+Inputs!$C$47*0.137))+0.35*COS(2*PI()*(((Inputs!$C$6)/Inputs!$C$50)+Inputs!$C$47*0.173))+0.2*SIN(2*PI()*((((Scenario_Data!T80)+(Inputs!$C$6))/(0.5*(Inputs!$C$49+Inputs!$C$50)))+Inputs!$C$47*0.097)))+0.3*(2*((SIN(((Scenario_Data!T80)*12.9898+(Inputs!$C$6)*78.233+Inputs!$C$47*37.719))*43758.5453)-INT((SIN(((Scenario_Data!T80)*12.9898+(Inputs!$C$6)*78.233+Inputs!$C$47*37.719))*43758.5453)))-1))))/1000))^2-2*(Inputs!$C$52+(Scenario_Data!B80))*(Inputs!$C$52+((IF(OR(Inputs!$C$27=TRUE,Inputs!$C$27="TRUE",Inputs!$C$27=1),1,0)*(Inputs!$C$51*(115*EXP(-(((Inputs!$C$6)-25)^2)/(4.5^2))+70*EXP(-(((Inputs!$C$6)+38)^2)/(7^2))*(0.55+0.45*SIN(2*PI()*(Scenario_Data!T80)/45))+24*SIN(2*PI()*(Inputs!$C$6)/9+(Scenario_Data!T80)/18)*EXP(-(((Inputs!$C$6)+5)^2)/(22^2))+18*SIN(2*PI()*(Scenario_Data!T80)/70))+Inputs!$C$28*EXP(-(((Scenario_Data!T80)-Inputs!$C$29)^2)/(2*Inputs!$C$31^2))*EXP(-(((Inputs!$C$6)-Inputs!$C$30)^2)/(2*Inputs!$C$32^2))+-Inputs!$C$33*EXP(-(((((Scenario_Data!T80)-Inputs!$C$34)^2)+(((Inputs!$C$6)-Inputs!$C$35)^2))/(2*Inputs!$C$36^2)))+Inputs!$C$37*(0.55*SIN(2*PI()*(Scenario_Data!T80)/Inputs!$C$39)+0.35*COS(2*PI()*(Inputs!$C$6)/Inputs!$C$40)+0.2*SIN(2*PI()*((Scenario_Data!T80)+(Inputs!$C$6))/(0.5*(Inputs!$C$39+Inputs!$C$40))))+Inputs!$C$38*SIN(2*PI()*(Scenario_Data!T80)/Inputs!$C$39)*SIN(2*PI()*(Inputs!$C$6)/Inputs!$C$40)+-Inputs!$C$41*EXP(-(((Inputs!$C$6)-Inputs!$C$43)^2)/(2*Inputs!$C$44^2))*EXP(-(((Scenario_Data!T80)-Inputs!$C$42)^2)/(2*Inputs!$C$45^2))+Inputs!$C$48*(0.7*(0.45*SIN(2*PI()*(((Scenario_Data!T80)/Inputs!$C$49)+Inputs!$C$47*0.137))+0.35*COS(2*PI()*(((Inputs!$C$6)/Inputs!$C$50)+Inputs!$C$47*0.173))+0.2*SIN(2*PI()*((((Scenario_Data!T80)+(Inputs!$C$6))/(0.5*(Inputs!$C$49+Inputs!$C$50)))+Inputs!$C$47*0.097)))+0.3*(2*((SIN(((Scenario_Data!T80)*12.9898+(Inputs!$C$6)*78.233+Inputs!$C$47*37.719))*43758.5453)-INT((SIN(((Scenario_Data!T80)*12.9898+(Inputs!$C$6)*78.233+Inputs!$C$47*37.719))*43758.5453)))-1))))/1000))*COS(SQRT((Scenario_Data!T80)^2+Inputs!$C$6^2)/Inputs!$C$52))*1000)/Inputs!$C$21*1000000</f>
        <v/>
      </c>
      <c r="AR80">
        <f>Scenario_Data!U80</f>
        <v/>
      </c>
      <c r="AS80">
        <f>2*(SQRT((Inputs!$C$52+(Scenario_Data!C80))^2+(Inputs!$C$52+((IF(OR(Inputs!$C$27=TRUE,Inputs!$C$27="TRUE",Inputs!$C$27=1),1,0)*(Inputs!$C$51*(115*EXP(-(((Inputs!$C$6)-25)^2)/(4.5^2))+70*EXP(-(((Inputs!$C$6)+38)^2)/(7^2))*(0.55+0.45*SIN(2*PI()*(Scenario_Data!U80)/45))+24*SIN(2*PI()*(Inputs!$C$6)/9+(Scenario_Data!U80)/18)*EXP(-(((Inputs!$C$6)+5)^2)/(22^2))+18*SIN(2*PI()*(Scenario_Data!U80)/70))+Inputs!$C$28*EXP(-(((Scenario_Data!U80)-Inputs!$C$29)^2)/(2*Inputs!$C$31^2))*EXP(-(((Inputs!$C$6)-Inputs!$C$30)^2)/(2*Inputs!$C$32^2))+-Inputs!$C$33*EXP(-(((((Scenario_Data!U80)-Inputs!$C$34)^2)+(((Inputs!$C$6)-Inputs!$C$35)^2))/(2*Inputs!$C$36^2)))+Inputs!$C$37*(0.55*SIN(2*PI()*(Scenario_Data!U80)/Inputs!$C$39)+0.35*COS(2*PI()*(Inputs!$C$6)/Inputs!$C$40)+0.2*SIN(2*PI()*((Scenario_Data!U80)+(Inputs!$C$6))/(0.5*(Inputs!$C$39+Inputs!$C$40))))+Inputs!$C$38*SIN(2*PI()*(Scenario_Data!U80)/Inputs!$C$39)*SIN(2*PI()*(Inputs!$C$6)/Inputs!$C$40)+-Inputs!$C$41*EXP(-(((Inputs!$C$6)-Inputs!$C$43)^2)/(2*Inputs!$C$44^2))*EXP(-(((Scenario_Data!U80)-Inputs!$C$42)^2)/(2*Inputs!$C$45^2))+Inputs!$C$48*(0.7*(0.45*SIN(2*PI()*(((Scenario_Data!U80)/Inputs!$C$49)+Inputs!$C$47*0.137))+0.35*COS(2*PI()*(((Inputs!$C$6)/Inputs!$C$50)+Inputs!$C$47*0.173))+0.2*SIN(2*PI()*((((Scenario_Data!U80)+(Inputs!$C$6))/(0.5*(Inputs!$C$49+Inputs!$C$50)))+Inputs!$C$47*0.097)))+0.3*(2*((SIN(((Scenario_Data!U80)*12.9898+(Inputs!$C$6)*78.233+Inputs!$C$47*37.719))*43758.5453)-INT((SIN(((Scenario_Data!U80)*12.9898+(Inputs!$C$6)*78.233+Inputs!$C$47*37.719))*43758.5453)))-1))))/1000))^2-2*(Inputs!$C$52+(Scenario_Data!C80))*(Inputs!$C$52+((IF(OR(Inputs!$C$27=TRUE,Inputs!$C$27="TRUE",Inputs!$C$27=1),1,0)*(Inputs!$C$51*(115*EXP(-(((Inputs!$C$6)-25)^2)/(4.5^2))+70*EXP(-(((Inputs!$C$6)+38)^2)/(7^2))*(0.55+0.45*SIN(2*PI()*(Scenario_Data!U80)/45))+24*SIN(2*PI()*(Inputs!$C$6)/9+(Scenario_Data!U80)/18)*EXP(-(((Inputs!$C$6)+5)^2)/(22^2))+18*SIN(2*PI()*(Scenario_Data!U80)/70))+Inputs!$C$28*EXP(-(((Scenario_Data!U80)-Inputs!$C$29)^2)/(2*Inputs!$C$31^2))*EXP(-(((Inputs!$C$6)-Inputs!$C$30)^2)/(2*Inputs!$C$32^2))+-Inputs!$C$33*EXP(-(((((Scenario_Data!U80)-Inputs!$C$34)^2)+(((Inputs!$C$6)-Inputs!$C$35)^2))/(2*Inputs!$C$36^2)))+Inputs!$C$37*(0.55*SIN(2*PI()*(Scenario_Data!U80)/Inputs!$C$39)+0.35*COS(2*PI()*(Inputs!$C$6)/Inputs!$C$40)+0.2*SIN(2*PI()*((Scenario_Data!U80)+(Inputs!$C$6))/(0.5*(Inputs!$C$39+Inputs!$C$40))))+Inputs!$C$38*SIN(2*PI()*(Scenario_Data!U80)/Inputs!$C$39)*SIN(2*PI()*(Inputs!$C$6)/Inputs!$C$40)+-Inputs!$C$41*EXP(-(((Inputs!$C$6)-Inputs!$C$43)^2)/(2*Inputs!$C$44^2))*EXP(-(((Scenario_Data!U80)-Inputs!$C$42)^2)/(2*Inputs!$C$45^2))+Inputs!$C$48*(0.7*(0.45*SIN(2*PI()*(((Scenario_Data!U80)/Inputs!$C$49)+Inputs!$C$47*0.137))+0.35*COS(2*PI()*(((Inputs!$C$6)/Inputs!$C$50)+Inputs!$C$47*0.173))+0.2*SIN(2*PI()*((((Scenario_Data!U80)+(Inputs!$C$6))/(0.5*(Inputs!$C$49+Inputs!$C$50)))+Inputs!$C$47*0.097)))+0.3*(2*((SIN(((Scenario_Data!U80)*12.9898+(Inputs!$C$6)*78.233+Inputs!$C$47*37.719))*43758.5453)-INT((SIN(((Scenario_Data!U80)*12.9898+(Inputs!$C$6)*78.233+Inputs!$C$47*37.719))*43758.5453)))-1))))/1000))*COS(SQRT((Scenario_Data!U80)^2+Inputs!$C$6^2)/Inputs!$C$52))*1000)/Inputs!$C$21*1000000</f>
        <v/>
      </c>
      <c r="AT80">
        <f>Scenario_Data!V80</f>
        <v/>
      </c>
      <c r="AU80">
        <f>2*(SQRT((Inputs!$C$52+(Scenario_Data!D80))^2+(Inputs!$C$52+((IF(OR(Inputs!$C$27=TRUE,Inputs!$C$27="TRUE",Inputs!$C$27=1),1,0)*(Inputs!$C$51*(115*EXP(-(((Inputs!$C$6)-25)^2)/(4.5^2))+70*EXP(-(((Inputs!$C$6)+38)^2)/(7^2))*(0.55+0.45*SIN(2*PI()*(Scenario_Data!V80)/45))+24*SIN(2*PI()*(Inputs!$C$6)/9+(Scenario_Data!V80)/18)*EXP(-(((Inputs!$C$6)+5)^2)/(22^2))+18*SIN(2*PI()*(Scenario_Data!V80)/70))+Inputs!$C$28*EXP(-(((Scenario_Data!V80)-Inputs!$C$29)^2)/(2*Inputs!$C$31^2))*EXP(-(((Inputs!$C$6)-Inputs!$C$30)^2)/(2*Inputs!$C$32^2))+-Inputs!$C$33*EXP(-(((((Scenario_Data!V80)-Inputs!$C$34)^2)+(((Inputs!$C$6)-Inputs!$C$35)^2))/(2*Inputs!$C$36^2)))+Inputs!$C$37*(0.55*SIN(2*PI()*(Scenario_Data!V80)/Inputs!$C$39)+0.35*COS(2*PI()*(Inputs!$C$6)/Inputs!$C$40)+0.2*SIN(2*PI()*((Scenario_Data!V80)+(Inputs!$C$6))/(0.5*(Inputs!$C$39+Inputs!$C$40))))+Inputs!$C$38*SIN(2*PI()*(Scenario_Data!V80)/Inputs!$C$39)*SIN(2*PI()*(Inputs!$C$6)/Inputs!$C$40)+-Inputs!$C$41*EXP(-(((Inputs!$C$6)-Inputs!$C$43)^2)/(2*Inputs!$C$44^2))*EXP(-(((Scenario_Data!V80)-Inputs!$C$42)^2)/(2*Inputs!$C$45^2))+Inputs!$C$48*(0.7*(0.45*SIN(2*PI()*(((Scenario_Data!V80)/Inputs!$C$49)+Inputs!$C$47*0.137))+0.35*COS(2*PI()*(((Inputs!$C$6)/Inputs!$C$50)+Inputs!$C$47*0.173))+0.2*SIN(2*PI()*((((Scenario_Data!V80)+(Inputs!$C$6))/(0.5*(Inputs!$C$49+Inputs!$C$50)))+Inputs!$C$47*0.097)))+0.3*(2*((SIN(((Scenario_Data!V80)*12.9898+(Inputs!$C$6)*78.233+Inputs!$C$47*37.719))*43758.5453)-INT((SIN(((Scenario_Data!V80)*12.9898+(Inputs!$C$6)*78.233+Inputs!$C$47*37.719))*43758.5453)))-1))))/1000))^2-2*(Inputs!$C$52+(Scenario_Data!D80))*(Inputs!$C$52+((IF(OR(Inputs!$C$27=TRUE,Inputs!$C$27="TRUE",Inputs!$C$27=1),1,0)*(Inputs!$C$51*(115*EXP(-(((Inputs!$C$6)-25)^2)/(4.5^2))+70*EXP(-(((Inputs!$C$6)+38)^2)/(7^2))*(0.55+0.45*SIN(2*PI()*(Scenario_Data!V80)/45))+24*SIN(2*PI()*(Inputs!$C$6)/9+(Scenario_Data!V80)/18)*EXP(-(((Inputs!$C$6)+5)^2)/(22^2))+18*SIN(2*PI()*(Scenario_Data!V80)/70))+Inputs!$C$28*EXP(-(((Scenario_Data!V80)-Inputs!$C$29)^2)/(2*Inputs!$C$31^2))*EXP(-(((Inputs!$C$6)-Inputs!$C$30)^2)/(2*Inputs!$C$32^2))+-Inputs!$C$33*EXP(-(((((Scenario_Data!V80)-Inputs!$C$34)^2)+(((Inputs!$C$6)-Inputs!$C$35)^2))/(2*Inputs!$C$36^2)))+Inputs!$C$37*(0.55*SIN(2*PI()*(Scenario_Data!V80)/Inputs!$C$39)+0.35*COS(2*PI()*(Inputs!$C$6)/Inputs!$C$40)+0.2*SIN(2*PI()*((Scenario_Data!V80)+(Inputs!$C$6))/(0.5*(Inputs!$C$39+Inputs!$C$40))))+Inputs!$C$38*SIN(2*PI()*(Scenario_Data!V80)/Inputs!$C$39)*SIN(2*PI()*(Inputs!$C$6)/Inputs!$C$40)+-Inputs!$C$41*EXP(-(((Inputs!$C$6)-Inputs!$C$43)^2)/(2*Inputs!$C$44^2))*EXP(-(((Scenario_Data!V80)-Inputs!$C$42)^2)/(2*Inputs!$C$45^2))+Inputs!$C$48*(0.7*(0.45*SIN(2*PI()*(((Scenario_Data!V80)/Inputs!$C$49)+Inputs!$C$47*0.137))+0.35*COS(2*PI()*(((Inputs!$C$6)/Inputs!$C$50)+Inputs!$C$47*0.173))+0.2*SIN(2*PI()*((((Scenario_Data!V80)+(Inputs!$C$6))/(0.5*(Inputs!$C$49+Inputs!$C$50)))+Inputs!$C$47*0.097)))+0.3*(2*((SIN(((Scenario_Data!V80)*12.9898+(Inputs!$C$6)*78.233+Inputs!$C$47*37.719))*43758.5453)-INT((SIN(((Scenario_Data!V80)*12.9898+(Inputs!$C$6)*78.233+Inputs!$C$47*37.719))*43758.5453)))-1))))/1000))*COS(SQRT((Scenario_Data!V80)^2+Inputs!$C$6^2)/Inputs!$C$52))*1000)/Inputs!$C$21*1000000</f>
        <v/>
      </c>
      <c r="AV80">
        <f>Scenario_Data!W80</f>
        <v/>
      </c>
      <c r="AW80">
        <f>2*(SQRT((Inputs!$C$52+(Scenario_Data!E80))^2+(Inputs!$C$52+((IF(OR(Inputs!$C$27=TRUE,Inputs!$C$27="TRUE",Inputs!$C$27=1),1,0)*(Inputs!$C$51*(115*EXP(-(((Inputs!$C$6)-25)^2)/(4.5^2))+70*EXP(-(((Inputs!$C$6)+38)^2)/(7^2))*(0.55+0.45*SIN(2*PI()*(Scenario_Data!W80)/45))+24*SIN(2*PI()*(Inputs!$C$6)/9+(Scenario_Data!W80)/18)*EXP(-(((Inputs!$C$6)+5)^2)/(22^2))+18*SIN(2*PI()*(Scenario_Data!W80)/70))+Inputs!$C$28*EXP(-(((Scenario_Data!W80)-Inputs!$C$29)^2)/(2*Inputs!$C$31^2))*EXP(-(((Inputs!$C$6)-Inputs!$C$30)^2)/(2*Inputs!$C$32^2))+-Inputs!$C$33*EXP(-(((((Scenario_Data!W80)-Inputs!$C$34)^2)+(((Inputs!$C$6)-Inputs!$C$35)^2))/(2*Inputs!$C$36^2)))+Inputs!$C$37*(0.55*SIN(2*PI()*(Scenario_Data!W80)/Inputs!$C$39)+0.35*COS(2*PI()*(Inputs!$C$6)/Inputs!$C$40)+0.2*SIN(2*PI()*((Scenario_Data!W80)+(Inputs!$C$6))/(0.5*(Inputs!$C$39+Inputs!$C$40))))+Inputs!$C$38*SIN(2*PI()*(Scenario_Data!W80)/Inputs!$C$39)*SIN(2*PI()*(Inputs!$C$6)/Inputs!$C$40)+-Inputs!$C$41*EXP(-(((Inputs!$C$6)-Inputs!$C$43)^2)/(2*Inputs!$C$44^2))*EXP(-(((Scenario_Data!W80)-Inputs!$C$42)^2)/(2*Inputs!$C$45^2))+Inputs!$C$48*(0.7*(0.45*SIN(2*PI()*(((Scenario_Data!W80)/Inputs!$C$49)+Inputs!$C$47*0.137))+0.35*COS(2*PI()*(((Inputs!$C$6)/Inputs!$C$50)+Inputs!$C$47*0.173))+0.2*SIN(2*PI()*((((Scenario_Data!W80)+(Inputs!$C$6))/(0.5*(Inputs!$C$49+Inputs!$C$50)))+Inputs!$C$47*0.097)))+0.3*(2*((SIN(((Scenario_Data!W80)*12.9898+(Inputs!$C$6)*78.233+Inputs!$C$47*37.719))*43758.5453)-INT((SIN(((Scenario_Data!W80)*12.9898+(Inputs!$C$6)*78.233+Inputs!$C$47*37.719))*43758.5453)))-1))))/1000))^2-2*(Inputs!$C$52+(Scenario_Data!E80))*(Inputs!$C$52+((IF(OR(Inputs!$C$27=TRUE,Inputs!$C$27="TRUE",Inputs!$C$27=1),1,0)*(Inputs!$C$51*(115*EXP(-(((Inputs!$C$6)-25)^2)/(4.5^2))+70*EXP(-(((Inputs!$C$6)+38)^2)/(7^2))*(0.55+0.45*SIN(2*PI()*(Scenario_Data!W80)/45))+24*SIN(2*PI()*(Inputs!$C$6)/9+(Scenario_Data!W80)/18)*EXP(-(((Inputs!$C$6)+5)^2)/(22^2))+18*SIN(2*PI()*(Scenario_Data!W80)/70))+Inputs!$C$28*EXP(-(((Scenario_Data!W80)-Inputs!$C$29)^2)/(2*Inputs!$C$31^2))*EXP(-(((Inputs!$C$6)-Inputs!$C$30)^2)/(2*Inputs!$C$32^2))+-Inputs!$C$33*EXP(-(((((Scenario_Data!W80)-Inputs!$C$34)^2)+(((Inputs!$C$6)-Inputs!$C$35)^2))/(2*Inputs!$C$36^2)))+Inputs!$C$37*(0.55*SIN(2*PI()*(Scenario_Data!W80)/Inputs!$C$39)+0.35*COS(2*PI()*(Inputs!$C$6)/Inputs!$C$40)+0.2*SIN(2*PI()*((Scenario_Data!W80)+(Inputs!$C$6))/(0.5*(Inputs!$C$39+Inputs!$C$40))))+Inputs!$C$38*SIN(2*PI()*(Scenario_Data!W80)/Inputs!$C$39)*SIN(2*PI()*(Inputs!$C$6)/Inputs!$C$40)+-Inputs!$C$41*EXP(-(((Inputs!$C$6)-Inputs!$C$43)^2)/(2*Inputs!$C$44^2))*EXP(-(((Scenario_Data!W80)-Inputs!$C$42)^2)/(2*Inputs!$C$45^2))+Inputs!$C$48*(0.7*(0.45*SIN(2*PI()*(((Scenario_Data!W80)/Inputs!$C$49)+Inputs!$C$47*0.137))+0.35*COS(2*PI()*(((Inputs!$C$6)/Inputs!$C$50)+Inputs!$C$47*0.173))+0.2*SIN(2*PI()*((((Scenario_Data!W80)+(Inputs!$C$6))/(0.5*(Inputs!$C$49+Inputs!$C$50)))+Inputs!$C$47*0.097)))+0.3*(2*((SIN(((Scenario_Data!W80)*12.9898+(Inputs!$C$6)*78.233+Inputs!$C$47*37.719))*43758.5453)-INT((SIN(((Scenario_Data!W80)*12.9898+(Inputs!$C$6)*78.233+Inputs!$C$47*37.719))*43758.5453)))-1))))/1000))*COS(SQRT((Scenario_Data!W80)^2+Inputs!$C$6^2)/Inputs!$C$52))*1000)/Inputs!$C$21*1000000</f>
        <v/>
      </c>
    </row>
    <row r="81">
      <c r="A81">
        <f>Chart_Data!K81</f>
        <v/>
      </c>
      <c r="B81">
        <f>Chart_Data!N81-Chart_Data!L81</f>
        <v/>
      </c>
      <c r="D81">
        <f>Chart_Data!G81</f>
        <v/>
      </c>
      <c r="E81">
        <f>Chart_Data!H81</f>
        <v/>
      </c>
      <c r="F81">
        <f>Chart_Data!I81</f>
        <v/>
      </c>
      <c r="G81">
        <f>Chart_Data!J81</f>
        <v/>
      </c>
      <c r="I81">
        <f>Scenario_Data!A81</f>
        <v/>
      </c>
      <c r="J81">
        <f>Scenario_Data!H81-(((SQRT((Inputs!$C$52+(Inputs!$H$6))^2+Inputs!$C$52^2-2*(Inputs!$C$52+(Inputs!$H$6))*Inputs!$C$52*COS(SQRT((Scenario_Data!T81)^2+Inputs!$C$6^2)/Inputs!$C$52)))-(Inputs!$H$6))*1000/Inputs!$C$12)</f>
        <v/>
      </c>
      <c r="K81">
        <f>Scenario_Data!I81-(((SQRT((Inputs!$C$52+(Inputs!$H$7))^2+Inputs!$C$52^2-2*(Inputs!$C$52+(Inputs!$H$7))*Inputs!$C$52*COS(SQRT((Scenario_Data!U81)^2+Inputs!$C$6^2)/Inputs!$C$52)))-(Inputs!$H$7))*1000/Inputs!$C$12)</f>
        <v/>
      </c>
      <c r="L81">
        <f>Scenario_Data!J81-(((SQRT((Inputs!$C$52+(Inputs!$H$8))^2+Inputs!$C$52^2-2*(Inputs!$C$52+(Inputs!$H$8))*Inputs!$C$52*COS(SQRT((Scenario_Data!V81)^2+Inputs!$C$6^2)/Inputs!$C$52)))-(Inputs!$H$8))*1000/Inputs!$C$12)</f>
        <v/>
      </c>
      <c r="M81">
        <f>Scenario_Data!K81-(((SQRT((Inputs!$C$52+(Inputs!$H$9))^2+Inputs!$C$52^2-2*(Inputs!$C$52+(Inputs!$H$9))*Inputs!$C$52*COS(SQRT((Scenario_Data!W81)^2+Inputs!$C$6^2)/Inputs!$C$52)))-(Inputs!$H$9))*1000/Inputs!$C$12)</f>
        <v/>
      </c>
      <c r="O81">
        <f>Scenario_Data!T81</f>
        <v/>
      </c>
      <c r="P81">
        <f>2*(Scenario_Data!B81*1000)/Inputs!$C$21*1000000</f>
        <v/>
      </c>
      <c r="Q81">
        <f>Scenario_Data!U81</f>
        <v/>
      </c>
      <c r="R81">
        <f>2*(Scenario_Data!C81*1000)/Inputs!$C$21*1000000</f>
        <v/>
      </c>
      <c r="S81">
        <f>Scenario_Data!V81</f>
        <v/>
      </c>
      <c r="T81">
        <f>2*(Scenario_Data!D81*1000)/Inputs!$C$21*1000000</f>
        <v/>
      </c>
      <c r="U81">
        <f>Scenario_Data!W81</f>
        <v/>
      </c>
      <c r="V81">
        <f>2*(Scenario_Data!E81*1000)/Inputs!$C$21*1000000</f>
        <v/>
      </c>
      <c r="X81">
        <f>Scenario_Data!T81</f>
        <v/>
      </c>
      <c r="Y81">
        <f>2*((Scenario_Data!B81*1000)-(IF(OR(Inputs!$C$27=TRUE,Inputs!$C$27="TRUE",Inputs!$C$27=1),1,0)*(Inputs!$C$51*(115*EXP(-(((0)-25)^2)/(4.5^2))+70*EXP(-(((0)+38)^2)/(7^2))*(0.55+0.45*SIN(2*PI()*(Scenario_Data!T81)/45))+24*SIN(2*PI()*(0)/9+(Scenario_Data!T81)/18)*EXP(-(((0)+5)^2)/(22^2))+18*SIN(2*PI()*(Scenario_Data!T81)/70))+Inputs!$C$28*EXP(-(((Scenario_Data!T81)-Inputs!$C$29)^2)/(2*Inputs!$C$31^2))*EXP(-(((0)-Inputs!$C$30)^2)/(2*Inputs!$C$32^2))+-Inputs!$C$33*EXP(-(((((Scenario_Data!T81)-Inputs!$C$34)^2)+(((0)-Inputs!$C$35)^2))/(2*Inputs!$C$36^2)))+Inputs!$C$37*(0.55*SIN(2*PI()*(Scenario_Data!T81)/Inputs!$C$39)+0.35*COS(2*PI()*(0)/Inputs!$C$40)+0.2*SIN(2*PI()*((Scenario_Data!T81)+(0))/(0.5*(Inputs!$C$39+Inputs!$C$40))))+Inputs!$C$38*SIN(2*PI()*(Scenario_Data!T81)/Inputs!$C$39)*SIN(2*PI()*(0)/Inputs!$C$40)+-Inputs!$C$41*EXP(-(((0)-Inputs!$C$43)^2)/(2*Inputs!$C$44^2))*EXP(-(((Scenario_Data!T81)-Inputs!$C$42)^2)/(2*Inputs!$C$45^2))+Inputs!$C$48*(0.7*(0.45*SIN(2*PI()*(((Scenario_Data!T81)/Inputs!$C$49)+Inputs!$C$47*0.137))+0.35*COS(2*PI()*(((0)/Inputs!$C$50)+Inputs!$C$47*0.173))+0.2*SIN(2*PI()*((((Scenario_Data!T81)+(0))/(0.5*(Inputs!$C$49+Inputs!$C$50)))+Inputs!$C$47*0.097)))+0.3*(2*((SIN(((Scenario_Data!T81)*12.9898+(0)*78.233+Inputs!$C$47*37.719))*43758.5453)-INT((SIN(((Scenario_Data!T81)*12.9898+(0)*78.233+Inputs!$C$47*37.719))*43758.5453)))-1)))))/Inputs!$C$21*1000000</f>
        <v/>
      </c>
      <c r="Z81">
        <f>Scenario_Data!U81</f>
        <v/>
      </c>
      <c r="AA81">
        <f>2*((Scenario_Data!C81*1000)-(IF(OR(Inputs!$C$27=TRUE,Inputs!$C$27="TRUE",Inputs!$C$27=1),1,0)*(Inputs!$C$51*(115*EXP(-(((0)-25)^2)/(4.5^2))+70*EXP(-(((0)+38)^2)/(7^2))*(0.55+0.45*SIN(2*PI()*(Scenario_Data!U81)/45))+24*SIN(2*PI()*(0)/9+(Scenario_Data!U81)/18)*EXP(-(((0)+5)^2)/(22^2))+18*SIN(2*PI()*(Scenario_Data!U81)/70))+Inputs!$C$28*EXP(-(((Scenario_Data!U81)-Inputs!$C$29)^2)/(2*Inputs!$C$31^2))*EXP(-(((0)-Inputs!$C$30)^2)/(2*Inputs!$C$32^2))+-Inputs!$C$33*EXP(-(((((Scenario_Data!U81)-Inputs!$C$34)^2)+(((0)-Inputs!$C$35)^2))/(2*Inputs!$C$36^2)))+Inputs!$C$37*(0.55*SIN(2*PI()*(Scenario_Data!U81)/Inputs!$C$39)+0.35*COS(2*PI()*(0)/Inputs!$C$40)+0.2*SIN(2*PI()*((Scenario_Data!U81)+(0))/(0.5*(Inputs!$C$39+Inputs!$C$40))))+Inputs!$C$38*SIN(2*PI()*(Scenario_Data!U81)/Inputs!$C$39)*SIN(2*PI()*(0)/Inputs!$C$40)+-Inputs!$C$41*EXP(-(((0)-Inputs!$C$43)^2)/(2*Inputs!$C$44^2))*EXP(-(((Scenario_Data!U81)-Inputs!$C$42)^2)/(2*Inputs!$C$45^2))+Inputs!$C$48*(0.7*(0.45*SIN(2*PI()*(((Scenario_Data!U81)/Inputs!$C$49)+Inputs!$C$47*0.137))+0.35*COS(2*PI()*(((0)/Inputs!$C$50)+Inputs!$C$47*0.173))+0.2*SIN(2*PI()*((((Scenario_Data!U81)+(0))/(0.5*(Inputs!$C$49+Inputs!$C$50)))+Inputs!$C$47*0.097)))+0.3*(2*((SIN(((Scenario_Data!U81)*12.9898+(0)*78.233+Inputs!$C$47*37.719))*43758.5453)-INT((SIN(((Scenario_Data!U81)*12.9898+(0)*78.233+Inputs!$C$47*37.719))*43758.5453)))-1)))))/Inputs!$C$21*1000000</f>
        <v/>
      </c>
      <c r="AB81">
        <f>Scenario_Data!V81</f>
        <v/>
      </c>
      <c r="AC81">
        <f>2*((Scenario_Data!D81*1000)-(IF(OR(Inputs!$C$27=TRUE,Inputs!$C$27="TRUE",Inputs!$C$27=1),1,0)*(Inputs!$C$51*(115*EXP(-(((0)-25)^2)/(4.5^2))+70*EXP(-(((0)+38)^2)/(7^2))*(0.55+0.45*SIN(2*PI()*(Scenario_Data!V81)/45))+24*SIN(2*PI()*(0)/9+(Scenario_Data!V81)/18)*EXP(-(((0)+5)^2)/(22^2))+18*SIN(2*PI()*(Scenario_Data!V81)/70))+Inputs!$C$28*EXP(-(((Scenario_Data!V81)-Inputs!$C$29)^2)/(2*Inputs!$C$31^2))*EXP(-(((0)-Inputs!$C$30)^2)/(2*Inputs!$C$32^2))+-Inputs!$C$33*EXP(-(((((Scenario_Data!V81)-Inputs!$C$34)^2)+(((0)-Inputs!$C$35)^2))/(2*Inputs!$C$36^2)))+Inputs!$C$37*(0.55*SIN(2*PI()*(Scenario_Data!V81)/Inputs!$C$39)+0.35*COS(2*PI()*(0)/Inputs!$C$40)+0.2*SIN(2*PI()*((Scenario_Data!V81)+(0))/(0.5*(Inputs!$C$39+Inputs!$C$40))))+Inputs!$C$38*SIN(2*PI()*(Scenario_Data!V81)/Inputs!$C$39)*SIN(2*PI()*(0)/Inputs!$C$40)+-Inputs!$C$41*EXP(-(((0)-Inputs!$C$43)^2)/(2*Inputs!$C$44^2))*EXP(-(((Scenario_Data!V81)-Inputs!$C$42)^2)/(2*Inputs!$C$45^2))+Inputs!$C$48*(0.7*(0.45*SIN(2*PI()*(((Scenario_Data!V81)/Inputs!$C$49)+Inputs!$C$47*0.137))+0.35*COS(2*PI()*(((0)/Inputs!$C$50)+Inputs!$C$47*0.173))+0.2*SIN(2*PI()*((((Scenario_Data!V81)+(0))/(0.5*(Inputs!$C$49+Inputs!$C$50)))+Inputs!$C$47*0.097)))+0.3*(2*((SIN(((Scenario_Data!V81)*12.9898+(0)*78.233+Inputs!$C$47*37.719))*43758.5453)-INT((SIN(((Scenario_Data!V81)*12.9898+(0)*78.233+Inputs!$C$47*37.719))*43758.5453)))-1)))))/Inputs!$C$21*1000000</f>
        <v/>
      </c>
      <c r="AD81">
        <f>Scenario_Data!W81</f>
        <v/>
      </c>
      <c r="AE81">
        <f>2*((Scenario_Data!E81*1000)-(IF(OR(Inputs!$C$27=TRUE,Inputs!$C$27="TRUE",Inputs!$C$27=1),1,0)*(Inputs!$C$51*(115*EXP(-(((0)-25)^2)/(4.5^2))+70*EXP(-(((0)+38)^2)/(7^2))*(0.55+0.45*SIN(2*PI()*(Scenario_Data!W81)/45))+24*SIN(2*PI()*(0)/9+(Scenario_Data!W81)/18)*EXP(-(((0)+5)^2)/(22^2))+18*SIN(2*PI()*(Scenario_Data!W81)/70))+Inputs!$C$28*EXP(-(((Scenario_Data!W81)-Inputs!$C$29)^2)/(2*Inputs!$C$31^2))*EXP(-(((0)-Inputs!$C$30)^2)/(2*Inputs!$C$32^2))+-Inputs!$C$33*EXP(-(((((Scenario_Data!W81)-Inputs!$C$34)^2)+(((0)-Inputs!$C$35)^2))/(2*Inputs!$C$36^2)))+Inputs!$C$37*(0.55*SIN(2*PI()*(Scenario_Data!W81)/Inputs!$C$39)+0.35*COS(2*PI()*(0)/Inputs!$C$40)+0.2*SIN(2*PI()*((Scenario_Data!W81)+(0))/(0.5*(Inputs!$C$39+Inputs!$C$40))))+Inputs!$C$38*SIN(2*PI()*(Scenario_Data!W81)/Inputs!$C$39)*SIN(2*PI()*(0)/Inputs!$C$40)+-Inputs!$C$41*EXP(-(((0)-Inputs!$C$43)^2)/(2*Inputs!$C$44^2))*EXP(-(((Scenario_Data!W81)-Inputs!$C$42)^2)/(2*Inputs!$C$45^2))+Inputs!$C$48*(0.7*(0.45*SIN(2*PI()*(((Scenario_Data!W81)/Inputs!$C$49)+Inputs!$C$47*0.137))+0.35*COS(2*PI()*(((0)/Inputs!$C$50)+Inputs!$C$47*0.173))+0.2*SIN(2*PI()*((((Scenario_Data!W81)+(0))/(0.5*(Inputs!$C$49+Inputs!$C$50)))+Inputs!$C$47*0.097)))+0.3*(2*((SIN(((Scenario_Data!W81)*12.9898+(0)*78.233+Inputs!$C$47*37.719))*43758.5453)-INT((SIN(((Scenario_Data!W81)*12.9898+(0)*78.233+Inputs!$C$47*37.719))*43758.5453)))-1)))))/Inputs!$C$21*1000000</f>
        <v/>
      </c>
      <c r="AG81">
        <f>Scenario_Data!T81</f>
        <v/>
      </c>
      <c r="AH81">
        <f>2*(SQRT((Inputs!$C$52+(Scenario_Data!B81))^2+Inputs!$C$52^2-2*(Inputs!$C$52+(Scenario_Data!B81))*Inputs!$C$52*COS(SQRT((Scenario_Data!T81)^2+Inputs!$C$6^2)/Inputs!$C$52))*1000)/Inputs!$C$21*1000000</f>
        <v/>
      </c>
      <c r="AI81">
        <f>Scenario_Data!U81</f>
        <v/>
      </c>
      <c r="AJ81">
        <f>2*(SQRT((Inputs!$C$52+(Scenario_Data!C81))^2+Inputs!$C$52^2-2*(Inputs!$C$52+(Scenario_Data!C81))*Inputs!$C$52*COS(SQRT((Scenario_Data!U81)^2+Inputs!$C$6^2)/Inputs!$C$52))*1000)/Inputs!$C$21*1000000</f>
        <v/>
      </c>
      <c r="AK81">
        <f>Scenario_Data!V81</f>
        <v/>
      </c>
      <c r="AL81">
        <f>2*(SQRT((Inputs!$C$52+(Scenario_Data!D81))^2+Inputs!$C$52^2-2*(Inputs!$C$52+(Scenario_Data!D81))*Inputs!$C$52*COS(SQRT((Scenario_Data!V81)^2+Inputs!$C$6^2)/Inputs!$C$52))*1000)/Inputs!$C$21*1000000</f>
        <v/>
      </c>
      <c r="AM81">
        <f>Scenario_Data!W81</f>
        <v/>
      </c>
      <c r="AN81">
        <f>2*(SQRT((Inputs!$C$52+(Scenario_Data!E81))^2+Inputs!$C$52^2-2*(Inputs!$C$52+(Scenario_Data!E81))*Inputs!$C$52*COS(SQRT((Scenario_Data!W81)^2+Inputs!$C$6^2)/Inputs!$C$52))*1000)/Inputs!$C$21*1000000</f>
        <v/>
      </c>
      <c r="AP81">
        <f>Scenario_Data!T81</f>
        <v/>
      </c>
      <c r="AQ81">
        <f>2*(SQRT((Inputs!$C$52+(Scenario_Data!B81))^2+(Inputs!$C$52+((IF(OR(Inputs!$C$27=TRUE,Inputs!$C$27="TRUE",Inputs!$C$27=1),1,0)*(Inputs!$C$51*(115*EXP(-(((Inputs!$C$6)-25)^2)/(4.5^2))+70*EXP(-(((Inputs!$C$6)+38)^2)/(7^2))*(0.55+0.45*SIN(2*PI()*(Scenario_Data!T81)/45))+24*SIN(2*PI()*(Inputs!$C$6)/9+(Scenario_Data!T81)/18)*EXP(-(((Inputs!$C$6)+5)^2)/(22^2))+18*SIN(2*PI()*(Scenario_Data!T81)/70))+Inputs!$C$28*EXP(-(((Scenario_Data!T81)-Inputs!$C$29)^2)/(2*Inputs!$C$31^2))*EXP(-(((Inputs!$C$6)-Inputs!$C$30)^2)/(2*Inputs!$C$32^2))+-Inputs!$C$33*EXP(-(((((Scenario_Data!T81)-Inputs!$C$34)^2)+(((Inputs!$C$6)-Inputs!$C$35)^2))/(2*Inputs!$C$36^2)))+Inputs!$C$37*(0.55*SIN(2*PI()*(Scenario_Data!T81)/Inputs!$C$39)+0.35*COS(2*PI()*(Inputs!$C$6)/Inputs!$C$40)+0.2*SIN(2*PI()*((Scenario_Data!T81)+(Inputs!$C$6))/(0.5*(Inputs!$C$39+Inputs!$C$40))))+Inputs!$C$38*SIN(2*PI()*(Scenario_Data!T81)/Inputs!$C$39)*SIN(2*PI()*(Inputs!$C$6)/Inputs!$C$40)+-Inputs!$C$41*EXP(-(((Inputs!$C$6)-Inputs!$C$43)^2)/(2*Inputs!$C$44^2))*EXP(-(((Scenario_Data!T81)-Inputs!$C$42)^2)/(2*Inputs!$C$45^2))+Inputs!$C$48*(0.7*(0.45*SIN(2*PI()*(((Scenario_Data!T81)/Inputs!$C$49)+Inputs!$C$47*0.137))+0.35*COS(2*PI()*(((Inputs!$C$6)/Inputs!$C$50)+Inputs!$C$47*0.173))+0.2*SIN(2*PI()*((((Scenario_Data!T81)+(Inputs!$C$6))/(0.5*(Inputs!$C$49+Inputs!$C$50)))+Inputs!$C$47*0.097)))+0.3*(2*((SIN(((Scenario_Data!T81)*12.9898+(Inputs!$C$6)*78.233+Inputs!$C$47*37.719))*43758.5453)-INT((SIN(((Scenario_Data!T81)*12.9898+(Inputs!$C$6)*78.233+Inputs!$C$47*37.719))*43758.5453)))-1))))/1000))^2-2*(Inputs!$C$52+(Scenario_Data!B81))*(Inputs!$C$52+((IF(OR(Inputs!$C$27=TRUE,Inputs!$C$27="TRUE",Inputs!$C$27=1),1,0)*(Inputs!$C$51*(115*EXP(-(((Inputs!$C$6)-25)^2)/(4.5^2))+70*EXP(-(((Inputs!$C$6)+38)^2)/(7^2))*(0.55+0.45*SIN(2*PI()*(Scenario_Data!T81)/45))+24*SIN(2*PI()*(Inputs!$C$6)/9+(Scenario_Data!T81)/18)*EXP(-(((Inputs!$C$6)+5)^2)/(22^2))+18*SIN(2*PI()*(Scenario_Data!T81)/70))+Inputs!$C$28*EXP(-(((Scenario_Data!T81)-Inputs!$C$29)^2)/(2*Inputs!$C$31^2))*EXP(-(((Inputs!$C$6)-Inputs!$C$30)^2)/(2*Inputs!$C$32^2))+-Inputs!$C$33*EXP(-(((((Scenario_Data!T81)-Inputs!$C$34)^2)+(((Inputs!$C$6)-Inputs!$C$35)^2))/(2*Inputs!$C$36^2)))+Inputs!$C$37*(0.55*SIN(2*PI()*(Scenario_Data!T81)/Inputs!$C$39)+0.35*COS(2*PI()*(Inputs!$C$6)/Inputs!$C$40)+0.2*SIN(2*PI()*((Scenario_Data!T81)+(Inputs!$C$6))/(0.5*(Inputs!$C$39+Inputs!$C$40))))+Inputs!$C$38*SIN(2*PI()*(Scenario_Data!T81)/Inputs!$C$39)*SIN(2*PI()*(Inputs!$C$6)/Inputs!$C$40)+-Inputs!$C$41*EXP(-(((Inputs!$C$6)-Inputs!$C$43)^2)/(2*Inputs!$C$44^2))*EXP(-(((Scenario_Data!T81)-Inputs!$C$42)^2)/(2*Inputs!$C$45^2))+Inputs!$C$48*(0.7*(0.45*SIN(2*PI()*(((Scenario_Data!T81)/Inputs!$C$49)+Inputs!$C$47*0.137))+0.35*COS(2*PI()*(((Inputs!$C$6)/Inputs!$C$50)+Inputs!$C$47*0.173))+0.2*SIN(2*PI()*((((Scenario_Data!T81)+(Inputs!$C$6))/(0.5*(Inputs!$C$49+Inputs!$C$50)))+Inputs!$C$47*0.097)))+0.3*(2*((SIN(((Scenario_Data!T81)*12.9898+(Inputs!$C$6)*78.233+Inputs!$C$47*37.719))*43758.5453)-INT((SIN(((Scenario_Data!T81)*12.9898+(Inputs!$C$6)*78.233+Inputs!$C$47*37.719))*43758.5453)))-1))))/1000))*COS(SQRT((Scenario_Data!T81)^2+Inputs!$C$6^2)/Inputs!$C$52))*1000)/Inputs!$C$21*1000000</f>
        <v/>
      </c>
      <c r="AR81">
        <f>Scenario_Data!U81</f>
        <v/>
      </c>
      <c r="AS81">
        <f>2*(SQRT((Inputs!$C$52+(Scenario_Data!C81))^2+(Inputs!$C$52+((IF(OR(Inputs!$C$27=TRUE,Inputs!$C$27="TRUE",Inputs!$C$27=1),1,0)*(Inputs!$C$51*(115*EXP(-(((Inputs!$C$6)-25)^2)/(4.5^2))+70*EXP(-(((Inputs!$C$6)+38)^2)/(7^2))*(0.55+0.45*SIN(2*PI()*(Scenario_Data!U81)/45))+24*SIN(2*PI()*(Inputs!$C$6)/9+(Scenario_Data!U81)/18)*EXP(-(((Inputs!$C$6)+5)^2)/(22^2))+18*SIN(2*PI()*(Scenario_Data!U81)/70))+Inputs!$C$28*EXP(-(((Scenario_Data!U81)-Inputs!$C$29)^2)/(2*Inputs!$C$31^2))*EXP(-(((Inputs!$C$6)-Inputs!$C$30)^2)/(2*Inputs!$C$32^2))+-Inputs!$C$33*EXP(-(((((Scenario_Data!U81)-Inputs!$C$34)^2)+(((Inputs!$C$6)-Inputs!$C$35)^2))/(2*Inputs!$C$36^2)))+Inputs!$C$37*(0.55*SIN(2*PI()*(Scenario_Data!U81)/Inputs!$C$39)+0.35*COS(2*PI()*(Inputs!$C$6)/Inputs!$C$40)+0.2*SIN(2*PI()*((Scenario_Data!U81)+(Inputs!$C$6))/(0.5*(Inputs!$C$39+Inputs!$C$40))))+Inputs!$C$38*SIN(2*PI()*(Scenario_Data!U81)/Inputs!$C$39)*SIN(2*PI()*(Inputs!$C$6)/Inputs!$C$40)+-Inputs!$C$41*EXP(-(((Inputs!$C$6)-Inputs!$C$43)^2)/(2*Inputs!$C$44^2))*EXP(-(((Scenario_Data!U81)-Inputs!$C$42)^2)/(2*Inputs!$C$45^2))+Inputs!$C$48*(0.7*(0.45*SIN(2*PI()*(((Scenario_Data!U81)/Inputs!$C$49)+Inputs!$C$47*0.137))+0.35*COS(2*PI()*(((Inputs!$C$6)/Inputs!$C$50)+Inputs!$C$47*0.173))+0.2*SIN(2*PI()*((((Scenario_Data!U81)+(Inputs!$C$6))/(0.5*(Inputs!$C$49+Inputs!$C$50)))+Inputs!$C$47*0.097)))+0.3*(2*((SIN(((Scenario_Data!U81)*12.9898+(Inputs!$C$6)*78.233+Inputs!$C$47*37.719))*43758.5453)-INT((SIN(((Scenario_Data!U81)*12.9898+(Inputs!$C$6)*78.233+Inputs!$C$47*37.719))*43758.5453)))-1))))/1000))^2-2*(Inputs!$C$52+(Scenario_Data!C81))*(Inputs!$C$52+((IF(OR(Inputs!$C$27=TRUE,Inputs!$C$27="TRUE",Inputs!$C$27=1),1,0)*(Inputs!$C$51*(115*EXP(-(((Inputs!$C$6)-25)^2)/(4.5^2))+70*EXP(-(((Inputs!$C$6)+38)^2)/(7^2))*(0.55+0.45*SIN(2*PI()*(Scenario_Data!U81)/45))+24*SIN(2*PI()*(Inputs!$C$6)/9+(Scenario_Data!U81)/18)*EXP(-(((Inputs!$C$6)+5)^2)/(22^2))+18*SIN(2*PI()*(Scenario_Data!U81)/70))+Inputs!$C$28*EXP(-(((Scenario_Data!U81)-Inputs!$C$29)^2)/(2*Inputs!$C$31^2))*EXP(-(((Inputs!$C$6)-Inputs!$C$30)^2)/(2*Inputs!$C$32^2))+-Inputs!$C$33*EXP(-(((((Scenario_Data!U81)-Inputs!$C$34)^2)+(((Inputs!$C$6)-Inputs!$C$35)^2))/(2*Inputs!$C$36^2)))+Inputs!$C$37*(0.55*SIN(2*PI()*(Scenario_Data!U81)/Inputs!$C$39)+0.35*COS(2*PI()*(Inputs!$C$6)/Inputs!$C$40)+0.2*SIN(2*PI()*((Scenario_Data!U81)+(Inputs!$C$6))/(0.5*(Inputs!$C$39+Inputs!$C$40))))+Inputs!$C$38*SIN(2*PI()*(Scenario_Data!U81)/Inputs!$C$39)*SIN(2*PI()*(Inputs!$C$6)/Inputs!$C$40)+-Inputs!$C$41*EXP(-(((Inputs!$C$6)-Inputs!$C$43)^2)/(2*Inputs!$C$44^2))*EXP(-(((Scenario_Data!U81)-Inputs!$C$42)^2)/(2*Inputs!$C$45^2))+Inputs!$C$48*(0.7*(0.45*SIN(2*PI()*(((Scenario_Data!U81)/Inputs!$C$49)+Inputs!$C$47*0.137))+0.35*COS(2*PI()*(((Inputs!$C$6)/Inputs!$C$50)+Inputs!$C$47*0.173))+0.2*SIN(2*PI()*((((Scenario_Data!U81)+(Inputs!$C$6))/(0.5*(Inputs!$C$49+Inputs!$C$50)))+Inputs!$C$47*0.097)))+0.3*(2*((SIN(((Scenario_Data!U81)*12.9898+(Inputs!$C$6)*78.233+Inputs!$C$47*37.719))*43758.5453)-INT((SIN(((Scenario_Data!U81)*12.9898+(Inputs!$C$6)*78.233+Inputs!$C$47*37.719))*43758.5453)))-1))))/1000))*COS(SQRT((Scenario_Data!U81)^2+Inputs!$C$6^2)/Inputs!$C$52))*1000)/Inputs!$C$21*1000000</f>
        <v/>
      </c>
      <c r="AT81">
        <f>Scenario_Data!V81</f>
        <v/>
      </c>
      <c r="AU81">
        <f>2*(SQRT((Inputs!$C$52+(Scenario_Data!D81))^2+(Inputs!$C$52+((IF(OR(Inputs!$C$27=TRUE,Inputs!$C$27="TRUE",Inputs!$C$27=1),1,0)*(Inputs!$C$51*(115*EXP(-(((Inputs!$C$6)-25)^2)/(4.5^2))+70*EXP(-(((Inputs!$C$6)+38)^2)/(7^2))*(0.55+0.45*SIN(2*PI()*(Scenario_Data!V81)/45))+24*SIN(2*PI()*(Inputs!$C$6)/9+(Scenario_Data!V81)/18)*EXP(-(((Inputs!$C$6)+5)^2)/(22^2))+18*SIN(2*PI()*(Scenario_Data!V81)/70))+Inputs!$C$28*EXP(-(((Scenario_Data!V81)-Inputs!$C$29)^2)/(2*Inputs!$C$31^2))*EXP(-(((Inputs!$C$6)-Inputs!$C$30)^2)/(2*Inputs!$C$32^2))+-Inputs!$C$33*EXP(-(((((Scenario_Data!V81)-Inputs!$C$34)^2)+(((Inputs!$C$6)-Inputs!$C$35)^2))/(2*Inputs!$C$36^2)))+Inputs!$C$37*(0.55*SIN(2*PI()*(Scenario_Data!V81)/Inputs!$C$39)+0.35*COS(2*PI()*(Inputs!$C$6)/Inputs!$C$40)+0.2*SIN(2*PI()*((Scenario_Data!V81)+(Inputs!$C$6))/(0.5*(Inputs!$C$39+Inputs!$C$40))))+Inputs!$C$38*SIN(2*PI()*(Scenario_Data!V81)/Inputs!$C$39)*SIN(2*PI()*(Inputs!$C$6)/Inputs!$C$40)+-Inputs!$C$41*EXP(-(((Inputs!$C$6)-Inputs!$C$43)^2)/(2*Inputs!$C$44^2))*EXP(-(((Scenario_Data!V81)-Inputs!$C$42)^2)/(2*Inputs!$C$45^2))+Inputs!$C$48*(0.7*(0.45*SIN(2*PI()*(((Scenario_Data!V81)/Inputs!$C$49)+Inputs!$C$47*0.137))+0.35*COS(2*PI()*(((Inputs!$C$6)/Inputs!$C$50)+Inputs!$C$47*0.173))+0.2*SIN(2*PI()*((((Scenario_Data!V81)+(Inputs!$C$6))/(0.5*(Inputs!$C$49+Inputs!$C$50)))+Inputs!$C$47*0.097)))+0.3*(2*((SIN(((Scenario_Data!V81)*12.9898+(Inputs!$C$6)*78.233+Inputs!$C$47*37.719))*43758.5453)-INT((SIN(((Scenario_Data!V81)*12.9898+(Inputs!$C$6)*78.233+Inputs!$C$47*37.719))*43758.5453)))-1))))/1000))^2-2*(Inputs!$C$52+(Scenario_Data!D81))*(Inputs!$C$52+((IF(OR(Inputs!$C$27=TRUE,Inputs!$C$27="TRUE",Inputs!$C$27=1),1,0)*(Inputs!$C$51*(115*EXP(-(((Inputs!$C$6)-25)^2)/(4.5^2))+70*EXP(-(((Inputs!$C$6)+38)^2)/(7^2))*(0.55+0.45*SIN(2*PI()*(Scenario_Data!V81)/45))+24*SIN(2*PI()*(Inputs!$C$6)/9+(Scenario_Data!V81)/18)*EXP(-(((Inputs!$C$6)+5)^2)/(22^2))+18*SIN(2*PI()*(Scenario_Data!V81)/70))+Inputs!$C$28*EXP(-(((Scenario_Data!V81)-Inputs!$C$29)^2)/(2*Inputs!$C$31^2))*EXP(-(((Inputs!$C$6)-Inputs!$C$30)^2)/(2*Inputs!$C$32^2))+-Inputs!$C$33*EXP(-(((((Scenario_Data!V81)-Inputs!$C$34)^2)+(((Inputs!$C$6)-Inputs!$C$35)^2))/(2*Inputs!$C$36^2)))+Inputs!$C$37*(0.55*SIN(2*PI()*(Scenario_Data!V81)/Inputs!$C$39)+0.35*COS(2*PI()*(Inputs!$C$6)/Inputs!$C$40)+0.2*SIN(2*PI()*((Scenario_Data!V81)+(Inputs!$C$6))/(0.5*(Inputs!$C$39+Inputs!$C$40))))+Inputs!$C$38*SIN(2*PI()*(Scenario_Data!V81)/Inputs!$C$39)*SIN(2*PI()*(Inputs!$C$6)/Inputs!$C$40)+-Inputs!$C$41*EXP(-(((Inputs!$C$6)-Inputs!$C$43)^2)/(2*Inputs!$C$44^2))*EXP(-(((Scenario_Data!V81)-Inputs!$C$42)^2)/(2*Inputs!$C$45^2))+Inputs!$C$48*(0.7*(0.45*SIN(2*PI()*(((Scenario_Data!V81)/Inputs!$C$49)+Inputs!$C$47*0.137))+0.35*COS(2*PI()*(((Inputs!$C$6)/Inputs!$C$50)+Inputs!$C$47*0.173))+0.2*SIN(2*PI()*((((Scenario_Data!V81)+(Inputs!$C$6))/(0.5*(Inputs!$C$49+Inputs!$C$50)))+Inputs!$C$47*0.097)))+0.3*(2*((SIN(((Scenario_Data!V81)*12.9898+(Inputs!$C$6)*78.233+Inputs!$C$47*37.719))*43758.5453)-INT((SIN(((Scenario_Data!V81)*12.9898+(Inputs!$C$6)*78.233+Inputs!$C$47*37.719))*43758.5453)))-1))))/1000))*COS(SQRT((Scenario_Data!V81)^2+Inputs!$C$6^2)/Inputs!$C$52))*1000)/Inputs!$C$21*1000000</f>
        <v/>
      </c>
      <c r="AV81">
        <f>Scenario_Data!W81</f>
        <v/>
      </c>
      <c r="AW81">
        <f>2*(SQRT((Inputs!$C$52+(Scenario_Data!E81))^2+(Inputs!$C$52+((IF(OR(Inputs!$C$27=TRUE,Inputs!$C$27="TRUE",Inputs!$C$27=1),1,0)*(Inputs!$C$51*(115*EXP(-(((Inputs!$C$6)-25)^2)/(4.5^2))+70*EXP(-(((Inputs!$C$6)+38)^2)/(7^2))*(0.55+0.45*SIN(2*PI()*(Scenario_Data!W81)/45))+24*SIN(2*PI()*(Inputs!$C$6)/9+(Scenario_Data!W81)/18)*EXP(-(((Inputs!$C$6)+5)^2)/(22^2))+18*SIN(2*PI()*(Scenario_Data!W81)/70))+Inputs!$C$28*EXP(-(((Scenario_Data!W81)-Inputs!$C$29)^2)/(2*Inputs!$C$31^2))*EXP(-(((Inputs!$C$6)-Inputs!$C$30)^2)/(2*Inputs!$C$32^2))+-Inputs!$C$33*EXP(-(((((Scenario_Data!W81)-Inputs!$C$34)^2)+(((Inputs!$C$6)-Inputs!$C$35)^2))/(2*Inputs!$C$36^2)))+Inputs!$C$37*(0.55*SIN(2*PI()*(Scenario_Data!W81)/Inputs!$C$39)+0.35*COS(2*PI()*(Inputs!$C$6)/Inputs!$C$40)+0.2*SIN(2*PI()*((Scenario_Data!W81)+(Inputs!$C$6))/(0.5*(Inputs!$C$39+Inputs!$C$40))))+Inputs!$C$38*SIN(2*PI()*(Scenario_Data!W81)/Inputs!$C$39)*SIN(2*PI()*(Inputs!$C$6)/Inputs!$C$40)+-Inputs!$C$41*EXP(-(((Inputs!$C$6)-Inputs!$C$43)^2)/(2*Inputs!$C$44^2))*EXP(-(((Scenario_Data!W81)-Inputs!$C$42)^2)/(2*Inputs!$C$45^2))+Inputs!$C$48*(0.7*(0.45*SIN(2*PI()*(((Scenario_Data!W81)/Inputs!$C$49)+Inputs!$C$47*0.137))+0.35*COS(2*PI()*(((Inputs!$C$6)/Inputs!$C$50)+Inputs!$C$47*0.173))+0.2*SIN(2*PI()*((((Scenario_Data!W81)+(Inputs!$C$6))/(0.5*(Inputs!$C$49+Inputs!$C$50)))+Inputs!$C$47*0.097)))+0.3*(2*((SIN(((Scenario_Data!W81)*12.9898+(Inputs!$C$6)*78.233+Inputs!$C$47*37.719))*43758.5453)-INT((SIN(((Scenario_Data!W81)*12.9898+(Inputs!$C$6)*78.233+Inputs!$C$47*37.719))*43758.5453)))-1))))/1000))^2-2*(Inputs!$C$52+(Scenario_Data!E81))*(Inputs!$C$52+((IF(OR(Inputs!$C$27=TRUE,Inputs!$C$27="TRUE",Inputs!$C$27=1),1,0)*(Inputs!$C$51*(115*EXP(-(((Inputs!$C$6)-25)^2)/(4.5^2))+70*EXP(-(((Inputs!$C$6)+38)^2)/(7^2))*(0.55+0.45*SIN(2*PI()*(Scenario_Data!W81)/45))+24*SIN(2*PI()*(Inputs!$C$6)/9+(Scenario_Data!W81)/18)*EXP(-(((Inputs!$C$6)+5)^2)/(22^2))+18*SIN(2*PI()*(Scenario_Data!W81)/70))+Inputs!$C$28*EXP(-(((Scenario_Data!W81)-Inputs!$C$29)^2)/(2*Inputs!$C$31^2))*EXP(-(((Inputs!$C$6)-Inputs!$C$30)^2)/(2*Inputs!$C$32^2))+-Inputs!$C$33*EXP(-(((((Scenario_Data!W81)-Inputs!$C$34)^2)+(((Inputs!$C$6)-Inputs!$C$35)^2))/(2*Inputs!$C$36^2)))+Inputs!$C$37*(0.55*SIN(2*PI()*(Scenario_Data!W81)/Inputs!$C$39)+0.35*COS(2*PI()*(Inputs!$C$6)/Inputs!$C$40)+0.2*SIN(2*PI()*((Scenario_Data!W81)+(Inputs!$C$6))/(0.5*(Inputs!$C$39+Inputs!$C$40))))+Inputs!$C$38*SIN(2*PI()*(Scenario_Data!W81)/Inputs!$C$39)*SIN(2*PI()*(Inputs!$C$6)/Inputs!$C$40)+-Inputs!$C$41*EXP(-(((Inputs!$C$6)-Inputs!$C$43)^2)/(2*Inputs!$C$44^2))*EXP(-(((Scenario_Data!W81)-Inputs!$C$42)^2)/(2*Inputs!$C$45^2))+Inputs!$C$48*(0.7*(0.45*SIN(2*PI()*(((Scenario_Data!W81)/Inputs!$C$49)+Inputs!$C$47*0.137))+0.35*COS(2*PI()*(((Inputs!$C$6)/Inputs!$C$50)+Inputs!$C$47*0.173))+0.2*SIN(2*PI()*((((Scenario_Data!W81)+(Inputs!$C$6))/(0.5*(Inputs!$C$49+Inputs!$C$50)))+Inputs!$C$47*0.097)))+0.3*(2*((SIN(((Scenario_Data!W81)*12.9898+(Inputs!$C$6)*78.233+Inputs!$C$47*37.719))*43758.5453)-INT((SIN(((Scenario_Data!W81)*12.9898+(Inputs!$C$6)*78.233+Inputs!$C$47*37.719))*43758.5453)))-1))))/1000))*COS(SQRT((Scenario_Data!W81)^2+Inputs!$C$6^2)/Inputs!$C$52))*1000)/Inputs!$C$21*1000000</f>
        <v/>
      </c>
    </row>
    <row r="82">
      <c r="A82">
        <f>Chart_Data!K82</f>
        <v/>
      </c>
      <c r="B82">
        <f>Chart_Data!N82-Chart_Data!L82</f>
        <v/>
      </c>
      <c r="D82">
        <f>Chart_Data!G82</f>
        <v/>
      </c>
      <c r="E82">
        <f>Chart_Data!H82</f>
        <v/>
      </c>
      <c r="F82">
        <f>Chart_Data!I82</f>
        <v/>
      </c>
      <c r="G82">
        <f>Chart_Data!J82</f>
        <v/>
      </c>
      <c r="I82">
        <f>Scenario_Data!A82</f>
        <v/>
      </c>
      <c r="J82">
        <f>Scenario_Data!H82-(((SQRT((Inputs!$C$52+(Inputs!$H$6))^2+Inputs!$C$52^2-2*(Inputs!$C$52+(Inputs!$H$6))*Inputs!$C$52*COS(SQRT((Scenario_Data!T82)^2+Inputs!$C$6^2)/Inputs!$C$52)))-(Inputs!$H$6))*1000/Inputs!$C$12)</f>
        <v/>
      </c>
      <c r="K82">
        <f>Scenario_Data!I82-(((SQRT((Inputs!$C$52+(Inputs!$H$7))^2+Inputs!$C$52^2-2*(Inputs!$C$52+(Inputs!$H$7))*Inputs!$C$52*COS(SQRT((Scenario_Data!U82)^2+Inputs!$C$6^2)/Inputs!$C$52)))-(Inputs!$H$7))*1000/Inputs!$C$12)</f>
        <v/>
      </c>
      <c r="L82">
        <f>Scenario_Data!J82-(((SQRT((Inputs!$C$52+(Inputs!$H$8))^2+Inputs!$C$52^2-2*(Inputs!$C$52+(Inputs!$H$8))*Inputs!$C$52*COS(SQRT((Scenario_Data!V82)^2+Inputs!$C$6^2)/Inputs!$C$52)))-(Inputs!$H$8))*1000/Inputs!$C$12)</f>
        <v/>
      </c>
      <c r="M82">
        <f>Scenario_Data!K82-(((SQRT((Inputs!$C$52+(Inputs!$H$9))^2+Inputs!$C$52^2-2*(Inputs!$C$52+(Inputs!$H$9))*Inputs!$C$52*COS(SQRT((Scenario_Data!W82)^2+Inputs!$C$6^2)/Inputs!$C$52)))-(Inputs!$H$9))*1000/Inputs!$C$12)</f>
        <v/>
      </c>
      <c r="O82">
        <f>Scenario_Data!T82</f>
        <v/>
      </c>
      <c r="P82">
        <f>2*(Scenario_Data!B82*1000)/Inputs!$C$21*1000000</f>
        <v/>
      </c>
      <c r="Q82">
        <f>Scenario_Data!U82</f>
        <v/>
      </c>
      <c r="R82">
        <f>2*(Scenario_Data!C82*1000)/Inputs!$C$21*1000000</f>
        <v/>
      </c>
      <c r="S82">
        <f>Scenario_Data!V82</f>
        <v/>
      </c>
      <c r="T82">
        <f>2*(Scenario_Data!D82*1000)/Inputs!$C$21*1000000</f>
        <v/>
      </c>
      <c r="U82">
        <f>Scenario_Data!W82</f>
        <v/>
      </c>
      <c r="V82">
        <f>2*(Scenario_Data!E82*1000)/Inputs!$C$21*1000000</f>
        <v/>
      </c>
      <c r="X82">
        <f>Scenario_Data!T82</f>
        <v/>
      </c>
      <c r="Y82">
        <f>2*((Scenario_Data!B82*1000)-(IF(OR(Inputs!$C$27=TRUE,Inputs!$C$27="TRUE",Inputs!$C$27=1),1,0)*(Inputs!$C$51*(115*EXP(-(((0)-25)^2)/(4.5^2))+70*EXP(-(((0)+38)^2)/(7^2))*(0.55+0.45*SIN(2*PI()*(Scenario_Data!T82)/45))+24*SIN(2*PI()*(0)/9+(Scenario_Data!T82)/18)*EXP(-(((0)+5)^2)/(22^2))+18*SIN(2*PI()*(Scenario_Data!T82)/70))+Inputs!$C$28*EXP(-(((Scenario_Data!T82)-Inputs!$C$29)^2)/(2*Inputs!$C$31^2))*EXP(-(((0)-Inputs!$C$30)^2)/(2*Inputs!$C$32^2))+-Inputs!$C$33*EXP(-(((((Scenario_Data!T82)-Inputs!$C$34)^2)+(((0)-Inputs!$C$35)^2))/(2*Inputs!$C$36^2)))+Inputs!$C$37*(0.55*SIN(2*PI()*(Scenario_Data!T82)/Inputs!$C$39)+0.35*COS(2*PI()*(0)/Inputs!$C$40)+0.2*SIN(2*PI()*((Scenario_Data!T82)+(0))/(0.5*(Inputs!$C$39+Inputs!$C$40))))+Inputs!$C$38*SIN(2*PI()*(Scenario_Data!T82)/Inputs!$C$39)*SIN(2*PI()*(0)/Inputs!$C$40)+-Inputs!$C$41*EXP(-(((0)-Inputs!$C$43)^2)/(2*Inputs!$C$44^2))*EXP(-(((Scenario_Data!T82)-Inputs!$C$42)^2)/(2*Inputs!$C$45^2))+Inputs!$C$48*(0.7*(0.45*SIN(2*PI()*(((Scenario_Data!T82)/Inputs!$C$49)+Inputs!$C$47*0.137))+0.35*COS(2*PI()*(((0)/Inputs!$C$50)+Inputs!$C$47*0.173))+0.2*SIN(2*PI()*((((Scenario_Data!T82)+(0))/(0.5*(Inputs!$C$49+Inputs!$C$50)))+Inputs!$C$47*0.097)))+0.3*(2*((SIN(((Scenario_Data!T82)*12.9898+(0)*78.233+Inputs!$C$47*37.719))*43758.5453)-INT((SIN(((Scenario_Data!T82)*12.9898+(0)*78.233+Inputs!$C$47*37.719))*43758.5453)))-1)))))/Inputs!$C$21*1000000</f>
        <v/>
      </c>
      <c r="Z82">
        <f>Scenario_Data!U82</f>
        <v/>
      </c>
      <c r="AA82">
        <f>2*((Scenario_Data!C82*1000)-(IF(OR(Inputs!$C$27=TRUE,Inputs!$C$27="TRUE",Inputs!$C$27=1),1,0)*(Inputs!$C$51*(115*EXP(-(((0)-25)^2)/(4.5^2))+70*EXP(-(((0)+38)^2)/(7^2))*(0.55+0.45*SIN(2*PI()*(Scenario_Data!U82)/45))+24*SIN(2*PI()*(0)/9+(Scenario_Data!U82)/18)*EXP(-(((0)+5)^2)/(22^2))+18*SIN(2*PI()*(Scenario_Data!U82)/70))+Inputs!$C$28*EXP(-(((Scenario_Data!U82)-Inputs!$C$29)^2)/(2*Inputs!$C$31^2))*EXP(-(((0)-Inputs!$C$30)^2)/(2*Inputs!$C$32^2))+-Inputs!$C$33*EXP(-(((((Scenario_Data!U82)-Inputs!$C$34)^2)+(((0)-Inputs!$C$35)^2))/(2*Inputs!$C$36^2)))+Inputs!$C$37*(0.55*SIN(2*PI()*(Scenario_Data!U82)/Inputs!$C$39)+0.35*COS(2*PI()*(0)/Inputs!$C$40)+0.2*SIN(2*PI()*((Scenario_Data!U82)+(0))/(0.5*(Inputs!$C$39+Inputs!$C$40))))+Inputs!$C$38*SIN(2*PI()*(Scenario_Data!U82)/Inputs!$C$39)*SIN(2*PI()*(0)/Inputs!$C$40)+-Inputs!$C$41*EXP(-(((0)-Inputs!$C$43)^2)/(2*Inputs!$C$44^2))*EXP(-(((Scenario_Data!U82)-Inputs!$C$42)^2)/(2*Inputs!$C$45^2))+Inputs!$C$48*(0.7*(0.45*SIN(2*PI()*(((Scenario_Data!U82)/Inputs!$C$49)+Inputs!$C$47*0.137))+0.35*COS(2*PI()*(((0)/Inputs!$C$50)+Inputs!$C$47*0.173))+0.2*SIN(2*PI()*((((Scenario_Data!U82)+(0))/(0.5*(Inputs!$C$49+Inputs!$C$50)))+Inputs!$C$47*0.097)))+0.3*(2*((SIN(((Scenario_Data!U82)*12.9898+(0)*78.233+Inputs!$C$47*37.719))*43758.5453)-INT((SIN(((Scenario_Data!U82)*12.9898+(0)*78.233+Inputs!$C$47*37.719))*43758.5453)))-1)))))/Inputs!$C$21*1000000</f>
        <v/>
      </c>
      <c r="AB82">
        <f>Scenario_Data!V82</f>
        <v/>
      </c>
      <c r="AC82">
        <f>2*((Scenario_Data!D82*1000)-(IF(OR(Inputs!$C$27=TRUE,Inputs!$C$27="TRUE",Inputs!$C$27=1),1,0)*(Inputs!$C$51*(115*EXP(-(((0)-25)^2)/(4.5^2))+70*EXP(-(((0)+38)^2)/(7^2))*(0.55+0.45*SIN(2*PI()*(Scenario_Data!V82)/45))+24*SIN(2*PI()*(0)/9+(Scenario_Data!V82)/18)*EXP(-(((0)+5)^2)/(22^2))+18*SIN(2*PI()*(Scenario_Data!V82)/70))+Inputs!$C$28*EXP(-(((Scenario_Data!V82)-Inputs!$C$29)^2)/(2*Inputs!$C$31^2))*EXP(-(((0)-Inputs!$C$30)^2)/(2*Inputs!$C$32^2))+-Inputs!$C$33*EXP(-(((((Scenario_Data!V82)-Inputs!$C$34)^2)+(((0)-Inputs!$C$35)^2))/(2*Inputs!$C$36^2)))+Inputs!$C$37*(0.55*SIN(2*PI()*(Scenario_Data!V82)/Inputs!$C$39)+0.35*COS(2*PI()*(0)/Inputs!$C$40)+0.2*SIN(2*PI()*((Scenario_Data!V82)+(0))/(0.5*(Inputs!$C$39+Inputs!$C$40))))+Inputs!$C$38*SIN(2*PI()*(Scenario_Data!V82)/Inputs!$C$39)*SIN(2*PI()*(0)/Inputs!$C$40)+-Inputs!$C$41*EXP(-(((0)-Inputs!$C$43)^2)/(2*Inputs!$C$44^2))*EXP(-(((Scenario_Data!V82)-Inputs!$C$42)^2)/(2*Inputs!$C$45^2))+Inputs!$C$48*(0.7*(0.45*SIN(2*PI()*(((Scenario_Data!V82)/Inputs!$C$49)+Inputs!$C$47*0.137))+0.35*COS(2*PI()*(((0)/Inputs!$C$50)+Inputs!$C$47*0.173))+0.2*SIN(2*PI()*((((Scenario_Data!V82)+(0))/(0.5*(Inputs!$C$49+Inputs!$C$50)))+Inputs!$C$47*0.097)))+0.3*(2*((SIN(((Scenario_Data!V82)*12.9898+(0)*78.233+Inputs!$C$47*37.719))*43758.5453)-INT((SIN(((Scenario_Data!V82)*12.9898+(0)*78.233+Inputs!$C$47*37.719))*43758.5453)))-1)))))/Inputs!$C$21*1000000</f>
        <v/>
      </c>
      <c r="AD82">
        <f>Scenario_Data!W82</f>
        <v/>
      </c>
      <c r="AE82">
        <f>2*((Scenario_Data!E82*1000)-(IF(OR(Inputs!$C$27=TRUE,Inputs!$C$27="TRUE",Inputs!$C$27=1),1,0)*(Inputs!$C$51*(115*EXP(-(((0)-25)^2)/(4.5^2))+70*EXP(-(((0)+38)^2)/(7^2))*(0.55+0.45*SIN(2*PI()*(Scenario_Data!W82)/45))+24*SIN(2*PI()*(0)/9+(Scenario_Data!W82)/18)*EXP(-(((0)+5)^2)/(22^2))+18*SIN(2*PI()*(Scenario_Data!W82)/70))+Inputs!$C$28*EXP(-(((Scenario_Data!W82)-Inputs!$C$29)^2)/(2*Inputs!$C$31^2))*EXP(-(((0)-Inputs!$C$30)^2)/(2*Inputs!$C$32^2))+-Inputs!$C$33*EXP(-(((((Scenario_Data!W82)-Inputs!$C$34)^2)+(((0)-Inputs!$C$35)^2))/(2*Inputs!$C$36^2)))+Inputs!$C$37*(0.55*SIN(2*PI()*(Scenario_Data!W82)/Inputs!$C$39)+0.35*COS(2*PI()*(0)/Inputs!$C$40)+0.2*SIN(2*PI()*((Scenario_Data!W82)+(0))/(0.5*(Inputs!$C$39+Inputs!$C$40))))+Inputs!$C$38*SIN(2*PI()*(Scenario_Data!W82)/Inputs!$C$39)*SIN(2*PI()*(0)/Inputs!$C$40)+-Inputs!$C$41*EXP(-(((0)-Inputs!$C$43)^2)/(2*Inputs!$C$44^2))*EXP(-(((Scenario_Data!W82)-Inputs!$C$42)^2)/(2*Inputs!$C$45^2))+Inputs!$C$48*(0.7*(0.45*SIN(2*PI()*(((Scenario_Data!W82)/Inputs!$C$49)+Inputs!$C$47*0.137))+0.35*COS(2*PI()*(((0)/Inputs!$C$50)+Inputs!$C$47*0.173))+0.2*SIN(2*PI()*((((Scenario_Data!W82)+(0))/(0.5*(Inputs!$C$49+Inputs!$C$50)))+Inputs!$C$47*0.097)))+0.3*(2*((SIN(((Scenario_Data!W82)*12.9898+(0)*78.233+Inputs!$C$47*37.719))*43758.5453)-INT((SIN(((Scenario_Data!W82)*12.9898+(0)*78.233+Inputs!$C$47*37.719))*43758.5453)))-1)))))/Inputs!$C$21*1000000</f>
        <v/>
      </c>
      <c r="AG82">
        <f>Scenario_Data!T82</f>
        <v/>
      </c>
      <c r="AH82">
        <f>2*(SQRT((Inputs!$C$52+(Scenario_Data!B82))^2+Inputs!$C$52^2-2*(Inputs!$C$52+(Scenario_Data!B82))*Inputs!$C$52*COS(SQRT((Scenario_Data!T82)^2+Inputs!$C$6^2)/Inputs!$C$52))*1000)/Inputs!$C$21*1000000</f>
        <v/>
      </c>
      <c r="AI82">
        <f>Scenario_Data!U82</f>
        <v/>
      </c>
      <c r="AJ82">
        <f>2*(SQRT((Inputs!$C$52+(Scenario_Data!C82))^2+Inputs!$C$52^2-2*(Inputs!$C$52+(Scenario_Data!C82))*Inputs!$C$52*COS(SQRT((Scenario_Data!U82)^2+Inputs!$C$6^2)/Inputs!$C$52))*1000)/Inputs!$C$21*1000000</f>
        <v/>
      </c>
      <c r="AK82">
        <f>Scenario_Data!V82</f>
        <v/>
      </c>
      <c r="AL82">
        <f>2*(SQRT((Inputs!$C$52+(Scenario_Data!D82))^2+Inputs!$C$52^2-2*(Inputs!$C$52+(Scenario_Data!D82))*Inputs!$C$52*COS(SQRT((Scenario_Data!V82)^2+Inputs!$C$6^2)/Inputs!$C$52))*1000)/Inputs!$C$21*1000000</f>
        <v/>
      </c>
      <c r="AM82">
        <f>Scenario_Data!W82</f>
        <v/>
      </c>
      <c r="AN82">
        <f>2*(SQRT((Inputs!$C$52+(Scenario_Data!E82))^2+Inputs!$C$52^2-2*(Inputs!$C$52+(Scenario_Data!E82))*Inputs!$C$52*COS(SQRT((Scenario_Data!W82)^2+Inputs!$C$6^2)/Inputs!$C$52))*1000)/Inputs!$C$21*1000000</f>
        <v/>
      </c>
      <c r="AP82">
        <f>Scenario_Data!T82</f>
        <v/>
      </c>
      <c r="AQ82">
        <f>2*(SQRT((Inputs!$C$52+(Scenario_Data!B82))^2+(Inputs!$C$52+((IF(OR(Inputs!$C$27=TRUE,Inputs!$C$27="TRUE",Inputs!$C$27=1),1,0)*(Inputs!$C$51*(115*EXP(-(((Inputs!$C$6)-25)^2)/(4.5^2))+70*EXP(-(((Inputs!$C$6)+38)^2)/(7^2))*(0.55+0.45*SIN(2*PI()*(Scenario_Data!T82)/45))+24*SIN(2*PI()*(Inputs!$C$6)/9+(Scenario_Data!T82)/18)*EXP(-(((Inputs!$C$6)+5)^2)/(22^2))+18*SIN(2*PI()*(Scenario_Data!T82)/70))+Inputs!$C$28*EXP(-(((Scenario_Data!T82)-Inputs!$C$29)^2)/(2*Inputs!$C$31^2))*EXP(-(((Inputs!$C$6)-Inputs!$C$30)^2)/(2*Inputs!$C$32^2))+-Inputs!$C$33*EXP(-(((((Scenario_Data!T82)-Inputs!$C$34)^2)+(((Inputs!$C$6)-Inputs!$C$35)^2))/(2*Inputs!$C$36^2)))+Inputs!$C$37*(0.55*SIN(2*PI()*(Scenario_Data!T82)/Inputs!$C$39)+0.35*COS(2*PI()*(Inputs!$C$6)/Inputs!$C$40)+0.2*SIN(2*PI()*((Scenario_Data!T82)+(Inputs!$C$6))/(0.5*(Inputs!$C$39+Inputs!$C$40))))+Inputs!$C$38*SIN(2*PI()*(Scenario_Data!T82)/Inputs!$C$39)*SIN(2*PI()*(Inputs!$C$6)/Inputs!$C$40)+-Inputs!$C$41*EXP(-(((Inputs!$C$6)-Inputs!$C$43)^2)/(2*Inputs!$C$44^2))*EXP(-(((Scenario_Data!T82)-Inputs!$C$42)^2)/(2*Inputs!$C$45^2))+Inputs!$C$48*(0.7*(0.45*SIN(2*PI()*(((Scenario_Data!T82)/Inputs!$C$49)+Inputs!$C$47*0.137))+0.35*COS(2*PI()*(((Inputs!$C$6)/Inputs!$C$50)+Inputs!$C$47*0.173))+0.2*SIN(2*PI()*((((Scenario_Data!T82)+(Inputs!$C$6))/(0.5*(Inputs!$C$49+Inputs!$C$50)))+Inputs!$C$47*0.097)))+0.3*(2*((SIN(((Scenario_Data!T82)*12.9898+(Inputs!$C$6)*78.233+Inputs!$C$47*37.719))*43758.5453)-INT((SIN(((Scenario_Data!T82)*12.9898+(Inputs!$C$6)*78.233+Inputs!$C$47*37.719))*43758.5453)))-1))))/1000))^2-2*(Inputs!$C$52+(Scenario_Data!B82))*(Inputs!$C$52+((IF(OR(Inputs!$C$27=TRUE,Inputs!$C$27="TRUE",Inputs!$C$27=1),1,0)*(Inputs!$C$51*(115*EXP(-(((Inputs!$C$6)-25)^2)/(4.5^2))+70*EXP(-(((Inputs!$C$6)+38)^2)/(7^2))*(0.55+0.45*SIN(2*PI()*(Scenario_Data!T82)/45))+24*SIN(2*PI()*(Inputs!$C$6)/9+(Scenario_Data!T82)/18)*EXP(-(((Inputs!$C$6)+5)^2)/(22^2))+18*SIN(2*PI()*(Scenario_Data!T82)/70))+Inputs!$C$28*EXP(-(((Scenario_Data!T82)-Inputs!$C$29)^2)/(2*Inputs!$C$31^2))*EXP(-(((Inputs!$C$6)-Inputs!$C$30)^2)/(2*Inputs!$C$32^2))+-Inputs!$C$33*EXP(-(((((Scenario_Data!T82)-Inputs!$C$34)^2)+(((Inputs!$C$6)-Inputs!$C$35)^2))/(2*Inputs!$C$36^2)))+Inputs!$C$37*(0.55*SIN(2*PI()*(Scenario_Data!T82)/Inputs!$C$39)+0.35*COS(2*PI()*(Inputs!$C$6)/Inputs!$C$40)+0.2*SIN(2*PI()*((Scenario_Data!T82)+(Inputs!$C$6))/(0.5*(Inputs!$C$39+Inputs!$C$40))))+Inputs!$C$38*SIN(2*PI()*(Scenario_Data!T82)/Inputs!$C$39)*SIN(2*PI()*(Inputs!$C$6)/Inputs!$C$40)+-Inputs!$C$41*EXP(-(((Inputs!$C$6)-Inputs!$C$43)^2)/(2*Inputs!$C$44^2))*EXP(-(((Scenario_Data!T82)-Inputs!$C$42)^2)/(2*Inputs!$C$45^2))+Inputs!$C$48*(0.7*(0.45*SIN(2*PI()*(((Scenario_Data!T82)/Inputs!$C$49)+Inputs!$C$47*0.137))+0.35*COS(2*PI()*(((Inputs!$C$6)/Inputs!$C$50)+Inputs!$C$47*0.173))+0.2*SIN(2*PI()*((((Scenario_Data!T82)+(Inputs!$C$6))/(0.5*(Inputs!$C$49+Inputs!$C$50)))+Inputs!$C$47*0.097)))+0.3*(2*((SIN(((Scenario_Data!T82)*12.9898+(Inputs!$C$6)*78.233+Inputs!$C$47*37.719))*43758.5453)-INT((SIN(((Scenario_Data!T82)*12.9898+(Inputs!$C$6)*78.233+Inputs!$C$47*37.719))*43758.5453)))-1))))/1000))*COS(SQRT((Scenario_Data!T82)^2+Inputs!$C$6^2)/Inputs!$C$52))*1000)/Inputs!$C$21*1000000</f>
        <v/>
      </c>
      <c r="AR82">
        <f>Scenario_Data!U82</f>
        <v/>
      </c>
      <c r="AS82">
        <f>2*(SQRT((Inputs!$C$52+(Scenario_Data!C82))^2+(Inputs!$C$52+((IF(OR(Inputs!$C$27=TRUE,Inputs!$C$27="TRUE",Inputs!$C$27=1),1,0)*(Inputs!$C$51*(115*EXP(-(((Inputs!$C$6)-25)^2)/(4.5^2))+70*EXP(-(((Inputs!$C$6)+38)^2)/(7^2))*(0.55+0.45*SIN(2*PI()*(Scenario_Data!U82)/45))+24*SIN(2*PI()*(Inputs!$C$6)/9+(Scenario_Data!U82)/18)*EXP(-(((Inputs!$C$6)+5)^2)/(22^2))+18*SIN(2*PI()*(Scenario_Data!U82)/70))+Inputs!$C$28*EXP(-(((Scenario_Data!U82)-Inputs!$C$29)^2)/(2*Inputs!$C$31^2))*EXP(-(((Inputs!$C$6)-Inputs!$C$30)^2)/(2*Inputs!$C$32^2))+-Inputs!$C$33*EXP(-(((((Scenario_Data!U82)-Inputs!$C$34)^2)+(((Inputs!$C$6)-Inputs!$C$35)^2))/(2*Inputs!$C$36^2)))+Inputs!$C$37*(0.55*SIN(2*PI()*(Scenario_Data!U82)/Inputs!$C$39)+0.35*COS(2*PI()*(Inputs!$C$6)/Inputs!$C$40)+0.2*SIN(2*PI()*((Scenario_Data!U82)+(Inputs!$C$6))/(0.5*(Inputs!$C$39+Inputs!$C$40))))+Inputs!$C$38*SIN(2*PI()*(Scenario_Data!U82)/Inputs!$C$39)*SIN(2*PI()*(Inputs!$C$6)/Inputs!$C$40)+-Inputs!$C$41*EXP(-(((Inputs!$C$6)-Inputs!$C$43)^2)/(2*Inputs!$C$44^2))*EXP(-(((Scenario_Data!U82)-Inputs!$C$42)^2)/(2*Inputs!$C$45^2))+Inputs!$C$48*(0.7*(0.45*SIN(2*PI()*(((Scenario_Data!U82)/Inputs!$C$49)+Inputs!$C$47*0.137))+0.35*COS(2*PI()*(((Inputs!$C$6)/Inputs!$C$50)+Inputs!$C$47*0.173))+0.2*SIN(2*PI()*((((Scenario_Data!U82)+(Inputs!$C$6))/(0.5*(Inputs!$C$49+Inputs!$C$50)))+Inputs!$C$47*0.097)))+0.3*(2*((SIN(((Scenario_Data!U82)*12.9898+(Inputs!$C$6)*78.233+Inputs!$C$47*37.719))*43758.5453)-INT((SIN(((Scenario_Data!U82)*12.9898+(Inputs!$C$6)*78.233+Inputs!$C$47*37.719))*43758.5453)))-1))))/1000))^2-2*(Inputs!$C$52+(Scenario_Data!C82))*(Inputs!$C$52+((IF(OR(Inputs!$C$27=TRUE,Inputs!$C$27="TRUE",Inputs!$C$27=1),1,0)*(Inputs!$C$51*(115*EXP(-(((Inputs!$C$6)-25)^2)/(4.5^2))+70*EXP(-(((Inputs!$C$6)+38)^2)/(7^2))*(0.55+0.45*SIN(2*PI()*(Scenario_Data!U82)/45))+24*SIN(2*PI()*(Inputs!$C$6)/9+(Scenario_Data!U82)/18)*EXP(-(((Inputs!$C$6)+5)^2)/(22^2))+18*SIN(2*PI()*(Scenario_Data!U82)/70))+Inputs!$C$28*EXP(-(((Scenario_Data!U82)-Inputs!$C$29)^2)/(2*Inputs!$C$31^2))*EXP(-(((Inputs!$C$6)-Inputs!$C$30)^2)/(2*Inputs!$C$32^2))+-Inputs!$C$33*EXP(-(((((Scenario_Data!U82)-Inputs!$C$34)^2)+(((Inputs!$C$6)-Inputs!$C$35)^2))/(2*Inputs!$C$36^2)))+Inputs!$C$37*(0.55*SIN(2*PI()*(Scenario_Data!U82)/Inputs!$C$39)+0.35*COS(2*PI()*(Inputs!$C$6)/Inputs!$C$40)+0.2*SIN(2*PI()*((Scenario_Data!U82)+(Inputs!$C$6))/(0.5*(Inputs!$C$39+Inputs!$C$40))))+Inputs!$C$38*SIN(2*PI()*(Scenario_Data!U82)/Inputs!$C$39)*SIN(2*PI()*(Inputs!$C$6)/Inputs!$C$40)+-Inputs!$C$41*EXP(-(((Inputs!$C$6)-Inputs!$C$43)^2)/(2*Inputs!$C$44^2))*EXP(-(((Scenario_Data!U82)-Inputs!$C$42)^2)/(2*Inputs!$C$45^2))+Inputs!$C$48*(0.7*(0.45*SIN(2*PI()*(((Scenario_Data!U82)/Inputs!$C$49)+Inputs!$C$47*0.137))+0.35*COS(2*PI()*(((Inputs!$C$6)/Inputs!$C$50)+Inputs!$C$47*0.173))+0.2*SIN(2*PI()*((((Scenario_Data!U82)+(Inputs!$C$6))/(0.5*(Inputs!$C$49+Inputs!$C$50)))+Inputs!$C$47*0.097)))+0.3*(2*((SIN(((Scenario_Data!U82)*12.9898+(Inputs!$C$6)*78.233+Inputs!$C$47*37.719))*43758.5453)-INT((SIN(((Scenario_Data!U82)*12.9898+(Inputs!$C$6)*78.233+Inputs!$C$47*37.719))*43758.5453)))-1))))/1000))*COS(SQRT((Scenario_Data!U82)^2+Inputs!$C$6^2)/Inputs!$C$52))*1000)/Inputs!$C$21*1000000</f>
        <v/>
      </c>
      <c r="AT82">
        <f>Scenario_Data!V82</f>
        <v/>
      </c>
      <c r="AU82">
        <f>2*(SQRT((Inputs!$C$52+(Scenario_Data!D82))^2+(Inputs!$C$52+((IF(OR(Inputs!$C$27=TRUE,Inputs!$C$27="TRUE",Inputs!$C$27=1),1,0)*(Inputs!$C$51*(115*EXP(-(((Inputs!$C$6)-25)^2)/(4.5^2))+70*EXP(-(((Inputs!$C$6)+38)^2)/(7^2))*(0.55+0.45*SIN(2*PI()*(Scenario_Data!V82)/45))+24*SIN(2*PI()*(Inputs!$C$6)/9+(Scenario_Data!V82)/18)*EXP(-(((Inputs!$C$6)+5)^2)/(22^2))+18*SIN(2*PI()*(Scenario_Data!V82)/70))+Inputs!$C$28*EXP(-(((Scenario_Data!V82)-Inputs!$C$29)^2)/(2*Inputs!$C$31^2))*EXP(-(((Inputs!$C$6)-Inputs!$C$30)^2)/(2*Inputs!$C$32^2))+-Inputs!$C$33*EXP(-(((((Scenario_Data!V82)-Inputs!$C$34)^2)+(((Inputs!$C$6)-Inputs!$C$35)^2))/(2*Inputs!$C$36^2)))+Inputs!$C$37*(0.55*SIN(2*PI()*(Scenario_Data!V82)/Inputs!$C$39)+0.35*COS(2*PI()*(Inputs!$C$6)/Inputs!$C$40)+0.2*SIN(2*PI()*((Scenario_Data!V82)+(Inputs!$C$6))/(0.5*(Inputs!$C$39+Inputs!$C$40))))+Inputs!$C$38*SIN(2*PI()*(Scenario_Data!V82)/Inputs!$C$39)*SIN(2*PI()*(Inputs!$C$6)/Inputs!$C$40)+-Inputs!$C$41*EXP(-(((Inputs!$C$6)-Inputs!$C$43)^2)/(2*Inputs!$C$44^2))*EXP(-(((Scenario_Data!V82)-Inputs!$C$42)^2)/(2*Inputs!$C$45^2))+Inputs!$C$48*(0.7*(0.45*SIN(2*PI()*(((Scenario_Data!V82)/Inputs!$C$49)+Inputs!$C$47*0.137))+0.35*COS(2*PI()*(((Inputs!$C$6)/Inputs!$C$50)+Inputs!$C$47*0.173))+0.2*SIN(2*PI()*((((Scenario_Data!V82)+(Inputs!$C$6))/(0.5*(Inputs!$C$49+Inputs!$C$50)))+Inputs!$C$47*0.097)))+0.3*(2*((SIN(((Scenario_Data!V82)*12.9898+(Inputs!$C$6)*78.233+Inputs!$C$47*37.719))*43758.5453)-INT((SIN(((Scenario_Data!V82)*12.9898+(Inputs!$C$6)*78.233+Inputs!$C$47*37.719))*43758.5453)))-1))))/1000))^2-2*(Inputs!$C$52+(Scenario_Data!D82))*(Inputs!$C$52+((IF(OR(Inputs!$C$27=TRUE,Inputs!$C$27="TRUE",Inputs!$C$27=1),1,0)*(Inputs!$C$51*(115*EXP(-(((Inputs!$C$6)-25)^2)/(4.5^2))+70*EXP(-(((Inputs!$C$6)+38)^2)/(7^2))*(0.55+0.45*SIN(2*PI()*(Scenario_Data!V82)/45))+24*SIN(2*PI()*(Inputs!$C$6)/9+(Scenario_Data!V82)/18)*EXP(-(((Inputs!$C$6)+5)^2)/(22^2))+18*SIN(2*PI()*(Scenario_Data!V82)/70))+Inputs!$C$28*EXP(-(((Scenario_Data!V82)-Inputs!$C$29)^2)/(2*Inputs!$C$31^2))*EXP(-(((Inputs!$C$6)-Inputs!$C$30)^2)/(2*Inputs!$C$32^2))+-Inputs!$C$33*EXP(-(((((Scenario_Data!V82)-Inputs!$C$34)^2)+(((Inputs!$C$6)-Inputs!$C$35)^2))/(2*Inputs!$C$36^2)))+Inputs!$C$37*(0.55*SIN(2*PI()*(Scenario_Data!V82)/Inputs!$C$39)+0.35*COS(2*PI()*(Inputs!$C$6)/Inputs!$C$40)+0.2*SIN(2*PI()*((Scenario_Data!V82)+(Inputs!$C$6))/(0.5*(Inputs!$C$39+Inputs!$C$40))))+Inputs!$C$38*SIN(2*PI()*(Scenario_Data!V82)/Inputs!$C$39)*SIN(2*PI()*(Inputs!$C$6)/Inputs!$C$40)+-Inputs!$C$41*EXP(-(((Inputs!$C$6)-Inputs!$C$43)^2)/(2*Inputs!$C$44^2))*EXP(-(((Scenario_Data!V82)-Inputs!$C$42)^2)/(2*Inputs!$C$45^2))+Inputs!$C$48*(0.7*(0.45*SIN(2*PI()*(((Scenario_Data!V82)/Inputs!$C$49)+Inputs!$C$47*0.137))+0.35*COS(2*PI()*(((Inputs!$C$6)/Inputs!$C$50)+Inputs!$C$47*0.173))+0.2*SIN(2*PI()*((((Scenario_Data!V82)+(Inputs!$C$6))/(0.5*(Inputs!$C$49+Inputs!$C$50)))+Inputs!$C$47*0.097)))+0.3*(2*((SIN(((Scenario_Data!V82)*12.9898+(Inputs!$C$6)*78.233+Inputs!$C$47*37.719))*43758.5453)-INT((SIN(((Scenario_Data!V82)*12.9898+(Inputs!$C$6)*78.233+Inputs!$C$47*37.719))*43758.5453)))-1))))/1000))*COS(SQRT((Scenario_Data!V82)^2+Inputs!$C$6^2)/Inputs!$C$52))*1000)/Inputs!$C$21*1000000</f>
        <v/>
      </c>
      <c r="AV82">
        <f>Scenario_Data!W82</f>
        <v/>
      </c>
      <c r="AW82">
        <f>2*(SQRT((Inputs!$C$52+(Scenario_Data!E82))^2+(Inputs!$C$52+((IF(OR(Inputs!$C$27=TRUE,Inputs!$C$27="TRUE",Inputs!$C$27=1),1,0)*(Inputs!$C$51*(115*EXP(-(((Inputs!$C$6)-25)^2)/(4.5^2))+70*EXP(-(((Inputs!$C$6)+38)^2)/(7^2))*(0.55+0.45*SIN(2*PI()*(Scenario_Data!W82)/45))+24*SIN(2*PI()*(Inputs!$C$6)/9+(Scenario_Data!W82)/18)*EXP(-(((Inputs!$C$6)+5)^2)/(22^2))+18*SIN(2*PI()*(Scenario_Data!W82)/70))+Inputs!$C$28*EXP(-(((Scenario_Data!W82)-Inputs!$C$29)^2)/(2*Inputs!$C$31^2))*EXP(-(((Inputs!$C$6)-Inputs!$C$30)^2)/(2*Inputs!$C$32^2))+-Inputs!$C$33*EXP(-(((((Scenario_Data!W82)-Inputs!$C$34)^2)+(((Inputs!$C$6)-Inputs!$C$35)^2))/(2*Inputs!$C$36^2)))+Inputs!$C$37*(0.55*SIN(2*PI()*(Scenario_Data!W82)/Inputs!$C$39)+0.35*COS(2*PI()*(Inputs!$C$6)/Inputs!$C$40)+0.2*SIN(2*PI()*((Scenario_Data!W82)+(Inputs!$C$6))/(0.5*(Inputs!$C$39+Inputs!$C$40))))+Inputs!$C$38*SIN(2*PI()*(Scenario_Data!W82)/Inputs!$C$39)*SIN(2*PI()*(Inputs!$C$6)/Inputs!$C$40)+-Inputs!$C$41*EXP(-(((Inputs!$C$6)-Inputs!$C$43)^2)/(2*Inputs!$C$44^2))*EXP(-(((Scenario_Data!W82)-Inputs!$C$42)^2)/(2*Inputs!$C$45^2))+Inputs!$C$48*(0.7*(0.45*SIN(2*PI()*(((Scenario_Data!W82)/Inputs!$C$49)+Inputs!$C$47*0.137))+0.35*COS(2*PI()*(((Inputs!$C$6)/Inputs!$C$50)+Inputs!$C$47*0.173))+0.2*SIN(2*PI()*((((Scenario_Data!W82)+(Inputs!$C$6))/(0.5*(Inputs!$C$49+Inputs!$C$50)))+Inputs!$C$47*0.097)))+0.3*(2*((SIN(((Scenario_Data!W82)*12.9898+(Inputs!$C$6)*78.233+Inputs!$C$47*37.719))*43758.5453)-INT((SIN(((Scenario_Data!W82)*12.9898+(Inputs!$C$6)*78.233+Inputs!$C$47*37.719))*43758.5453)))-1))))/1000))^2-2*(Inputs!$C$52+(Scenario_Data!E82))*(Inputs!$C$52+((IF(OR(Inputs!$C$27=TRUE,Inputs!$C$27="TRUE",Inputs!$C$27=1),1,0)*(Inputs!$C$51*(115*EXP(-(((Inputs!$C$6)-25)^2)/(4.5^2))+70*EXP(-(((Inputs!$C$6)+38)^2)/(7^2))*(0.55+0.45*SIN(2*PI()*(Scenario_Data!W82)/45))+24*SIN(2*PI()*(Inputs!$C$6)/9+(Scenario_Data!W82)/18)*EXP(-(((Inputs!$C$6)+5)^2)/(22^2))+18*SIN(2*PI()*(Scenario_Data!W82)/70))+Inputs!$C$28*EXP(-(((Scenario_Data!W82)-Inputs!$C$29)^2)/(2*Inputs!$C$31^2))*EXP(-(((Inputs!$C$6)-Inputs!$C$30)^2)/(2*Inputs!$C$32^2))+-Inputs!$C$33*EXP(-(((((Scenario_Data!W82)-Inputs!$C$34)^2)+(((Inputs!$C$6)-Inputs!$C$35)^2))/(2*Inputs!$C$36^2)))+Inputs!$C$37*(0.55*SIN(2*PI()*(Scenario_Data!W82)/Inputs!$C$39)+0.35*COS(2*PI()*(Inputs!$C$6)/Inputs!$C$40)+0.2*SIN(2*PI()*((Scenario_Data!W82)+(Inputs!$C$6))/(0.5*(Inputs!$C$39+Inputs!$C$40))))+Inputs!$C$38*SIN(2*PI()*(Scenario_Data!W82)/Inputs!$C$39)*SIN(2*PI()*(Inputs!$C$6)/Inputs!$C$40)+-Inputs!$C$41*EXP(-(((Inputs!$C$6)-Inputs!$C$43)^2)/(2*Inputs!$C$44^2))*EXP(-(((Scenario_Data!W82)-Inputs!$C$42)^2)/(2*Inputs!$C$45^2))+Inputs!$C$48*(0.7*(0.45*SIN(2*PI()*(((Scenario_Data!W82)/Inputs!$C$49)+Inputs!$C$47*0.137))+0.35*COS(2*PI()*(((Inputs!$C$6)/Inputs!$C$50)+Inputs!$C$47*0.173))+0.2*SIN(2*PI()*((((Scenario_Data!W82)+(Inputs!$C$6))/(0.5*(Inputs!$C$49+Inputs!$C$50)))+Inputs!$C$47*0.097)))+0.3*(2*((SIN(((Scenario_Data!W82)*12.9898+(Inputs!$C$6)*78.233+Inputs!$C$47*37.719))*43758.5453)-INT((SIN(((Scenario_Data!W82)*12.9898+(Inputs!$C$6)*78.233+Inputs!$C$47*37.719))*43758.5453)))-1))))/1000))*COS(SQRT((Scenario_Data!W82)^2+Inputs!$C$6^2)/Inputs!$C$52))*1000)/Inputs!$C$21*1000000</f>
        <v/>
      </c>
    </row>
    <row r="83">
      <c r="A83">
        <f>Chart_Data!K83</f>
        <v/>
      </c>
      <c r="B83">
        <f>Chart_Data!N83-Chart_Data!L83</f>
        <v/>
      </c>
      <c r="D83">
        <f>Chart_Data!G83</f>
        <v/>
      </c>
      <c r="E83">
        <f>Chart_Data!H83</f>
        <v/>
      </c>
      <c r="F83">
        <f>Chart_Data!I83</f>
        <v/>
      </c>
      <c r="G83">
        <f>Chart_Data!J83</f>
        <v/>
      </c>
      <c r="I83">
        <f>Scenario_Data!A83</f>
        <v/>
      </c>
      <c r="J83">
        <f>Scenario_Data!H83-(((SQRT((Inputs!$C$52+(Inputs!$H$6))^2+Inputs!$C$52^2-2*(Inputs!$C$52+(Inputs!$H$6))*Inputs!$C$52*COS(SQRT((Scenario_Data!T83)^2+Inputs!$C$6^2)/Inputs!$C$52)))-(Inputs!$H$6))*1000/Inputs!$C$12)</f>
        <v/>
      </c>
      <c r="K83">
        <f>Scenario_Data!I83-(((SQRT((Inputs!$C$52+(Inputs!$H$7))^2+Inputs!$C$52^2-2*(Inputs!$C$52+(Inputs!$H$7))*Inputs!$C$52*COS(SQRT((Scenario_Data!U83)^2+Inputs!$C$6^2)/Inputs!$C$52)))-(Inputs!$H$7))*1000/Inputs!$C$12)</f>
        <v/>
      </c>
      <c r="L83">
        <f>Scenario_Data!J83-(((SQRT((Inputs!$C$52+(Inputs!$H$8))^2+Inputs!$C$52^2-2*(Inputs!$C$52+(Inputs!$H$8))*Inputs!$C$52*COS(SQRT((Scenario_Data!V83)^2+Inputs!$C$6^2)/Inputs!$C$52)))-(Inputs!$H$8))*1000/Inputs!$C$12)</f>
        <v/>
      </c>
      <c r="M83">
        <f>Scenario_Data!K83-(((SQRT((Inputs!$C$52+(Inputs!$H$9))^2+Inputs!$C$52^2-2*(Inputs!$C$52+(Inputs!$H$9))*Inputs!$C$52*COS(SQRT((Scenario_Data!W83)^2+Inputs!$C$6^2)/Inputs!$C$52)))-(Inputs!$H$9))*1000/Inputs!$C$12)</f>
        <v/>
      </c>
      <c r="O83">
        <f>Scenario_Data!T83</f>
        <v/>
      </c>
      <c r="P83">
        <f>2*(Scenario_Data!B83*1000)/Inputs!$C$21*1000000</f>
        <v/>
      </c>
      <c r="Q83">
        <f>Scenario_Data!U83</f>
        <v/>
      </c>
      <c r="R83">
        <f>2*(Scenario_Data!C83*1000)/Inputs!$C$21*1000000</f>
        <v/>
      </c>
      <c r="S83">
        <f>Scenario_Data!V83</f>
        <v/>
      </c>
      <c r="T83">
        <f>2*(Scenario_Data!D83*1000)/Inputs!$C$21*1000000</f>
        <v/>
      </c>
      <c r="U83">
        <f>Scenario_Data!W83</f>
        <v/>
      </c>
      <c r="V83">
        <f>2*(Scenario_Data!E83*1000)/Inputs!$C$21*1000000</f>
        <v/>
      </c>
      <c r="X83">
        <f>Scenario_Data!T83</f>
        <v/>
      </c>
      <c r="Y83">
        <f>2*((Scenario_Data!B83*1000)-(IF(OR(Inputs!$C$27=TRUE,Inputs!$C$27="TRUE",Inputs!$C$27=1),1,0)*(Inputs!$C$51*(115*EXP(-(((0)-25)^2)/(4.5^2))+70*EXP(-(((0)+38)^2)/(7^2))*(0.55+0.45*SIN(2*PI()*(Scenario_Data!T83)/45))+24*SIN(2*PI()*(0)/9+(Scenario_Data!T83)/18)*EXP(-(((0)+5)^2)/(22^2))+18*SIN(2*PI()*(Scenario_Data!T83)/70))+Inputs!$C$28*EXP(-(((Scenario_Data!T83)-Inputs!$C$29)^2)/(2*Inputs!$C$31^2))*EXP(-(((0)-Inputs!$C$30)^2)/(2*Inputs!$C$32^2))+-Inputs!$C$33*EXP(-(((((Scenario_Data!T83)-Inputs!$C$34)^2)+(((0)-Inputs!$C$35)^2))/(2*Inputs!$C$36^2)))+Inputs!$C$37*(0.55*SIN(2*PI()*(Scenario_Data!T83)/Inputs!$C$39)+0.35*COS(2*PI()*(0)/Inputs!$C$40)+0.2*SIN(2*PI()*((Scenario_Data!T83)+(0))/(0.5*(Inputs!$C$39+Inputs!$C$40))))+Inputs!$C$38*SIN(2*PI()*(Scenario_Data!T83)/Inputs!$C$39)*SIN(2*PI()*(0)/Inputs!$C$40)+-Inputs!$C$41*EXP(-(((0)-Inputs!$C$43)^2)/(2*Inputs!$C$44^2))*EXP(-(((Scenario_Data!T83)-Inputs!$C$42)^2)/(2*Inputs!$C$45^2))+Inputs!$C$48*(0.7*(0.45*SIN(2*PI()*(((Scenario_Data!T83)/Inputs!$C$49)+Inputs!$C$47*0.137))+0.35*COS(2*PI()*(((0)/Inputs!$C$50)+Inputs!$C$47*0.173))+0.2*SIN(2*PI()*((((Scenario_Data!T83)+(0))/(0.5*(Inputs!$C$49+Inputs!$C$50)))+Inputs!$C$47*0.097)))+0.3*(2*((SIN(((Scenario_Data!T83)*12.9898+(0)*78.233+Inputs!$C$47*37.719))*43758.5453)-INT((SIN(((Scenario_Data!T83)*12.9898+(0)*78.233+Inputs!$C$47*37.719))*43758.5453)))-1)))))/Inputs!$C$21*1000000</f>
        <v/>
      </c>
      <c r="Z83">
        <f>Scenario_Data!U83</f>
        <v/>
      </c>
      <c r="AA83">
        <f>2*((Scenario_Data!C83*1000)-(IF(OR(Inputs!$C$27=TRUE,Inputs!$C$27="TRUE",Inputs!$C$27=1),1,0)*(Inputs!$C$51*(115*EXP(-(((0)-25)^2)/(4.5^2))+70*EXP(-(((0)+38)^2)/(7^2))*(0.55+0.45*SIN(2*PI()*(Scenario_Data!U83)/45))+24*SIN(2*PI()*(0)/9+(Scenario_Data!U83)/18)*EXP(-(((0)+5)^2)/(22^2))+18*SIN(2*PI()*(Scenario_Data!U83)/70))+Inputs!$C$28*EXP(-(((Scenario_Data!U83)-Inputs!$C$29)^2)/(2*Inputs!$C$31^2))*EXP(-(((0)-Inputs!$C$30)^2)/(2*Inputs!$C$32^2))+-Inputs!$C$33*EXP(-(((((Scenario_Data!U83)-Inputs!$C$34)^2)+(((0)-Inputs!$C$35)^2))/(2*Inputs!$C$36^2)))+Inputs!$C$37*(0.55*SIN(2*PI()*(Scenario_Data!U83)/Inputs!$C$39)+0.35*COS(2*PI()*(0)/Inputs!$C$40)+0.2*SIN(2*PI()*((Scenario_Data!U83)+(0))/(0.5*(Inputs!$C$39+Inputs!$C$40))))+Inputs!$C$38*SIN(2*PI()*(Scenario_Data!U83)/Inputs!$C$39)*SIN(2*PI()*(0)/Inputs!$C$40)+-Inputs!$C$41*EXP(-(((0)-Inputs!$C$43)^2)/(2*Inputs!$C$44^2))*EXP(-(((Scenario_Data!U83)-Inputs!$C$42)^2)/(2*Inputs!$C$45^2))+Inputs!$C$48*(0.7*(0.45*SIN(2*PI()*(((Scenario_Data!U83)/Inputs!$C$49)+Inputs!$C$47*0.137))+0.35*COS(2*PI()*(((0)/Inputs!$C$50)+Inputs!$C$47*0.173))+0.2*SIN(2*PI()*((((Scenario_Data!U83)+(0))/(0.5*(Inputs!$C$49+Inputs!$C$50)))+Inputs!$C$47*0.097)))+0.3*(2*((SIN(((Scenario_Data!U83)*12.9898+(0)*78.233+Inputs!$C$47*37.719))*43758.5453)-INT((SIN(((Scenario_Data!U83)*12.9898+(0)*78.233+Inputs!$C$47*37.719))*43758.5453)))-1)))))/Inputs!$C$21*1000000</f>
        <v/>
      </c>
      <c r="AB83">
        <f>Scenario_Data!V83</f>
        <v/>
      </c>
      <c r="AC83">
        <f>2*((Scenario_Data!D83*1000)-(IF(OR(Inputs!$C$27=TRUE,Inputs!$C$27="TRUE",Inputs!$C$27=1),1,0)*(Inputs!$C$51*(115*EXP(-(((0)-25)^2)/(4.5^2))+70*EXP(-(((0)+38)^2)/(7^2))*(0.55+0.45*SIN(2*PI()*(Scenario_Data!V83)/45))+24*SIN(2*PI()*(0)/9+(Scenario_Data!V83)/18)*EXP(-(((0)+5)^2)/(22^2))+18*SIN(2*PI()*(Scenario_Data!V83)/70))+Inputs!$C$28*EXP(-(((Scenario_Data!V83)-Inputs!$C$29)^2)/(2*Inputs!$C$31^2))*EXP(-(((0)-Inputs!$C$30)^2)/(2*Inputs!$C$32^2))+-Inputs!$C$33*EXP(-(((((Scenario_Data!V83)-Inputs!$C$34)^2)+(((0)-Inputs!$C$35)^2))/(2*Inputs!$C$36^2)))+Inputs!$C$37*(0.55*SIN(2*PI()*(Scenario_Data!V83)/Inputs!$C$39)+0.35*COS(2*PI()*(0)/Inputs!$C$40)+0.2*SIN(2*PI()*((Scenario_Data!V83)+(0))/(0.5*(Inputs!$C$39+Inputs!$C$40))))+Inputs!$C$38*SIN(2*PI()*(Scenario_Data!V83)/Inputs!$C$39)*SIN(2*PI()*(0)/Inputs!$C$40)+-Inputs!$C$41*EXP(-(((0)-Inputs!$C$43)^2)/(2*Inputs!$C$44^2))*EXP(-(((Scenario_Data!V83)-Inputs!$C$42)^2)/(2*Inputs!$C$45^2))+Inputs!$C$48*(0.7*(0.45*SIN(2*PI()*(((Scenario_Data!V83)/Inputs!$C$49)+Inputs!$C$47*0.137))+0.35*COS(2*PI()*(((0)/Inputs!$C$50)+Inputs!$C$47*0.173))+0.2*SIN(2*PI()*((((Scenario_Data!V83)+(0))/(0.5*(Inputs!$C$49+Inputs!$C$50)))+Inputs!$C$47*0.097)))+0.3*(2*((SIN(((Scenario_Data!V83)*12.9898+(0)*78.233+Inputs!$C$47*37.719))*43758.5453)-INT((SIN(((Scenario_Data!V83)*12.9898+(0)*78.233+Inputs!$C$47*37.719))*43758.5453)))-1)))))/Inputs!$C$21*1000000</f>
        <v/>
      </c>
      <c r="AD83">
        <f>Scenario_Data!W83</f>
        <v/>
      </c>
      <c r="AE83">
        <f>2*((Scenario_Data!E83*1000)-(IF(OR(Inputs!$C$27=TRUE,Inputs!$C$27="TRUE",Inputs!$C$27=1),1,0)*(Inputs!$C$51*(115*EXP(-(((0)-25)^2)/(4.5^2))+70*EXP(-(((0)+38)^2)/(7^2))*(0.55+0.45*SIN(2*PI()*(Scenario_Data!W83)/45))+24*SIN(2*PI()*(0)/9+(Scenario_Data!W83)/18)*EXP(-(((0)+5)^2)/(22^2))+18*SIN(2*PI()*(Scenario_Data!W83)/70))+Inputs!$C$28*EXP(-(((Scenario_Data!W83)-Inputs!$C$29)^2)/(2*Inputs!$C$31^2))*EXP(-(((0)-Inputs!$C$30)^2)/(2*Inputs!$C$32^2))+-Inputs!$C$33*EXP(-(((((Scenario_Data!W83)-Inputs!$C$34)^2)+(((0)-Inputs!$C$35)^2))/(2*Inputs!$C$36^2)))+Inputs!$C$37*(0.55*SIN(2*PI()*(Scenario_Data!W83)/Inputs!$C$39)+0.35*COS(2*PI()*(0)/Inputs!$C$40)+0.2*SIN(2*PI()*((Scenario_Data!W83)+(0))/(0.5*(Inputs!$C$39+Inputs!$C$40))))+Inputs!$C$38*SIN(2*PI()*(Scenario_Data!W83)/Inputs!$C$39)*SIN(2*PI()*(0)/Inputs!$C$40)+-Inputs!$C$41*EXP(-(((0)-Inputs!$C$43)^2)/(2*Inputs!$C$44^2))*EXP(-(((Scenario_Data!W83)-Inputs!$C$42)^2)/(2*Inputs!$C$45^2))+Inputs!$C$48*(0.7*(0.45*SIN(2*PI()*(((Scenario_Data!W83)/Inputs!$C$49)+Inputs!$C$47*0.137))+0.35*COS(2*PI()*(((0)/Inputs!$C$50)+Inputs!$C$47*0.173))+0.2*SIN(2*PI()*((((Scenario_Data!W83)+(0))/(0.5*(Inputs!$C$49+Inputs!$C$50)))+Inputs!$C$47*0.097)))+0.3*(2*((SIN(((Scenario_Data!W83)*12.9898+(0)*78.233+Inputs!$C$47*37.719))*43758.5453)-INT((SIN(((Scenario_Data!W83)*12.9898+(0)*78.233+Inputs!$C$47*37.719))*43758.5453)))-1)))))/Inputs!$C$21*1000000</f>
        <v/>
      </c>
      <c r="AG83">
        <f>Scenario_Data!T83</f>
        <v/>
      </c>
      <c r="AH83">
        <f>2*(SQRT((Inputs!$C$52+(Scenario_Data!B83))^2+Inputs!$C$52^2-2*(Inputs!$C$52+(Scenario_Data!B83))*Inputs!$C$52*COS(SQRT((Scenario_Data!T83)^2+Inputs!$C$6^2)/Inputs!$C$52))*1000)/Inputs!$C$21*1000000</f>
        <v/>
      </c>
      <c r="AI83">
        <f>Scenario_Data!U83</f>
        <v/>
      </c>
      <c r="AJ83">
        <f>2*(SQRT((Inputs!$C$52+(Scenario_Data!C83))^2+Inputs!$C$52^2-2*(Inputs!$C$52+(Scenario_Data!C83))*Inputs!$C$52*COS(SQRT((Scenario_Data!U83)^2+Inputs!$C$6^2)/Inputs!$C$52))*1000)/Inputs!$C$21*1000000</f>
        <v/>
      </c>
      <c r="AK83">
        <f>Scenario_Data!V83</f>
        <v/>
      </c>
      <c r="AL83">
        <f>2*(SQRT((Inputs!$C$52+(Scenario_Data!D83))^2+Inputs!$C$52^2-2*(Inputs!$C$52+(Scenario_Data!D83))*Inputs!$C$52*COS(SQRT((Scenario_Data!V83)^2+Inputs!$C$6^2)/Inputs!$C$52))*1000)/Inputs!$C$21*1000000</f>
        <v/>
      </c>
      <c r="AM83">
        <f>Scenario_Data!W83</f>
        <v/>
      </c>
      <c r="AN83">
        <f>2*(SQRT((Inputs!$C$52+(Scenario_Data!E83))^2+Inputs!$C$52^2-2*(Inputs!$C$52+(Scenario_Data!E83))*Inputs!$C$52*COS(SQRT((Scenario_Data!W83)^2+Inputs!$C$6^2)/Inputs!$C$52))*1000)/Inputs!$C$21*1000000</f>
        <v/>
      </c>
      <c r="AP83">
        <f>Scenario_Data!T83</f>
        <v/>
      </c>
      <c r="AQ83">
        <f>2*(SQRT((Inputs!$C$52+(Scenario_Data!B83))^2+(Inputs!$C$52+((IF(OR(Inputs!$C$27=TRUE,Inputs!$C$27="TRUE",Inputs!$C$27=1),1,0)*(Inputs!$C$51*(115*EXP(-(((Inputs!$C$6)-25)^2)/(4.5^2))+70*EXP(-(((Inputs!$C$6)+38)^2)/(7^2))*(0.55+0.45*SIN(2*PI()*(Scenario_Data!T83)/45))+24*SIN(2*PI()*(Inputs!$C$6)/9+(Scenario_Data!T83)/18)*EXP(-(((Inputs!$C$6)+5)^2)/(22^2))+18*SIN(2*PI()*(Scenario_Data!T83)/70))+Inputs!$C$28*EXP(-(((Scenario_Data!T83)-Inputs!$C$29)^2)/(2*Inputs!$C$31^2))*EXP(-(((Inputs!$C$6)-Inputs!$C$30)^2)/(2*Inputs!$C$32^2))+-Inputs!$C$33*EXP(-(((((Scenario_Data!T83)-Inputs!$C$34)^2)+(((Inputs!$C$6)-Inputs!$C$35)^2))/(2*Inputs!$C$36^2)))+Inputs!$C$37*(0.55*SIN(2*PI()*(Scenario_Data!T83)/Inputs!$C$39)+0.35*COS(2*PI()*(Inputs!$C$6)/Inputs!$C$40)+0.2*SIN(2*PI()*((Scenario_Data!T83)+(Inputs!$C$6))/(0.5*(Inputs!$C$39+Inputs!$C$40))))+Inputs!$C$38*SIN(2*PI()*(Scenario_Data!T83)/Inputs!$C$39)*SIN(2*PI()*(Inputs!$C$6)/Inputs!$C$40)+-Inputs!$C$41*EXP(-(((Inputs!$C$6)-Inputs!$C$43)^2)/(2*Inputs!$C$44^2))*EXP(-(((Scenario_Data!T83)-Inputs!$C$42)^2)/(2*Inputs!$C$45^2))+Inputs!$C$48*(0.7*(0.45*SIN(2*PI()*(((Scenario_Data!T83)/Inputs!$C$49)+Inputs!$C$47*0.137))+0.35*COS(2*PI()*(((Inputs!$C$6)/Inputs!$C$50)+Inputs!$C$47*0.173))+0.2*SIN(2*PI()*((((Scenario_Data!T83)+(Inputs!$C$6))/(0.5*(Inputs!$C$49+Inputs!$C$50)))+Inputs!$C$47*0.097)))+0.3*(2*((SIN(((Scenario_Data!T83)*12.9898+(Inputs!$C$6)*78.233+Inputs!$C$47*37.719))*43758.5453)-INT((SIN(((Scenario_Data!T83)*12.9898+(Inputs!$C$6)*78.233+Inputs!$C$47*37.719))*43758.5453)))-1))))/1000))^2-2*(Inputs!$C$52+(Scenario_Data!B83))*(Inputs!$C$52+((IF(OR(Inputs!$C$27=TRUE,Inputs!$C$27="TRUE",Inputs!$C$27=1),1,0)*(Inputs!$C$51*(115*EXP(-(((Inputs!$C$6)-25)^2)/(4.5^2))+70*EXP(-(((Inputs!$C$6)+38)^2)/(7^2))*(0.55+0.45*SIN(2*PI()*(Scenario_Data!T83)/45))+24*SIN(2*PI()*(Inputs!$C$6)/9+(Scenario_Data!T83)/18)*EXP(-(((Inputs!$C$6)+5)^2)/(22^2))+18*SIN(2*PI()*(Scenario_Data!T83)/70))+Inputs!$C$28*EXP(-(((Scenario_Data!T83)-Inputs!$C$29)^2)/(2*Inputs!$C$31^2))*EXP(-(((Inputs!$C$6)-Inputs!$C$30)^2)/(2*Inputs!$C$32^2))+-Inputs!$C$33*EXP(-(((((Scenario_Data!T83)-Inputs!$C$34)^2)+(((Inputs!$C$6)-Inputs!$C$35)^2))/(2*Inputs!$C$36^2)))+Inputs!$C$37*(0.55*SIN(2*PI()*(Scenario_Data!T83)/Inputs!$C$39)+0.35*COS(2*PI()*(Inputs!$C$6)/Inputs!$C$40)+0.2*SIN(2*PI()*((Scenario_Data!T83)+(Inputs!$C$6))/(0.5*(Inputs!$C$39+Inputs!$C$40))))+Inputs!$C$38*SIN(2*PI()*(Scenario_Data!T83)/Inputs!$C$39)*SIN(2*PI()*(Inputs!$C$6)/Inputs!$C$40)+-Inputs!$C$41*EXP(-(((Inputs!$C$6)-Inputs!$C$43)^2)/(2*Inputs!$C$44^2))*EXP(-(((Scenario_Data!T83)-Inputs!$C$42)^2)/(2*Inputs!$C$45^2))+Inputs!$C$48*(0.7*(0.45*SIN(2*PI()*(((Scenario_Data!T83)/Inputs!$C$49)+Inputs!$C$47*0.137))+0.35*COS(2*PI()*(((Inputs!$C$6)/Inputs!$C$50)+Inputs!$C$47*0.173))+0.2*SIN(2*PI()*((((Scenario_Data!T83)+(Inputs!$C$6))/(0.5*(Inputs!$C$49+Inputs!$C$50)))+Inputs!$C$47*0.097)))+0.3*(2*((SIN(((Scenario_Data!T83)*12.9898+(Inputs!$C$6)*78.233+Inputs!$C$47*37.719))*43758.5453)-INT((SIN(((Scenario_Data!T83)*12.9898+(Inputs!$C$6)*78.233+Inputs!$C$47*37.719))*43758.5453)))-1))))/1000))*COS(SQRT((Scenario_Data!T83)^2+Inputs!$C$6^2)/Inputs!$C$52))*1000)/Inputs!$C$21*1000000</f>
        <v/>
      </c>
      <c r="AR83">
        <f>Scenario_Data!U83</f>
        <v/>
      </c>
      <c r="AS83">
        <f>2*(SQRT((Inputs!$C$52+(Scenario_Data!C83))^2+(Inputs!$C$52+((IF(OR(Inputs!$C$27=TRUE,Inputs!$C$27="TRUE",Inputs!$C$27=1),1,0)*(Inputs!$C$51*(115*EXP(-(((Inputs!$C$6)-25)^2)/(4.5^2))+70*EXP(-(((Inputs!$C$6)+38)^2)/(7^2))*(0.55+0.45*SIN(2*PI()*(Scenario_Data!U83)/45))+24*SIN(2*PI()*(Inputs!$C$6)/9+(Scenario_Data!U83)/18)*EXP(-(((Inputs!$C$6)+5)^2)/(22^2))+18*SIN(2*PI()*(Scenario_Data!U83)/70))+Inputs!$C$28*EXP(-(((Scenario_Data!U83)-Inputs!$C$29)^2)/(2*Inputs!$C$31^2))*EXP(-(((Inputs!$C$6)-Inputs!$C$30)^2)/(2*Inputs!$C$32^2))+-Inputs!$C$33*EXP(-(((((Scenario_Data!U83)-Inputs!$C$34)^2)+(((Inputs!$C$6)-Inputs!$C$35)^2))/(2*Inputs!$C$36^2)))+Inputs!$C$37*(0.55*SIN(2*PI()*(Scenario_Data!U83)/Inputs!$C$39)+0.35*COS(2*PI()*(Inputs!$C$6)/Inputs!$C$40)+0.2*SIN(2*PI()*((Scenario_Data!U83)+(Inputs!$C$6))/(0.5*(Inputs!$C$39+Inputs!$C$40))))+Inputs!$C$38*SIN(2*PI()*(Scenario_Data!U83)/Inputs!$C$39)*SIN(2*PI()*(Inputs!$C$6)/Inputs!$C$40)+-Inputs!$C$41*EXP(-(((Inputs!$C$6)-Inputs!$C$43)^2)/(2*Inputs!$C$44^2))*EXP(-(((Scenario_Data!U83)-Inputs!$C$42)^2)/(2*Inputs!$C$45^2))+Inputs!$C$48*(0.7*(0.45*SIN(2*PI()*(((Scenario_Data!U83)/Inputs!$C$49)+Inputs!$C$47*0.137))+0.35*COS(2*PI()*(((Inputs!$C$6)/Inputs!$C$50)+Inputs!$C$47*0.173))+0.2*SIN(2*PI()*((((Scenario_Data!U83)+(Inputs!$C$6))/(0.5*(Inputs!$C$49+Inputs!$C$50)))+Inputs!$C$47*0.097)))+0.3*(2*((SIN(((Scenario_Data!U83)*12.9898+(Inputs!$C$6)*78.233+Inputs!$C$47*37.719))*43758.5453)-INT((SIN(((Scenario_Data!U83)*12.9898+(Inputs!$C$6)*78.233+Inputs!$C$47*37.719))*43758.5453)))-1))))/1000))^2-2*(Inputs!$C$52+(Scenario_Data!C83))*(Inputs!$C$52+((IF(OR(Inputs!$C$27=TRUE,Inputs!$C$27="TRUE",Inputs!$C$27=1),1,0)*(Inputs!$C$51*(115*EXP(-(((Inputs!$C$6)-25)^2)/(4.5^2))+70*EXP(-(((Inputs!$C$6)+38)^2)/(7^2))*(0.55+0.45*SIN(2*PI()*(Scenario_Data!U83)/45))+24*SIN(2*PI()*(Inputs!$C$6)/9+(Scenario_Data!U83)/18)*EXP(-(((Inputs!$C$6)+5)^2)/(22^2))+18*SIN(2*PI()*(Scenario_Data!U83)/70))+Inputs!$C$28*EXP(-(((Scenario_Data!U83)-Inputs!$C$29)^2)/(2*Inputs!$C$31^2))*EXP(-(((Inputs!$C$6)-Inputs!$C$30)^2)/(2*Inputs!$C$32^2))+-Inputs!$C$33*EXP(-(((((Scenario_Data!U83)-Inputs!$C$34)^2)+(((Inputs!$C$6)-Inputs!$C$35)^2))/(2*Inputs!$C$36^2)))+Inputs!$C$37*(0.55*SIN(2*PI()*(Scenario_Data!U83)/Inputs!$C$39)+0.35*COS(2*PI()*(Inputs!$C$6)/Inputs!$C$40)+0.2*SIN(2*PI()*((Scenario_Data!U83)+(Inputs!$C$6))/(0.5*(Inputs!$C$39+Inputs!$C$40))))+Inputs!$C$38*SIN(2*PI()*(Scenario_Data!U83)/Inputs!$C$39)*SIN(2*PI()*(Inputs!$C$6)/Inputs!$C$40)+-Inputs!$C$41*EXP(-(((Inputs!$C$6)-Inputs!$C$43)^2)/(2*Inputs!$C$44^2))*EXP(-(((Scenario_Data!U83)-Inputs!$C$42)^2)/(2*Inputs!$C$45^2))+Inputs!$C$48*(0.7*(0.45*SIN(2*PI()*(((Scenario_Data!U83)/Inputs!$C$49)+Inputs!$C$47*0.137))+0.35*COS(2*PI()*(((Inputs!$C$6)/Inputs!$C$50)+Inputs!$C$47*0.173))+0.2*SIN(2*PI()*((((Scenario_Data!U83)+(Inputs!$C$6))/(0.5*(Inputs!$C$49+Inputs!$C$50)))+Inputs!$C$47*0.097)))+0.3*(2*((SIN(((Scenario_Data!U83)*12.9898+(Inputs!$C$6)*78.233+Inputs!$C$47*37.719))*43758.5453)-INT((SIN(((Scenario_Data!U83)*12.9898+(Inputs!$C$6)*78.233+Inputs!$C$47*37.719))*43758.5453)))-1))))/1000))*COS(SQRT((Scenario_Data!U83)^2+Inputs!$C$6^2)/Inputs!$C$52))*1000)/Inputs!$C$21*1000000</f>
        <v/>
      </c>
      <c r="AT83">
        <f>Scenario_Data!V83</f>
        <v/>
      </c>
      <c r="AU83">
        <f>2*(SQRT((Inputs!$C$52+(Scenario_Data!D83))^2+(Inputs!$C$52+((IF(OR(Inputs!$C$27=TRUE,Inputs!$C$27="TRUE",Inputs!$C$27=1),1,0)*(Inputs!$C$51*(115*EXP(-(((Inputs!$C$6)-25)^2)/(4.5^2))+70*EXP(-(((Inputs!$C$6)+38)^2)/(7^2))*(0.55+0.45*SIN(2*PI()*(Scenario_Data!V83)/45))+24*SIN(2*PI()*(Inputs!$C$6)/9+(Scenario_Data!V83)/18)*EXP(-(((Inputs!$C$6)+5)^2)/(22^2))+18*SIN(2*PI()*(Scenario_Data!V83)/70))+Inputs!$C$28*EXP(-(((Scenario_Data!V83)-Inputs!$C$29)^2)/(2*Inputs!$C$31^2))*EXP(-(((Inputs!$C$6)-Inputs!$C$30)^2)/(2*Inputs!$C$32^2))+-Inputs!$C$33*EXP(-(((((Scenario_Data!V83)-Inputs!$C$34)^2)+(((Inputs!$C$6)-Inputs!$C$35)^2))/(2*Inputs!$C$36^2)))+Inputs!$C$37*(0.55*SIN(2*PI()*(Scenario_Data!V83)/Inputs!$C$39)+0.35*COS(2*PI()*(Inputs!$C$6)/Inputs!$C$40)+0.2*SIN(2*PI()*((Scenario_Data!V83)+(Inputs!$C$6))/(0.5*(Inputs!$C$39+Inputs!$C$40))))+Inputs!$C$38*SIN(2*PI()*(Scenario_Data!V83)/Inputs!$C$39)*SIN(2*PI()*(Inputs!$C$6)/Inputs!$C$40)+-Inputs!$C$41*EXP(-(((Inputs!$C$6)-Inputs!$C$43)^2)/(2*Inputs!$C$44^2))*EXP(-(((Scenario_Data!V83)-Inputs!$C$42)^2)/(2*Inputs!$C$45^2))+Inputs!$C$48*(0.7*(0.45*SIN(2*PI()*(((Scenario_Data!V83)/Inputs!$C$49)+Inputs!$C$47*0.137))+0.35*COS(2*PI()*(((Inputs!$C$6)/Inputs!$C$50)+Inputs!$C$47*0.173))+0.2*SIN(2*PI()*((((Scenario_Data!V83)+(Inputs!$C$6))/(0.5*(Inputs!$C$49+Inputs!$C$50)))+Inputs!$C$47*0.097)))+0.3*(2*((SIN(((Scenario_Data!V83)*12.9898+(Inputs!$C$6)*78.233+Inputs!$C$47*37.719))*43758.5453)-INT((SIN(((Scenario_Data!V83)*12.9898+(Inputs!$C$6)*78.233+Inputs!$C$47*37.719))*43758.5453)))-1))))/1000))^2-2*(Inputs!$C$52+(Scenario_Data!D83))*(Inputs!$C$52+((IF(OR(Inputs!$C$27=TRUE,Inputs!$C$27="TRUE",Inputs!$C$27=1),1,0)*(Inputs!$C$51*(115*EXP(-(((Inputs!$C$6)-25)^2)/(4.5^2))+70*EXP(-(((Inputs!$C$6)+38)^2)/(7^2))*(0.55+0.45*SIN(2*PI()*(Scenario_Data!V83)/45))+24*SIN(2*PI()*(Inputs!$C$6)/9+(Scenario_Data!V83)/18)*EXP(-(((Inputs!$C$6)+5)^2)/(22^2))+18*SIN(2*PI()*(Scenario_Data!V83)/70))+Inputs!$C$28*EXP(-(((Scenario_Data!V83)-Inputs!$C$29)^2)/(2*Inputs!$C$31^2))*EXP(-(((Inputs!$C$6)-Inputs!$C$30)^2)/(2*Inputs!$C$32^2))+-Inputs!$C$33*EXP(-(((((Scenario_Data!V83)-Inputs!$C$34)^2)+(((Inputs!$C$6)-Inputs!$C$35)^2))/(2*Inputs!$C$36^2)))+Inputs!$C$37*(0.55*SIN(2*PI()*(Scenario_Data!V83)/Inputs!$C$39)+0.35*COS(2*PI()*(Inputs!$C$6)/Inputs!$C$40)+0.2*SIN(2*PI()*((Scenario_Data!V83)+(Inputs!$C$6))/(0.5*(Inputs!$C$39+Inputs!$C$40))))+Inputs!$C$38*SIN(2*PI()*(Scenario_Data!V83)/Inputs!$C$39)*SIN(2*PI()*(Inputs!$C$6)/Inputs!$C$40)+-Inputs!$C$41*EXP(-(((Inputs!$C$6)-Inputs!$C$43)^2)/(2*Inputs!$C$44^2))*EXP(-(((Scenario_Data!V83)-Inputs!$C$42)^2)/(2*Inputs!$C$45^2))+Inputs!$C$48*(0.7*(0.45*SIN(2*PI()*(((Scenario_Data!V83)/Inputs!$C$49)+Inputs!$C$47*0.137))+0.35*COS(2*PI()*(((Inputs!$C$6)/Inputs!$C$50)+Inputs!$C$47*0.173))+0.2*SIN(2*PI()*((((Scenario_Data!V83)+(Inputs!$C$6))/(0.5*(Inputs!$C$49+Inputs!$C$50)))+Inputs!$C$47*0.097)))+0.3*(2*((SIN(((Scenario_Data!V83)*12.9898+(Inputs!$C$6)*78.233+Inputs!$C$47*37.719))*43758.5453)-INT((SIN(((Scenario_Data!V83)*12.9898+(Inputs!$C$6)*78.233+Inputs!$C$47*37.719))*43758.5453)))-1))))/1000))*COS(SQRT((Scenario_Data!V83)^2+Inputs!$C$6^2)/Inputs!$C$52))*1000)/Inputs!$C$21*1000000</f>
        <v/>
      </c>
      <c r="AV83">
        <f>Scenario_Data!W83</f>
        <v/>
      </c>
      <c r="AW83">
        <f>2*(SQRT((Inputs!$C$52+(Scenario_Data!E83))^2+(Inputs!$C$52+((IF(OR(Inputs!$C$27=TRUE,Inputs!$C$27="TRUE",Inputs!$C$27=1),1,0)*(Inputs!$C$51*(115*EXP(-(((Inputs!$C$6)-25)^2)/(4.5^2))+70*EXP(-(((Inputs!$C$6)+38)^2)/(7^2))*(0.55+0.45*SIN(2*PI()*(Scenario_Data!W83)/45))+24*SIN(2*PI()*(Inputs!$C$6)/9+(Scenario_Data!W83)/18)*EXP(-(((Inputs!$C$6)+5)^2)/(22^2))+18*SIN(2*PI()*(Scenario_Data!W83)/70))+Inputs!$C$28*EXP(-(((Scenario_Data!W83)-Inputs!$C$29)^2)/(2*Inputs!$C$31^2))*EXP(-(((Inputs!$C$6)-Inputs!$C$30)^2)/(2*Inputs!$C$32^2))+-Inputs!$C$33*EXP(-(((((Scenario_Data!W83)-Inputs!$C$34)^2)+(((Inputs!$C$6)-Inputs!$C$35)^2))/(2*Inputs!$C$36^2)))+Inputs!$C$37*(0.55*SIN(2*PI()*(Scenario_Data!W83)/Inputs!$C$39)+0.35*COS(2*PI()*(Inputs!$C$6)/Inputs!$C$40)+0.2*SIN(2*PI()*((Scenario_Data!W83)+(Inputs!$C$6))/(0.5*(Inputs!$C$39+Inputs!$C$40))))+Inputs!$C$38*SIN(2*PI()*(Scenario_Data!W83)/Inputs!$C$39)*SIN(2*PI()*(Inputs!$C$6)/Inputs!$C$40)+-Inputs!$C$41*EXP(-(((Inputs!$C$6)-Inputs!$C$43)^2)/(2*Inputs!$C$44^2))*EXP(-(((Scenario_Data!W83)-Inputs!$C$42)^2)/(2*Inputs!$C$45^2))+Inputs!$C$48*(0.7*(0.45*SIN(2*PI()*(((Scenario_Data!W83)/Inputs!$C$49)+Inputs!$C$47*0.137))+0.35*COS(2*PI()*(((Inputs!$C$6)/Inputs!$C$50)+Inputs!$C$47*0.173))+0.2*SIN(2*PI()*((((Scenario_Data!W83)+(Inputs!$C$6))/(0.5*(Inputs!$C$49+Inputs!$C$50)))+Inputs!$C$47*0.097)))+0.3*(2*((SIN(((Scenario_Data!W83)*12.9898+(Inputs!$C$6)*78.233+Inputs!$C$47*37.719))*43758.5453)-INT((SIN(((Scenario_Data!W83)*12.9898+(Inputs!$C$6)*78.233+Inputs!$C$47*37.719))*43758.5453)))-1))))/1000))^2-2*(Inputs!$C$52+(Scenario_Data!E83))*(Inputs!$C$52+((IF(OR(Inputs!$C$27=TRUE,Inputs!$C$27="TRUE",Inputs!$C$27=1),1,0)*(Inputs!$C$51*(115*EXP(-(((Inputs!$C$6)-25)^2)/(4.5^2))+70*EXP(-(((Inputs!$C$6)+38)^2)/(7^2))*(0.55+0.45*SIN(2*PI()*(Scenario_Data!W83)/45))+24*SIN(2*PI()*(Inputs!$C$6)/9+(Scenario_Data!W83)/18)*EXP(-(((Inputs!$C$6)+5)^2)/(22^2))+18*SIN(2*PI()*(Scenario_Data!W83)/70))+Inputs!$C$28*EXP(-(((Scenario_Data!W83)-Inputs!$C$29)^2)/(2*Inputs!$C$31^2))*EXP(-(((Inputs!$C$6)-Inputs!$C$30)^2)/(2*Inputs!$C$32^2))+-Inputs!$C$33*EXP(-(((((Scenario_Data!W83)-Inputs!$C$34)^2)+(((Inputs!$C$6)-Inputs!$C$35)^2))/(2*Inputs!$C$36^2)))+Inputs!$C$37*(0.55*SIN(2*PI()*(Scenario_Data!W83)/Inputs!$C$39)+0.35*COS(2*PI()*(Inputs!$C$6)/Inputs!$C$40)+0.2*SIN(2*PI()*((Scenario_Data!W83)+(Inputs!$C$6))/(0.5*(Inputs!$C$39+Inputs!$C$40))))+Inputs!$C$38*SIN(2*PI()*(Scenario_Data!W83)/Inputs!$C$39)*SIN(2*PI()*(Inputs!$C$6)/Inputs!$C$40)+-Inputs!$C$41*EXP(-(((Inputs!$C$6)-Inputs!$C$43)^2)/(2*Inputs!$C$44^2))*EXP(-(((Scenario_Data!W83)-Inputs!$C$42)^2)/(2*Inputs!$C$45^2))+Inputs!$C$48*(0.7*(0.45*SIN(2*PI()*(((Scenario_Data!W83)/Inputs!$C$49)+Inputs!$C$47*0.137))+0.35*COS(2*PI()*(((Inputs!$C$6)/Inputs!$C$50)+Inputs!$C$47*0.173))+0.2*SIN(2*PI()*((((Scenario_Data!W83)+(Inputs!$C$6))/(0.5*(Inputs!$C$49+Inputs!$C$50)))+Inputs!$C$47*0.097)))+0.3*(2*((SIN(((Scenario_Data!W83)*12.9898+(Inputs!$C$6)*78.233+Inputs!$C$47*37.719))*43758.5453)-INT((SIN(((Scenario_Data!W83)*12.9898+(Inputs!$C$6)*78.233+Inputs!$C$47*37.719))*43758.5453)))-1))))/1000))*COS(SQRT((Scenario_Data!W83)^2+Inputs!$C$6^2)/Inputs!$C$52))*1000)/Inputs!$C$21*1000000</f>
        <v/>
      </c>
    </row>
    <row r="84">
      <c r="A84">
        <f>Chart_Data!K84</f>
        <v/>
      </c>
      <c r="B84">
        <f>Chart_Data!N84-Chart_Data!L84</f>
        <v/>
      </c>
      <c r="D84">
        <f>Chart_Data!G84</f>
        <v/>
      </c>
      <c r="E84">
        <f>Chart_Data!H84</f>
        <v/>
      </c>
      <c r="F84">
        <f>Chart_Data!I84</f>
        <v/>
      </c>
      <c r="G84">
        <f>Chart_Data!J84</f>
        <v/>
      </c>
      <c r="I84">
        <f>Scenario_Data!A84</f>
        <v/>
      </c>
      <c r="J84">
        <f>Scenario_Data!H84-(((SQRT((Inputs!$C$52+(Inputs!$H$6))^2+Inputs!$C$52^2-2*(Inputs!$C$52+(Inputs!$H$6))*Inputs!$C$52*COS(SQRT((Scenario_Data!T84)^2+Inputs!$C$6^2)/Inputs!$C$52)))-(Inputs!$H$6))*1000/Inputs!$C$12)</f>
        <v/>
      </c>
      <c r="K84">
        <f>Scenario_Data!I84-(((SQRT((Inputs!$C$52+(Inputs!$H$7))^2+Inputs!$C$52^2-2*(Inputs!$C$52+(Inputs!$H$7))*Inputs!$C$52*COS(SQRT((Scenario_Data!U84)^2+Inputs!$C$6^2)/Inputs!$C$52)))-(Inputs!$H$7))*1000/Inputs!$C$12)</f>
        <v/>
      </c>
      <c r="L84">
        <f>Scenario_Data!J84-(((SQRT((Inputs!$C$52+(Inputs!$H$8))^2+Inputs!$C$52^2-2*(Inputs!$C$52+(Inputs!$H$8))*Inputs!$C$52*COS(SQRT((Scenario_Data!V84)^2+Inputs!$C$6^2)/Inputs!$C$52)))-(Inputs!$H$8))*1000/Inputs!$C$12)</f>
        <v/>
      </c>
      <c r="M84">
        <f>Scenario_Data!K84-(((SQRT((Inputs!$C$52+(Inputs!$H$9))^2+Inputs!$C$52^2-2*(Inputs!$C$52+(Inputs!$H$9))*Inputs!$C$52*COS(SQRT((Scenario_Data!W84)^2+Inputs!$C$6^2)/Inputs!$C$52)))-(Inputs!$H$9))*1000/Inputs!$C$12)</f>
        <v/>
      </c>
      <c r="O84">
        <f>Scenario_Data!T84</f>
        <v/>
      </c>
      <c r="P84">
        <f>2*(Scenario_Data!B84*1000)/Inputs!$C$21*1000000</f>
        <v/>
      </c>
      <c r="Q84">
        <f>Scenario_Data!U84</f>
        <v/>
      </c>
      <c r="R84">
        <f>2*(Scenario_Data!C84*1000)/Inputs!$C$21*1000000</f>
        <v/>
      </c>
      <c r="S84">
        <f>Scenario_Data!V84</f>
        <v/>
      </c>
      <c r="T84">
        <f>2*(Scenario_Data!D84*1000)/Inputs!$C$21*1000000</f>
        <v/>
      </c>
      <c r="U84">
        <f>Scenario_Data!W84</f>
        <v/>
      </c>
      <c r="V84">
        <f>2*(Scenario_Data!E84*1000)/Inputs!$C$21*1000000</f>
        <v/>
      </c>
      <c r="X84">
        <f>Scenario_Data!T84</f>
        <v/>
      </c>
      <c r="Y84">
        <f>2*((Scenario_Data!B84*1000)-(IF(OR(Inputs!$C$27=TRUE,Inputs!$C$27="TRUE",Inputs!$C$27=1),1,0)*(Inputs!$C$51*(115*EXP(-(((0)-25)^2)/(4.5^2))+70*EXP(-(((0)+38)^2)/(7^2))*(0.55+0.45*SIN(2*PI()*(Scenario_Data!T84)/45))+24*SIN(2*PI()*(0)/9+(Scenario_Data!T84)/18)*EXP(-(((0)+5)^2)/(22^2))+18*SIN(2*PI()*(Scenario_Data!T84)/70))+Inputs!$C$28*EXP(-(((Scenario_Data!T84)-Inputs!$C$29)^2)/(2*Inputs!$C$31^2))*EXP(-(((0)-Inputs!$C$30)^2)/(2*Inputs!$C$32^2))+-Inputs!$C$33*EXP(-(((((Scenario_Data!T84)-Inputs!$C$34)^2)+(((0)-Inputs!$C$35)^2))/(2*Inputs!$C$36^2)))+Inputs!$C$37*(0.55*SIN(2*PI()*(Scenario_Data!T84)/Inputs!$C$39)+0.35*COS(2*PI()*(0)/Inputs!$C$40)+0.2*SIN(2*PI()*((Scenario_Data!T84)+(0))/(0.5*(Inputs!$C$39+Inputs!$C$40))))+Inputs!$C$38*SIN(2*PI()*(Scenario_Data!T84)/Inputs!$C$39)*SIN(2*PI()*(0)/Inputs!$C$40)+-Inputs!$C$41*EXP(-(((0)-Inputs!$C$43)^2)/(2*Inputs!$C$44^2))*EXP(-(((Scenario_Data!T84)-Inputs!$C$42)^2)/(2*Inputs!$C$45^2))+Inputs!$C$48*(0.7*(0.45*SIN(2*PI()*(((Scenario_Data!T84)/Inputs!$C$49)+Inputs!$C$47*0.137))+0.35*COS(2*PI()*(((0)/Inputs!$C$50)+Inputs!$C$47*0.173))+0.2*SIN(2*PI()*((((Scenario_Data!T84)+(0))/(0.5*(Inputs!$C$49+Inputs!$C$50)))+Inputs!$C$47*0.097)))+0.3*(2*((SIN(((Scenario_Data!T84)*12.9898+(0)*78.233+Inputs!$C$47*37.719))*43758.5453)-INT((SIN(((Scenario_Data!T84)*12.9898+(0)*78.233+Inputs!$C$47*37.719))*43758.5453)))-1)))))/Inputs!$C$21*1000000</f>
        <v/>
      </c>
      <c r="Z84">
        <f>Scenario_Data!U84</f>
        <v/>
      </c>
      <c r="AA84">
        <f>2*((Scenario_Data!C84*1000)-(IF(OR(Inputs!$C$27=TRUE,Inputs!$C$27="TRUE",Inputs!$C$27=1),1,0)*(Inputs!$C$51*(115*EXP(-(((0)-25)^2)/(4.5^2))+70*EXP(-(((0)+38)^2)/(7^2))*(0.55+0.45*SIN(2*PI()*(Scenario_Data!U84)/45))+24*SIN(2*PI()*(0)/9+(Scenario_Data!U84)/18)*EXP(-(((0)+5)^2)/(22^2))+18*SIN(2*PI()*(Scenario_Data!U84)/70))+Inputs!$C$28*EXP(-(((Scenario_Data!U84)-Inputs!$C$29)^2)/(2*Inputs!$C$31^2))*EXP(-(((0)-Inputs!$C$30)^2)/(2*Inputs!$C$32^2))+-Inputs!$C$33*EXP(-(((((Scenario_Data!U84)-Inputs!$C$34)^2)+(((0)-Inputs!$C$35)^2))/(2*Inputs!$C$36^2)))+Inputs!$C$37*(0.55*SIN(2*PI()*(Scenario_Data!U84)/Inputs!$C$39)+0.35*COS(2*PI()*(0)/Inputs!$C$40)+0.2*SIN(2*PI()*((Scenario_Data!U84)+(0))/(0.5*(Inputs!$C$39+Inputs!$C$40))))+Inputs!$C$38*SIN(2*PI()*(Scenario_Data!U84)/Inputs!$C$39)*SIN(2*PI()*(0)/Inputs!$C$40)+-Inputs!$C$41*EXP(-(((0)-Inputs!$C$43)^2)/(2*Inputs!$C$44^2))*EXP(-(((Scenario_Data!U84)-Inputs!$C$42)^2)/(2*Inputs!$C$45^2))+Inputs!$C$48*(0.7*(0.45*SIN(2*PI()*(((Scenario_Data!U84)/Inputs!$C$49)+Inputs!$C$47*0.137))+0.35*COS(2*PI()*(((0)/Inputs!$C$50)+Inputs!$C$47*0.173))+0.2*SIN(2*PI()*((((Scenario_Data!U84)+(0))/(0.5*(Inputs!$C$49+Inputs!$C$50)))+Inputs!$C$47*0.097)))+0.3*(2*((SIN(((Scenario_Data!U84)*12.9898+(0)*78.233+Inputs!$C$47*37.719))*43758.5453)-INT((SIN(((Scenario_Data!U84)*12.9898+(0)*78.233+Inputs!$C$47*37.719))*43758.5453)))-1)))))/Inputs!$C$21*1000000</f>
        <v/>
      </c>
      <c r="AB84">
        <f>Scenario_Data!V84</f>
        <v/>
      </c>
      <c r="AC84">
        <f>2*((Scenario_Data!D84*1000)-(IF(OR(Inputs!$C$27=TRUE,Inputs!$C$27="TRUE",Inputs!$C$27=1),1,0)*(Inputs!$C$51*(115*EXP(-(((0)-25)^2)/(4.5^2))+70*EXP(-(((0)+38)^2)/(7^2))*(0.55+0.45*SIN(2*PI()*(Scenario_Data!V84)/45))+24*SIN(2*PI()*(0)/9+(Scenario_Data!V84)/18)*EXP(-(((0)+5)^2)/(22^2))+18*SIN(2*PI()*(Scenario_Data!V84)/70))+Inputs!$C$28*EXP(-(((Scenario_Data!V84)-Inputs!$C$29)^2)/(2*Inputs!$C$31^2))*EXP(-(((0)-Inputs!$C$30)^2)/(2*Inputs!$C$32^2))+-Inputs!$C$33*EXP(-(((((Scenario_Data!V84)-Inputs!$C$34)^2)+(((0)-Inputs!$C$35)^2))/(2*Inputs!$C$36^2)))+Inputs!$C$37*(0.55*SIN(2*PI()*(Scenario_Data!V84)/Inputs!$C$39)+0.35*COS(2*PI()*(0)/Inputs!$C$40)+0.2*SIN(2*PI()*((Scenario_Data!V84)+(0))/(0.5*(Inputs!$C$39+Inputs!$C$40))))+Inputs!$C$38*SIN(2*PI()*(Scenario_Data!V84)/Inputs!$C$39)*SIN(2*PI()*(0)/Inputs!$C$40)+-Inputs!$C$41*EXP(-(((0)-Inputs!$C$43)^2)/(2*Inputs!$C$44^2))*EXP(-(((Scenario_Data!V84)-Inputs!$C$42)^2)/(2*Inputs!$C$45^2))+Inputs!$C$48*(0.7*(0.45*SIN(2*PI()*(((Scenario_Data!V84)/Inputs!$C$49)+Inputs!$C$47*0.137))+0.35*COS(2*PI()*(((0)/Inputs!$C$50)+Inputs!$C$47*0.173))+0.2*SIN(2*PI()*((((Scenario_Data!V84)+(0))/(0.5*(Inputs!$C$49+Inputs!$C$50)))+Inputs!$C$47*0.097)))+0.3*(2*((SIN(((Scenario_Data!V84)*12.9898+(0)*78.233+Inputs!$C$47*37.719))*43758.5453)-INT((SIN(((Scenario_Data!V84)*12.9898+(0)*78.233+Inputs!$C$47*37.719))*43758.5453)))-1)))))/Inputs!$C$21*1000000</f>
        <v/>
      </c>
      <c r="AD84">
        <f>Scenario_Data!W84</f>
        <v/>
      </c>
      <c r="AE84">
        <f>2*((Scenario_Data!E84*1000)-(IF(OR(Inputs!$C$27=TRUE,Inputs!$C$27="TRUE",Inputs!$C$27=1),1,0)*(Inputs!$C$51*(115*EXP(-(((0)-25)^2)/(4.5^2))+70*EXP(-(((0)+38)^2)/(7^2))*(0.55+0.45*SIN(2*PI()*(Scenario_Data!W84)/45))+24*SIN(2*PI()*(0)/9+(Scenario_Data!W84)/18)*EXP(-(((0)+5)^2)/(22^2))+18*SIN(2*PI()*(Scenario_Data!W84)/70))+Inputs!$C$28*EXP(-(((Scenario_Data!W84)-Inputs!$C$29)^2)/(2*Inputs!$C$31^2))*EXP(-(((0)-Inputs!$C$30)^2)/(2*Inputs!$C$32^2))+-Inputs!$C$33*EXP(-(((((Scenario_Data!W84)-Inputs!$C$34)^2)+(((0)-Inputs!$C$35)^2))/(2*Inputs!$C$36^2)))+Inputs!$C$37*(0.55*SIN(2*PI()*(Scenario_Data!W84)/Inputs!$C$39)+0.35*COS(2*PI()*(0)/Inputs!$C$40)+0.2*SIN(2*PI()*((Scenario_Data!W84)+(0))/(0.5*(Inputs!$C$39+Inputs!$C$40))))+Inputs!$C$38*SIN(2*PI()*(Scenario_Data!W84)/Inputs!$C$39)*SIN(2*PI()*(0)/Inputs!$C$40)+-Inputs!$C$41*EXP(-(((0)-Inputs!$C$43)^2)/(2*Inputs!$C$44^2))*EXP(-(((Scenario_Data!W84)-Inputs!$C$42)^2)/(2*Inputs!$C$45^2))+Inputs!$C$48*(0.7*(0.45*SIN(2*PI()*(((Scenario_Data!W84)/Inputs!$C$49)+Inputs!$C$47*0.137))+0.35*COS(2*PI()*(((0)/Inputs!$C$50)+Inputs!$C$47*0.173))+0.2*SIN(2*PI()*((((Scenario_Data!W84)+(0))/(0.5*(Inputs!$C$49+Inputs!$C$50)))+Inputs!$C$47*0.097)))+0.3*(2*((SIN(((Scenario_Data!W84)*12.9898+(0)*78.233+Inputs!$C$47*37.719))*43758.5453)-INT((SIN(((Scenario_Data!W84)*12.9898+(0)*78.233+Inputs!$C$47*37.719))*43758.5453)))-1)))))/Inputs!$C$21*1000000</f>
        <v/>
      </c>
      <c r="AG84">
        <f>Scenario_Data!T84</f>
        <v/>
      </c>
      <c r="AH84">
        <f>2*(SQRT((Inputs!$C$52+(Scenario_Data!B84))^2+Inputs!$C$52^2-2*(Inputs!$C$52+(Scenario_Data!B84))*Inputs!$C$52*COS(SQRT((Scenario_Data!T84)^2+Inputs!$C$6^2)/Inputs!$C$52))*1000)/Inputs!$C$21*1000000</f>
        <v/>
      </c>
      <c r="AI84">
        <f>Scenario_Data!U84</f>
        <v/>
      </c>
      <c r="AJ84">
        <f>2*(SQRT((Inputs!$C$52+(Scenario_Data!C84))^2+Inputs!$C$52^2-2*(Inputs!$C$52+(Scenario_Data!C84))*Inputs!$C$52*COS(SQRT((Scenario_Data!U84)^2+Inputs!$C$6^2)/Inputs!$C$52))*1000)/Inputs!$C$21*1000000</f>
        <v/>
      </c>
      <c r="AK84">
        <f>Scenario_Data!V84</f>
        <v/>
      </c>
      <c r="AL84">
        <f>2*(SQRT((Inputs!$C$52+(Scenario_Data!D84))^2+Inputs!$C$52^2-2*(Inputs!$C$52+(Scenario_Data!D84))*Inputs!$C$52*COS(SQRT((Scenario_Data!V84)^2+Inputs!$C$6^2)/Inputs!$C$52))*1000)/Inputs!$C$21*1000000</f>
        <v/>
      </c>
      <c r="AM84">
        <f>Scenario_Data!W84</f>
        <v/>
      </c>
      <c r="AN84">
        <f>2*(SQRT((Inputs!$C$52+(Scenario_Data!E84))^2+Inputs!$C$52^2-2*(Inputs!$C$52+(Scenario_Data!E84))*Inputs!$C$52*COS(SQRT((Scenario_Data!W84)^2+Inputs!$C$6^2)/Inputs!$C$52))*1000)/Inputs!$C$21*1000000</f>
        <v/>
      </c>
      <c r="AP84">
        <f>Scenario_Data!T84</f>
        <v/>
      </c>
      <c r="AQ84">
        <f>2*(SQRT((Inputs!$C$52+(Scenario_Data!B84))^2+(Inputs!$C$52+((IF(OR(Inputs!$C$27=TRUE,Inputs!$C$27="TRUE",Inputs!$C$27=1),1,0)*(Inputs!$C$51*(115*EXP(-(((Inputs!$C$6)-25)^2)/(4.5^2))+70*EXP(-(((Inputs!$C$6)+38)^2)/(7^2))*(0.55+0.45*SIN(2*PI()*(Scenario_Data!T84)/45))+24*SIN(2*PI()*(Inputs!$C$6)/9+(Scenario_Data!T84)/18)*EXP(-(((Inputs!$C$6)+5)^2)/(22^2))+18*SIN(2*PI()*(Scenario_Data!T84)/70))+Inputs!$C$28*EXP(-(((Scenario_Data!T84)-Inputs!$C$29)^2)/(2*Inputs!$C$31^2))*EXP(-(((Inputs!$C$6)-Inputs!$C$30)^2)/(2*Inputs!$C$32^2))+-Inputs!$C$33*EXP(-(((((Scenario_Data!T84)-Inputs!$C$34)^2)+(((Inputs!$C$6)-Inputs!$C$35)^2))/(2*Inputs!$C$36^2)))+Inputs!$C$37*(0.55*SIN(2*PI()*(Scenario_Data!T84)/Inputs!$C$39)+0.35*COS(2*PI()*(Inputs!$C$6)/Inputs!$C$40)+0.2*SIN(2*PI()*((Scenario_Data!T84)+(Inputs!$C$6))/(0.5*(Inputs!$C$39+Inputs!$C$40))))+Inputs!$C$38*SIN(2*PI()*(Scenario_Data!T84)/Inputs!$C$39)*SIN(2*PI()*(Inputs!$C$6)/Inputs!$C$40)+-Inputs!$C$41*EXP(-(((Inputs!$C$6)-Inputs!$C$43)^2)/(2*Inputs!$C$44^2))*EXP(-(((Scenario_Data!T84)-Inputs!$C$42)^2)/(2*Inputs!$C$45^2))+Inputs!$C$48*(0.7*(0.45*SIN(2*PI()*(((Scenario_Data!T84)/Inputs!$C$49)+Inputs!$C$47*0.137))+0.35*COS(2*PI()*(((Inputs!$C$6)/Inputs!$C$50)+Inputs!$C$47*0.173))+0.2*SIN(2*PI()*((((Scenario_Data!T84)+(Inputs!$C$6))/(0.5*(Inputs!$C$49+Inputs!$C$50)))+Inputs!$C$47*0.097)))+0.3*(2*((SIN(((Scenario_Data!T84)*12.9898+(Inputs!$C$6)*78.233+Inputs!$C$47*37.719))*43758.5453)-INT((SIN(((Scenario_Data!T84)*12.9898+(Inputs!$C$6)*78.233+Inputs!$C$47*37.719))*43758.5453)))-1))))/1000))^2-2*(Inputs!$C$52+(Scenario_Data!B84))*(Inputs!$C$52+((IF(OR(Inputs!$C$27=TRUE,Inputs!$C$27="TRUE",Inputs!$C$27=1),1,0)*(Inputs!$C$51*(115*EXP(-(((Inputs!$C$6)-25)^2)/(4.5^2))+70*EXP(-(((Inputs!$C$6)+38)^2)/(7^2))*(0.55+0.45*SIN(2*PI()*(Scenario_Data!T84)/45))+24*SIN(2*PI()*(Inputs!$C$6)/9+(Scenario_Data!T84)/18)*EXP(-(((Inputs!$C$6)+5)^2)/(22^2))+18*SIN(2*PI()*(Scenario_Data!T84)/70))+Inputs!$C$28*EXP(-(((Scenario_Data!T84)-Inputs!$C$29)^2)/(2*Inputs!$C$31^2))*EXP(-(((Inputs!$C$6)-Inputs!$C$30)^2)/(2*Inputs!$C$32^2))+-Inputs!$C$33*EXP(-(((((Scenario_Data!T84)-Inputs!$C$34)^2)+(((Inputs!$C$6)-Inputs!$C$35)^2))/(2*Inputs!$C$36^2)))+Inputs!$C$37*(0.55*SIN(2*PI()*(Scenario_Data!T84)/Inputs!$C$39)+0.35*COS(2*PI()*(Inputs!$C$6)/Inputs!$C$40)+0.2*SIN(2*PI()*((Scenario_Data!T84)+(Inputs!$C$6))/(0.5*(Inputs!$C$39+Inputs!$C$40))))+Inputs!$C$38*SIN(2*PI()*(Scenario_Data!T84)/Inputs!$C$39)*SIN(2*PI()*(Inputs!$C$6)/Inputs!$C$40)+-Inputs!$C$41*EXP(-(((Inputs!$C$6)-Inputs!$C$43)^2)/(2*Inputs!$C$44^2))*EXP(-(((Scenario_Data!T84)-Inputs!$C$42)^2)/(2*Inputs!$C$45^2))+Inputs!$C$48*(0.7*(0.45*SIN(2*PI()*(((Scenario_Data!T84)/Inputs!$C$49)+Inputs!$C$47*0.137))+0.35*COS(2*PI()*(((Inputs!$C$6)/Inputs!$C$50)+Inputs!$C$47*0.173))+0.2*SIN(2*PI()*((((Scenario_Data!T84)+(Inputs!$C$6))/(0.5*(Inputs!$C$49+Inputs!$C$50)))+Inputs!$C$47*0.097)))+0.3*(2*((SIN(((Scenario_Data!T84)*12.9898+(Inputs!$C$6)*78.233+Inputs!$C$47*37.719))*43758.5453)-INT((SIN(((Scenario_Data!T84)*12.9898+(Inputs!$C$6)*78.233+Inputs!$C$47*37.719))*43758.5453)))-1))))/1000))*COS(SQRT((Scenario_Data!T84)^2+Inputs!$C$6^2)/Inputs!$C$52))*1000)/Inputs!$C$21*1000000</f>
        <v/>
      </c>
      <c r="AR84">
        <f>Scenario_Data!U84</f>
        <v/>
      </c>
      <c r="AS84">
        <f>2*(SQRT((Inputs!$C$52+(Scenario_Data!C84))^2+(Inputs!$C$52+((IF(OR(Inputs!$C$27=TRUE,Inputs!$C$27="TRUE",Inputs!$C$27=1),1,0)*(Inputs!$C$51*(115*EXP(-(((Inputs!$C$6)-25)^2)/(4.5^2))+70*EXP(-(((Inputs!$C$6)+38)^2)/(7^2))*(0.55+0.45*SIN(2*PI()*(Scenario_Data!U84)/45))+24*SIN(2*PI()*(Inputs!$C$6)/9+(Scenario_Data!U84)/18)*EXP(-(((Inputs!$C$6)+5)^2)/(22^2))+18*SIN(2*PI()*(Scenario_Data!U84)/70))+Inputs!$C$28*EXP(-(((Scenario_Data!U84)-Inputs!$C$29)^2)/(2*Inputs!$C$31^2))*EXP(-(((Inputs!$C$6)-Inputs!$C$30)^2)/(2*Inputs!$C$32^2))+-Inputs!$C$33*EXP(-(((((Scenario_Data!U84)-Inputs!$C$34)^2)+(((Inputs!$C$6)-Inputs!$C$35)^2))/(2*Inputs!$C$36^2)))+Inputs!$C$37*(0.55*SIN(2*PI()*(Scenario_Data!U84)/Inputs!$C$39)+0.35*COS(2*PI()*(Inputs!$C$6)/Inputs!$C$40)+0.2*SIN(2*PI()*((Scenario_Data!U84)+(Inputs!$C$6))/(0.5*(Inputs!$C$39+Inputs!$C$40))))+Inputs!$C$38*SIN(2*PI()*(Scenario_Data!U84)/Inputs!$C$39)*SIN(2*PI()*(Inputs!$C$6)/Inputs!$C$40)+-Inputs!$C$41*EXP(-(((Inputs!$C$6)-Inputs!$C$43)^2)/(2*Inputs!$C$44^2))*EXP(-(((Scenario_Data!U84)-Inputs!$C$42)^2)/(2*Inputs!$C$45^2))+Inputs!$C$48*(0.7*(0.45*SIN(2*PI()*(((Scenario_Data!U84)/Inputs!$C$49)+Inputs!$C$47*0.137))+0.35*COS(2*PI()*(((Inputs!$C$6)/Inputs!$C$50)+Inputs!$C$47*0.173))+0.2*SIN(2*PI()*((((Scenario_Data!U84)+(Inputs!$C$6))/(0.5*(Inputs!$C$49+Inputs!$C$50)))+Inputs!$C$47*0.097)))+0.3*(2*((SIN(((Scenario_Data!U84)*12.9898+(Inputs!$C$6)*78.233+Inputs!$C$47*37.719))*43758.5453)-INT((SIN(((Scenario_Data!U84)*12.9898+(Inputs!$C$6)*78.233+Inputs!$C$47*37.719))*43758.5453)))-1))))/1000))^2-2*(Inputs!$C$52+(Scenario_Data!C84))*(Inputs!$C$52+((IF(OR(Inputs!$C$27=TRUE,Inputs!$C$27="TRUE",Inputs!$C$27=1),1,0)*(Inputs!$C$51*(115*EXP(-(((Inputs!$C$6)-25)^2)/(4.5^2))+70*EXP(-(((Inputs!$C$6)+38)^2)/(7^2))*(0.55+0.45*SIN(2*PI()*(Scenario_Data!U84)/45))+24*SIN(2*PI()*(Inputs!$C$6)/9+(Scenario_Data!U84)/18)*EXP(-(((Inputs!$C$6)+5)^2)/(22^2))+18*SIN(2*PI()*(Scenario_Data!U84)/70))+Inputs!$C$28*EXP(-(((Scenario_Data!U84)-Inputs!$C$29)^2)/(2*Inputs!$C$31^2))*EXP(-(((Inputs!$C$6)-Inputs!$C$30)^2)/(2*Inputs!$C$32^2))+-Inputs!$C$33*EXP(-(((((Scenario_Data!U84)-Inputs!$C$34)^2)+(((Inputs!$C$6)-Inputs!$C$35)^2))/(2*Inputs!$C$36^2)))+Inputs!$C$37*(0.55*SIN(2*PI()*(Scenario_Data!U84)/Inputs!$C$39)+0.35*COS(2*PI()*(Inputs!$C$6)/Inputs!$C$40)+0.2*SIN(2*PI()*((Scenario_Data!U84)+(Inputs!$C$6))/(0.5*(Inputs!$C$39+Inputs!$C$40))))+Inputs!$C$38*SIN(2*PI()*(Scenario_Data!U84)/Inputs!$C$39)*SIN(2*PI()*(Inputs!$C$6)/Inputs!$C$40)+-Inputs!$C$41*EXP(-(((Inputs!$C$6)-Inputs!$C$43)^2)/(2*Inputs!$C$44^2))*EXP(-(((Scenario_Data!U84)-Inputs!$C$42)^2)/(2*Inputs!$C$45^2))+Inputs!$C$48*(0.7*(0.45*SIN(2*PI()*(((Scenario_Data!U84)/Inputs!$C$49)+Inputs!$C$47*0.137))+0.35*COS(2*PI()*(((Inputs!$C$6)/Inputs!$C$50)+Inputs!$C$47*0.173))+0.2*SIN(2*PI()*((((Scenario_Data!U84)+(Inputs!$C$6))/(0.5*(Inputs!$C$49+Inputs!$C$50)))+Inputs!$C$47*0.097)))+0.3*(2*((SIN(((Scenario_Data!U84)*12.9898+(Inputs!$C$6)*78.233+Inputs!$C$47*37.719))*43758.5453)-INT((SIN(((Scenario_Data!U84)*12.9898+(Inputs!$C$6)*78.233+Inputs!$C$47*37.719))*43758.5453)))-1))))/1000))*COS(SQRT((Scenario_Data!U84)^2+Inputs!$C$6^2)/Inputs!$C$52))*1000)/Inputs!$C$21*1000000</f>
        <v/>
      </c>
      <c r="AT84">
        <f>Scenario_Data!V84</f>
        <v/>
      </c>
      <c r="AU84">
        <f>2*(SQRT((Inputs!$C$52+(Scenario_Data!D84))^2+(Inputs!$C$52+((IF(OR(Inputs!$C$27=TRUE,Inputs!$C$27="TRUE",Inputs!$C$27=1),1,0)*(Inputs!$C$51*(115*EXP(-(((Inputs!$C$6)-25)^2)/(4.5^2))+70*EXP(-(((Inputs!$C$6)+38)^2)/(7^2))*(0.55+0.45*SIN(2*PI()*(Scenario_Data!V84)/45))+24*SIN(2*PI()*(Inputs!$C$6)/9+(Scenario_Data!V84)/18)*EXP(-(((Inputs!$C$6)+5)^2)/(22^2))+18*SIN(2*PI()*(Scenario_Data!V84)/70))+Inputs!$C$28*EXP(-(((Scenario_Data!V84)-Inputs!$C$29)^2)/(2*Inputs!$C$31^2))*EXP(-(((Inputs!$C$6)-Inputs!$C$30)^2)/(2*Inputs!$C$32^2))+-Inputs!$C$33*EXP(-(((((Scenario_Data!V84)-Inputs!$C$34)^2)+(((Inputs!$C$6)-Inputs!$C$35)^2))/(2*Inputs!$C$36^2)))+Inputs!$C$37*(0.55*SIN(2*PI()*(Scenario_Data!V84)/Inputs!$C$39)+0.35*COS(2*PI()*(Inputs!$C$6)/Inputs!$C$40)+0.2*SIN(2*PI()*((Scenario_Data!V84)+(Inputs!$C$6))/(0.5*(Inputs!$C$39+Inputs!$C$40))))+Inputs!$C$38*SIN(2*PI()*(Scenario_Data!V84)/Inputs!$C$39)*SIN(2*PI()*(Inputs!$C$6)/Inputs!$C$40)+-Inputs!$C$41*EXP(-(((Inputs!$C$6)-Inputs!$C$43)^2)/(2*Inputs!$C$44^2))*EXP(-(((Scenario_Data!V84)-Inputs!$C$42)^2)/(2*Inputs!$C$45^2))+Inputs!$C$48*(0.7*(0.45*SIN(2*PI()*(((Scenario_Data!V84)/Inputs!$C$49)+Inputs!$C$47*0.137))+0.35*COS(2*PI()*(((Inputs!$C$6)/Inputs!$C$50)+Inputs!$C$47*0.173))+0.2*SIN(2*PI()*((((Scenario_Data!V84)+(Inputs!$C$6))/(0.5*(Inputs!$C$49+Inputs!$C$50)))+Inputs!$C$47*0.097)))+0.3*(2*((SIN(((Scenario_Data!V84)*12.9898+(Inputs!$C$6)*78.233+Inputs!$C$47*37.719))*43758.5453)-INT((SIN(((Scenario_Data!V84)*12.9898+(Inputs!$C$6)*78.233+Inputs!$C$47*37.719))*43758.5453)))-1))))/1000))^2-2*(Inputs!$C$52+(Scenario_Data!D84))*(Inputs!$C$52+((IF(OR(Inputs!$C$27=TRUE,Inputs!$C$27="TRUE",Inputs!$C$27=1),1,0)*(Inputs!$C$51*(115*EXP(-(((Inputs!$C$6)-25)^2)/(4.5^2))+70*EXP(-(((Inputs!$C$6)+38)^2)/(7^2))*(0.55+0.45*SIN(2*PI()*(Scenario_Data!V84)/45))+24*SIN(2*PI()*(Inputs!$C$6)/9+(Scenario_Data!V84)/18)*EXP(-(((Inputs!$C$6)+5)^2)/(22^2))+18*SIN(2*PI()*(Scenario_Data!V84)/70))+Inputs!$C$28*EXP(-(((Scenario_Data!V84)-Inputs!$C$29)^2)/(2*Inputs!$C$31^2))*EXP(-(((Inputs!$C$6)-Inputs!$C$30)^2)/(2*Inputs!$C$32^2))+-Inputs!$C$33*EXP(-(((((Scenario_Data!V84)-Inputs!$C$34)^2)+(((Inputs!$C$6)-Inputs!$C$35)^2))/(2*Inputs!$C$36^2)))+Inputs!$C$37*(0.55*SIN(2*PI()*(Scenario_Data!V84)/Inputs!$C$39)+0.35*COS(2*PI()*(Inputs!$C$6)/Inputs!$C$40)+0.2*SIN(2*PI()*((Scenario_Data!V84)+(Inputs!$C$6))/(0.5*(Inputs!$C$39+Inputs!$C$40))))+Inputs!$C$38*SIN(2*PI()*(Scenario_Data!V84)/Inputs!$C$39)*SIN(2*PI()*(Inputs!$C$6)/Inputs!$C$40)+-Inputs!$C$41*EXP(-(((Inputs!$C$6)-Inputs!$C$43)^2)/(2*Inputs!$C$44^2))*EXP(-(((Scenario_Data!V84)-Inputs!$C$42)^2)/(2*Inputs!$C$45^2))+Inputs!$C$48*(0.7*(0.45*SIN(2*PI()*(((Scenario_Data!V84)/Inputs!$C$49)+Inputs!$C$47*0.137))+0.35*COS(2*PI()*(((Inputs!$C$6)/Inputs!$C$50)+Inputs!$C$47*0.173))+0.2*SIN(2*PI()*((((Scenario_Data!V84)+(Inputs!$C$6))/(0.5*(Inputs!$C$49+Inputs!$C$50)))+Inputs!$C$47*0.097)))+0.3*(2*((SIN(((Scenario_Data!V84)*12.9898+(Inputs!$C$6)*78.233+Inputs!$C$47*37.719))*43758.5453)-INT((SIN(((Scenario_Data!V84)*12.9898+(Inputs!$C$6)*78.233+Inputs!$C$47*37.719))*43758.5453)))-1))))/1000))*COS(SQRT((Scenario_Data!V84)^2+Inputs!$C$6^2)/Inputs!$C$52))*1000)/Inputs!$C$21*1000000</f>
        <v/>
      </c>
      <c r="AV84">
        <f>Scenario_Data!W84</f>
        <v/>
      </c>
      <c r="AW84">
        <f>2*(SQRT((Inputs!$C$52+(Scenario_Data!E84))^2+(Inputs!$C$52+((IF(OR(Inputs!$C$27=TRUE,Inputs!$C$27="TRUE",Inputs!$C$27=1),1,0)*(Inputs!$C$51*(115*EXP(-(((Inputs!$C$6)-25)^2)/(4.5^2))+70*EXP(-(((Inputs!$C$6)+38)^2)/(7^2))*(0.55+0.45*SIN(2*PI()*(Scenario_Data!W84)/45))+24*SIN(2*PI()*(Inputs!$C$6)/9+(Scenario_Data!W84)/18)*EXP(-(((Inputs!$C$6)+5)^2)/(22^2))+18*SIN(2*PI()*(Scenario_Data!W84)/70))+Inputs!$C$28*EXP(-(((Scenario_Data!W84)-Inputs!$C$29)^2)/(2*Inputs!$C$31^2))*EXP(-(((Inputs!$C$6)-Inputs!$C$30)^2)/(2*Inputs!$C$32^2))+-Inputs!$C$33*EXP(-(((((Scenario_Data!W84)-Inputs!$C$34)^2)+(((Inputs!$C$6)-Inputs!$C$35)^2))/(2*Inputs!$C$36^2)))+Inputs!$C$37*(0.55*SIN(2*PI()*(Scenario_Data!W84)/Inputs!$C$39)+0.35*COS(2*PI()*(Inputs!$C$6)/Inputs!$C$40)+0.2*SIN(2*PI()*((Scenario_Data!W84)+(Inputs!$C$6))/(0.5*(Inputs!$C$39+Inputs!$C$40))))+Inputs!$C$38*SIN(2*PI()*(Scenario_Data!W84)/Inputs!$C$39)*SIN(2*PI()*(Inputs!$C$6)/Inputs!$C$40)+-Inputs!$C$41*EXP(-(((Inputs!$C$6)-Inputs!$C$43)^2)/(2*Inputs!$C$44^2))*EXP(-(((Scenario_Data!W84)-Inputs!$C$42)^2)/(2*Inputs!$C$45^2))+Inputs!$C$48*(0.7*(0.45*SIN(2*PI()*(((Scenario_Data!W84)/Inputs!$C$49)+Inputs!$C$47*0.137))+0.35*COS(2*PI()*(((Inputs!$C$6)/Inputs!$C$50)+Inputs!$C$47*0.173))+0.2*SIN(2*PI()*((((Scenario_Data!W84)+(Inputs!$C$6))/(0.5*(Inputs!$C$49+Inputs!$C$50)))+Inputs!$C$47*0.097)))+0.3*(2*((SIN(((Scenario_Data!W84)*12.9898+(Inputs!$C$6)*78.233+Inputs!$C$47*37.719))*43758.5453)-INT((SIN(((Scenario_Data!W84)*12.9898+(Inputs!$C$6)*78.233+Inputs!$C$47*37.719))*43758.5453)))-1))))/1000))^2-2*(Inputs!$C$52+(Scenario_Data!E84))*(Inputs!$C$52+((IF(OR(Inputs!$C$27=TRUE,Inputs!$C$27="TRUE",Inputs!$C$27=1),1,0)*(Inputs!$C$51*(115*EXP(-(((Inputs!$C$6)-25)^2)/(4.5^2))+70*EXP(-(((Inputs!$C$6)+38)^2)/(7^2))*(0.55+0.45*SIN(2*PI()*(Scenario_Data!W84)/45))+24*SIN(2*PI()*(Inputs!$C$6)/9+(Scenario_Data!W84)/18)*EXP(-(((Inputs!$C$6)+5)^2)/(22^2))+18*SIN(2*PI()*(Scenario_Data!W84)/70))+Inputs!$C$28*EXP(-(((Scenario_Data!W84)-Inputs!$C$29)^2)/(2*Inputs!$C$31^2))*EXP(-(((Inputs!$C$6)-Inputs!$C$30)^2)/(2*Inputs!$C$32^2))+-Inputs!$C$33*EXP(-(((((Scenario_Data!W84)-Inputs!$C$34)^2)+(((Inputs!$C$6)-Inputs!$C$35)^2))/(2*Inputs!$C$36^2)))+Inputs!$C$37*(0.55*SIN(2*PI()*(Scenario_Data!W84)/Inputs!$C$39)+0.35*COS(2*PI()*(Inputs!$C$6)/Inputs!$C$40)+0.2*SIN(2*PI()*((Scenario_Data!W84)+(Inputs!$C$6))/(0.5*(Inputs!$C$39+Inputs!$C$40))))+Inputs!$C$38*SIN(2*PI()*(Scenario_Data!W84)/Inputs!$C$39)*SIN(2*PI()*(Inputs!$C$6)/Inputs!$C$40)+-Inputs!$C$41*EXP(-(((Inputs!$C$6)-Inputs!$C$43)^2)/(2*Inputs!$C$44^2))*EXP(-(((Scenario_Data!W84)-Inputs!$C$42)^2)/(2*Inputs!$C$45^2))+Inputs!$C$48*(0.7*(0.45*SIN(2*PI()*(((Scenario_Data!W84)/Inputs!$C$49)+Inputs!$C$47*0.137))+0.35*COS(2*PI()*(((Inputs!$C$6)/Inputs!$C$50)+Inputs!$C$47*0.173))+0.2*SIN(2*PI()*((((Scenario_Data!W84)+(Inputs!$C$6))/(0.5*(Inputs!$C$49+Inputs!$C$50)))+Inputs!$C$47*0.097)))+0.3*(2*((SIN(((Scenario_Data!W84)*12.9898+(Inputs!$C$6)*78.233+Inputs!$C$47*37.719))*43758.5453)-INT((SIN(((Scenario_Data!W84)*12.9898+(Inputs!$C$6)*78.233+Inputs!$C$47*37.719))*43758.5453)))-1))))/1000))*COS(SQRT((Scenario_Data!W84)^2+Inputs!$C$6^2)/Inputs!$C$52))*1000)/Inputs!$C$21*1000000</f>
        <v/>
      </c>
    </row>
    <row r="85">
      <c r="A85">
        <f>Chart_Data!K85</f>
        <v/>
      </c>
      <c r="B85">
        <f>Chart_Data!N85-Chart_Data!L85</f>
        <v/>
      </c>
      <c r="D85">
        <f>Chart_Data!G85</f>
        <v/>
      </c>
      <c r="E85">
        <f>Chart_Data!H85</f>
        <v/>
      </c>
      <c r="F85">
        <f>Chart_Data!I85</f>
        <v/>
      </c>
      <c r="G85">
        <f>Chart_Data!J85</f>
        <v/>
      </c>
      <c r="I85">
        <f>Scenario_Data!A85</f>
        <v/>
      </c>
      <c r="J85">
        <f>Scenario_Data!H85-(((SQRT((Inputs!$C$52+(Inputs!$H$6))^2+Inputs!$C$52^2-2*(Inputs!$C$52+(Inputs!$H$6))*Inputs!$C$52*COS(SQRT((Scenario_Data!T85)^2+Inputs!$C$6^2)/Inputs!$C$52)))-(Inputs!$H$6))*1000/Inputs!$C$12)</f>
        <v/>
      </c>
      <c r="K85">
        <f>Scenario_Data!I85-(((SQRT((Inputs!$C$52+(Inputs!$H$7))^2+Inputs!$C$52^2-2*(Inputs!$C$52+(Inputs!$H$7))*Inputs!$C$52*COS(SQRT((Scenario_Data!U85)^2+Inputs!$C$6^2)/Inputs!$C$52)))-(Inputs!$H$7))*1000/Inputs!$C$12)</f>
        <v/>
      </c>
      <c r="L85">
        <f>Scenario_Data!J85-(((SQRT((Inputs!$C$52+(Inputs!$H$8))^2+Inputs!$C$52^2-2*(Inputs!$C$52+(Inputs!$H$8))*Inputs!$C$52*COS(SQRT((Scenario_Data!V85)^2+Inputs!$C$6^2)/Inputs!$C$52)))-(Inputs!$H$8))*1000/Inputs!$C$12)</f>
        <v/>
      </c>
      <c r="M85">
        <f>Scenario_Data!K85-(((SQRT((Inputs!$C$52+(Inputs!$H$9))^2+Inputs!$C$52^2-2*(Inputs!$C$52+(Inputs!$H$9))*Inputs!$C$52*COS(SQRT((Scenario_Data!W85)^2+Inputs!$C$6^2)/Inputs!$C$52)))-(Inputs!$H$9))*1000/Inputs!$C$12)</f>
        <v/>
      </c>
      <c r="O85">
        <f>Scenario_Data!T85</f>
        <v/>
      </c>
      <c r="P85">
        <f>2*(Scenario_Data!B85*1000)/Inputs!$C$21*1000000</f>
        <v/>
      </c>
      <c r="Q85">
        <f>Scenario_Data!U85</f>
        <v/>
      </c>
      <c r="R85">
        <f>2*(Scenario_Data!C85*1000)/Inputs!$C$21*1000000</f>
        <v/>
      </c>
      <c r="S85">
        <f>Scenario_Data!V85</f>
        <v/>
      </c>
      <c r="T85">
        <f>2*(Scenario_Data!D85*1000)/Inputs!$C$21*1000000</f>
        <v/>
      </c>
      <c r="U85">
        <f>Scenario_Data!W85</f>
        <v/>
      </c>
      <c r="V85">
        <f>2*(Scenario_Data!E85*1000)/Inputs!$C$21*1000000</f>
        <v/>
      </c>
      <c r="X85">
        <f>Scenario_Data!T85</f>
        <v/>
      </c>
      <c r="Y85">
        <f>2*((Scenario_Data!B85*1000)-(IF(OR(Inputs!$C$27=TRUE,Inputs!$C$27="TRUE",Inputs!$C$27=1),1,0)*(Inputs!$C$51*(115*EXP(-(((0)-25)^2)/(4.5^2))+70*EXP(-(((0)+38)^2)/(7^2))*(0.55+0.45*SIN(2*PI()*(Scenario_Data!T85)/45))+24*SIN(2*PI()*(0)/9+(Scenario_Data!T85)/18)*EXP(-(((0)+5)^2)/(22^2))+18*SIN(2*PI()*(Scenario_Data!T85)/70))+Inputs!$C$28*EXP(-(((Scenario_Data!T85)-Inputs!$C$29)^2)/(2*Inputs!$C$31^2))*EXP(-(((0)-Inputs!$C$30)^2)/(2*Inputs!$C$32^2))+-Inputs!$C$33*EXP(-(((((Scenario_Data!T85)-Inputs!$C$34)^2)+(((0)-Inputs!$C$35)^2))/(2*Inputs!$C$36^2)))+Inputs!$C$37*(0.55*SIN(2*PI()*(Scenario_Data!T85)/Inputs!$C$39)+0.35*COS(2*PI()*(0)/Inputs!$C$40)+0.2*SIN(2*PI()*((Scenario_Data!T85)+(0))/(0.5*(Inputs!$C$39+Inputs!$C$40))))+Inputs!$C$38*SIN(2*PI()*(Scenario_Data!T85)/Inputs!$C$39)*SIN(2*PI()*(0)/Inputs!$C$40)+-Inputs!$C$41*EXP(-(((0)-Inputs!$C$43)^2)/(2*Inputs!$C$44^2))*EXP(-(((Scenario_Data!T85)-Inputs!$C$42)^2)/(2*Inputs!$C$45^2))+Inputs!$C$48*(0.7*(0.45*SIN(2*PI()*(((Scenario_Data!T85)/Inputs!$C$49)+Inputs!$C$47*0.137))+0.35*COS(2*PI()*(((0)/Inputs!$C$50)+Inputs!$C$47*0.173))+0.2*SIN(2*PI()*((((Scenario_Data!T85)+(0))/(0.5*(Inputs!$C$49+Inputs!$C$50)))+Inputs!$C$47*0.097)))+0.3*(2*((SIN(((Scenario_Data!T85)*12.9898+(0)*78.233+Inputs!$C$47*37.719))*43758.5453)-INT((SIN(((Scenario_Data!T85)*12.9898+(0)*78.233+Inputs!$C$47*37.719))*43758.5453)))-1)))))/Inputs!$C$21*1000000</f>
        <v/>
      </c>
      <c r="Z85">
        <f>Scenario_Data!U85</f>
        <v/>
      </c>
      <c r="AA85">
        <f>2*((Scenario_Data!C85*1000)-(IF(OR(Inputs!$C$27=TRUE,Inputs!$C$27="TRUE",Inputs!$C$27=1),1,0)*(Inputs!$C$51*(115*EXP(-(((0)-25)^2)/(4.5^2))+70*EXP(-(((0)+38)^2)/(7^2))*(0.55+0.45*SIN(2*PI()*(Scenario_Data!U85)/45))+24*SIN(2*PI()*(0)/9+(Scenario_Data!U85)/18)*EXP(-(((0)+5)^2)/(22^2))+18*SIN(2*PI()*(Scenario_Data!U85)/70))+Inputs!$C$28*EXP(-(((Scenario_Data!U85)-Inputs!$C$29)^2)/(2*Inputs!$C$31^2))*EXP(-(((0)-Inputs!$C$30)^2)/(2*Inputs!$C$32^2))+-Inputs!$C$33*EXP(-(((((Scenario_Data!U85)-Inputs!$C$34)^2)+(((0)-Inputs!$C$35)^2))/(2*Inputs!$C$36^2)))+Inputs!$C$37*(0.55*SIN(2*PI()*(Scenario_Data!U85)/Inputs!$C$39)+0.35*COS(2*PI()*(0)/Inputs!$C$40)+0.2*SIN(2*PI()*((Scenario_Data!U85)+(0))/(0.5*(Inputs!$C$39+Inputs!$C$40))))+Inputs!$C$38*SIN(2*PI()*(Scenario_Data!U85)/Inputs!$C$39)*SIN(2*PI()*(0)/Inputs!$C$40)+-Inputs!$C$41*EXP(-(((0)-Inputs!$C$43)^2)/(2*Inputs!$C$44^2))*EXP(-(((Scenario_Data!U85)-Inputs!$C$42)^2)/(2*Inputs!$C$45^2))+Inputs!$C$48*(0.7*(0.45*SIN(2*PI()*(((Scenario_Data!U85)/Inputs!$C$49)+Inputs!$C$47*0.137))+0.35*COS(2*PI()*(((0)/Inputs!$C$50)+Inputs!$C$47*0.173))+0.2*SIN(2*PI()*((((Scenario_Data!U85)+(0))/(0.5*(Inputs!$C$49+Inputs!$C$50)))+Inputs!$C$47*0.097)))+0.3*(2*((SIN(((Scenario_Data!U85)*12.9898+(0)*78.233+Inputs!$C$47*37.719))*43758.5453)-INT((SIN(((Scenario_Data!U85)*12.9898+(0)*78.233+Inputs!$C$47*37.719))*43758.5453)))-1)))))/Inputs!$C$21*1000000</f>
        <v/>
      </c>
      <c r="AB85">
        <f>Scenario_Data!V85</f>
        <v/>
      </c>
      <c r="AC85">
        <f>2*((Scenario_Data!D85*1000)-(IF(OR(Inputs!$C$27=TRUE,Inputs!$C$27="TRUE",Inputs!$C$27=1),1,0)*(Inputs!$C$51*(115*EXP(-(((0)-25)^2)/(4.5^2))+70*EXP(-(((0)+38)^2)/(7^2))*(0.55+0.45*SIN(2*PI()*(Scenario_Data!V85)/45))+24*SIN(2*PI()*(0)/9+(Scenario_Data!V85)/18)*EXP(-(((0)+5)^2)/(22^2))+18*SIN(2*PI()*(Scenario_Data!V85)/70))+Inputs!$C$28*EXP(-(((Scenario_Data!V85)-Inputs!$C$29)^2)/(2*Inputs!$C$31^2))*EXP(-(((0)-Inputs!$C$30)^2)/(2*Inputs!$C$32^2))+-Inputs!$C$33*EXP(-(((((Scenario_Data!V85)-Inputs!$C$34)^2)+(((0)-Inputs!$C$35)^2))/(2*Inputs!$C$36^2)))+Inputs!$C$37*(0.55*SIN(2*PI()*(Scenario_Data!V85)/Inputs!$C$39)+0.35*COS(2*PI()*(0)/Inputs!$C$40)+0.2*SIN(2*PI()*((Scenario_Data!V85)+(0))/(0.5*(Inputs!$C$39+Inputs!$C$40))))+Inputs!$C$38*SIN(2*PI()*(Scenario_Data!V85)/Inputs!$C$39)*SIN(2*PI()*(0)/Inputs!$C$40)+-Inputs!$C$41*EXP(-(((0)-Inputs!$C$43)^2)/(2*Inputs!$C$44^2))*EXP(-(((Scenario_Data!V85)-Inputs!$C$42)^2)/(2*Inputs!$C$45^2))+Inputs!$C$48*(0.7*(0.45*SIN(2*PI()*(((Scenario_Data!V85)/Inputs!$C$49)+Inputs!$C$47*0.137))+0.35*COS(2*PI()*(((0)/Inputs!$C$50)+Inputs!$C$47*0.173))+0.2*SIN(2*PI()*((((Scenario_Data!V85)+(0))/(0.5*(Inputs!$C$49+Inputs!$C$50)))+Inputs!$C$47*0.097)))+0.3*(2*((SIN(((Scenario_Data!V85)*12.9898+(0)*78.233+Inputs!$C$47*37.719))*43758.5453)-INT((SIN(((Scenario_Data!V85)*12.9898+(0)*78.233+Inputs!$C$47*37.719))*43758.5453)))-1)))))/Inputs!$C$21*1000000</f>
        <v/>
      </c>
      <c r="AD85">
        <f>Scenario_Data!W85</f>
        <v/>
      </c>
      <c r="AE85">
        <f>2*((Scenario_Data!E85*1000)-(IF(OR(Inputs!$C$27=TRUE,Inputs!$C$27="TRUE",Inputs!$C$27=1),1,0)*(Inputs!$C$51*(115*EXP(-(((0)-25)^2)/(4.5^2))+70*EXP(-(((0)+38)^2)/(7^2))*(0.55+0.45*SIN(2*PI()*(Scenario_Data!W85)/45))+24*SIN(2*PI()*(0)/9+(Scenario_Data!W85)/18)*EXP(-(((0)+5)^2)/(22^2))+18*SIN(2*PI()*(Scenario_Data!W85)/70))+Inputs!$C$28*EXP(-(((Scenario_Data!W85)-Inputs!$C$29)^2)/(2*Inputs!$C$31^2))*EXP(-(((0)-Inputs!$C$30)^2)/(2*Inputs!$C$32^2))+-Inputs!$C$33*EXP(-(((((Scenario_Data!W85)-Inputs!$C$34)^2)+(((0)-Inputs!$C$35)^2))/(2*Inputs!$C$36^2)))+Inputs!$C$37*(0.55*SIN(2*PI()*(Scenario_Data!W85)/Inputs!$C$39)+0.35*COS(2*PI()*(0)/Inputs!$C$40)+0.2*SIN(2*PI()*((Scenario_Data!W85)+(0))/(0.5*(Inputs!$C$39+Inputs!$C$40))))+Inputs!$C$38*SIN(2*PI()*(Scenario_Data!W85)/Inputs!$C$39)*SIN(2*PI()*(0)/Inputs!$C$40)+-Inputs!$C$41*EXP(-(((0)-Inputs!$C$43)^2)/(2*Inputs!$C$44^2))*EXP(-(((Scenario_Data!W85)-Inputs!$C$42)^2)/(2*Inputs!$C$45^2))+Inputs!$C$48*(0.7*(0.45*SIN(2*PI()*(((Scenario_Data!W85)/Inputs!$C$49)+Inputs!$C$47*0.137))+0.35*COS(2*PI()*(((0)/Inputs!$C$50)+Inputs!$C$47*0.173))+0.2*SIN(2*PI()*((((Scenario_Data!W85)+(0))/(0.5*(Inputs!$C$49+Inputs!$C$50)))+Inputs!$C$47*0.097)))+0.3*(2*((SIN(((Scenario_Data!W85)*12.9898+(0)*78.233+Inputs!$C$47*37.719))*43758.5453)-INT((SIN(((Scenario_Data!W85)*12.9898+(0)*78.233+Inputs!$C$47*37.719))*43758.5453)))-1)))))/Inputs!$C$21*1000000</f>
        <v/>
      </c>
      <c r="AG85">
        <f>Scenario_Data!T85</f>
        <v/>
      </c>
      <c r="AH85">
        <f>2*(SQRT((Inputs!$C$52+(Scenario_Data!B85))^2+Inputs!$C$52^2-2*(Inputs!$C$52+(Scenario_Data!B85))*Inputs!$C$52*COS(SQRT((Scenario_Data!T85)^2+Inputs!$C$6^2)/Inputs!$C$52))*1000)/Inputs!$C$21*1000000</f>
        <v/>
      </c>
      <c r="AI85">
        <f>Scenario_Data!U85</f>
        <v/>
      </c>
      <c r="AJ85">
        <f>2*(SQRT((Inputs!$C$52+(Scenario_Data!C85))^2+Inputs!$C$52^2-2*(Inputs!$C$52+(Scenario_Data!C85))*Inputs!$C$52*COS(SQRT((Scenario_Data!U85)^2+Inputs!$C$6^2)/Inputs!$C$52))*1000)/Inputs!$C$21*1000000</f>
        <v/>
      </c>
      <c r="AK85">
        <f>Scenario_Data!V85</f>
        <v/>
      </c>
      <c r="AL85">
        <f>2*(SQRT((Inputs!$C$52+(Scenario_Data!D85))^2+Inputs!$C$52^2-2*(Inputs!$C$52+(Scenario_Data!D85))*Inputs!$C$52*COS(SQRT((Scenario_Data!V85)^2+Inputs!$C$6^2)/Inputs!$C$52))*1000)/Inputs!$C$21*1000000</f>
        <v/>
      </c>
      <c r="AM85">
        <f>Scenario_Data!W85</f>
        <v/>
      </c>
      <c r="AN85">
        <f>2*(SQRT((Inputs!$C$52+(Scenario_Data!E85))^2+Inputs!$C$52^2-2*(Inputs!$C$52+(Scenario_Data!E85))*Inputs!$C$52*COS(SQRT((Scenario_Data!W85)^2+Inputs!$C$6^2)/Inputs!$C$52))*1000)/Inputs!$C$21*1000000</f>
        <v/>
      </c>
      <c r="AP85">
        <f>Scenario_Data!T85</f>
        <v/>
      </c>
      <c r="AQ85">
        <f>2*(SQRT((Inputs!$C$52+(Scenario_Data!B85))^2+(Inputs!$C$52+((IF(OR(Inputs!$C$27=TRUE,Inputs!$C$27="TRUE",Inputs!$C$27=1),1,0)*(Inputs!$C$51*(115*EXP(-(((Inputs!$C$6)-25)^2)/(4.5^2))+70*EXP(-(((Inputs!$C$6)+38)^2)/(7^2))*(0.55+0.45*SIN(2*PI()*(Scenario_Data!T85)/45))+24*SIN(2*PI()*(Inputs!$C$6)/9+(Scenario_Data!T85)/18)*EXP(-(((Inputs!$C$6)+5)^2)/(22^2))+18*SIN(2*PI()*(Scenario_Data!T85)/70))+Inputs!$C$28*EXP(-(((Scenario_Data!T85)-Inputs!$C$29)^2)/(2*Inputs!$C$31^2))*EXP(-(((Inputs!$C$6)-Inputs!$C$30)^2)/(2*Inputs!$C$32^2))+-Inputs!$C$33*EXP(-(((((Scenario_Data!T85)-Inputs!$C$34)^2)+(((Inputs!$C$6)-Inputs!$C$35)^2))/(2*Inputs!$C$36^2)))+Inputs!$C$37*(0.55*SIN(2*PI()*(Scenario_Data!T85)/Inputs!$C$39)+0.35*COS(2*PI()*(Inputs!$C$6)/Inputs!$C$40)+0.2*SIN(2*PI()*((Scenario_Data!T85)+(Inputs!$C$6))/(0.5*(Inputs!$C$39+Inputs!$C$40))))+Inputs!$C$38*SIN(2*PI()*(Scenario_Data!T85)/Inputs!$C$39)*SIN(2*PI()*(Inputs!$C$6)/Inputs!$C$40)+-Inputs!$C$41*EXP(-(((Inputs!$C$6)-Inputs!$C$43)^2)/(2*Inputs!$C$44^2))*EXP(-(((Scenario_Data!T85)-Inputs!$C$42)^2)/(2*Inputs!$C$45^2))+Inputs!$C$48*(0.7*(0.45*SIN(2*PI()*(((Scenario_Data!T85)/Inputs!$C$49)+Inputs!$C$47*0.137))+0.35*COS(2*PI()*(((Inputs!$C$6)/Inputs!$C$50)+Inputs!$C$47*0.173))+0.2*SIN(2*PI()*((((Scenario_Data!T85)+(Inputs!$C$6))/(0.5*(Inputs!$C$49+Inputs!$C$50)))+Inputs!$C$47*0.097)))+0.3*(2*((SIN(((Scenario_Data!T85)*12.9898+(Inputs!$C$6)*78.233+Inputs!$C$47*37.719))*43758.5453)-INT((SIN(((Scenario_Data!T85)*12.9898+(Inputs!$C$6)*78.233+Inputs!$C$47*37.719))*43758.5453)))-1))))/1000))^2-2*(Inputs!$C$52+(Scenario_Data!B85))*(Inputs!$C$52+((IF(OR(Inputs!$C$27=TRUE,Inputs!$C$27="TRUE",Inputs!$C$27=1),1,0)*(Inputs!$C$51*(115*EXP(-(((Inputs!$C$6)-25)^2)/(4.5^2))+70*EXP(-(((Inputs!$C$6)+38)^2)/(7^2))*(0.55+0.45*SIN(2*PI()*(Scenario_Data!T85)/45))+24*SIN(2*PI()*(Inputs!$C$6)/9+(Scenario_Data!T85)/18)*EXP(-(((Inputs!$C$6)+5)^2)/(22^2))+18*SIN(2*PI()*(Scenario_Data!T85)/70))+Inputs!$C$28*EXP(-(((Scenario_Data!T85)-Inputs!$C$29)^2)/(2*Inputs!$C$31^2))*EXP(-(((Inputs!$C$6)-Inputs!$C$30)^2)/(2*Inputs!$C$32^2))+-Inputs!$C$33*EXP(-(((((Scenario_Data!T85)-Inputs!$C$34)^2)+(((Inputs!$C$6)-Inputs!$C$35)^2))/(2*Inputs!$C$36^2)))+Inputs!$C$37*(0.55*SIN(2*PI()*(Scenario_Data!T85)/Inputs!$C$39)+0.35*COS(2*PI()*(Inputs!$C$6)/Inputs!$C$40)+0.2*SIN(2*PI()*((Scenario_Data!T85)+(Inputs!$C$6))/(0.5*(Inputs!$C$39+Inputs!$C$40))))+Inputs!$C$38*SIN(2*PI()*(Scenario_Data!T85)/Inputs!$C$39)*SIN(2*PI()*(Inputs!$C$6)/Inputs!$C$40)+-Inputs!$C$41*EXP(-(((Inputs!$C$6)-Inputs!$C$43)^2)/(2*Inputs!$C$44^2))*EXP(-(((Scenario_Data!T85)-Inputs!$C$42)^2)/(2*Inputs!$C$45^2))+Inputs!$C$48*(0.7*(0.45*SIN(2*PI()*(((Scenario_Data!T85)/Inputs!$C$49)+Inputs!$C$47*0.137))+0.35*COS(2*PI()*(((Inputs!$C$6)/Inputs!$C$50)+Inputs!$C$47*0.173))+0.2*SIN(2*PI()*((((Scenario_Data!T85)+(Inputs!$C$6))/(0.5*(Inputs!$C$49+Inputs!$C$50)))+Inputs!$C$47*0.097)))+0.3*(2*((SIN(((Scenario_Data!T85)*12.9898+(Inputs!$C$6)*78.233+Inputs!$C$47*37.719))*43758.5453)-INT((SIN(((Scenario_Data!T85)*12.9898+(Inputs!$C$6)*78.233+Inputs!$C$47*37.719))*43758.5453)))-1))))/1000))*COS(SQRT((Scenario_Data!T85)^2+Inputs!$C$6^2)/Inputs!$C$52))*1000)/Inputs!$C$21*1000000</f>
        <v/>
      </c>
      <c r="AR85">
        <f>Scenario_Data!U85</f>
        <v/>
      </c>
      <c r="AS85">
        <f>2*(SQRT((Inputs!$C$52+(Scenario_Data!C85))^2+(Inputs!$C$52+((IF(OR(Inputs!$C$27=TRUE,Inputs!$C$27="TRUE",Inputs!$C$27=1),1,0)*(Inputs!$C$51*(115*EXP(-(((Inputs!$C$6)-25)^2)/(4.5^2))+70*EXP(-(((Inputs!$C$6)+38)^2)/(7^2))*(0.55+0.45*SIN(2*PI()*(Scenario_Data!U85)/45))+24*SIN(2*PI()*(Inputs!$C$6)/9+(Scenario_Data!U85)/18)*EXP(-(((Inputs!$C$6)+5)^2)/(22^2))+18*SIN(2*PI()*(Scenario_Data!U85)/70))+Inputs!$C$28*EXP(-(((Scenario_Data!U85)-Inputs!$C$29)^2)/(2*Inputs!$C$31^2))*EXP(-(((Inputs!$C$6)-Inputs!$C$30)^2)/(2*Inputs!$C$32^2))+-Inputs!$C$33*EXP(-(((((Scenario_Data!U85)-Inputs!$C$34)^2)+(((Inputs!$C$6)-Inputs!$C$35)^2))/(2*Inputs!$C$36^2)))+Inputs!$C$37*(0.55*SIN(2*PI()*(Scenario_Data!U85)/Inputs!$C$39)+0.35*COS(2*PI()*(Inputs!$C$6)/Inputs!$C$40)+0.2*SIN(2*PI()*((Scenario_Data!U85)+(Inputs!$C$6))/(0.5*(Inputs!$C$39+Inputs!$C$40))))+Inputs!$C$38*SIN(2*PI()*(Scenario_Data!U85)/Inputs!$C$39)*SIN(2*PI()*(Inputs!$C$6)/Inputs!$C$40)+-Inputs!$C$41*EXP(-(((Inputs!$C$6)-Inputs!$C$43)^2)/(2*Inputs!$C$44^2))*EXP(-(((Scenario_Data!U85)-Inputs!$C$42)^2)/(2*Inputs!$C$45^2))+Inputs!$C$48*(0.7*(0.45*SIN(2*PI()*(((Scenario_Data!U85)/Inputs!$C$49)+Inputs!$C$47*0.137))+0.35*COS(2*PI()*(((Inputs!$C$6)/Inputs!$C$50)+Inputs!$C$47*0.173))+0.2*SIN(2*PI()*((((Scenario_Data!U85)+(Inputs!$C$6))/(0.5*(Inputs!$C$49+Inputs!$C$50)))+Inputs!$C$47*0.097)))+0.3*(2*((SIN(((Scenario_Data!U85)*12.9898+(Inputs!$C$6)*78.233+Inputs!$C$47*37.719))*43758.5453)-INT((SIN(((Scenario_Data!U85)*12.9898+(Inputs!$C$6)*78.233+Inputs!$C$47*37.719))*43758.5453)))-1))))/1000))^2-2*(Inputs!$C$52+(Scenario_Data!C85))*(Inputs!$C$52+((IF(OR(Inputs!$C$27=TRUE,Inputs!$C$27="TRUE",Inputs!$C$27=1),1,0)*(Inputs!$C$51*(115*EXP(-(((Inputs!$C$6)-25)^2)/(4.5^2))+70*EXP(-(((Inputs!$C$6)+38)^2)/(7^2))*(0.55+0.45*SIN(2*PI()*(Scenario_Data!U85)/45))+24*SIN(2*PI()*(Inputs!$C$6)/9+(Scenario_Data!U85)/18)*EXP(-(((Inputs!$C$6)+5)^2)/(22^2))+18*SIN(2*PI()*(Scenario_Data!U85)/70))+Inputs!$C$28*EXP(-(((Scenario_Data!U85)-Inputs!$C$29)^2)/(2*Inputs!$C$31^2))*EXP(-(((Inputs!$C$6)-Inputs!$C$30)^2)/(2*Inputs!$C$32^2))+-Inputs!$C$33*EXP(-(((((Scenario_Data!U85)-Inputs!$C$34)^2)+(((Inputs!$C$6)-Inputs!$C$35)^2))/(2*Inputs!$C$36^2)))+Inputs!$C$37*(0.55*SIN(2*PI()*(Scenario_Data!U85)/Inputs!$C$39)+0.35*COS(2*PI()*(Inputs!$C$6)/Inputs!$C$40)+0.2*SIN(2*PI()*((Scenario_Data!U85)+(Inputs!$C$6))/(0.5*(Inputs!$C$39+Inputs!$C$40))))+Inputs!$C$38*SIN(2*PI()*(Scenario_Data!U85)/Inputs!$C$39)*SIN(2*PI()*(Inputs!$C$6)/Inputs!$C$40)+-Inputs!$C$41*EXP(-(((Inputs!$C$6)-Inputs!$C$43)^2)/(2*Inputs!$C$44^2))*EXP(-(((Scenario_Data!U85)-Inputs!$C$42)^2)/(2*Inputs!$C$45^2))+Inputs!$C$48*(0.7*(0.45*SIN(2*PI()*(((Scenario_Data!U85)/Inputs!$C$49)+Inputs!$C$47*0.137))+0.35*COS(2*PI()*(((Inputs!$C$6)/Inputs!$C$50)+Inputs!$C$47*0.173))+0.2*SIN(2*PI()*((((Scenario_Data!U85)+(Inputs!$C$6))/(0.5*(Inputs!$C$49+Inputs!$C$50)))+Inputs!$C$47*0.097)))+0.3*(2*((SIN(((Scenario_Data!U85)*12.9898+(Inputs!$C$6)*78.233+Inputs!$C$47*37.719))*43758.5453)-INT((SIN(((Scenario_Data!U85)*12.9898+(Inputs!$C$6)*78.233+Inputs!$C$47*37.719))*43758.5453)))-1))))/1000))*COS(SQRT((Scenario_Data!U85)^2+Inputs!$C$6^2)/Inputs!$C$52))*1000)/Inputs!$C$21*1000000</f>
        <v/>
      </c>
      <c r="AT85">
        <f>Scenario_Data!V85</f>
        <v/>
      </c>
      <c r="AU85">
        <f>2*(SQRT((Inputs!$C$52+(Scenario_Data!D85))^2+(Inputs!$C$52+((IF(OR(Inputs!$C$27=TRUE,Inputs!$C$27="TRUE",Inputs!$C$27=1),1,0)*(Inputs!$C$51*(115*EXP(-(((Inputs!$C$6)-25)^2)/(4.5^2))+70*EXP(-(((Inputs!$C$6)+38)^2)/(7^2))*(0.55+0.45*SIN(2*PI()*(Scenario_Data!V85)/45))+24*SIN(2*PI()*(Inputs!$C$6)/9+(Scenario_Data!V85)/18)*EXP(-(((Inputs!$C$6)+5)^2)/(22^2))+18*SIN(2*PI()*(Scenario_Data!V85)/70))+Inputs!$C$28*EXP(-(((Scenario_Data!V85)-Inputs!$C$29)^2)/(2*Inputs!$C$31^2))*EXP(-(((Inputs!$C$6)-Inputs!$C$30)^2)/(2*Inputs!$C$32^2))+-Inputs!$C$33*EXP(-(((((Scenario_Data!V85)-Inputs!$C$34)^2)+(((Inputs!$C$6)-Inputs!$C$35)^2))/(2*Inputs!$C$36^2)))+Inputs!$C$37*(0.55*SIN(2*PI()*(Scenario_Data!V85)/Inputs!$C$39)+0.35*COS(2*PI()*(Inputs!$C$6)/Inputs!$C$40)+0.2*SIN(2*PI()*((Scenario_Data!V85)+(Inputs!$C$6))/(0.5*(Inputs!$C$39+Inputs!$C$40))))+Inputs!$C$38*SIN(2*PI()*(Scenario_Data!V85)/Inputs!$C$39)*SIN(2*PI()*(Inputs!$C$6)/Inputs!$C$40)+-Inputs!$C$41*EXP(-(((Inputs!$C$6)-Inputs!$C$43)^2)/(2*Inputs!$C$44^2))*EXP(-(((Scenario_Data!V85)-Inputs!$C$42)^2)/(2*Inputs!$C$45^2))+Inputs!$C$48*(0.7*(0.45*SIN(2*PI()*(((Scenario_Data!V85)/Inputs!$C$49)+Inputs!$C$47*0.137))+0.35*COS(2*PI()*(((Inputs!$C$6)/Inputs!$C$50)+Inputs!$C$47*0.173))+0.2*SIN(2*PI()*((((Scenario_Data!V85)+(Inputs!$C$6))/(0.5*(Inputs!$C$49+Inputs!$C$50)))+Inputs!$C$47*0.097)))+0.3*(2*((SIN(((Scenario_Data!V85)*12.9898+(Inputs!$C$6)*78.233+Inputs!$C$47*37.719))*43758.5453)-INT((SIN(((Scenario_Data!V85)*12.9898+(Inputs!$C$6)*78.233+Inputs!$C$47*37.719))*43758.5453)))-1))))/1000))^2-2*(Inputs!$C$52+(Scenario_Data!D85))*(Inputs!$C$52+((IF(OR(Inputs!$C$27=TRUE,Inputs!$C$27="TRUE",Inputs!$C$27=1),1,0)*(Inputs!$C$51*(115*EXP(-(((Inputs!$C$6)-25)^2)/(4.5^2))+70*EXP(-(((Inputs!$C$6)+38)^2)/(7^2))*(0.55+0.45*SIN(2*PI()*(Scenario_Data!V85)/45))+24*SIN(2*PI()*(Inputs!$C$6)/9+(Scenario_Data!V85)/18)*EXP(-(((Inputs!$C$6)+5)^2)/(22^2))+18*SIN(2*PI()*(Scenario_Data!V85)/70))+Inputs!$C$28*EXP(-(((Scenario_Data!V85)-Inputs!$C$29)^2)/(2*Inputs!$C$31^2))*EXP(-(((Inputs!$C$6)-Inputs!$C$30)^2)/(2*Inputs!$C$32^2))+-Inputs!$C$33*EXP(-(((((Scenario_Data!V85)-Inputs!$C$34)^2)+(((Inputs!$C$6)-Inputs!$C$35)^2))/(2*Inputs!$C$36^2)))+Inputs!$C$37*(0.55*SIN(2*PI()*(Scenario_Data!V85)/Inputs!$C$39)+0.35*COS(2*PI()*(Inputs!$C$6)/Inputs!$C$40)+0.2*SIN(2*PI()*((Scenario_Data!V85)+(Inputs!$C$6))/(0.5*(Inputs!$C$39+Inputs!$C$40))))+Inputs!$C$38*SIN(2*PI()*(Scenario_Data!V85)/Inputs!$C$39)*SIN(2*PI()*(Inputs!$C$6)/Inputs!$C$40)+-Inputs!$C$41*EXP(-(((Inputs!$C$6)-Inputs!$C$43)^2)/(2*Inputs!$C$44^2))*EXP(-(((Scenario_Data!V85)-Inputs!$C$42)^2)/(2*Inputs!$C$45^2))+Inputs!$C$48*(0.7*(0.45*SIN(2*PI()*(((Scenario_Data!V85)/Inputs!$C$49)+Inputs!$C$47*0.137))+0.35*COS(2*PI()*(((Inputs!$C$6)/Inputs!$C$50)+Inputs!$C$47*0.173))+0.2*SIN(2*PI()*((((Scenario_Data!V85)+(Inputs!$C$6))/(0.5*(Inputs!$C$49+Inputs!$C$50)))+Inputs!$C$47*0.097)))+0.3*(2*((SIN(((Scenario_Data!V85)*12.9898+(Inputs!$C$6)*78.233+Inputs!$C$47*37.719))*43758.5453)-INT((SIN(((Scenario_Data!V85)*12.9898+(Inputs!$C$6)*78.233+Inputs!$C$47*37.719))*43758.5453)))-1))))/1000))*COS(SQRT((Scenario_Data!V85)^2+Inputs!$C$6^2)/Inputs!$C$52))*1000)/Inputs!$C$21*1000000</f>
        <v/>
      </c>
      <c r="AV85">
        <f>Scenario_Data!W85</f>
        <v/>
      </c>
      <c r="AW85">
        <f>2*(SQRT((Inputs!$C$52+(Scenario_Data!E85))^2+(Inputs!$C$52+((IF(OR(Inputs!$C$27=TRUE,Inputs!$C$27="TRUE",Inputs!$C$27=1),1,0)*(Inputs!$C$51*(115*EXP(-(((Inputs!$C$6)-25)^2)/(4.5^2))+70*EXP(-(((Inputs!$C$6)+38)^2)/(7^2))*(0.55+0.45*SIN(2*PI()*(Scenario_Data!W85)/45))+24*SIN(2*PI()*(Inputs!$C$6)/9+(Scenario_Data!W85)/18)*EXP(-(((Inputs!$C$6)+5)^2)/(22^2))+18*SIN(2*PI()*(Scenario_Data!W85)/70))+Inputs!$C$28*EXP(-(((Scenario_Data!W85)-Inputs!$C$29)^2)/(2*Inputs!$C$31^2))*EXP(-(((Inputs!$C$6)-Inputs!$C$30)^2)/(2*Inputs!$C$32^2))+-Inputs!$C$33*EXP(-(((((Scenario_Data!W85)-Inputs!$C$34)^2)+(((Inputs!$C$6)-Inputs!$C$35)^2))/(2*Inputs!$C$36^2)))+Inputs!$C$37*(0.55*SIN(2*PI()*(Scenario_Data!W85)/Inputs!$C$39)+0.35*COS(2*PI()*(Inputs!$C$6)/Inputs!$C$40)+0.2*SIN(2*PI()*((Scenario_Data!W85)+(Inputs!$C$6))/(0.5*(Inputs!$C$39+Inputs!$C$40))))+Inputs!$C$38*SIN(2*PI()*(Scenario_Data!W85)/Inputs!$C$39)*SIN(2*PI()*(Inputs!$C$6)/Inputs!$C$40)+-Inputs!$C$41*EXP(-(((Inputs!$C$6)-Inputs!$C$43)^2)/(2*Inputs!$C$44^2))*EXP(-(((Scenario_Data!W85)-Inputs!$C$42)^2)/(2*Inputs!$C$45^2))+Inputs!$C$48*(0.7*(0.45*SIN(2*PI()*(((Scenario_Data!W85)/Inputs!$C$49)+Inputs!$C$47*0.137))+0.35*COS(2*PI()*(((Inputs!$C$6)/Inputs!$C$50)+Inputs!$C$47*0.173))+0.2*SIN(2*PI()*((((Scenario_Data!W85)+(Inputs!$C$6))/(0.5*(Inputs!$C$49+Inputs!$C$50)))+Inputs!$C$47*0.097)))+0.3*(2*((SIN(((Scenario_Data!W85)*12.9898+(Inputs!$C$6)*78.233+Inputs!$C$47*37.719))*43758.5453)-INT((SIN(((Scenario_Data!W85)*12.9898+(Inputs!$C$6)*78.233+Inputs!$C$47*37.719))*43758.5453)))-1))))/1000))^2-2*(Inputs!$C$52+(Scenario_Data!E85))*(Inputs!$C$52+((IF(OR(Inputs!$C$27=TRUE,Inputs!$C$27="TRUE",Inputs!$C$27=1),1,0)*(Inputs!$C$51*(115*EXP(-(((Inputs!$C$6)-25)^2)/(4.5^2))+70*EXP(-(((Inputs!$C$6)+38)^2)/(7^2))*(0.55+0.45*SIN(2*PI()*(Scenario_Data!W85)/45))+24*SIN(2*PI()*(Inputs!$C$6)/9+(Scenario_Data!W85)/18)*EXP(-(((Inputs!$C$6)+5)^2)/(22^2))+18*SIN(2*PI()*(Scenario_Data!W85)/70))+Inputs!$C$28*EXP(-(((Scenario_Data!W85)-Inputs!$C$29)^2)/(2*Inputs!$C$31^2))*EXP(-(((Inputs!$C$6)-Inputs!$C$30)^2)/(2*Inputs!$C$32^2))+-Inputs!$C$33*EXP(-(((((Scenario_Data!W85)-Inputs!$C$34)^2)+(((Inputs!$C$6)-Inputs!$C$35)^2))/(2*Inputs!$C$36^2)))+Inputs!$C$37*(0.55*SIN(2*PI()*(Scenario_Data!W85)/Inputs!$C$39)+0.35*COS(2*PI()*(Inputs!$C$6)/Inputs!$C$40)+0.2*SIN(2*PI()*((Scenario_Data!W85)+(Inputs!$C$6))/(0.5*(Inputs!$C$39+Inputs!$C$40))))+Inputs!$C$38*SIN(2*PI()*(Scenario_Data!W85)/Inputs!$C$39)*SIN(2*PI()*(Inputs!$C$6)/Inputs!$C$40)+-Inputs!$C$41*EXP(-(((Inputs!$C$6)-Inputs!$C$43)^2)/(2*Inputs!$C$44^2))*EXP(-(((Scenario_Data!W85)-Inputs!$C$42)^2)/(2*Inputs!$C$45^2))+Inputs!$C$48*(0.7*(0.45*SIN(2*PI()*(((Scenario_Data!W85)/Inputs!$C$49)+Inputs!$C$47*0.137))+0.35*COS(2*PI()*(((Inputs!$C$6)/Inputs!$C$50)+Inputs!$C$47*0.173))+0.2*SIN(2*PI()*((((Scenario_Data!W85)+(Inputs!$C$6))/(0.5*(Inputs!$C$49+Inputs!$C$50)))+Inputs!$C$47*0.097)))+0.3*(2*((SIN(((Scenario_Data!W85)*12.9898+(Inputs!$C$6)*78.233+Inputs!$C$47*37.719))*43758.5453)-INT((SIN(((Scenario_Data!W85)*12.9898+(Inputs!$C$6)*78.233+Inputs!$C$47*37.719))*43758.5453)))-1))))/1000))*COS(SQRT((Scenario_Data!W85)^2+Inputs!$C$6^2)/Inputs!$C$52))*1000)/Inputs!$C$21*1000000</f>
        <v/>
      </c>
    </row>
    <row r="86">
      <c r="A86">
        <f>Chart_Data!K86</f>
        <v/>
      </c>
      <c r="B86">
        <f>Chart_Data!N86-Chart_Data!L86</f>
        <v/>
      </c>
      <c r="D86">
        <f>Chart_Data!G86</f>
        <v/>
      </c>
      <c r="E86">
        <f>Chart_Data!H86</f>
        <v/>
      </c>
      <c r="F86">
        <f>Chart_Data!I86</f>
        <v/>
      </c>
      <c r="G86">
        <f>Chart_Data!J86</f>
        <v/>
      </c>
      <c r="I86">
        <f>Scenario_Data!A86</f>
        <v/>
      </c>
      <c r="J86">
        <f>Scenario_Data!H86-(((SQRT((Inputs!$C$52+(Inputs!$H$6))^2+Inputs!$C$52^2-2*(Inputs!$C$52+(Inputs!$H$6))*Inputs!$C$52*COS(SQRT((Scenario_Data!T86)^2+Inputs!$C$6^2)/Inputs!$C$52)))-(Inputs!$H$6))*1000/Inputs!$C$12)</f>
        <v/>
      </c>
      <c r="K86">
        <f>Scenario_Data!I86-(((SQRT((Inputs!$C$52+(Inputs!$H$7))^2+Inputs!$C$52^2-2*(Inputs!$C$52+(Inputs!$H$7))*Inputs!$C$52*COS(SQRT((Scenario_Data!U86)^2+Inputs!$C$6^2)/Inputs!$C$52)))-(Inputs!$H$7))*1000/Inputs!$C$12)</f>
        <v/>
      </c>
      <c r="L86">
        <f>Scenario_Data!J86-(((SQRT((Inputs!$C$52+(Inputs!$H$8))^2+Inputs!$C$52^2-2*(Inputs!$C$52+(Inputs!$H$8))*Inputs!$C$52*COS(SQRT((Scenario_Data!V86)^2+Inputs!$C$6^2)/Inputs!$C$52)))-(Inputs!$H$8))*1000/Inputs!$C$12)</f>
        <v/>
      </c>
      <c r="M86">
        <f>Scenario_Data!K86-(((SQRT((Inputs!$C$52+(Inputs!$H$9))^2+Inputs!$C$52^2-2*(Inputs!$C$52+(Inputs!$H$9))*Inputs!$C$52*COS(SQRT((Scenario_Data!W86)^2+Inputs!$C$6^2)/Inputs!$C$52)))-(Inputs!$H$9))*1000/Inputs!$C$12)</f>
        <v/>
      </c>
      <c r="O86">
        <f>Scenario_Data!T86</f>
        <v/>
      </c>
      <c r="P86">
        <f>2*(Scenario_Data!B86*1000)/Inputs!$C$21*1000000</f>
        <v/>
      </c>
      <c r="Q86">
        <f>Scenario_Data!U86</f>
        <v/>
      </c>
      <c r="R86">
        <f>2*(Scenario_Data!C86*1000)/Inputs!$C$21*1000000</f>
        <v/>
      </c>
      <c r="S86">
        <f>Scenario_Data!V86</f>
        <v/>
      </c>
      <c r="T86">
        <f>2*(Scenario_Data!D86*1000)/Inputs!$C$21*1000000</f>
        <v/>
      </c>
      <c r="U86">
        <f>Scenario_Data!W86</f>
        <v/>
      </c>
      <c r="V86">
        <f>2*(Scenario_Data!E86*1000)/Inputs!$C$21*1000000</f>
        <v/>
      </c>
      <c r="X86">
        <f>Scenario_Data!T86</f>
        <v/>
      </c>
      <c r="Y86">
        <f>2*((Scenario_Data!B86*1000)-(IF(OR(Inputs!$C$27=TRUE,Inputs!$C$27="TRUE",Inputs!$C$27=1),1,0)*(Inputs!$C$51*(115*EXP(-(((0)-25)^2)/(4.5^2))+70*EXP(-(((0)+38)^2)/(7^2))*(0.55+0.45*SIN(2*PI()*(Scenario_Data!T86)/45))+24*SIN(2*PI()*(0)/9+(Scenario_Data!T86)/18)*EXP(-(((0)+5)^2)/(22^2))+18*SIN(2*PI()*(Scenario_Data!T86)/70))+Inputs!$C$28*EXP(-(((Scenario_Data!T86)-Inputs!$C$29)^2)/(2*Inputs!$C$31^2))*EXP(-(((0)-Inputs!$C$30)^2)/(2*Inputs!$C$32^2))+-Inputs!$C$33*EXP(-(((((Scenario_Data!T86)-Inputs!$C$34)^2)+(((0)-Inputs!$C$35)^2))/(2*Inputs!$C$36^2)))+Inputs!$C$37*(0.55*SIN(2*PI()*(Scenario_Data!T86)/Inputs!$C$39)+0.35*COS(2*PI()*(0)/Inputs!$C$40)+0.2*SIN(2*PI()*((Scenario_Data!T86)+(0))/(0.5*(Inputs!$C$39+Inputs!$C$40))))+Inputs!$C$38*SIN(2*PI()*(Scenario_Data!T86)/Inputs!$C$39)*SIN(2*PI()*(0)/Inputs!$C$40)+-Inputs!$C$41*EXP(-(((0)-Inputs!$C$43)^2)/(2*Inputs!$C$44^2))*EXP(-(((Scenario_Data!T86)-Inputs!$C$42)^2)/(2*Inputs!$C$45^2))+Inputs!$C$48*(0.7*(0.45*SIN(2*PI()*(((Scenario_Data!T86)/Inputs!$C$49)+Inputs!$C$47*0.137))+0.35*COS(2*PI()*(((0)/Inputs!$C$50)+Inputs!$C$47*0.173))+0.2*SIN(2*PI()*((((Scenario_Data!T86)+(0))/(0.5*(Inputs!$C$49+Inputs!$C$50)))+Inputs!$C$47*0.097)))+0.3*(2*((SIN(((Scenario_Data!T86)*12.9898+(0)*78.233+Inputs!$C$47*37.719))*43758.5453)-INT((SIN(((Scenario_Data!T86)*12.9898+(0)*78.233+Inputs!$C$47*37.719))*43758.5453)))-1)))))/Inputs!$C$21*1000000</f>
        <v/>
      </c>
      <c r="Z86">
        <f>Scenario_Data!U86</f>
        <v/>
      </c>
      <c r="AA86">
        <f>2*((Scenario_Data!C86*1000)-(IF(OR(Inputs!$C$27=TRUE,Inputs!$C$27="TRUE",Inputs!$C$27=1),1,0)*(Inputs!$C$51*(115*EXP(-(((0)-25)^2)/(4.5^2))+70*EXP(-(((0)+38)^2)/(7^2))*(0.55+0.45*SIN(2*PI()*(Scenario_Data!U86)/45))+24*SIN(2*PI()*(0)/9+(Scenario_Data!U86)/18)*EXP(-(((0)+5)^2)/(22^2))+18*SIN(2*PI()*(Scenario_Data!U86)/70))+Inputs!$C$28*EXP(-(((Scenario_Data!U86)-Inputs!$C$29)^2)/(2*Inputs!$C$31^2))*EXP(-(((0)-Inputs!$C$30)^2)/(2*Inputs!$C$32^2))+-Inputs!$C$33*EXP(-(((((Scenario_Data!U86)-Inputs!$C$34)^2)+(((0)-Inputs!$C$35)^2))/(2*Inputs!$C$36^2)))+Inputs!$C$37*(0.55*SIN(2*PI()*(Scenario_Data!U86)/Inputs!$C$39)+0.35*COS(2*PI()*(0)/Inputs!$C$40)+0.2*SIN(2*PI()*((Scenario_Data!U86)+(0))/(0.5*(Inputs!$C$39+Inputs!$C$40))))+Inputs!$C$38*SIN(2*PI()*(Scenario_Data!U86)/Inputs!$C$39)*SIN(2*PI()*(0)/Inputs!$C$40)+-Inputs!$C$41*EXP(-(((0)-Inputs!$C$43)^2)/(2*Inputs!$C$44^2))*EXP(-(((Scenario_Data!U86)-Inputs!$C$42)^2)/(2*Inputs!$C$45^2))+Inputs!$C$48*(0.7*(0.45*SIN(2*PI()*(((Scenario_Data!U86)/Inputs!$C$49)+Inputs!$C$47*0.137))+0.35*COS(2*PI()*(((0)/Inputs!$C$50)+Inputs!$C$47*0.173))+0.2*SIN(2*PI()*((((Scenario_Data!U86)+(0))/(0.5*(Inputs!$C$49+Inputs!$C$50)))+Inputs!$C$47*0.097)))+0.3*(2*((SIN(((Scenario_Data!U86)*12.9898+(0)*78.233+Inputs!$C$47*37.719))*43758.5453)-INT((SIN(((Scenario_Data!U86)*12.9898+(0)*78.233+Inputs!$C$47*37.719))*43758.5453)))-1)))))/Inputs!$C$21*1000000</f>
        <v/>
      </c>
      <c r="AB86">
        <f>Scenario_Data!V86</f>
        <v/>
      </c>
      <c r="AC86">
        <f>2*((Scenario_Data!D86*1000)-(IF(OR(Inputs!$C$27=TRUE,Inputs!$C$27="TRUE",Inputs!$C$27=1),1,0)*(Inputs!$C$51*(115*EXP(-(((0)-25)^2)/(4.5^2))+70*EXP(-(((0)+38)^2)/(7^2))*(0.55+0.45*SIN(2*PI()*(Scenario_Data!V86)/45))+24*SIN(2*PI()*(0)/9+(Scenario_Data!V86)/18)*EXP(-(((0)+5)^2)/(22^2))+18*SIN(2*PI()*(Scenario_Data!V86)/70))+Inputs!$C$28*EXP(-(((Scenario_Data!V86)-Inputs!$C$29)^2)/(2*Inputs!$C$31^2))*EXP(-(((0)-Inputs!$C$30)^2)/(2*Inputs!$C$32^2))+-Inputs!$C$33*EXP(-(((((Scenario_Data!V86)-Inputs!$C$34)^2)+(((0)-Inputs!$C$35)^2))/(2*Inputs!$C$36^2)))+Inputs!$C$37*(0.55*SIN(2*PI()*(Scenario_Data!V86)/Inputs!$C$39)+0.35*COS(2*PI()*(0)/Inputs!$C$40)+0.2*SIN(2*PI()*((Scenario_Data!V86)+(0))/(0.5*(Inputs!$C$39+Inputs!$C$40))))+Inputs!$C$38*SIN(2*PI()*(Scenario_Data!V86)/Inputs!$C$39)*SIN(2*PI()*(0)/Inputs!$C$40)+-Inputs!$C$41*EXP(-(((0)-Inputs!$C$43)^2)/(2*Inputs!$C$44^2))*EXP(-(((Scenario_Data!V86)-Inputs!$C$42)^2)/(2*Inputs!$C$45^2))+Inputs!$C$48*(0.7*(0.45*SIN(2*PI()*(((Scenario_Data!V86)/Inputs!$C$49)+Inputs!$C$47*0.137))+0.35*COS(2*PI()*(((0)/Inputs!$C$50)+Inputs!$C$47*0.173))+0.2*SIN(2*PI()*((((Scenario_Data!V86)+(0))/(0.5*(Inputs!$C$49+Inputs!$C$50)))+Inputs!$C$47*0.097)))+0.3*(2*((SIN(((Scenario_Data!V86)*12.9898+(0)*78.233+Inputs!$C$47*37.719))*43758.5453)-INT((SIN(((Scenario_Data!V86)*12.9898+(0)*78.233+Inputs!$C$47*37.719))*43758.5453)))-1)))))/Inputs!$C$21*1000000</f>
        <v/>
      </c>
      <c r="AD86">
        <f>Scenario_Data!W86</f>
        <v/>
      </c>
      <c r="AE86">
        <f>2*((Scenario_Data!E86*1000)-(IF(OR(Inputs!$C$27=TRUE,Inputs!$C$27="TRUE",Inputs!$C$27=1),1,0)*(Inputs!$C$51*(115*EXP(-(((0)-25)^2)/(4.5^2))+70*EXP(-(((0)+38)^2)/(7^2))*(0.55+0.45*SIN(2*PI()*(Scenario_Data!W86)/45))+24*SIN(2*PI()*(0)/9+(Scenario_Data!W86)/18)*EXP(-(((0)+5)^2)/(22^2))+18*SIN(2*PI()*(Scenario_Data!W86)/70))+Inputs!$C$28*EXP(-(((Scenario_Data!W86)-Inputs!$C$29)^2)/(2*Inputs!$C$31^2))*EXP(-(((0)-Inputs!$C$30)^2)/(2*Inputs!$C$32^2))+-Inputs!$C$33*EXP(-(((((Scenario_Data!W86)-Inputs!$C$34)^2)+(((0)-Inputs!$C$35)^2))/(2*Inputs!$C$36^2)))+Inputs!$C$37*(0.55*SIN(2*PI()*(Scenario_Data!W86)/Inputs!$C$39)+0.35*COS(2*PI()*(0)/Inputs!$C$40)+0.2*SIN(2*PI()*((Scenario_Data!W86)+(0))/(0.5*(Inputs!$C$39+Inputs!$C$40))))+Inputs!$C$38*SIN(2*PI()*(Scenario_Data!W86)/Inputs!$C$39)*SIN(2*PI()*(0)/Inputs!$C$40)+-Inputs!$C$41*EXP(-(((0)-Inputs!$C$43)^2)/(2*Inputs!$C$44^2))*EXP(-(((Scenario_Data!W86)-Inputs!$C$42)^2)/(2*Inputs!$C$45^2))+Inputs!$C$48*(0.7*(0.45*SIN(2*PI()*(((Scenario_Data!W86)/Inputs!$C$49)+Inputs!$C$47*0.137))+0.35*COS(2*PI()*(((0)/Inputs!$C$50)+Inputs!$C$47*0.173))+0.2*SIN(2*PI()*((((Scenario_Data!W86)+(0))/(0.5*(Inputs!$C$49+Inputs!$C$50)))+Inputs!$C$47*0.097)))+0.3*(2*((SIN(((Scenario_Data!W86)*12.9898+(0)*78.233+Inputs!$C$47*37.719))*43758.5453)-INT((SIN(((Scenario_Data!W86)*12.9898+(0)*78.233+Inputs!$C$47*37.719))*43758.5453)))-1)))))/Inputs!$C$21*1000000</f>
        <v/>
      </c>
      <c r="AG86">
        <f>Scenario_Data!T86</f>
        <v/>
      </c>
      <c r="AH86">
        <f>2*(SQRT((Inputs!$C$52+(Scenario_Data!B86))^2+Inputs!$C$52^2-2*(Inputs!$C$52+(Scenario_Data!B86))*Inputs!$C$52*COS(SQRT((Scenario_Data!T86)^2+Inputs!$C$6^2)/Inputs!$C$52))*1000)/Inputs!$C$21*1000000</f>
        <v/>
      </c>
      <c r="AI86">
        <f>Scenario_Data!U86</f>
        <v/>
      </c>
      <c r="AJ86">
        <f>2*(SQRT((Inputs!$C$52+(Scenario_Data!C86))^2+Inputs!$C$52^2-2*(Inputs!$C$52+(Scenario_Data!C86))*Inputs!$C$52*COS(SQRT((Scenario_Data!U86)^2+Inputs!$C$6^2)/Inputs!$C$52))*1000)/Inputs!$C$21*1000000</f>
        <v/>
      </c>
      <c r="AK86">
        <f>Scenario_Data!V86</f>
        <v/>
      </c>
      <c r="AL86">
        <f>2*(SQRT((Inputs!$C$52+(Scenario_Data!D86))^2+Inputs!$C$52^2-2*(Inputs!$C$52+(Scenario_Data!D86))*Inputs!$C$52*COS(SQRT((Scenario_Data!V86)^2+Inputs!$C$6^2)/Inputs!$C$52))*1000)/Inputs!$C$21*1000000</f>
        <v/>
      </c>
      <c r="AM86">
        <f>Scenario_Data!W86</f>
        <v/>
      </c>
      <c r="AN86">
        <f>2*(SQRT((Inputs!$C$52+(Scenario_Data!E86))^2+Inputs!$C$52^2-2*(Inputs!$C$52+(Scenario_Data!E86))*Inputs!$C$52*COS(SQRT((Scenario_Data!W86)^2+Inputs!$C$6^2)/Inputs!$C$52))*1000)/Inputs!$C$21*1000000</f>
        <v/>
      </c>
      <c r="AP86">
        <f>Scenario_Data!T86</f>
        <v/>
      </c>
      <c r="AQ86">
        <f>2*(SQRT((Inputs!$C$52+(Scenario_Data!B86))^2+(Inputs!$C$52+((IF(OR(Inputs!$C$27=TRUE,Inputs!$C$27="TRUE",Inputs!$C$27=1),1,0)*(Inputs!$C$51*(115*EXP(-(((Inputs!$C$6)-25)^2)/(4.5^2))+70*EXP(-(((Inputs!$C$6)+38)^2)/(7^2))*(0.55+0.45*SIN(2*PI()*(Scenario_Data!T86)/45))+24*SIN(2*PI()*(Inputs!$C$6)/9+(Scenario_Data!T86)/18)*EXP(-(((Inputs!$C$6)+5)^2)/(22^2))+18*SIN(2*PI()*(Scenario_Data!T86)/70))+Inputs!$C$28*EXP(-(((Scenario_Data!T86)-Inputs!$C$29)^2)/(2*Inputs!$C$31^2))*EXP(-(((Inputs!$C$6)-Inputs!$C$30)^2)/(2*Inputs!$C$32^2))+-Inputs!$C$33*EXP(-(((((Scenario_Data!T86)-Inputs!$C$34)^2)+(((Inputs!$C$6)-Inputs!$C$35)^2))/(2*Inputs!$C$36^2)))+Inputs!$C$37*(0.55*SIN(2*PI()*(Scenario_Data!T86)/Inputs!$C$39)+0.35*COS(2*PI()*(Inputs!$C$6)/Inputs!$C$40)+0.2*SIN(2*PI()*((Scenario_Data!T86)+(Inputs!$C$6))/(0.5*(Inputs!$C$39+Inputs!$C$40))))+Inputs!$C$38*SIN(2*PI()*(Scenario_Data!T86)/Inputs!$C$39)*SIN(2*PI()*(Inputs!$C$6)/Inputs!$C$40)+-Inputs!$C$41*EXP(-(((Inputs!$C$6)-Inputs!$C$43)^2)/(2*Inputs!$C$44^2))*EXP(-(((Scenario_Data!T86)-Inputs!$C$42)^2)/(2*Inputs!$C$45^2))+Inputs!$C$48*(0.7*(0.45*SIN(2*PI()*(((Scenario_Data!T86)/Inputs!$C$49)+Inputs!$C$47*0.137))+0.35*COS(2*PI()*(((Inputs!$C$6)/Inputs!$C$50)+Inputs!$C$47*0.173))+0.2*SIN(2*PI()*((((Scenario_Data!T86)+(Inputs!$C$6))/(0.5*(Inputs!$C$49+Inputs!$C$50)))+Inputs!$C$47*0.097)))+0.3*(2*((SIN(((Scenario_Data!T86)*12.9898+(Inputs!$C$6)*78.233+Inputs!$C$47*37.719))*43758.5453)-INT((SIN(((Scenario_Data!T86)*12.9898+(Inputs!$C$6)*78.233+Inputs!$C$47*37.719))*43758.5453)))-1))))/1000))^2-2*(Inputs!$C$52+(Scenario_Data!B86))*(Inputs!$C$52+((IF(OR(Inputs!$C$27=TRUE,Inputs!$C$27="TRUE",Inputs!$C$27=1),1,0)*(Inputs!$C$51*(115*EXP(-(((Inputs!$C$6)-25)^2)/(4.5^2))+70*EXP(-(((Inputs!$C$6)+38)^2)/(7^2))*(0.55+0.45*SIN(2*PI()*(Scenario_Data!T86)/45))+24*SIN(2*PI()*(Inputs!$C$6)/9+(Scenario_Data!T86)/18)*EXP(-(((Inputs!$C$6)+5)^2)/(22^2))+18*SIN(2*PI()*(Scenario_Data!T86)/70))+Inputs!$C$28*EXP(-(((Scenario_Data!T86)-Inputs!$C$29)^2)/(2*Inputs!$C$31^2))*EXP(-(((Inputs!$C$6)-Inputs!$C$30)^2)/(2*Inputs!$C$32^2))+-Inputs!$C$33*EXP(-(((((Scenario_Data!T86)-Inputs!$C$34)^2)+(((Inputs!$C$6)-Inputs!$C$35)^2))/(2*Inputs!$C$36^2)))+Inputs!$C$37*(0.55*SIN(2*PI()*(Scenario_Data!T86)/Inputs!$C$39)+0.35*COS(2*PI()*(Inputs!$C$6)/Inputs!$C$40)+0.2*SIN(2*PI()*((Scenario_Data!T86)+(Inputs!$C$6))/(0.5*(Inputs!$C$39+Inputs!$C$40))))+Inputs!$C$38*SIN(2*PI()*(Scenario_Data!T86)/Inputs!$C$39)*SIN(2*PI()*(Inputs!$C$6)/Inputs!$C$40)+-Inputs!$C$41*EXP(-(((Inputs!$C$6)-Inputs!$C$43)^2)/(2*Inputs!$C$44^2))*EXP(-(((Scenario_Data!T86)-Inputs!$C$42)^2)/(2*Inputs!$C$45^2))+Inputs!$C$48*(0.7*(0.45*SIN(2*PI()*(((Scenario_Data!T86)/Inputs!$C$49)+Inputs!$C$47*0.137))+0.35*COS(2*PI()*(((Inputs!$C$6)/Inputs!$C$50)+Inputs!$C$47*0.173))+0.2*SIN(2*PI()*((((Scenario_Data!T86)+(Inputs!$C$6))/(0.5*(Inputs!$C$49+Inputs!$C$50)))+Inputs!$C$47*0.097)))+0.3*(2*((SIN(((Scenario_Data!T86)*12.9898+(Inputs!$C$6)*78.233+Inputs!$C$47*37.719))*43758.5453)-INT((SIN(((Scenario_Data!T86)*12.9898+(Inputs!$C$6)*78.233+Inputs!$C$47*37.719))*43758.5453)))-1))))/1000))*COS(SQRT((Scenario_Data!T86)^2+Inputs!$C$6^2)/Inputs!$C$52))*1000)/Inputs!$C$21*1000000</f>
        <v/>
      </c>
      <c r="AR86">
        <f>Scenario_Data!U86</f>
        <v/>
      </c>
      <c r="AS86">
        <f>2*(SQRT((Inputs!$C$52+(Scenario_Data!C86))^2+(Inputs!$C$52+((IF(OR(Inputs!$C$27=TRUE,Inputs!$C$27="TRUE",Inputs!$C$27=1),1,0)*(Inputs!$C$51*(115*EXP(-(((Inputs!$C$6)-25)^2)/(4.5^2))+70*EXP(-(((Inputs!$C$6)+38)^2)/(7^2))*(0.55+0.45*SIN(2*PI()*(Scenario_Data!U86)/45))+24*SIN(2*PI()*(Inputs!$C$6)/9+(Scenario_Data!U86)/18)*EXP(-(((Inputs!$C$6)+5)^2)/(22^2))+18*SIN(2*PI()*(Scenario_Data!U86)/70))+Inputs!$C$28*EXP(-(((Scenario_Data!U86)-Inputs!$C$29)^2)/(2*Inputs!$C$31^2))*EXP(-(((Inputs!$C$6)-Inputs!$C$30)^2)/(2*Inputs!$C$32^2))+-Inputs!$C$33*EXP(-(((((Scenario_Data!U86)-Inputs!$C$34)^2)+(((Inputs!$C$6)-Inputs!$C$35)^2))/(2*Inputs!$C$36^2)))+Inputs!$C$37*(0.55*SIN(2*PI()*(Scenario_Data!U86)/Inputs!$C$39)+0.35*COS(2*PI()*(Inputs!$C$6)/Inputs!$C$40)+0.2*SIN(2*PI()*((Scenario_Data!U86)+(Inputs!$C$6))/(0.5*(Inputs!$C$39+Inputs!$C$40))))+Inputs!$C$38*SIN(2*PI()*(Scenario_Data!U86)/Inputs!$C$39)*SIN(2*PI()*(Inputs!$C$6)/Inputs!$C$40)+-Inputs!$C$41*EXP(-(((Inputs!$C$6)-Inputs!$C$43)^2)/(2*Inputs!$C$44^2))*EXP(-(((Scenario_Data!U86)-Inputs!$C$42)^2)/(2*Inputs!$C$45^2))+Inputs!$C$48*(0.7*(0.45*SIN(2*PI()*(((Scenario_Data!U86)/Inputs!$C$49)+Inputs!$C$47*0.137))+0.35*COS(2*PI()*(((Inputs!$C$6)/Inputs!$C$50)+Inputs!$C$47*0.173))+0.2*SIN(2*PI()*((((Scenario_Data!U86)+(Inputs!$C$6))/(0.5*(Inputs!$C$49+Inputs!$C$50)))+Inputs!$C$47*0.097)))+0.3*(2*((SIN(((Scenario_Data!U86)*12.9898+(Inputs!$C$6)*78.233+Inputs!$C$47*37.719))*43758.5453)-INT((SIN(((Scenario_Data!U86)*12.9898+(Inputs!$C$6)*78.233+Inputs!$C$47*37.719))*43758.5453)))-1))))/1000))^2-2*(Inputs!$C$52+(Scenario_Data!C86))*(Inputs!$C$52+((IF(OR(Inputs!$C$27=TRUE,Inputs!$C$27="TRUE",Inputs!$C$27=1),1,0)*(Inputs!$C$51*(115*EXP(-(((Inputs!$C$6)-25)^2)/(4.5^2))+70*EXP(-(((Inputs!$C$6)+38)^2)/(7^2))*(0.55+0.45*SIN(2*PI()*(Scenario_Data!U86)/45))+24*SIN(2*PI()*(Inputs!$C$6)/9+(Scenario_Data!U86)/18)*EXP(-(((Inputs!$C$6)+5)^2)/(22^2))+18*SIN(2*PI()*(Scenario_Data!U86)/70))+Inputs!$C$28*EXP(-(((Scenario_Data!U86)-Inputs!$C$29)^2)/(2*Inputs!$C$31^2))*EXP(-(((Inputs!$C$6)-Inputs!$C$30)^2)/(2*Inputs!$C$32^2))+-Inputs!$C$33*EXP(-(((((Scenario_Data!U86)-Inputs!$C$34)^2)+(((Inputs!$C$6)-Inputs!$C$35)^2))/(2*Inputs!$C$36^2)))+Inputs!$C$37*(0.55*SIN(2*PI()*(Scenario_Data!U86)/Inputs!$C$39)+0.35*COS(2*PI()*(Inputs!$C$6)/Inputs!$C$40)+0.2*SIN(2*PI()*((Scenario_Data!U86)+(Inputs!$C$6))/(0.5*(Inputs!$C$39+Inputs!$C$40))))+Inputs!$C$38*SIN(2*PI()*(Scenario_Data!U86)/Inputs!$C$39)*SIN(2*PI()*(Inputs!$C$6)/Inputs!$C$40)+-Inputs!$C$41*EXP(-(((Inputs!$C$6)-Inputs!$C$43)^2)/(2*Inputs!$C$44^2))*EXP(-(((Scenario_Data!U86)-Inputs!$C$42)^2)/(2*Inputs!$C$45^2))+Inputs!$C$48*(0.7*(0.45*SIN(2*PI()*(((Scenario_Data!U86)/Inputs!$C$49)+Inputs!$C$47*0.137))+0.35*COS(2*PI()*(((Inputs!$C$6)/Inputs!$C$50)+Inputs!$C$47*0.173))+0.2*SIN(2*PI()*((((Scenario_Data!U86)+(Inputs!$C$6))/(0.5*(Inputs!$C$49+Inputs!$C$50)))+Inputs!$C$47*0.097)))+0.3*(2*((SIN(((Scenario_Data!U86)*12.9898+(Inputs!$C$6)*78.233+Inputs!$C$47*37.719))*43758.5453)-INT((SIN(((Scenario_Data!U86)*12.9898+(Inputs!$C$6)*78.233+Inputs!$C$47*37.719))*43758.5453)))-1))))/1000))*COS(SQRT((Scenario_Data!U86)^2+Inputs!$C$6^2)/Inputs!$C$52))*1000)/Inputs!$C$21*1000000</f>
        <v/>
      </c>
      <c r="AT86">
        <f>Scenario_Data!V86</f>
        <v/>
      </c>
      <c r="AU86">
        <f>2*(SQRT((Inputs!$C$52+(Scenario_Data!D86))^2+(Inputs!$C$52+((IF(OR(Inputs!$C$27=TRUE,Inputs!$C$27="TRUE",Inputs!$C$27=1),1,0)*(Inputs!$C$51*(115*EXP(-(((Inputs!$C$6)-25)^2)/(4.5^2))+70*EXP(-(((Inputs!$C$6)+38)^2)/(7^2))*(0.55+0.45*SIN(2*PI()*(Scenario_Data!V86)/45))+24*SIN(2*PI()*(Inputs!$C$6)/9+(Scenario_Data!V86)/18)*EXP(-(((Inputs!$C$6)+5)^2)/(22^2))+18*SIN(2*PI()*(Scenario_Data!V86)/70))+Inputs!$C$28*EXP(-(((Scenario_Data!V86)-Inputs!$C$29)^2)/(2*Inputs!$C$31^2))*EXP(-(((Inputs!$C$6)-Inputs!$C$30)^2)/(2*Inputs!$C$32^2))+-Inputs!$C$33*EXP(-(((((Scenario_Data!V86)-Inputs!$C$34)^2)+(((Inputs!$C$6)-Inputs!$C$35)^2))/(2*Inputs!$C$36^2)))+Inputs!$C$37*(0.55*SIN(2*PI()*(Scenario_Data!V86)/Inputs!$C$39)+0.35*COS(2*PI()*(Inputs!$C$6)/Inputs!$C$40)+0.2*SIN(2*PI()*((Scenario_Data!V86)+(Inputs!$C$6))/(0.5*(Inputs!$C$39+Inputs!$C$40))))+Inputs!$C$38*SIN(2*PI()*(Scenario_Data!V86)/Inputs!$C$39)*SIN(2*PI()*(Inputs!$C$6)/Inputs!$C$40)+-Inputs!$C$41*EXP(-(((Inputs!$C$6)-Inputs!$C$43)^2)/(2*Inputs!$C$44^2))*EXP(-(((Scenario_Data!V86)-Inputs!$C$42)^2)/(2*Inputs!$C$45^2))+Inputs!$C$48*(0.7*(0.45*SIN(2*PI()*(((Scenario_Data!V86)/Inputs!$C$49)+Inputs!$C$47*0.137))+0.35*COS(2*PI()*(((Inputs!$C$6)/Inputs!$C$50)+Inputs!$C$47*0.173))+0.2*SIN(2*PI()*((((Scenario_Data!V86)+(Inputs!$C$6))/(0.5*(Inputs!$C$49+Inputs!$C$50)))+Inputs!$C$47*0.097)))+0.3*(2*((SIN(((Scenario_Data!V86)*12.9898+(Inputs!$C$6)*78.233+Inputs!$C$47*37.719))*43758.5453)-INT((SIN(((Scenario_Data!V86)*12.9898+(Inputs!$C$6)*78.233+Inputs!$C$47*37.719))*43758.5453)))-1))))/1000))^2-2*(Inputs!$C$52+(Scenario_Data!D86))*(Inputs!$C$52+((IF(OR(Inputs!$C$27=TRUE,Inputs!$C$27="TRUE",Inputs!$C$27=1),1,0)*(Inputs!$C$51*(115*EXP(-(((Inputs!$C$6)-25)^2)/(4.5^2))+70*EXP(-(((Inputs!$C$6)+38)^2)/(7^2))*(0.55+0.45*SIN(2*PI()*(Scenario_Data!V86)/45))+24*SIN(2*PI()*(Inputs!$C$6)/9+(Scenario_Data!V86)/18)*EXP(-(((Inputs!$C$6)+5)^2)/(22^2))+18*SIN(2*PI()*(Scenario_Data!V86)/70))+Inputs!$C$28*EXP(-(((Scenario_Data!V86)-Inputs!$C$29)^2)/(2*Inputs!$C$31^2))*EXP(-(((Inputs!$C$6)-Inputs!$C$30)^2)/(2*Inputs!$C$32^2))+-Inputs!$C$33*EXP(-(((((Scenario_Data!V86)-Inputs!$C$34)^2)+(((Inputs!$C$6)-Inputs!$C$35)^2))/(2*Inputs!$C$36^2)))+Inputs!$C$37*(0.55*SIN(2*PI()*(Scenario_Data!V86)/Inputs!$C$39)+0.35*COS(2*PI()*(Inputs!$C$6)/Inputs!$C$40)+0.2*SIN(2*PI()*((Scenario_Data!V86)+(Inputs!$C$6))/(0.5*(Inputs!$C$39+Inputs!$C$40))))+Inputs!$C$38*SIN(2*PI()*(Scenario_Data!V86)/Inputs!$C$39)*SIN(2*PI()*(Inputs!$C$6)/Inputs!$C$40)+-Inputs!$C$41*EXP(-(((Inputs!$C$6)-Inputs!$C$43)^2)/(2*Inputs!$C$44^2))*EXP(-(((Scenario_Data!V86)-Inputs!$C$42)^2)/(2*Inputs!$C$45^2))+Inputs!$C$48*(0.7*(0.45*SIN(2*PI()*(((Scenario_Data!V86)/Inputs!$C$49)+Inputs!$C$47*0.137))+0.35*COS(2*PI()*(((Inputs!$C$6)/Inputs!$C$50)+Inputs!$C$47*0.173))+0.2*SIN(2*PI()*((((Scenario_Data!V86)+(Inputs!$C$6))/(0.5*(Inputs!$C$49+Inputs!$C$50)))+Inputs!$C$47*0.097)))+0.3*(2*((SIN(((Scenario_Data!V86)*12.9898+(Inputs!$C$6)*78.233+Inputs!$C$47*37.719))*43758.5453)-INT((SIN(((Scenario_Data!V86)*12.9898+(Inputs!$C$6)*78.233+Inputs!$C$47*37.719))*43758.5453)))-1))))/1000))*COS(SQRT((Scenario_Data!V86)^2+Inputs!$C$6^2)/Inputs!$C$52))*1000)/Inputs!$C$21*1000000</f>
        <v/>
      </c>
      <c r="AV86">
        <f>Scenario_Data!W86</f>
        <v/>
      </c>
      <c r="AW86">
        <f>2*(SQRT((Inputs!$C$52+(Scenario_Data!E86))^2+(Inputs!$C$52+((IF(OR(Inputs!$C$27=TRUE,Inputs!$C$27="TRUE",Inputs!$C$27=1),1,0)*(Inputs!$C$51*(115*EXP(-(((Inputs!$C$6)-25)^2)/(4.5^2))+70*EXP(-(((Inputs!$C$6)+38)^2)/(7^2))*(0.55+0.45*SIN(2*PI()*(Scenario_Data!W86)/45))+24*SIN(2*PI()*(Inputs!$C$6)/9+(Scenario_Data!W86)/18)*EXP(-(((Inputs!$C$6)+5)^2)/(22^2))+18*SIN(2*PI()*(Scenario_Data!W86)/70))+Inputs!$C$28*EXP(-(((Scenario_Data!W86)-Inputs!$C$29)^2)/(2*Inputs!$C$31^2))*EXP(-(((Inputs!$C$6)-Inputs!$C$30)^2)/(2*Inputs!$C$32^2))+-Inputs!$C$33*EXP(-(((((Scenario_Data!W86)-Inputs!$C$34)^2)+(((Inputs!$C$6)-Inputs!$C$35)^2))/(2*Inputs!$C$36^2)))+Inputs!$C$37*(0.55*SIN(2*PI()*(Scenario_Data!W86)/Inputs!$C$39)+0.35*COS(2*PI()*(Inputs!$C$6)/Inputs!$C$40)+0.2*SIN(2*PI()*((Scenario_Data!W86)+(Inputs!$C$6))/(0.5*(Inputs!$C$39+Inputs!$C$40))))+Inputs!$C$38*SIN(2*PI()*(Scenario_Data!W86)/Inputs!$C$39)*SIN(2*PI()*(Inputs!$C$6)/Inputs!$C$40)+-Inputs!$C$41*EXP(-(((Inputs!$C$6)-Inputs!$C$43)^2)/(2*Inputs!$C$44^2))*EXP(-(((Scenario_Data!W86)-Inputs!$C$42)^2)/(2*Inputs!$C$45^2))+Inputs!$C$48*(0.7*(0.45*SIN(2*PI()*(((Scenario_Data!W86)/Inputs!$C$49)+Inputs!$C$47*0.137))+0.35*COS(2*PI()*(((Inputs!$C$6)/Inputs!$C$50)+Inputs!$C$47*0.173))+0.2*SIN(2*PI()*((((Scenario_Data!W86)+(Inputs!$C$6))/(0.5*(Inputs!$C$49+Inputs!$C$50)))+Inputs!$C$47*0.097)))+0.3*(2*((SIN(((Scenario_Data!W86)*12.9898+(Inputs!$C$6)*78.233+Inputs!$C$47*37.719))*43758.5453)-INT((SIN(((Scenario_Data!W86)*12.9898+(Inputs!$C$6)*78.233+Inputs!$C$47*37.719))*43758.5453)))-1))))/1000))^2-2*(Inputs!$C$52+(Scenario_Data!E86))*(Inputs!$C$52+((IF(OR(Inputs!$C$27=TRUE,Inputs!$C$27="TRUE",Inputs!$C$27=1),1,0)*(Inputs!$C$51*(115*EXP(-(((Inputs!$C$6)-25)^2)/(4.5^2))+70*EXP(-(((Inputs!$C$6)+38)^2)/(7^2))*(0.55+0.45*SIN(2*PI()*(Scenario_Data!W86)/45))+24*SIN(2*PI()*(Inputs!$C$6)/9+(Scenario_Data!W86)/18)*EXP(-(((Inputs!$C$6)+5)^2)/(22^2))+18*SIN(2*PI()*(Scenario_Data!W86)/70))+Inputs!$C$28*EXP(-(((Scenario_Data!W86)-Inputs!$C$29)^2)/(2*Inputs!$C$31^2))*EXP(-(((Inputs!$C$6)-Inputs!$C$30)^2)/(2*Inputs!$C$32^2))+-Inputs!$C$33*EXP(-(((((Scenario_Data!W86)-Inputs!$C$34)^2)+(((Inputs!$C$6)-Inputs!$C$35)^2))/(2*Inputs!$C$36^2)))+Inputs!$C$37*(0.55*SIN(2*PI()*(Scenario_Data!W86)/Inputs!$C$39)+0.35*COS(2*PI()*(Inputs!$C$6)/Inputs!$C$40)+0.2*SIN(2*PI()*((Scenario_Data!W86)+(Inputs!$C$6))/(0.5*(Inputs!$C$39+Inputs!$C$40))))+Inputs!$C$38*SIN(2*PI()*(Scenario_Data!W86)/Inputs!$C$39)*SIN(2*PI()*(Inputs!$C$6)/Inputs!$C$40)+-Inputs!$C$41*EXP(-(((Inputs!$C$6)-Inputs!$C$43)^2)/(2*Inputs!$C$44^2))*EXP(-(((Scenario_Data!W86)-Inputs!$C$42)^2)/(2*Inputs!$C$45^2))+Inputs!$C$48*(0.7*(0.45*SIN(2*PI()*(((Scenario_Data!W86)/Inputs!$C$49)+Inputs!$C$47*0.137))+0.35*COS(2*PI()*(((Inputs!$C$6)/Inputs!$C$50)+Inputs!$C$47*0.173))+0.2*SIN(2*PI()*((((Scenario_Data!W86)+(Inputs!$C$6))/(0.5*(Inputs!$C$49+Inputs!$C$50)))+Inputs!$C$47*0.097)))+0.3*(2*((SIN(((Scenario_Data!W86)*12.9898+(Inputs!$C$6)*78.233+Inputs!$C$47*37.719))*43758.5453)-INT((SIN(((Scenario_Data!W86)*12.9898+(Inputs!$C$6)*78.233+Inputs!$C$47*37.719))*43758.5453)))-1))))/1000))*COS(SQRT((Scenario_Data!W86)^2+Inputs!$C$6^2)/Inputs!$C$52))*1000)/Inputs!$C$21*1000000</f>
        <v/>
      </c>
    </row>
    <row r="87">
      <c r="A87">
        <f>Chart_Data!K87</f>
        <v/>
      </c>
      <c r="B87">
        <f>Chart_Data!N87-Chart_Data!L87</f>
        <v/>
      </c>
      <c r="D87">
        <f>Chart_Data!G87</f>
        <v/>
      </c>
      <c r="E87">
        <f>Chart_Data!H87</f>
        <v/>
      </c>
      <c r="F87">
        <f>Chart_Data!I87</f>
        <v/>
      </c>
      <c r="G87">
        <f>Chart_Data!J87</f>
        <v/>
      </c>
      <c r="I87">
        <f>Scenario_Data!A87</f>
        <v/>
      </c>
      <c r="J87">
        <f>Scenario_Data!H87-(((SQRT((Inputs!$C$52+(Inputs!$H$6))^2+Inputs!$C$52^2-2*(Inputs!$C$52+(Inputs!$H$6))*Inputs!$C$52*COS(SQRT((Scenario_Data!T87)^2+Inputs!$C$6^2)/Inputs!$C$52)))-(Inputs!$H$6))*1000/Inputs!$C$12)</f>
        <v/>
      </c>
      <c r="K87">
        <f>Scenario_Data!I87-(((SQRT((Inputs!$C$52+(Inputs!$H$7))^2+Inputs!$C$52^2-2*(Inputs!$C$52+(Inputs!$H$7))*Inputs!$C$52*COS(SQRT((Scenario_Data!U87)^2+Inputs!$C$6^2)/Inputs!$C$52)))-(Inputs!$H$7))*1000/Inputs!$C$12)</f>
        <v/>
      </c>
      <c r="L87">
        <f>Scenario_Data!J87-(((SQRT((Inputs!$C$52+(Inputs!$H$8))^2+Inputs!$C$52^2-2*(Inputs!$C$52+(Inputs!$H$8))*Inputs!$C$52*COS(SQRT((Scenario_Data!V87)^2+Inputs!$C$6^2)/Inputs!$C$52)))-(Inputs!$H$8))*1000/Inputs!$C$12)</f>
        <v/>
      </c>
      <c r="M87">
        <f>Scenario_Data!K87-(((SQRT((Inputs!$C$52+(Inputs!$H$9))^2+Inputs!$C$52^2-2*(Inputs!$C$52+(Inputs!$H$9))*Inputs!$C$52*COS(SQRT((Scenario_Data!W87)^2+Inputs!$C$6^2)/Inputs!$C$52)))-(Inputs!$H$9))*1000/Inputs!$C$12)</f>
        <v/>
      </c>
      <c r="O87">
        <f>Scenario_Data!T87</f>
        <v/>
      </c>
      <c r="P87">
        <f>2*(Scenario_Data!B87*1000)/Inputs!$C$21*1000000</f>
        <v/>
      </c>
      <c r="Q87">
        <f>Scenario_Data!U87</f>
        <v/>
      </c>
      <c r="R87">
        <f>2*(Scenario_Data!C87*1000)/Inputs!$C$21*1000000</f>
        <v/>
      </c>
      <c r="S87">
        <f>Scenario_Data!V87</f>
        <v/>
      </c>
      <c r="T87">
        <f>2*(Scenario_Data!D87*1000)/Inputs!$C$21*1000000</f>
        <v/>
      </c>
      <c r="U87">
        <f>Scenario_Data!W87</f>
        <v/>
      </c>
      <c r="V87">
        <f>2*(Scenario_Data!E87*1000)/Inputs!$C$21*1000000</f>
        <v/>
      </c>
      <c r="X87">
        <f>Scenario_Data!T87</f>
        <v/>
      </c>
      <c r="Y87">
        <f>2*((Scenario_Data!B87*1000)-(IF(OR(Inputs!$C$27=TRUE,Inputs!$C$27="TRUE",Inputs!$C$27=1),1,0)*(Inputs!$C$51*(115*EXP(-(((0)-25)^2)/(4.5^2))+70*EXP(-(((0)+38)^2)/(7^2))*(0.55+0.45*SIN(2*PI()*(Scenario_Data!T87)/45))+24*SIN(2*PI()*(0)/9+(Scenario_Data!T87)/18)*EXP(-(((0)+5)^2)/(22^2))+18*SIN(2*PI()*(Scenario_Data!T87)/70))+Inputs!$C$28*EXP(-(((Scenario_Data!T87)-Inputs!$C$29)^2)/(2*Inputs!$C$31^2))*EXP(-(((0)-Inputs!$C$30)^2)/(2*Inputs!$C$32^2))+-Inputs!$C$33*EXP(-(((((Scenario_Data!T87)-Inputs!$C$34)^2)+(((0)-Inputs!$C$35)^2))/(2*Inputs!$C$36^2)))+Inputs!$C$37*(0.55*SIN(2*PI()*(Scenario_Data!T87)/Inputs!$C$39)+0.35*COS(2*PI()*(0)/Inputs!$C$40)+0.2*SIN(2*PI()*((Scenario_Data!T87)+(0))/(0.5*(Inputs!$C$39+Inputs!$C$40))))+Inputs!$C$38*SIN(2*PI()*(Scenario_Data!T87)/Inputs!$C$39)*SIN(2*PI()*(0)/Inputs!$C$40)+-Inputs!$C$41*EXP(-(((0)-Inputs!$C$43)^2)/(2*Inputs!$C$44^2))*EXP(-(((Scenario_Data!T87)-Inputs!$C$42)^2)/(2*Inputs!$C$45^2))+Inputs!$C$48*(0.7*(0.45*SIN(2*PI()*(((Scenario_Data!T87)/Inputs!$C$49)+Inputs!$C$47*0.137))+0.35*COS(2*PI()*(((0)/Inputs!$C$50)+Inputs!$C$47*0.173))+0.2*SIN(2*PI()*((((Scenario_Data!T87)+(0))/(0.5*(Inputs!$C$49+Inputs!$C$50)))+Inputs!$C$47*0.097)))+0.3*(2*((SIN(((Scenario_Data!T87)*12.9898+(0)*78.233+Inputs!$C$47*37.719))*43758.5453)-INT((SIN(((Scenario_Data!T87)*12.9898+(0)*78.233+Inputs!$C$47*37.719))*43758.5453)))-1)))))/Inputs!$C$21*1000000</f>
        <v/>
      </c>
      <c r="Z87">
        <f>Scenario_Data!U87</f>
        <v/>
      </c>
      <c r="AA87">
        <f>2*((Scenario_Data!C87*1000)-(IF(OR(Inputs!$C$27=TRUE,Inputs!$C$27="TRUE",Inputs!$C$27=1),1,0)*(Inputs!$C$51*(115*EXP(-(((0)-25)^2)/(4.5^2))+70*EXP(-(((0)+38)^2)/(7^2))*(0.55+0.45*SIN(2*PI()*(Scenario_Data!U87)/45))+24*SIN(2*PI()*(0)/9+(Scenario_Data!U87)/18)*EXP(-(((0)+5)^2)/(22^2))+18*SIN(2*PI()*(Scenario_Data!U87)/70))+Inputs!$C$28*EXP(-(((Scenario_Data!U87)-Inputs!$C$29)^2)/(2*Inputs!$C$31^2))*EXP(-(((0)-Inputs!$C$30)^2)/(2*Inputs!$C$32^2))+-Inputs!$C$33*EXP(-(((((Scenario_Data!U87)-Inputs!$C$34)^2)+(((0)-Inputs!$C$35)^2))/(2*Inputs!$C$36^2)))+Inputs!$C$37*(0.55*SIN(2*PI()*(Scenario_Data!U87)/Inputs!$C$39)+0.35*COS(2*PI()*(0)/Inputs!$C$40)+0.2*SIN(2*PI()*((Scenario_Data!U87)+(0))/(0.5*(Inputs!$C$39+Inputs!$C$40))))+Inputs!$C$38*SIN(2*PI()*(Scenario_Data!U87)/Inputs!$C$39)*SIN(2*PI()*(0)/Inputs!$C$40)+-Inputs!$C$41*EXP(-(((0)-Inputs!$C$43)^2)/(2*Inputs!$C$44^2))*EXP(-(((Scenario_Data!U87)-Inputs!$C$42)^2)/(2*Inputs!$C$45^2))+Inputs!$C$48*(0.7*(0.45*SIN(2*PI()*(((Scenario_Data!U87)/Inputs!$C$49)+Inputs!$C$47*0.137))+0.35*COS(2*PI()*(((0)/Inputs!$C$50)+Inputs!$C$47*0.173))+0.2*SIN(2*PI()*((((Scenario_Data!U87)+(0))/(0.5*(Inputs!$C$49+Inputs!$C$50)))+Inputs!$C$47*0.097)))+0.3*(2*((SIN(((Scenario_Data!U87)*12.9898+(0)*78.233+Inputs!$C$47*37.719))*43758.5453)-INT((SIN(((Scenario_Data!U87)*12.9898+(0)*78.233+Inputs!$C$47*37.719))*43758.5453)))-1)))))/Inputs!$C$21*1000000</f>
        <v/>
      </c>
      <c r="AB87">
        <f>Scenario_Data!V87</f>
        <v/>
      </c>
      <c r="AC87">
        <f>2*((Scenario_Data!D87*1000)-(IF(OR(Inputs!$C$27=TRUE,Inputs!$C$27="TRUE",Inputs!$C$27=1),1,0)*(Inputs!$C$51*(115*EXP(-(((0)-25)^2)/(4.5^2))+70*EXP(-(((0)+38)^2)/(7^2))*(0.55+0.45*SIN(2*PI()*(Scenario_Data!V87)/45))+24*SIN(2*PI()*(0)/9+(Scenario_Data!V87)/18)*EXP(-(((0)+5)^2)/(22^2))+18*SIN(2*PI()*(Scenario_Data!V87)/70))+Inputs!$C$28*EXP(-(((Scenario_Data!V87)-Inputs!$C$29)^2)/(2*Inputs!$C$31^2))*EXP(-(((0)-Inputs!$C$30)^2)/(2*Inputs!$C$32^2))+-Inputs!$C$33*EXP(-(((((Scenario_Data!V87)-Inputs!$C$34)^2)+(((0)-Inputs!$C$35)^2))/(2*Inputs!$C$36^2)))+Inputs!$C$37*(0.55*SIN(2*PI()*(Scenario_Data!V87)/Inputs!$C$39)+0.35*COS(2*PI()*(0)/Inputs!$C$40)+0.2*SIN(2*PI()*((Scenario_Data!V87)+(0))/(0.5*(Inputs!$C$39+Inputs!$C$40))))+Inputs!$C$38*SIN(2*PI()*(Scenario_Data!V87)/Inputs!$C$39)*SIN(2*PI()*(0)/Inputs!$C$40)+-Inputs!$C$41*EXP(-(((0)-Inputs!$C$43)^2)/(2*Inputs!$C$44^2))*EXP(-(((Scenario_Data!V87)-Inputs!$C$42)^2)/(2*Inputs!$C$45^2))+Inputs!$C$48*(0.7*(0.45*SIN(2*PI()*(((Scenario_Data!V87)/Inputs!$C$49)+Inputs!$C$47*0.137))+0.35*COS(2*PI()*(((0)/Inputs!$C$50)+Inputs!$C$47*0.173))+0.2*SIN(2*PI()*((((Scenario_Data!V87)+(0))/(0.5*(Inputs!$C$49+Inputs!$C$50)))+Inputs!$C$47*0.097)))+0.3*(2*((SIN(((Scenario_Data!V87)*12.9898+(0)*78.233+Inputs!$C$47*37.719))*43758.5453)-INT((SIN(((Scenario_Data!V87)*12.9898+(0)*78.233+Inputs!$C$47*37.719))*43758.5453)))-1)))))/Inputs!$C$21*1000000</f>
        <v/>
      </c>
      <c r="AD87">
        <f>Scenario_Data!W87</f>
        <v/>
      </c>
      <c r="AE87">
        <f>2*((Scenario_Data!E87*1000)-(IF(OR(Inputs!$C$27=TRUE,Inputs!$C$27="TRUE",Inputs!$C$27=1),1,0)*(Inputs!$C$51*(115*EXP(-(((0)-25)^2)/(4.5^2))+70*EXP(-(((0)+38)^2)/(7^2))*(0.55+0.45*SIN(2*PI()*(Scenario_Data!W87)/45))+24*SIN(2*PI()*(0)/9+(Scenario_Data!W87)/18)*EXP(-(((0)+5)^2)/(22^2))+18*SIN(2*PI()*(Scenario_Data!W87)/70))+Inputs!$C$28*EXP(-(((Scenario_Data!W87)-Inputs!$C$29)^2)/(2*Inputs!$C$31^2))*EXP(-(((0)-Inputs!$C$30)^2)/(2*Inputs!$C$32^2))+-Inputs!$C$33*EXP(-(((((Scenario_Data!W87)-Inputs!$C$34)^2)+(((0)-Inputs!$C$35)^2))/(2*Inputs!$C$36^2)))+Inputs!$C$37*(0.55*SIN(2*PI()*(Scenario_Data!W87)/Inputs!$C$39)+0.35*COS(2*PI()*(0)/Inputs!$C$40)+0.2*SIN(2*PI()*((Scenario_Data!W87)+(0))/(0.5*(Inputs!$C$39+Inputs!$C$40))))+Inputs!$C$38*SIN(2*PI()*(Scenario_Data!W87)/Inputs!$C$39)*SIN(2*PI()*(0)/Inputs!$C$40)+-Inputs!$C$41*EXP(-(((0)-Inputs!$C$43)^2)/(2*Inputs!$C$44^2))*EXP(-(((Scenario_Data!W87)-Inputs!$C$42)^2)/(2*Inputs!$C$45^2))+Inputs!$C$48*(0.7*(0.45*SIN(2*PI()*(((Scenario_Data!W87)/Inputs!$C$49)+Inputs!$C$47*0.137))+0.35*COS(2*PI()*(((0)/Inputs!$C$50)+Inputs!$C$47*0.173))+0.2*SIN(2*PI()*((((Scenario_Data!W87)+(0))/(0.5*(Inputs!$C$49+Inputs!$C$50)))+Inputs!$C$47*0.097)))+0.3*(2*((SIN(((Scenario_Data!W87)*12.9898+(0)*78.233+Inputs!$C$47*37.719))*43758.5453)-INT((SIN(((Scenario_Data!W87)*12.9898+(0)*78.233+Inputs!$C$47*37.719))*43758.5453)))-1)))))/Inputs!$C$21*1000000</f>
        <v/>
      </c>
      <c r="AG87">
        <f>Scenario_Data!T87</f>
        <v/>
      </c>
      <c r="AH87">
        <f>2*(SQRT((Inputs!$C$52+(Scenario_Data!B87))^2+Inputs!$C$52^2-2*(Inputs!$C$52+(Scenario_Data!B87))*Inputs!$C$52*COS(SQRT((Scenario_Data!T87)^2+Inputs!$C$6^2)/Inputs!$C$52))*1000)/Inputs!$C$21*1000000</f>
        <v/>
      </c>
      <c r="AI87">
        <f>Scenario_Data!U87</f>
        <v/>
      </c>
      <c r="AJ87">
        <f>2*(SQRT((Inputs!$C$52+(Scenario_Data!C87))^2+Inputs!$C$52^2-2*(Inputs!$C$52+(Scenario_Data!C87))*Inputs!$C$52*COS(SQRT((Scenario_Data!U87)^2+Inputs!$C$6^2)/Inputs!$C$52))*1000)/Inputs!$C$21*1000000</f>
        <v/>
      </c>
      <c r="AK87">
        <f>Scenario_Data!V87</f>
        <v/>
      </c>
      <c r="AL87">
        <f>2*(SQRT((Inputs!$C$52+(Scenario_Data!D87))^2+Inputs!$C$52^2-2*(Inputs!$C$52+(Scenario_Data!D87))*Inputs!$C$52*COS(SQRT((Scenario_Data!V87)^2+Inputs!$C$6^2)/Inputs!$C$52))*1000)/Inputs!$C$21*1000000</f>
        <v/>
      </c>
      <c r="AM87">
        <f>Scenario_Data!W87</f>
        <v/>
      </c>
      <c r="AN87">
        <f>2*(SQRT((Inputs!$C$52+(Scenario_Data!E87))^2+Inputs!$C$52^2-2*(Inputs!$C$52+(Scenario_Data!E87))*Inputs!$C$52*COS(SQRT((Scenario_Data!W87)^2+Inputs!$C$6^2)/Inputs!$C$52))*1000)/Inputs!$C$21*1000000</f>
        <v/>
      </c>
      <c r="AP87">
        <f>Scenario_Data!T87</f>
        <v/>
      </c>
      <c r="AQ87">
        <f>2*(SQRT((Inputs!$C$52+(Scenario_Data!B87))^2+(Inputs!$C$52+((IF(OR(Inputs!$C$27=TRUE,Inputs!$C$27="TRUE",Inputs!$C$27=1),1,0)*(Inputs!$C$51*(115*EXP(-(((Inputs!$C$6)-25)^2)/(4.5^2))+70*EXP(-(((Inputs!$C$6)+38)^2)/(7^2))*(0.55+0.45*SIN(2*PI()*(Scenario_Data!T87)/45))+24*SIN(2*PI()*(Inputs!$C$6)/9+(Scenario_Data!T87)/18)*EXP(-(((Inputs!$C$6)+5)^2)/(22^2))+18*SIN(2*PI()*(Scenario_Data!T87)/70))+Inputs!$C$28*EXP(-(((Scenario_Data!T87)-Inputs!$C$29)^2)/(2*Inputs!$C$31^2))*EXP(-(((Inputs!$C$6)-Inputs!$C$30)^2)/(2*Inputs!$C$32^2))+-Inputs!$C$33*EXP(-(((((Scenario_Data!T87)-Inputs!$C$34)^2)+(((Inputs!$C$6)-Inputs!$C$35)^2))/(2*Inputs!$C$36^2)))+Inputs!$C$37*(0.55*SIN(2*PI()*(Scenario_Data!T87)/Inputs!$C$39)+0.35*COS(2*PI()*(Inputs!$C$6)/Inputs!$C$40)+0.2*SIN(2*PI()*((Scenario_Data!T87)+(Inputs!$C$6))/(0.5*(Inputs!$C$39+Inputs!$C$40))))+Inputs!$C$38*SIN(2*PI()*(Scenario_Data!T87)/Inputs!$C$39)*SIN(2*PI()*(Inputs!$C$6)/Inputs!$C$40)+-Inputs!$C$41*EXP(-(((Inputs!$C$6)-Inputs!$C$43)^2)/(2*Inputs!$C$44^2))*EXP(-(((Scenario_Data!T87)-Inputs!$C$42)^2)/(2*Inputs!$C$45^2))+Inputs!$C$48*(0.7*(0.45*SIN(2*PI()*(((Scenario_Data!T87)/Inputs!$C$49)+Inputs!$C$47*0.137))+0.35*COS(2*PI()*(((Inputs!$C$6)/Inputs!$C$50)+Inputs!$C$47*0.173))+0.2*SIN(2*PI()*((((Scenario_Data!T87)+(Inputs!$C$6))/(0.5*(Inputs!$C$49+Inputs!$C$50)))+Inputs!$C$47*0.097)))+0.3*(2*((SIN(((Scenario_Data!T87)*12.9898+(Inputs!$C$6)*78.233+Inputs!$C$47*37.719))*43758.5453)-INT((SIN(((Scenario_Data!T87)*12.9898+(Inputs!$C$6)*78.233+Inputs!$C$47*37.719))*43758.5453)))-1))))/1000))^2-2*(Inputs!$C$52+(Scenario_Data!B87))*(Inputs!$C$52+((IF(OR(Inputs!$C$27=TRUE,Inputs!$C$27="TRUE",Inputs!$C$27=1),1,0)*(Inputs!$C$51*(115*EXP(-(((Inputs!$C$6)-25)^2)/(4.5^2))+70*EXP(-(((Inputs!$C$6)+38)^2)/(7^2))*(0.55+0.45*SIN(2*PI()*(Scenario_Data!T87)/45))+24*SIN(2*PI()*(Inputs!$C$6)/9+(Scenario_Data!T87)/18)*EXP(-(((Inputs!$C$6)+5)^2)/(22^2))+18*SIN(2*PI()*(Scenario_Data!T87)/70))+Inputs!$C$28*EXP(-(((Scenario_Data!T87)-Inputs!$C$29)^2)/(2*Inputs!$C$31^2))*EXP(-(((Inputs!$C$6)-Inputs!$C$30)^2)/(2*Inputs!$C$32^2))+-Inputs!$C$33*EXP(-(((((Scenario_Data!T87)-Inputs!$C$34)^2)+(((Inputs!$C$6)-Inputs!$C$35)^2))/(2*Inputs!$C$36^2)))+Inputs!$C$37*(0.55*SIN(2*PI()*(Scenario_Data!T87)/Inputs!$C$39)+0.35*COS(2*PI()*(Inputs!$C$6)/Inputs!$C$40)+0.2*SIN(2*PI()*((Scenario_Data!T87)+(Inputs!$C$6))/(0.5*(Inputs!$C$39+Inputs!$C$40))))+Inputs!$C$38*SIN(2*PI()*(Scenario_Data!T87)/Inputs!$C$39)*SIN(2*PI()*(Inputs!$C$6)/Inputs!$C$40)+-Inputs!$C$41*EXP(-(((Inputs!$C$6)-Inputs!$C$43)^2)/(2*Inputs!$C$44^2))*EXP(-(((Scenario_Data!T87)-Inputs!$C$42)^2)/(2*Inputs!$C$45^2))+Inputs!$C$48*(0.7*(0.45*SIN(2*PI()*(((Scenario_Data!T87)/Inputs!$C$49)+Inputs!$C$47*0.137))+0.35*COS(2*PI()*(((Inputs!$C$6)/Inputs!$C$50)+Inputs!$C$47*0.173))+0.2*SIN(2*PI()*((((Scenario_Data!T87)+(Inputs!$C$6))/(0.5*(Inputs!$C$49+Inputs!$C$50)))+Inputs!$C$47*0.097)))+0.3*(2*((SIN(((Scenario_Data!T87)*12.9898+(Inputs!$C$6)*78.233+Inputs!$C$47*37.719))*43758.5453)-INT((SIN(((Scenario_Data!T87)*12.9898+(Inputs!$C$6)*78.233+Inputs!$C$47*37.719))*43758.5453)))-1))))/1000))*COS(SQRT((Scenario_Data!T87)^2+Inputs!$C$6^2)/Inputs!$C$52))*1000)/Inputs!$C$21*1000000</f>
        <v/>
      </c>
      <c r="AR87">
        <f>Scenario_Data!U87</f>
        <v/>
      </c>
      <c r="AS87">
        <f>2*(SQRT((Inputs!$C$52+(Scenario_Data!C87))^2+(Inputs!$C$52+((IF(OR(Inputs!$C$27=TRUE,Inputs!$C$27="TRUE",Inputs!$C$27=1),1,0)*(Inputs!$C$51*(115*EXP(-(((Inputs!$C$6)-25)^2)/(4.5^2))+70*EXP(-(((Inputs!$C$6)+38)^2)/(7^2))*(0.55+0.45*SIN(2*PI()*(Scenario_Data!U87)/45))+24*SIN(2*PI()*(Inputs!$C$6)/9+(Scenario_Data!U87)/18)*EXP(-(((Inputs!$C$6)+5)^2)/(22^2))+18*SIN(2*PI()*(Scenario_Data!U87)/70))+Inputs!$C$28*EXP(-(((Scenario_Data!U87)-Inputs!$C$29)^2)/(2*Inputs!$C$31^2))*EXP(-(((Inputs!$C$6)-Inputs!$C$30)^2)/(2*Inputs!$C$32^2))+-Inputs!$C$33*EXP(-(((((Scenario_Data!U87)-Inputs!$C$34)^2)+(((Inputs!$C$6)-Inputs!$C$35)^2))/(2*Inputs!$C$36^2)))+Inputs!$C$37*(0.55*SIN(2*PI()*(Scenario_Data!U87)/Inputs!$C$39)+0.35*COS(2*PI()*(Inputs!$C$6)/Inputs!$C$40)+0.2*SIN(2*PI()*((Scenario_Data!U87)+(Inputs!$C$6))/(0.5*(Inputs!$C$39+Inputs!$C$40))))+Inputs!$C$38*SIN(2*PI()*(Scenario_Data!U87)/Inputs!$C$39)*SIN(2*PI()*(Inputs!$C$6)/Inputs!$C$40)+-Inputs!$C$41*EXP(-(((Inputs!$C$6)-Inputs!$C$43)^2)/(2*Inputs!$C$44^2))*EXP(-(((Scenario_Data!U87)-Inputs!$C$42)^2)/(2*Inputs!$C$45^2))+Inputs!$C$48*(0.7*(0.45*SIN(2*PI()*(((Scenario_Data!U87)/Inputs!$C$49)+Inputs!$C$47*0.137))+0.35*COS(2*PI()*(((Inputs!$C$6)/Inputs!$C$50)+Inputs!$C$47*0.173))+0.2*SIN(2*PI()*((((Scenario_Data!U87)+(Inputs!$C$6))/(0.5*(Inputs!$C$49+Inputs!$C$50)))+Inputs!$C$47*0.097)))+0.3*(2*((SIN(((Scenario_Data!U87)*12.9898+(Inputs!$C$6)*78.233+Inputs!$C$47*37.719))*43758.5453)-INT((SIN(((Scenario_Data!U87)*12.9898+(Inputs!$C$6)*78.233+Inputs!$C$47*37.719))*43758.5453)))-1))))/1000))^2-2*(Inputs!$C$52+(Scenario_Data!C87))*(Inputs!$C$52+((IF(OR(Inputs!$C$27=TRUE,Inputs!$C$27="TRUE",Inputs!$C$27=1),1,0)*(Inputs!$C$51*(115*EXP(-(((Inputs!$C$6)-25)^2)/(4.5^2))+70*EXP(-(((Inputs!$C$6)+38)^2)/(7^2))*(0.55+0.45*SIN(2*PI()*(Scenario_Data!U87)/45))+24*SIN(2*PI()*(Inputs!$C$6)/9+(Scenario_Data!U87)/18)*EXP(-(((Inputs!$C$6)+5)^2)/(22^2))+18*SIN(2*PI()*(Scenario_Data!U87)/70))+Inputs!$C$28*EXP(-(((Scenario_Data!U87)-Inputs!$C$29)^2)/(2*Inputs!$C$31^2))*EXP(-(((Inputs!$C$6)-Inputs!$C$30)^2)/(2*Inputs!$C$32^2))+-Inputs!$C$33*EXP(-(((((Scenario_Data!U87)-Inputs!$C$34)^2)+(((Inputs!$C$6)-Inputs!$C$35)^2))/(2*Inputs!$C$36^2)))+Inputs!$C$37*(0.55*SIN(2*PI()*(Scenario_Data!U87)/Inputs!$C$39)+0.35*COS(2*PI()*(Inputs!$C$6)/Inputs!$C$40)+0.2*SIN(2*PI()*((Scenario_Data!U87)+(Inputs!$C$6))/(0.5*(Inputs!$C$39+Inputs!$C$40))))+Inputs!$C$38*SIN(2*PI()*(Scenario_Data!U87)/Inputs!$C$39)*SIN(2*PI()*(Inputs!$C$6)/Inputs!$C$40)+-Inputs!$C$41*EXP(-(((Inputs!$C$6)-Inputs!$C$43)^2)/(2*Inputs!$C$44^2))*EXP(-(((Scenario_Data!U87)-Inputs!$C$42)^2)/(2*Inputs!$C$45^2))+Inputs!$C$48*(0.7*(0.45*SIN(2*PI()*(((Scenario_Data!U87)/Inputs!$C$49)+Inputs!$C$47*0.137))+0.35*COS(2*PI()*(((Inputs!$C$6)/Inputs!$C$50)+Inputs!$C$47*0.173))+0.2*SIN(2*PI()*((((Scenario_Data!U87)+(Inputs!$C$6))/(0.5*(Inputs!$C$49+Inputs!$C$50)))+Inputs!$C$47*0.097)))+0.3*(2*((SIN(((Scenario_Data!U87)*12.9898+(Inputs!$C$6)*78.233+Inputs!$C$47*37.719))*43758.5453)-INT((SIN(((Scenario_Data!U87)*12.9898+(Inputs!$C$6)*78.233+Inputs!$C$47*37.719))*43758.5453)))-1))))/1000))*COS(SQRT((Scenario_Data!U87)^2+Inputs!$C$6^2)/Inputs!$C$52))*1000)/Inputs!$C$21*1000000</f>
        <v/>
      </c>
      <c r="AT87">
        <f>Scenario_Data!V87</f>
        <v/>
      </c>
      <c r="AU87">
        <f>2*(SQRT((Inputs!$C$52+(Scenario_Data!D87))^2+(Inputs!$C$52+((IF(OR(Inputs!$C$27=TRUE,Inputs!$C$27="TRUE",Inputs!$C$27=1),1,0)*(Inputs!$C$51*(115*EXP(-(((Inputs!$C$6)-25)^2)/(4.5^2))+70*EXP(-(((Inputs!$C$6)+38)^2)/(7^2))*(0.55+0.45*SIN(2*PI()*(Scenario_Data!V87)/45))+24*SIN(2*PI()*(Inputs!$C$6)/9+(Scenario_Data!V87)/18)*EXP(-(((Inputs!$C$6)+5)^2)/(22^2))+18*SIN(2*PI()*(Scenario_Data!V87)/70))+Inputs!$C$28*EXP(-(((Scenario_Data!V87)-Inputs!$C$29)^2)/(2*Inputs!$C$31^2))*EXP(-(((Inputs!$C$6)-Inputs!$C$30)^2)/(2*Inputs!$C$32^2))+-Inputs!$C$33*EXP(-(((((Scenario_Data!V87)-Inputs!$C$34)^2)+(((Inputs!$C$6)-Inputs!$C$35)^2))/(2*Inputs!$C$36^2)))+Inputs!$C$37*(0.55*SIN(2*PI()*(Scenario_Data!V87)/Inputs!$C$39)+0.35*COS(2*PI()*(Inputs!$C$6)/Inputs!$C$40)+0.2*SIN(2*PI()*((Scenario_Data!V87)+(Inputs!$C$6))/(0.5*(Inputs!$C$39+Inputs!$C$40))))+Inputs!$C$38*SIN(2*PI()*(Scenario_Data!V87)/Inputs!$C$39)*SIN(2*PI()*(Inputs!$C$6)/Inputs!$C$40)+-Inputs!$C$41*EXP(-(((Inputs!$C$6)-Inputs!$C$43)^2)/(2*Inputs!$C$44^2))*EXP(-(((Scenario_Data!V87)-Inputs!$C$42)^2)/(2*Inputs!$C$45^2))+Inputs!$C$48*(0.7*(0.45*SIN(2*PI()*(((Scenario_Data!V87)/Inputs!$C$49)+Inputs!$C$47*0.137))+0.35*COS(2*PI()*(((Inputs!$C$6)/Inputs!$C$50)+Inputs!$C$47*0.173))+0.2*SIN(2*PI()*((((Scenario_Data!V87)+(Inputs!$C$6))/(0.5*(Inputs!$C$49+Inputs!$C$50)))+Inputs!$C$47*0.097)))+0.3*(2*((SIN(((Scenario_Data!V87)*12.9898+(Inputs!$C$6)*78.233+Inputs!$C$47*37.719))*43758.5453)-INT((SIN(((Scenario_Data!V87)*12.9898+(Inputs!$C$6)*78.233+Inputs!$C$47*37.719))*43758.5453)))-1))))/1000))^2-2*(Inputs!$C$52+(Scenario_Data!D87))*(Inputs!$C$52+((IF(OR(Inputs!$C$27=TRUE,Inputs!$C$27="TRUE",Inputs!$C$27=1),1,0)*(Inputs!$C$51*(115*EXP(-(((Inputs!$C$6)-25)^2)/(4.5^2))+70*EXP(-(((Inputs!$C$6)+38)^2)/(7^2))*(0.55+0.45*SIN(2*PI()*(Scenario_Data!V87)/45))+24*SIN(2*PI()*(Inputs!$C$6)/9+(Scenario_Data!V87)/18)*EXP(-(((Inputs!$C$6)+5)^2)/(22^2))+18*SIN(2*PI()*(Scenario_Data!V87)/70))+Inputs!$C$28*EXP(-(((Scenario_Data!V87)-Inputs!$C$29)^2)/(2*Inputs!$C$31^2))*EXP(-(((Inputs!$C$6)-Inputs!$C$30)^2)/(2*Inputs!$C$32^2))+-Inputs!$C$33*EXP(-(((((Scenario_Data!V87)-Inputs!$C$34)^2)+(((Inputs!$C$6)-Inputs!$C$35)^2))/(2*Inputs!$C$36^2)))+Inputs!$C$37*(0.55*SIN(2*PI()*(Scenario_Data!V87)/Inputs!$C$39)+0.35*COS(2*PI()*(Inputs!$C$6)/Inputs!$C$40)+0.2*SIN(2*PI()*((Scenario_Data!V87)+(Inputs!$C$6))/(0.5*(Inputs!$C$39+Inputs!$C$40))))+Inputs!$C$38*SIN(2*PI()*(Scenario_Data!V87)/Inputs!$C$39)*SIN(2*PI()*(Inputs!$C$6)/Inputs!$C$40)+-Inputs!$C$41*EXP(-(((Inputs!$C$6)-Inputs!$C$43)^2)/(2*Inputs!$C$44^2))*EXP(-(((Scenario_Data!V87)-Inputs!$C$42)^2)/(2*Inputs!$C$45^2))+Inputs!$C$48*(0.7*(0.45*SIN(2*PI()*(((Scenario_Data!V87)/Inputs!$C$49)+Inputs!$C$47*0.137))+0.35*COS(2*PI()*(((Inputs!$C$6)/Inputs!$C$50)+Inputs!$C$47*0.173))+0.2*SIN(2*PI()*((((Scenario_Data!V87)+(Inputs!$C$6))/(0.5*(Inputs!$C$49+Inputs!$C$50)))+Inputs!$C$47*0.097)))+0.3*(2*((SIN(((Scenario_Data!V87)*12.9898+(Inputs!$C$6)*78.233+Inputs!$C$47*37.719))*43758.5453)-INT((SIN(((Scenario_Data!V87)*12.9898+(Inputs!$C$6)*78.233+Inputs!$C$47*37.719))*43758.5453)))-1))))/1000))*COS(SQRT((Scenario_Data!V87)^2+Inputs!$C$6^2)/Inputs!$C$52))*1000)/Inputs!$C$21*1000000</f>
        <v/>
      </c>
      <c r="AV87">
        <f>Scenario_Data!W87</f>
        <v/>
      </c>
      <c r="AW87">
        <f>2*(SQRT((Inputs!$C$52+(Scenario_Data!E87))^2+(Inputs!$C$52+((IF(OR(Inputs!$C$27=TRUE,Inputs!$C$27="TRUE",Inputs!$C$27=1),1,0)*(Inputs!$C$51*(115*EXP(-(((Inputs!$C$6)-25)^2)/(4.5^2))+70*EXP(-(((Inputs!$C$6)+38)^2)/(7^2))*(0.55+0.45*SIN(2*PI()*(Scenario_Data!W87)/45))+24*SIN(2*PI()*(Inputs!$C$6)/9+(Scenario_Data!W87)/18)*EXP(-(((Inputs!$C$6)+5)^2)/(22^2))+18*SIN(2*PI()*(Scenario_Data!W87)/70))+Inputs!$C$28*EXP(-(((Scenario_Data!W87)-Inputs!$C$29)^2)/(2*Inputs!$C$31^2))*EXP(-(((Inputs!$C$6)-Inputs!$C$30)^2)/(2*Inputs!$C$32^2))+-Inputs!$C$33*EXP(-(((((Scenario_Data!W87)-Inputs!$C$34)^2)+(((Inputs!$C$6)-Inputs!$C$35)^2))/(2*Inputs!$C$36^2)))+Inputs!$C$37*(0.55*SIN(2*PI()*(Scenario_Data!W87)/Inputs!$C$39)+0.35*COS(2*PI()*(Inputs!$C$6)/Inputs!$C$40)+0.2*SIN(2*PI()*((Scenario_Data!W87)+(Inputs!$C$6))/(0.5*(Inputs!$C$39+Inputs!$C$40))))+Inputs!$C$38*SIN(2*PI()*(Scenario_Data!W87)/Inputs!$C$39)*SIN(2*PI()*(Inputs!$C$6)/Inputs!$C$40)+-Inputs!$C$41*EXP(-(((Inputs!$C$6)-Inputs!$C$43)^2)/(2*Inputs!$C$44^2))*EXP(-(((Scenario_Data!W87)-Inputs!$C$42)^2)/(2*Inputs!$C$45^2))+Inputs!$C$48*(0.7*(0.45*SIN(2*PI()*(((Scenario_Data!W87)/Inputs!$C$49)+Inputs!$C$47*0.137))+0.35*COS(2*PI()*(((Inputs!$C$6)/Inputs!$C$50)+Inputs!$C$47*0.173))+0.2*SIN(2*PI()*((((Scenario_Data!W87)+(Inputs!$C$6))/(0.5*(Inputs!$C$49+Inputs!$C$50)))+Inputs!$C$47*0.097)))+0.3*(2*((SIN(((Scenario_Data!W87)*12.9898+(Inputs!$C$6)*78.233+Inputs!$C$47*37.719))*43758.5453)-INT((SIN(((Scenario_Data!W87)*12.9898+(Inputs!$C$6)*78.233+Inputs!$C$47*37.719))*43758.5453)))-1))))/1000))^2-2*(Inputs!$C$52+(Scenario_Data!E87))*(Inputs!$C$52+((IF(OR(Inputs!$C$27=TRUE,Inputs!$C$27="TRUE",Inputs!$C$27=1),1,0)*(Inputs!$C$51*(115*EXP(-(((Inputs!$C$6)-25)^2)/(4.5^2))+70*EXP(-(((Inputs!$C$6)+38)^2)/(7^2))*(0.55+0.45*SIN(2*PI()*(Scenario_Data!W87)/45))+24*SIN(2*PI()*(Inputs!$C$6)/9+(Scenario_Data!W87)/18)*EXP(-(((Inputs!$C$6)+5)^2)/(22^2))+18*SIN(2*PI()*(Scenario_Data!W87)/70))+Inputs!$C$28*EXP(-(((Scenario_Data!W87)-Inputs!$C$29)^2)/(2*Inputs!$C$31^2))*EXP(-(((Inputs!$C$6)-Inputs!$C$30)^2)/(2*Inputs!$C$32^2))+-Inputs!$C$33*EXP(-(((((Scenario_Data!W87)-Inputs!$C$34)^2)+(((Inputs!$C$6)-Inputs!$C$35)^2))/(2*Inputs!$C$36^2)))+Inputs!$C$37*(0.55*SIN(2*PI()*(Scenario_Data!W87)/Inputs!$C$39)+0.35*COS(2*PI()*(Inputs!$C$6)/Inputs!$C$40)+0.2*SIN(2*PI()*((Scenario_Data!W87)+(Inputs!$C$6))/(0.5*(Inputs!$C$39+Inputs!$C$40))))+Inputs!$C$38*SIN(2*PI()*(Scenario_Data!W87)/Inputs!$C$39)*SIN(2*PI()*(Inputs!$C$6)/Inputs!$C$40)+-Inputs!$C$41*EXP(-(((Inputs!$C$6)-Inputs!$C$43)^2)/(2*Inputs!$C$44^2))*EXP(-(((Scenario_Data!W87)-Inputs!$C$42)^2)/(2*Inputs!$C$45^2))+Inputs!$C$48*(0.7*(0.45*SIN(2*PI()*(((Scenario_Data!W87)/Inputs!$C$49)+Inputs!$C$47*0.137))+0.35*COS(2*PI()*(((Inputs!$C$6)/Inputs!$C$50)+Inputs!$C$47*0.173))+0.2*SIN(2*PI()*((((Scenario_Data!W87)+(Inputs!$C$6))/(0.5*(Inputs!$C$49+Inputs!$C$50)))+Inputs!$C$47*0.097)))+0.3*(2*((SIN(((Scenario_Data!W87)*12.9898+(Inputs!$C$6)*78.233+Inputs!$C$47*37.719))*43758.5453)-INT((SIN(((Scenario_Data!W87)*12.9898+(Inputs!$C$6)*78.233+Inputs!$C$47*37.719))*43758.5453)))-1))))/1000))*COS(SQRT((Scenario_Data!W87)^2+Inputs!$C$6^2)/Inputs!$C$52))*1000)/Inputs!$C$21*1000000</f>
        <v/>
      </c>
    </row>
    <row r="88">
      <c r="A88">
        <f>Chart_Data!K88</f>
        <v/>
      </c>
      <c r="B88">
        <f>Chart_Data!N88-Chart_Data!L88</f>
        <v/>
      </c>
      <c r="D88">
        <f>Chart_Data!G88</f>
        <v/>
      </c>
      <c r="E88">
        <f>Chart_Data!H88</f>
        <v/>
      </c>
      <c r="F88">
        <f>Chart_Data!I88</f>
        <v/>
      </c>
      <c r="G88">
        <f>Chart_Data!J88</f>
        <v/>
      </c>
      <c r="I88">
        <f>Scenario_Data!A88</f>
        <v/>
      </c>
      <c r="J88">
        <f>Scenario_Data!H88-(((SQRT((Inputs!$C$52+(Inputs!$H$6))^2+Inputs!$C$52^2-2*(Inputs!$C$52+(Inputs!$H$6))*Inputs!$C$52*COS(SQRT((Scenario_Data!T88)^2+Inputs!$C$6^2)/Inputs!$C$52)))-(Inputs!$H$6))*1000/Inputs!$C$12)</f>
        <v/>
      </c>
      <c r="K88">
        <f>Scenario_Data!I88-(((SQRT((Inputs!$C$52+(Inputs!$H$7))^2+Inputs!$C$52^2-2*(Inputs!$C$52+(Inputs!$H$7))*Inputs!$C$52*COS(SQRT((Scenario_Data!U88)^2+Inputs!$C$6^2)/Inputs!$C$52)))-(Inputs!$H$7))*1000/Inputs!$C$12)</f>
        <v/>
      </c>
      <c r="L88">
        <f>Scenario_Data!J88-(((SQRT((Inputs!$C$52+(Inputs!$H$8))^2+Inputs!$C$52^2-2*(Inputs!$C$52+(Inputs!$H$8))*Inputs!$C$52*COS(SQRT((Scenario_Data!V88)^2+Inputs!$C$6^2)/Inputs!$C$52)))-(Inputs!$H$8))*1000/Inputs!$C$12)</f>
        <v/>
      </c>
      <c r="M88">
        <f>Scenario_Data!K88-(((SQRT((Inputs!$C$52+(Inputs!$H$9))^2+Inputs!$C$52^2-2*(Inputs!$C$52+(Inputs!$H$9))*Inputs!$C$52*COS(SQRT((Scenario_Data!W88)^2+Inputs!$C$6^2)/Inputs!$C$52)))-(Inputs!$H$9))*1000/Inputs!$C$12)</f>
        <v/>
      </c>
      <c r="O88">
        <f>Scenario_Data!T88</f>
        <v/>
      </c>
      <c r="P88">
        <f>2*(Scenario_Data!B88*1000)/Inputs!$C$21*1000000</f>
        <v/>
      </c>
      <c r="Q88">
        <f>Scenario_Data!U88</f>
        <v/>
      </c>
      <c r="R88">
        <f>2*(Scenario_Data!C88*1000)/Inputs!$C$21*1000000</f>
        <v/>
      </c>
      <c r="S88">
        <f>Scenario_Data!V88</f>
        <v/>
      </c>
      <c r="T88">
        <f>2*(Scenario_Data!D88*1000)/Inputs!$C$21*1000000</f>
        <v/>
      </c>
      <c r="U88">
        <f>Scenario_Data!W88</f>
        <v/>
      </c>
      <c r="V88">
        <f>2*(Scenario_Data!E88*1000)/Inputs!$C$21*1000000</f>
        <v/>
      </c>
      <c r="X88">
        <f>Scenario_Data!T88</f>
        <v/>
      </c>
      <c r="Y88">
        <f>2*((Scenario_Data!B88*1000)-(IF(OR(Inputs!$C$27=TRUE,Inputs!$C$27="TRUE",Inputs!$C$27=1),1,0)*(Inputs!$C$51*(115*EXP(-(((0)-25)^2)/(4.5^2))+70*EXP(-(((0)+38)^2)/(7^2))*(0.55+0.45*SIN(2*PI()*(Scenario_Data!T88)/45))+24*SIN(2*PI()*(0)/9+(Scenario_Data!T88)/18)*EXP(-(((0)+5)^2)/(22^2))+18*SIN(2*PI()*(Scenario_Data!T88)/70))+Inputs!$C$28*EXP(-(((Scenario_Data!T88)-Inputs!$C$29)^2)/(2*Inputs!$C$31^2))*EXP(-(((0)-Inputs!$C$30)^2)/(2*Inputs!$C$32^2))+-Inputs!$C$33*EXP(-(((((Scenario_Data!T88)-Inputs!$C$34)^2)+(((0)-Inputs!$C$35)^2))/(2*Inputs!$C$36^2)))+Inputs!$C$37*(0.55*SIN(2*PI()*(Scenario_Data!T88)/Inputs!$C$39)+0.35*COS(2*PI()*(0)/Inputs!$C$40)+0.2*SIN(2*PI()*((Scenario_Data!T88)+(0))/(0.5*(Inputs!$C$39+Inputs!$C$40))))+Inputs!$C$38*SIN(2*PI()*(Scenario_Data!T88)/Inputs!$C$39)*SIN(2*PI()*(0)/Inputs!$C$40)+-Inputs!$C$41*EXP(-(((0)-Inputs!$C$43)^2)/(2*Inputs!$C$44^2))*EXP(-(((Scenario_Data!T88)-Inputs!$C$42)^2)/(2*Inputs!$C$45^2))+Inputs!$C$48*(0.7*(0.45*SIN(2*PI()*(((Scenario_Data!T88)/Inputs!$C$49)+Inputs!$C$47*0.137))+0.35*COS(2*PI()*(((0)/Inputs!$C$50)+Inputs!$C$47*0.173))+0.2*SIN(2*PI()*((((Scenario_Data!T88)+(0))/(0.5*(Inputs!$C$49+Inputs!$C$50)))+Inputs!$C$47*0.097)))+0.3*(2*((SIN(((Scenario_Data!T88)*12.9898+(0)*78.233+Inputs!$C$47*37.719))*43758.5453)-INT((SIN(((Scenario_Data!T88)*12.9898+(0)*78.233+Inputs!$C$47*37.719))*43758.5453)))-1)))))/Inputs!$C$21*1000000</f>
        <v/>
      </c>
      <c r="Z88">
        <f>Scenario_Data!U88</f>
        <v/>
      </c>
      <c r="AA88">
        <f>2*((Scenario_Data!C88*1000)-(IF(OR(Inputs!$C$27=TRUE,Inputs!$C$27="TRUE",Inputs!$C$27=1),1,0)*(Inputs!$C$51*(115*EXP(-(((0)-25)^2)/(4.5^2))+70*EXP(-(((0)+38)^2)/(7^2))*(0.55+0.45*SIN(2*PI()*(Scenario_Data!U88)/45))+24*SIN(2*PI()*(0)/9+(Scenario_Data!U88)/18)*EXP(-(((0)+5)^2)/(22^2))+18*SIN(2*PI()*(Scenario_Data!U88)/70))+Inputs!$C$28*EXP(-(((Scenario_Data!U88)-Inputs!$C$29)^2)/(2*Inputs!$C$31^2))*EXP(-(((0)-Inputs!$C$30)^2)/(2*Inputs!$C$32^2))+-Inputs!$C$33*EXP(-(((((Scenario_Data!U88)-Inputs!$C$34)^2)+(((0)-Inputs!$C$35)^2))/(2*Inputs!$C$36^2)))+Inputs!$C$37*(0.55*SIN(2*PI()*(Scenario_Data!U88)/Inputs!$C$39)+0.35*COS(2*PI()*(0)/Inputs!$C$40)+0.2*SIN(2*PI()*((Scenario_Data!U88)+(0))/(0.5*(Inputs!$C$39+Inputs!$C$40))))+Inputs!$C$38*SIN(2*PI()*(Scenario_Data!U88)/Inputs!$C$39)*SIN(2*PI()*(0)/Inputs!$C$40)+-Inputs!$C$41*EXP(-(((0)-Inputs!$C$43)^2)/(2*Inputs!$C$44^2))*EXP(-(((Scenario_Data!U88)-Inputs!$C$42)^2)/(2*Inputs!$C$45^2))+Inputs!$C$48*(0.7*(0.45*SIN(2*PI()*(((Scenario_Data!U88)/Inputs!$C$49)+Inputs!$C$47*0.137))+0.35*COS(2*PI()*(((0)/Inputs!$C$50)+Inputs!$C$47*0.173))+0.2*SIN(2*PI()*((((Scenario_Data!U88)+(0))/(0.5*(Inputs!$C$49+Inputs!$C$50)))+Inputs!$C$47*0.097)))+0.3*(2*((SIN(((Scenario_Data!U88)*12.9898+(0)*78.233+Inputs!$C$47*37.719))*43758.5453)-INT((SIN(((Scenario_Data!U88)*12.9898+(0)*78.233+Inputs!$C$47*37.719))*43758.5453)))-1)))))/Inputs!$C$21*1000000</f>
        <v/>
      </c>
      <c r="AB88">
        <f>Scenario_Data!V88</f>
        <v/>
      </c>
      <c r="AC88">
        <f>2*((Scenario_Data!D88*1000)-(IF(OR(Inputs!$C$27=TRUE,Inputs!$C$27="TRUE",Inputs!$C$27=1),1,0)*(Inputs!$C$51*(115*EXP(-(((0)-25)^2)/(4.5^2))+70*EXP(-(((0)+38)^2)/(7^2))*(0.55+0.45*SIN(2*PI()*(Scenario_Data!V88)/45))+24*SIN(2*PI()*(0)/9+(Scenario_Data!V88)/18)*EXP(-(((0)+5)^2)/(22^2))+18*SIN(2*PI()*(Scenario_Data!V88)/70))+Inputs!$C$28*EXP(-(((Scenario_Data!V88)-Inputs!$C$29)^2)/(2*Inputs!$C$31^2))*EXP(-(((0)-Inputs!$C$30)^2)/(2*Inputs!$C$32^2))+-Inputs!$C$33*EXP(-(((((Scenario_Data!V88)-Inputs!$C$34)^2)+(((0)-Inputs!$C$35)^2))/(2*Inputs!$C$36^2)))+Inputs!$C$37*(0.55*SIN(2*PI()*(Scenario_Data!V88)/Inputs!$C$39)+0.35*COS(2*PI()*(0)/Inputs!$C$40)+0.2*SIN(2*PI()*((Scenario_Data!V88)+(0))/(0.5*(Inputs!$C$39+Inputs!$C$40))))+Inputs!$C$38*SIN(2*PI()*(Scenario_Data!V88)/Inputs!$C$39)*SIN(2*PI()*(0)/Inputs!$C$40)+-Inputs!$C$41*EXP(-(((0)-Inputs!$C$43)^2)/(2*Inputs!$C$44^2))*EXP(-(((Scenario_Data!V88)-Inputs!$C$42)^2)/(2*Inputs!$C$45^2))+Inputs!$C$48*(0.7*(0.45*SIN(2*PI()*(((Scenario_Data!V88)/Inputs!$C$49)+Inputs!$C$47*0.137))+0.35*COS(2*PI()*(((0)/Inputs!$C$50)+Inputs!$C$47*0.173))+0.2*SIN(2*PI()*((((Scenario_Data!V88)+(0))/(0.5*(Inputs!$C$49+Inputs!$C$50)))+Inputs!$C$47*0.097)))+0.3*(2*((SIN(((Scenario_Data!V88)*12.9898+(0)*78.233+Inputs!$C$47*37.719))*43758.5453)-INT((SIN(((Scenario_Data!V88)*12.9898+(0)*78.233+Inputs!$C$47*37.719))*43758.5453)))-1)))))/Inputs!$C$21*1000000</f>
        <v/>
      </c>
      <c r="AD88">
        <f>Scenario_Data!W88</f>
        <v/>
      </c>
      <c r="AE88">
        <f>2*((Scenario_Data!E88*1000)-(IF(OR(Inputs!$C$27=TRUE,Inputs!$C$27="TRUE",Inputs!$C$27=1),1,0)*(Inputs!$C$51*(115*EXP(-(((0)-25)^2)/(4.5^2))+70*EXP(-(((0)+38)^2)/(7^2))*(0.55+0.45*SIN(2*PI()*(Scenario_Data!W88)/45))+24*SIN(2*PI()*(0)/9+(Scenario_Data!W88)/18)*EXP(-(((0)+5)^2)/(22^2))+18*SIN(2*PI()*(Scenario_Data!W88)/70))+Inputs!$C$28*EXP(-(((Scenario_Data!W88)-Inputs!$C$29)^2)/(2*Inputs!$C$31^2))*EXP(-(((0)-Inputs!$C$30)^2)/(2*Inputs!$C$32^2))+-Inputs!$C$33*EXP(-(((((Scenario_Data!W88)-Inputs!$C$34)^2)+(((0)-Inputs!$C$35)^2))/(2*Inputs!$C$36^2)))+Inputs!$C$37*(0.55*SIN(2*PI()*(Scenario_Data!W88)/Inputs!$C$39)+0.35*COS(2*PI()*(0)/Inputs!$C$40)+0.2*SIN(2*PI()*((Scenario_Data!W88)+(0))/(0.5*(Inputs!$C$39+Inputs!$C$40))))+Inputs!$C$38*SIN(2*PI()*(Scenario_Data!W88)/Inputs!$C$39)*SIN(2*PI()*(0)/Inputs!$C$40)+-Inputs!$C$41*EXP(-(((0)-Inputs!$C$43)^2)/(2*Inputs!$C$44^2))*EXP(-(((Scenario_Data!W88)-Inputs!$C$42)^2)/(2*Inputs!$C$45^2))+Inputs!$C$48*(0.7*(0.45*SIN(2*PI()*(((Scenario_Data!W88)/Inputs!$C$49)+Inputs!$C$47*0.137))+0.35*COS(2*PI()*(((0)/Inputs!$C$50)+Inputs!$C$47*0.173))+0.2*SIN(2*PI()*((((Scenario_Data!W88)+(0))/(0.5*(Inputs!$C$49+Inputs!$C$50)))+Inputs!$C$47*0.097)))+0.3*(2*((SIN(((Scenario_Data!W88)*12.9898+(0)*78.233+Inputs!$C$47*37.719))*43758.5453)-INT((SIN(((Scenario_Data!W88)*12.9898+(0)*78.233+Inputs!$C$47*37.719))*43758.5453)))-1)))))/Inputs!$C$21*1000000</f>
        <v/>
      </c>
      <c r="AG88">
        <f>Scenario_Data!T88</f>
        <v/>
      </c>
      <c r="AH88">
        <f>2*(SQRT((Inputs!$C$52+(Scenario_Data!B88))^2+Inputs!$C$52^2-2*(Inputs!$C$52+(Scenario_Data!B88))*Inputs!$C$52*COS(SQRT((Scenario_Data!T88)^2+Inputs!$C$6^2)/Inputs!$C$52))*1000)/Inputs!$C$21*1000000</f>
        <v/>
      </c>
      <c r="AI88">
        <f>Scenario_Data!U88</f>
        <v/>
      </c>
      <c r="AJ88">
        <f>2*(SQRT((Inputs!$C$52+(Scenario_Data!C88))^2+Inputs!$C$52^2-2*(Inputs!$C$52+(Scenario_Data!C88))*Inputs!$C$52*COS(SQRT((Scenario_Data!U88)^2+Inputs!$C$6^2)/Inputs!$C$52))*1000)/Inputs!$C$21*1000000</f>
        <v/>
      </c>
      <c r="AK88">
        <f>Scenario_Data!V88</f>
        <v/>
      </c>
      <c r="AL88">
        <f>2*(SQRT((Inputs!$C$52+(Scenario_Data!D88))^2+Inputs!$C$52^2-2*(Inputs!$C$52+(Scenario_Data!D88))*Inputs!$C$52*COS(SQRT((Scenario_Data!V88)^2+Inputs!$C$6^2)/Inputs!$C$52))*1000)/Inputs!$C$21*1000000</f>
        <v/>
      </c>
      <c r="AM88">
        <f>Scenario_Data!W88</f>
        <v/>
      </c>
      <c r="AN88">
        <f>2*(SQRT((Inputs!$C$52+(Scenario_Data!E88))^2+Inputs!$C$52^2-2*(Inputs!$C$52+(Scenario_Data!E88))*Inputs!$C$52*COS(SQRT((Scenario_Data!W88)^2+Inputs!$C$6^2)/Inputs!$C$52))*1000)/Inputs!$C$21*1000000</f>
        <v/>
      </c>
      <c r="AP88">
        <f>Scenario_Data!T88</f>
        <v/>
      </c>
      <c r="AQ88">
        <f>2*(SQRT((Inputs!$C$52+(Scenario_Data!B88))^2+(Inputs!$C$52+((IF(OR(Inputs!$C$27=TRUE,Inputs!$C$27="TRUE",Inputs!$C$27=1),1,0)*(Inputs!$C$51*(115*EXP(-(((Inputs!$C$6)-25)^2)/(4.5^2))+70*EXP(-(((Inputs!$C$6)+38)^2)/(7^2))*(0.55+0.45*SIN(2*PI()*(Scenario_Data!T88)/45))+24*SIN(2*PI()*(Inputs!$C$6)/9+(Scenario_Data!T88)/18)*EXP(-(((Inputs!$C$6)+5)^2)/(22^2))+18*SIN(2*PI()*(Scenario_Data!T88)/70))+Inputs!$C$28*EXP(-(((Scenario_Data!T88)-Inputs!$C$29)^2)/(2*Inputs!$C$31^2))*EXP(-(((Inputs!$C$6)-Inputs!$C$30)^2)/(2*Inputs!$C$32^2))+-Inputs!$C$33*EXP(-(((((Scenario_Data!T88)-Inputs!$C$34)^2)+(((Inputs!$C$6)-Inputs!$C$35)^2))/(2*Inputs!$C$36^2)))+Inputs!$C$37*(0.55*SIN(2*PI()*(Scenario_Data!T88)/Inputs!$C$39)+0.35*COS(2*PI()*(Inputs!$C$6)/Inputs!$C$40)+0.2*SIN(2*PI()*((Scenario_Data!T88)+(Inputs!$C$6))/(0.5*(Inputs!$C$39+Inputs!$C$40))))+Inputs!$C$38*SIN(2*PI()*(Scenario_Data!T88)/Inputs!$C$39)*SIN(2*PI()*(Inputs!$C$6)/Inputs!$C$40)+-Inputs!$C$41*EXP(-(((Inputs!$C$6)-Inputs!$C$43)^2)/(2*Inputs!$C$44^2))*EXP(-(((Scenario_Data!T88)-Inputs!$C$42)^2)/(2*Inputs!$C$45^2))+Inputs!$C$48*(0.7*(0.45*SIN(2*PI()*(((Scenario_Data!T88)/Inputs!$C$49)+Inputs!$C$47*0.137))+0.35*COS(2*PI()*(((Inputs!$C$6)/Inputs!$C$50)+Inputs!$C$47*0.173))+0.2*SIN(2*PI()*((((Scenario_Data!T88)+(Inputs!$C$6))/(0.5*(Inputs!$C$49+Inputs!$C$50)))+Inputs!$C$47*0.097)))+0.3*(2*((SIN(((Scenario_Data!T88)*12.9898+(Inputs!$C$6)*78.233+Inputs!$C$47*37.719))*43758.5453)-INT((SIN(((Scenario_Data!T88)*12.9898+(Inputs!$C$6)*78.233+Inputs!$C$47*37.719))*43758.5453)))-1))))/1000))^2-2*(Inputs!$C$52+(Scenario_Data!B88))*(Inputs!$C$52+((IF(OR(Inputs!$C$27=TRUE,Inputs!$C$27="TRUE",Inputs!$C$27=1),1,0)*(Inputs!$C$51*(115*EXP(-(((Inputs!$C$6)-25)^2)/(4.5^2))+70*EXP(-(((Inputs!$C$6)+38)^2)/(7^2))*(0.55+0.45*SIN(2*PI()*(Scenario_Data!T88)/45))+24*SIN(2*PI()*(Inputs!$C$6)/9+(Scenario_Data!T88)/18)*EXP(-(((Inputs!$C$6)+5)^2)/(22^2))+18*SIN(2*PI()*(Scenario_Data!T88)/70))+Inputs!$C$28*EXP(-(((Scenario_Data!T88)-Inputs!$C$29)^2)/(2*Inputs!$C$31^2))*EXP(-(((Inputs!$C$6)-Inputs!$C$30)^2)/(2*Inputs!$C$32^2))+-Inputs!$C$33*EXP(-(((((Scenario_Data!T88)-Inputs!$C$34)^2)+(((Inputs!$C$6)-Inputs!$C$35)^2))/(2*Inputs!$C$36^2)))+Inputs!$C$37*(0.55*SIN(2*PI()*(Scenario_Data!T88)/Inputs!$C$39)+0.35*COS(2*PI()*(Inputs!$C$6)/Inputs!$C$40)+0.2*SIN(2*PI()*((Scenario_Data!T88)+(Inputs!$C$6))/(0.5*(Inputs!$C$39+Inputs!$C$40))))+Inputs!$C$38*SIN(2*PI()*(Scenario_Data!T88)/Inputs!$C$39)*SIN(2*PI()*(Inputs!$C$6)/Inputs!$C$40)+-Inputs!$C$41*EXP(-(((Inputs!$C$6)-Inputs!$C$43)^2)/(2*Inputs!$C$44^2))*EXP(-(((Scenario_Data!T88)-Inputs!$C$42)^2)/(2*Inputs!$C$45^2))+Inputs!$C$48*(0.7*(0.45*SIN(2*PI()*(((Scenario_Data!T88)/Inputs!$C$49)+Inputs!$C$47*0.137))+0.35*COS(2*PI()*(((Inputs!$C$6)/Inputs!$C$50)+Inputs!$C$47*0.173))+0.2*SIN(2*PI()*((((Scenario_Data!T88)+(Inputs!$C$6))/(0.5*(Inputs!$C$49+Inputs!$C$50)))+Inputs!$C$47*0.097)))+0.3*(2*((SIN(((Scenario_Data!T88)*12.9898+(Inputs!$C$6)*78.233+Inputs!$C$47*37.719))*43758.5453)-INT((SIN(((Scenario_Data!T88)*12.9898+(Inputs!$C$6)*78.233+Inputs!$C$47*37.719))*43758.5453)))-1))))/1000))*COS(SQRT((Scenario_Data!T88)^2+Inputs!$C$6^2)/Inputs!$C$52))*1000)/Inputs!$C$21*1000000</f>
        <v/>
      </c>
      <c r="AR88">
        <f>Scenario_Data!U88</f>
        <v/>
      </c>
      <c r="AS88">
        <f>2*(SQRT((Inputs!$C$52+(Scenario_Data!C88))^2+(Inputs!$C$52+((IF(OR(Inputs!$C$27=TRUE,Inputs!$C$27="TRUE",Inputs!$C$27=1),1,0)*(Inputs!$C$51*(115*EXP(-(((Inputs!$C$6)-25)^2)/(4.5^2))+70*EXP(-(((Inputs!$C$6)+38)^2)/(7^2))*(0.55+0.45*SIN(2*PI()*(Scenario_Data!U88)/45))+24*SIN(2*PI()*(Inputs!$C$6)/9+(Scenario_Data!U88)/18)*EXP(-(((Inputs!$C$6)+5)^2)/(22^2))+18*SIN(2*PI()*(Scenario_Data!U88)/70))+Inputs!$C$28*EXP(-(((Scenario_Data!U88)-Inputs!$C$29)^2)/(2*Inputs!$C$31^2))*EXP(-(((Inputs!$C$6)-Inputs!$C$30)^2)/(2*Inputs!$C$32^2))+-Inputs!$C$33*EXP(-(((((Scenario_Data!U88)-Inputs!$C$34)^2)+(((Inputs!$C$6)-Inputs!$C$35)^2))/(2*Inputs!$C$36^2)))+Inputs!$C$37*(0.55*SIN(2*PI()*(Scenario_Data!U88)/Inputs!$C$39)+0.35*COS(2*PI()*(Inputs!$C$6)/Inputs!$C$40)+0.2*SIN(2*PI()*((Scenario_Data!U88)+(Inputs!$C$6))/(0.5*(Inputs!$C$39+Inputs!$C$40))))+Inputs!$C$38*SIN(2*PI()*(Scenario_Data!U88)/Inputs!$C$39)*SIN(2*PI()*(Inputs!$C$6)/Inputs!$C$40)+-Inputs!$C$41*EXP(-(((Inputs!$C$6)-Inputs!$C$43)^2)/(2*Inputs!$C$44^2))*EXP(-(((Scenario_Data!U88)-Inputs!$C$42)^2)/(2*Inputs!$C$45^2))+Inputs!$C$48*(0.7*(0.45*SIN(2*PI()*(((Scenario_Data!U88)/Inputs!$C$49)+Inputs!$C$47*0.137))+0.35*COS(2*PI()*(((Inputs!$C$6)/Inputs!$C$50)+Inputs!$C$47*0.173))+0.2*SIN(2*PI()*((((Scenario_Data!U88)+(Inputs!$C$6))/(0.5*(Inputs!$C$49+Inputs!$C$50)))+Inputs!$C$47*0.097)))+0.3*(2*((SIN(((Scenario_Data!U88)*12.9898+(Inputs!$C$6)*78.233+Inputs!$C$47*37.719))*43758.5453)-INT((SIN(((Scenario_Data!U88)*12.9898+(Inputs!$C$6)*78.233+Inputs!$C$47*37.719))*43758.5453)))-1))))/1000))^2-2*(Inputs!$C$52+(Scenario_Data!C88))*(Inputs!$C$52+((IF(OR(Inputs!$C$27=TRUE,Inputs!$C$27="TRUE",Inputs!$C$27=1),1,0)*(Inputs!$C$51*(115*EXP(-(((Inputs!$C$6)-25)^2)/(4.5^2))+70*EXP(-(((Inputs!$C$6)+38)^2)/(7^2))*(0.55+0.45*SIN(2*PI()*(Scenario_Data!U88)/45))+24*SIN(2*PI()*(Inputs!$C$6)/9+(Scenario_Data!U88)/18)*EXP(-(((Inputs!$C$6)+5)^2)/(22^2))+18*SIN(2*PI()*(Scenario_Data!U88)/70))+Inputs!$C$28*EXP(-(((Scenario_Data!U88)-Inputs!$C$29)^2)/(2*Inputs!$C$31^2))*EXP(-(((Inputs!$C$6)-Inputs!$C$30)^2)/(2*Inputs!$C$32^2))+-Inputs!$C$33*EXP(-(((((Scenario_Data!U88)-Inputs!$C$34)^2)+(((Inputs!$C$6)-Inputs!$C$35)^2))/(2*Inputs!$C$36^2)))+Inputs!$C$37*(0.55*SIN(2*PI()*(Scenario_Data!U88)/Inputs!$C$39)+0.35*COS(2*PI()*(Inputs!$C$6)/Inputs!$C$40)+0.2*SIN(2*PI()*((Scenario_Data!U88)+(Inputs!$C$6))/(0.5*(Inputs!$C$39+Inputs!$C$40))))+Inputs!$C$38*SIN(2*PI()*(Scenario_Data!U88)/Inputs!$C$39)*SIN(2*PI()*(Inputs!$C$6)/Inputs!$C$40)+-Inputs!$C$41*EXP(-(((Inputs!$C$6)-Inputs!$C$43)^2)/(2*Inputs!$C$44^2))*EXP(-(((Scenario_Data!U88)-Inputs!$C$42)^2)/(2*Inputs!$C$45^2))+Inputs!$C$48*(0.7*(0.45*SIN(2*PI()*(((Scenario_Data!U88)/Inputs!$C$49)+Inputs!$C$47*0.137))+0.35*COS(2*PI()*(((Inputs!$C$6)/Inputs!$C$50)+Inputs!$C$47*0.173))+0.2*SIN(2*PI()*((((Scenario_Data!U88)+(Inputs!$C$6))/(0.5*(Inputs!$C$49+Inputs!$C$50)))+Inputs!$C$47*0.097)))+0.3*(2*((SIN(((Scenario_Data!U88)*12.9898+(Inputs!$C$6)*78.233+Inputs!$C$47*37.719))*43758.5453)-INT((SIN(((Scenario_Data!U88)*12.9898+(Inputs!$C$6)*78.233+Inputs!$C$47*37.719))*43758.5453)))-1))))/1000))*COS(SQRT((Scenario_Data!U88)^2+Inputs!$C$6^2)/Inputs!$C$52))*1000)/Inputs!$C$21*1000000</f>
        <v/>
      </c>
      <c r="AT88">
        <f>Scenario_Data!V88</f>
        <v/>
      </c>
      <c r="AU88">
        <f>2*(SQRT((Inputs!$C$52+(Scenario_Data!D88))^2+(Inputs!$C$52+((IF(OR(Inputs!$C$27=TRUE,Inputs!$C$27="TRUE",Inputs!$C$27=1),1,0)*(Inputs!$C$51*(115*EXP(-(((Inputs!$C$6)-25)^2)/(4.5^2))+70*EXP(-(((Inputs!$C$6)+38)^2)/(7^2))*(0.55+0.45*SIN(2*PI()*(Scenario_Data!V88)/45))+24*SIN(2*PI()*(Inputs!$C$6)/9+(Scenario_Data!V88)/18)*EXP(-(((Inputs!$C$6)+5)^2)/(22^2))+18*SIN(2*PI()*(Scenario_Data!V88)/70))+Inputs!$C$28*EXP(-(((Scenario_Data!V88)-Inputs!$C$29)^2)/(2*Inputs!$C$31^2))*EXP(-(((Inputs!$C$6)-Inputs!$C$30)^2)/(2*Inputs!$C$32^2))+-Inputs!$C$33*EXP(-(((((Scenario_Data!V88)-Inputs!$C$34)^2)+(((Inputs!$C$6)-Inputs!$C$35)^2))/(2*Inputs!$C$36^2)))+Inputs!$C$37*(0.55*SIN(2*PI()*(Scenario_Data!V88)/Inputs!$C$39)+0.35*COS(2*PI()*(Inputs!$C$6)/Inputs!$C$40)+0.2*SIN(2*PI()*((Scenario_Data!V88)+(Inputs!$C$6))/(0.5*(Inputs!$C$39+Inputs!$C$40))))+Inputs!$C$38*SIN(2*PI()*(Scenario_Data!V88)/Inputs!$C$39)*SIN(2*PI()*(Inputs!$C$6)/Inputs!$C$40)+-Inputs!$C$41*EXP(-(((Inputs!$C$6)-Inputs!$C$43)^2)/(2*Inputs!$C$44^2))*EXP(-(((Scenario_Data!V88)-Inputs!$C$42)^2)/(2*Inputs!$C$45^2))+Inputs!$C$48*(0.7*(0.45*SIN(2*PI()*(((Scenario_Data!V88)/Inputs!$C$49)+Inputs!$C$47*0.137))+0.35*COS(2*PI()*(((Inputs!$C$6)/Inputs!$C$50)+Inputs!$C$47*0.173))+0.2*SIN(2*PI()*((((Scenario_Data!V88)+(Inputs!$C$6))/(0.5*(Inputs!$C$49+Inputs!$C$50)))+Inputs!$C$47*0.097)))+0.3*(2*((SIN(((Scenario_Data!V88)*12.9898+(Inputs!$C$6)*78.233+Inputs!$C$47*37.719))*43758.5453)-INT((SIN(((Scenario_Data!V88)*12.9898+(Inputs!$C$6)*78.233+Inputs!$C$47*37.719))*43758.5453)))-1))))/1000))^2-2*(Inputs!$C$52+(Scenario_Data!D88))*(Inputs!$C$52+((IF(OR(Inputs!$C$27=TRUE,Inputs!$C$27="TRUE",Inputs!$C$27=1),1,0)*(Inputs!$C$51*(115*EXP(-(((Inputs!$C$6)-25)^2)/(4.5^2))+70*EXP(-(((Inputs!$C$6)+38)^2)/(7^2))*(0.55+0.45*SIN(2*PI()*(Scenario_Data!V88)/45))+24*SIN(2*PI()*(Inputs!$C$6)/9+(Scenario_Data!V88)/18)*EXP(-(((Inputs!$C$6)+5)^2)/(22^2))+18*SIN(2*PI()*(Scenario_Data!V88)/70))+Inputs!$C$28*EXP(-(((Scenario_Data!V88)-Inputs!$C$29)^2)/(2*Inputs!$C$31^2))*EXP(-(((Inputs!$C$6)-Inputs!$C$30)^2)/(2*Inputs!$C$32^2))+-Inputs!$C$33*EXP(-(((((Scenario_Data!V88)-Inputs!$C$34)^2)+(((Inputs!$C$6)-Inputs!$C$35)^2))/(2*Inputs!$C$36^2)))+Inputs!$C$37*(0.55*SIN(2*PI()*(Scenario_Data!V88)/Inputs!$C$39)+0.35*COS(2*PI()*(Inputs!$C$6)/Inputs!$C$40)+0.2*SIN(2*PI()*((Scenario_Data!V88)+(Inputs!$C$6))/(0.5*(Inputs!$C$39+Inputs!$C$40))))+Inputs!$C$38*SIN(2*PI()*(Scenario_Data!V88)/Inputs!$C$39)*SIN(2*PI()*(Inputs!$C$6)/Inputs!$C$40)+-Inputs!$C$41*EXP(-(((Inputs!$C$6)-Inputs!$C$43)^2)/(2*Inputs!$C$44^2))*EXP(-(((Scenario_Data!V88)-Inputs!$C$42)^2)/(2*Inputs!$C$45^2))+Inputs!$C$48*(0.7*(0.45*SIN(2*PI()*(((Scenario_Data!V88)/Inputs!$C$49)+Inputs!$C$47*0.137))+0.35*COS(2*PI()*(((Inputs!$C$6)/Inputs!$C$50)+Inputs!$C$47*0.173))+0.2*SIN(2*PI()*((((Scenario_Data!V88)+(Inputs!$C$6))/(0.5*(Inputs!$C$49+Inputs!$C$50)))+Inputs!$C$47*0.097)))+0.3*(2*((SIN(((Scenario_Data!V88)*12.9898+(Inputs!$C$6)*78.233+Inputs!$C$47*37.719))*43758.5453)-INT((SIN(((Scenario_Data!V88)*12.9898+(Inputs!$C$6)*78.233+Inputs!$C$47*37.719))*43758.5453)))-1))))/1000))*COS(SQRT((Scenario_Data!V88)^2+Inputs!$C$6^2)/Inputs!$C$52))*1000)/Inputs!$C$21*1000000</f>
        <v/>
      </c>
      <c r="AV88">
        <f>Scenario_Data!W88</f>
        <v/>
      </c>
      <c r="AW88">
        <f>2*(SQRT((Inputs!$C$52+(Scenario_Data!E88))^2+(Inputs!$C$52+((IF(OR(Inputs!$C$27=TRUE,Inputs!$C$27="TRUE",Inputs!$C$27=1),1,0)*(Inputs!$C$51*(115*EXP(-(((Inputs!$C$6)-25)^2)/(4.5^2))+70*EXP(-(((Inputs!$C$6)+38)^2)/(7^2))*(0.55+0.45*SIN(2*PI()*(Scenario_Data!W88)/45))+24*SIN(2*PI()*(Inputs!$C$6)/9+(Scenario_Data!W88)/18)*EXP(-(((Inputs!$C$6)+5)^2)/(22^2))+18*SIN(2*PI()*(Scenario_Data!W88)/70))+Inputs!$C$28*EXP(-(((Scenario_Data!W88)-Inputs!$C$29)^2)/(2*Inputs!$C$31^2))*EXP(-(((Inputs!$C$6)-Inputs!$C$30)^2)/(2*Inputs!$C$32^2))+-Inputs!$C$33*EXP(-(((((Scenario_Data!W88)-Inputs!$C$34)^2)+(((Inputs!$C$6)-Inputs!$C$35)^2))/(2*Inputs!$C$36^2)))+Inputs!$C$37*(0.55*SIN(2*PI()*(Scenario_Data!W88)/Inputs!$C$39)+0.35*COS(2*PI()*(Inputs!$C$6)/Inputs!$C$40)+0.2*SIN(2*PI()*((Scenario_Data!W88)+(Inputs!$C$6))/(0.5*(Inputs!$C$39+Inputs!$C$40))))+Inputs!$C$38*SIN(2*PI()*(Scenario_Data!W88)/Inputs!$C$39)*SIN(2*PI()*(Inputs!$C$6)/Inputs!$C$40)+-Inputs!$C$41*EXP(-(((Inputs!$C$6)-Inputs!$C$43)^2)/(2*Inputs!$C$44^2))*EXP(-(((Scenario_Data!W88)-Inputs!$C$42)^2)/(2*Inputs!$C$45^2))+Inputs!$C$48*(0.7*(0.45*SIN(2*PI()*(((Scenario_Data!W88)/Inputs!$C$49)+Inputs!$C$47*0.137))+0.35*COS(2*PI()*(((Inputs!$C$6)/Inputs!$C$50)+Inputs!$C$47*0.173))+0.2*SIN(2*PI()*((((Scenario_Data!W88)+(Inputs!$C$6))/(0.5*(Inputs!$C$49+Inputs!$C$50)))+Inputs!$C$47*0.097)))+0.3*(2*((SIN(((Scenario_Data!W88)*12.9898+(Inputs!$C$6)*78.233+Inputs!$C$47*37.719))*43758.5453)-INT((SIN(((Scenario_Data!W88)*12.9898+(Inputs!$C$6)*78.233+Inputs!$C$47*37.719))*43758.5453)))-1))))/1000))^2-2*(Inputs!$C$52+(Scenario_Data!E88))*(Inputs!$C$52+((IF(OR(Inputs!$C$27=TRUE,Inputs!$C$27="TRUE",Inputs!$C$27=1),1,0)*(Inputs!$C$51*(115*EXP(-(((Inputs!$C$6)-25)^2)/(4.5^2))+70*EXP(-(((Inputs!$C$6)+38)^2)/(7^2))*(0.55+0.45*SIN(2*PI()*(Scenario_Data!W88)/45))+24*SIN(2*PI()*(Inputs!$C$6)/9+(Scenario_Data!W88)/18)*EXP(-(((Inputs!$C$6)+5)^2)/(22^2))+18*SIN(2*PI()*(Scenario_Data!W88)/70))+Inputs!$C$28*EXP(-(((Scenario_Data!W88)-Inputs!$C$29)^2)/(2*Inputs!$C$31^2))*EXP(-(((Inputs!$C$6)-Inputs!$C$30)^2)/(2*Inputs!$C$32^2))+-Inputs!$C$33*EXP(-(((((Scenario_Data!W88)-Inputs!$C$34)^2)+(((Inputs!$C$6)-Inputs!$C$35)^2))/(2*Inputs!$C$36^2)))+Inputs!$C$37*(0.55*SIN(2*PI()*(Scenario_Data!W88)/Inputs!$C$39)+0.35*COS(2*PI()*(Inputs!$C$6)/Inputs!$C$40)+0.2*SIN(2*PI()*((Scenario_Data!W88)+(Inputs!$C$6))/(0.5*(Inputs!$C$39+Inputs!$C$40))))+Inputs!$C$38*SIN(2*PI()*(Scenario_Data!W88)/Inputs!$C$39)*SIN(2*PI()*(Inputs!$C$6)/Inputs!$C$40)+-Inputs!$C$41*EXP(-(((Inputs!$C$6)-Inputs!$C$43)^2)/(2*Inputs!$C$44^2))*EXP(-(((Scenario_Data!W88)-Inputs!$C$42)^2)/(2*Inputs!$C$45^2))+Inputs!$C$48*(0.7*(0.45*SIN(2*PI()*(((Scenario_Data!W88)/Inputs!$C$49)+Inputs!$C$47*0.137))+0.35*COS(2*PI()*(((Inputs!$C$6)/Inputs!$C$50)+Inputs!$C$47*0.173))+0.2*SIN(2*PI()*((((Scenario_Data!W88)+(Inputs!$C$6))/(0.5*(Inputs!$C$49+Inputs!$C$50)))+Inputs!$C$47*0.097)))+0.3*(2*((SIN(((Scenario_Data!W88)*12.9898+(Inputs!$C$6)*78.233+Inputs!$C$47*37.719))*43758.5453)-INT((SIN(((Scenario_Data!W88)*12.9898+(Inputs!$C$6)*78.233+Inputs!$C$47*37.719))*43758.5453)))-1))))/1000))*COS(SQRT((Scenario_Data!W88)^2+Inputs!$C$6^2)/Inputs!$C$52))*1000)/Inputs!$C$21*1000000</f>
        <v/>
      </c>
    </row>
    <row r="89">
      <c r="A89">
        <f>Chart_Data!K89</f>
        <v/>
      </c>
      <c r="B89">
        <f>Chart_Data!N89-Chart_Data!L89</f>
        <v/>
      </c>
      <c r="D89">
        <f>Chart_Data!G89</f>
        <v/>
      </c>
      <c r="E89">
        <f>Chart_Data!H89</f>
        <v/>
      </c>
      <c r="F89">
        <f>Chart_Data!I89</f>
        <v/>
      </c>
      <c r="G89">
        <f>Chart_Data!J89</f>
        <v/>
      </c>
      <c r="I89">
        <f>Scenario_Data!A89</f>
        <v/>
      </c>
      <c r="J89">
        <f>Scenario_Data!H89-(((SQRT((Inputs!$C$52+(Inputs!$H$6))^2+Inputs!$C$52^2-2*(Inputs!$C$52+(Inputs!$H$6))*Inputs!$C$52*COS(SQRT((Scenario_Data!T89)^2+Inputs!$C$6^2)/Inputs!$C$52)))-(Inputs!$H$6))*1000/Inputs!$C$12)</f>
        <v/>
      </c>
      <c r="K89">
        <f>Scenario_Data!I89-(((SQRT((Inputs!$C$52+(Inputs!$H$7))^2+Inputs!$C$52^2-2*(Inputs!$C$52+(Inputs!$H$7))*Inputs!$C$52*COS(SQRT((Scenario_Data!U89)^2+Inputs!$C$6^2)/Inputs!$C$52)))-(Inputs!$H$7))*1000/Inputs!$C$12)</f>
        <v/>
      </c>
      <c r="L89">
        <f>Scenario_Data!J89-(((SQRT((Inputs!$C$52+(Inputs!$H$8))^2+Inputs!$C$52^2-2*(Inputs!$C$52+(Inputs!$H$8))*Inputs!$C$52*COS(SQRT((Scenario_Data!V89)^2+Inputs!$C$6^2)/Inputs!$C$52)))-(Inputs!$H$8))*1000/Inputs!$C$12)</f>
        <v/>
      </c>
      <c r="M89">
        <f>Scenario_Data!K89-(((SQRT((Inputs!$C$52+(Inputs!$H$9))^2+Inputs!$C$52^2-2*(Inputs!$C$52+(Inputs!$H$9))*Inputs!$C$52*COS(SQRT((Scenario_Data!W89)^2+Inputs!$C$6^2)/Inputs!$C$52)))-(Inputs!$H$9))*1000/Inputs!$C$12)</f>
        <v/>
      </c>
      <c r="O89">
        <f>Scenario_Data!T89</f>
        <v/>
      </c>
      <c r="P89">
        <f>2*(Scenario_Data!B89*1000)/Inputs!$C$21*1000000</f>
        <v/>
      </c>
      <c r="Q89">
        <f>Scenario_Data!U89</f>
        <v/>
      </c>
      <c r="R89">
        <f>2*(Scenario_Data!C89*1000)/Inputs!$C$21*1000000</f>
        <v/>
      </c>
      <c r="S89">
        <f>Scenario_Data!V89</f>
        <v/>
      </c>
      <c r="T89">
        <f>2*(Scenario_Data!D89*1000)/Inputs!$C$21*1000000</f>
        <v/>
      </c>
      <c r="U89">
        <f>Scenario_Data!W89</f>
        <v/>
      </c>
      <c r="V89">
        <f>2*(Scenario_Data!E89*1000)/Inputs!$C$21*1000000</f>
        <v/>
      </c>
      <c r="X89">
        <f>Scenario_Data!T89</f>
        <v/>
      </c>
      <c r="Y89">
        <f>2*((Scenario_Data!B89*1000)-(IF(OR(Inputs!$C$27=TRUE,Inputs!$C$27="TRUE",Inputs!$C$27=1),1,0)*(Inputs!$C$51*(115*EXP(-(((0)-25)^2)/(4.5^2))+70*EXP(-(((0)+38)^2)/(7^2))*(0.55+0.45*SIN(2*PI()*(Scenario_Data!T89)/45))+24*SIN(2*PI()*(0)/9+(Scenario_Data!T89)/18)*EXP(-(((0)+5)^2)/(22^2))+18*SIN(2*PI()*(Scenario_Data!T89)/70))+Inputs!$C$28*EXP(-(((Scenario_Data!T89)-Inputs!$C$29)^2)/(2*Inputs!$C$31^2))*EXP(-(((0)-Inputs!$C$30)^2)/(2*Inputs!$C$32^2))+-Inputs!$C$33*EXP(-(((((Scenario_Data!T89)-Inputs!$C$34)^2)+(((0)-Inputs!$C$35)^2))/(2*Inputs!$C$36^2)))+Inputs!$C$37*(0.55*SIN(2*PI()*(Scenario_Data!T89)/Inputs!$C$39)+0.35*COS(2*PI()*(0)/Inputs!$C$40)+0.2*SIN(2*PI()*((Scenario_Data!T89)+(0))/(0.5*(Inputs!$C$39+Inputs!$C$40))))+Inputs!$C$38*SIN(2*PI()*(Scenario_Data!T89)/Inputs!$C$39)*SIN(2*PI()*(0)/Inputs!$C$40)+-Inputs!$C$41*EXP(-(((0)-Inputs!$C$43)^2)/(2*Inputs!$C$44^2))*EXP(-(((Scenario_Data!T89)-Inputs!$C$42)^2)/(2*Inputs!$C$45^2))+Inputs!$C$48*(0.7*(0.45*SIN(2*PI()*(((Scenario_Data!T89)/Inputs!$C$49)+Inputs!$C$47*0.137))+0.35*COS(2*PI()*(((0)/Inputs!$C$50)+Inputs!$C$47*0.173))+0.2*SIN(2*PI()*((((Scenario_Data!T89)+(0))/(0.5*(Inputs!$C$49+Inputs!$C$50)))+Inputs!$C$47*0.097)))+0.3*(2*((SIN(((Scenario_Data!T89)*12.9898+(0)*78.233+Inputs!$C$47*37.719))*43758.5453)-INT((SIN(((Scenario_Data!T89)*12.9898+(0)*78.233+Inputs!$C$47*37.719))*43758.5453)))-1)))))/Inputs!$C$21*1000000</f>
        <v/>
      </c>
      <c r="Z89">
        <f>Scenario_Data!U89</f>
        <v/>
      </c>
      <c r="AA89">
        <f>2*((Scenario_Data!C89*1000)-(IF(OR(Inputs!$C$27=TRUE,Inputs!$C$27="TRUE",Inputs!$C$27=1),1,0)*(Inputs!$C$51*(115*EXP(-(((0)-25)^2)/(4.5^2))+70*EXP(-(((0)+38)^2)/(7^2))*(0.55+0.45*SIN(2*PI()*(Scenario_Data!U89)/45))+24*SIN(2*PI()*(0)/9+(Scenario_Data!U89)/18)*EXP(-(((0)+5)^2)/(22^2))+18*SIN(2*PI()*(Scenario_Data!U89)/70))+Inputs!$C$28*EXP(-(((Scenario_Data!U89)-Inputs!$C$29)^2)/(2*Inputs!$C$31^2))*EXP(-(((0)-Inputs!$C$30)^2)/(2*Inputs!$C$32^2))+-Inputs!$C$33*EXP(-(((((Scenario_Data!U89)-Inputs!$C$34)^2)+(((0)-Inputs!$C$35)^2))/(2*Inputs!$C$36^2)))+Inputs!$C$37*(0.55*SIN(2*PI()*(Scenario_Data!U89)/Inputs!$C$39)+0.35*COS(2*PI()*(0)/Inputs!$C$40)+0.2*SIN(2*PI()*((Scenario_Data!U89)+(0))/(0.5*(Inputs!$C$39+Inputs!$C$40))))+Inputs!$C$38*SIN(2*PI()*(Scenario_Data!U89)/Inputs!$C$39)*SIN(2*PI()*(0)/Inputs!$C$40)+-Inputs!$C$41*EXP(-(((0)-Inputs!$C$43)^2)/(2*Inputs!$C$44^2))*EXP(-(((Scenario_Data!U89)-Inputs!$C$42)^2)/(2*Inputs!$C$45^2))+Inputs!$C$48*(0.7*(0.45*SIN(2*PI()*(((Scenario_Data!U89)/Inputs!$C$49)+Inputs!$C$47*0.137))+0.35*COS(2*PI()*(((0)/Inputs!$C$50)+Inputs!$C$47*0.173))+0.2*SIN(2*PI()*((((Scenario_Data!U89)+(0))/(0.5*(Inputs!$C$49+Inputs!$C$50)))+Inputs!$C$47*0.097)))+0.3*(2*((SIN(((Scenario_Data!U89)*12.9898+(0)*78.233+Inputs!$C$47*37.719))*43758.5453)-INT((SIN(((Scenario_Data!U89)*12.9898+(0)*78.233+Inputs!$C$47*37.719))*43758.5453)))-1)))))/Inputs!$C$21*1000000</f>
        <v/>
      </c>
      <c r="AB89">
        <f>Scenario_Data!V89</f>
        <v/>
      </c>
      <c r="AC89">
        <f>2*((Scenario_Data!D89*1000)-(IF(OR(Inputs!$C$27=TRUE,Inputs!$C$27="TRUE",Inputs!$C$27=1),1,0)*(Inputs!$C$51*(115*EXP(-(((0)-25)^2)/(4.5^2))+70*EXP(-(((0)+38)^2)/(7^2))*(0.55+0.45*SIN(2*PI()*(Scenario_Data!V89)/45))+24*SIN(2*PI()*(0)/9+(Scenario_Data!V89)/18)*EXP(-(((0)+5)^2)/(22^2))+18*SIN(2*PI()*(Scenario_Data!V89)/70))+Inputs!$C$28*EXP(-(((Scenario_Data!V89)-Inputs!$C$29)^2)/(2*Inputs!$C$31^2))*EXP(-(((0)-Inputs!$C$30)^2)/(2*Inputs!$C$32^2))+-Inputs!$C$33*EXP(-(((((Scenario_Data!V89)-Inputs!$C$34)^2)+(((0)-Inputs!$C$35)^2))/(2*Inputs!$C$36^2)))+Inputs!$C$37*(0.55*SIN(2*PI()*(Scenario_Data!V89)/Inputs!$C$39)+0.35*COS(2*PI()*(0)/Inputs!$C$40)+0.2*SIN(2*PI()*((Scenario_Data!V89)+(0))/(0.5*(Inputs!$C$39+Inputs!$C$40))))+Inputs!$C$38*SIN(2*PI()*(Scenario_Data!V89)/Inputs!$C$39)*SIN(2*PI()*(0)/Inputs!$C$40)+-Inputs!$C$41*EXP(-(((0)-Inputs!$C$43)^2)/(2*Inputs!$C$44^2))*EXP(-(((Scenario_Data!V89)-Inputs!$C$42)^2)/(2*Inputs!$C$45^2))+Inputs!$C$48*(0.7*(0.45*SIN(2*PI()*(((Scenario_Data!V89)/Inputs!$C$49)+Inputs!$C$47*0.137))+0.35*COS(2*PI()*(((0)/Inputs!$C$50)+Inputs!$C$47*0.173))+0.2*SIN(2*PI()*((((Scenario_Data!V89)+(0))/(0.5*(Inputs!$C$49+Inputs!$C$50)))+Inputs!$C$47*0.097)))+0.3*(2*((SIN(((Scenario_Data!V89)*12.9898+(0)*78.233+Inputs!$C$47*37.719))*43758.5453)-INT((SIN(((Scenario_Data!V89)*12.9898+(0)*78.233+Inputs!$C$47*37.719))*43758.5453)))-1)))))/Inputs!$C$21*1000000</f>
        <v/>
      </c>
      <c r="AD89">
        <f>Scenario_Data!W89</f>
        <v/>
      </c>
      <c r="AE89">
        <f>2*((Scenario_Data!E89*1000)-(IF(OR(Inputs!$C$27=TRUE,Inputs!$C$27="TRUE",Inputs!$C$27=1),1,0)*(Inputs!$C$51*(115*EXP(-(((0)-25)^2)/(4.5^2))+70*EXP(-(((0)+38)^2)/(7^2))*(0.55+0.45*SIN(2*PI()*(Scenario_Data!W89)/45))+24*SIN(2*PI()*(0)/9+(Scenario_Data!W89)/18)*EXP(-(((0)+5)^2)/(22^2))+18*SIN(2*PI()*(Scenario_Data!W89)/70))+Inputs!$C$28*EXP(-(((Scenario_Data!W89)-Inputs!$C$29)^2)/(2*Inputs!$C$31^2))*EXP(-(((0)-Inputs!$C$30)^2)/(2*Inputs!$C$32^2))+-Inputs!$C$33*EXP(-(((((Scenario_Data!W89)-Inputs!$C$34)^2)+(((0)-Inputs!$C$35)^2))/(2*Inputs!$C$36^2)))+Inputs!$C$37*(0.55*SIN(2*PI()*(Scenario_Data!W89)/Inputs!$C$39)+0.35*COS(2*PI()*(0)/Inputs!$C$40)+0.2*SIN(2*PI()*((Scenario_Data!W89)+(0))/(0.5*(Inputs!$C$39+Inputs!$C$40))))+Inputs!$C$38*SIN(2*PI()*(Scenario_Data!W89)/Inputs!$C$39)*SIN(2*PI()*(0)/Inputs!$C$40)+-Inputs!$C$41*EXP(-(((0)-Inputs!$C$43)^2)/(2*Inputs!$C$44^2))*EXP(-(((Scenario_Data!W89)-Inputs!$C$42)^2)/(2*Inputs!$C$45^2))+Inputs!$C$48*(0.7*(0.45*SIN(2*PI()*(((Scenario_Data!W89)/Inputs!$C$49)+Inputs!$C$47*0.137))+0.35*COS(2*PI()*(((0)/Inputs!$C$50)+Inputs!$C$47*0.173))+0.2*SIN(2*PI()*((((Scenario_Data!W89)+(0))/(0.5*(Inputs!$C$49+Inputs!$C$50)))+Inputs!$C$47*0.097)))+0.3*(2*((SIN(((Scenario_Data!W89)*12.9898+(0)*78.233+Inputs!$C$47*37.719))*43758.5453)-INT((SIN(((Scenario_Data!W89)*12.9898+(0)*78.233+Inputs!$C$47*37.719))*43758.5453)))-1)))))/Inputs!$C$21*1000000</f>
        <v/>
      </c>
      <c r="AG89">
        <f>Scenario_Data!T89</f>
        <v/>
      </c>
      <c r="AH89">
        <f>2*(SQRT((Inputs!$C$52+(Scenario_Data!B89))^2+Inputs!$C$52^2-2*(Inputs!$C$52+(Scenario_Data!B89))*Inputs!$C$52*COS(SQRT((Scenario_Data!T89)^2+Inputs!$C$6^2)/Inputs!$C$52))*1000)/Inputs!$C$21*1000000</f>
        <v/>
      </c>
      <c r="AI89">
        <f>Scenario_Data!U89</f>
        <v/>
      </c>
      <c r="AJ89">
        <f>2*(SQRT((Inputs!$C$52+(Scenario_Data!C89))^2+Inputs!$C$52^2-2*(Inputs!$C$52+(Scenario_Data!C89))*Inputs!$C$52*COS(SQRT((Scenario_Data!U89)^2+Inputs!$C$6^2)/Inputs!$C$52))*1000)/Inputs!$C$21*1000000</f>
        <v/>
      </c>
      <c r="AK89">
        <f>Scenario_Data!V89</f>
        <v/>
      </c>
      <c r="AL89">
        <f>2*(SQRT((Inputs!$C$52+(Scenario_Data!D89))^2+Inputs!$C$52^2-2*(Inputs!$C$52+(Scenario_Data!D89))*Inputs!$C$52*COS(SQRT((Scenario_Data!V89)^2+Inputs!$C$6^2)/Inputs!$C$52))*1000)/Inputs!$C$21*1000000</f>
        <v/>
      </c>
      <c r="AM89">
        <f>Scenario_Data!W89</f>
        <v/>
      </c>
      <c r="AN89">
        <f>2*(SQRT((Inputs!$C$52+(Scenario_Data!E89))^2+Inputs!$C$52^2-2*(Inputs!$C$52+(Scenario_Data!E89))*Inputs!$C$52*COS(SQRT((Scenario_Data!W89)^2+Inputs!$C$6^2)/Inputs!$C$52))*1000)/Inputs!$C$21*1000000</f>
        <v/>
      </c>
      <c r="AP89">
        <f>Scenario_Data!T89</f>
        <v/>
      </c>
      <c r="AQ89">
        <f>2*(SQRT((Inputs!$C$52+(Scenario_Data!B89))^2+(Inputs!$C$52+((IF(OR(Inputs!$C$27=TRUE,Inputs!$C$27="TRUE",Inputs!$C$27=1),1,0)*(Inputs!$C$51*(115*EXP(-(((Inputs!$C$6)-25)^2)/(4.5^2))+70*EXP(-(((Inputs!$C$6)+38)^2)/(7^2))*(0.55+0.45*SIN(2*PI()*(Scenario_Data!T89)/45))+24*SIN(2*PI()*(Inputs!$C$6)/9+(Scenario_Data!T89)/18)*EXP(-(((Inputs!$C$6)+5)^2)/(22^2))+18*SIN(2*PI()*(Scenario_Data!T89)/70))+Inputs!$C$28*EXP(-(((Scenario_Data!T89)-Inputs!$C$29)^2)/(2*Inputs!$C$31^2))*EXP(-(((Inputs!$C$6)-Inputs!$C$30)^2)/(2*Inputs!$C$32^2))+-Inputs!$C$33*EXP(-(((((Scenario_Data!T89)-Inputs!$C$34)^2)+(((Inputs!$C$6)-Inputs!$C$35)^2))/(2*Inputs!$C$36^2)))+Inputs!$C$37*(0.55*SIN(2*PI()*(Scenario_Data!T89)/Inputs!$C$39)+0.35*COS(2*PI()*(Inputs!$C$6)/Inputs!$C$40)+0.2*SIN(2*PI()*((Scenario_Data!T89)+(Inputs!$C$6))/(0.5*(Inputs!$C$39+Inputs!$C$40))))+Inputs!$C$38*SIN(2*PI()*(Scenario_Data!T89)/Inputs!$C$39)*SIN(2*PI()*(Inputs!$C$6)/Inputs!$C$40)+-Inputs!$C$41*EXP(-(((Inputs!$C$6)-Inputs!$C$43)^2)/(2*Inputs!$C$44^2))*EXP(-(((Scenario_Data!T89)-Inputs!$C$42)^2)/(2*Inputs!$C$45^2))+Inputs!$C$48*(0.7*(0.45*SIN(2*PI()*(((Scenario_Data!T89)/Inputs!$C$49)+Inputs!$C$47*0.137))+0.35*COS(2*PI()*(((Inputs!$C$6)/Inputs!$C$50)+Inputs!$C$47*0.173))+0.2*SIN(2*PI()*((((Scenario_Data!T89)+(Inputs!$C$6))/(0.5*(Inputs!$C$49+Inputs!$C$50)))+Inputs!$C$47*0.097)))+0.3*(2*((SIN(((Scenario_Data!T89)*12.9898+(Inputs!$C$6)*78.233+Inputs!$C$47*37.719))*43758.5453)-INT((SIN(((Scenario_Data!T89)*12.9898+(Inputs!$C$6)*78.233+Inputs!$C$47*37.719))*43758.5453)))-1))))/1000))^2-2*(Inputs!$C$52+(Scenario_Data!B89))*(Inputs!$C$52+((IF(OR(Inputs!$C$27=TRUE,Inputs!$C$27="TRUE",Inputs!$C$27=1),1,0)*(Inputs!$C$51*(115*EXP(-(((Inputs!$C$6)-25)^2)/(4.5^2))+70*EXP(-(((Inputs!$C$6)+38)^2)/(7^2))*(0.55+0.45*SIN(2*PI()*(Scenario_Data!T89)/45))+24*SIN(2*PI()*(Inputs!$C$6)/9+(Scenario_Data!T89)/18)*EXP(-(((Inputs!$C$6)+5)^2)/(22^2))+18*SIN(2*PI()*(Scenario_Data!T89)/70))+Inputs!$C$28*EXP(-(((Scenario_Data!T89)-Inputs!$C$29)^2)/(2*Inputs!$C$31^2))*EXP(-(((Inputs!$C$6)-Inputs!$C$30)^2)/(2*Inputs!$C$32^2))+-Inputs!$C$33*EXP(-(((((Scenario_Data!T89)-Inputs!$C$34)^2)+(((Inputs!$C$6)-Inputs!$C$35)^2))/(2*Inputs!$C$36^2)))+Inputs!$C$37*(0.55*SIN(2*PI()*(Scenario_Data!T89)/Inputs!$C$39)+0.35*COS(2*PI()*(Inputs!$C$6)/Inputs!$C$40)+0.2*SIN(2*PI()*((Scenario_Data!T89)+(Inputs!$C$6))/(0.5*(Inputs!$C$39+Inputs!$C$40))))+Inputs!$C$38*SIN(2*PI()*(Scenario_Data!T89)/Inputs!$C$39)*SIN(2*PI()*(Inputs!$C$6)/Inputs!$C$40)+-Inputs!$C$41*EXP(-(((Inputs!$C$6)-Inputs!$C$43)^2)/(2*Inputs!$C$44^2))*EXP(-(((Scenario_Data!T89)-Inputs!$C$42)^2)/(2*Inputs!$C$45^2))+Inputs!$C$48*(0.7*(0.45*SIN(2*PI()*(((Scenario_Data!T89)/Inputs!$C$49)+Inputs!$C$47*0.137))+0.35*COS(2*PI()*(((Inputs!$C$6)/Inputs!$C$50)+Inputs!$C$47*0.173))+0.2*SIN(2*PI()*((((Scenario_Data!T89)+(Inputs!$C$6))/(0.5*(Inputs!$C$49+Inputs!$C$50)))+Inputs!$C$47*0.097)))+0.3*(2*((SIN(((Scenario_Data!T89)*12.9898+(Inputs!$C$6)*78.233+Inputs!$C$47*37.719))*43758.5453)-INT((SIN(((Scenario_Data!T89)*12.9898+(Inputs!$C$6)*78.233+Inputs!$C$47*37.719))*43758.5453)))-1))))/1000))*COS(SQRT((Scenario_Data!T89)^2+Inputs!$C$6^2)/Inputs!$C$52))*1000)/Inputs!$C$21*1000000</f>
        <v/>
      </c>
      <c r="AR89">
        <f>Scenario_Data!U89</f>
        <v/>
      </c>
      <c r="AS89">
        <f>2*(SQRT((Inputs!$C$52+(Scenario_Data!C89))^2+(Inputs!$C$52+((IF(OR(Inputs!$C$27=TRUE,Inputs!$C$27="TRUE",Inputs!$C$27=1),1,0)*(Inputs!$C$51*(115*EXP(-(((Inputs!$C$6)-25)^2)/(4.5^2))+70*EXP(-(((Inputs!$C$6)+38)^2)/(7^2))*(0.55+0.45*SIN(2*PI()*(Scenario_Data!U89)/45))+24*SIN(2*PI()*(Inputs!$C$6)/9+(Scenario_Data!U89)/18)*EXP(-(((Inputs!$C$6)+5)^2)/(22^2))+18*SIN(2*PI()*(Scenario_Data!U89)/70))+Inputs!$C$28*EXP(-(((Scenario_Data!U89)-Inputs!$C$29)^2)/(2*Inputs!$C$31^2))*EXP(-(((Inputs!$C$6)-Inputs!$C$30)^2)/(2*Inputs!$C$32^2))+-Inputs!$C$33*EXP(-(((((Scenario_Data!U89)-Inputs!$C$34)^2)+(((Inputs!$C$6)-Inputs!$C$35)^2))/(2*Inputs!$C$36^2)))+Inputs!$C$37*(0.55*SIN(2*PI()*(Scenario_Data!U89)/Inputs!$C$39)+0.35*COS(2*PI()*(Inputs!$C$6)/Inputs!$C$40)+0.2*SIN(2*PI()*((Scenario_Data!U89)+(Inputs!$C$6))/(0.5*(Inputs!$C$39+Inputs!$C$40))))+Inputs!$C$38*SIN(2*PI()*(Scenario_Data!U89)/Inputs!$C$39)*SIN(2*PI()*(Inputs!$C$6)/Inputs!$C$40)+-Inputs!$C$41*EXP(-(((Inputs!$C$6)-Inputs!$C$43)^2)/(2*Inputs!$C$44^2))*EXP(-(((Scenario_Data!U89)-Inputs!$C$42)^2)/(2*Inputs!$C$45^2))+Inputs!$C$48*(0.7*(0.45*SIN(2*PI()*(((Scenario_Data!U89)/Inputs!$C$49)+Inputs!$C$47*0.137))+0.35*COS(2*PI()*(((Inputs!$C$6)/Inputs!$C$50)+Inputs!$C$47*0.173))+0.2*SIN(2*PI()*((((Scenario_Data!U89)+(Inputs!$C$6))/(0.5*(Inputs!$C$49+Inputs!$C$50)))+Inputs!$C$47*0.097)))+0.3*(2*((SIN(((Scenario_Data!U89)*12.9898+(Inputs!$C$6)*78.233+Inputs!$C$47*37.719))*43758.5453)-INT((SIN(((Scenario_Data!U89)*12.9898+(Inputs!$C$6)*78.233+Inputs!$C$47*37.719))*43758.5453)))-1))))/1000))^2-2*(Inputs!$C$52+(Scenario_Data!C89))*(Inputs!$C$52+((IF(OR(Inputs!$C$27=TRUE,Inputs!$C$27="TRUE",Inputs!$C$27=1),1,0)*(Inputs!$C$51*(115*EXP(-(((Inputs!$C$6)-25)^2)/(4.5^2))+70*EXP(-(((Inputs!$C$6)+38)^2)/(7^2))*(0.55+0.45*SIN(2*PI()*(Scenario_Data!U89)/45))+24*SIN(2*PI()*(Inputs!$C$6)/9+(Scenario_Data!U89)/18)*EXP(-(((Inputs!$C$6)+5)^2)/(22^2))+18*SIN(2*PI()*(Scenario_Data!U89)/70))+Inputs!$C$28*EXP(-(((Scenario_Data!U89)-Inputs!$C$29)^2)/(2*Inputs!$C$31^2))*EXP(-(((Inputs!$C$6)-Inputs!$C$30)^2)/(2*Inputs!$C$32^2))+-Inputs!$C$33*EXP(-(((((Scenario_Data!U89)-Inputs!$C$34)^2)+(((Inputs!$C$6)-Inputs!$C$35)^2))/(2*Inputs!$C$36^2)))+Inputs!$C$37*(0.55*SIN(2*PI()*(Scenario_Data!U89)/Inputs!$C$39)+0.35*COS(2*PI()*(Inputs!$C$6)/Inputs!$C$40)+0.2*SIN(2*PI()*((Scenario_Data!U89)+(Inputs!$C$6))/(0.5*(Inputs!$C$39+Inputs!$C$40))))+Inputs!$C$38*SIN(2*PI()*(Scenario_Data!U89)/Inputs!$C$39)*SIN(2*PI()*(Inputs!$C$6)/Inputs!$C$40)+-Inputs!$C$41*EXP(-(((Inputs!$C$6)-Inputs!$C$43)^2)/(2*Inputs!$C$44^2))*EXP(-(((Scenario_Data!U89)-Inputs!$C$42)^2)/(2*Inputs!$C$45^2))+Inputs!$C$48*(0.7*(0.45*SIN(2*PI()*(((Scenario_Data!U89)/Inputs!$C$49)+Inputs!$C$47*0.137))+0.35*COS(2*PI()*(((Inputs!$C$6)/Inputs!$C$50)+Inputs!$C$47*0.173))+0.2*SIN(2*PI()*((((Scenario_Data!U89)+(Inputs!$C$6))/(0.5*(Inputs!$C$49+Inputs!$C$50)))+Inputs!$C$47*0.097)))+0.3*(2*((SIN(((Scenario_Data!U89)*12.9898+(Inputs!$C$6)*78.233+Inputs!$C$47*37.719))*43758.5453)-INT((SIN(((Scenario_Data!U89)*12.9898+(Inputs!$C$6)*78.233+Inputs!$C$47*37.719))*43758.5453)))-1))))/1000))*COS(SQRT((Scenario_Data!U89)^2+Inputs!$C$6^2)/Inputs!$C$52))*1000)/Inputs!$C$21*1000000</f>
        <v/>
      </c>
      <c r="AT89">
        <f>Scenario_Data!V89</f>
        <v/>
      </c>
      <c r="AU89">
        <f>2*(SQRT((Inputs!$C$52+(Scenario_Data!D89))^2+(Inputs!$C$52+((IF(OR(Inputs!$C$27=TRUE,Inputs!$C$27="TRUE",Inputs!$C$27=1),1,0)*(Inputs!$C$51*(115*EXP(-(((Inputs!$C$6)-25)^2)/(4.5^2))+70*EXP(-(((Inputs!$C$6)+38)^2)/(7^2))*(0.55+0.45*SIN(2*PI()*(Scenario_Data!V89)/45))+24*SIN(2*PI()*(Inputs!$C$6)/9+(Scenario_Data!V89)/18)*EXP(-(((Inputs!$C$6)+5)^2)/(22^2))+18*SIN(2*PI()*(Scenario_Data!V89)/70))+Inputs!$C$28*EXP(-(((Scenario_Data!V89)-Inputs!$C$29)^2)/(2*Inputs!$C$31^2))*EXP(-(((Inputs!$C$6)-Inputs!$C$30)^2)/(2*Inputs!$C$32^2))+-Inputs!$C$33*EXP(-(((((Scenario_Data!V89)-Inputs!$C$34)^2)+(((Inputs!$C$6)-Inputs!$C$35)^2))/(2*Inputs!$C$36^2)))+Inputs!$C$37*(0.55*SIN(2*PI()*(Scenario_Data!V89)/Inputs!$C$39)+0.35*COS(2*PI()*(Inputs!$C$6)/Inputs!$C$40)+0.2*SIN(2*PI()*((Scenario_Data!V89)+(Inputs!$C$6))/(0.5*(Inputs!$C$39+Inputs!$C$40))))+Inputs!$C$38*SIN(2*PI()*(Scenario_Data!V89)/Inputs!$C$39)*SIN(2*PI()*(Inputs!$C$6)/Inputs!$C$40)+-Inputs!$C$41*EXP(-(((Inputs!$C$6)-Inputs!$C$43)^2)/(2*Inputs!$C$44^2))*EXP(-(((Scenario_Data!V89)-Inputs!$C$42)^2)/(2*Inputs!$C$45^2))+Inputs!$C$48*(0.7*(0.45*SIN(2*PI()*(((Scenario_Data!V89)/Inputs!$C$49)+Inputs!$C$47*0.137))+0.35*COS(2*PI()*(((Inputs!$C$6)/Inputs!$C$50)+Inputs!$C$47*0.173))+0.2*SIN(2*PI()*((((Scenario_Data!V89)+(Inputs!$C$6))/(0.5*(Inputs!$C$49+Inputs!$C$50)))+Inputs!$C$47*0.097)))+0.3*(2*((SIN(((Scenario_Data!V89)*12.9898+(Inputs!$C$6)*78.233+Inputs!$C$47*37.719))*43758.5453)-INT((SIN(((Scenario_Data!V89)*12.9898+(Inputs!$C$6)*78.233+Inputs!$C$47*37.719))*43758.5453)))-1))))/1000))^2-2*(Inputs!$C$52+(Scenario_Data!D89))*(Inputs!$C$52+((IF(OR(Inputs!$C$27=TRUE,Inputs!$C$27="TRUE",Inputs!$C$27=1),1,0)*(Inputs!$C$51*(115*EXP(-(((Inputs!$C$6)-25)^2)/(4.5^2))+70*EXP(-(((Inputs!$C$6)+38)^2)/(7^2))*(0.55+0.45*SIN(2*PI()*(Scenario_Data!V89)/45))+24*SIN(2*PI()*(Inputs!$C$6)/9+(Scenario_Data!V89)/18)*EXP(-(((Inputs!$C$6)+5)^2)/(22^2))+18*SIN(2*PI()*(Scenario_Data!V89)/70))+Inputs!$C$28*EXP(-(((Scenario_Data!V89)-Inputs!$C$29)^2)/(2*Inputs!$C$31^2))*EXP(-(((Inputs!$C$6)-Inputs!$C$30)^2)/(2*Inputs!$C$32^2))+-Inputs!$C$33*EXP(-(((((Scenario_Data!V89)-Inputs!$C$34)^2)+(((Inputs!$C$6)-Inputs!$C$35)^2))/(2*Inputs!$C$36^2)))+Inputs!$C$37*(0.55*SIN(2*PI()*(Scenario_Data!V89)/Inputs!$C$39)+0.35*COS(2*PI()*(Inputs!$C$6)/Inputs!$C$40)+0.2*SIN(2*PI()*((Scenario_Data!V89)+(Inputs!$C$6))/(0.5*(Inputs!$C$39+Inputs!$C$40))))+Inputs!$C$38*SIN(2*PI()*(Scenario_Data!V89)/Inputs!$C$39)*SIN(2*PI()*(Inputs!$C$6)/Inputs!$C$40)+-Inputs!$C$41*EXP(-(((Inputs!$C$6)-Inputs!$C$43)^2)/(2*Inputs!$C$44^2))*EXP(-(((Scenario_Data!V89)-Inputs!$C$42)^2)/(2*Inputs!$C$45^2))+Inputs!$C$48*(0.7*(0.45*SIN(2*PI()*(((Scenario_Data!V89)/Inputs!$C$49)+Inputs!$C$47*0.137))+0.35*COS(2*PI()*(((Inputs!$C$6)/Inputs!$C$50)+Inputs!$C$47*0.173))+0.2*SIN(2*PI()*((((Scenario_Data!V89)+(Inputs!$C$6))/(0.5*(Inputs!$C$49+Inputs!$C$50)))+Inputs!$C$47*0.097)))+0.3*(2*((SIN(((Scenario_Data!V89)*12.9898+(Inputs!$C$6)*78.233+Inputs!$C$47*37.719))*43758.5453)-INT((SIN(((Scenario_Data!V89)*12.9898+(Inputs!$C$6)*78.233+Inputs!$C$47*37.719))*43758.5453)))-1))))/1000))*COS(SQRT((Scenario_Data!V89)^2+Inputs!$C$6^2)/Inputs!$C$52))*1000)/Inputs!$C$21*1000000</f>
        <v/>
      </c>
      <c r="AV89">
        <f>Scenario_Data!W89</f>
        <v/>
      </c>
      <c r="AW89">
        <f>2*(SQRT((Inputs!$C$52+(Scenario_Data!E89))^2+(Inputs!$C$52+((IF(OR(Inputs!$C$27=TRUE,Inputs!$C$27="TRUE",Inputs!$C$27=1),1,0)*(Inputs!$C$51*(115*EXP(-(((Inputs!$C$6)-25)^2)/(4.5^2))+70*EXP(-(((Inputs!$C$6)+38)^2)/(7^2))*(0.55+0.45*SIN(2*PI()*(Scenario_Data!W89)/45))+24*SIN(2*PI()*(Inputs!$C$6)/9+(Scenario_Data!W89)/18)*EXP(-(((Inputs!$C$6)+5)^2)/(22^2))+18*SIN(2*PI()*(Scenario_Data!W89)/70))+Inputs!$C$28*EXP(-(((Scenario_Data!W89)-Inputs!$C$29)^2)/(2*Inputs!$C$31^2))*EXP(-(((Inputs!$C$6)-Inputs!$C$30)^2)/(2*Inputs!$C$32^2))+-Inputs!$C$33*EXP(-(((((Scenario_Data!W89)-Inputs!$C$34)^2)+(((Inputs!$C$6)-Inputs!$C$35)^2))/(2*Inputs!$C$36^2)))+Inputs!$C$37*(0.55*SIN(2*PI()*(Scenario_Data!W89)/Inputs!$C$39)+0.35*COS(2*PI()*(Inputs!$C$6)/Inputs!$C$40)+0.2*SIN(2*PI()*((Scenario_Data!W89)+(Inputs!$C$6))/(0.5*(Inputs!$C$39+Inputs!$C$40))))+Inputs!$C$38*SIN(2*PI()*(Scenario_Data!W89)/Inputs!$C$39)*SIN(2*PI()*(Inputs!$C$6)/Inputs!$C$40)+-Inputs!$C$41*EXP(-(((Inputs!$C$6)-Inputs!$C$43)^2)/(2*Inputs!$C$44^2))*EXP(-(((Scenario_Data!W89)-Inputs!$C$42)^2)/(2*Inputs!$C$45^2))+Inputs!$C$48*(0.7*(0.45*SIN(2*PI()*(((Scenario_Data!W89)/Inputs!$C$49)+Inputs!$C$47*0.137))+0.35*COS(2*PI()*(((Inputs!$C$6)/Inputs!$C$50)+Inputs!$C$47*0.173))+0.2*SIN(2*PI()*((((Scenario_Data!W89)+(Inputs!$C$6))/(0.5*(Inputs!$C$49+Inputs!$C$50)))+Inputs!$C$47*0.097)))+0.3*(2*((SIN(((Scenario_Data!W89)*12.9898+(Inputs!$C$6)*78.233+Inputs!$C$47*37.719))*43758.5453)-INT((SIN(((Scenario_Data!W89)*12.9898+(Inputs!$C$6)*78.233+Inputs!$C$47*37.719))*43758.5453)))-1))))/1000))^2-2*(Inputs!$C$52+(Scenario_Data!E89))*(Inputs!$C$52+((IF(OR(Inputs!$C$27=TRUE,Inputs!$C$27="TRUE",Inputs!$C$27=1),1,0)*(Inputs!$C$51*(115*EXP(-(((Inputs!$C$6)-25)^2)/(4.5^2))+70*EXP(-(((Inputs!$C$6)+38)^2)/(7^2))*(0.55+0.45*SIN(2*PI()*(Scenario_Data!W89)/45))+24*SIN(2*PI()*(Inputs!$C$6)/9+(Scenario_Data!W89)/18)*EXP(-(((Inputs!$C$6)+5)^2)/(22^2))+18*SIN(2*PI()*(Scenario_Data!W89)/70))+Inputs!$C$28*EXP(-(((Scenario_Data!W89)-Inputs!$C$29)^2)/(2*Inputs!$C$31^2))*EXP(-(((Inputs!$C$6)-Inputs!$C$30)^2)/(2*Inputs!$C$32^2))+-Inputs!$C$33*EXP(-(((((Scenario_Data!W89)-Inputs!$C$34)^2)+(((Inputs!$C$6)-Inputs!$C$35)^2))/(2*Inputs!$C$36^2)))+Inputs!$C$37*(0.55*SIN(2*PI()*(Scenario_Data!W89)/Inputs!$C$39)+0.35*COS(2*PI()*(Inputs!$C$6)/Inputs!$C$40)+0.2*SIN(2*PI()*((Scenario_Data!W89)+(Inputs!$C$6))/(0.5*(Inputs!$C$39+Inputs!$C$40))))+Inputs!$C$38*SIN(2*PI()*(Scenario_Data!W89)/Inputs!$C$39)*SIN(2*PI()*(Inputs!$C$6)/Inputs!$C$40)+-Inputs!$C$41*EXP(-(((Inputs!$C$6)-Inputs!$C$43)^2)/(2*Inputs!$C$44^2))*EXP(-(((Scenario_Data!W89)-Inputs!$C$42)^2)/(2*Inputs!$C$45^2))+Inputs!$C$48*(0.7*(0.45*SIN(2*PI()*(((Scenario_Data!W89)/Inputs!$C$49)+Inputs!$C$47*0.137))+0.35*COS(2*PI()*(((Inputs!$C$6)/Inputs!$C$50)+Inputs!$C$47*0.173))+0.2*SIN(2*PI()*((((Scenario_Data!W89)+(Inputs!$C$6))/(0.5*(Inputs!$C$49+Inputs!$C$50)))+Inputs!$C$47*0.097)))+0.3*(2*((SIN(((Scenario_Data!W89)*12.9898+(Inputs!$C$6)*78.233+Inputs!$C$47*37.719))*43758.5453)-INT((SIN(((Scenario_Data!W89)*12.9898+(Inputs!$C$6)*78.233+Inputs!$C$47*37.719))*43758.5453)))-1))))/1000))*COS(SQRT((Scenario_Data!W89)^2+Inputs!$C$6^2)/Inputs!$C$52))*1000)/Inputs!$C$21*1000000</f>
        <v/>
      </c>
    </row>
    <row r="90">
      <c r="A90">
        <f>Chart_Data!K90</f>
        <v/>
      </c>
      <c r="B90">
        <f>Chart_Data!N90-Chart_Data!L90</f>
        <v/>
      </c>
      <c r="D90">
        <f>Chart_Data!G90</f>
        <v/>
      </c>
      <c r="E90">
        <f>Chart_Data!H90</f>
        <v/>
      </c>
      <c r="F90">
        <f>Chart_Data!I90</f>
        <v/>
      </c>
      <c r="G90">
        <f>Chart_Data!J90</f>
        <v/>
      </c>
      <c r="I90">
        <f>Scenario_Data!A90</f>
        <v/>
      </c>
      <c r="J90">
        <f>Scenario_Data!H90-(((SQRT((Inputs!$C$52+(Inputs!$H$6))^2+Inputs!$C$52^2-2*(Inputs!$C$52+(Inputs!$H$6))*Inputs!$C$52*COS(SQRT((Scenario_Data!T90)^2+Inputs!$C$6^2)/Inputs!$C$52)))-(Inputs!$H$6))*1000/Inputs!$C$12)</f>
        <v/>
      </c>
      <c r="K90">
        <f>Scenario_Data!I90-(((SQRT((Inputs!$C$52+(Inputs!$H$7))^2+Inputs!$C$52^2-2*(Inputs!$C$52+(Inputs!$H$7))*Inputs!$C$52*COS(SQRT((Scenario_Data!U90)^2+Inputs!$C$6^2)/Inputs!$C$52)))-(Inputs!$H$7))*1000/Inputs!$C$12)</f>
        <v/>
      </c>
      <c r="L90">
        <f>Scenario_Data!J90-(((SQRT((Inputs!$C$52+(Inputs!$H$8))^2+Inputs!$C$52^2-2*(Inputs!$C$52+(Inputs!$H$8))*Inputs!$C$52*COS(SQRT((Scenario_Data!V90)^2+Inputs!$C$6^2)/Inputs!$C$52)))-(Inputs!$H$8))*1000/Inputs!$C$12)</f>
        <v/>
      </c>
      <c r="M90">
        <f>Scenario_Data!K90-(((SQRT((Inputs!$C$52+(Inputs!$H$9))^2+Inputs!$C$52^2-2*(Inputs!$C$52+(Inputs!$H$9))*Inputs!$C$52*COS(SQRT((Scenario_Data!W90)^2+Inputs!$C$6^2)/Inputs!$C$52)))-(Inputs!$H$9))*1000/Inputs!$C$12)</f>
        <v/>
      </c>
      <c r="O90">
        <f>Scenario_Data!T90</f>
        <v/>
      </c>
      <c r="P90">
        <f>2*(Scenario_Data!B90*1000)/Inputs!$C$21*1000000</f>
        <v/>
      </c>
      <c r="Q90">
        <f>Scenario_Data!U90</f>
        <v/>
      </c>
      <c r="R90">
        <f>2*(Scenario_Data!C90*1000)/Inputs!$C$21*1000000</f>
        <v/>
      </c>
      <c r="S90">
        <f>Scenario_Data!V90</f>
        <v/>
      </c>
      <c r="T90">
        <f>2*(Scenario_Data!D90*1000)/Inputs!$C$21*1000000</f>
        <v/>
      </c>
      <c r="U90">
        <f>Scenario_Data!W90</f>
        <v/>
      </c>
      <c r="V90">
        <f>2*(Scenario_Data!E90*1000)/Inputs!$C$21*1000000</f>
        <v/>
      </c>
      <c r="X90">
        <f>Scenario_Data!T90</f>
        <v/>
      </c>
      <c r="Y90">
        <f>2*((Scenario_Data!B90*1000)-(IF(OR(Inputs!$C$27=TRUE,Inputs!$C$27="TRUE",Inputs!$C$27=1),1,0)*(Inputs!$C$51*(115*EXP(-(((0)-25)^2)/(4.5^2))+70*EXP(-(((0)+38)^2)/(7^2))*(0.55+0.45*SIN(2*PI()*(Scenario_Data!T90)/45))+24*SIN(2*PI()*(0)/9+(Scenario_Data!T90)/18)*EXP(-(((0)+5)^2)/(22^2))+18*SIN(2*PI()*(Scenario_Data!T90)/70))+Inputs!$C$28*EXP(-(((Scenario_Data!T90)-Inputs!$C$29)^2)/(2*Inputs!$C$31^2))*EXP(-(((0)-Inputs!$C$30)^2)/(2*Inputs!$C$32^2))+-Inputs!$C$33*EXP(-(((((Scenario_Data!T90)-Inputs!$C$34)^2)+(((0)-Inputs!$C$35)^2))/(2*Inputs!$C$36^2)))+Inputs!$C$37*(0.55*SIN(2*PI()*(Scenario_Data!T90)/Inputs!$C$39)+0.35*COS(2*PI()*(0)/Inputs!$C$40)+0.2*SIN(2*PI()*((Scenario_Data!T90)+(0))/(0.5*(Inputs!$C$39+Inputs!$C$40))))+Inputs!$C$38*SIN(2*PI()*(Scenario_Data!T90)/Inputs!$C$39)*SIN(2*PI()*(0)/Inputs!$C$40)+-Inputs!$C$41*EXP(-(((0)-Inputs!$C$43)^2)/(2*Inputs!$C$44^2))*EXP(-(((Scenario_Data!T90)-Inputs!$C$42)^2)/(2*Inputs!$C$45^2))+Inputs!$C$48*(0.7*(0.45*SIN(2*PI()*(((Scenario_Data!T90)/Inputs!$C$49)+Inputs!$C$47*0.137))+0.35*COS(2*PI()*(((0)/Inputs!$C$50)+Inputs!$C$47*0.173))+0.2*SIN(2*PI()*((((Scenario_Data!T90)+(0))/(0.5*(Inputs!$C$49+Inputs!$C$50)))+Inputs!$C$47*0.097)))+0.3*(2*((SIN(((Scenario_Data!T90)*12.9898+(0)*78.233+Inputs!$C$47*37.719))*43758.5453)-INT((SIN(((Scenario_Data!T90)*12.9898+(0)*78.233+Inputs!$C$47*37.719))*43758.5453)))-1)))))/Inputs!$C$21*1000000</f>
        <v/>
      </c>
      <c r="Z90">
        <f>Scenario_Data!U90</f>
        <v/>
      </c>
      <c r="AA90">
        <f>2*((Scenario_Data!C90*1000)-(IF(OR(Inputs!$C$27=TRUE,Inputs!$C$27="TRUE",Inputs!$C$27=1),1,0)*(Inputs!$C$51*(115*EXP(-(((0)-25)^2)/(4.5^2))+70*EXP(-(((0)+38)^2)/(7^2))*(0.55+0.45*SIN(2*PI()*(Scenario_Data!U90)/45))+24*SIN(2*PI()*(0)/9+(Scenario_Data!U90)/18)*EXP(-(((0)+5)^2)/(22^2))+18*SIN(2*PI()*(Scenario_Data!U90)/70))+Inputs!$C$28*EXP(-(((Scenario_Data!U90)-Inputs!$C$29)^2)/(2*Inputs!$C$31^2))*EXP(-(((0)-Inputs!$C$30)^2)/(2*Inputs!$C$32^2))+-Inputs!$C$33*EXP(-(((((Scenario_Data!U90)-Inputs!$C$34)^2)+(((0)-Inputs!$C$35)^2))/(2*Inputs!$C$36^2)))+Inputs!$C$37*(0.55*SIN(2*PI()*(Scenario_Data!U90)/Inputs!$C$39)+0.35*COS(2*PI()*(0)/Inputs!$C$40)+0.2*SIN(2*PI()*((Scenario_Data!U90)+(0))/(0.5*(Inputs!$C$39+Inputs!$C$40))))+Inputs!$C$38*SIN(2*PI()*(Scenario_Data!U90)/Inputs!$C$39)*SIN(2*PI()*(0)/Inputs!$C$40)+-Inputs!$C$41*EXP(-(((0)-Inputs!$C$43)^2)/(2*Inputs!$C$44^2))*EXP(-(((Scenario_Data!U90)-Inputs!$C$42)^2)/(2*Inputs!$C$45^2))+Inputs!$C$48*(0.7*(0.45*SIN(2*PI()*(((Scenario_Data!U90)/Inputs!$C$49)+Inputs!$C$47*0.137))+0.35*COS(2*PI()*(((0)/Inputs!$C$50)+Inputs!$C$47*0.173))+0.2*SIN(2*PI()*((((Scenario_Data!U90)+(0))/(0.5*(Inputs!$C$49+Inputs!$C$50)))+Inputs!$C$47*0.097)))+0.3*(2*((SIN(((Scenario_Data!U90)*12.9898+(0)*78.233+Inputs!$C$47*37.719))*43758.5453)-INT((SIN(((Scenario_Data!U90)*12.9898+(0)*78.233+Inputs!$C$47*37.719))*43758.5453)))-1)))))/Inputs!$C$21*1000000</f>
        <v/>
      </c>
      <c r="AB90">
        <f>Scenario_Data!V90</f>
        <v/>
      </c>
      <c r="AC90">
        <f>2*((Scenario_Data!D90*1000)-(IF(OR(Inputs!$C$27=TRUE,Inputs!$C$27="TRUE",Inputs!$C$27=1),1,0)*(Inputs!$C$51*(115*EXP(-(((0)-25)^2)/(4.5^2))+70*EXP(-(((0)+38)^2)/(7^2))*(0.55+0.45*SIN(2*PI()*(Scenario_Data!V90)/45))+24*SIN(2*PI()*(0)/9+(Scenario_Data!V90)/18)*EXP(-(((0)+5)^2)/(22^2))+18*SIN(2*PI()*(Scenario_Data!V90)/70))+Inputs!$C$28*EXP(-(((Scenario_Data!V90)-Inputs!$C$29)^2)/(2*Inputs!$C$31^2))*EXP(-(((0)-Inputs!$C$30)^2)/(2*Inputs!$C$32^2))+-Inputs!$C$33*EXP(-(((((Scenario_Data!V90)-Inputs!$C$34)^2)+(((0)-Inputs!$C$35)^2))/(2*Inputs!$C$36^2)))+Inputs!$C$37*(0.55*SIN(2*PI()*(Scenario_Data!V90)/Inputs!$C$39)+0.35*COS(2*PI()*(0)/Inputs!$C$40)+0.2*SIN(2*PI()*((Scenario_Data!V90)+(0))/(0.5*(Inputs!$C$39+Inputs!$C$40))))+Inputs!$C$38*SIN(2*PI()*(Scenario_Data!V90)/Inputs!$C$39)*SIN(2*PI()*(0)/Inputs!$C$40)+-Inputs!$C$41*EXP(-(((0)-Inputs!$C$43)^2)/(2*Inputs!$C$44^2))*EXP(-(((Scenario_Data!V90)-Inputs!$C$42)^2)/(2*Inputs!$C$45^2))+Inputs!$C$48*(0.7*(0.45*SIN(2*PI()*(((Scenario_Data!V90)/Inputs!$C$49)+Inputs!$C$47*0.137))+0.35*COS(2*PI()*(((0)/Inputs!$C$50)+Inputs!$C$47*0.173))+0.2*SIN(2*PI()*((((Scenario_Data!V90)+(0))/(0.5*(Inputs!$C$49+Inputs!$C$50)))+Inputs!$C$47*0.097)))+0.3*(2*((SIN(((Scenario_Data!V90)*12.9898+(0)*78.233+Inputs!$C$47*37.719))*43758.5453)-INT((SIN(((Scenario_Data!V90)*12.9898+(0)*78.233+Inputs!$C$47*37.719))*43758.5453)))-1)))))/Inputs!$C$21*1000000</f>
        <v/>
      </c>
      <c r="AD90">
        <f>Scenario_Data!W90</f>
        <v/>
      </c>
      <c r="AE90">
        <f>2*((Scenario_Data!E90*1000)-(IF(OR(Inputs!$C$27=TRUE,Inputs!$C$27="TRUE",Inputs!$C$27=1),1,0)*(Inputs!$C$51*(115*EXP(-(((0)-25)^2)/(4.5^2))+70*EXP(-(((0)+38)^2)/(7^2))*(0.55+0.45*SIN(2*PI()*(Scenario_Data!W90)/45))+24*SIN(2*PI()*(0)/9+(Scenario_Data!W90)/18)*EXP(-(((0)+5)^2)/(22^2))+18*SIN(2*PI()*(Scenario_Data!W90)/70))+Inputs!$C$28*EXP(-(((Scenario_Data!W90)-Inputs!$C$29)^2)/(2*Inputs!$C$31^2))*EXP(-(((0)-Inputs!$C$30)^2)/(2*Inputs!$C$32^2))+-Inputs!$C$33*EXP(-(((((Scenario_Data!W90)-Inputs!$C$34)^2)+(((0)-Inputs!$C$35)^2))/(2*Inputs!$C$36^2)))+Inputs!$C$37*(0.55*SIN(2*PI()*(Scenario_Data!W90)/Inputs!$C$39)+0.35*COS(2*PI()*(0)/Inputs!$C$40)+0.2*SIN(2*PI()*((Scenario_Data!W90)+(0))/(0.5*(Inputs!$C$39+Inputs!$C$40))))+Inputs!$C$38*SIN(2*PI()*(Scenario_Data!W90)/Inputs!$C$39)*SIN(2*PI()*(0)/Inputs!$C$40)+-Inputs!$C$41*EXP(-(((0)-Inputs!$C$43)^2)/(2*Inputs!$C$44^2))*EXP(-(((Scenario_Data!W90)-Inputs!$C$42)^2)/(2*Inputs!$C$45^2))+Inputs!$C$48*(0.7*(0.45*SIN(2*PI()*(((Scenario_Data!W90)/Inputs!$C$49)+Inputs!$C$47*0.137))+0.35*COS(2*PI()*(((0)/Inputs!$C$50)+Inputs!$C$47*0.173))+0.2*SIN(2*PI()*((((Scenario_Data!W90)+(0))/(0.5*(Inputs!$C$49+Inputs!$C$50)))+Inputs!$C$47*0.097)))+0.3*(2*((SIN(((Scenario_Data!W90)*12.9898+(0)*78.233+Inputs!$C$47*37.719))*43758.5453)-INT((SIN(((Scenario_Data!W90)*12.9898+(0)*78.233+Inputs!$C$47*37.719))*43758.5453)))-1)))))/Inputs!$C$21*1000000</f>
        <v/>
      </c>
      <c r="AG90">
        <f>Scenario_Data!T90</f>
        <v/>
      </c>
      <c r="AH90">
        <f>2*(SQRT((Inputs!$C$52+(Scenario_Data!B90))^2+Inputs!$C$52^2-2*(Inputs!$C$52+(Scenario_Data!B90))*Inputs!$C$52*COS(SQRT((Scenario_Data!T90)^2+Inputs!$C$6^2)/Inputs!$C$52))*1000)/Inputs!$C$21*1000000</f>
        <v/>
      </c>
      <c r="AI90">
        <f>Scenario_Data!U90</f>
        <v/>
      </c>
      <c r="AJ90">
        <f>2*(SQRT((Inputs!$C$52+(Scenario_Data!C90))^2+Inputs!$C$52^2-2*(Inputs!$C$52+(Scenario_Data!C90))*Inputs!$C$52*COS(SQRT((Scenario_Data!U90)^2+Inputs!$C$6^2)/Inputs!$C$52))*1000)/Inputs!$C$21*1000000</f>
        <v/>
      </c>
      <c r="AK90">
        <f>Scenario_Data!V90</f>
        <v/>
      </c>
      <c r="AL90">
        <f>2*(SQRT((Inputs!$C$52+(Scenario_Data!D90))^2+Inputs!$C$52^2-2*(Inputs!$C$52+(Scenario_Data!D90))*Inputs!$C$52*COS(SQRT((Scenario_Data!V90)^2+Inputs!$C$6^2)/Inputs!$C$52))*1000)/Inputs!$C$21*1000000</f>
        <v/>
      </c>
      <c r="AM90">
        <f>Scenario_Data!W90</f>
        <v/>
      </c>
      <c r="AN90">
        <f>2*(SQRT((Inputs!$C$52+(Scenario_Data!E90))^2+Inputs!$C$52^2-2*(Inputs!$C$52+(Scenario_Data!E90))*Inputs!$C$52*COS(SQRT((Scenario_Data!W90)^2+Inputs!$C$6^2)/Inputs!$C$52))*1000)/Inputs!$C$21*1000000</f>
        <v/>
      </c>
      <c r="AP90">
        <f>Scenario_Data!T90</f>
        <v/>
      </c>
      <c r="AQ90">
        <f>2*(SQRT((Inputs!$C$52+(Scenario_Data!B90))^2+(Inputs!$C$52+((IF(OR(Inputs!$C$27=TRUE,Inputs!$C$27="TRUE",Inputs!$C$27=1),1,0)*(Inputs!$C$51*(115*EXP(-(((Inputs!$C$6)-25)^2)/(4.5^2))+70*EXP(-(((Inputs!$C$6)+38)^2)/(7^2))*(0.55+0.45*SIN(2*PI()*(Scenario_Data!T90)/45))+24*SIN(2*PI()*(Inputs!$C$6)/9+(Scenario_Data!T90)/18)*EXP(-(((Inputs!$C$6)+5)^2)/(22^2))+18*SIN(2*PI()*(Scenario_Data!T90)/70))+Inputs!$C$28*EXP(-(((Scenario_Data!T90)-Inputs!$C$29)^2)/(2*Inputs!$C$31^2))*EXP(-(((Inputs!$C$6)-Inputs!$C$30)^2)/(2*Inputs!$C$32^2))+-Inputs!$C$33*EXP(-(((((Scenario_Data!T90)-Inputs!$C$34)^2)+(((Inputs!$C$6)-Inputs!$C$35)^2))/(2*Inputs!$C$36^2)))+Inputs!$C$37*(0.55*SIN(2*PI()*(Scenario_Data!T90)/Inputs!$C$39)+0.35*COS(2*PI()*(Inputs!$C$6)/Inputs!$C$40)+0.2*SIN(2*PI()*((Scenario_Data!T90)+(Inputs!$C$6))/(0.5*(Inputs!$C$39+Inputs!$C$40))))+Inputs!$C$38*SIN(2*PI()*(Scenario_Data!T90)/Inputs!$C$39)*SIN(2*PI()*(Inputs!$C$6)/Inputs!$C$40)+-Inputs!$C$41*EXP(-(((Inputs!$C$6)-Inputs!$C$43)^2)/(2*Inputs!$C$44^2))*EXP(-(((Scenario_Data!T90)-Inputs!$C$42)^2)/(2*Inputs!$C$45^2))+Inputs!$C$48*(0.7*(0.45*SIN(2*PI()*(((Scenario_Data!T90)/Inputs!$C$49)+Inputs!$C$47*0.137))+0.35*COS(2*PI()*(((Inputs!$C$6)/Inputs!$C$50)+Inputs!$C$47*0.173))+0.2*SIN(2*PI()*((((Scenario_Data!T90)+(Inputs!$C$6))/(0.5*(Inputs!$C$49+Inputs!$C$50)))+Inputs!$C$47*0.097)))+0.3*(2*((SIN(((Scenario_Data!T90)*12.9898+(Inputs!$C$6)*78.233+Inputs!$C$47*37.719))*43758.5453)-INT((SIN(((Scenario_Data!T90)*12.9898+(Inputs!$C$6)*78.233+Inputs!$C$47*37.719))*43758.5453)))-1))))/1000))^2-2*(Inputs!$C$52+(Scenario_Data!B90))*(Inputs!$C$52+((IF(OR(Inputs!$C$27=TRUE,Inputs!$C$27="TRUE",Inputs!$C$27=1),1,0)*(Inputs!$C$51*(115*EXP(-(((Inputs!$C$6)-25)^2)/(4.5^2))+70*EXP(-(((Inputs!$C$6)+38)^2)/(7^2))*(0.55+0.45*SIN(2*PI()*(Scenario_Data!T90)/45))+24*SIN(2*PI()*(Inputs!$C$6)/9+(Scenario_Data!T90)/18)*EXP(-(((Inputs!$C$6)+5)^2)/(22^2))+18*SIN(2*PI()*(Scenario_Data!T90)/70))+Inputs!$C$28*EXP(-(((Scenario_Data!T90)-Inputs!$C$29)^2)/(2*Inputs!$C$31^2))*EXP(-(((Inputs!$C$6)-Inputs!$C$30)^2)/(2*Inputs!$C$32^2))+-Inputs!$C$33*EXP(-(((((Scenario_Data!T90)-Inputs!$C$34)^2)+(((Inputs!$C$6)-Inputs!$C$35)^2))/(2*Inputs!$C$36^2)))+Inputs!$C$37*(0.55*SIN(2*PI()*(Scenario_Data!T90)/Inputs!$C$39)+0.35*COS(2*PI()*(Inputs!$C$6)/Inputs!$C$40)+0.2*SIN(2*PI()*((Scenario_Data!T90)+(Inputs!$C$6))/(0.5*(Inputs!$C$39+Inputs!$C$40))))+Inputs!$C$38*SIN(2*PI()*(Scenario_Data!T90)/Inputs!$C$39)*SIN(2*PI()*(Inputs!$C$6)/Inputs!$C$40)+-Inputs!$C$41*EXP(-(((Inputs!$C$6)-Inputs!$C$43)^2)/(2*Inputs!$C$44^2))*EXP(-(((Scenario_Data!T90)-Inputs!$C$42)^2)/(2*Inputs!$C$45^2))+Inputs!$C$48*(0.7*(0.45*SIN(2*PI()*(((Scenario_Data!T90)/Inputs!$C$49)+Inputs!$C$47*0.137))+0.35*COS(2*PI()*(((Inputs!$C$6)/Inputs!$C$50)+Inputs!$C$47*0.173))+0.2*SIN(2*PI()*((((Scenario_Data!T90)+(Inputs!$C$6))/(0.5*(Inputs!$C$49+Inputs!$C$50)))+Inputs!$C$47*0.097)))+0.3*(2*((SIN(((Scenario_Data!T90)*12.9898+(Inputs!$C$6)*78.233+Inputs!$C$47*37.719))*43758.5453)-INT((SIN(((Scenario_Data!T90)*12.9898+(Inputs!$C$6)*78.233+Inputs!$C$47*37.719))*43758.5453)))-1))))/1000))*COS(SQRT((Scenario_Data!T90)^2+Inputs!$C$6^2)/Inputs!$C$52))*1000)/Inputs!$C$21*1000000</f>
        <v/>
      </c>
      <c r="AR90">
        <f>Scenario_Data!U90</f>
        <v/>
      </c>
      <c r="AS90">
        <f>2*(SQRT((Inputs!$C$52+(Scenario_Data!C90))^2+(Inputs!$C$52+((IF(OR(Inputs!$C$27=TRUE,Inputs!$C$27="TRUE",Inputs!$C$27=1),1,0)*(Inputs!$C$51*(115*EXP(-(((Inputs!$C$6)-25)^2)/(4.5^2))+70*EXP(-(((Inputs!$C$6)+38)^2)/(7^2))*(0.55+0.45*SIN(2*PI()*(Scenario_Data!U90)/45))+24*SIN(2*PI()*(Inputs!$C$6)/9+(Scenario_Data!U90)/18)*EXP(-(((Inputs!$C$6)+5)^2)/(22^2))+18*SIN(2*PI()*(Scenario_Data!U90)/70))+Inputs!$C$28*EXP(-(((Scenario_Data!U90)-Inputs!$C$29)^2)/(2*Inputs!$C$31^2))*EXP(-(((Inputs!$C$6)-Inputs!$C$30)^2)/(2*Inputs!$C$32^2))+-Inputs!$C$33*EXP(-(((((Scenario_Data!U90)-Inputs!$C$34)^2)+(((Inputs!$C$6)-Inputs!$C$35)^2))/(2*Inputs!$C$36^2)))+Inputs!$C$37*(0.55*SIN(2*PI()*(Scenario_Data!U90)/Inputs!$C$39)+0.35*COS(2*PI()*(Inputs!$C$6)/Inputs!$C$40)+0.2*SIN(2*PI()*((Scenario_Data!U90)+(Inputs!$C$6))/(0.5*(Inputs!$C$39+Inputs!$C$40))))+Inputs!$C$38*SIN(2*PI()*(Scenario_Data!U90)/Inputs!$C$39)*SIN(2*PI()*(Inputs!$C$6)/Inputs!$C$40)+-Inputs!$C$41*EXP(-(((Inputs!$C$6)-Inputs!$C$43)^2)/(2*Inputs!$C$44^2))*EXP(-(((Scenario_Data!U90)-Inputs!$C$42)^2)/(2*Inputs!$C$45^2))+Inputs!$C$48*(0.7*(0.45*SIN(2*PI()*(((Scenario_Data!U90)/Inputs!$C$49)+Inputs!$C$47*0.137))+0.35*COS(2*PI()*(((Inputs!$C$6)/Inputs!$C$50)+Inputs!$C$47*0.173))+0.2*SIN(2*PI()*((((Scenario_Data!U90)+(Inputs!$C$6))/(0.5*(Inputs!$C$49+Inputs!$C$50)))+Inputs!$C$47*0.097)))+0.3*(2*((SIN(((Scenario_Data!U90)*12.9898+(Inputs!$C$6)*78.233+Inputs!$C$47*37.719))*43758.5453)-INT((SIN(((Scenario_Data!U90)*12.9898+(Inputs!$C$6)*78.233+Inputs!$C$47*37.719))*43758.5453)))-1))))/1000))^2-2*(Inputs!$C$52+(Scenario_Data!C90))*(Inputs!$C$52+((IF(OR(Inputs!$C$27=TRUE,Inputs!$C$27="TRUE",Inputs!$C$27=1),1,0)*(Inputs!$C$51*(115*EXP(-(((Inputs!$C$6)-25)^2)/(4.5^2))+70*EXP(-(((Inputs!$C$6)+38)^2)/(7^2))*(0.55+0.45*SIN(2*PI()*(Scenario_Data!U90)/45))+24*SIN(2*PI()*(Inputs!$C$6)/9+(Scenario_Data!U90)/18)*EXP(-(((Inputs!$C$6)+5)^2)/(22^2))+18*SIN(2*PI()*(Scenario_Data!U90)/70))+Inputs!$C$28*EXP(-(((Scenario_Data!U90)-Inputs!$C$29)^2)/(2*Inputs!$C$31^2))*EXP(-(((Inputs!$C$6)-Inputs!$C$30)^2)/(2*Inputs!$C$32^2))+-Inputs!$C$33*EXP(-(((((Scenario_Data!U90)-Inputs!$C$34)^2)+(((Inputs!$C$6)-Inputs!$C$35)^2))/(2*Inputs!$C$36^2)))+Inputs!$C$37*(0.55*SIN(2*PI()*(Scenario_Data!U90)/Inputs!$C$39)+0.35*COS(2*PI()*(Inputs!$C$6)/Inputs!$C$40)+0.2*SIN(2*PI()*((Scenario_Data!U90)+(Inputs!$C$6))/(0.5*(Inputs!$C$39+Inputs!$C$40))))+Inputs!$C$38*SIN(2*PI()*(Scenario_Data!U90)/Inputs!$C$39)*SIN(2*PI()*(Inputs!$C$6)/Inputs!$C$40)+-Inputs!$C$41*EXP(-(((Inputs!$C$6)-Inputs!$C$43)^2)/(2*Inputs!$C$44^2))*EXP(-(((Scenario_Data!U90)-Inputs!$C$42)^2)/(2*Inputs!$C$45^2))+Inputs!$C$48*(0.7*(0.45*SIN(2*PI()*(((Scenario_Data!U90)/Inputs!$C$49)+Inputs!$C$47*0.137))+0.35*COS(2*PI()*(((Inputs!$C$6)/Inputs!$C$50)+Inputs!$C$47*0.173))+0.2*SIN(2*PI()*((((Scenario_Data!U90)+(Inputs!$C$6))/(0.5*(Inputs!$C$49+Inputs!$C$50)))+Inputs!$C$47*0.097)))+0.3*(2*((SIN(((Scenario_Data!U90)*12.9898+(Inputs!$C$6)*78.233+Inputs!$C$47*37.719))*43758.5453)-INT((SIN(((Scenario_Data!U90)*12.9898+(Inputs!$C$6)*78.233+Inputs!$C$47*37.719))*43758.5453)))-1))))/1000))*COS(SQRT((Scenario_Data!U90)^2+Inputs!$C$6^2)/Inputs!$C$52))*1000)/Inputs!$C$21*1000000</f>
        <v/>
      </c>
      <c r="AT90">
        <f>Scenario_Data!V90</f>
        <v/>
      </c>
      <c r="AU90">
        <f>2*(SQRT((Inputs!$C$52+(Scenario_Data!D90))^2+(Inputs!$C$52+((IF(OR(Inputs!$C$27=TRUE,Inputs!$C$27="TRUE",Inputs!$C$27=1),1,0)*(Inputs!$C$51*(115*EXP(-(((Inputs!$C$6)-25)^2)/(4.5^2))+70*EXP(-(((Inputs!$C$6)+38)^2)/(7^2))*(0.55+0.45*SIN(2*PI()*(Scenario_Data!V90)/45))+24*SIN(2*PI()*(Inputs!$C$6)/9+(Scenario_Data!V90)/18)*EXP(-(((Inputs!$C$6)+5)^2)/(22^2))+18*SIN(2*PI()*(Scenario_Data!V90)/70))+Inputs!$C$28*EXP(-(((Scenario_Data!V90)-Inputs!$C$29)^2)/(2*Inputs!$C$31^2))*EXP(-(((Inputs!$C$6)-Inputs!$C$30)^2)/(2*Inputs!$C$32^2))+-Inputs!$C$33*EXP(-(((((Scenario_Data!V90)-Inputs!$C$34)^2)+(((Inputs!$C$6)-Inputs!$C$35)^2))/(2*Inputs!$C$36^2)))+Inputs!$C$37*(0.55*SIN(2*PI()*(Scenario_Data!V90)/Inputs!$C$39)+0.35*COS(2*PI()*(Inputs!$C$6)/Inputs!$C$40)+0.2*SIN(2*PI()*((Scenario_Data!V90)+(Inputs!$C$6))/(0.5*(Inputs!$C$39+Inputs!$C$40))))+Inputs!$C$38*SIN(2*PI()*(Scenario_Data!V90)/Inputs!$C$39)*SIN(2*PI()*(Inputs!$C$6)/Inputs!$C$40)+-Inputs!$C$41*EXP(-(((Inputs!$C$6)-Inputs!$C$43)^2)/(2*Inputs!$C$44^2))*EXP(-(((Scenario_Data!V90)-Inputs!$C$42)^2)/(2*Inputs!$C$45^2))+Inputs!$C$48*(0.7*(0.45*SIN(2*PI()*(((Scenario_Data!V90)/Inputs!$C$49)+Inputs!$C$47*0.137))+0.35*COS(2*PI()*(((Inputs!$C$6)/Inputs!$C$50)+Inputs!$C$47*0.173))+0.2*SIN(2*PI()*((((Scenario_Data!V90)+(Inputs!$C$6))/(0.5*(Inputs!$C$49+Inputs!$C$50)))+Inputs!$C$47*0.097)))+0.3*(2*((SIN(((Scenario_Data!V90)*12.9898+(Inputs!$C$6)*78.233+Inputs!$C$47*37.719))*43758.5453)-INT((SIN(((Scenario_Data!V90)*12.9898+(Inputs!$C$6)*78.233+Inputs!$C$47*37.719))*43758.5453)))-1))))/1000))^2-2*(Inputs!$C$52+(Scenario_Data!D90))*(Inputs!$C$52+((IF(OR(Inputs!$C$27=TRUE,Inputs!$C$27="TRUE",Inputs!$C$27=1),1,0)*(Inputs!$C$51*(115*EXP(-(((Inputs!$C$6)-25)^2)/(4.5^2))+70*EXP(-(((Inputs!$C$6)+38)^2)/(7^2))*(0.55+0.45*SIN(2*PI()*(Scenario_Data!V90)/45))+24*SIN(2*PI()*(Inputs!$C$6)/9+(Scenario_Data!V90)/18)*EXP(-(((Inputs!$C$6)+5)^2)/(22^2))+18*SIN(2*PI()*(Scenario_Data!V90)/70))+Inputs!$C$28*EXP(-(((Scenario_Data!V90)-Inputs!$C$29)^2)/(2*Inputs!$C$31^2))*EXP(-(((Inputs!$C$6)-Inputs!$C$30)^2)/(2*Inputs!$C$32^2))+-Inputs!$C$33*EXP(-(((((Scenario_Data!V90)-Inputs!$C$34)^2)+(((Inputs!$C$6)-Inputs!$C$35)^2))/(2*Inputs!$C$36^2)))+Inputs!$C$37*(0.55*SIN(2*PI()*(Scenario_Data!V90)/Inputs!$C$39)+0.35*COS(2*PI()*(Inputs!$C$6)/Inputs!$C$40)+0.2*SIN(2*PI()*((Scenario_Data!V90)+(Inputs!$C$6))/(0.5*(Inputs!$C$39+Inputs!$C$40))))+Inputs!$C$38*SIN(2*PI()*(Scenario_Data!V90)/Inputs!$C$39)*SIN(2*PI()*(Inputs!$C$6)/Inputs!$C$40)+-Inputs!$C$41*EXP(-(((Inputs!$C$6)-Inputs!$C$43)^2)/(2*Inputs!$C$44^2))*EXP(-(((Scenario_Data!V90)-Inputs!$C$42)^2)/(2*Inputs!$C$45^2))+Inputs!$C$48*(0.7*(0.45*SIN(2*PI()*(((Scenario_Data!V90)/Inputs!$C$49)+Inputs!$C$47*0.137))+0.35*COS(2*PI()*(((Inputs!$C$6)/Inputs!$C$50)+Inputs!$C$47*0.173))+0.2*SIN(2*PI()*((((Scenario_Data!V90)+(Inputs!$C$6))/(0.5*(Inputs!$C$49+Inputs!$C$50)))+Inputs!$C$47*0.097)))+0.3*(2*((SIN(((Scenario_Data!V90)*12.9898+(Inputs!$C$6)*78.233+Inputs!$C$47*37.719))*43758.5453)-INT((SIN(((Scenario_Data!V90)*12.9898+(Inputs!$C$6)*78.233+Inputs!$C$47*37.719))*43758.5453)))-1))))/1000))*COS(SQRT((Scenario_Data!V90)^2+Inputs!$C$6^2)/Inputs!$C$52))*1000)/Inputs!$C$21*1000000</f>
        <v/>
      </c>
      <c r="AV90">
        <f>Scenario_Data!W90</f>
        <v/>
      </c>
      <c r="AW90">
        <f>2*(SQRT((Inputs!$C$52+(Scenario_Data!E90))^2+(Inputs!$C$52+((IF(OR(Inputs!$C$27=TRUE,Inputs!$C$27="TRUE",Inputs!$C$27=1),1,0)*(Inputs!$C$51*(115*EXP(-(((Inputs!$C$6)-25)^2)/(4.5^2))+70*EXP(-(((Inputs!$C$6)+38)^2)/(7^2))*(0.55+0.45*SIN(2*PI()*(Scenario_Data!W90)/45))+24*SIN(2*PI()*(Inputs!$C$6)/9+(Scenario_Data!W90)/18)*EXP(-(((Inputs!$C$6)+5)^2)/(22^2))+18*SIN(2*PI()*(Scenario_Data!W90)/70))+Inputs!$C$28*EXP(-(((Scenario_Data!W90)-Inputs!$C$29)^2)/(2*Inputs!$C$31^2))*EXP(-(((Inputs!$C$6)-Inputs!$C$30)^2)/(2*Inputs!$C$32^2))+-Inputs!$C$33*EXP(-(((((Scenario_Data!W90)-Inputs!$C$34)^2)+(((Inputs!$C$6)-Inputs!$C$35)^2))/(2*Inputs!$C$36^2)))+Inputs!$C$37*(0.55*SIN(2*PI()*(Scenario_Data!W90)/Inputs!$C$39)+0.35*COS(2*PI()*(Inputs!$C$6)/Inputs!$C$40)+0.2*SIN(2*PI()*((Scenario_Data!W90)+(Inputs!$C$6))/(0.5*(Inputs!$C$39+Inputs!$C$40))))+Inputs!$C$38*SIN(2*PI()*(Scenario_Data!W90)/Inputs!$C$39)*SIN(2*PI()*(Inputs!$C$6)/Inputs!$C$40)+-Inputs!$C$41*EXP(-(((Inputs!$C$6)-Inputs!$C$43)^2)/(2*Inputs!$C$44^2))*EXP(-(((Scenario_Data!W90)-Inputs!$C$42)^2)/(2*Inputs!$C$45^2))+Inputs!$C$48*(0.7*(0.45*SIN(2*PI()*(((Scenario_Data!W90)/Inputs!$C$49)+Inputs!$C$47*0.137))+0.35*COS(2*PI()*(((Inputs!$C$6)/Inputs!$C$50)+Inputs!$C$47*0.173))+0.2*SIN(2*PI()*((((Scenario_Data!W90)+(Inputs!$C$6))/(0.5*(Inputs!$C$49+Inputs!$C$50)))+Inputs!$C$47*0.097)))+0.3*(2*((SIN(((Scenario_Data!W90)*12.9898+(Inputs!$C$6)*78.233+Inputs!$C$47*37.719))*43758.5453)-INT((SIN(((Scenario_Data!W90)*12.9898+(Inputs!$C$6)*78.233+Inputs!$C$47*37.719))*43758.5453)))-1))))/1000))^2-2*(Inputs!$C$52+(Scenario_Data!E90))*(Inputs!$C$52+((IF(OR(Inputs!$C$27=TRUE,Inputs!$C$27="TRUE",Inputs!$C$27=1),1,0)*(Inputs!$C$51*(115*EXP(-(((Inputs!$C$6)-25)^2)/(4.5^2))+70*EXP(-(((Inputs!$C$6)+38)^2)/(7^2))*(0.55+0.45*SIN(2*PI()*(Scenario_Data!W90)/45))+24*SIN(2*PI()*(Inputs!$C$6)/9+(Scenario_Data!W90)/18)*EXP(-(((Inputs!$C$6)+5)^2)/(22^2))+18*SIN(2*PI()*(Scenario_Data!W90)/70))+Inputs!$C$28*EXP(-(((Scenario_Data!W90)-Inputs!$C$29)^2)/(2*Inputs!$C$31^2))*EXP(-(((Inputs!$C$6)-Inputs!$C$30)^2)/(2*Inputs!$C$32^2))+-Inputs!$C$33*EXP(-(((((Scenario_Data!W90)-Inputs!$C$34)^2)+(((Inputs!$C$6)-Inputs!$C$35)^2))/(2*Inputs!$C$36^2)))+Inputs!$C$37*(0.55*SIN(2*PI()*(Scenario_Data!W90)/Inputs!$C$39)+0.35*COS(2*PI()*(Inputs!$C$6)/Inputs!$C$40)+0.2*SIN(2*PI()*((Scenario_Data!W90)+(Inputs!$C$6))/(0.5*(Inputs!$C$39+Inputs!$C$40))))+Inputs!$C$38*SIN(2*PI()*(Scenario_Data!W90)/Inputs!$C$39)*SIN(2*PI()*(Inputs!$C$6)/Inputs!$C$40)+-Inputs!$C$41*EXP(-(((Inputs!$C$6)-Inputs!$C$43)^2)/(2*Inputs!$C$44^2))*EXP(-(((Scenario_Data!W90)-Inputs!$C$42)^2)/(2*Inputs!$C$45^2))+Inputs!$C$48*(0.7*(0.45*SIN(2*PI()*(((Scenario_Data!W90)/Inputs!$C$49)+Inputs!$C$47*0.137))+0.35*COS(2*PI()*(((Inputs!$C$6)/Inputs!$C$50)+Inputs!$C$47*0.173))+0.2*SIN(2*PI()*((((Scenario_Data!W90)+(Inputs!$C$6))/(0.5*(Inputs!$C$49+Inputs!$C$50)))+Inputs!$C$47*0.097)))+0.3*(2*((SIN(((Scenario_Data!W90)*12.9898+(Inputs!$C$6)*78.233+Inputs!$C$47*37.719))*43758.5453)-INT((SIN(((Scenario_Data!W90)*12.9898+(Inputs!$C$6)*78.233+Inputs!$C$47*37.719))*43758.5453)))-1))))/1000))*COS(SQRT((Scenario_Data!W90)^2+Inputs!$C$6^2)/Inputs!$C$52))*1000)/Inputs!$C$21*1000000</f>
        <v/>
      </c>
    </row>
    <row r="91">
      <c r="A91">
        <f>Chart_Data!K91</f>
        <v/>
      </c>
      <c r="B91">
        <f>Chart_Data!N91-Chart_Data!L91</f>
        <v/>
      </c>
      <c r="D91">
        <f>Chart_Data!G91</f>
        <v/>
      </c>
      <c r="E91">
        <f>Chart_Data!H91</f>
        <v/>
      </c>
      <c r="F91">
        <f>Chart_Data!I91</f>
        <v/>
      </c>
      <c r="G91">
        <f>Chart_Data!J91</f>
        <v/>
      </c>
      <c r="I91">
        <f>Scenario_Data!A91</f>
        <v/>
      </c>
      <c r="J91">
        <f>Scenario_Data!H91-(((SQRT((Inputs!$C$52+(Inputs!$H$6))^2+Inputs!$C$52^2-2*(Inputs!$C$52+(Inputs!$H$6))*Inputs!$C$52*COS(SQRT((Scenario_Data!T91)^2+Inputs!$C$6^2)/Inputs!$C$52)))-(Inputs!$H$6))*1000/Inputs!$C$12)</f>
        <v/>
      </c>
      <c r="K91">
        <f>Scenario_Data!I91-(((SQRT((Inputs!$C$52+(Inputs!$H$7))^2+Inputs!$C$52^2-2*(Inputs!$C$52+(Inputs!$H$7))*Inputs!$C$52*COS(SQRT((Scenario_Data!U91)^2+Inputs!$C$6^2)/Inputs!$C$52)))-(Inputs!$H$7))*1000/Inputs!$C$12)</f>
        <v/>
      </c>
      <c r="L91">
        <f>Scenario_Data!J91-(((SQRT((Inputs!$C$52+(Inputs!$H$8))^2+Inputs!$C$52^2-2*(Inputs!$C$52+(Inputs!$H$8))*Inputs!$C$52*COS(SQRT((Scenario_Data!V91)^2+Inputs!$C$6^2)/Inputs!$C$52)))-(Inputs!$H$8))*1000/Inputs!$C$12)</f>
        <v/>
      </c>
      <c r="M91">
        <f>Scenario_Data!K91-(((SQRT((Inputs!$C$52+(Inputs!$H$9))^2+Inputs!$C$52^2-2*(Inputs!$C$52+(Inputs!$H$9))*Inputs!$C$52*COS(SQRT((Scenario_Data!W91)^2+Inputs!$C$6^2)/Inputs!$C$52)))-(Inputs!$H$9))*1000/Inputs!$C$12)</f>
        <v/>
      </c>
      <c r="O91">
        <f>Scenario_Data!T91</f>
        <v/>
      </c>
      <c r="P91">
        <f>2*(Scenario_Data!B91*1000)/Inputs!$C$21*1000000</f>
        <v/>
      </c>
      <c r="Q91">
        <f>Scenario_Data!U91</f>
        <v/>
      </c>
      <c r="R91">
        <f>2*(Scenario_Data!C91*1000)/Inputs!$C$21*1000000</f>
        <v/>
      </c>
      <c r="S91">
        <f>Scenario_Data!V91</f>
        <v/>
      </c>
      <c r="T91">
        <f>2*(Scenario_Data!D91*1000)/Inputs!$C$21*1000000</f>
        <v/>
      </c>
      <c r="U91">
        <f>Scenario_Data!W91</f>
        <v/>
      </c>
      <c r="V91">
        <f>2*(Scenario_Data!E91*1000)/Inputs!$C$21*1000000</f>
        <v/>
      </c>
      <c r="X91">
        <f>Scenario_Data!T91</f>
        <v/>
      </c>
      <c r="Y91">
        <f>2*((Scenario_Data!B91*1000)-(IF(OR(Inputs!$C$27=TRUE,Inputs!$C$27="TRUE",Inputs!$C$27=1),1,0)*(Inputs!$C$51*(115*EXP(-(((0)-25)^2)/(4.5^2))+70*EXP(-(((0)+38)^2)/(7^2))*(0.55+0.45*SIN(2*PI()*(Scenario_Data!T91)/45))+24*SIN(2*PI()*(0)/9+(Scenario_Data!T91)/18)*EXP(-(((0)+5)^2)/(22^2))+18*SIN(2*PI()*(Scenario_Data!T91)/70))+Inputs!$C$28*EXP(-(((Scenario_Data!T91)-Inputs!$C$29)^2)/(2*Inputs!$C$31^2))*EXP(-(((0)-Inputs!$C$30)^2)/(2*Inputs!$C$32^2))+-Inputs!$C$33*EXP(-(((((Scenario_Data!T91)-Inputs!$C$34)^2)+(((0)-Inputs!$C$35)^2))/(2*Inputs!$C$36^2)))+Inputs!$C$37*(0.55*SIN(2*PI()*(Scenario_Data!T91)/Inputs!$C$39)+0.35*COS(2*PI()*(0)/Inputs!$C$40)+0.2*SIN(2*PI()*((Scenario_Data!T91)+(0))/(0.5*(Inputs!$C$39+Inputs!$C$40))))+Inputs!$C$38*SIN(2*PI()*(Scenario_Data!T91)/Inputs!$C$39)*SIN(2*PI()*(0)/Inputs!$C$40)+-Inputs!$C$41*EXP(-(((0)-Inputs!$C$43)^2)/(2*Inputs!$C$44^2))*EXP(-(((Scenario_Data!T91)-Inputs!$C$42)^2)/(2*Inputs!$C$45^2))+Inputs!$C$48*(0.7*(0.45*SIN(2*PI()*(((Scenario_Data!T91)/Inputs!$C$49)+Inputs!$C$47*0.137))+0.35*COS(2*PI()*(((0)/Inputs!$C$50)+Inputs!$C$47*0.173))+0.2*SIN(2*PI()*((((Scenario_Data!T91)+(0))/(0.5*(Inputs!$C$49+Inputs!$C$50)))+Inputs!$C$47*0.097)))+0.3*(2*((SIN(((Scenario_Data!T91)*12.9898+(0)*78.233+Inputs!$C$47*37.719))*43758.5453)-INT((SIN(((Scenario_Data!T91)*12.9898+(0)*78.233+Inputs!$C$47*37.719))*43758.5453)))-1)))))/Inputs!$C$21*1000000</f>
        <v/>
      </c>
      <c r="Z91">
        <f>Scenario_Data!U91</f>
        <v/>
      </c>
      <c r="AA91">
        <f>2*((Scenario_Data!C91*1000)-(IF(OR(Inputs!$C$27=TRUE,Inputs!$C$27="TRUE",Inputs!$C$27=1),1,0)*(Inputs!$C$51*(115*EXP(-(((0)-25)^2)/(4.5^2))+70*EXP(-(((0)+38)^2)/(7^2))*(0.55+0.45*SIN(2*PI()*(Scenario_Data!U91)/45))+24*SIN(2*PI()*(0)/9+(Scenario_Data!U91)/18)*EXP(-(((0)+5)^2)/(22^2))+18*SIN(2*PI()*(Scenario_Data!U91)/70))+Inputs!$C$28*EXP(-(((Scenario_Data!U91)-Inputs!$C$29)^2)/(2*Inputs!$C$31^2))*EXP(-(((0)-Inputs!$C$30)^2)/(2*Inputs!$C$32^2))+-Inputs!$C$33*EXP(-(((((Scenario_Data!U91)-Inputs!$C$34)^2)+(((0)-Inputs!$C$35)^2))/(2*Inputs!$C$36^2)))+Inputs!$C$37*(0.55*SIN(2*PI()*(Scenario_Data!U91)/Inputs!$C$39)+0.35*COS(2*PI()*(0)/Inputs!$C$40)+0.2*SIN(2*PI()*((Scenario_Data!U91)+(0))/(0.5*(Inputs!$C$39+Inputs!$C$40))))+Inputs!$C$38*SIN(2*PI()*(Scenario_Data!U91)/Inputs!$C$39)*SIN(2*PI()*(0)/Inputs!$C$40)+-Inputs!$C$41*EXP(-(((0)-Inputs!$C$43)^2)/(2*Inputs!$C$44^2))*EXP(-(((Scenario_Data!U91)-Inputs!$C$42)^2)/(2*Inputs!$C$45^2))+Inputs!$C$48*(0.7*(0.45*SIN(2*PI()*(((Scenario_Data!U91)/Inputs!$C$49)+Inputs!$C$47*0.137))+0.35*COS(2*PI()*(((0)/Inputs!$C$50)+Inputs!$C$47*0.173))+0.2*SIN(2*PI()*((((Scenario_Data!U91)+(0))/(0.5*(Inputs!$C$49+Inputs!$C$50)))+Inputs!$C$47*0.097)))+0.3*(2*((SIN(((Scenario_Data!U91)*12.9898+(0)*78.233+Inputs!$C$47*37.719))*43758.5453)-INT((SIN(((Scenario_Data!U91)*12.9898+(0)*78.233+Inputs!$C$47*37.719))*43758.5453)))-1)))))/Inputs!$C$21*1000000</f>
        <v/>
      </c>
      <c r="AB91">
        <f>Scenario_Data!V91</f>
        <v/>
      </c>
      <c r="AC91">
        <f>2*((Scenario_Data!D91*1000)-(IF(OR(Inputs!$C$27=TRUE,Inputs!$C$27="TRUE",Inputs!$C$27=1),1,0)*(Inputs!$C$51*(115*EXP(-(((0)-25)^2)/(4.5^2))+70*EXP(-(((0)+38)^2)/(7^2))*(0.55+0.45*SIN(2*PI()*(Scenario_Data!V91)/45))+24*SIN(2*PI()*(0)/9+(Scenario_Data!V91)/18)*EXP(-(((0)+5)^2)/(22^2))+18*SIN(2*PI()*(Scenario_Data!V91)/70))+Inputs!$C$28*EXP(-(((Scenario_Data!V91)-Inputs!$C$29)^2)/(2*Inputs!$C$31^2))*EXP(-(((0)-Inputs!$C$30)^2)/(2*Inputs!$C$32^2))+-Inputs!$C$33*EXP(-(((((Scenario_Data!V91)-Inputs!$C$34)^2)+(((0)-Inputs!$C$35)^2))/(2*Inputs!$C$36^2)))+Inputs!$C$37*(0.55*SIN(2*PI()*(Scenario_Data!V91)/Inputs!$C$39)+0.35*COS(2*PI()*(0)/Inputs!$C$40)+0.2*SIN(2*PI()*((Scenario_Data!V91)+(0))/(0.5*(Inputs!$C$39+Inputs!$C$40))))+Inputs!$C$38*SIN(2*PI()*(Scenario_Data!V91)/Inputs!$C$39)*SIN(2*PI()*(0)/Inputs!$C$40)+-Inputs!$C$41*EXP(-(((0)-Inputs!$C$43)^2)/(2*Inputs!$C$44^2))*EXP(-(((Scenario_Data!V91)-Inputs!$C$42)^2)/(2*Inputs!$C$45^2))+Inputs!$C$48*(0.7*(0.45*SIN(2*PI()*(((Scenario_Data!V91)/Inputs!$C$49)+Inputs!$C$47*0.137))+0.35*COS(2*PI()*(((0)/Inputs!$C$50)+Inputs!$C$47*0.173))+0.2*SIN(2*PI()*((((Scenario_Data!V91)+(0))/(0.5*(Inputs!$C$49+Inputs!$C$50)))+Inputs!$C$47*0.097)))+0.3*(2*((SIN(((Scenario_Data!V91)*12.9898+(0)*78.233+Inputs!$C$47*37.719))*43758.5453)-INT((SIN(((Scenario_Data!V91)*12.9898+(0)*78.233+Inputs!$C$47*37.719))*43758.5453)))-1)))))/Inputs!$C$21*1000000</f>
        <v/>
      </c>
      <c r="AD91">
        <f>Scenario_Data!W91</f>
        <v/>
      </c>
      <c r="AE91">
        <f>2*((Scenario_Data!E91*1000)-(IF(OR(Inputs!$C$27=TRUE,Inputs!$C$27="TRUE",Inputs!$C$27=1),1,0)*(Inputs!$C$51*(115*EXP(-(((0)-25)^2)/(4.5^2))+70*EXP(-(((0)+38)^2)/(7^2))*(0.55+0.45*SIN(2*PI()*(Scenario_Data!W91)/45))+24*SIN(2*PI()*(0)/9+(Scenario_Data!W91)/18)*EXP(-(((0)+5)^2)/(22^2))+18*SIN(2*PI()*(Scenario_Data!W91)/70))+Inputs!$C$28*EXP(-(((Scenario_Data!W91)-Inputs!$C$29)^2)/(2*Inputs!$C$31^2))*EXP(-(((0)-Inputs!$C$30)^2)/(2*Inputs!$C$32^2))+-Inputs!$C$33*EXP(-(((((Scenario_Data!W91)-Inputs!$C$34)^2)+(((0)-Inputs!$C$35)^2))/(2*Inputs!$C$36^2)))+Inputs!$C$37*(0.55*SIN(2*PI()*(Scenario_Data!W91)/Inputs!$C$39)+0.35*COS(2*PI()*(0)/Inputs!$C$40)+0.2*SIN(2*PI()*((Scenario_Data!W91)+(0))/(0.5*(Inputs!$C$39+Inputs!$C$40))))+Inputs!$C$38*SIN(2*PI()*(Scenario_Data!W91)/Inputs!$C$39)*SIN(2*PI()*(0)/Inputs!$C$40)+-Inputs!$C$41*EXP(-(((0)-Inputs!$C$43)^2)/(2*Inputs!$C$44^2))*EXP(-(((Scenario_Data!W91)-Inputs!$C$42)^2)/(2*Inputs!$C$45^2))+Inputs!$C$48*(0.7*(0.45*SIN(2*PI()*(((Scenario_Data!W91)/Inputs!$C$49)+Inputs!$C$47*0.137))+0.35*COS(2*PI()*(((0)/Inputs!$C$50)+Inputs!$C$47*0.173))+0.2*SIN(2*PI()*((((Scenario_Data!W91)+(0))/(0.5*(Inputs!$C$49+Inputs!$C$50)))+Inputs!$C$47*0.097)))+0.3*(2*((SIN(((Scenario_Data!W91)*12.9898+(0)*78.233+Inputs!$C$47*37.719))*43758.5453)-INT((SIN(((Scenario_Data!W91)*12.9898+(0)*78.233+Inputs!$C$47*37.719))*43758.5453)))-1)))))/Inputs!$C$21*1000000</f>
        <v/>
      </c>
      <c r="AG91">
        <f>Scenario_Data!T91</f>
        <v/>
      </c>
      <c r="AH91">
        <f>2*(SQRT((Inputs!$C$52+(Scenario_Data!B91))^2+Inputs!$C$52^2-2*(Inputs!$C$52+(Scenario_Data!B91))*Inputs!$C$52*COS(SQRT((Scenario_Data!T91)^2+Inputs!$C$6^2)/Inputs!$C$52))*1000)/Inputs!$C$21*1000000</f>
        <v/>
      </c>
      <c r="AI91">
        <f>Scenario_Data!U91</f>
        <v/>
      </c>
      <c r="AJ91">
        <f>2*(SQRT((Inputs!$C$52+(Scenario_Data!C91))^2+Inputs!$C$52^2-2*(Inputs!$C$52+(Scenario_Data!C91))*Inputs!$C$52*COS(SQRT((Scenario_Data!U91)^2+Inputs!$C$6^2)/Inputs!$C$52))*1000)/Inputs!$C$21*1000000</f>
        <v/>
      </c>
      <c r="AK91">
        <f>Scenario_Data!V91</f>
        <v/>
      </c>
      <c r="AL91">
        <f>2*(SQRT((Inputs!$C$52+(Scenario_Data!D91))^2+Inputs!$C$52^2-2*(Inputs!$C$52+(Scenario_Data!D91))*Inputs!$C$52*COS(SQRT((Scenario_Data!V91)^2+Inputs!$C$6^2)/Inputs!$C$52))*1000)/Inputs!$C$21*1000000</f>
        <v/>
      </c>
      <c r="AM91">
        <f>Scenario_Data!W91</f>
        <v/>
      </c>
      <c r="AN91">
        <f>2*(SQRT((Inputs!$C$52+(Scenario_Data!E91))^2+Inputs!$C$52^2-2*(Inputs!$C$52+(Scenario_Data!E91))*Inputs!$C$52*COS(SQRT((Scenario_Data!W91)^2+Inputs!$C$6^2)/Inputs!$C$52))*1000)/Inputs!$C$21*1000000</f>
        <v/>
      </c>
      <c r="AP91">
        <f>Scenario_Data!T91</f>
        <v/>
      </c>
      <c r="AQ91">
        <f>2*(SQRT((Inputs!$C$52+(Scenario_Data!B91))^2+(Inputs!$C$52+((IF(OR(Inputs!$C$27=TRUE,Inputs!$C$27="TRUE",Inputs!$C$27=1),1,0)*(Inputs!$C$51*(115*EXP(-(((Inputs!$C$6)-25)^2)/(4.5^2))+70*EXP(-(((Inputs!$C$6)+38)^2)/(7^2))*(0.55+0.45*SIN(2*PI()*(Scenario_Data!T91)/45))+24*SIN(2*PI()*(Inputs!$C$6)/9+(Scenario_Data!T91)/18)*EXP(-(((Inputs!$C$6)+5)^2)/(22^2))+18*SIN(2*PI()*(Scenario_Data!T91)/70))+Inputs!$C$28*EXP(-(((Scenario_Data!T91)-Inputs!$C$29)^2)/(2*Inputs!$C$31^2))*EXP(-(((Inputs!$C$6)-Inputs!$C$30)^2)/(2*Inputs!$C$32^2))+-Inputs!$C$33*EXP(-(((((Scenario_Data!T91)-Inputs!$C$34)^2)+(((Inputs!$C$6)-Inputs!$C$35)^2))/(2*Inputs!$C$36^2)))+Inputs!$C$37*(0.55*SIN(2*PI()*(Scenario_Data!T91)/Inputs!$C$39)+0.35*COS(2*PI()*(Inputs!$C$6)/Inputs!$C$40)+0.2*SIN(2*PI()*((Scenario_Data!T91)+(Inputs!$C$6))/(0.5*(Inputs!$C$39+Inputs!$C$40))))+Inputs!$C$38*SIN(2*PI()*(Scenario_Data!T91)/Inputs!$C$39)*SIN(2*PI()*(Inputs!$C$6)/Inputs!$C$40)+-Inputs!$C$41*EXP(-(((Inputs!$C$6)-Inputs!$C$43)^2)/(2*Inputs!$C$44^2))*EXP(-(((Scenario_Data!T91)-Inputs!$C$42)^2)/(2*Inputs!$C$45^2))+Inputs!$C$48*(0.7*(0.45*SIN(2*PI()*(((Scenario_Data!T91)/Inputs!$C$49)+Inputs!$C$47*0.137))+0.35*COS(2*PI()*(((Inputs!$C$6)/Inputs!$C$50)+Inputs!$C$47*0.173))+0.2*SIN(2*PI()*((((Scenario_Data!T91)+(Inputs!$C$6))/(0.5*(Inputs!$C$49+Inputs!$C$50)))+Inputs!$C$47*0.097)))+0.3*(2*((SIN(((Scenario_Data!T91)*12.9898+(Inputs!$C$6)*78.233+Inputs!$C$47*37.719))*43758.5453)-INT((SIN(((Scenario_Data!T91)*12.9898+(Inputs!$C$6)*78.233+Inputs!$C$47*37.719))*43758.5453)))-1))))/1000))^2-2*(Inputs!$C$52+(Scenario_Data!B91))*(Inputs!$C$52+((IF(OR(Inputs!$C$27=TRUE,Inputs!$C$27="TRUE",Inputs!$C$27=1),1,0)*(Inputs!$C$51*(115*EXP(-(((Inputs!$C$6)-25)^2)/(4.5^2))+70*EXP(-(((Inputs!$C$6)+38)^2)/(7^2))*(0.55+0.45*SIN(2*PI()*(Scenario_Data!T91)/45))+24*SIN(2*PI()*(Inputs!$C$6)/9+(Scenario_Data!T91)/18)*EXP(-(((Inputs!$C$6)+5)^2)/(22^2))+18*SIN(2*PI()*(Scenario_Data!T91)/70))+Inputs!$C$28*EXP(-(((Scenario_Data!T91)-Inputs!$C$29)^2)/(2*Inputs!$C$31^2))*EXP(-(((Inputs!$C$6)-Inputs!$C$30)^2)/(2*Inputs!$C$32^2))+-Inputs!$C$33*EXP(-(((((Scenario_Data!T91)-Inputs!$C$34)^2)+(((Inputs!$C$6)-Inputs!$C$35)^2))/(2*Inputs!$C$36^2)))+Inputs!$C$37*(0.55*SIN(2*PI()*(Scenario_Data!T91)/Inputs!$C$39)+0.35*COS(2*PI()*(Inputs!$C$6)/Inputs!$C$40)+0.2*SIN(2*PI()*((Scenario_Data!T91)+(Inputs!$C$6))/(0.5*(Inputs!$C$39+Inputs!$C$40))))+Inputs!$C$38*SIN(2*PI()*(Scenario_Data!T91)/Inputs!$C$39)*SIN(2*PI()*(Inputs!$C$6)/Inputs!$C$40)+-Inputs!$C$41*EXP(-(((Inputs!$C$6)-Inputs!$C$43)^2)/(2*Inputs!$C$44^2))*EXP(-(((Scenario_Data!T91)-Inputs!$C$42)^2)/(2*Inputs!$C$45^2))+Inputs!$C$48*(0.7*(0.45*SIN(2*PI()*(((Scenario_Data!T91)/Inputs!$C$49)+Inputs!$C$47*0.137))+0.35*COS(2*PI()*(((Inputs!$C$6)/Inputs!$C$50)+Inputs!$C$47*0.173))+0.2*SIN(2*PI()*((((Scenario_Data!T91)+(Inputs!$C$6))/(0.5*(Inputs!$C$49+Inputs!$C$50)))+Inputs!$C$47*0.097)))+0.3*(2*((SIN(((Scenario_Data!T91)*12.9898+(Inputs!$C$6)*78.233+Inputs!$C$47*37.719))*43758.5453)-INT((SIN(((Scenario_Data!T91)*12.9898+(Inputs!$C$6)*78.233+Inputs!$C$47*37.719))*43758.5453)))-1))))/1000))*COS(SQRT((Scenario_Data!T91)^2+Inputs!$C$6^2)/Inputs!$C$52))*1000)/Inputs!$C$21*1000000</f>
        <v/>
      </c>
      <c r="AR91">
        <f>Scenario_Data!U91</f>
        <v/>
      </c>
      <c r="AS91">
        <f>2*(SQRT((Inputs!$C$52+(Scenario_Data!C91))^2+(Inputs!$C$52+((IF(OR(Inputs!$C$27=TRUE,Inputs!$C$27="TRUE",Inputs!$C$27=1),1,0)*(Inputs!$C$51*(115*EXP(-(((Inputs!$C$6)-25)^2)/(4.5^2))+70*EXP(-(((Inputs!$C$6)+38)^2)/(7^2))*(0.55+0.45*SIN(2*PI()*(Scenario_Data!U91)/45))+24*SIN(2*PI()*(Inputs!$C$6)/9+(Scenario_Data!U91)/18)*EXP(-(((Inputs!$C$6)+5)^2)/(22^2))+18*SIN(2*PI()*(Scenario_Data!U91)/70))+Inputs!$C$28*EXP(-(((Scenario_Data!U91)-Inputs!$C$29)^2)/(2*Inputs!$C$31^2))*EXP(-(((Inputs!$C$6)-Inputs!$C$30)^2)/(2*Inputs!$C$32^2))+-Inputs!$C$33*EXP(-(((((Scenario_Data!U91)-Inputs!$C$34)^2)+(((Inputs!$C$6)-Inputs!$C$35)^2))/(2*Inputs!$C$36^2)))+Inputs!$C$37*(0.55*SIN(2*PI()*(Scenario_Data!U91)/Inputs!$C$39)+0.35*COS(2*PI()*(Inputs!$C$6)/Inputs!$C$40)+0.2*SIN(2*PI()*((Scenario_Data!U91)+(Inputs!$C$6))/(0.5*(Inputs!$C$39+Inputs!$C$40))))+Inputs!$C$38*SIN(2*PI()*(Scenario_Data!U91)/Inputs!$C$39)*SIN(2*PI()*(Inputs!$C$6)/Inputs!$C$40)+-Inputs!$C$41*EXP(-(((Inputs!$C$6)-Inputs!$C$43)^2)/(2*Inputs!$C$44^2))*EXP(-(((Scenario_Data!U91)-Inputs!$C$42)^2)/(2*Inputs!$C$45^2))+Inputs!$C$48*(0.7*(0.45*SIN(2*PI()*(((Scenario_Data!U91)/Inputs!$C$49)+Inputs!$C$47*0.137))+0.35*COS(2*PI()*(((Inputs!$C$6)/Inputs!$C$50)+Inputs!$C$47*0.173))+0.2*SIN(2*PI()*((((Scenario_Data!U91)+(Inputs!$C$6))/(0.5*(Inputs!$C$49+Inputs!$C$50)))+Inputs!$C$47*0.097)))+0.3*(2*((SIN(((Scenario_Data!U91)*12.9898+(Inputs!$C$6)*78.233+Inputs!$C$47*37.719))*43758.5453)-INT((SIN(((Scenario_Data!U91)*12.9898+(Inputs!$C$6)*78.233+Inputs!$C$47*37.719))*43758.5453)))-1))))/1000))^2-2*(Inputs!$C$52+(Scenario_Data!C91))*(Inputs!$C$52+((IF(OR(Inputs!$C$27=TRUE,Inputs!$C$27="TRUE",Inputs!$C$27=1),1,0)*(Inputs!$C$51*(115*EXP(-(((Inputs!$C$6)-25)^2)/(4.5^2))+70*EXP(-(((Inputs!$C$6)+38)^2)/(7^2))*(0.55+0.45*SIN(2*PI()*(Scenario_Data!U91)/45))+24*SIN(2*PI()*(Inputs!$C$6)/9+(Scenario_Data!U91)/18)*EXP(-(((Inputs!$C$6)+5)^2)/(22^2))+18*SIN(2*PI()*(Scenario_Data!U91)/70))+Inputs!$C$28*EXP(-(((Scenario_Data!U91)-Inputs!$C$29)^2)/(2*Inputs!$C$31^2))*EXP(-(((Inputs!$C$6)-Inputs!$C$30)^2)/(2*Inputs!$C$32^2))+-Inputs!$C$33*EXP(-(((((Scenario_Data!U91)-Inputs!$C$34)^2)+(((Inputs!$C$6)-Inputs!$C$35)^2))/(2*Inputs!$C$36^2)))+Inputs!$C$37*(0.55*SIN(2*PI()*(Scenario_Data!U91)/Inputs!$C$39)+0.35*COS(2*PI()*(Inputs!$C$6)/Inputs!$C$40)+0.2*SIN(2*PI()*((Scenario_Data!U91)+(Inputs!$C$6))/(0.5*(Inputs!$C$39+Inputs!$C$40))))+Inputs!$C$38*SIN(2*PI()*(Scenario_Data!U91)/Inputs!$C$39)*SIN(2*PI()*(Inputs!$C$6)/Inputs!$C$40)+-Inputs!$C$41*EXP(-(((Inputs!$C$6)-Inputs!$C$43)^2)/(2*Inputs!$C$44^2))*EXP(-(((Scenario_Data!U91)-Inputs!$C$42)^2)/(2*Inputs!$C$45^2))+Inputs!$C$48*(0.7*(0.45*SIN(2*PI()*(((Scenario_Data!U91)/Inputs!$C$49)+Inputs!$C$47*0.137))+0.35*COS(2*PI()*(((Inputs!$C$6)/Inputs!$C$50)+Inputs!$C$47*0.173))+0.2*SIN(2*PI()*((((Scenario_Data!U91)+(Inputs!$C$6))/(0.5*(Inputs!$C$49+Inputs!$C$50)))+Inputs!$C$47*0.097)))+0.3*(2*((SIN(((Scenario_Data!U91)*12.9898+(Inputs!$C$6)*78.233+Inputs!$C$47*37.719))*43758.5453)-INT((SIN(((Scenario_Data!U91)*12.9898+(Inputs!$C$6)*78.233+Inputs!$C$47*37.719))*43758.5453)))-1))))/1000))*COS(SQRT((Scenario_Data!U91)^2+Inputs!$C$6^2)/Inputs!$C$52))*1000)/Inputs!$C$21*1000000</f>
        <v/>
      </c>
      <c r="AT91">
        <f>Scenario_Data!V91</f>
        <v/>
      </c>
      <c r="AU91">
        <f>2*(SQRT((Inputs!$C$52+(Scenario_Data!D91))^2+(Inputs!$C$52+((IF(OR(Inputs!$C$27=TRUE,Inputs!$C$27="TRUE",Inputs!$C$27=1),1,0)*(Inputs!$C$51*(115*EXP(-(((Inputs!$C$6)-25)^2)/(4.5^2))+70*EXP(-(((Inputs!$C$6)+38)^2)/(7^2))*(0.55+0.45*SIN(2*PI()*(Scenario_Data!V91)/45))+24*SIN(2*PI()*(Inputs!$C$6)/9+(Scenario_Data!V91)/18)*EXP(-(((Inputs!$C$6)+5)^2)/(22^2))+18*SIN(2*PI()*(Scenario_Data!V91)/70))+Inputs!$C$28*EXP(-(((Scenario_Data!V91)-Inputs!$C$29)^2)/(2*Inputs!$C$31^2))*EXP(-(((Inputs!$C$6)-Inputs!$C$30)^2)/(2*Inputs!$C$32^2))+-Inputs!$C$33*EXP(-(((((Scenario_Data!V91)-Inputs!$C$34)^2)+(((Inputs!$C$6)-Inputs!$C$35)^2))/(2*Inputs!$C$36^2)))+Inputs!$C$37*(0.55*SIN(2*PI()*(Scenario_Data!V91)/Inputs!$C$39)+0.35*COS(2*PI()*(Inputs!$C$6)/Inputs!$C$40)+0.2*SIN(2*PI()*((Scenario_Data!V91)+(Inputs!$C$6))/(0.5*(Inputs!$C$39+Inputs!$C$40))))+Inputs!$C$38*SIN(2*PI()*(Scenario_Data!V91)/Inputs!$C$39)*SIN(2*PI()*(Inputs!$C$6)/Inputs!$C$40)+-Inputs!$C$41*EXP(-(((Inputs!$C$6)-Inputs!$C$43)^2)/(2*Inputs!$C$44^2))*EXP(-(((Scenario_Data!V91)-Inputs!$C$42)^2)/(2*Inputs!$C$45^2))+Inputs!$C$48*(0.7*(0.45*SIN(2*PI()*(((Scenario_Data!V91)/Inputs!$C$49)+Inputs!$C$47*0.137))+0.35*COS(2*PI()*(((Inputs!$C$6)/Inputs!$C$50)+Inputs!$C$47*0.173))+0.2*SIN(2*PI()*((((Scenario_Data!V91)+(Inputs!$C$6))/(0.5*(Inputs!$C$49+Inputs!$C$50)))+Inputs!$C$47*0.097)))+0.3*(2*((SIN(((Scenario_Data!V91)*12.9898+(Inputs!$C$6)*78.233+Inputs!$C$47*37.719))*43758.5453)-INT((SIN(((Scenario_Data!V91)*12.9898+(Inputs!$C$6)*78.233+Inputs!$C$47*37.719))*43758.5453)))-1))))/1000))^2-2*(Inputs!$C$52+(Scenario_Data!D91))*(Inputs!$C$52+((IF(OR(Inputs!$C$27=TRUE,Inputs!$C$27="TRUE",Inputs!$C$27=1),1,0)*(Inputs!$C$51*(115*EXP(-(((Inputs!$C$6)-25)^2)/(4.5^2))+70*EXP(-(((Inputs!$C$6)+38)^2)/(7^2))*(0.55+0.45*SIN(2*PI()*(Scenario_Data!V91)/45))+24*SIN(2*PI()*(Inputs!$C$6)/9+(Scenario_Data!V91)/18)*EXP(-(((Inputs!$C$6)+5)^2)/(22^2))+18*SIN(2*PI()*(Scenario_Data!V91)/70))+Inputs!$C$28*EXP(-(((Scenario_Data!V91)-Inputs!$C$29)^2)/(2*Inputs!$C$31^2))*EXP(-(((Inputs!$C$6)-Inputs!$C$30)^2)/(2*Inputs!$C$32^2))+-Inputs!$C$33*EXP(-(((((Scenario_Data!V91)-Inputs!$C$34)^2)+(((Inputs!$C$6)-Inputs!$C$35)^2))/(2*Inputs!$C$36^2)))+Inputs!$C$37*(0.55*SIN(2*PI()*(Scenario_Data!V91)/Inputs!$C$39)+0.35*COS(2*PI()*(Inputs!$C$6)/Inputs!$C$40)+0.2*SIN(2*PI()*((Scenario_Data!V91)+(Inputs!$C$6))/(0.5*(Inputs!$C$39+Inputs!$C$40))))+Inputs!$C$38*SIN(2*PI()*(Scenario_Data!V91)/Inputs!$C$39)*SIN(2*PI()*(Inputs!$C$6)/Inputs!$C$40)+-Inputs!$C$41*EXP(-(((Inputs!$C$6)-Inputs!$C$43)^2)/(2*Inputs!$C$44^2))*EXP(-(((Scenario_Data!V91)-Inputs!$C$42)^2)/(2*Inputs!$C$45^2))+Inputs!$C$48*(0.7*(0.45*SIN(2*PI()*(((Scenario_Data!V91)/Inputs!$C$49)+Inputs!$C$47*0.137))+0.35*COS(2*PI()*(((Inputs!$C$6)/Inputs!$C$50)+Inputs!$C$47*0.173))+0.2*SIN(2*PI()*((((Scenario_Data!V91)+(Inputs!$C$6))/(0.5*(Inputs!$C$49+Inputs!$C$50)))+Inputs!$C$47*0.097)))+0.3*(2*((SIN(((Scenario_Data!V91)*12.9898+(Inputs!$C$6)*78.233+Inputs!$C$47*37.719))*43758.5453)-INT((SIN(((Scenario_Data!V91)*12.9898+(Inputs!$C$6)*78.233+Inputs!$C$47*37.719))*43758.5453)))-1))))/1000))*COS(SQRT((Scenario_Data!V91)^2+Inputs!$C$6^2)/Inputs!$C$52))*1000)/Inputs!$C$21*1000000</f>
        <v/>
      </c>
      <c r="AV91">
        <f>Scenario_Data!W91</f>
        <v/>
      </c>
      <c r="AW91">
        <f>2*(SQRT((Inputs!$C$52+(Scenario_Data!E91))^2+(Inputs!$C$52+((IF(OR(Inputs!$C$27=TRUE,Inputs!$C$27="TRUE",Inputs!$C$27=1),1,0)*(Inputs!$C$51*(115*EXP(-(((Inputs!$C$6)-25)^2)/(4.5^2))+70*EXP(-(((Inputs!$C$6)+38)^2)/(7^2))*(0.55+0.45*SIN(2*PI()*(Scenario_Data!W91)/45))+24*SIN(2*PI()*(Inputs!$C$6)/9+(Scenario_Data!W91)/18)*EXP(-(((Inputs!$C$6)+5)^2)/(22^2))+18*SIN(2*PI()*(Scenario_Data!W91)/70))+Inputs!$C$28*EXP(-(((Scenario_Data!W91)-Inputs!$C$29)^2)/(2*Inputs!$C$31^2))*EXP(-(((Inputs!$C$6)-Inputs!$C$30)^2)/(2*Inputs!$C$32^2))+-Inputs!$C$33*EXP(-(((((Scenario_Data!W91)-Inputs!$C$34)^2)+(((Inputs!$C$6)-Inputs!$C$35)^2))/(2*Inputs!$C$36^2)))+Inputs!$C$37*(0.55*SIN(2*PI()*(Scenario_Data!W91)/Inputs!$C$39)+0.35*COS(2*PI()*(Inputs!$C$6)/Inputs!$C$40)+0.2*SIN(2*PI()*((Scenario_Data!W91)+(Inputs!$C$6))/(0.5*(Inputs!$C$39+Inputs!$C$40))))+Inputs!$C$38*SIN(2*PI()*(Scenario_Data!W91)/Inputs!$C$39)*SIN(2*PI()*(Inputs!$C$6)/Inputs!$C$40)+-Inputs!$C$41*EXP(-(((Inputs!$C$6)-Inputs!$C$43)^2)/(2*Inputs!$C$44^2))*EXP(-(((Scenario_Data!W91)-Inputs!$C$42)^2)/(2*Inputs!$C$45^2))+Inputs!$C$48*(0.7*(0.45*SIN(2*PI()*(((Scenario_Data!W91)/Inputs!$C$49)+Inputs!$C$47*0.137))+0.35*COS(2*PI()*(((Inputs!$C$6)/Inputs!$C$50)+Inputs!$C$47*0.173))+0.2*SIN(2*PI()*((((Scenario_Data!W91)+(Inputs!$C$6))/(0.5*(Inputs!$C$49+Inputs!$C$50)))+Inputs!$C$47*0.097)))+0.3*(2*((SIN(((Scenario_Data!W91)*12.9898+(Inputs!$C$6)*78.233+Inputs!$C$47*37.719))*43758.5453)-INT((SIN(((Scenario_Data!W91)*12.9898+(Inputs!$C$6)*78.233+Inputs!$C$47*37.719))*43758.5453)))-1))))/1000))^2-2*(Inputs!$C$52+(Scenario_Data!E91))*(Inputs!$C$52+((IF(OR(Inputs!$C$27=TRUE,Inputs!$C$27="TRUE",Inputs!$C$27=1),1,0)*(Inputs!$C$51*(115*EXP(-(((Inputs!$C$6)-25)^2)/(4.5^2))+70*EXP(-(((Inputs!$C$6)+38)^2)/(7^2))*(0.55+0.45*SIN(2*PI()*(Scenario_Data!W91)/45))+24*SIN(2*PI()*(Inputs!$C$6)/9+(Scenario_Data!W91)/18)*EXP(-(((Inputs!$C$6)+5)^2)/(22^2))+18*SIN(2*PI()*(Scenario_Data!W91)/70))+Inputs!$C$28*EXP(-(((Scenario_Data!W91)-Inputs!$C$29)^2)/(2*Inputs!$C$31^2))*EXP(-(((Inputs!$C$6)-Inputs!$C$30)^2)/(2*Inputs!$C$32^2))+-Inputs!$C$33*EXP(-(((((Scenario_Data!W91)-Inputs!$C$34)^2)+(((Inputs!$C$6)-Inputs!$C$35)^2))/(2*Inputs!$C$36^2)))+Inputs!$C$37*(0.55*SIN(2*PI()*(Scenario_Data!W91)/Inputs!$C$39)+0.35*COS(2*PI()*(Inputs!$C$6)/Inputs!$C$40)+0.2*SIN(2*PI()*((Scenario_Data!W91)+(Inputs!$C$6))/(0.5*(Inputs!$C$39+Inputs!$C$40))))+Inputs!$C$38*SIN(2*PI()*(Scenario_Data!W91)/Inputs!$C$39)*SIN(2*PI()*(Inputs!$C$6)/Inputs!$C$40)+-Inputs!$C$41*EXP(-(((Inputs!$C$6)-Inputs!$C$43)^2)/(2*Inputs!$C$44^2))*EXP(-(((Scenario_Data!W91)-Inputs!$C$42)^2)/(2*Inputs!$C$45^2))+Inputs!$C$48*(0.7*(0.45*SIN(2*PI()*(((Scenario_Data!W91)/Inputs!$C$49)+Inputs!$C$47*0.137))+0.35*COS(2*PI()*(((Inputs!$C$6)/Inputs!$C$50)+Inputs!$C$47*0.173))+0.2*SIN(2*PI()*((((Scenario_Data!W91)+(Inputs!$C$6))/(0.5*(Inputs!$C$49+Inputs!$C$50)))+Inputs!$C$47*0.097)))+0.3*(2*((SIN(((Scenario_Data!W91)*12.9898+(Inputs!$C$6)*78.233+Inputs!$C$47*37.719))*43758.5453)-INT((SIN(((Scenario_Data!W91)*12.9898+(Inputs!$C$6)*78.233+Inputs!$C$47*37.719))*43758.5453)))-1))))/1000))*COS(SQRT((Scenario_Data!W91)^2+Inputs!$C$6^2)/Inputs!$C$52))*1000)/Inputs!$C$21*1000000</f>
        <v/>
      </c>
    </row>
    <row r="92">
      <c r="A92">
        <f>Chart_Data!K92</f>
        <v/>
      </c>
      <c r="B92">
        <f>Chart_Data!N92-Chart_Data!L92</f>
        <v/>
      </c>
      <c r="D92">
        <f>Chart_Data!G92</f>
        <v/>
      </c>
      <c r="E92">
        <f>Chart_Data!H92</f>
        <v/>
      </c>
      <c r="F92">
        <f>Chart_Data!I92</f>
        <v/>
      </c>
      <c r="G92">
        <f>Chart_Data!J92</f>
        <v/>
      </c>
      <c r="I92">
        <f>Scenario_Data!A92</f>
        <v/>
      </c>
      <c r="J92">
        <f>Scenario_Data!H92-(((SQRT((Inputs!$C$52+(Inputs!$H$6))^2+Inputs!$C$52^2-2*(Inputs!$C$52+(Inputs!$H$6))*Inputs!$C$52*COS(SQRT((Scenario_Data!T92)^2+Inputs!$C$6^2)/Inputs!$C$52)))-(Inputs!$H$6))*1000/Inputs!$C$12)</f>
        <v/>
      </c>
      <c r="K92">
        <f>Scenario_Data!I92-(((SQRT((Inputs!$C$52+(Inputs!$H$7))^2+Inputs!$C$52^2-2*(Inputs!$C$52+(Inputs!$H$7))*Inputs!$C$52*COS(SQRT((Scenario_Data!U92)^2+Inputs!$C$6^2)/Inputs!$C$52)))-(Inputs!$H$7))*1000/Inputs!$C$12)</f>
        <v/>
      </c>
      <c r="L92">
        <f>Scenario_Data!J92-(((SQRT((Inputs!$C$52+(Inputs!$H$8))^2+Inputs!$C$52^2-2*(Inputs!$C$52+(Inputs!$H$8))*Inputs!$C$52*COS(SQRT((Scenario_Data!V92)^2+Inputs!$C$6^2)/Inputs!$C$52)))-(Inputs!$H$8))*1000/Inputs!$C$12)</f>
        <v/>
      </c>
      <c r="M92">
        <f>Scenario_Data!K92-(((SQRT((Inputs!$C$52+(Inputs!$H$9))^2+Inputs!$C$52^2-2*(Inputs!$C$52+(Inputs!$H$9))*Inputs!$C$52*COS(SQRT((Scenario_Data!W92)^2+Inputs!$C$6^2)/Inputs!$C$52)))-(Inputs!$H$9))*1000/Inputs!$C$12)</f>
        <v/>
      </c>
      <c r="O92">
        <f>Scenario_Data!T92</f>
        <v/>
      </c>
      <c r="P92">
        <f>2*(Scenario_Data!B92*1000)/Inputs!$C$21*1000000</f>
        <v/>
      </c>
      <c r="Q92">
        <f>Scenario_Data!U92</f>
        <v/>
      </c>
      <c r="R92">
        <f>2*(Scenario_Data!C92*1000)/Inputs!$C$21*1000000</f>
        <v/>
      </c>
      <c r="S92">
        <f>Scenario_Data!V92</f>
        <v/>
      </c>
      <c r="T92">
        <f>2*(Scenario_Data!D92*1000)/Inputs!$C$21*1000000</f>
        <v/>
      </c>
      <c r="U92">
        <f>Scenario_Data!W92</f>
        <v/>
      </c>
      <c r="V92">
        <f>2*(Scenario_Data!E92*1000)/Inputs!$C$21*1000000</f>
        <v/>
      </c>
      <c r="X92">
        <f>Scenario_Data!T92</f>
        <v/>
      </c>
      <c r="Y92">
        <f>2*((Scenario_Data!B92*1000)-(IF(OR(Inputs!$C$27=TRUE,Inputs!$C$27="TRUE",Inputs!$C$27=1),1,0)*(Inputs!$C$51*(115*EXP(-(((0)-25)^2)/(4.5^2))+70*EXP(-(((0)+38)^2)/(7^2))*(0.55+0.45*SIN(2*PI()*(Scenario_Data!T92)/45))+24*SIN(2*PI()*(0)/9+(Scenario_Data!T92)/18)*EXP(-(((0)+5)^2)/(22^2))+18*SIN(2*PI()*(Scenario_Data!T92)/70))+Inputs!$C$28*EXP(-(((Scenario_Data!T92)-Inputs!$C$29)^2)/(2*Inputs!$C$31^2))*EXP(-(((0)-Inputs!$C$30)^2)/(2*Inputs!$C$32^2))+-Inputs!$C$33*EXP(-(((((Scenario_Data!T92)-Inputs!$C$34)^2)+(((0)-Inputs!$C$35)^2))/(2*Inputs!$C$36^2)))+Inputs!$C$37*(0.55*SIN(2*PI()*(Scenario_Data!T92)/Inputs!$C$39)+0.35*COS(2*PI()*(0)/Inputs!$C$40)+0.2*SIN(2*PI()*((Scenario_Data!T92)+(0))/(0.5*(Inputs!$C$39+Inputs!$C$40))))+Inputs!$C$38*SIN(2*PI()*(Scenario_Data!T92)/Inputs!$C$39)*SIN(2*PI()*(0)/Inputs!$C$40)+-Inputs!$C$41*EXP(-(((0)-Inputs!$C$43)^2)/(2*Inputs!$C$44^2))*EXP(-(((Scenario_Data!T92)-Inputs!$C$42)^2)/(2*Inputs!$C$45^2))+Inputs!$C$48*(0.7*(0.45*SIN(2*PI()*(((Scenario_Data!T92)/Inputs!$C$49)+Inputs!$C$47*0.137))+0.35*COS(2*PI()*(((0)/Inputs!$C$50)+Inputs!$C$47*0.173))+0.2*SIN(2*PI()*((((Scenario_Data!T92)+(0))/(0.5*(Inputs!$C$49+Inputs!$C$50)))+Inputs!$C$47*0.097)))+0.3*(2*((SIN(((Scenario_Data!T92)*12.9898+(0)*78.233+Inputs!$C$47*37.719))*43758.5453)-INT((SIN(((Scenario_Data!T92)*12.9898+(0)*78.233+Inputs!$C$47*37.719))*43758.5453)))-1)))))/Inputs!$C$21*1000000</f>
        <v/>
      </c>
      <c r="Z92">
        <f>Scenario_Data!U92</f>
        <v/>
      </c>
      <c r="AA92">
        <f>2*((Scenario_Data!C92*1000)-(IF(OR(Inputs!$C$27=TRUE,Inputs!$C$27="TRUE",Inputs!$C$27=1),1,0)*(Inputs!$C$51*(115*EXP(-(((0)-25)^2)/(4.5^2))+70*EXP(-(((0)+38)^2)/(7^2))*(0.55+0.45*SIN(2*PI()*(Scenario_Data!U92)/45))+24*SIN(2*PI()*(0)/9+(Scenario_Data!U92)/18)*EXP(-(((0)+5)^2)/(22^2))+18*SIN(2*PI()*(Scenario_Data!U92)/70))+Inputs!$C$28*EXP(-(((Scenario_Data!U92)-Inputs!$C$29)^2)/(2*Inputs!$C$31^2))*EXP(-(((0)-Inputs!$C$30)^2)/(2*Inputs!$C$32^2))+-Inputs!$C$33*EXP(-(((((Scenario_Data!U92)-Inputs!$C$34)^2)+(((0)-Inputs!$C$35)^2))/(2*Inputs!$C$36^2)))+Inputs!$C$37*(0.55*SIN(2*PI()*(Scenario_Data!U92)/Inputs!$C$39)+0.35*COS(2*PI()*(0)/Inputs!$C$40)+0.2*SIN(2*PI()*((Scenario_Data!U92)+(0))/(0.5*(Inputs!$C$39+Inputs!$C$40))))+Inputs!$C$38*SIN(2*PI()*(Scenario_Data!U92)/Inputs!$C$39)*SIN(2*PI()*(0)/Inputs!$C$40)+-Inputs!$C$41*EXP(-(((0)-Inputs!$C$43)^2)/(2*Inputs!$C$44^2))*EXP(-(((Scenario_Data!U92)-Inputs!$C$42)^2)/(2*Inputs!$C$45^2))+Inputs!$C$48*(0.7*(0.45*SIN(2*PI()*(((Scenario_Data!U92)/Inputs!$C$49)+Inputs!$C$47*0.137))+0.35*COS(2*PI()*(((0)/Inputs!$C$50)+Inputs!$C$47*0.173))+0.2*SIN(2*PI()*((((Scenario_Data!U92)+(0))/(0.5*(Inputs!$C$49+Inputs!$C$50)))+Inputs!$C$47*0.097)))+0.3*(2*((SIN(((Scenario_Data!U92)*12.9898+(0)*78.233+Inputs!$C$47*37.719))*43758.5453)-INT((SIN(((Scenario_Data!U92)*12.9898+(0)*78.233+Inputs!$C$47*37.719))*43758.5453)))-1)))))/Inputs!$C$21*1000000</f>
        <v/>
      </c>
      <c r="AB92">
        <f>Scenario_Data!V92</f>
        <v/>
      </c>
      <c r="AC92">
        <f>2*((Scenario_Data!D92*1000)-(IF(OR(Inputs!$C$27=TRUE,Inputs!$C$27="TRUE",Inputs!$C$27=1),1,0)*(Inputs!$C$51*(115*EXP(-(((0)-25)^2)/(4.5^2))+70*EXP(-(((0)+38)^2)/(7^2))*(0.55+0.45*SIN(2*PI()*(Scenario_Data!V92)/45))+24*SIN(2*PI()*(0)/9+(Scenario_Data!V92)/18)*EXP(-(((0)+5)^2)/(22^2))+18*SIN(2*PI()*(Scenario_Data!V92)/70))+Inputs!$C$28*EXP(-(((Scenario_Data!V92)-Inputs!$C$29)^2)/(2*Inputs!$C$31^2))*EXP(-(((0)-Inputs!$C$30)^2)/(2*Inputs!$C$32^2))+-Inputs!$C$33*EXP(-(((((Scenario_Data!V92)-Inputs!$C$34)^2)+(((0)-Inputs!$C$35)^2))/(2*Inputs!$C$36^2)))+Inputs!$C$37*(0.55*SIN(2*PI()*(Scenario_Data!V92)/Inputs!$C$39)+0.35*COS(2*PI()*(0)/Inputs!$C$40)+0.2*SIN(2*PI()*((Scenario_Data!V92)+(0))/(0.5*(Inputs!$C$39+Inputs!$C$40))))+Inputs!$C$38*SIN(2*PI()*(Scenario_Data!V92)/Inputs!$C$39)*SIN(2*PI()*(0)/Inputs!$C$40)+-Inputs!$C$41*EXP(-(((0)-Inputs!$C$43)^2)/(2*Inputs!$C$44^2))*EXP(-(((Scenario_Data!V92)-Inputs!$C$42)^2)/(2*Inputs!$C$45^2))+Inputs!$C$48*(0.7*(0.45*SIN(2*PI()*(((Scenario_Data!V92)/Inputs!$C$49)+Inputs!$C$47*0.137))+0.35*COS(2*PI()*(((0)/Inputs!$C$50)+Inputs!$C$47*0.173))+0.2*SIN(2*PI()*((((Scenario_Data!V92)+(0))/(0.5*(Inputs!$C$49+Inputs!$C$50)))+Inputs!$C$47*0.097)))+0.3*(2*((SIN(((Scenario_Data!V92)*12.9898+(0)*78.233+Inputs!$C$47*37.719))*43758.5453)-INT((SIN(((Scenario_Data!V92)*12.9898+(0)*78.233+Inputs!$C$47*37.719))*43758.5453)))-1)))))/Inputs!$C$21*1000000</f>
        <v/>
      </c>
      <c r="AD92">
        <f>Scenario_Data!W92</f>
        <v/>
      </c>
      <c r="AE92">
        <f>2*((Scenario_Data!E92*1000)-(IF(OR(Inputs!$C$27=TRUE,Inputs!$C$27="TRUE",Inputs!$C$27=1),1,0)*(Inputs!$C$51*(115*EXP(-(((0)-25)^2)/(4.5^2))+70*EXP(-(((0)+38)^2)/(7^2))*(0.55+0.45*SIN(2*PI()*(Scenario_Data!W92)/45))+24*SIN(2*PI()*(0)/9+(Scenario_Data!W92)/18)*EXP(-(((0)+5)^2)/(22^2))+18*SIN(2*PI()*(Scenario_Data!W92)/70))+Inputs!$C$28*EXP(-(((Scenario_Data!W92)-Inputs!$C$29)^2)/(2*Inputs!$C$31^2))*EXP(-(((0)-Inputs!$C$30)^2)/(2*Inputs!$C$32^2))+-Inputs!$C$33*EXP(-(((((Scenario_Data!W92)-Inputs!$C$34)^2)+(((0)-Inputs!$C$35)^2))/(2*Inputs!$C$36^2)))+Inputs!$C$37*(0.55*SIN(2*PI()*(Scenario_Data!W92)/Inputs!$C$39)+0.35*COS(2*PI()*(0)/Inputs!$C$40)+0.2*SIN(2*PI()*((Scenario_Data!W92)+(0))/(0.5*(Inputs!$C$39+Inputs!$C$40))))+Inputs!$C$38*SIN(2*PI()*(Scenario_Data!W92)/Inputs!$C$39)*SIN(2*PI()*(0)/Inputs!$C$40)+-Inputs!$C$41*EXP(-(((0)-Inputs!$C$43)^2)/(2*Inputs!$C$44^2))*EXP(-(((Scenario_Data!W92)-Inputs!$C$42)^2)/(2*Inputs!$C$45^2))+Inputs!$C$48*(0.7*(0.45*SIN(2*PI()*(((Scenario_Data!W92)/Inputs!$C$49)+Inputs!$C$47*0.137))+0.35*COS(2*PI()*(((0)/Inputs!$C$50)+Inputs!$C$47*0.173))+0.2*SIN(2*PI()*((((Scenario_Data!W92)+(0))/(0.5*(Inputs!$C$49+Inputs!$C$50)))+Inputs!$C$47*0.097)))+0.3*(2*((SIN(((Scenario_Data!W92)*12.9898+(0)*78.233+Inputs!$C$47*37.719))*43758.5453)-INT((SIN(((Scenario_Data!W92)*12.9898+(0)*78.233+Inputs!$C$47*37.719))*43758.5453)))-1)))))/Inputs!$C$21*1000000</f>
        <v/>
      </c>
      <c r="AG92">
        <f>Scenario_Data!T92</f>
        <v/>
      </c>
      <c r="AH92">
        <f>2*(SQRT((Inputs!$C$52+(Scenario_Data!B92))^2+Inputs!$C$52^2-2*(Inputs!$C$52+(Scenario_Data!B92))*Inputs!$C$52*COS(SQRT((Scenario_Data!T92)^2+Inputs!$C$6^2)/Inputs!$C$52))*1000)/Inputs!$C$21*1000000</f>
        <v/>
      </c>
      <c r="AI92">
        <f>Scenario_Data!U92</f>
        <v/>
      </c>
      <c r="AJ92">
        <f>2*(SQRT((Inputs!$C$52+(Scenario_Data!C92))^2+Inputs!$C$52^2-2*(Inputs!$C$52+(Scenario_Data!C92))*Inputs!$C$52*COS(SQRT((Scenario_Data!U92)^2+Inputs!$C$6^2)/Inputs!$C$52))*1000)/Inputs!$C$21*1000000</f>
        <v/>
      </c>
      <c r="AK92">
        <f>Scenario_Data!V92</f>
        <v/>
      </c>
      <c r="AL92">
        <f>2*(SQRT((Inputs!$C$52+(Scenario_Data!D92))^2+Inputs!$C$52^2-2*(Inputs!$C$52+(Scenario_Data!D92))*Inputs!$C$52*COS(SQRT((Scenario_Data!V92)^2+Inputs!$C$6^2)/Inputs!$C$52))*1000)/Inputs!$C$21*1000000</f>
        <v/>
      </c>
      <c r="AM92">
        <f>Scenario_Data!W92</f>
        <v/>
      </c>
      <c r="AN92">
        <f>2*(SQRT((Inputs!$C$52+(Scenario_Data!E92))^2+Inputs!$C$52^2-2*(Inputs!$C$52+(Scenario_Data!E92))*Inputs!$C$52*COS(SQRT((Scenario_Data!W92)^2+Inputs!$C$6^2)/Inputs!$C$52))*1000)/Inputs!$C$21*1000000</f>
        <v/>
      </c>
      <c r="AP92">
        <f>Scenario_Data!T92</f>
        <v/>
      </c>
      <c r="AQ92">
        <f>2*(SQRT((Inputs!$C$52+(Scenario_Data!B92))^2+(Inputs!$C$52+((IF(OR(Inputs!$C$27=TRUE,Inputs!$C$27="TRUE",Inputs!$C$27=1),1,0)*(Inputs!$C$51*(115*EXP(-(((Inputs!$C$6)-25)^2)/(4.5^2))+70*EXP(-(((Inputs!$C$6)+38)^2)/(7^2))*(0.55+0.45*SIN(2*PI()*(Scenario_Data!T92)/45))+24*SIN(2*PI()*(Inputs!$C$6)/9+(Scenario_Data!T92)/18)*EXP(-(((Inputs!$C$6)+5)^2)/(22^2))+18*SIN(2*PI()*(Scenario_Data!T92)/70))+Inputs!$C$28*EXP(-(((Scenario_Data!T92)-Inputs!$C$29)^2)/(2*Inputs!$C$31^2))*EXP(-(((Inputs!$C$6)-Inputs!$C$30)^2)/(2*Inputs!$C$32^2))+-Inputs!$C$33*EXP(-(((((Scenario_Data!T92)-Inputs!$C$34)^2)+(((Inputs!$C$6)-Inputs!$C$35)^2))/(2*Inputs!$C$36^2)))+Inputs!$C$37*(0.55*SIN(2*PI()*(Scenario_Data!T92)/Inputs!$C$39)+0.35*COS(2*PI()*(Inputs!$C$6)/Inputs!$C$40)+0.2*SIN(2*PI()*((Scenario_Data!T92)+(Inputs!$C$6))/(0.5*(Inputs!$C$39+Inputs!$C$40))))+Inputs!$C$38*SIN(2*PI()*(Scenario_Data!T92)/Inputs!$C$39)*SIN(2*PI()*(Inputs!$C$6)/Inputs!$C$40)+-Inputs!$C$41*EXP(-(((Inputs!$C$6)-Inputs!$C$43)^2)/(2*Inputs!$C$44^2))*EXP(-(((Scenario_Data!T92)-Inputs!$C$42)^2)/(2*Inputs!$C$45^2))+Inputs!$C$48*(0.7*(0.45*SIN(2*PI()*(((Scenario_Data!T92)/Inputs!$C$49)+Inputs!$C$47*0.137))+0.35*COS(2*PI()*(((Inputs!$C$6)/Inputs!$C$50)+Inputs!$C$47*0.173))+0.2*SIN(2*PI()*((((Scenario_Data!T92)+(Inputs!$C$6))/(0.5*(Inputs!$C$49+Inputs!$C$50)))+Inputs!$C$47*0.097)))+0.3*(2*((SIN(((Scenario_Data!T92)*12.9898+(Inputs!$C$6)*78.233+Inputs!$C$47*37.719))*43758.5453)-INT((SIN(((Scenario_Data!T92)*12.9898+(Inputs!$C$6)*78.233+Inputs!$C$47*37.719))*43758.5453)))-1))))/1000))^2-2*(Inputs!$C$52+(Scenario_Data!B92))*(Inputs!$C$52+((IF(OR(Inputs!$C$27=TRUE,Inputs!$C$27="TRUE",Inputs!$C$27=1),1,0)*(Inputs!$C$51*(115*EXP(-(((Inputs!$C$6)-25)^2)/(4.5^2))+70*EXP(-(((Inputs!$C$6)+38)^2)/(7^2))*(0.55+0.45*SIN(2*PI()*(Scenario_Data!T92)/45))+24*SIN(2*PI()*(Inputs!$C$6)/9+(Scenario_Data!T92)/18)*EXP(-(((Inputs!$C$6)+5)^2)/(22^2))+18*SIN(2*PI()*(Scenario_Data!T92)/70))+Inputs!$C$28*EXP(-(((Scenario_Data!T92)-Inputs!$C$29)^2)/(2*Inputs!$C$31^2))*EXP(-(((Inputs!$C$6)-Inputs!$C$30)^2)/(2*Inputs!$C$32^2))+-Inputs!$C$33*EXP(-(((((Scenario_Data!T92)-Inputs!$C$34)^2)+(((Inputs!$C$6)-Inputs!$C$35)^2))/(2*Inputs!$C$36^2)))+Inputs!$C$37*(0.55*SIN(2*PI()*(Scenario_Data!T92)/Inputs!$C$39)+0.35*COS(2*PI()*(Inputs!$C$6)/Inputs!$C$40)+0.2*SIN(2*PI()*((Scenario_Data!T92)+(Inputs!$C$6))/(0.5*(Inputs!$C$39+Inputs!$C$40))))+Inputs!$C$38*SIN(2*PI()*(Scenario_Data!T92)/Inputs!$C$39)*SIN(2*PI()*(Inputs!$C$6)/Inputs!$C$40)+-Inputs!$C$41*EXP(-(((Inputs!$C$6)-Inputs!$C$43)^2)/(2*Inputs!$C$44^2))*EXP(-(((Scenario_Data!T92)-Inputs!$C$42)^2)/(2*Inputs!$C$45^2))+Inputs!$C$48*(0.7*(0.45*SIN(2*PI()*(((Scenario_Data!T92)/Inputs!$C$49)+Inputs!$C$47*0.137))+0.35*COS(2*PI()*(((Inputs!$C$6)/Inputs!$C$50)+Inputs!$C$47*0.173))+0.2*SIN(2*PI()*((((Scenario_Data!T92)+(Inputs!$C$6))/(0.5*(Inputs!$C$49+Inputs!$C$50)))+Inputs!$C$47*0.097)))+0.3*(2*((SIN(((Scenario_Data!T92)*12.9898+(Inputs!$C$6)*78.233+Inputs!$C$47*37.719))*43758.5453)-INT((SIN(((Scenario_Data!T92)*12.9898+(Inputs!$C$6)*78.233+Inputs!$C$47*37.719))*43758.5453)))-1))))/1000))*COS(SQRT((Scenario_Data!T92)^2+Inputs!$C$6^2)/Inputs!$C$52))*1000)/Inputs!$C$21*1000000</f>
        <v/>
      </c>
      <c r="AR92">
        <f>Scenario_Data!U92</f>
        <v/>
      </c>
      <c r="AS92">
        <f>2*(SQRT((Inputs!$C$52+(Scenario_Data!C92))^2+(Inputs!$C$52+((IF(OR(Inputs!$C$27=TRUE,Inputs!$C$27="TRUE",Inputs!$C$27=1),1,0)*(Inputs!$C$51*(115*EXP(-(((Inputs!$C$6)-25)^2)/(4.5^2))+70*EXP(-(((Inputs!$C$6)+38)^2)/(7^2))*(0.55+0.45*SIN(2*PI()*(Scenario_Data!U92)/45))+24*SIN(2*PI()*(Inputs!$C$6)/9+(Scenario_Data!U92)/18)*EXP(-(((Inputs!$C$6)+5)^2)/(22^2))+18*SIN(2*PI()*(Scenario_Data!U92)/70))+Inputs!$C$28*EXP(-(((Scenario_Data!U92)-Inputs!$C$29)^2)/(2*Inputs!$C$31^2))*EXP(-(((Inputs!$C$6)-Inputs!$C$30)^2)/(2*Inputs!$C$32^2))+-Inputs!$C$33*EXP(-(((((Scenario_Data!U92)-Inputs!$C$34)^2)+(((Inputs!$C$6)-Inputs!$C$35)^2))/(2*Inputs!$C$36^2)))+Inputs!$C$37*(0.55*SIN(2*PI()*(Scenario_Data!U92)/Inputs!$C$39)+0.35*COS(2*PI()*(Inputs!$C$6)/Inputs!$C$40)+0.2*SIN(2*PI()*((Scenario_Data!U92)+(Inputs!$C$6))/(0.5*(Inputs!$C$39+Inputs!$C$40))))+Inputs!$C$38*SIN(2*PI()*(Scenario_Data!U92)/Inputs!$C$39)*SIN(2*PI()*(Inputs!$C$6)/Inputs!$C$40)+-Inputs!$C$41*EXP(-(((Inputs!$C$6)-Inputs!$C$43)^2)/(2*Inputs!$C$44^2))*EXP(-(((Scenario_Data!U92)-Inputs!$C$42)^2)/(2*Inputs!$C$45^2))+Inputs!$C$48*(0.7*(0.45*SIN(2*PI()*(((Scenario_Data!U92)/Inputs!$C$49)+Inputs!$C$47*0.137))+0.35*COS(2*PI()*(((Inputs!$C$6)/Inputs!$C$50)+Inputs!$C$47*0.173))+0.2*SIN(2*PI()*((((Scenario_Data!U92)+(Inputs!$C$6))/(0.5*(Inputs!$C$49+Inputs!$C$50)))+Inputs!$C$47*0.097)))+0.3*(2*((SIN(((Scenario_Data!U92)*12.9898+(Inputs!$C$6)*78.233+Inputs!$C$47*37.719))*43758.5453)-INT((SIN(((Scenario_Data!U92)*12.9898+(Inputs!$C$6)*78.233+Inputs!$C$47*37.719))*43758.5453)))-1))))/1000))^2-2*(Inputs!$C$52+(Scenario_Data!C92))*(Inputs!$C$52+((IF(OR(Inputs!$C$27=TRUE,Inputs!$C$27="TRUE",Inputs!$C$27=1),1,0)*(Inputs!$C$51*(115*EXP(-(((Inputs!$C$6)-25)^2)/(4.5^2))+70*EXP(-(((Inputs!$C$6)+38)^2)/(7^2))*(0.55+0.45*SIN(2*PI()*(Scenario_Data!U92)/45))+24*SIN(2*PI()*(Inputs!$C$6)/9+(Scenario_Data!U92)/18)*EXP(-(((Inputs!$C$6)+5)^2)/(22^2))+18*SIN(2*PI()*(Scenario_Data!U92)/70))+Inputs!$C$28*EXP(-(((Scenario_Data!U92)-Inputs!$C$29)^2)/(2*Inputs!$C$31^2))*EXP(-(((Inputs!$C$6)-Inputs!$C$30)^2)/(2*Inputs!$C$32^2))+-Inputs!$C$33*EXP(-(((((Scenario_Data!U92)-Inputs!$C$34)^2)+(((Inputs!$C$6)-Inputs!$C$35)^2))/(2*Inputs!$C$36^2)))+Inputs!$C$37*(0.55*SIN(2*PI()*(Scenario_Data!U92)/Inputs!$C$39)+0.35*COS(2*PI()*(Inputs!$C$6)/Inputs!$C$40)+0.2*SIN(2*PI()*((Scenario_Data!U92)+(Inputs!$C$6))/(0.5*(Inputs!$C$39+Inputs!$C$40))))+Inputs!$C$38*SIN(2*PI()*(Scenario_Data!U92)/Inputs!$C$39)*SIN(2*PI()*(Inputs!$C$6)/Inputs!$C$40)+-Inputs!$C$41*EXP(-(((Inputs!$C$6)-Inputs!$C$43)^2)/(2*Inputs!$C$44^2))*EXP(-(((Scenario_Data!U92)-Inputs!$C$42)^2)/(2*Inputs!$C$45^2))+Inputs!$C$48*(0.7*(0.45*SIN(2*PI()*(((Scenario_Data!U92)/Inputs!$C$49)+Inputs!$C$47*0.137))+0.35*COS(2*PI()*(((Inputs!$C$6)/Inputs!$C$50)+Inputs!$C$47*0.173))+0.2*SIN(2*PI()*((((Scenario_Data!U92)+(Inputs!$C$6))/(0.5*(Inputs!$C$49+Inputs!$C$50)))+Inputs!$C$47*0.097)))+0.3*(2*((SIN(((Scenario_Data!U92)*12.9898+(Inputs!$C$6)*78.233+Inputs!$C$47*37.719))*43758.5453)-INT((SIN(((Scenario_Data!U92)*12.9898+(Inputs!$C$6)*78.233+Inputs!$C$47*37.719))*43758.5453)))-1))))/1000))*COS(SQRT((Scenario_Data!U92)^2+Inputs!$C$6^2)/Inputs!$C$52))*1000)/Inputs!$C$21*1000000</f>
        <v/>
      </c>
      <c r="AT92">
        <f>Scenario_Data!V92</f>
        <v/>
      </c>
      <c r="AU92">
        <f>2*(SQRT((Inputs!$C$52+(Scenario_Data!D92))^2+(Inputs!$C$52+((IF(OR(Inputs!$C$27=TRUE,Inputs!$C$27="TRUE",Inputs!$C$27=1),1,0)*(Inputs!$C$51*(115*EXP(-(((Inputs!$C$6)-25)^2)/(4.5^2))+70*EXP(-(((Inputs!$C$6)+38)^2)/(7^2))*(0.55+0.45*SIN(2*PI()*(Scenario_Data!V92)/45))+24*SIN(2*PI()*(Inputs!$C$6)/9+(Scenario_Data!V92)/18)*EXP(-(((Inputs!$C$6)+5)^2)/(22^2))+18*SIN(2*PI()*(Scenario_Data!V92)/70))+Inputs!$C$28*EXP(-(((Scenario_Data!V92)-Inputs!$C$29)^2)/(2*Inputs!$C$31^2))*EXP(-(((Inputs!$C$6)-Inputs!$C$30)^2)/(2*Inputs!$C$32^2))+-Inputs!$C$33*EXP(-(((((Scenario_Data!V92)-Inputs!$C$34)^2)+(((Inputs!$C$6)-Inputs!$C$35)^2))/(2*Inputs!$C$36^2)))+Inputs!$C$37*(0.55*SIN(2*PI()*(Scenario_Data!V92)/Inputs!$C$39)+0.35*COS(2*PI()*(Inputs!$C$6)/Inputs!$C$40)+0.2*SIN(2*PI()*((Scenario_Data!V92)+(Inputs!$C$6))/(0.5*(Inputs!$C$39+Inputs!$C$40))))+Inputs!$C$38*SIN(2*PI()*(Scenario_Data!V92)/Inputs!$C$39)*SIN(2*PI()*(Inputs!$C$6)/Inputs!$C$40)+-Inputs!$C$41*EXP(-(((Inputs!$C$6)-Inputs!$C$43)^2)/(2*Inputs!$C$44^2))*EXP(-(((Scenario_Data!V92)-Inputs!$C$42)^2)/(2*Inputs!$C$45^2))+Inputs!$C$48*(0.7*(0.45*SIN(2*PI()*(((Scenario_Data!V92)/Inputs!$C$49)+Inputs!$C$47*0.137))+0.35*COS(2*PI()*(((Inputs!$C$6)/Inputs!$C$50)+Inputs!$C$47*0.173))+0.2*SIN(2*PI()*((((Scenario_Data!V92)+(Inputs!$C$6))/(0.5*(Inputs!$C$49+Inputs!$C$50)))+Inputs!$C$47*0.097)))+0.3*(2*((SIN(((Scenario_Data!V92)*12.9898+(Inputs!$C$6)*78.233+Inputs!$C$47*37.719))*43758.5453)-INT((SIN(((Scenario_Data!V92)*12.9898+(Inputs!$C$6)*78.233+Inputs!$C$47*37.719))*43758.5453)))-1))))/1000))^2-2*(Inputs!$C$52+(Scenario_Data!D92))*(Inputs!$C$52+((IF(OR(Inputs!$C$27=TRUE,Inputs!$C$27="TRUE",Inputs!$C$27=1),1,0)*(Inputs!$C$51*(115*EXP(-(((Inputs!$C$6)-25)^2)/(4.5^2))+70*EXP(-(((Inputs!$C$6)+38)^2)/(7^2))*(0.55+0.45*SIN(2*PI()*(Scenario_Data!V92)/45))+24*SIN(2*PI()*(Inputs!$C$6)/9+(Scenario_Data!V92)/18)*EXP(-(((Inputs!$C$6)+5)^2)/(22^2))+18*SIN(2*PI()*(Scenario_Data!V92)/70))+Inputs!$C$28*EXP(-(((Scenario_Data!V92)-Inputs!$C$29)^2)/(2*Inputs!$C$31^2))*EXP(-(((Inputs!$C$6)-Inputs!$C$30)^2)/(2*Inputs!$C$32^2))+-Inputs!$C$33*EXP(-(((((Scenario_Data!V92)-Inputs!$C$34)^2)+(((Inputs!$C$6)-Inputs!$C$35)^2))/(2*Inputs!$C$36^2)))+Inputs!$C$37*(0.55*SIN(2*PI()*(Scenario_Data!V92)/Inputs!$C$39)+0.35*COS(2*PI()*(Inputs!$C$6)/Inputs!$C$40)+0.2*SIN(2*PI()*((Scenario_Data!V92)+(Inputs!$C$6))/(0.5*(Inputs!$C$39+Inputs!$C$40))))+Inputs!$C$38*SIN(2*PI()*(Scenario_Data!V92)/Inputs!$C$39)*SIN(2*PI()*(Inputs!$C$6)/Inputs!$C$40)+-Inputs!$C$41*EXP(-(((Inputs!$C$6)-Inputs!$C$43)^2)/(2*Inputs!$C$44^2))*EXP(-(((Scenario_Data!V92)-Inputs!$C$42)^2)/(2*Inputs!$C$45^2))+Inputs!$C$48*(0.7*(0.45*SIN(2*PI()*(((Scenario_Data!V92)/Inputs!$C$49)+Inputs!$C$47*0.137))+0.35*COS(2*PI()*(((Inputs!$C$6)/Inputs!$C$50)+Inputs!$C$47*0.173))+0.2*SIN(2*PI()*((((Scenario_Data!V92)+(Inputs!$C$6))/(0.5*(Inputs!$C$49+Inputs!$C$50)))+Inputs!$C$47*0.097)))+0.3*(2*((SIN(((Scenario_Data!V92)*12.9898+(Inputs!$C$6)*78.233+Inputs!$C$47*37.719))*43758.5453)-INT((SIN(((Scenario_Data!V92)*12.9898+(Inputs!$C$6)*78.233+Inputs!$C$47*37.719))*43758.5453)))-1))))/1000))*COS(SQRT((Scenario_Data!V92)^2+Inputs!$C$6^2)/Inputs!$C$52))*1000)/Inputs!$C$21*1000000</f>
        <v/>
      </c>
      <c r="AV92">
        <f>Scenario_Data!W92</f>
        <v/>
      </c>
      <c r="AW92">
        <f>2*(SQRT((Inputs!$C$52+(Scenario_Data!E92))^2+(Inputs!$C$52+((IF(OR(Inputs!$C$27=TRUE,Inputs!$C$27="TRUE",Inputs!$C$27=1),1,0)*(Inputs!$C$51*(115*EXP(-(((Inputs!$C$6)-25)^2)/(4.5^2))+70*EXP(-(((Inputs!$C$6)+38)^2)/(7^2))*(0.55+0.45*SIN(2*PI()*(Scenario_Data!W92)/45))+24*SIN(2*PI()*(Inputs!$C$6)/9+(Scenario_Data!W92)/18)*EXP(-(((Inputs!$C$6)+5)^2)/(22^2))+18*SIN(2*PI()*(Scenario_Data!W92)/70))+Inputs!$C$28*EXP(-(((Scenario_Data!W92)-Inputs!$C$29)^2)/(2*Inputs!$C$31^2))*EXP(-(((Inputs!$C$6)-Inputs!$C$30)^2)/(2*Inputs!$C$32^2))+-Inputs!$C$33*EXP(-(((((Scenario_Data!W92)-Inputs!$C$34)^2)+(((Inputs!$C$6)-Inputs!$C$35)^2))/(2*Inputs!$C$36^2)))+Inputs!$C$37*(0.55*SIN(2*PI()*(Scenario_Data!W92)/Inputs!$C$39)+0.35*COS(2*PI()*(Inputs!$C$6)/Inputs!$C$40)+0.2*SIN(2*PI()*((Scenario_Data!W92)+(Inputs!$C$6))/(0.5*(Inputs!$C$39+Inputs!$C$40))))+Inputs!$C$38*SIN(2*PI()*(Scenario_Data!W92)/Inputs!$C$39)*SIN(2*PI()*(Inputs!$C$6)/Inputs!$C$40)+-Inputs!$C$41*EXP(-(((Inputs!$C$6)-Inputs!$C$43)^2)/(2*Inputs!$C$44^2))*EXP(-(((Scenario_Data!W92)-Inputs!$C$42)^2)/(2*Inputs!$C$45^2))+Inputs!$C$48*(0.7*(0.45*SIN(2*PI()*(((Scenario_Data!W92)/Inputs!$C$49)+Inputs!$C$47*0.137))+0.35*COS(2*PI()*(((Inputs!$C$6)/Inputs!$C$50)+Inputs!$C$47*0.173))+0.2*SIN(2*PI()*((((Scenario_Data!W92)+(Inputs!$C$6))/(0.5*(Inputs!$C$49+Inputs!$C$50)))+Inputs!$C$47*0.097)))+0.3*(2*((SIN(((Scenario_Data!W92)*12.9898+(Inputs!$C$6)*78.233+Inputs!$C$47*37.719))*43758.5453)-INT((SIN(((Scenario_Data!W92)*12.9898+(Inputs!$C$6)*78.233+Inputs!$C$47*37.719))*43758.5453)))-1))))/1000))^2-2*(Inputs!$C$52+(Scenario_Data!E92))*(Inputs!$C$52+((IF(OR(Inputs!$C$27=TRUE,Inputs!$C$27="TRUE",Inputs!$C$27=1),1,0)*(Inputs!$C$51*(115*EXP(-(((Inputs!$C$6)-25)^2)/(4.5^2))+70*EXP(-(((Inputs!$C$6)+38)^2)/(7^2))*(0.55+0.45*SIN(2*PI()*(Scenario_Data!W92)/45))+24*SIN(2*PI()*(Inputs!$C$6)/9+(Scenario_Data!W92)/18)*EXP(-(((Inputs!$C$6)+5)^2)/(22^2))+18*SIN(2*PI()*(Scenario_Data!W92)/70))+Inputs!$C$28*EXP(-(((Scenario_Data!W92)-Inputs!$C$29)^2)/(2*Inputs!$C$31^2))*EXP(-(((Inputs!$C$6)-Inputs!$C$30)^2)/(2*Inputs!$C$32^2))+-Inputs!$C$33*EXP(-(((((Scenario_Data!W92)-Inputs!$C$34)^2)+(((Inputs!$C$6)-Inputs!$C$35)^2))/(2*Inputs!$C$36^2)))+Inputs!$C$37*(0.55*SIN(2*PI()*(Scenario_Data!W92)/Inputs!$C$39)+0.35*COS(2*PI()*(Inputs!$C$6)/Inputs!$C$40)+0.2*SIN(2*PI()*((Scenario_Data!W92)+(Inputs!$C$6))/(0.5*(Inputs!$C$39+Inputs!$C$40))))+Inputs!$C$38*SIN(2*PI()*(Scenario_Data!W92)/Inputs!$C$39)*SIN(2*PI()*(Inputs!$C$6)/Inputs!$C$40)+-Inputs!$C$41*EXP(-(((Inputs!$C$6)-Inputs!$C$43)^2)/(2*Inputs!$C$44^2))*EXP(-(((Scenario_Data!W92)-Inputs!$C$42)^2)/(2*Inputs!$C$45^2))+Inputs!$C$48*(0.7*(0.45*SIN(2*PI()*(((Scenario_Data!W92)/Inputs!$C$49)+Inputs!$C$47*0.137))+0.35*COS(2*PI()*(((Inputs!$C$6)/Inputs!$C$50)+Inputs!$C$47*0.173))+0.2*SIN(2*PI()*((((Scenario_Data!W92)+(Inputs!$C$6))/(0.5*(Inputs!$C$49+Inputs!$C$50)))+Inputs!$C$47*0.097)))+0.3*(2*((SIN(((Scenario_Data!W92)*12.9898+(Inputs!$C$6)*78.233+Inputs!$C$47*37.719))*43758.5453)-INT((SIN(((Scenario_Data!W92)*12.9898+(Inputs!$C$6)*78.233+Inputs!$C$47*37.719))*43758.5453)))-1))))/1000))*COS(SQRT((Scenario_Data!W92)^2+Inputs!$C$6^2)/Inputs!$C$52))*1000)/Inputs!$C$21*1000000</f>
        <v/>
      </c>
    </row>
    <row r="93">
      <c r="A93">
        <f>Chart_Data!K93</f>
        <v/>
      </c>
      <c r="B93">
        <f>Chart_Data!N93-Chart_Data!L93</f>
        <v/>
      </c>
      <c r="D93">
        <f>Chart_Data!G93</f>
        <v/>
      </c>
      <c r="E93">
        <f>Chart_Data!H93</f>
        <v/>
      </c>
      <c r="F93">
        <f>Chart_Data!I93</f>
        <v/>
      </c>
      <c r="G93">
        <f>Chart_Data!J93</f>
        <v/>
      </c>
      <c r="I93">
        <f>Scenario_Data!A93</f>
        <v/>
      </c>
      <c r="J93">
        <f>Scenario_Data!H93-(((SQRT((Inputs!$C$52+(Inputs!$H$6))^2+Inputs!$C$52^2-2*(Inputs!$C$52+(Inputs!$H$6))*Inputs!$C$52*COS(SQRT((Scenario_Data!T93)^2+Inputs!$C$6^2)/Inputs!$C$52)))-(Inputs!$H$6))*1000/Inputs!$C$12)</f>
        <v/>
      </c>
      <c r="K93">
        <f>Scenario_Data!I93-(((SQRT((Inputs!$C$52+(Inputs!$H$7))^2+Inputs!$C$52^2-2*(Inputs!$C$52+(Inputs!$H$7))*Inputs!$C$52*COS(SQRT((Scenario_Data!U93)^2+Inputs!$C$6^2)/Inputs!$C$52)))-(Inputs!$H$7))*1000/Inputs!$C$12)</f>
        <v/>
      </c>
      <c r="L93">
        <f>Scenario_Data!J93-(((SQRT((Inputs!$C$52+(Inputs!$H$8))^2+Inputs!$C$52^2-2*(Inputs!$C$52+(Inputs!$H$8))*Inputs!$C$52*COS(SQRT((Scenario_Data!V93)^2+Inputs!$C$6^2)/Inputs!$C$52)))-(Inputs!$H$8))*1000/Inputs!$C$12)</f>
        <v/>
      </c>
      <c r="M93">
        <f>Scenario_Data!K93-(((SQRT((Inputs!$C$52+(Inputs!$H$9))^2+Inputs!$C$52^2-2*(Inputs!$C$52+(Inputs!$H$9))*Inputs!$C$52*COS(SQRT((Scenario_Data!W93)^2+Inputs!$C$6^2)/Inputs!$C$52)))-(Inputs!$H$9))*1000/Inputs!$C$12)</f>
        <v/>
      </c>
      <c r="O93">
        <f>Scenario_Data!T93</f>
        <v/>
      </c>
      <c r="P93">
        <f>2*(Scenario_Data!B93*1000)/Inputs!$C$21*1000000</f>
        <v/>
      </c>
      <c r="Q93">
        <f>Scenario_Data!U93</f>
        <v/>
      </c>
      <c r="R93">
        <f>2*(Scenario_Data!C93*1000)/Inputs!$C$21*1000000</f>
        <v/>
      </c>
      <c r="S93">
        <f>Scenario_Data!V93</f>
        <v/>
      </c>
      <c r="T93">
        <f>2*(Scenario_Data!D93*1000)/Inputs!$C$21*1000000</f>
        <v/>
      </c>
      <c r="U93">
        <f>Scenario_Data!W93</f>
        <v/>
      </c>
      <c r="V93">
        <f>2*(Scenario_Data!E93*1000)/Inputs!$C$21*1000000</f>
        <v/>
      </c>
      <c r="X93">
        <f>Scenario_Data!T93</f>
        <v/>
      </c>
      <c r="Y93">
        <f>2*((Scenario_Data!B93*1000)-(IF(OR(Inputs!$C$27=TRUE,Inputs!$C$27="TRUE",Inputs!$C$27=1),1,0)*(Inputs!$C$51*(115*EXP(-(((0)-25)^2)/(4.5^2))+70*EXP(-(((0)+38)^2)/(7^2))*(0.55+0.45*SIN(2*PI()*(Scenario_Data!T93)/45))+24*SIN(2*PI()*(0)/9+(Scenario_Data!T93)/18)*EXP(-(((0)+5)^2)/(22^2))+18*SIN(2*PI()*(Scenario_Data!T93)/70))+Inputs!$C$28*EXP(-(((Scenario_Data!T93)-Inputs!$C$29)^2)/(2*Inputs!$C$31^2))*EXP(-(((0)-Inputs!$C$30)^2)/(2*Inputs!$C$32^2))+-Inputs!$C$33*EXP(-(((((Scenario_Data!T93)-Inputs!$C$34)^2)+(((0)-Inputs!$C$35)^2))/(2*Inputs!$C$36^2)))+Inputs!$C$37*(0.55*SIN(2*PI()*(Scenario_Data!T93)/Inputs!$C$39)+0.35*COS(2*PI()*(0)/Inputs!$C$40)+0.2*SIN(2*PI()*((Scenario_Data!T93)+(0))/(0.5*(Inputs!$C$39+Inputs!$C$40))))+Inputs!$C$38*SIN(2*PI()*(Scenario_Data!T93)/Inputs!$C$39)*SIN(2*PI()*(0)/Inputs!$C$40)+-Inputs!$C$41*EXP(-(((0)-Inputs!$C$43)^2)/(2*Inputs!$C$44^2))*EXP(-(((Scenario_Data!T93)-Inputs!$C$42)^2)/(2*Inputs!$C$45^2))+Inputs!$C$48*(0.7*(0.45*SIN(2*PI()*(((Scenario_Data!T93)/Inputs!$C$49)+Inputs!$C$47*0.137))+0.35*COS(2*PI()*(((0)/Inputs!$C$50)+Inputs!$C$47*0.173))+0.2*SIN(2*PI()*((((Scenario_Data!T93)+(0))/(0.5*(Inputs!$C$49+Inputs!$C$50)))+Inputs!$C$47*0.097)))+0.3*(2*((SIN(((Scenario_Data!T93)*12.9898+(0)*78.233+Inputs!$C$47*37.719))*43758.5453)-INT((SIN(((Scenario_Data!T93)*12.9898+(0)*78.233+Inputs!$C$47*37.719))*43758.5453)))-1)))))/Inputs!$C$21*1000000</f>
        <v/>
      </c>
      <c r="Z93">
        <f>Scenario_Data!U93</f>
        <v/>
      </c>
      <c r="AA93">
        <f>2*((Scenario_Data!C93*1000)-(IF(OR(Inputs!$C$27=TRUE,Inputs!$C$27="TRUE",Inputs!$C$27=1),1,0)*(Inputs!$C$51*(115*EXP(-(((0)-25)^2)/(4.5^2))+70*EXP(-(((0)+38)^2)/(7^2))*(0.55+0.45*SIN(2*PI()*(Scenario_Data!U93)/45))+24*SIN(2*PI()*(0)/9+(Scenario_Data!U93)/18)*EXP(-(((0)+5)^2)/(22^2))+18*SIN(2*PI()*(Scenario_Data!U93)/70))+Inputs!$C$28*EXP(-(((Scenario_Data!U93)-Inputs!$C$29)^2)/(2*Inputs!$C$31^2))*EXP(-(((0)-Inputs!$C$30)^2)/(2*Inputs!$C$32^2))+-Inputs!$C$33*EXP(-(((((Scenario_Data!U93)-Inputs!$C$34)^2)+(((0)-Inputs!$C$35)^2))/(2*Inputs!$C$36^2)))+Inputs!$C$37*(0.55*SIN(2*PI()*(Scenario_Data!U93)/Inputs!$C$39)+0.35*COS(2*PI()*(0)/Inputs!$C$40)+0.2*SIN(2*PI()*((Scenario_Data!U93)+(0))/(0.5*(Inputs!$C$39+Inputs!$C$40))))+Inputs!$C$38*SIN(2*PI()*(Scenario_Data!U93)/Inputs!$C$39)*SIN(2*PI()*(0)/Inputs!$C$40)+-Inputs!$C$41*EXP(-(((0)-Inputs!$C$43)^2)/(2*Inputs!$C$44^2))*EXP(-(((Scenario_Data!U93)-Inputs!$C$42)^2)/(2*Inputs!$C$45^2))+Inputs!$C$48*(0.7*(0.45*SIN(2*PI()*(((Scenario_Data!U93)/Inputs!$C$49)+Inputs!$C$47*0.137))+0.35*COS(2*PI()*(((0)/Inputs!$C$50)+Inputs!$C$47*0.173))+0.2*SIN(2*PI()*((((Scenario_Data!U93)+(0))/(0.5*(Inputs!$C$49+Inputs!$C$50)))+Inputs!$C$47*0.097)))+0.3*(2*((SIN(((Scenario_Data!U93)*12.9898+(0)*78.233+Inputs!$C$47*37.719))*43758.5453)-INT((SIN(((Scenario_Data!U93)*12.9898+(0)*78.233+Inputs!$C$47*37.719))*43758.5453)))-1)))))/Inputs!$C$21*1000000</f>
        <v/>
      </c>
      <c r="AB93">
        <f>Scenario_Data!V93</f>
        <v/>
      </c>
      <c r="AC93">
        <f>2*((Scenario_Data!D93*1000)-(IF(OR(Inputs!$C$27=TRUE,Inputs!$C$27="TRUE",Inputs!$C$27=1),1,0)*(Inputs!$C$51*(115*EXP(-(((0)-25)^2)/(4.5^2))+70*EXP(-(((0)+38)^2)/(7^2))*(0.55+0.45*SIN(2*PI()*(Scenario_Data!V93)/45))+24*SIN(2*PI()*(0)/9+(Scenario_Data!V93)/18)*EXP(-(((0)+5)^2)/(22^2))+18*SIN(2*PI()*(Scenario_Data!V93)/70))+Inputs!$C$28*EXP(-(((Scenario_Data!V93)-Inputs!$C$29)^2)/(2*Inputs!$C$31^2))*EXP(-(((0)-Inputs!$C$30)^2)/(2*Inputs!$C$32^2))+-Inputs!$C$33*EXP(-(((((Scenario_Data!V93)-Inputs!$C$34)^2)+(((0)-Inputs!$C$35)^2))/(2*Inputs!$C$36^2)))+Inputs!$C$37*(0.55*SIN(2*PI()*(Scenario_Data!V93)/Inputs!$C$39)+0.35*COS(2*PI()*(0)/Inputs!$C$40)+0.2*SIN(2*PI()*((Scenario_Data!V93)+(0))/(0.5*(Inputs!$C$39+Inputs!$C$40))))+Inputs!$C$38*SIN(2*PI()*(Scenario_Data!V93)/Inputs!$C$39)*SIN(2*PI()*(0)/Inputs!$C$40)+-Inputs!$C$41*EXP(-(((0)-Inputs!$C$43)^2)/(2*Inputs!$C$44^2))*EXP(-(((Scenario_Data!V93)-Inputs!$C$42)^2)/(2*Inputs!$C$45^2))+Inputs!$C$48*(0.7*(0.45*SIN(2*PI()*(((Scenario_Data!V93)/Inputs!$C$49)+Inputs!$C$47*0.137))+0.35*COS(2*PI()*(((0)/Inputs!$C$50)+Inputs!$C$47*0.173))+0.2*SIN(2*PI()*((((Scenario_Data!V93)+(0))/(0.5*(Inputs!$C$49+Inputs!$C$50)))+Inputs!$C$47*0.097)))+0.3*(2*((SIN(((Scenario_Data!V93)*12.9898+(0)*78.233+Inputs!$C$47*37.719))*43758.5453)-INT((SIN(((Scenario_Data!V93)*12.9898+(0)*78.233+Inputs!$C$47*37.719))*43758.5453)))-1)))))/Inputs!$C$21*1000000</f>
        <v/>
      </c>
      <c r="AD93">
        <f>Scenario_Data!W93</f>
        <v/>
      </c>
      <c r="AE93">
        <f>2*((Scenario_Data!E93*1000)-(IF(OR(Inputs!$C$27=TRUE,Inputs!$C$27="TRUE",Inputs!$C$27=1),1,0)*(Inputs!$C$51*(115*EXP(-(((0)-25)^2)/(4.5^2))+70*EXP(-(((0)+38)^2)/(7^2))*(0.55+0.45*SIN(2*PI()*(Scenario_Data!W93)/45))+24*SIN(2*PI()*(0)/9+(Scenario_Data!W93)/18)*EXP(-(((0)+5)^2)/(22^2))+18*SIN(2*PI()*(Scenario_Data!W93)/70))+Inputs!$C$28*EXP(-(((Scenario_Data!W93)-Inputs!$C$29)^2)/(2*Inputs!$C$31^2))*EXP(-(((0)-Inputs!$C$30)^2)/(2*Inputs!$C$32^2))+-Inputs!$C$33*EXP(-(((((Scenario_Data!W93)-Inputs!$C$34)^2)+(((0)-Inputs!$C$35)^2))/(2*Inputs!$C$36^2)))+Inputs!$C$37*(0.55*SIN(2*PI()*(Scenario_Data!W93)/Inputs!$C$39)+0.35*COS(2*PI()*(0)/Inputs!$C$40)+0.2*SIN(2*PI()*((Scenario_Data!W93)+(0))/(0.5*(Inputs!$C$39+Inputs!$C$40))))+Inputs!$C$38*SIN(2*PI()*(Scenario_Data!W93)/Inputs!$C$39)*SIN(2*PI()*(0)/Inputs!$C$40)+-Inputs!$C$41*EXP(-(((0)-Inputs!$C$43)^2)/(2*Inputs!$C$44^2))*EXP(-(((Scenario_Data!W93)-Inputs!$C$42)^2)/(2*Inputs!$C$45^2))+Inputs!$C$48*(0.7*(0.45*SIN(2*PI()*(((Scenario_Data!W93)/Inputs!$C$49)+Inputs!$C$47*0.137))+0.35*COS(2*PI()*(((0)/Inputs!$C$50)+Inputs!$C$47*0.173))+0.2*SIN(2*PI()*((((Scenario_Data!W93)+(0))/(0.5*(Inputs!$C$49+Inputs!$C$50)))+Inputs!$C$47*0.097)))+0.3*(2*((SIN(((Scenario_Data!W93)*12.9898+(0)*78.233+Inputs!$C$47*37.719))*43758.5453)-INT((SIN(((Scenario_Data!W93)*12.9898+(0)*78.233+Inputs!$C$47*37.719))*43758.5453)))-1)))))/Inputs!$C$21*1000000</f>
        <v/>
      </c>
      <c r="AG93">
        <f>Scenario_Data!T93</f>
        <v/>
      </c>
      <c r="AH93">
        <f>2*(SQRT((Inputs!$C$52+(Scenario_Data!B93))^2+Inputs!$C$52^2-2*(Inputs!$C$52+(Scenario_Data!B93))*Inputs!$C$52*COS(SQRT((Scenario_Data!T93)^2+Inputs!$C$6^2)/Inputs!$C$52))*1000)/Inputs!$C$21*1000000</f>
        <v/>
      </c>
      <c r="AI93">
        <f>Scenario_Data!U93</f>
        <v/>
      </c>
      <c r="AJ93">
        <f>2*(SQRT((Inputs!$C$52+(Scenario_Data!C93))^2+Inputs!$C$52^2-2*(Inputs!$C$52+(Scenario_Data!C93))*Inputs!$C$52*COS(SQRT((Scenario_Data!U93)^2+Inputs!$C$6^2)/Inputs!$C$52))*1000)/Inputs!$C$21*1000000</f>
        <v/>
      </c>
      <c r="AK93">
        <f>Scenario_Data!V93</f>
        <v/>
      </c>
      <c r="AL93">
        <f>2*(SQRT((Inputs!$C$52+(Scenario_Data!D93))^2+Inputs!$C$52^2-2*(Inputs!$C$52+(Scenario_Data!D93))*Inputs!$C$52*COS(SQRT((Scenario_Data!V93)^2+Inputs!$C$6^2)/Inputs!$C$52))*1000)/Inputs!$C$21*1000000</f>
        <v/>
      </c>
      <c r="AM93">
        <f>Scenario_Data!W93</f>
        <v/>
      </c>
      <c r="AN93">
        <f>2*(SQRT((Inputs!$C$52+(Scenario_Data!E93))^2+Inputs!$C$52^2-2*(Inputs!$C$52+(Scenario_Data!E93))*Inputs!$C$52*COS(SQRT((Scenario_Data!W93)^2+Inputs!$C$6^2)/Inputs!$C$52))*1000)/Inputs!$C$21*1000000</f>
        <v/>
      </c>
      <c r="AP93">
        <f>Scenario_Data!T93</f>
        <v/>
      </c>
      <c r="AQ93">
        <f>2*(SQRT((Inputs!$C$52+(Scenario_Data!B93))^2+(Inputs!$C$52+((IF(OR(Inputs!$C$27=TRUE,Inputs!$C$27="TRUE",Inputs!$C$27=1),1,0)*(Inputs!$C$51*(115*EXP(-(((Inputs!$C$6)-25)^2)/(4.5^2))+70*EXP(-(((Inputs!$C$6)+38)^2)/(7^2))*(0.55+0.45*SIN(2*PI()*(Scenario_Data!T93)/45))+24*SIN(2*PI()*(Inputs!$C$6)/9+(Scenario_Data!T93)/18)*EXP(-(((Inputs!$C$6)+5)^2)/(22^2))+18*SIN(2*PI()*(Scenario_Data!T93)/70))+Inputs!$C$28*EXP(-(((Scenario_Data!T93)-Inputs!$C$29)^2)/(2*Inputs!$C$31^2))*EXP(-(((Inputs!$C$6)-Inputs!$C$30)^2)/(2*Inputs!$C$32^2))+-Inputs!$C$33*EXP(-(((((Scenario_Data!T93)-Inputs!$C$34)^2)+(((Inputs!$C$6)-Inputs!$C$35)^2))/(2*Inputs!$C$36^2)))+Inputs!$C$37*(0.55*SIN(2*PI()*(Scenario_Data!T93)/Inputs!$C$39)+0.35*COS(2*PI()*(Inputs!$C$6)/Inputs!$C$40)+0.2*SIN(2*PI()*((Scenario_Data!T93)+(Inputs!$C$6))/(0.5*(Inputs!$C$39+Inputs!$C$40))))+Inputs!$C$38*SIN(2*PI()*(Scenario_Data!T93)/Inputs!$C$39)*SIN(2*PI()*(Inputs!$C$6)/Inputs!$C$40)+-Inputs!$C$41*EXP(-(((Inputs!$C$6)-Inputs!$C$43)^2)/(2*Inputs!$C$44^2))*EXP(-(((Scenario_Data!T93)-Inputs!$C$42)^2)/(2*Inputs!$C$45^2))+Inputs!$C$48*(0.7*(0.45*SIN(2*PI()*(((Scenario_Data!T93)/Inputs!$C$49)+Inputs!$C$47*0.137))+0.35*COS(2*PI()*(((Inputs!$C$6)/Inputs!$C$50)+Inputs!$C$47*0.173))+0.2*SIN(2*PI()*((((Scenario_Data!T93)+(Inputs!$C$6))/(0.5*(Inputs!$C$49+Inputs!$C$50)))+Inputs!$C$47*0.097)))+0.3*(2*((SIN(((Scenario_Data!T93)*12.9898+(Inputs!$C$6)*78.233+Inputs!$C$47*37.719))*43758.5453)-INT((SIN(((Scenario_Data!T93)*12.9898+(Inputs!$C$6)*78.233+Inputs!$C$47*37.719))*43758.5453)))-1))))/1000))^2-2*(Inputs!$C$52+(Scenario_Data!B93))*(Inputs!$C$52+((IF(OR(Inputs!$C$27=TRUE,Inputs!$C$27="TRUE",Inputs!$C$27=1),1,0)*(Inputs!$C$51*(115*EXP(-(((Inputs!$C$6)-25)^2)/(4.5^2))+70*EXP(-(((Inputs!$C$6)+38)^2)/(7^2))*(0.55+0.45*SIN(2*PI()*(Scenario_Data!T93)/45))+24*SIN(2*PI()*(Inputs!$C$6)/9+(Scenario_Data!T93)/18)*EXP(-(((Inputs!$C$6)+5)^2)/(22^2))+18*SIN(2*PI()*(Scenario_Data!T93)/70))+Inputs!$C$28*EXP(-(((Scenario_Data!T93)-Inputs!$C$29)^2)/(2*Inputs!$C$31^2))*EXP(-(((Inputs!$C$6)-Inputs!$C$30)^2)/(2*Inputs!$C$32^2))+-Inputs!$C$33*EXP(-(((((Scenario_Data!T93)-Inputs!$C$34)^2)+(((Inputs!$C$6)-Inputs!$C$35)^2))/(2*Inputs!$C$36^2)))+Inputs!$C$37*(0.55*SIN(2*PI()*(Scenario_Data!T93)/Inputs!$C$39)+0.35*COS(2*PI()*(Inputs!$C$6)/Inputs!$C$40)+0.2*SIN(2*PI()*((Scenario_Data!T93)+(Inputs!$C$6))/(0.5*(Inputs!$C$39+Inputs!$C$40))))+Inputs!$C$38*SIN(2*PI()*(Scenario_Data!T93)/Inputs!$C$39)*SIN(2*PI()*(Inputs!$C$6)/Inputs!$C$40)+-Inputs!$C$41*EXP(-(((Inputs!$C$6)-Inputs!$C$43)^2)/(2*Inputs!$C$44^2))*EXP(-(((Scenario_Data!T93)-Inputs!$C$42)^2)/(2*Inputs!$C$45^2))+Inputs!$C$48*(0.7*(0.45*SIN(2*PI()*(((Scenario_Data!T93)/Inputs!$C$49)+Inputs!$C$47*0.137))+0.35*COS(2*PI()*(((Inputs!$C$6)/Inputs!$C$50)+Inputs!$C$47*0.173))+0.2*SIN(2*PI()*((((Scenario_Data!T93)+(Inputs!$C$6))/(0.5*(Inputs!$C$49+Inputs!$C$50)))+Inputs!$C$47*0.097)))+0.3*(2*((SIN(((Scenario_Data!T93)*12.9898+(Inputs!$C$6)*78.233+Inputs!$C$47*37.719))*43758.5453)-INT((SIN(((Scenario_Data!T93)*12.9898+(Inputs!$C$6)*78.233+Inputs!$C$47*37.719))*43758.5453)))-1))))/1000))*COS(SQRT((Scenario_Data!T93)^2+Inputs!$C$6^2)/Inputs!$C$52))*1000)/Inputs!$C$21*1000000</f>
        <v/>
      </c>
      <c r="AR93">
        <f>Scenario_Data!U93</f>
        <v/>
      </c>
      <c r="AS93">
        <f>2*(SQRT((Inputs!$C$52+(Scenario_Data!C93))^2+(Inputs!$C$52+((IF(OR(Inputs!$C$27=TRUE,Inputs!$C$27="TRUE",Inputs!$C$27=1),1,0)*(Inputs!$C$51*(115*EXP(-(((Inputs!$C$6)-25)^2)/(4.5^2))+70*EXP(-(((Inputs!$C$6)+38)^2)/(7^2))*(0.55+0.45*SIN(2*PI()*(Scenario_Data!U93)/45))+24*SIN(2*PI()*(Inputs!$C$6)/9+(Scenario_Data!U93)/18)*EXP(-(((Inputs!$C$6)+5)^2)/(22^2))+18*SIN(2*PI()*(Scenario_Data!U93)/70))+Inputs!$C$28*EXP(-(((Scenario_Data!U93)-Inputs!$C$29)^2)/(2*Inputs!$C$31^2))*EXP(-(((Inputs!$C$6)-Inputs!$C$30)^2)/(2*Inputs!$C$32^2))+-Inputs!$C$33*EXP(-(((((Scenario_Data!U93)-Inputs!$C$34)^2)+(((Inputs!$C$6)-Inputs!$C$35)^2))/(2*Inputs!$C$36^2)))+Inputs!$C$37*(0.55*SIN(2*PI()*(Scenario_Data!U93)/Inputs!$C$39)+0.35*COS(2*PI()*(Inputs!$C$6)/Inputs!$C$40)+0.2*SIN(2*PI()*((Scenario_Data!U93)+(Inputs!$C$6))/(0.5*(Inputs!$C$39+Inputs!$C$40))))+Inputs!$C$38*SIN(2*PI()*(Scenario_Data!U93)/Inputs!$C$39)*SIN(2*PI()*(Inputs!$C$6)/Inputs!$C$40)+-Inputs!$C$41*EXP(-(((Inputs!$C$6)-Inputs!$C$43)^2)/(2*Inputs!$C$44^2))*EXP(-(((Scenario_Data!U93)-Inputs!$C$42)^2)/(2*Inputs!$C$45^2))+Inputs!$C$48*(0.7*(0.45*SIN(2*PI()*(((Scenario_Data!U93)/Inputs!$C$49)+Inputs!$C$47*0.137))+0.35*COS(2*PI()*(((Inputs!$C$6)/Inputs!$C$50)+Inputs!$C$47*0.173))+0.2*SIN(2*PI()*((((Scenario_Data!U93)+(Inputs!$C$6))/(0.5*(Inputs!$C$49+Inputs!$C$50)))+Inputs!$C$47*0.097)))+0.3*(2*((SIN(((Scenario_Data!U93)*12.9898+(Inputs!$C$6)*78.233+Inputs!$C$47*37.719))*43758.5453)-INT((SIN(((Scenario_Data!U93)*12.9898+(Inputs!$C$6)*78.233+Inputs!$C$47*37.719))*43758.5453)))-1))))/1000))^2-2*(Inputs!$C$52+(Scenario_Data!C93))*(Inputs!$C$52+((IF(OR(Inputs!$C$27=TRUE,Inputs!$C$27="TRUE",Inputs!$C$27=1),1,0)*(Inputs!$C$51*(115*EXP(-(((Inputs!$C$6)-25)^2)/(4.5^2))+70*EXP(-(((Inputs!$C$6)+38)^2)/(7^2))*(0.55+0.45*SIN(2*PI()*(Scenario_Data!U93)/45))+24*SIN(2*PI()*(Inputs!$C$6)/9+(Scenario_Data!U93)/18)*EXP(-(((Inputs!$C$6)+5)^2)/(22^2))+18*SIN(2*PI()*(Scenario_Data!U93)/70))+Inputs!$C$28*EXP(-(((Scenario_Data!U93)-Inputs!$C$29)^2)/(2*Inputs!$C$31^2))*EXP(-(((Inputs!$C$6)-Inputs!$C$30)^2)/(2*Inputs!$C$32^2))+-Inputs!$C$33*EXP(-(((((Scenario_Data!U93)-Inputs!$C$34)^2)+(((Inputs!$C$6)-Inputs!$C$35)^2))/(2*Inputs!$C$36^2)))+Inputs!$C$37*(0.55*SIN(2*PI()*(Scenario_Data!U93)/Inputs!$C$39)+0.35*COS(2*PI()*(Inputs!$C$6)/Inputs!$C$40)+0.2*SIN(2*PI()*((Scenario_Data!U93)+(Inputs!$C$6))/(0.5*(Inputs!$C$39+Inputs!$C$40))))+Inputs!$C$38*SIN(2*PI()*(Scenario_Data!U93)/Inputs!$C$39)*SIN(2*PI()*(Inputs!$C$6)/Inputs!$C$40)+-Inputs!$C$41*EXP(-(((Inputs!$C$6)-Inputs!$C$43)^2)/(2*Inputs!$C$44^2))*EXP(-(((Scenario_Data!U93)-Inputs!$C$42)^2)/(2*Inputs!$C$45^2))+Inputs!$C$48*(0.7*(0.45*SIN(2*PI()*(((Scenario_Data!U93)/Inputs!$C$49)+Inputs!$C$47*0.137))+0.35*COS(2*PI()*(((Inputs!$C$6)/Inputs!$C$50)+Inputs!$C$47*0.173))+0.2*SIN(2*PI()*((((Scenario_Data!U93)+(Inputs!$C$6))/(0.5*(Inputs!$C$49+Inputs!$C$50)))+Inputs!$C$47*0.097)))+0.3*(2*((SIN(((Scenario_Data!U93)*12.9898+(Inputs!$C$6)*78.233+Inputs!$C$47*37.719))*43758.5453)-INT((SIN(((Scenario_Data!U93)*12.9898+(Inputs!$C$6)*78.233+Inputs!$C$47*37.719))*43758.5453)))-1))))/1000))*COS(SQRT((Scenario_Data!U93)^2+Inputs!$C$6^2)/Inputs!$C$52))*1000)/Inputs!$C$21*1000000</f>
        <v/>
      </c>
      <c r="AT93">
        <f>Scenario_Data!V93</f>
        <v/>
      </c>
      <c r="AU93">
        <f>2*(SQRT((Inputs!$C$52+(Scenario_Data!D93))^2+(Inputs!$C$52+((IF(OR(Inputs!$C$27=TRUE,Inputs!$C$27="TRUE",Inputs!$C$27=1),1,0)*(Inputs!$C$51*(115*EXP(-(((Inputs!$C$6)-25)^2)/(4.5^2))+70*EXP(-(((Inputs!$C$6)+38)^2)/(7^2))*(0.55+0.45*SIN(2*PI()*(Scenario_Data!V93)/45))+24*SIN(2*PI()*(Inputs!$C$6)/9+(Scenario_Data!V93)/18)*EXP(-(((Inputs!$C$6)+5)^2)/(22^2))+18*SIN(2*PI()*(Scenario_Data!V93)/70))+Inputs!$C$28*EXP(-(((Scenario_Data!V93)-Inputs!$C$29)^2)/(2*Inputs!$C$31^2))*EXP(-(((Inputs!$C$6)-Inputs!$C$30)^2)/(2*Inputs!$C$32^2))+-Inputs!$C$33*EXP(-(((((Scenario_Data!V93)-Inputs!$C$34)^2)+(((Inputs!$C$6)-Inputs!$C$35)^2))/(2*Inputs!$C$36^2)))+Inputs!$C$37*(0.55*SIN(2*PI()*(Scenario_Data!V93)/Inputs!$C$39)+0.35*COS(2*PI()*(Inputs!$C$6)/Inputs!$C$40)+0.2*SIN(2*PI()*((Scenario_Data!V93)+(Inputs!$C$6))/(0.5*(Inputs!$C$39+Inputs!$C$40))))+Inputs!$C$38*SIN(2*PI()*(Scenario_Data!V93)/Inputs!$C$39)*SIN(2*PI()*(Inputs!$C$6)/Inputs!$C$40)+-Inputs!$C$41*EXP(-(((Inputs!$C$6)-Inputs!$C$43)^2)/(2*Inputs!$C$44^2))*EXP(-(((Scenario_Data!V93)-Inputs!$C$42)^2)/(2*Inputs!$C$45^2))+Inputs!$C$48*(0.7*(0.45*SIN(2*PI()*(((Scenario_Data!V93)/Inputs!$C$49)+Inputs!$C$47*0.137))+0.35*COS(2*PI()*(((Inputs!$C$6)/Inputs!$C$50)+Inputs!$C$47*0.173))+0.2*SIN(2*PI()*((((Scenario_Data!V93)+(Inputs!$C$6))/(0.5*(Inputs!$C$49+Inputs!$C$50)))+Inputs!$C$47*0.097)))+0.3*(2*((SIN(((Scenario_Data!V93)*12.9898+(Inputs!$C$6)*78.233+Inputs!$C$47*37.719))*43758.5453)-INT((SIN(((Scenario_Data!V93)*12.9898+(Inputs!$C$6)*78.233+Inputs!$C$47*37.719))*43758.5453)))-1))))/1000))^2-2*(Inputs!$C$52+(Scenario_Data!D93))*(Inputs!$C$52+((IF(OR(Inputs!$C$27=TRUE,Inputs!$C$27="TRUE",Inputs!$C$27=1),1,0)*(Inputs!$C$51*(115*EXP(-(((Inputs!$C$6)-25)^2)/(4.5^2))+70*EXP(-(((Inputs!$C$6)+38)^2)/(7^2))*(0.55+0.45*SIN(2*PI()*(Scenario_Data!V93)/45))+24*SIN(2*PI()*(Inputs!$C$6)/9+(Scenario_Data!V93)/18)*EXP(-(((Inputs!$C$6)+5)^2)/(22^2))+18*SIN(2*PI()*(Scenario_Data!V93)/70))+Inputs!$C$28*EXP(-(((Scenario_Data!V93)-Inputs!$C$29)^2)/(2*Inputs!$C$31^2))*EXP(-(((Inputs!$C$6)-Inputs!$C$30)^2)/(2*Inputs!$C$32^2))+-Inputs!$C$33*EXP(-(((((Scenario_Data!V93)-Inputs!$C$34)^2)+(((Inputs!$C$6)-Inputs!$C$35)^2))/(2*Inputs!$C$36^2)))+Inputs!$C$37*(0.55*SIN(2*PI()*(Scenario_Data!V93)/Inputs!$C$39)+0.35*COS(2*PI()*(Inputs!$C$6)/Inputs!$C$40)+0.2*SIN(2*PI()*((Scenario_Data!V93)+(Inputs!$C$6))/(0.5*(Inputs!$C$39+Inputs!$C$40))))+Inputs!$C$38*SIN(2*PI()*(Scenario_Data!V93)/Inputs!$C$39)*SIN(2*PI()*(Inputs!$C$6)/Inputs!$C$40)+-Inputs!$C$41*EXP(-(((Inputs!$C$6)-Inputs!$C$43)^2)/(2*Inputs!$C$44^2))*EXP(-(((Scenario_Data!V93)-Inputs!$C$42)^2)/(2*Inputs!$C$45^2))+Inputs!$C$48*(0.7*(0.45*SIN(2*PI()*(((Scenario_Data!V93)/Inputs!$C$49)+Inputs!$C$47*0.137))+0.35*COS(2*PI()*(((Inputs!$C$6)/Inputs!$C$50)+Inputs!$C$47*0.173))+0.2*SIN(2*PI()*((((Scenario_Data!V93)+(Inputs!$C$6))/(0.5*(Inputs!$C$49+Inputs!$C$50)))+Inputs!$C$47*0.097)))+0.3*(2*((SIN(((Scenario_Data!V93)*12.9898+(Inputs!$C$6)*78.233+Inputs!$C$47*37.719))*43758.5453)-INT((SIN(((Scenario_Data!V93)*12.9898+(Inputs!$C$6)*78.233+Inputs!$C$47*37.719))*43758.5453)))-1))))/1000))*COS(SQRT((Scenario_Data!V93)^2+Inputs!$C$6^2)/Inputs!$C$52))*1000)/Inputs!$C$21*1000000</f>
        <v/>
      </c>
      <c r="AV93">
        <f>Scenario_Data!W93</f>
        <v/>
      </c>
      <c r="AW93">
        <f>2*(SQRT((Inputs!$C$52+(Scenario_Data!E93))^2+(Inputs!$C$52+((IF(OR(Inputs!$C$27=TRUE,Inputs!$C$27="TRUE",Inputs!$C$27=1),1,0)*(Inputs!$C$51*(115*EXP(-(((Inputs!$C$6)-25)^2)/(4.5^2))+70*EXP(-(((Inputs!$C$6)+38)^2)/(7^2))*(0.55+0.45*SIN(2*PI()*(Scenario_Data!W93)/45))+24*SIN(2*PI()*(Inputs!$C$6)/9+(Scenario_Data!W93)/18)*EXP(-(((Inputs!$C$6)+5)^2)/(22^2))+18*SIN(2*PI()*(Scenario_Data!W93)/70))+Inputs!$C$28*EXP(-(((Scenario_Data!W93)-Inputs!$C$29)^2)/(2*Inputs!$C$31^2))*EXP(-(((Inputs!$C$6)-Inputs!$C$30)^2)/(2*Inputs!$C$32^2))+-Inputs!$C$33*EXP(-(((((Scenario_Data!W93)-Inputs!$C$34)^2)+(((Inputs!$C$6)-Inputs!$C$35)^2))/(2*Inputs!$C$36^2)))+Inputs!$C$37*(0.55*SIN(2*PI()*(Scenario_Data!W93)/Inputs!$C$39)+0.35*COS(2*PI()*(Inputs!$C$6)/Inputs!$C$40)+0.2*SIN(2*PI()*((Scenario_Data!W93)+(Inputs!$C$6))/(0.5*(Inputs!$C$39+Inputs!$C$40))))+Inputs!$C$38*SIN(2*PI()*(Scenario_Data!W93)/Inputs!$C$39)*SIN(2*PI()*(Inputs!$C$6)/Inputs!$C$40)+-Inputs!$C$41*EXP(-(((Inputs!$C$6)-Inputs!$C$43)^2)/(2*Inputs!$C$44^2))*EXP(-(((Scenario_Data!W93)-Inputs!$C$42)^2)/(2*Inputs!$C$45^2))+Inputs!$C$48*(0.7*(0.45*SIN(2*PI()*(((Scenario_Data!W93)/Inputs!$C$49)+Inputs!$C$47*0.137))+0.35*COS(2*PI()*(((Inputs!$C$6)/Inputs!$C$50)+Inputs!$C$47*0.173))+0.2*SIN(2*PI()*((((Scenario_Data!W93)+(Inputs!$C$6))/(0.5*(Inputs!$C$49+Inputs!$C$50)))+Inputs!$C$47*0.097)))+0.3*(2*((SIN(((Scenario_Data!W93)*12.9898+(Inputs!$C$6)*78.233+Inputs!$C$47*37.719))*43758.5453)-INT((SIN(((Scenario_Data!W93)*12.9898+(Inputs!$C$6)*78.233+Inputs!$C$47*37.719))*43758.5453)))-1))))/1000))^2-2*(Inputs!$C$52+(Scenario_Data!E93))*(Inputs!$C$52+((IF(OR(Inputs!$C$27=TRUE,Inputs!$C$27="TRUE",Inputs!$C$27=1),1,0)*(Inputs!$C$51*(115*EXP(-(((Inputs!$C$6)-25)^2)/(4.5^2))+70*EXP(-(((Inputs!$C$6)+38)^2)/(7^2))*(0.55+0.45*SIN(2*PI()*(Scenario_Data!W93)/45))+24*SIN(2*PI()*(Inputs!$C$6)/9+(Scenario_Data!W93)/18)*EXP(-(((Inputs!$C$6)+5)^2)/(22^2))+18*SIN(2*PI()*(Scenario_Data!W93)/70))+Inputs!$C$28*EXP(-(((Scenario_Data!W93)-Inputs!$C$29)^2)/(2*Inputs!$C$31^2))*EXP(-(((Inputs!$C$6)-Inputs!$C$30)^2)/(2*Inputs!$C$32^2))+-Inputs!$C$33*EXP(-(((((Scenario_Data!W93)-Inputs!$C$34)^2)+(((Inputs!$C$6)-Inputs!$C$35)^2))/(2*Inputs!$C$36^2)))+Inputs!$C$37*(0.55*SIN(2*PI()*(Scenario_Data!W93)/Inputs!$C$39)+0.35*COS(2*PI()*(Inputs!$C$6)/Inputs!$C$40)+0.2*SIN(2*PI()*((Scenario_Data!W93)+(Inputs!$C$6))/(0.5*(Inputs!$C$39+Inputs!$C$40))))+Inputs!$C$38*SIN(2*PI()*(Scenario_Data!W93)/Inputs!$C$39)*SIN(2*PI()*(Inputs!$C$6)/Inputs!$C$40)+-Inputs!$C$41*EXP(-(((Inputs!$C$6)-Inputs!$C$43)^2)/(2*Inputs!$C$44^2))*EXP(-(((Scenario_Data!W93)-Inputs!$C$42)^2)/(2*Inputs!$C$45^2))+Inputs!$C$48*(0.7*(0.45*SIN(2*PI()*(((Scenario_Data!W93)/Inputs!$C$49)+Inputs!$C$47*0.137))+0.35*COS(2*PI()*(((Inputs!$C$6)/Inputs!$C$50)+Inputs!$C$47*0.173))+0.2*SIN(2*PI()*((((Scenario_Data!W93)+(Inputs!$C$6))/(0.5*(Inputs!$C$49+Inputs!$C$50)))+Inputs!$C$47*0.097)))+0.3*(2*((SIN(((Scenario_Data!W93)*12.9898+(Inputs!$C$6)*78.233+Inputs!$C$47*37.719))*43758.5453)-INT((SIN(((Scenario_Data!W93)*12.9898+(Inputs!$C$6)*78.233+Inputs!$C$47*37.719))*43758.5453)))-1))))/1000))*COS(SQRT((Scenario_Data!W93)^2+Inputs!$C$6^2)/Inputs!$C$52))*1000)/Inputs!$C$21*1000000</f>
        <v/>
      </c>
    </row>
    <row r="94">
      <c r="A94">
        <f>Chart_Data!K94</f>
        <v/>
      </c>
      <c r="B94">
        <f>Chart_Data!N94-Chart_Data!L94</f>
        <v/>
      </c>
      <c r="D94">
        <f>Chart_Data!G94</f>
        <v/>
      </c>
      <c r="E94">
        <f>Chart_Data!H94</f>
        <v/>
      </c>
      <c r="F94">
        <f>Chart_Data!I94</f>
        <v/>
      </c>
      <c r="G94">
        <f>Chart_Data!J94</f>
        <v/>
      </c>
      <c r="I94">
        <f>Scenario_Data!A94</f>
        <v/>
      </c>
      <c r="J94">
        <f>Scenario_Data!H94-(((SQRT((Inputs!$C$52+(Inputs!$H$6))^2+Inputs!$C$52^2-2*(Inputs!$C$52+(Inputs!$H$6))*Inputs!$C$52*COS(SQRT((Scenario_Data!T94)^2+Inputs!$C$6^2)/Inputs!$C$52)))-(Inputs!$H$6))*1000/Inputs!$C$12)</f>
        <v/>
      </c>
      <c r="K94">
        <f>Scenario_Data!I94-(((SQRT((Inputs!$C$52+(Inputs!$H$7))^2+Inputs!$C$52^2-2*(Inputs!$C$52+(Inputs!$H$7))*Inputs!$C$52*COS(SQRT((Scenario_Data!U94)^2+Inputs!$C$6^2)/Inputs!$C$52)))-(Inputs!$H$7))*1000/Inputs!$C$12)</f>
        <v/>
      </c>
      <c r="L94">
        <f>Scenario_Data!J94-(((SQRT((Inputs!$C$52+(Inputs!$H$8))^2+Inputs!$C$52^2-2*(Inputs!$C$52+(Inputs!$H$8))*Inputs!$C$52*COS(SQRT((Scenario_Data!V94)^2+Inputs!$C$6^2)/Inputs!$C$52)))-(Inputs!$H$8))*1000/Inputs!$C$12)</f>
        <v/>
      </c>
      <c r="M94">
        <f>Scenario_Data!K94-(((SQRT((Inputs!$C$52+(Inputs!$H$9))^2+Inputs!$C$52^2-2*(Inputs!$C$52+(Inputs!$H$9))*Inputs!$C$52*COS(SQRT((Scenario_Data!W94)^2+Inputs!$C$6^2)/Inputs!$C$52)))-(Inputs!$H$9))*1000/Inputs!$C$12)</f>
        <v/>
      </c>
      <c r="O94">
        <f>Scenario_Data!T94</f>
        <v/>
      </c>
      <c r="P94">
        <f>2*(Scenario_Data!B94*1000)/Inputs!$C$21*1000000</f>
        <v/>
      </c>
      <c r="Q94">
        <f>Scenario_Data!U94</f>
        <v/>
      </c>
      <c r="R94">
        <f>2*(Scenario_Data!C94*1000)/Inputs!$C$21*1000000</f>
        <v/>
      </c>
      <c r="S94">
        <f>Scenario_Data!V94</f>
        <v/>
      </c>
      <c r="T94">
        <f>2*(Scenario_Data!D94*1000)/Inputs!$C$21*1000000</f>
        <v/>
      </c>
      <c r="U94">
        <f>Scenario_Data!W94</f>
        <v/>
      </c>
      <c r="V94">
        <f>2*(Scenario_Data!E94*1000)/Inputs!$C$21*1000000</f>
        <v/>
      </c>
      <c r="X94">
        <f>Scenario_Data!T94</f>
        <v/>
      </c>
      <c r="Y94">
        <f>2*((Scenario_Data!B94*1000)-(IF(OR(Inputs!$C$27=TRUE,Inputs!$C$27="TRUE",Inputs!$C$27=1),1,0)*(Inputs!$C$51*(115*EXP(-(((0)-25)^2)/(4.5^2))+70*EXP(-(((0)+38)^2)/(7^2))*(0.55+0.45*SIN(2*PI()*(Scenario_Data!T94)/45))+24*SIN(2*PI()*(0)/9+(Scenario_Data!T94)/18)*EXP(-(((0)+5)^2)/(22^2))+18*SIN(2*PI()*(Scenario_Data!T94)/70))+Inputs!$C$28*EXP(-(((Scenario_Data!T94)-Inputs!$C$29)^2)/(2*Inputs!$C$31^2))*EXP(-(((0)-Inputs!$C$30)^2)/(2*Inputs!$C$32^2))+-Inputs!$C$33*EXP(-(((((Scenario_Data!T94)-Inputs!$C$34)^2)+(((0)-Inputs!$C$35)^2))/(2*Inputs!$C$36^2)))+Inputs!$C$37*(0.55*SIN(2*PI()*(Scenario_Data!T94)/Inputs!$C$39)+0.35*COS(2*PI()*(0)/Inputs!$C$40)+0.2*SIN(2*PI()*((Scenario_Data!T94)+(0))/(0.5*(Inputs!$C$39+Inputs!$C$40))))+Inputs!$C$38*SIN(2*PI()*(Scenario_Data!T94)/Inputs!$C$39)*SIN(2*PI()*(0)/Inputs!$C$40)+-Inputs!$C$41*EXP(-(((0)-Inputs!$C$43)^2)/(2*Inputs!$C$44^2))*EXP(-(((Scenario_Data!T94)-Inputs!$C$42)^2)/(2*Inputs!$C$45^2))+Inputs!$C$48*(0.7*(0.45*SIN(2*PI()*(((Scenario_Data!T94)/Inputs!$C$49)+Inputs!$C$47*0.137))+0.35*COS(2*PI()*(((0)/Inputs!$C$50)+Inputs!$C$47*0.173))+0.2*SIN(2*PI()*((((Scenario_Data!T94)+(0))/(0.5*(Inputs!$C$49+Inputs!$C$50)))+Inputs!$C$47*0.097)))+0.3*(2*((SIN(((Scenario_Data!T94)*12.9898+(0)*78.233+Inputs!$C$47*37.719))*43758.5453)-INT((SIN(((Scenario_Data!T94)*12.9898+(0)*78.233+Inputs!$C$47*37.719))*43758.5453)))-1)))))/Inputs!$C$21*1000000</f>
        <v/>
      </c>
      <c r="Z94">
        <f>Scenario_Data!U94</f>
        <v/>
      </c>
      <c r="AA94">
        <f>2*((Scenario_Data!C94*1000)-(IF(OR(Inputs!$C$27=TRUE,Inputs!$C$27="TRUE",Inputs!$C$27=1),1,0)*(Inputs!$C$51*(115*EXP(-(((0)-25)^2)/(4.5^2))+70*EXP(-(((0)+38)^2)/(7^2))*(0.55+0.45*SIN(2*PI()*(Scenario_Data!U94)/45))+24*SIN(2*PI()*(0)/9+(Scenario_Data!U94)/18)*EXP(-(((0)+5)^2)/(22^2))+18*SIN(2*PI()*(Scenario_Data!U94)/70))+Inputs!$C$28*EXP(-(((Scenario_Data!U94)-Inputs!$C$29)^2)/(2*Inputs!$C$31^2))*EXP(-(((0)-Inputs!$C$30)^2)/(2*Inputs!$C$32^2))+-Inputs!$C$33*EXP(-(((((Scenario_Data!U94)-Inputs!$C$34)^2)+(((0)-Inputs!$C$35)^2))/(2*Inputs!$C$36^2)))+Inputs!$C$37*(0.55*SIN(2*PI()*(Scenario_Data!U94)/Inputs!$C$39)+0.35*COS(2*PI()*(0)/Inputs!$C$40)+0.2*SIN(2*PI()*((Scenario_Data!U94)+(0))/(0.5*(Inputs!$C$39+Inputs!$C$40))))+Inputs!$C$38*SIN(2*PI()*(Scenario_Data!U94)/Inputs!$C$39)*SIN(2*PI()*(0)/Inputs!$C$40)+-Inputs!$C$41*EXP(-(((0)-Inputs!$C$43)^2)/(2*Inputs!$C$44^2))*EXP(-(((Scenario_Data!U94)-Inputs!$C$42)^2)/(2*Inputs!$C$45^2))+Inputs!$C$48*(0.7*(0.45*SIN(2*PI()*(((Scenario_Data!U94)/Inputs!$C$49)+Inputs!$C$47*0.137))+0.35*COS(2*PI()*(((0)/Inputs!$C$50)+Inputs!$C$47*0.173))+0.2*SIN(2*PI()*((((Scenario_Data!U94)+(0))/(0.5*(Inputs!$C$49+Inputs!$C$50)))+Inputs!$C$47*0.097)))+0.3*(2*((SIN(((Scenario_Data!U94)*12.9898+(0)*78.233+Inputs!$C$47*37.719))*43758.5453)-INT((SIN(((Scenario_Data!U94)*12.9898+(0)*78.233+Inputs!$C$47*37.719))*43758.5453)))-1)))))/Inputs!$C$21*1000000</f>
        <v/>
      </c>
      <c r="AB94">
        <f>Scenario_Data!V94</f>
        <v/>
      </c>
      <c r="AC94">
        <f>2*((Scenario_Data!D94*1000)-(IF(OR(Inputs!$C$27=TRUE,Inputs!$C$27="TRUE",Inputs!$C$27=1),1,0)*(Inputs!$C$51*(115*EXP(-(((0)-25)^2)/(4.5^2))+70*EXP(-(((0)+38)^2)/(7^2))*(0.55+0.45*SIN(2*PI()*(Scenario_Data!V94)/45))+24*SIN(2*PI()*(0)/9+(Scenario_Data!V94)/18)*EXP(-(((0)+5)^2)/(22^2))+18*SIN(2*PI()*(Scenario_Data!V94)/70))+Inputs!$C$28*EXP(-(((Scenario_Data!V94)-Inputs!$C$29)^2)/(2*Inputs!$C$31^2))*EXP(-(((0)-Inputs!$C$30)^2)/(2*Inputs!$C$32^2))+-Inputs!$C$33*EXP(-(((((Scenario_Data!V94)-Inputs!$C$34)^2)+(((0)-Inputs!$C$35)^2))/(2*Inputs!$C$36^2)))+Inputs!$C$37*(0.55*SIN(2*PI()*(Scenario_Data!V94)/Inputs!$C$39)+0.35*COS(2*PI()*(0)/Inputs!$C$40)+0.2*SIN(2*PI()*((Scenario_Data!V94)+(0))/(0.5*(Inputs!$C$39+Inputs!$C$40))))+Inputs!$C$38*SIN(2*PI()*(Scenario_Data!V94)/Inputs!$C$39)*SIN(2*PI()*(0)/Inputs!$C$40)+-Inputs!$C$41*EXP(-(((0)-Inputs!$C$43)^2)/(2*Inputs!$C$44^2))*EXP(-(((Scenario_Data!V94)-Inputs!$C$42)^2)/(2*Inputs!$C$45^2))+Inputs!$C$48*(0.7*(0.45*SIN(2*PI()*(((Scenario_Data!V94)/Inputs!$C$49)+Inputs!$C$47*0.137))+0.35*COS(2*PI()*(((0)/Inputs!$C$50)+Inputs!$C$47*0.173))+0.2*SIN(2*PI()*((((Scenario_Data!V94)+(0))/(0.5*(Inputs!$C$49+Inputs!$C$50)))+Inputs!$C$47*0.097)))+0.3*(2*((SIN(((Scenario_Data!V94)*12.9898+(0)*78.233+Inputs!$C$47*37.719))*43758.5453)-INT((SIN(((Scenario_Data!V94)*12.9898+(0)*78.233+Inputs!$C$47*37.719))*43758.5453)))-1)))))/Inputs!$C$21*1000000</f>
        <v/>
      </c>
      <c r="AD94">
        <f>Scenario_Data!W94</f>
        <v/>
      </c>
      <c r="AE94">
        <f>2*((Scenario_Data!E94*1000)-(IF(OR(Inputs!$C$27=TRUE,Inputs!$C$27="TRUE",Inputs!$C$27=1),1,0)*(Inputs!$C$51*(115*EXP(-(((0)-25)^2)/(4.5^2))+70*EXP(-(((0)+38)^2)/(7^2))*(0.55+0.45*SIN(2*PI()*(Scenario_Data!W94)/45))+24*SIN(2*PI()*(0)/9+(Scenario_Data!W94)/18)*EXP(-(((0)+5)^2)/(22^2))+18*SIN(2*PI()*(Scenario_Data!W94)/70))+Inputs!$C$28*EXP(-(((Scenario_Data!W94)-Inputs!$C$29)^2)/(2*Inputs!$C$31^2))*EXP(-(((0)-Inputs!$C$30)^2)/(2*Inputs!$C$32^2))+-Inputs!$C$33*EXP(-(((((Scenario_Data!W94)-Inputs!$C$34)^2)+(((0)-Inputs!$C$35)^2))/(2*Inputs!$C$36^2)))+Inputs!$C$37*(0.55*SIN(2*PI()*(Scenario_Data!W94)/Inputs!$C$39)+0.35*COS(2*PI()*(0)/Inputs!$C$40)+0.2*SIN(2*PI()*((Scenario_Data!W94)+(0))/(0.5*(Inputs!$C$39+Inputs!$C$40))))+Inputs!$C$38*SIN(2*PI()*(Scenario_Data!W94)/Inputs!$C$39)*SIN(2*PI()*(0)/Inputs!$C$40)+-Inputs!$C$41*EXP(-(((0)-Inputs!$C$43)^2)/(2*Inputs!$C$44^2))*EXP(-(((Scenario_Data!W94)-Inputs!$C$42)^2)/(2*Inputs!$C$45^2))+Inputs!$C$48*(0.7*(0.45*SIN(2*PI()*(((Scenario_Data!W94)/Inputs!$C$49)+Inputs!$C$47*0.137))+0.35*COS(2*PI()*(((0)/Inputs!$C$50)+Inputs!$C$47*0.173))+0.2*SIN(2*PI()*((((Scenario_Data!W94)+(0))/(0.5*(Inputs!$C$49+Inputs!$C$50)))+Inputs!$C$47*0.097)))+0.3*(2*((SIN(((Scenario_Data!W94)*12.9898+(0)*78.233+Inputs!$C$47*37.719))*43758.5453)-INT((SIN(((Scenario_Data!W94)*12.9898+(0)*78.233+Inputs!$C$47*37.719))*43758.5453)))-1)))))/Inputs!$C$21*1000000</f>
        <v/>
      </c>
      <c r="AG94">
        <f>Scenario_Data!T94</f>
        <v/>
      </c>
      <c r="AH94">
        <f>2*(SQRT((Inputs!$C$52+(Scenario_Data!B94))^2+Inputs!$C$52^2-2*(Inputs!$C$52+(Scenario_Data!B94))*Inputs!$C$52*COS(SQRT((Scenario_Data!T94)^2+Inputs!$C$6^2)/Inputs!$C$52))*1000)/Inputs!$C$21*1000000</f>
        <v/>
      </c>
      <c r="AI94">
        <f>Scenario_Data!U94</f>
        <v/>
      </c>
      <c r="AJ94">
        <f>2*(SQRT((Inputs!$C$52+(Scenario_Data!C94))^2+Inputs!$C$52^2-2*(Inputs!$C$52+(Scenario_Data!C94))*Inputs!$C$52*COS(SQRT((Scenario_Data!U94)^2+Inputs!$C$6^2)/Inputs!$C$52))*1000)/Inputs!$C$21*1000000</f>
        <v/>
      </c>
      <c r="AK94">
        <f>Scenario_Data!V94</f>
        <v/>
      </c>
      <c r="AL94">
        <f>2*(SQRT((Inputs!$C$52+(Scenario_Data!D94))^2+Inputs!$C$52^2-2*(Inputs!$C$52+(Scenario_Data!D94))*Inputs!$C$52*COS(SQRT((Scenario_Data!V94)^2+Inputs!$C$6^2)/Inputs!$C$52))*1000)/Inputs!$C$21*1000000</f>
        <v/>
      </c>
      <c r="AM94">
        <f>Scenario_Data!W94</f>
        <v/>
      </c>
      <c r="AN94">
        <f>2*(SQRT((Inputs!$C$52+(Scenario_Data!E94))^2+Inputs!$C$52^2-2*(Inputs!$C$52+(Scenario_Data!E94))*Inputs!$C$52*COS(SQRT((Scenario_Data!W94)^2+Inputs!$C$6^2)/Inputs!$C$52))*1000)/Inputs!$C$21*1000000</f>
        <v/>
      </c>
      <c r="AP94">
        <f>Scenario_Data!T94</f>
        <v/>
      </c>
      <c r="AQ94">
        <f>2*(SQRT((Inputs!$C$52+(Scenario_Data!B94))^2+(Inputs!$C$52+((IF(OR(Inputs!$C$27=TRUE,Inputs!$C$27="TRUE",Inputs!$C$27=1),1,0)*(Inputs!$C$51*(115*EXP(-(((Inputs!$C$6)-25)^2)/(4.5^2))+70*EXP(-(((Inputs!$C$6)+38)^2)/(7^2))*(0.55+0.45*SIN(2*PI()*(Scenario_Data!T94)/45))+24*SIN(2*PI()*(Inputs!$C$6)/9+(Scenario_Data!T94)/18)*EXP(-(((Inputs!$C$6)+5)^2)/(22^2))+18*SIN(2*PI()*(Scenario_Data!T94)/70))+Inputs!$C$28*EXP(-(((Scenario_Data!T94)-Inputs!$C$29)^2)/(2*Inputs!$C$31^2))*EXP(-(((Inputs!$C$6)-Inputs!$C$30)^2)/(2*Inputs!$C$32^2))+-Inputs!$C$33*EXP(-(((((Scenario_Data!T94)-Inputs!$C$34)^2)+(((Inputs!$C$6)-Inputs!$C$35)^2))/(2*Inputs!$C$36^2)))+Inputs!$C$37*(0.55*SIN(2*PI()*(Scenario_Data!T94)/Inputs!$C$39)+0.35*COS(2*PI()*(Inputs!$C$6)/Inputs!$C$40)+0.2*SIN(2*PI()*((Scenario_Data!T94)+(Inputs!$C$6))/(0.5*(Inputs!$C$39+Inputs!$C$40))))+Inputs!$C$38*SIN(2*PI()*(Scenario_Data!T94)/Inputs!$C$39)*SIN(2*PI()*(Inputs!$C$6)/Inputs!$C$40)+-Inputs!$C$41*EXP(-(((Inputs!$C$6)-Inputs!$C$43)^2)/(2*Inputs!$C$44^2))*EXP(-(((Scenario_Data!T94)-Inputs!$C$42)^2)/(2*Inputs!$C$45^2))+Inputs!$C$48*(0.7*(0.45*SIN(2*PI()*(((Scenario_Data!T94)/Inputs!$C$49)+Inputs!$C$47*0.137))+0.35*COS(2*PI()*(((Inputs!$C$6)/Inputs!$C$50)+Inputs!$C$47*0.173))+0.2*SIN(2*PI()*((((Scenario_Data!T94)+(Inputs!$C$6))/(0.5*(Inputs!$C$49+Inputs!$C$50)))+Inputs!$C$47*0.097)))+0.3*(2*((SIN(((Scenario_Data!T94)*12.9898+(Inputs!$C$6)*78.233+Inputs!$C$47*37.719))*43758.5453)-INT((SIN(((Scenario_Data!T94)*12.9898+(Inputs!$C$6)*78.233+Inputs!$C$47*37.719))*43758.5453)))-1))))/1000))^2-2*(Inputs!$C$52+(Scenario_Data!B94))*(Inputs!$C$52+((IF(OR(Inputs!$C$27=TRUE,Inputs!$C$27="TRUE",Inputs!$C$27=1),1,0)*(Inputs!$C$51*(115*EXP(-(((Inputs!$C$6)-25)^2)/(4.5^2))+70*EXP(-(((Inputs!$C$6)+38)^2)/(7^2))*(0.55+0.45*SIN(2*PI()*(Scenario_Data!T94)/45))+24*SIN(2*PI()*(Inputs!$C$6)/9+(Scenario_Data!T94)/18)*EXP(-(((Inputs!$C$6)+5)^2)/(22^2))+18*SIN(2*PI()*(Scenario_Data!T94)/70))+Inputs!$C$28*EXP(-(((Scenario_Data!T94)-Inputs!$C$29)^2)/(2*Inputs!$C$31^2))*EXP(-(((Inputs!$C$6)-Inputs!$C$30)^2)/(2*Inputs!$C$32^2))+-Inputs!$C$33*EXP(-(((((Scenario_Data!T94)-Inputs!$C$34)^2)+(((Inputs!$C$6)-Inputs!$C$35)^2))/(2*Inputs!$C$36^2)))+Inputs!$C$37*(0.55*SIN(2*PI()*(Scenario_Data!T94)/Inputs!$C$39)+0.35*COS(2*PI()*(Inputs!$C$6)/Inputs!$C$40)+0.2*SIN(2*PI()*((Scenario_Data!T94)+(Inputs!$C$6))/(0.5*(Inputs!$C$39+Inputs!$C$40))))+Inputs!$C$38*SIN(2*PI()*(Scenario_Data!T94)/Inputs!$C$39)*SIN(2*PI()*(Inputs!$C$6)/Inputs!$C$40)+-Inputs!$C$41*EXP(-(((Inputs!$C$6)-Inputs!$C$43)^2)/(2*Inputs!$C$44^2))*EXP(-(((Scenario_Data!T94)-Inputs!$C$42)^2)/(2*Inputs!$C$45^2))+Inputs!$C$48*(0.7*(0.45*SIN(2*PI()*(((Scenario_Data!T94)/Inputs!$C$49)+Inputs!$C$47*0.137))+0.35*COS(2*PI()*(((Inputs!$C$6)/Inputs!$C$50)+Inputs!$C$47*0.173))+0.2*SIN(2*PI()*((((Scenario_Data!T94)+(Inputs!$C$6))/(0.5*(Inputs!$C$49+Inputs!$C$50)))+Inputs!$C$47*0.097)))+0.3*(2*((SIN(((Scenario_Data!T94)*12.9898+(Inputs!$C$6)*78.233+Inputs!$C$47*37.719))*43758.5453)-INT((SIN(((Scenario_Data!T94)*12.9898+(Inputs!$C$6)*78.233+Inputs!$C$47*37.719))*43758.5453)))-1))))/1000))*COS(SQRT((Scenario_Data!T94)^2+Inputs!$C$6^2)/Inputs!$C$52))*1000)/Inputs!$C$21*1000000</f>
        <v/>
      </c>
      <c r="AR94">
        <f>Scenario_Data!U94</f>
        <v/>
      </c>
      <c r="AS94">
        <f>2*(SQRT((Inputs!$C$52+(Scenario_Data!C94))^2+(Inputs!$C$52+((IF(OR(Inputs!$C$27=TRUE,Inputs!$C$27="TRUE",Inputs!$C$27=1),1,0)*(Inputs!$C$51*(115*EXP(-(((Inputs!$C$6)-25)^2)/(4.5^2))+70*EXP(-(((Inputs!$C$6)+38)^2)/(7^2))*(0.55+0.45*SIN(2*PI()*(Scenario_Data!U94)/45))+24*SIN(2*PI()*(Inputs!$C$6)/9+(Scenario_Data!U94)/18)*EXP(-(((Inputs!$C$6)+5)^2)/(22^2))+18*SIN(2*PI()*(Scenario_Data!U94)/70))+Inputs!$C$28*EXP(-(((Scenario_Data!U94)-Inputs!$C$29)^2)/(2*Inputs!$C$31^2))*EXP(-(((Inputs!$C$6)-Inputs!$C$30)^2)/(2*Inputs!$C$32^2))+-Inputs!$C$33*EXP(-(((((Scenario_Data!U94)-Inputs!$C$34)^2)+(((Inputs!$C$6)-Inputs!$C$35)^2))/(2*Inputs!$C$36^2)))+Inputs!$C$37*(0.55*SIN(2*PI()*(Scenario_Data!U94)/Inputs!$C$39)+0.35*COS(2*PI()*(Inputs!$C$6)/Inputs!$C$40)+0.2*SIN(2*PI()*((Scenario_Data!U94)+(Inputs!$C$6))/(0.5*(Inputs!$C$39+Inputs!$C$40))))+Inputs!$C$38*SIN(2*PI()*(Scenario_Data!U94)/Inputs!$C$39)*SIN(2*PI()*(Inputs!$C$6)/Inputs!$C$40)+-Inputs!$C$41*EXP(-(((Inputs!$C$6)-Inputs!$C$43)^2)/(2*Inputs!$C$44^2))*EXP(-(((Scenario_Data!U94)-Inputs!$C$42)^2)/(2*Inputs!$C$45^2))+Inputs!$C$48*(0.7*(0.45*SIN(2*PI()*(((Scenario_Data!U94)/Inputs!$C$49)+Inputs!$C$47*0.137))+0.35*COS(2*PI()*(((Inputs!$C$6)/Inputs!$C$50)+Inputs!$C$47*0.173))+0.2*SIN(2*PI()*((((Scenario_Data!U94)+(Inputs!$C$6))/(0.5*(Inputs!$C$49+Inputs!$C$50)))+Inputs!$C$47*0.097)))+0.3*(2*((SIN(((Scenario_Data!U94)*12.9898+(Inputs!$C$6)*78.233+Inputs!$C$47*37.719))*43758.5453)-INT((SIN(((Scenario_Data!U94)*12.9898+(Inputs!$C$6)*78.233+Inputs!$C$47*37.719))*43758.5453)))-1))))/1000))^2-2*(Inputs!$C$52+(Scenario_Data!C94))*(Inputs!$C$52+((IF(OR(Inputs!$C$27=TRUE,Inputs!$C$27="TRUE",Inputs!$C$27=1),1,0)*(Inputs!$C$51*(115*EXP(-(((Inputs!$C$6)-25)^2)/(4.5^2))+70*EXP(-(((Inputs!$C$6)+38)^2)/(7^2))*(0.55+0.45*SIN(2*PI()*(Scenario_Data!U94)/45))+24*SIN(2*PI()*(Inputs!$C$6)/9+(Scenario_Data!U94)/18)*EXP(-(((Inputs!$C$6)+5)^2)/(22^2))+18*SIN(2*PI()*(Scenario_Data!U94)/70))+Inputs!$C$28*EXP(-(((Scenario_Data!U94)-Inputs!$C$29)^2)/(2*Inputs!$C$31^2))*EXP(-(((Inputs!$C$6)-Inputs!$C$30)^2)/(2*Inputs!$C$32^2))+-Inputs!$C$33*EXP(-(((((Scenario_Data!U94)-Inputs!$C$34)^2)+(((Inputs!$C$6)-Inputs!$C$35)^2))/(2*Inputs!$C$36^2)))+Inputs!$C$37*(0.55*SIN(2*PI()*(Scenario_Data!U94)/Inputs!$C$39)+0.35*COS(2*PI()*(Inputs!$C$6)/Inputs!$C$40)+0.2*SIN(2*PI()*((Scenario_Data!U94)+(Inputs!$C$6))/(0.5*(Inputs!$C$39+Inputs!$C$40))))+Inputs!$C$38*SIN(2*PI()*(Scenario_Data!U94)/Inputs!$C$39)*SIN(2*PI()*(Inputs!$C$6)/Inputs!$C$40)+-Inputs!$C$41*EXP(-(((Inputs!$C$6)-Inputs!$C$43)^2)/(2*Inputs!$C$44^2))*EXP(-(((Scenario_Data!U94)-Inputs!$C$42)^2)/(2*Inputs!$C$45^2))+Inputs!$C$48*(0.7*(0.45*SIN(2*PI()*(((Scenario_Data!U94)/Inputs!$C$49)+Inputs!$C$47*0.137))+0.35*COS(2*PI()*(((Inputs!$C$6)/Inputs!$C$50)+Inputs!$C$47*0.173))+0.2*SIN(2*PI()*((((Scenario_Data!U94)+(Inputs!$C$6))/(0.5*(Inputs!$C$49+Inputs!$C$50)))+Inputs!$C$47*0.097)))+0.3*(2*((SIN(((Scenario_Data!U94)*12.9898+(Inputs!$C$6)*78.233+Inputs!$C$47*37.719))*43758.5453)-INT((SIN(((Scenario_Data!U94)*12.9898+(Inputs!$C$6)*78.233+Inputs!$C$47*37.719))*43758.5453)))-1))))/1000))*COS(SQRT((Scenario_Data!U94)^2+Inputs!$C$6^2)/Inputs!$C$52))*1000)/Inputs!$C$21*1000000</f>
        <v/>
      </c>
      <c r="AT94">
        <f>Scenario_Data!V94</f>
        <v/>
      </c>
      <c r="AU94">
        <f>2*(SQRT((Inputs!$C$52+(Scenario_Data!D94))^2+(Inputs!$C$52+((IF(OR(Inputs!$C$27=TRUE,Inputs!$C$27="TRUE",Inputs!$C$27=1),1,0)*(Inputs!$C$51*(115*EXP(-(((Inputs!$C$6)-25)^2)/(4.5^2))+70*EXP(-(((Inputs!$C$6)+38)^2)/(7^2))*(0.55+0.45*SIN(2*PI()*(Scenario_Data!V94)/45))+24*SIN(2*PI()*(Inputs!$C$6)/9+(Scenario_Data!V94)/18)*EXP(-(((Inputs!$C$6)+5)^2)/(22^2))+18*SIN(2*PI()*(Scenario_Data!V94)/70))+Inputs!$C$28*EXP(-(((Scenario_Data!V94)-Inputs!$C$29)^2)/(2*Inputs!$C$31^2))*EXP(-(((Inputs!$C$6)-Inputs!$C$30)^2)/(2*Inputs!$C$32^2))+-Inputs!$C$33*EXP(-(((((Scenario_Data!V94)-Inputs!$C$34)^2)+(((Inputs!$C$6)-Inputs!$C$35)^2))/(2*Inputs!$C$36^2)))+Inputs!$C$37*(0.55*SIN(2*PI()*(Scenario_Data!V94)/Inputs!$C$39)+0.35*COS(2*PI()*(Inputs!$C$6)/Inputs!$C$40)+0.2*SIN(2*PI()*((Scenario_Data!V94)+(Inputs!$C$6))/(0.5*(Inputs!$C$39+Inputs!$C$40))))+Inputs!$C$38*SIN(2*PI()*(Scenario_Data!V94)/Inputs!$C$39)*SIN(2*PI()*(Inputs!$C$6)/Inputs!$C$40)+-Inputs!$C$41*EXP(-(((Inputs!$C$6)-Inputs!$C$43)^2)/(2*Inputs!$C$44^2))*EXP(-(((Scenario_Data!V94)-Inputs!$C$42)^2)/(2*Inputs!$C$45^2))+Inputs!$C$48*(0.7*(0.45*SIN(2*PI()*(((Scenario_Data!V94)/Inputs!$C$49)+Inputs!$C$47*0.137))+0.35*COS(2*PI()*(((Inputs!$C$6)/Inputs!$C$50)+Inputs!$C$47*0.173))+0.2*SIN(2*PI()*((((Scenario_Data!V94)+(Inputs!$C$6))/(0.5*(Inputs!$C$49+Inputs!$C$50)))+Inputs!$C$47*0.097)))+0.3*(2*((SIN(((Scenario_Data!V94)*12.9898+(Inputs!$C$6)*78.233+Inputs!$C$47*37.719))*43758.5453)-INT((SIN(((Scenario_Data!V94)*12.9898+(Inputs!$C$6)*78.233+Inputs!$C$47*37.719))*43758.5453)))-1))))/1000))^2-2*(Inputs!$C$52+(Scenario_Data!D94))*(Inputs!$C$52+((IF(OR(Inputs!$C$27=TRUE,Inputs!$C$27="TRUE",Inputs!$C$27=1),1,0)*(Inputs!$C$51*(115*EXP(-(((Inputs!$C$6)-25)^2)/(4.5^2))+70*EXP(-(((Inputs!$C$6)+38)^2)/(7^2))*(0.55+0.45*SIN(2*PI()*(Scenario_Data!V94)/45))+24*SIN(2*PI()*(Inputs!$C$6)/9+(Scenario_Data!V94)/18)*EXP(-(((Inputs!$C$6)+5)^2)/(22^2))+18*SIN(2*PI()*(Scenario_Data!V94)/70))+Inputs!$C$28*EXP(-(((Scenario_Data!V94)-Inputs!$C$29)^2)/(2*Inputs!$C$31^2))*EXP(-(((Inputs!$C$6)-Inputs!$C$30)^2)/(2*Inputs!$C$32^2))+-Inputs!$C$33*EXP(-(((((Scenario_Data!V94)-Inputs!$C$34)^2)+(((Inputs!$C$6)-Inputs!$C$35)^2))/(2*Inputs!$C$36^2)))+Inputs!$C$37*(0.55*SIN(2*PI()*(Scenario_Data!V94)/Inputs!$C$39)+0.35*COS(2*PI()*(Inputs!$C$6)/Inputs!$C$40)+0.2*SIN(2*PI()*((Scenario_Data!V94)+(Inputs!$C$6))/(0.5*(Inputs!$C$39+Inputs!$C$40))))+Inputs!$C$38*SIN(2*PI()*(Scenario_Data!V94)/Inputs!$C$39)*SIN(2*PI()*(Inputs!$C$6)/Inputs!$C$40)+-Inputs!$C$41*EXP(-(((Inputs!$C$6)-Inputs!$C$43)^2)/(2*Inputs!$C$44^2))*EXP(-(((Scenario_Data!V94)-Inputs!$C$42)^2)/(2*Inputs!$C$45^2))+Inputs!$C$48*(0.7*(0.45*SIN(2*PI()*(((Scenario_Data!V94)/Inputs!$C$49)+Inputs!$C$47*0.137))+0.35*COS(2*PI()*(((Inputs!$C$6)/Inputs!$C$50)+Inputs!$C$47*0.173))+0.2*SIN(2*PI()*((((Scenario_Data!V94)+(Inputs!$C$6))/(0.5*(Inputs!$C$49+Inputs!$C$50)))+Inputs!$C$47*0.097)))+0.3*(2*((SIN(((Scenario_Data!V94)*12.9898+(Inputs!$C$6)*78.233+Inputs!$C$47*37.719))*43758.5453)-INT((SIN(((Scenario_Data!V94)*12.9898+(Inputs!$C$6)*78.233+Inputs!$C$47*37.719))*43758.5453)))-1))))/1000))*COS(SQRT((Scenario_Data!V94)^2+Inputs!$C$6^2)/Inputs!$C$52))*1000)/Inputs!$C$21*1000000</f>
        <v/>
      </c>
      <c r="AV94">
        <f>Scenario_Data!W94</f>
        <v/>
      </c>
      <c r="AW94">
        <f>2*(SQRT((Inputs!$C$52+(Scenario_Data!E94))^2+(Inputs!$C$52+((IF(OR(Inputs!$C$27=TRUE,Inputs!$C$27="TRUE",Inputs!$C$27=1),1,0)*(Inputs!$C$51*(115*EXP(-(((Inputs!$C$6)-25)^2)/(4.5^2))+70*EXP(-(((Inputs!$C$6)+38)^2)/(7^2))*(0.55+0.45*SIN(2*PI()*(Scenario_Data!W94)/45))+24*SIN(2*PI()*(Inputs!$C$6)/9+(Scenario_Data!W94)/18)*EXP(-(((Inputs!$C$6)+5)^2)/(22^2))+18*SIN(2*PI()*(Scenario_Data!W94)/70))+Inputs!$C$28*EXP(-(((Scenario_Data!W94)-Inputs!$C$29)^2)/(2*Inputs!$C$31^2))*EXP(-(((Inputs!$C$6)-Inputs!$C$30)^2)/(2*Inputs!$C$32^2))+-Inputs!$C$33*EXP(-(((((Scenario_Data!W94)-Inputs!$C$34)^2)+(((Inputs!$C$6)-Inputs!$C$35)^2))/(2*Inputs!$C$36^2)))+Inputs!$C$37*(0.55*SIN(2*PI()*(Scenario_Data!W94)/Inputs!$C$39)+0.35*COS(2*PI()*(Inputs!$C$6)/Inputs!$C$40)+0.2*SIN(2*PI()*((Scenario_Data!W94)+(Inputs!$C$6))/(0.5*(Inputs!$C$39+Inputs!$C$40))))+Inputs!$C$38*SIN(2*PI()*(Scenario_Data!W94)/Inputs!$C$39)*SIN(2*PI()*(Inputs!$C$6)/Inputs!$C$40)+-Inputs!$C$41*EXP(-(((Inputs!$C$6)-Inputs!$C$43)^2)/(2*Inputs!$C$44^2))*EXP(-(((Scenario_Data!W94)-Inputs!$C$42)^2)/(2*Inputs!$C$45^2))+Inputs!$C$48*(0.7*(0.45*SIN(2*PI()*(((Scenario_Data!W94)/Inputs!$C$49)+Inputs!$C$47*0.137))+0.35*COS(2*PI()*(((Inputs!$C$6)/Inputs!$C$50)+Inputs!$C$47*0.173))+0.2*SIN(2*PI()*((((Scenario_Data!W94)+(Inputs!$C$6))/(0.5*(Inputs!$C$49+Inputs!$C$50)))+Inputs!$C$47*0.097)))+0.3*(2*((SIN(((Scenario_Data!W94)*12.9898+(Inputs!$C$6)*78.233+Inputs!$C$47*37.719))*43758.5453)-INT((SIN(((Scenario_Data!W94)*12.9898+(Inputs!$C$6)*78.233+Inputs!$C$47*37.719))*43758.5453)))-1))))/1000))^2-2*(Inputs!$C$52+(Scenario_Data!E94))*(Inputs!$C$52+((IF(OR(Inputs!$C$27=TRUE,Inputs!$C$27="TRUE",Inputs!$C$27=1),1,0)*(Inputs!$C$51*(115*EXP(-(((Inputs!$C$6)-25)^2)/(4.5^2))+70*EXP(-(((Inputs!$C$6)+38)^2)/(7^2))*(0.55+0.45*SIN(2*PI()*(Scenario_Data!W94)/45))+24*SIN(2*PI()*(Inputs!$C$6)/9+(Scenario_Data!W94)/18)*EXP(-(((Inputs!$C$6)+5)^2)/(22^2))+18*SIN(2*PI()*(Scenario_Data!W94)/70))+Inputs!$C$28*EXP(-(((Scenario_Data!W94)-Inputs!$C$29)^2)/(2*Inputs!$C$31^2))*EXP(-(((Inputs!$C$6)-Inputs!$C$30)^2)/(2*Inputs!$C$32^2))+-Inputs!$C$33*EXP(-(((((Scenario_Data!W94)-Inputs!$C$34)^2)+(((Inputs!$C$6)-Inputs!$C$35)^2))/(2*Inputs!$C$36^2)))+Inputs!$C$37*(0.55*SIN(2*PI()*(Scenario_Data!W94)/Inputs!$C$39)+0.35*COS(2*PI()*(Inputs!$C$6)/Inputs!$C$40)+0.2*SIN(2*PI()*((Scenario_Data!W94)+(Inputs!$C$6))/(0.5*(Inputs!$C$39+Inputs!$C$40))))+Inputs!$C$38*SIN(2*PI()*(Scenario_Data!W94)/Inputs!$C$39)*SIN(2*PI()*(Inputs!$C$6)/Inputs!$C$40)+-Inputs!$C$41*EXP(-(((Inputs!$C$6)-Inputs!$C$43)^2)/(2*Inputs!$C$44^2))*EXP(-(((Scenario_Data!W94)-Inputs!$C$42)^2)/(2*Inputs!$C$45^2))+Inputs!$C$48*(0.7*(0.45*SIN(2*PI()*(((Scenario_Data!W94)/Inputs!$C$49)+Inputs!$C$47*0.137))+0.35*COS(2*PI()*(((Inputs!$C$6)/Inputs!$C$50)+Inputs!$C$47*0.173))+0.2*SIN(2*PI()*((((Scenario_Data!W94)+(Inputs!$C$6))/(0.5*(Inputs!$C$49+Inputs!$C$50)))+Inputs!$C$47*0.097)))+0.3*(2*((SIN(((Scenario_Data!W94)*12.9898+(Inputs!$C$6)*78.233+Inputs!$C$47*37.719))*43758.5453)-INT((SIN(((Scenario_Data!W94)*12.9898+(Inputs!$C$6)*78.233+Inputs!$C$47*37.719))*43758.5453)))-1))))/1000))*COS(SQRT((Scenario_Data!W94)^2+Inputs!$C$6^2)/Inputs!$C$52))*1000)/Inputs!$C$21*1000000</f>
        <v/>
      </c>
    </row>
    <row r="95">
      <c r="A95">
        <f>Chart_Data!K95</f>
        <v/>
      </c>
      <c r="B95">
        <f>Chart_Data!N95-Chart_Data!L95</f>
        <v/>
      </c>
      <c r="D95">
        <f>Chart_Data!G95</f>
        <v/>
      </c>
      <c r="E95">
        <f>Chart_Data!H95</f>
        <v/>
      </c>
      <c r="F95">
        <f>Chart_Data!I95</f>
        <v/>
      </c>
      <c r="G95">
        <f>Chart_Data!J95</f>
        <v/>
      </c>
      <c r="I95">
        <f>Scenario_Data!A95</f>
        <v/>
      </c>
      <c r="J95">
        <f>Scenario_Data!H95-(((SQRT((Inputs!$C$52+(Inputs!$H$6))^2+Inputs!$C$52^2-2*(Inputs!$C$52+(Inputs!$H$6))*Inputs!$C$52*COS(SQRT((Scenario_Data!T95)^2+Inputs!$C$6^2)/Inputs!$C$52)))-(Inputs!$H$6))*1000/Inputs!$C$12)</f>
        <v/>
      </c>
      <c r="K95">
        <f>Scenario_Data!I95-(((SQRT((Inputs!$C$52+(Inputs!$H$7))^2+Inputs!$C$52^2-2*(Inputs!$C$52+(Inputs!$H$7))*Inputs!$C$52*COS(SQRT((Scenario_Data!U95)^2+Inputs!$C$6^2)/Inputs!$C$52)))-(Inputs!$H$7))*1000/Inputs!$C$12)</f>
        <v/>
      </c>
      <c r="L95">
        <f>Scenario_Data!J95-(((SQRT((Inputs!$C$52+(Inputs!$H$8))^2+Inputs!$C$52^2-2*(Inputs!$C$52+(Inputs!$H$8))*Inputs!$C$52*COS(SQRT((Scenario_Data!V95)^2+Inputs!$C$6^2)/Inputs!$C$52)))-(Inputs!$H$8))*1000/Inputs!$C$12)</f>
        <v/>
      </c>
      <c r="M95">
        <f>Scenario_Data!K95-(((SQRT((Inputs!$C$52+(Inputs!$H$9))^2+Inputs!$C$52^2-2*(Inputs!$C$52+(Inputs!$H$9))*Inputs!$C$52*COS(SQRT((Scenario_Data!W95)^2+Inputs!$C$6^2)/Inputs!$C$52)))-(Inputs!$H$9))*1000/Inputs!$C$12)</f>
        <v/>
      </c>
      <c r="O95">
        <f>Scenario_Data!T95</f>
        <v/>
      </c>
      <c r="P95">
        <f>2*(Scenario_Data!B95*1000)/Inputs!$C$21*1000000</f>
        <v/>
      </c>
      <c r="Q95">
        <f>Scenario_Data!U95</f>
        <v/>
      </c>
      <c r="R95">
        <f>2*(Scenario_Data!C95*1000)/Inputs!$C$21*1000000</f>
        <v/>
      </c>
      <c r="S95">
        <f>Scenario_Data!V95</f>
        <v/>
      </c>
      <c r="T95">
        <f>2*(Scenario_Data!D95*1000)/Inputs!$C$21*1000000</f>
        <v/>
      </c>
      <c r="U95">
        <f>Scenario_Data!W95</f>
        <v/>
      </c>
      <c r="V95">
        <f>2*(Scenario_Data!E95*1000)/Inputs!$C$21*1000000</f>
        <v/>
      </c>
      <c r="X95">
        <f>Scenario_Data!T95</f>
        <v/>
      </c>
      <c r="Y95">
        <f>2*((Scenario_Data!B95*1000)-(IF(OR(Inputs!$C$27=TRUE,Inputs!$C$27="TRUE",Inputs!$C$27=1),1,0)*(Inputs!$C$51*(115*EXP(-(((0)-25)^2)/(4.5^2))+70*EXP(-(((0)+38)^2)/(7^2))*(0.55+0.45*SIN(2*PI()*(Scenario_Data!T95)/45))+24*SIN(2*PI()*(0)/9+(Scenario_Data!T95)/18)*EXP(-(((0)+5)^2)/(22^2))+18*SIN(2*PI()*(Scenario_Data!T95)/70))+Inputs!$C$28*EXP(-(((Scenario_Data!T95)-Inputs!$C$29)^2)/(2*Inputs!$C$31^2))*EXP(-(((0)-Inputs!$C$30)^2)/(2*Inputs!$C$32^2))+-Inputs!$C$33*EXP(-(((((Scenario_Data!T95)-Inputs!$C$34)^2)+(((0)-Inputs!$C$35)^2))/(2*Inputs!$C$36^2)))+Inputs!$C$37*(0.55*SIN(2*PI()*(Scenario_Data!T95)/Inputs!$C$39)+0.35*COS(2*PI()*(0)/Inputs!$C$40)+0.2*SIN(2*PI()*((Scenario_Data!T95)+(0))/(0.5*(Inputs!$C$39+Inputs!$C$40))))+Inputs!$C$38*SIN(2*PI()*(Scenario_Data!T95)/Inputs!$C$39)*SIN(2*PI()*(0)/Inputs!$C$40)+-Inputs!$C$41*EXP(-(((0)-Inputs!$C$43)^2)/(2*Inputs!$C$44^2))*EXP(-(((Scenario_Data!T95)-Inputs!$C$42)^2)/(2*Inputs!$C$45^2))+Inputs!$C$48*(0.7*(0.45*SIN(2*PI()*(((Scenario_Data!T95)/Inputs!$C$49)+Inputs!$C$47*0.137))+0.35*COS(2*PI()*(((0)/Inputs!$C$50)+Inputs!$C$47*0.173))+0.2*SIN(2*PI()*((((Scenario_Data!T95)+(0))/(0.5*(Inputs!$C$49+Inputs!$C$50)))+Inputs!$C$47*0.097)))+0.3*(2*((SIN(((Scenario_Data!T95)*12.9898+(0)*78.233+Inputs!$C$47*37.719))*43758.5453)-INT((SIN(((Scenario_Data!T95)*12.9898+(0)*78.233+Inputs!$C$47*37.719))*43758.5453)))-1)))))/Inputs!$C$21*1000000</f>
        <v/>
      </c>
      <c r="Z95">
        <f>Scenario_Data!U95</f>
        <v/>
      </c>
      <c r="AA95">
        <f>2*((Scenario_Data!C95*1000)-(IF(OR(Inputs!$C$27=TRUE,Inputs!$C$27="TRUE",Inputs!$C$27=1),1,0)*(Inputs!$C$51*(115*EXP(-(((0)-25)^2)/(4.5^2))+70*EXP(-(((0)+38)^2)/(7^2))*(0.55+0.45*SIN(2*PI()*(Scenario_Data!U95)/45))+24*SIN(2*PI()*(0)/9+(Scenario_Data!U95)/18)*EXP(-(((0)+5)^2)/(22^2))+18*SIN(2*PI()*(Scenario_Data!U95)/70))+Inputs!$C$28*EXP(-(((Scenario_Data!U95)-Inputs!$C$29)^2)/(2*Inputs!$C$31^2))*EXP(-(((0)-Inputs!$C$30)^2)/(2*Inputs!$C$32^2))+-Inputs!$C$33*EXP(-(((((Scenario_Data!U95)-Inputs!$C$34)^2)+(((0)-Inputs!$C$35)^2))/(2*Inputs!$C$36^2)))+Inputs!$C$37*(0.55*SIN(2*PI()*(Scenario_Data!U95)/Inputs!$C$39)+0.35*COS(2*PI()*(0)/Inputs!$C$40)+0.2*SIN(2*PI()*((Scenario_Data!U95)+(0))/(0.5*(Inputs!$C$39+Inputs!$C$40))))+Inputs!$C$38*SIN(2*PI()*(Scenario_Data!U95)/Inputs!$C$39)*SIN(2*PI()*(0)/Inputs!$C$40)+-Inputs!$C$41*EXP(-(((0)-Inputs!$C$43)^2)/(2*Inputs!$C$44^2))*EXP(-(((Scenario_Data!U95)-Inputs!$C$42)^2)/(2*Inputs!$C$45^2))+Inputs!$C$48*(0.7*(0.45*SIN(2*PI()*(((Scenario_Data!U95)/Inputs!$C$49)+Inputs!$C$47*0.137))+0.35*COS(2*PI()*(((0)/Inputs!$C$50)+Inputs!$C$47*0.173))+0.2*SIN(2*PI()*((((Scenario_Data!U95)+(0))/(0.5*(Inputs!$C$49+Inputs!$C$50)))+Inputs!$C$47*0.097)))+0.3*(2*((SIN(((Scenario_Data!U95)*12.9898+(0)*78.233+Inputs!$C$47*37.719))*43758.5453)-INT((SIN(((Scenario_Data!U95)*12.9898+(0)*78.233+Inputs!$C$47*37.719))*43758.5453)))-1)))))/Inputs!$C$21*1000000</f>
        <v/>
      </c>
      <c r="AB95">
        <f>Scenario_Data!V95</f>
        <v/>
      </c>
      <c r="AC95">
        <f>2*((Scenario_Data!D95*1000)-(IF(OR(Inputs!$C$27=TRUE,Inputs!$C$27="TRUE",Inputs!$C$27=1),1,0)*(Inputs!$C$51*(115*EXP(-(((0)-25)^2)/(4.5^2))+70*EXP(-(((0)+38)^2)/(7^2))*(0.55+0.45*SIN(2*PI()*(Scenario_Data!V95)/45))+24*SIN(2*PI()*(0)/9+(Scenario_Data!V95)/18)*EXP(-(((0)+5)^2)/(22^2))+18*SIN(2*PI()*(Scenario_Data!V95)/70))+Inputs!$C$28*EXP(-(((Scenario_Data!V95)-Inputs!$C$29)^2)/(2*Inputs!$C$31^2))*EXP(-(((0)-Inputs!$C$30)^2)/(2*Inputs!$C$32^2))+-Inputs!$C$33*EXP(-(((((Scenario_Data!V95)-Inputs!$C$34)^2)+(((0)-Inputs!$C$35)^2))/(2*Inputs!$C$36^2)))+Inputs!$C$37*(0.55*SIN(2*PI()*(Scenario_Data!V95)/Inputs!$C$39)+0.35*COS(2*PI()*(0)/Inputs!$C$40)+0.2*SIN(2*PI()*((Scenario_Data!V95)+(0))/(0.5*(Inputs!$C$39+Inputs!$C$40))))+Inputs!$C$38*SIN(2*PI()*(Scenario_Data!V95)/Inputs!$C$39)*SIN(2*PI()*(0)/Inputs!$C$40)+-Inputs!$C$41*EXP(-(((0)-Inputs!$C$43)^2)/(2*Inputs!$C$44^2))*EXP(-(((Scenario_Data!V95)-Inputs!$C$42)^2)/(2*Inputs!$C$45^2))+Inputs!$C$48*(0.7*(0.45*SIN(2*PI()*(((Scenario_Data!V95)/Inputs!$C$49)+Inputs!$C$47*0.137))+0.35*COS(2*PI()*(((0)/Inputs!$C$50)+Inputs!$C$47*0.173))+0.2*SIN(2*PI()*((((Scenario_Data!V95)+(0))/(0.5*(Inputs!$C$49+Inputs!$C$50)))+Inputs!$C$47*0.097)))+0.3*(2*((SIN(((Scenario_Data!V95)*12.9898+(0)*78.233+Inputs!$C$47*37.719))*43758.5453)-INT((SIN(((Scenario_Data!V95)*12.9898+(0)*78.233+Inputs!$C$47*37.719))*43758.5453)))-1)))))/Inputs!$C$21*1000000</f>
        <v/>
      </c>
      <c r="AD95">
        <f>Scenario_Data!W95</f>
        <v/>
      </c>
      <c r="AE95">
        <f>2*((Scenario_Data!E95*1000)-(IF(OR(Inputs!$C$27=TRUE,Inputs!$C$27="TRUE",Inputs!$C$27=1),1,0)*(Inputs!$C$51*(115*EXP(-(((0)-25)^2)/(4.5^2))+70*EXP(-(((0)+38)^2)/(7^2))*(0.55+0.45*SIN(2*PI()*(Scenario_Data!W95)/45))+24*SIN(2*PI()*(0)/9+(Scenario_Data!W95)/18)*EXP(-(((0)+5)^2)/(22^2))+18*SIN(2*PI()*(Scenario_Data!W95)/70))+Inputs!$C$28*EXP(-(((Scenario_Data!W95)-Inputs!$C$29)^2)/(2*Inputs!$C$31^2))*EXP(-(((0)-Inputs!$C$30)^2)/(2*Inputs!$C$32^2))+-Inputs!$C$33*EXP(-(((((Scenario_Data!W95)-Inputs!$C$34)^2)+(((0)-Inputs!$C$35)^2))/(2*Inputs!$C$36^2)))+Inputs!$C$37*(0.55*SIN(2*PI()*(Scenario_Data!W95)/Inputs!$C$39)+0.35*COS(2*PI()*(0)/Inputs!$C$40)+0.2*SIN(2*PI()*((Scenario_Data!W95)+(0))/(0.5*(Inputs!$C$39+Inputs!$C$40))))+Inputs!$C$38*SIN(2*PI()*(Scenario_Data!W95)/Inputs!$C$39)*SIN(2*PI()*(0)/Inputs!$C$40)+-Inputs!$C$41*EXP(-(((0)-Inputs!$C$43)^2)/(2*Inputs!$C$44^2))*EXP(-(((Scenario_Data!W95)-Inputs!$C$42)^2)/(2*Inputs!$C$45^2))+Inputs!$C$48*(0.7*(0.45*SIN(2*PI()*(((Scenario_Data!W95)/Inputs!$C$49)+Inputs!$C$47*0.137))+0.35*COS(2*PI()*(((0)/Inputs!$C$50)+Inputs!$C$47*0.173))+0.2*SIN(2*PI()*((((Scenario_Data!W95)+(0))/(0.5*(Inputs!$C$49+Inputs!$C$50)))+Inputs!$C$47*0.097)))+0.3*(2*((SIN(((Scenario_Data!W95)*12.9898+(0)*78.233+Inputs!$C$47*37.719))*43758.5453)-INT((SIN(((Scenario_Data!W95)*12.9898+(0)*78.233+Inputs!$C$47*37.719))*43758.5453)))-1)))))/Inputs!$C$21*1000000</f>
        <v/>
      </c>
      <c r="AG95">
        <f>Scenario_Data!T95</f>
        <v/>
      </c>
      <c r="AH95">
        <f>2*(SQRT((Inputs!$C$52+(Scenario_Data!B95))^2+Inputs!$C$52^2-2*(Inputs!$C$52+(Scenario_Data!B95))*Inputs!$C$52*COS(SQRT((Scenario_Data!T95)^2+Inputs!$C$6^2)/Inputs!$C$52))*1000)/Inputs!$C$21*1000000</f>
        <v/>
      </c>
      <c r="AI95">
        <f>Scenario_Data!U95</f>
        <v/>
      </c>
      <c r="AJ95">
        <f>2*(SQRT((Inputs!$C$52+(Scenario_Data!C95))^2+Inputs!$C$52^2-2*(Inputs!$C$52+(Scenario_Data!C95))*Inputs!$C$52*COS(SQRT((Scenario_Data!U95)^2+Inputs!$C$6^2)/Inputs!$C$52))*1000)/Inputs!$C$21*1000000</f>
        <v/>
      </c>
      <c r="AK95">
        <f>Scenario_Data!V95</f>
        <v/>
      </c>
      <c r="AL95">
        <f>2*(SQRT((Inputs!$C$52+(Scenario_Data!D95))^2+Inputs!$C$52^2-2*(Inputs!$C$52+(Scenario_Data!D95))*Inputs!$C$52*COS(SQRT((Scenario_Data!V95)^2+Inputs!$C$6^2)/Inputs!$C$52))*1000)/Inputs!$C$21*1000000</f>
        <v/>
      </c>
      <c r="AM95">
        <f>Scenario_Data!W95</f>
        <v/>
      </c>
      <c r="AN95">
        <f>2*(SQRT((Inputs!$C$52+(Scenario_Data!E95))^2+Inputs!$C$52^2-2*(Inputs!$C$52+(Scenario_Data!E95))*Inputs!$C$52*COS(SQRT((Scenario_Data!W95)^2+Inputs!$C$6^2)/Inputs!$C$52))*1000)/Inputs!$C$21*1000000</f>
        <v/>
      </c>
      <c r="AP95">
        <f>Scenario_Data!T95</f>
        <v/>
      </c>
      <c r="AQ95">
        <f>2*(SQRT((Inputs!$C$52+(Scenario_Data!B95))^2+(Inputs!$C$52+((IF(OR(Inputs!$C$27=TRUE,Inputs!$C$27="TRUE",Inputs!$C$27=1),1,0)*(Inputs!$C$51*(115*EXP(-(((Inputs!$C$6)-25)^2)/(4.5^2))+70*EXP(-(((Inputs!$C$6)+38)^2)/(7^2))*(0.55+0.45*SIN(2*PI()*(Scenario_Data!T95)/45))+24*SIN(2*PI()*(Inputs!$C$6)/9+(Scenario_Data!T95)/18)*EXP(-(((Inputs!$C$6)+5)^2)/(22^2))+18*SIN(2*PI()*(Scenario_Data!T95)/70))+Inputs!$C$28*EXP(-(((Scenario_Data!T95)-Inputs!$C$29)^2)/(2*Inputs!$C$31^2))*EXP(-(((Inputs!$C$6)-Inputs!$C$30)^2)/(2*Inputs!$C$32^2))+-Inputs!$C$33*EXP(-(((((Scenario_Data!T95)-Inputs!$C$34)^2)+(((Inputs!$C$6)-Inputs!$C$35)^2))/(2*Inputs!$C$36^2)))+Inputs!$C$37*(0.55*SIN(2*PI()*(Scenario_Data!T95)/Inputs!$C$39)+0.35*COS(2*PI()*(Inputs!$C$6)/Inputs!$C$40)+0.2*SIN(2*PI()*((Scenario_Data!T95)+(Inputs!$C$6))/(0.5*(Inputs!$C$39+Inputs!$C$40))))+Inputs!$C$38*SIN(2*PI()*(Scenario_Data!T95)/Inputs!$C$39)*SIN(2*PI()*(Inputs!$C$6)/Inputs!$C$40)+-Inputs!$C$41*EXP(-(((Inputs!$C$6)-Inputs!$C$43)^2)/(2*Inputs!$C$44^2))*EXP(-(((Scenario_Data!T95)-Inputs!$C$42)^2)/(2*Inputs!$C$45^2))+Inputs!$C$48*(0.7*(0.45*SIN(2*PI()*(((Scenario_Data!T95)/Inputs!$C$49)+Inputs!$C$47*0.137))+0.35*COS(2*PI()*(((Inputs!$C$6)/Inputs!$C$50)+Inputs!$C$47*0.173))+0.2*SIN(2*PI()*((((Scenario_Data!T95)+(Inputs!$C$6))/(0.5*(Inputs!$C$49+Inputs!$C$50)))+Inputs!$C$47*0.097)))+0.3*(2*((SIN(((Scenario_Data!T95)*12.9898+(Inputs!$C$6)*78.233+Inputs!$C$47*37.719))*43758.5453)-INT((SIN(((Scenario_Data!T95)*12.9898+(Inputs!$C$6)*78.233+Inputs!$C$47*37.719))*43758.5453)))-1))))/1000))^2-2*(Inputs!$C$52+(Scenario_Data!B95))*(Inputs!$C$52+((IF(OR(Inputs!$C$27=TRUE,Inputs!$C$27="TRUE",Inputs!$C$27=1),1,0)*(Inputs!$C$51*(115*EXP(-(((Inputs!$C$6)-25)^2)/(4.5^2))+70*EXP(-(((Inputs!$C$6)+38)^2)/(7^2))*(0.55+0.45*SIN(2*PI()*(Scenario_Data!T95)/45))+24*SIN(2*PI()*(Inputs!$C$6)/9+(Scenario_Data!T95)/18)*EXP(-(((Inputs!$C$6)+5)^2)/(22^2))+18*SIN(2*PI()*(Scenario_Data!T95)/70))+Inputs!$C$28*EXP(-(((Scenario_Data!T95)-Inputs!$C$29)^2)/(2*Inputs!$C$31^2))*EXP(-(((Inputs!$C$6)-Inputs!$C$30)^2)/(2*Inputs!$C$32^2))+-Inputs!$C$33*EXP(-(((((Scenario_Data!T95)-Inputs!$C$34)^2)+(((Inputs!$C$6)-Inputs!$C$35)^2))/(2*Inputs!$C$36^2)))+Inputs!$C$37*(0.55*SIN(2*PI()*(Scenario_Data!T95)/Inputs!$C$39)+0.35*COS(2*PI()*(Inputs!$C$6)/Inputs!$C$40)+0.2*SIN(2*PI()*((Scenario_Data!T95)+(Inputs!$C$6))/(0.5*(Inputs!$C$39+Inputs!$C$40))))+Inputs!$C$38*SIN(2*PI()*(Scenario_Data!T95)/Inputs!$C$39)*SIN(2*PI()*(Inputs!$C$6)/Inputs!$C$40)+-Inputs!$C$41*EXP(-(((Inputs!$C$6)-Inputs!$C$43)^2)/(2*Inputs!$C$44^2))*EXP(-(((Scenario_Data!T95)-Inputs!$C$42)^2)/(2*Inputs!$C$45^2))+Inputs!$C$48*(0.7*(0.45*SIN(2*PI()*(((Scenario_Data!T95)/Inputs!$C$49)+Inputs!$C$47*0.137))+0.35*COS(2*PI()*(((Inputs!$C$6)/Inputs!$C$50)+Inputs!$C$47*0.173))+0.2*SIN(2*PI()*((((Scenario_Data!T95)+(Inputs!$C$6))/(0.5*(Inputs!$C$49+Inputs!$C$50)))+Inputs!$C$47*0.097)))+0.3*(2*((SIN(((Scenario_Data!T95)*12.9898+(Inputs!$C$6)*78.233+Inputs!$C$47*37.719))*43758.5453)-INT((SIN(((Scenario_Data!T95)*12.9898+(Inputs!$C$6)*78.233+Inputs!$C$47*37.719))*43758.5453)))-1))))/1000))*COS(SQRT((Scenario_Data!T95)^2+Inputs!$C$6^2)/Inputs!$C$52))*1000)/Inputs!$C$21*1000000</f>
        <v/>
      </c>
      <c r="AR95">
        <f>Scenario_Data!U95</f>
        <v/>
      </c>
      <c r="AS95">
        <f>2*(SQRT((Inputs!$C$52+(Scenario_Data!C95))^2+(Inputs!$C$52+((IF(OR(Inputs!$C$27=TRUE,Inputs!$C$27="TRUE",Inputs!$C$27=1),1,0)*(Inputs!$C$51*(115*EXP(-(((Inputs!$C$6)-25)^2)/(4.5^2))+70*EXP(-(((Inputs!$C$6)+38)^2)/(7^2))*(0.55+0.45*SIN(2*PI()*(Scenario_Data!U95)/45))+24*SIN(2*PI()*(Inputs!$C$6)/9+(Scenario_Data!U95)/18)*EXP(-(((Inputs!$C$6)+5)^2)/(22^2))+18*SIN(2*PI()*(Scenario_Data!U95)/70))+Inputs!$C$28*EXP(-(((Scenario_Data!U95)-Inputs!$C$29)^2)/(2*Inputs!$C$31^2))*EXP(-(((Inputs!$C$6)-Inputs!$C$30)^2)/(2*Inputs!$C$32^2))+-Inputs!$C$33*EXP(-(((((Scenario_Data!U95)-Inputs!$C$34)^2)+(((Inputs!$C$6)-Inputs!$C$35)^2))/(2*Inputs!$C$36^2)))+Inputs!$C$37*(0.55*SIN(2*PI()*(Scenario_Data!U95)/Inputs!$C$39)+0.35*COS(2*PI()*(Inputs!$C$6)/Inputs!$C$40)+0.2*SIN(2*PI()*((Scenario_Data!U95)+(Inputs!$C$6))/(0.5*(Inputs!$C$39+Inputs!$C$40))))+Inputs!$C$38*SIN(2*PI()*(Scenario_Data!U95)/Inputs!$C$39)*SIN(2*PI()*(Inputs!$C$6)/Inputs!$C$40)+-Inputs!$C$41*EXP(-(((Inputs!$C$6)-Inputs!$C$43)^2)/(2*Inputs!$C$44^2))*EXP(-(((Scenario_Data!U95)-Inputs!$C$42)^2)/(2*Inputs!$C$45^2))+Inputs!$C$48*(0.7*(0.45*SIN(2*PI()*(((Scenario_Data!U95)/Inputs!$C$49)+Inputs!$C$47*0.137))+0.35*COS(2*PI()*(((Inputs!$C$6)/Inputs!$C$50)+Inputs!$C$47*0.173))+0.2*SIN(2*PI()*((((Scenario_Data!U95)+(Inputs!$C$6))/(0.5*(Inputs!$C$49+Inputs!$C$50)))+Inputs!$C$47*0.097)))+0.3*(2*((SIN(((Scenario_Data!U95)*12.9898+(Inputs!$C$6)*78.233+Inputs!$C$47*37.719))*43758.5453)-INT((SIN(((Scenario_Data!U95)*12.9898+(Inputs!$C$6)*78.233+Inputs!$C$47*37.719))*43758.5453)))-1))))/1000))^2-2*(Inputs!$C$52+(Scenario_Data!C95))*(Inputs!$C$52+((IF(OR(Inputs!$C$27=TRUE,Inputs!$C$27="TRUE",Inputs!$C$27=1),1,0)*(Inputs!$C$51*(115*EXP(-(((Inputs!$C$6)-25)^2)/(4.5^2))+70*EXP(-(((Inputs!$C$6)+38)^2)/(7^2))*(0.55+0.45*SIN(2*PI()*(Scenario_Data!U95)/45))+24*SIN(2*PI()*(Inputs!$C$6)/9+(Scenario_Data!U95)/18)*EXP(-(((Inputs!$C$6)+5)^2)/(22^2))+18*SIN(2*PI()*(Scenario_Data!U95)/70))+Inputs!$C$28*EXP(-(((Scenario_Data!U95)-Inputs!$C$29)^2)/(2*Inputs!$C$31^2))*EXP(-(((Inputs!$C$6)-Inputs!$C$30)^2)/(2*Inputs!$C$32^2))+-Inputs!$C$33*EXP(-(((((Scenario_Data!U95)-Inputs!$C$34)^2)+(((Inputs!$C$6)-Inputs!$C$35)^2))/(2*Inputs!$C$36^2)))+Inputs!$C$37*(0.55*SIN(2*PI()*(Scenario_Data!U95)/Inputs!$C$39)+0.35*COS(2*PI()*(Inputs!$C$6)/Inputs!$C$40)+0.2*SIN(2*PI()*((Scenario_Data!U95)+(Inputs!$C$6))/(0.5*(Inputs!$C$39+Inputs!$C$40))))+Inputs!$C$38*SIN(2*PI()*(Scenario_Data!U95)/Inputs!$C$39)*SIN(2*PI()*(Inputs!$C$6)/Inputs!$C$40)+-Inputs!$C$41*EXP(-(((Inputs!$C$6)-Inputs!$C$43)^2)/(2*Inputs!$C$44^2))*EXP(-(((Scenario_Data!U95)-Inputs!$C$42)^2)/(2*Inputs!$C$45^2))+Inputs!$C$48*(0.7*(0.45*SIN(2*PI()*(((Scenario_Data!U95)/Inputs!$C$49)+Inputs!$C$47*0.137))+0.35*COS(2*PI()*(((Inputs!$C$6)/Inputs!$C$50)+Inputs!$C$47*0.173))+0.2*SIN(2*PI()*((((Scenario_Data!U95)+(Inputs!$C$6))/(0.5*(Inputs!$C$49+Inputs!$C$50)))+Inputs!$C$47*0.097)))+0.3*(2*((SIN(((Scenario_Data!U95)*12.9898+(Inputs!$C$6)*78.233+Inputs!$C$47*37.719))*43758.5453)-INT((SIN(((Scenario_Data!U95)*12.9898+(Inputs!$C$6)*78.233+Inputs!$C$47*37.719))*43758.5453)))-1))))/1000))*COS(SQRT((Scenario_Data!U95)^2+Inputs!$C$6^2)/Inputs!$C$52))*1000)/Inputs!$C$21*1000000</f>
        <v/>
      </c>
      <c r="AT95">
        <f>Scenario_Data!V95</f>
        <v/>
      </c>
      <c r="AU95">
        <f>2*(SQRT((Inputs!$C$52+(Scenario_Data!D95))^2+(Inputs!$C$52+((IF(OR(Inputs!$C$27=TRUE,Inputs!$C$27="TRUE",Inputs!$C$27=1),1,0)*(Inputs!$C$51*(115*EXP(-(((Inputs!$C$6)-25)^2)/(4.5^2))+70*EXP(-(((Inputs!$C$6)+38)^2)/(7^2))*(0.55+0.45*SIN(2*PI()*(Scenario_Data!V95)/45))+24*SIN(2*PI()*(Inputs!$C$6)/9+(Scenario_Data!V95)/18)*EXP(-(((Inputs!$C$6)+5)^2)/(22^2))+18*SIN(2*PI()*(Scenario_Data!V95)/70))+Inputs!$C$28*EXP(-(((Scenario_Data!V95)-Inputs!$C$29)^2)/(2*Inputs!$C$31^2))*EXP(-(((Inputs!$C$6)-Inputs!$C$30)^2)/(2*Inputs!$C$32^2))+-Inputs!$C$33*EXP(-(((((Scenario_Data!V95)-Inputs!$C$34)^2)+(((Inputs!$C$6)-Inputs!$C$35)^2))/(2*Inputs!$C$36^2)))+Inputs!$C$37*(0.55*SIN(2*PI()*(Scenario_Data!V95)/Inputs!$C$39)+0.35*COS(2*PI()*(Inputs!$C$6)/Inputs!$C$40)+0.2*SIN(2*PI()*((Scenario_Data!V95)+(Inputs!$C$6))/(0.5*(Inputs!$C$39+Inputs!$C$40))))+Inputs!$C$38*SIN(2*PI()*(Scenario_Data!V95)/Inputs!$C$39)*SIN(2*PI()*(Inputs!$C$6)/Inputs!$C$40)+-Inputs!$C$41*EXP(-(((Inputs!$C$6)-Inputs!$C$43)^2)/(2*Inputs!$C$44^2))*EXP(-(((Scenario_Data!V95)-Inputs!$C$42)^2)/(2*Inputs!$C$45^2))+Inputs!$C$48*(0.7*(0.45*SIN(2*PI()*(((Scenario_Data!V95)/Inputs!$C$49)+Inputs!$C$47*0.137))+0.35*COS(2*PI()*(((Inputs!$C$6)/Inputs!$C$50)+Inputs!$C$47*0.173))+0.2*SIN(2*PI()*((((Scenario_Data!V95)+(Inputs!$C$6))/(0.5*(Inputs!$C$49+Inputs!$C$50)))+Inputs!$C$47*0.097)))+0.3*(2*((SIN(((Scenario_Data!V95)*12.9898+(Inputs!$C$6)*78.233+Inputs!$C$47*37.719))*43758.5453)-INT((SIN(((Scenario_Data!V95)*12.9898+(Inputs!$C$6)*78.233+Inputs!$C$47*37.719))*43758.5453)))-1))))/1000))^2-2*(Inputs!$C$52+(Scenario_Data!D95))*(Inputs!$C$52+((IF(OR(Inputs!$C$27=TRUE,Inputs!$C$27="TRUE",Inputs!$C$27=1),1,0)*(Inputs!$C$51*(115*EXP(-(((Inputs!$C$6)-25)^2)/(4.5^2))+70*EXP(-(((Inputs!$C$6)+38)^2)/(7^2))*(0.55+0.45*SIN(2*PI()*(Scenario_Data!V95)/45))+24*SIN(2*PI()*(Inputs!$C$6)/9+(Scenario_Data!V95)/18)*EXP(-(((Inputs!$C$6)+5)^2)/(22^2))+18*SIN(2*PI()*(Scenario_Data!V95)/70))+Inputs!$C$28*EXP(-(((Scenario_Data!V95)-Inputs!$C$29)^2)/(2*Inputs!$C$31^2))*EXP(-(((Inputs!$C$6)-Inputs!$C$30)^2)/(2*Inputs!$C$32^2))+-Inputs!$C$33*EXP(-(((((Scenario_Data!V95)-Inputs!$C$34)^2)+(((Inputs!$C$6)-Inputs!$C$35)^2))/(2*Inputs!$C$36^2)))+Inputs!$C$37*(0.55*SIN(2*PI()*(Scenario_Data!V95)/Inputs!$C$39)+0.35*COS(2*PI()*(Inputs!$C$6)/Inputs!$C$40)+0.2*SIN(2*PI()*((Scenario_Data!V95)+(Inputs!$C$6))/(0.5*(Inputs!$C$39+Inputs!$C$40))))+Inputs!$C$38*SIN(2*PI()*(Scenario_Data!V95)/Inputs!$C$39)*SIN(2*PI()*(Inputs!$C$6)/Inputs!$C$40)+-Inputs!$C$41*EXP(-(((Inputs!$C$6)-Inputs!$C$43)^2)/(2*Inputs!$C$44^2))*EXP(-(((Scenario_Data!V95)-Inputs!$C$42)^2)/(2*Inputs!$C$45^2))+Inputs!$C$48*(0.7*(0.45*SIN(2*PI()*(((Scenario_Data!V95)/Inputs!$C$49)+Inputs!$C$47*0.137))+0.35*COS(2*PI()*(((Inputs!$C$6)/Inputs!$C$50)+Inputs!$C$47*0.173))+0.2*SIN(2*PI()*((((Scenario_Data!V95)+(Inputs!$C$6))/(0.5*(Inputs!$C$49+Inputs!$C$50)))+Inputs!$C$47*0.097)))+0.3*(2*((SIN(((Scenario_Data!V95)*12.9898+(Inputs!$C$6)*78.233+Inputs!$C$47*37.719))*43758.5453)-INT((SIN(((Scenario_Data!V95)*12.9898+(Inputs!$C$6)*78.233+Inputs!$C$47*37.719))*43758.5453)))-1))))/1000))*COS(SQRT((Scenario_Data!V95)^2+Inputs!$C$6^2)/Inputs!$C$52))*1000)/Inputs!$C$21*1000000</f>
        <v/>
      </c>
      <c r="AV95">
        <f>Scenario_Data!W95</f>
        <v/>
      </c>
      <c r="AW95">
        <f>2*(SQRT((Inputs!$C$52+(Scenario_Data!E95))^2+(Inputs!$C$52+((IF(OR(Inputs!$C$27=TRUE,Inputs!$C$27="TRUE",Inputs!$C$27=1),1,0)*(Inputs!$C$51*(115*EXP(-(((Inputs!$C$6)-25)^2)/(4.5^2))+70*EXP(-(((Inputs!$C$6)+38)^2)/(7^2))*(0.55+0.45*SIN(2*PI()*(Scenario_Data!W95)/45))+24*SIN(2*PI()*(Inputs!$C$6)/9+(Scenario_Data!W95)/18)*EXP(-(((Inputs!$C$6)+5)^2)/(22^2))+18*SIN(2*PI()*(Scenario_Data!W95)/70))+Inputs!$C$28*EXP(-(((Scenario_Data!W95)-Inputs!$C$29)^2)/(2*Inputs!$C$31^2))*EXP(-(((Inputs!$C$6)-Inputs!$C$30)^2)/(2*Inputs!$C$32^2))+-Inputs!$C$33*EXP(-(((((Scenario_Data!W95)-Inputs!$C$34)^2)+(((Inputs!$C$6)-Inputs!$C$35)^2))/(2*Inputs!$C$36^2)))+Inputs!$C$37*(0.55*SIN(2*PI()*(Scenario_Data!W95)/Inputs!$C$39)+0.35*COS(2*PI()*(Inputs!$C$6)/Inputs!$C$40)+0.2*SIN(2*PI()*((Scenario_Data!W95)+(Inputs!$C$6))/(0.5*(Inputs!$C$39+Inputs!$C$40))))+Inputs!$C$38*SIN(2*PI()*(Scenario_Data!W95)/Inputs!$C$39)*SIN(2*PI()*(Inputs!$C$6)/Inputs!$C$40)+-Inputs!$C$41*EXP(-(((Inputs!$C$6)-Inputs!$C$43)^2)/(2*Inputs!$C$44^2))*EXP(-(((Scenario_Data!W95)-Inputs!$C$42)^2)/(2*Inputs!$C$45^2))+Inputs!$C$48*(0.7*(0.45*SIN(2*PI()*(((Scenario_Data!W95)/Inputs!$C$49)+Inputs!$C$47*0.137))+0.35*COS(2*PI()*(((Inputs!$C$6)/Inputs!$C$50)+Inputs!$C$47*0.173))+0.2*SIN(2*PI()*((((Scenario_Data!W95)+(Inputs!$C$6))/(0.5*(Inputs!$C$49+Inputs!$C$50)))+Inputs!$C$47*0.097)))+0.3*(2*((SIN(((Scenario_Data!W95)*12.9898+(Inputs!$C$6)*78.233+Inputs!$C$47*37.719))*43758.5453)-INT((SIN(((Scenario_Data!W95)*12.9898+(Inputs!$C$6)*78.233+Inputs!$C$47*37.719))*43758.5453)))-1))))/1000))^2-2*(Inputs!$C$52+(Scenario_Data!E95))*(Inputs!$C$52+((IF(OR(Inputs!$C$27=TRUE,Inputs!$C$27="TRUE",Inputs!$C$27=1),1,0)*(Inputs!$C$51*(115*EXP(-(((Inputs!$C$6)-25)^2)/(4.5^2))+70*EXP(-(((Inputs!$C$6)+38)^2)/(7^2))*(0.55+0.45*SIN(2*PI()*(Scenario_Data!W95)/45))+24*SIN(2*PI()*(Inputs!$C$6)/9+(Scenario_Data!W95)/18)*EXP(-(((Inputs!$C$6)+5)^2)/(22^2))+18*SIN(2*PI()*(Scenario_Data!W95)/70))+Inputs!$C$28*EXP(-(((Scenario_Data!W95)-Inputs!$C$29)^2)/(2*Inputs!$C$31^2))*EXP(-(((Inputs!$C$6)-Inputs!$C$30)^2)/(2*Inputs!$C$32^2))+-Inputs!$C$33*EXP(-(((((Scenario_Data!W95)-Inputs!$C$34)^2)+(((Inputs!$C$6)-Inputs!$C$35)^2))/(2*Inputs!$C$36^2)))+Inputs!$C$37*(0.55*SIN(2*PI()*(Scenario_Data!W95)/Inputs!$C$39)+0.35*COS(2*PI()*(Inputs!$C$6)/Inputs!$C$40)+0.2*SIN(2*PI()*((Scenario_Data!W95)+(Inputs!$C$6))/(0.5*(Inputs!$C$39+Inputs!$C$40))))+Inputs!$C$38*SIN(2*PI()*(Scenario_Data!W95)/Inputs!$C$39)*SIN(2*PI()*(Inputs!$C$6)/Inputs!$C$40)+-Inputs!$C$41*EXP(-(((Inputs!$C$6)-Inputs!$C$43)^2)/(2*Inputs!$C$44^2))*EXP(-(((Scenario_Data!W95)-Inputs!$C$42)^2)/(2*Inputs!$C$45^2))+Inputs!$C$48*(0.7*(0.45*SIN(2*PI()*(((Scenario_Data!W95)/Inputs!$C$49)+Inputs!$C$47*0.137))+0.35*COS(2*PI()*(((Inputs!$C$6)/Inputs!$C$50)+Inputs!$C$47*0.173))+0.2*SIN(2*PI()*((((Scenario_Data!W95)+(Inputs!$C$6))/(0.5*(Inputs!$C$49+Inputs!$C$50)))+Inputs!$C$47*0.097)))+0.3*(2*((SIN(((Scenario_Data!W95)*12.9898+(Inputs!$C$6)*78.233+Inputs!$C$47*37.719))*43758.5453)-INT((SIN(((Scenario_Data!W95)*12.9898+(Inputs!$C$6)*78.233+Inputs!$C$47*37.719))*43758.5453)))-1))))/1000))*COS(SQRT((Scenario_Data!W95)^2+Inputs!$C$6^2)/Inputs!$C$52))*1000)/Inputs!$C$21*1000000</f>
        <v/>
      </c>
    </row>
    <row r="96">
      <c r="A96">
        <f>Chart_Data!K96</f>
        <v/>
      </c>
      <c r="B96">
        <f>Chart_Data!N96-Chart_Data!L96</f>
        <v/>
      </c>
      <c r="D96">
        <f>Chart_Data!G96</f>
        <v/>
      </c>
      <c r="E96">
        <f>Chart_Data!H96</f>
        <v/>
      </c>
      <c r="F96">
        <f>Chart_Data!I96</f>
        <v/>
      </c>
      <c r="G96">
        <f>Chart_Data!J96</f>
        <v/>
      </c>
      <c r="I96">
        <f>Scenario_Data!A96</f>
        <v/>
      </c>
      <c r="J96">
        <f>Scenario_Data!H96-(((SQRT((Inputs!$C$52+(Inputs!$H$6))^2+Inputs!$C$52^2-2*(Inputs!$C$52+(Inputs!$H$6))*Inputs!$C$52*COS(SQRT((Scenario_Data!T96)^2+Inputs!$C$6^2)/Inputs!$C$52)))-(Inputs!$H$6))*1000/Inputs!$C$12)</f>
        <v/>
      </c>
      <c r="K96">
        <f>Scenario_Data!I96-(((SQRT((Inputs!$C$52+(Inputs!$H$7))^2+Inputs!$C$52^2-2*(Inputs!$C$52+(Inputs!$H$7))*Inputs!$C$52*COS(SQRT((Scenario_Data!U96)^2+Inputs!$C$6^2)/Inputs!$C$52)))-(Inputs!$H$7))*1000/Inputs!$C$12)</f>
        <v/>
      </c>
      <c r="L96">
        <f>Scenario_Data!J96-(((SQRT((Inputs!$C$52+(Inputs!$H$8))^2+Inputs!$C$52^2-2*(Inputs!$C$52+(Inputs!$H$8))*Inputs!$C$52*COS(SQRT((Scenario_Data!V96)^2+Inputs!$C$6^2)/Inputs!$C$52)))-(Inputs!$H$8))*1000/Inputs!$C$12)</f>
        <v/>
      </c>
      <c r="M96">
        <f>Scenario_Data!K96-(((SQRT((Inputs!$C$52+(Inputs!$H$9))^2+Inputs!$C$52^2-2*(Inputs!$C$52+(Inputs!$H$9))*Inputs!$C$52*COS(SQRT((Scenario_Data!W96)^2+Inputs!$C$6^2)/Inputs!$C$52)))-(Inputs!$H$9))*1000/Inputs!$C$12)</f>
        <v/>
      </c>
      <c r="O96">
        <f>Scenario_Data!T96</f>
        <v/>
      </c>
      <c r="P96">
        <f>2*(Scenario_Data!B96*1000)/Inputs!$C$21*1000000</f>
        <v/>
      </c>
      <c r="Q96">
        <f>Scenario_Data!U96</f>
        <v/>
      </c>
      <c r="R96">
        <f>2*(Scenario_Data!C96*1000)/Inputs!$C$21*1000000</f>
        <v/>
      </c>
      <c r="S96">
        <f>Scenario_Data!V96</f>
        <v/>
      </c>
      <c r="T96">
        <f>2*(Scenario_Data!D96*1000)/Inputs!$C$21*1000000</f>
        <v/>
      </c>
      <c r="U96">
        <f>Scenario_Data!W96</f>
        <v/>
      </c>
      <c r="V96">
        <f>2*(Scenario_Data!E96*1000)/Inputs!$C$21*1000000</f>
        <v/>
      </c>
      <c r="X96">
        <f>Scenario_Data!T96</f>
        <v/>
      </c>
      <c r="Y96">
        <f>2*((Scenario_Data!B96*1000)-(IF(OR(Inputs!$C$27=TRUE,Inputs!$C$27="TRUE",Inputs!$C$27=1),1,0)*(Inputs!$C$51*(115*EXP(-(((0)-25)^2)/(4.5^2))+70*EXP(-(((0)+38)^2)/(7^2))*(0.55+0.45*SIN(2*PI()*(Scenario_Data!T96)/45))+24*SIN(2*PI()*(0)/9+(Scenario_Data!T96)/18)*EXP(-(((0)+5)^2)/(22^2))+18*SIN(2*PI()*(Scenario_Data!T96)/70))+Inputs!$C$28*EXP(-(((Scenario_Data!T96)-Inputs!$C$29)^2)/(2*Inputs!$C$31^2))*EXP(-(((0)-Inputs!$C$30)^2)/(2*Inputs!$C$32^2))+-Inputs!$C$33*EXP(-(((((Scenario_Data!T96)-Inputs!$C$34)^2)+(((0)-Inputs!$C$35)^2))/(2*Inputs!$C$36^2)))+Inputs!$C$37*(0.55*SIN(2*PI()*(Scenario_Data!T96)/Inputs!$C$39)+0.35*COS(2*PI()*(0)/Inputs!$C$40)+0.2*SIN(2*PI()*((Scenario_Data!T96)+(0))/(0.5*(Inputs!$C$39+Inputs!$C$40))))+Inputs!$C$38*SIN(2*PI()*(Scenario_Data!T96)/Inputs!$C$39)*SIN(2*PI()*(0)/Inputs!$C$40)+-Inputs!$C$41*EXP(-(((0)-Inputs!$C$43)^2)/(2*Inputs!$C$44^2))*EXP(-(((Scenario_Data!T96)-Inputs!$C$42)^2)/(2*Inputs!$C$45^2))+Inputs!$C$48*(0.7*(0.45*SIN(2*PI()*(((Scenario_Data!T96)/Inputs!$C$49)+Inputs!$C$47*0.137))+0.35*COS(2*PI()*(((0)/Inputs!$C$50)+Inputs!$C$47*0.173))+0.2*SIN(2*PI()*((((Scenario_Data!T96)+(0))/(0.5*(Inputs!$C$49+Inputs!$C$50)))+Inputs!$C$47*0.097)))+0.3*(2*((SIN(((Scenario_Data!T96)*12.9898+(0)*78.233+Inputs!$C$47*37.719))*43758.5453)-INT((SIN(((Scenario_Data!T96)*12.9898+(0)*78.233+Inputs!$C$47*37.719))*43758.5453)))-1)))))/Inputs!$C$21*1000000</f>
        <v/>
      </c>
      <c r="Z96">
        <f>Scenario_Data!U96</f>
        <v/>
      </c>
      <c r="AA96">
        <f>2*((Scenario_Data!C96*1000)-(IF(OR(Inputs!$C$27=TRUE,Inputs!$C$27="TRUE",Inputs!$C$27=1),1,0)*(Inputs!$C$51*(115*EXP(-(((0)-25)^2)/(4.5^2))+70*EXP(-(((0)+38)^2)/(7^2))*(0.55+0.45*SIN(2*PI()*(Scenario_Data!U96)/45))+24*SIN(2*PI()*(0)/9+(Scenario_Data!U96)/18)*EXP(-(((0)+5)^2)/(22^2))+18*SIN(2*PI()*(Scenario_Data!U96)/70))+Inputs!$C$28*EXP(-(((Scenario_Data!U96)-Inputs!$C$29)^2)/(2*Inputs!$C$31^2))*EXP(-(((0)-Inputs!$C$30)^2)/(2*Inputs!$C$32^2))+-Inputs!$C$33*EXP(-(((((Scenario_Data!U96)-Inputs!$C$34)^2)+(((0)-Inputs!$C$35)^2))/(2*Inputs!$C$36^2)))+Inputs!$C$37*(0.55*SIN(2*PI()*(Scenario_Data!U96)/Inputs!$C$39)+0.35*COS(2*PI()*(0)/Inputs!$C$40)+0.2*SIN(2*PI()*((Scenario_Data!U96)+(0))/(0.5*(Inputs!$C$39+Inputs!$C$40))))+Inputs!$C$38*SIN(2*PI()*(Scenario_Data!U96)/Inputs!$C$39)*SIN(2*PI()*(0)/Inputs!$C$40)+-Inputs!$C$41*EXP(-(((0)-Inputs!$C$43)^2)/(2*Inputs!$C$44^2))*EXP(-(((Scenario_Data!U96)-Inputs!$C$42)^2)/(2*Inputs!$C$45^2))+Inputs!$C$48*(0.7*(0.45*SIN(2*PI()*(((Scenario_Data!U96)/Inputs!$C$49)+Inputs!$C$47*0.137))+0.35*COS(2*PI()*(((0)/Inputs!$C$50)+Inputs!$C$47*0.173))+0.2*SIN(2*PI()*((((Scenario_Data!U96)+(0))/(0.5*(Inputs!$C$49+Inputs!$C$50)))+Inputs!$C$47*0.097)))+0.3*(2*((SIN(((Scenario_Data!U96)*12.9898+(0)*78.233+Inputs!$C$47*37.719))*43758.5453)-INT((SIN(((Scenario_Data!U96)*12.9898+(0)*78.233+Inputs!$C$47*37.719))*43758.5453)))-1)))))/Inputs!$C$21*1000000</f>
        <v/>
      </c>
      <c r="AB96">
        <f>Scenario_Data!V96</f>
        <v/>
      </c>
      <c r="AC96">
        <f>2*((Scenario_Data!D96*1000)-(IF(OR(Inputs!$C$27=TRUE,Inputs!$C$27="TRUE",Inputs!$C$27=1),1,0)*(Inputs!$C$51*(115*EXP(-(((0)-25)^2)/(4.5^2))+70*EXP(-(((0)+38)^2)/(7^2))*(0.55+0.45*SIN(2*PI()*(Scenario_Data!V96)/45))+24*SIN(2*PI()*(0)/9+(Scenario_Data!V96)/18)*EXP(-(((0)+5)^2)/(22^2))+18*SIN(2*PI()*(Scenario_Data!V96)/70))+Inputs!$C$28*EXP(-(((Scenario_Data!V96)-Inputs!$C$29)^2)/(2*Inputs!$C$31^2))*EXP(-(((0)-Inputs!$C$30)^2)/(2*Inputs!$C$32^2))+-Inputs!$C$33*EXP(-(((((Scenario_Data!V96)-Inputs!$C$34)^2)+(((0)-Inputs!$C$35)^2))/(2*Inputs!$C$36^2)))+Inputs!$C$37*(0.55*SIN(2*PI()*(Scenario_Data!V96)/Inputs!$C$39)+0.35*COS(2*PI()*(0)/Inputs!$C$40)+0.2*SIN(2*PI()*((Scenario_Data!V96)+(0))/(0.5*(Inputs!$C$39+Inputs!$C$40))))+Inputs!$C$38*SIN(2*PI()*(Scenario_Data!V96)/Inputs!$C$39)*SIN(2*PI()*(0)/Inputs!$C$40)+-Inputs!$C$41*EXP(-(((0)-Inputs!$C$43)^2)/(2*Inputs!$C$44^2))*EXP(-(((Scenario_Data!V96)-Inputs!$C$42)^2)/(2*Inputs!$C$45^2))+Inputs!$C$48*(0.7*(0.45*SIN(2*PI()*(((Scenario_Data!V96)/Inputs!$C$49)+Inputs!$C$47*0.137))+0.35*COS(2*PI()*(((0)/Inputs!$C$50)+Inputs!$C$47*0.173))+0.2*SIN(2*PI()*((((Scenario_Data!V96)+(0))/(0.5*(Inputs!$C$49+Inputs!$C$50)))+Inputs!$C$47*0.097)))+0.3*(2*((SIN(((Scenario_Data!V96)*12.9898+(0)*78.233+Inputs!$C$47*37.719))*43758.5453)-INT((SIN(((Scenario_Data!V96)*12.9898+(0)*78.233+Inputs!$C$47*37.719))*43758.5453)))-1)))))/Inputs!$C$21*1000000</f>
        <v/>
      </c>
      <c r="AD96">
        <f>Scenario_Data!W96</f>
        <v/>
      </c>
      <c r="AE96">
        <f>2*((Scenario_Data!E96*1000)-(IF(OR(Inputs!$C$27=TRUE,Inputs!$C$27="TRUE",Inputs!$C$27=1),1,0)*(Inputs!$C$51*(115*EXP(-(((0)-25)^2)/(4.5^2))+70*EXP(-(((0)+38)^2)/(7^2))*(0.55+0.45*SIN(2*PI()*(Scenario_Data!W96)/45))+24*SIN(2*PI()*(0)/9+(Scenario_Data!W96)/18)*EXP(-(((0)+5)^2)/(22^2))+18*SIN(2*PI()*(Scenario_Data!W96)/70))+Inputs!$C$28*EXP(-(((Scenario_Data!W96)-Inputs!$C$29)^2)/(2*Inputs!$C$31^2))*EXP(-(((0)-Inputs!$C$30)^2)/(2*Inputs!$C$32^2))+-Inputs!$C$33*EXP(-(((((Scenario_Data!W96)-Inputs!$C$34)^2)+(((0)-Inputs!$C$35)^2))/(2*Inputs!$C$36^2)))+Inputs!$C$37*(0.55*SIN(2*PI()*(Scenario_Data!W96)/Inputs!$C$39)+0.35*COS(2*PI()*(0)/Inputs!$C$40)+0.2*SIN(2*PI()*((Scenario_Data!W96)+(0))/(0.5*(Inputs!$C$39+Inputs!$C$40))))+Inputs!$C$38*SIN(2*PI()*(Scenario_Data!W96)/Inputs!$C$39)*SIN(2*PI()*(0)/Inputs!$C$40)+-Inputs!$C$41*EXP(-(((0)-Inputs!$C$43)^2)/(2*Inputs!$C$44^2))*EXP(-(((Scenario_Data!W96)-Inputs!$C$42)^2)/(2*Inputs!$C$45^2))+Inputs!$C$48*(0.7*(0.45*SIN(2*PI()*(((Scenario_Data!W96)/Inputs!$C$49)+Inputs!$C$47*0.137))+0.35*COS(2*PI()*(((0)/Inputs!$C$50)+Inputs!$C$47*0.173))+0.2*SIN(2*PI()*((((Scenario_Data!W96)+(0))/(0.5*(Inputs!$C$49+Inputs!$C$50)))+Inputs!$C$47*0.097)))+0.3*(2*((SIN(((Scenario_Data!W96)*12.9898+(0)*78.233+Inputs!$C$47*37.719))*43758.5453)-INT((SIN(((Scenario_Data!W96)*12.9898+(0)*78.233+Inputs!$C$47*37.719))*43758.5453)))-1)))))/Inputs!$C$21*1000000</f>
        <v/>
      </c>
      <c r="AG96">
        <f>Scenario_Data!T96</f>
        <v/>
      </c>
      <c r="AH96">
        <f>2*(SQRT((Inputs!$C$52+(Scenario_Data!B96))^2+Inputs!$C$52^2-2*(Inputs!$C$52+(Scenario_Data!B96))*Inputs!$C$52*COS(SQRT((Scenario_Data!T96)^2+Inputs!$C$6^2)/Inputs!$C$52))*1000)/Inputs!$C$21*1000000</f>
        <v/>
      </c>
      <c r="AI96">
        <f>Scenario_Data!U96</f>
        <v/>
      </c>
      <c r="AJ96">
        <f>2*(SQRT((Inputs!$C$52+(Scenario_Data!C96))^2+Inputs!$C$52^2-2*(Inputs!$C$52+(Scenario_Data!C96))*Inputs!$C$52*COS(SQRT((Scenario_Data!U96)^2+Inputs!$C$6^2)/Inputs!$C$52))*1000)/Inputs!$C$21*1000000</f>
        <v/>
      </c>
      <c r="AK96">
        <f>Scenario_Data!V96</f>
        <v/>
      </c>
      <c r="AL96">
        <f>2*(SQRT((Inputs!$C$52+(Scenario_Data!D96))^2+Inputs!$C$52^2-2*(Inputs!$C$52+(Scenario_Data!D96))*Inputs!$C$52*COS(SQRT((Scenario_Data!V96)^2+Inputs!$C$6^2)/Inputs!$C$52))*1000)/Inputs!$C$21*1000000</f>
        <v/>
      </c>
      <c r="AM96">
        <f>Scenario_Data!W96</f>
        <v/>
      </c>
      <c r="AN96">
        <f>2*(SQRT((Inputs!$C$52+(Scenario_Data!E96))^2+Inputs!$C$52^2-2*(Inputs!$C$52+(Scenario_Data!E96))*Inputs!$C$52*COS(SQRT((Scenario_Data!W96)^2+Inputs!$C$6^2)/Inputs!$C$52))*1000)/Inputs!$C$21*1000000</f>
        <v/>
      </c>
      <c r="AP96">
        <f>Scenario_Data!T96</f>
        <v/>
      </c>
      <c r="AQ96">
        <f>2*(SQRT((Inputs!$C$52+(Scenario_Data!B96))^2+(Inputs!$C$52+((IF(OR(Inputs!$C$27=TRUE,Inputs!$C$27="TRUE",Inputs!$C$27=1),1,0)*(Inputs!$C$51*(115*EXP(-(((Inputs!$C$6)-25)^2)/(4.5^2))+70*EXP(-(((Inputs!$C$6)+38)^2)/(7^2))*(0.55+0.45*SIN(2*PI()*(Scenario_Data!T96)/45))+24*SIN(2*PI()*(Inputs!$C$6)/9+(Scenario_Data!T96)/18)*EXP(-(((Inputs!$C$6)+5)^2)/(22^2))+18*SIN(2*PI()*(Scenario_Data!T96)/70))+Inputs!$C$28*EXP(-(((Scenario_Data!T96)-Inputs!$C$29)^2)/(2*Inputs!$C$31^2))*EXP(-(((Inputs!$C$6)-Inputs!$C$30)^2)/(2*Inputs!$C$32^2))+-Inputs!$C$33*EXP(-(((((Scenario_Data!T96)-Inputs!$C$34)^2)+(((Inputs!$C$6)-Inputs!$C$35)^2))/(2*Inputs!$C$36^2)))+Inputs!$C$37*(0.55*SIN(2*PI()*(Scenario_Data!T96)/Inputs!$C$39)+0.35*COS(2*PI()*(Inputs!$C$6)/Inputs!$C$40)+0.2*SIN(2*PI()*((Scenario_Data!T96)+(Inputs!$C$6))/(0.5*(Inputs!$C$39+Inputs!$C$40))))+Inputs!$C$38*SIN(2*PI()*(Scenario_Data!T96)/Inputs!$C$39)*SIN(2*PI()*(Inputs!$C$6)/Inputs!$C$40)+-Inputs!$C$41*EXP(-(((Inputs!$C$6)-Inputs!$C$43)^2)/(2*Inputs!$C$44^2))*EXP(-(((Scenario_Data!T96)-Inputs!$C$42)^2)/(2*Inputs!$C$45^2))+Inputs!$C$48*(0.7*(0.45*SIN(2*PI()*(((Scenario_Data!T96)/Inputs!$C$49)+Inputs!$C$47*0.137))+0.35*COS(2*PI()*(((Inputs!$C$6)/Inputs!$C$50)+Inputs!$C$47*0.173))+0.2*SIN(2*PI()*((((Scenario_Data!T96)+(Inputs!$C$6))/(0.5*(Inputs!$C$49+Inputs!$C$50)))+Inputs!$C$47*0.097)))+0.3*(2*((SIN(((Scenario_Data!T96)*12.9898+(Inputs!$C$6)*78.233+Inputs!$C$47*37.719))*43758.5453)-INT((SIN(((Scenario_Data!T96)*12.9898+(Inputs!$C$6)*78.233+Inputs!$C$47*37.719))*43758.5453)))-1))))/1000))^2-2*(Inputs!$C$52+(Scenario_Data!B96))*(Inputs!$C$52+((IF(OR(Inputs!$C$27=TRUE,Inputs!$C$27="TRUE",Inputs!$C$27=1),1,0)*(Inputs!$C$51*(115*EXP(-(((Inputs!$C$6)-25)^2)/(4.5^2))+70*EXP(-(((Inputs!$C$6)+38)^2)/(7^2))*(0.55+0.45*SIN(2*PI()*(Scenario_Data!T96)/45))+24*SIN(2*PI()*(Inputs!$C$6)/9+(Scenario_Data!T96)/18)*EXP(-(((Inputs!$C$6)+5)^2)/(22^2))+18*SIN(2*PI()*(Scenario_Data!T96)/70))+Inputs!$C$28*EXP(-(((Scenario_Data!T96)-Inputs!$C$29)^2)/(2*Inputs!$C$31^2))*EXP(-(((Inputs!$C$6)-Inputs!$C$30)^2)/(2*Inputs!$C$32^2))+-Inputs!$C$33*EXP(-(((((Scenario_Data!T96)-Inputs!$C$34)^2)+(((Inputs!$C$6)-Inputs!$C$35)^2))/(2*Inputs!$C$36^2)))+Inputs!$C$37*(0.55*SIN(2*PI()*(Scenario_Data!T96)/Inputs!$C$39)+0.35*COS(2*PI()*(Inputs!$C$6)/Inputs!$C$40)+0.2*SIN(2*PI()*((Scenario_Data!T96)+(Inputs!$C$6))/(0.5*(Inputs!$C$39+Inputs!$C$40))))+Inputs!$C$38*SIN(2*PI()*(Scenario_Data!T96)/Inputs!$C$39)*SIN(2*PI()*(Inputs!$C$6)/Inputs!$C$40)+-Inputs!$C$41*EXP(-(((Inputs!$C$6)-Inputs!$C$43)^2)/(2*Inputs!$C$44^2))*EXP(-(((Scenario_Data!T96)-Inputs!$C$42)^2)/(2*Inputs!$C$45^2))+Inputs!$C$48*(0.7*(0.45*SIN(2*PI()*(((Scenario_Data!T96)/Inputs!$C$49)+Inputs!$C$47*0.137))+0.35*COS(2*PI()*(((Inputs!$C$6)/Inputs!$C$50)+Inputs!$C$47*0.173))+0.2*SIN(2*PI()*((((Scenario_Data!T96)+(Inputs!$C$6))/(0.5*(Inputs!$C$49+Inputs!$C$50)))+Inputs!$C$47*0.097)))+0.3*(2*((SIN(((Scenario_Data!T96)*12.9898+(Inputs!$C$6)*78.233+Inputs!$C$47*37.719))*43758.5453)-INT((SIN(((Scenario_Data!T96)*12.9898+(Inputs!$C$6)*78.233+Inputs!$C$47*37.719))*43758.5453)))-1))))/1000))*COS(SQRT((Scenario_Data!T96)^2+Inputs!$C$6^2)/Inputs!$C$52))*1000)/Inputs!$C$21*1000000</f>
        <v/>
      </c>
      <c r="AR96">
        <f>Scenario_Data!U96</f>
        <v/>
      </c>
      <c r="AS96">
        <f>2*(SQRT((Inputs!$C$52+(Scenario_Data!C96))^2+(Inputs!$C$52+((IF(OR(Inputs!$C$27=TRUE,Inputs!$C$27="TRUE",Inputs!$C$27=1),1,0)*(Inputs!$C$51*(115*EXP(-(((Inputs!$C$6)-25)^2)/(4.5^2))+70*EXP(-(((Inputs!$C$6)+38)^2)/(7^2))*(0.55+0.45*SIN(2*PI()*(Scenario_Data!U96)/45))+24*SIN(2*PI()*(Inputs!$C$6)/9+(Scenario_Data!U96)/18)*EXP(-(((Inputs!$C$6)+5)^2)/(22^2))+18*SIN(2*PI()*(Scenario_Data!U96)/70))+Inputs!$C$28*EXP(-(((Scenario_Data!U96)-Inputs!$C$29)^2)/(2*Inputs!$C$31^2))*EXP(-(((Inputs!$C$6)-Inputs!$C$30)^2)/(2*Inputs!$C$32^2))+-Inputs!$C$33*EXP(-(((((Scenario_Data!U96)-Inputs!$C$34)^2)+(((Inputs!$C$6)-Inputs!$C$35)^2))/(2*Inputs!$C$36^2)))+Inputs!$C$37*(0.55*SIN(2*PI()*(Scenario_Data!U96)/Inputs!$C$39)+0.35*COS(2*PI()*(Inputs!$C$6)/Inputs!$C$40)+0.2*SIN(2*PI()*((Scenario_Data!U96)+(Inputs!$C$6))/(0.5*(Inputs!$C$39+Inputs!$C$40))))+Inputs!$C$38*SIN(2*PI()*(Scenario_Data!U96)/Inputs!$C$39)*SIN(2*PI()*(Inputs!$C$6)/Inputs!$C$40)+-Inputs!$C$41*EXP(-(((Inputs!$C$6)-Inputs!$C$43)^2)/(2*Inputs!$C$44^2))*EXP(-(((Scenario_Data!U96)-Inputs!$C$42)^2)/(2*Inputs!$C$45^2))+Inputs!$C$48*(0.7*(0.45*SIN(2*PI()*(((Scenario_Data!U96)/Inputs!$C$49)+Inputs!$C$47*0.137))+0.35*COS(2*PI()*(((Inputs!$C$6)/Inputs!$C$50)+Inputs!$C$47*0.173))+0.2*SIN(2*PI()*((((Scenario_Data!U96)+(Inputs!$C$6))/(0.5*(Inputs!$C$49+Inputs!$C$50)))+Inputs!$C$47*0.097)))+0.3*(2*((SIN(((Scenario_Data!U96)*12.9898+(Inputs!$C$6)*78.233+Inputs!$C$47*37.719))*43758.5453)-INT((SIN(((Scenario_Data!U96)*12.9898+(Inputs!$C$6)*78.233+Inputs!$C$47*37.719))*43758.5453)))-1))))/1000))^2-2*(Inputs!$C$52+(Scenario_Data!C96))*(Inputs!$C$52+((IF(OR(Inputs!$C$27=TRUE,Inputs!$C$27="TRUE",Inputs!$C$27=1),1,0)*(Inputs!$C$51*(115*EXP(-(((Inputs!$C$6)-25)^2)/(4.5^2))+70*EXP(-(((Inputs!$C$6)+38)^2)/(7^2))*(0.55+0.45*SIN(2*PI()*(Scenario_Data!U96)/45))+24*SIN(2*PI()*(Inputs!$C$6)/9+(Scenario_Data!U96)/18)*EXP(-(((Inputs!$C$6)+5)^2)/(22^2))+18*SIN(2*PI()*(Scenario_Data!U96)/70))+Inputs!$C$28*EXP(-(((Scenario_Data!U96)-Inputs!$C$29)^2)/(2*Inputs!$C$31^2))*EXP(-(((Inputs!$C$6)-Inputs!$C$30)^2)/(2*Inputs!$C$32^2))+-Inputs!$C$33*EXP(-(((((Scenario_Data!U96)-Inputs!$C$34)^2)+(((Inputs!$C$6)-Inputs!$C$35)^2))/(2*Inputs!$C$36^2)))+Inputs!$C$37*(0.55*SIN(2*PI()*(Scenario_Data!U96)/Inputs!$C$39)+0.35*COS(2*PI()*(Inputs!$C$6)/Inputs!$C$40)+0.2*SIN(2*PI()*((Scenario_Data!U96)+(Inputs!$C$6))/(0.5*(Inputs!$C$39+Inputs!$C$40))))+Inputs!$C$38*SIN(2*PI()*(Scenario_Data!U96)/Inputs!$C$39)*SIN(2*PI()*(Inputs!$C$6)/Inputs!$C$40)+-Inputs!$C$41*EXP(-(((Inputs!$C$6)-Inputs!$C$43)^2)/(2*Inputs!$C$44^2))*EXP(-(((Scenario_Data!U96)-Inputs!$C$42)^2)/(2*Inputs!$C$45^2))+Inputs!$C$48*(0.7*(0.45*SIN(2*PI()*(((Scenario_Data!U96)/Inputs!$C$49)+Inputs!$C$47*0.137))+0.35*COS(2*PI()*(((Inputs!$C$6)/Inputs!$C$50)+Inputs!$C$47*0.173))+0.2*SIN(2*PI()*((((Scenario_Data!U96)+(Inputs!$C$6))/(0.5*(Inputs!$C$49+Inputs!$C$50)))+Inputs!$C$47*0.097)))+0.3*(2*((SIN(((Scenario_Data!U96)*12.9898+(Inputs!$C$6)*78.233+Inputs!$C$47*37.719))*43758.5453)-INT((SIN(((Scenario_Data!U96)*12.9898+(Inputs!$C$6)*78.233+Inputs!$C$47*37.719))*43758.5453)))-1))))/1000))*COS(SQRT((Scenario_Data!U96)^2+Inputs!$C$6^2)/Inputs!$C$52))*1000)/Inputs!$C$21*1000000</f>
        <v/>
      </c>
      <c r="AT96">
        <f>Scenario_Data!V96</f>
        <v/>
      </c>
      <c r="AU96">
        <f>2*(SQRT((Inputs!$C$52+(Scenario_Data!D96))^2+(Inputs!$C$52+((IF(OR(Inputs!$C$27=TRUE,Inputs!$C$27="TRUE",Inputs!$C$27=1),1,0)*(Inputs!$C$51*(115*EXP(-(((Inputs!$C$6)-25)^2)/(4.5^2))+70*EXP(-(((Inputs!$C$6)+38)^2)/(7^2))*(0.55+0.45*SIN(2*PI()*(Scenario_Data!V96)/45))+24*SIN(2*PI()*(Inputs!$C$6)/9+(Scenario_Data!V96)/18)*EXP(-(((Inputs!$C$6)+5)^2)/(22^2))+18*SIN(2*PI()*(Scenario_Data!V96)/70))+Inputs!$C$28*EXP(-(((Scenario_Data!V96)-Inputs!$C$29)^2)/(2*Inputs!$C$31^2))*EXP(-(((Inputs!$C$6)-Inputs!$C$30)^2)/(2*Inputs!$C$32^2))+-Inputs!$C$33*EXP(-(((((Scenario_Data!V96)-Inputs!$C$34)^2)+(((Inputs!$C$6)-Inputs!$C$35)^2))/(2*Inputs!$C$36^2)))+Inputs!$C$37*(0.55*SIN(2*PI()*(Scenario_Data!V96)/Inputs!$C$39)+0.35*COS(2*PI()*(Inputs!$C$6)/Inputs!$C$40)+0.2*SIN(2*PI()*((Scenario_Data!V96)+(Inputs!$C$6))/(0.5*(Inputs!$C$39+Inputs!$C$40))))+Inputs!$C$38*SIN(2*PI()*(Scenario_Data!V96)/Inputs!$C$39)*SIN(2*PI()*(Inputs!$C$6)/Inputs!$C$40)+-Inputs!$C$41*EXP(-(((Inputs!$C$6)-Inputs!$C$43)^2)/(2*Inputs!$C$44^2))*EXP(-(((Scenario_Data!V96)-Inputs!$C$42)^2)/(2*Inputs!$C$45^2))+Inputs!$C$48*(0.7*(0.45*SIN(2*PI()*(((Scenario_Data!V96)/Inputs!$C$49)+Inputs!$C$47*0.137))+0.35*COS(2*PI()*(((Inputs!$C$6)/Inputs!$C$50)+Inputs!$C$47*0.173))+0.2*SIN(2*PI()*((((Scenario_Data!V96)+(Inputs!$C$6))/(0.5*(Inputs!$C$49+Inputs!$C$50)))+Inputs!$C$47*0.097)))+0.3*(2*((SIN(((Scenario_Data!V96)*12.9898+(Inputs!$C$6)*78.233+Inputs!$C$47*37.719))*43758.5453)-INT((SIN(((Scenario_Data!V96)*12.9898+(Inputs!$C$6)*78.233+Inputs!$C$47*37.719))*43758.5453)))-1))))/1000))^2-2*(Inputs!$C$52+(Scenario_Data!D96))*(Inputs!$C$52+((IF(OR(Inputs!$C$27=TRUE,Inputs!$C$27="TRUE",Inputs!$C$27=1),1,0)*(Inputs!$C$51*(115*EXP(-(((Inputs!$C$6)-25)^2)/(4.5^2))+70*EXP(-(((Inputs!$C$6)+38)^2)/(7^2))*(0.55+0.45*SIN(2*PI()*(Scenario_Data!V96)/45))+24*SIN(2*PI()*(Inputs!$C$6)/9+(Scenario_Data!V96)/18)*EXP(-(((Inputs!$C$6)+5)^2)/(22^2))+18*SIN(2*PI()*(Scenario_Data!V96)/70))+Inputs!$C$28*EXP(-(((Scenario_Data!V96)-Inputs!$C$29)^2)/(2*Inputs!$C$31^2))*EXP(-(((Inputs!$C$6)-Inputs!$C$30)^2)/(2*Inputs!$C$32^2))+-Inputs!$C$33*EXP(-(((((Scenario_Data!V96)-Inputs!$C$34)^2)+(((Inputs!$C$6)-Inputs!$C$35)^2))/(2*Inputs!$C$36^2)))+Inputs!$C$37*(0.55*SIN(2*PI()*(Scenario_Data!V96)/Inputs!$C$39)+0.35*COS(2*PI()*(Inputs!$C$6)/Inputs!$C$40)+0.2*SIN(2*PI()*((Scenario_Data!V96)+(Inputs!$C$6))/(0.5*(Inputs!$C$39+Inputs!$C$40))))+Inputs!$C$38*SIN(2*PI()*(Scenario_Data!V96)/Inputs!$C$39)*SIN(2*PI()*(Inputs!$C$6)/Inputs!$C$40)+-Inputs!$C$41*EXP(-(((Inputs!$C$6)-Inputs!$C$43)^2)/(2*Inputs!$C$44^2))*EXP(-(((Scenario_Data!V96)-Inputs!$C$42)^2)/(2*Inputs!$C$45^2))+Inputs!$C$48*(0.7*(0.45*SIN(2*PI()*(((Scenario_Data!V96)/Inputs!$C$49)+Inputs!$C$47*0.137))+0.35*COS(2*PI()*(((Inputs!$C$6)/Inputs!$C$50)+Inputs!$C$47*0.173))+0.2*SIN(2*PI()*((((Scenario_Data!V96)+(Inputs!$C$6))/(0.5*(Inputs!$C$49+Inputs!$C$50)))+Inputs!$C$47*0.097)))+0.3*(2*((SIN(((Scenario_Data!V96)*12.9898+(Inputs!$C$6)*78.233+Inputs!$C$47*37.719))*43758.5453)-INT((SIN(((Scenario_Data!V96)*12.9898+(Inputs!$C$6)*78.233+Inputs!$C$47*37.719))*43758.5453)))-1))))/1000))*COS(SQRT((Scenario_Data!V96)^2+Inputs!$C$6^2)/Inputs!$C$52))*1000)/Inputs!$C$21*1000000</f>
        <v/>
      </c>
      <c r="AV96">
        <f>Scenario_Data!W96</f>
        <v/>
      </c>
      <c r="AW96">
        <f>2*(SQRT((Inputs!$C$52+(Scenario_Data!E96))^2+(Inputs!$C$52+((IF(OR(Inputs!$C$27=TRUE,Inputs!$C$27="TRUE",Inputs!$C$27=1),1,0)*(Inputs!$C$51*(115*EXP(-(((Inputs!$C$6)-25)^2)/(4.5^2))+70*EXP(-(((Inputs!$C$6)+38)^2)/(7^2))*(0.55+0.45*SIN(2*PI()*(Scenario_Data!W96)/45))+24*SIN(2*PI()*(Inputs!$C$6)/9+(Scenario_Data!W96)/18)*EXP(-(((Inputs!$C$6)+5)^2)/(22^2))+18*SIN(2*PI()*(Scenario_Data!W96)/70))+Inputs!$C$28*EXP(-(((Scenario_Data!W96)-Inputs!$C$29)^2)/(2*Inputs!$C$31^2))*EXP(-(((Inputs!$C$6)-Inputs!$C$30)^2)/(2*Inputs!$C$32^2))+-Inputs!$C$33*EXP(-(((((Scenario_Data!W96)-Inputs!$C$34)^2)+(((Inputs!$C$6)-Inputs!$C$35)^2))/(2*Inputs!$C$36^2)))+Inputs!$C$37*(0.55*SIN(2*PI()*(Scenario_Data!W96)/Inputs!$C$39)+0.35*COS(2*PI()*(Inputs!$C$6)/Inputs!$C$40)+0.2*SIN(2*PI()*((Scenario_Data!W96)+(Inputs!$C$6))/(0.5*(Inputs!$C$39+Inputs!$C$40))))+Inputs!$C$38*SIN(2*PI()*(Scenario_Data!W96)/Inputs!$C$39)*SIN(2*PI()*(Inputs!$C$6)/Inputs!$C$40)+-Inputs!$C$41*EXP(-(((Inputs!$C$6)-Inputs!$C$43)^2)/(2*Inputs!$C$44^2))*EXP(-(((Scenario_Data!W96)-Inputs!$C$42)^2)/(2*Inputs!$C$45^2))+Inputs!$C$48*(0.7*(0.45*SIN(2*PI()*(((Scenario_Data!W96)/Inputs!$C$49)+Inputs!$C$47*0.137))+0.35*COS(2*PI()*(((Inputs!$C$6)/Inputs!$C$50)+Inputs!$C$47*0.173))+0.2*SIN(2*PI()*((((Scenario_Data!W96)+(Inputs!$C$6))/(0.5*(Inputs!$C$49+Inputs!$C$50)))+Inputs!$C$47*0.097)))+0.3*(2*((SIN(((Scenario_Data!W96)*12.9898+(Inputs!$C$6)*78.233+Inputs!$C$47*37.719))*43758.5453)-INT((SIN(((Scenario_Data!W96)*12.9898+(Inputs!$C$6)*78.233+Inputs!$C$47*37.719))*43758.5453)))-1))))/1000))^2-2*(Inputs!$C$52+(Scenario_Data!E96))*(Inputs!$C$52+((IF(OR(Inputs!$C$27=TRUE,Inputs!$C$27="TRUE",Inputs!$C$27=1),1,0)*(Inputs!$C$51*(115*EXP(-(((Inputs!$C$6)-25)^2)/(4.5^2))+70*EXP(-(((Inputs!$C$6)+38)^2)/(7^2))*(0.55+0.45*SIN(2*PI()*(Scenario_Data!W96)/45))+24*SIN(2*PI()*(Inputs!$C$6)/9+(Scenario_Data!W96)/18)*EXP(-(((Inputs!$C$6)+5)^2)/(22^2))+18*SIN(2*PI()*(Scenario_Data!W96)/70))+Inputs!$C$28*EXP(-(((Scenario_Data!W96)-Inputs!$C$29)^2)/(2*Inputs!$C$31^2))*EXP(-(((Inputs!$C$6)-Inputs!$C$30)^2)/(2*Inputs!$C$32^2))+-Inputs!$C$33*EXP(-(((((Scenario_Data!W96)-Inputs!$C$34)^2)+(((Inputs!$C$6)-Inputs!$C$35)^2))/(2*Inputs!$C$36^2)))+Inputs!$C$37*(0.55*SIN(2*PI()*(Scenario_Data!W96)/Inputs!$C$39)+0.35*COS(2*PI()*(Inputs!$C$6)/Inputs!$C$40)+0.2*SIN(2*PI()*((Scenario_Data!W96)+(Inputs!$C$6))/(0.5*(Inputs!$C$39+Inputs!$C$40))))+Inputs!$C$38*SIN(2*PI()*(Scenario_Data!W96)/Inputs!$C$39)*SIN(2*PI()*(Inputs!$C$6)/Inputs!$C$40)+-Inputs!$C$41*EXP(-(((Inputs!$C$6)-Inputs!$C$43)^2)/(2*Inputs!$C$44^2))*EXP(-(((Scenario_Data!W96)-Inputs!$C$42)^2)/(2*Inputs!$C$45^2))+Inputs!$C$48*(0.7*(0.45*SIN(2*PI()*(((Scenario_Data!W96)/Inputs!$C$49)+Inputs!$C$47*0.137))+0.35*COS(2*PI()*(((Inputs!$C$6)/Inputs!$C$50)+Inputs!$C$47*0.173))+0.2*SIN(2*PI()*((((Scenario_Data!W96)+(Inputs!$C$6))/(0.5*(Inputs!$C$49+Inputs!$C$50)))+Inputs!$C$47*0.097)))+0.3*(2*((SIN(((Scenario_Data!W96)*12.9898+(Inputs!$C$6)*78.233+Inputs!$C$47*37.719))*43758.5453)-INT((SIN(((Scenario_Data!W96)*12.9898+(Inputs!$C$6)*78.233+Inputs!$C$47*37.719))*43758.5453)))-1))))/1000))*COS(SQRT((Scenario_Data!W96)^2+Inputs!$C$6^2)/Inputs!$C$52))*1000)/Inputs!$C$21*1000000</f>
        <v/>
      </c>
    </row>
    <row r="97">
      <c r="A97">
        <f>Chart_Data!K97</f>
        <v/>
      </c>
      <c r="B97">
        <f>Chart_Data!N97-Chart_Data!L97</f>
        <v/>
      </c>
      <c r="D97">
        <f>Chart_Data!G97</f>
        <v/>
      </c>
      <c r="E97">
        <f>Chart_Data!H97</f>
        <v/>
      </c>
      <c r="F97">
        <f>Chart_Data!I97</f>
        <v/>
      </c>
      <c r="G97">
        <f>Chart_Data!J97</f>
        <v/>
      </c>
      <c r="I97">
        <f>Scenario_Data!A97</f>
        <v/>
      </c>
      <c r="J97">
        <f>Scenario_Data!H97-(((SQRT((Inputs!$C$52+(Inputs!$H$6))^2+Inputs!$C$52^2-2*(Inputs!$C$52+(Inputs!$H$6))*Inputs!$C$52*COS(SQRT((Scenario_Data!T97)^2+Inputs!$C$6^2)/Inputs!$C$52)))-(Inputs!$H$6))*1000/Inputs!$C$12)</f>
        <v/>
      </c>
      <c r="K97">
        <f>Scenario_Data!I97-(((SQRT((Inputs!$C$52+(Inputs!$H$7))^2+Inputs!$C$52^2-2*(Inputs!$C$52+(Inputs!$H$7))*Inputs!$C$52*COS(SQRT((Scenario_Data!U97)^2+Inputs!$C$6^2)/Inputs!$C$52)))-(Inputs!$H$7))*1000/Inputs!$C$12)</f>
        <v/>
      </c>
      <c r="L97">
        <f>Scenario_Data!J97-(((SQRT((Inputs!$C$52+(Inputs!$H$8))^2+Inputs!$C$52^2-2*(Inputs!$C$52+(Inputs!$H$8))*Inputs!$C$52*COS(SQRT((Scenario_Data!V97)^2+Inputs!$C$6^2)/Inputs!$C$52)))-(Inputs!$H$8))*1000/Inputs!$C$12)</f>
        <v/>
      </c>
      <c r="M97">
        <f>Scenario_Data!K97-(((SQRT((Inputs!$C$52+(Inputs!$H$9))^2+Inputs!$C$52^2-2*(Inputs!$C$52+(Inputs!$H$9))*Inputs!$C$52*COS(SQRT((Scenario_Data!W97)^2+Inputs!$C$6^2)/Inputs!$C$52)))-(Inputs!$H$9))*1000/Inputs!$C$12)</f>
        <v/>
      </c>
      <c r="O97">
        <f>Scenario_Data!T97</f>
        <v/>
      </c>
      <c r="P97">
        <f>2*(Scenario_Data!B97*1000)/Inputs!$C$21*1000000</f>
        <v/>
      </c>
      <c r="Q97">
        <f>Scenario_Data!U97</f>
        <v/>
      </c>
      <c r="R97">
        <f>2*(Scenario_Data!C97*1000)/Inputs!$C$21*1000000</f>
        <v/>
      </c>
      <c r="S97">
        <f>Scenario_Data!V97</f>
        <v/>
      </c>
      <c r="T97">
        <f>2*(Scenario_Data!D97*1000)/Inputs!$C$21*1000000</f>
        <v/>
      </c>
      <c r="U97">
        <f>Scenario_Data!W97</f>
        <v/>
      </c>
      <c r="V97">
        <f>2*(Scenario_Data!E97*1000)/Inputs!$C$21*1000000</f>
        <v/>
      </c>
      <c r="X97">
        <f>Scenario_Data!T97</f>
        <v/>
      </c>
      <c r="Y97">
        <f>2*((Scenario_Data!B97*1000)-(IF(OR(Inputs!$C$27=TRUE,Inputs!$C$27="TRUE",Inputs!$C$27=1),1,0)*(Inputs!$C$51*(115*EXP(-(((0)-25)^2)/(4.5^2))+70*EXP(-(((0)+38)^2)/(7^2))*(0.55+0.45*SIN(2*PI()*(Scenario_Data!T97)/45))+24*SIN(2*PI()*(0)/9+(Scenario_Data!T97)/18)*EXP(-(((0)+5)^2)/(22^2))+18*SIN(2*PI()*(Scenario_Data!T97)/70))+Inputs!$C$28*EXP(-(((Scenario_Data!T97)-Inputs!$C$29)^2)/(2*Inputs!$C$31^2))*EXP(-(((0)-Inputs!$C$30)^2)/(2*Inputs!$C$32^2))+-Inputs!$C$33*EXP(-(((((Scenario_Data!T97)-Inputs!$C$34)^2)+(((0)-Inputs!$C$35)^2))/(2*Inputs!$C$36^2)))+Inputs!$C$37*(0.55*SIN(2*PI()*(Scenario_Data!T97)/Inputs!$C$39)+0.35*COS(2*PI()*(0)/Inputs!$C$40)+0.2*SIN(2*PI()*((Scenario_Data!T97)+(0))/(0.5*(Inputs!$C$39+Inputs!$C$40))))+Inputs!$C$38*SIN(2*PI()*(Scenario_Data!T97)/Inputs!$C$39)*SIN(2*PI()*(0)/Inputs!$C$40)+-Inputs!$C$41*EXP(-(((0)-Inputs!$C$43)^2)/(2*Inputs!$C$44^2))*EXP(-(((Scenario_Data!T97)-Inputs!$C$42)^2)/(2*Inputs!$C$45^2))+Inputs!$C$48*(0.7*(0.45*SIN(2*PI()*(((Scenario_Data!T97)/Inputs!$C$49)+Inputs!$C$47*0.137))+0.35*COS(2*PI()*(((0)/Inputs!$C$50)+Inputs!$C$47*0.173))+0.2*SIN(2*PI()*((((Scenario_Data!T97)+(0))/(0.5*(Inputs!$C$49+Inputs!$C$50)))+Inputs!$C$47*0.097)))+0.3*(2*((SIN(((Scenario_Data!T97)*12.9898+(0)*78.233+Inputs!$C$47*37.719))*43758.5453)-INT((SIN(((Scenario_Data!T97)*12.9898+(0)*78.233+Inputs!$C$47*37.719))*43758.5453)))-1)))))/Inputs!$C$21*1000000</f>
        <v/>
      </c>
      <c r="Z97">
        <f>Scenario_Data!U97</f>
        <v/>
      </c>
      <c r="AA97">
        <f>2*((Scenario_Data!C97*1000)-(IF(OR(Inputs!$C$27=TRUE,Inputs!$C$27="TRUE",Inputs!$C$27=1),1,0)*(Inputs!$C$51*(115*EXP(-(((0)-25)^2)/(4.5^2))+70*EXP(-(((0)+38)^2)/(7^2))*(0.55+0.45*SIN(2*PI()*(Scenario_Data!U97)/45))+24*SIN(2*PI()*(0)/9+(Scenario_Data!U97)/18)*EXP(-(((0)+5)^2)/(22^2))+18*SIN(2*PI()*(Scenario_Data!U97)/70))+Inputs!$C$28*EXP(-(((Scenario_Data!U97)-Inputs!$C$29)^2)/(2*Inputs!$C$31^2))*EXP(-(((0)-Inputs!$C$30)^2)/(2*Inputs!$C$32^2))+-Inputs!$C$33*EXP(-(((((Scenario_Data!U97)-Inputs!$C$34)^2)+(((0)-Inputs!$C$35)^2))/(2*Inputs!$C$36^2)))+Inputs!$C$37*(0.55*SIN(2*PI()*(Scenario_Data!U97)/Inputs!$C$39)+0.35*COS(2*PI()*(0)/Inputs!$C$40)+0.2*SIN(2*PI()*((Scenario_Data!U97)+(0))/(0.5*(Inputs!$C$39+Inputs!$C$40))))+Inputs!$C$38*SIN(2*PI()*(Scenario_Data!U97)/Inputs!$C$39)*SIN(2*PI()*(0)/Inputs!$C$40)+-Inputs!$C$41*EXP(-(((0)-Inputs!$C$43)^2)/(2*Inputs!$C$44^2))*EXP(-(((Scenario_Data!U97)-Inputs!$C$42)^2)/(2*Inputs!$C$45^2))+Inputs!$C$48*(0.7*(0.45*SIN(2*PI()*(((Scenario_Data!U97)/Inputs!$C$49)+Inputs!$C$47*0.137))+0.35*COS(2*PI()*(((0)/Inputs!$C$50)+Inputs!$C$47*0.173))+0.2*SIN(2*PI()*((((Scenario_Data!U97)+(0))/(0.5*(Inputs!$C$49+Inputs!$C$50)))+Inputs!$C$47*0.097)))+0.3*(2*((SIN(((Scenario_Data!U97)*12.9898+(0)*78.233+Inputs!$C$47*37.719))*43758.5453)-INT((SIN(((Scenario_Data!U97)*12.9898+(0)*78.233+Inputs!$C$47*37.719))*43758.5453)))-1)))))/Inputs!$C$21*1000000</f>
        <v/>
      </c>
      <c r="AB97">
        <f>Scenario_Data!V97</f>
        <v/>
      </c>
      <c r="AC97">
        <f>2*((Scenario_Data!D97*1000)-(IF(OR(Inputs!$C$27=TRUE,Inputs!$C$27="TRUE",Inputs!$C$27=1),1,0)*(Inputs!$C$51*(115*EXP(-(((0)-25)^2)/(4.5^2))+70*EXP(-(((0)+38)^2)/(7^2))*(0.55+0.45*SIN(2*PI()*(Scenario_Data!V97)/45))+24*SIN(2*PI()*(0)/9+(Scenario_Data!V97)/18)*EXP(-(((0)+5)^2)/(22^2))+18*SIN(2*PI()*(Scenario_Data!V97)/70))+Inputs!$C$28*EXP(-(((Scenario_Data!V97)-Inputs!$C$29)^2)/(2*Inputs!$C$31^2))*EXP(-(((0)-Inputs!$C$30)^2)/(2*Inputs!$C$32^2))+-Inputs!$C$33*EXP(-(((((Scenario_Data!V97)-Inputs!$C$34)^2)+(((0)-Inputs!$C$35)^2))/(2*Inputs!$C$36^2)))+Inputs!$C$37*(0.55*SIN(2*PI()*(Scenario_Data!V97)/Inputs!$C$39)+0.35*COS(2*PI()*(0)/Inputs!$C$40)+0.2*SIN(2*PI()*((Scenario_Data!V97)+(0))/(0.5*(Inputs!$C$39+Inputs!$C$40))))+Inputs!$C$38*SIN(2*PI()*(Scenario_Data!V97)/Inputs!$C$39)*SIN(2*PI()*(0)/Inputs!$C$40)+-Inputs!$C$41*EXP(-(((0)-Inputs!$C$43)^2)/(2*Inputs!$C$44^2))*EXP(-(((Scenario_Data!V97)-Inputs!$C$42)^2)/(2*Inputs!$C$45^2))+Inputs!$C$48*(0.7*(0.45*SIN(2*PI()*(((Scenario_Data!V97)/Inputs!$C$49)+Inputs!$C$47*0.137))+0.35*COS(2*PI()*(((0)/Inputs!$C$50)+Inputs!$C$47*0.173))+0.2*SIN(2*PI()*((((Scenario_Data!V97)+(0))/(0.5*(Inputs!$C$49+Inputs!$C$50)))+Inputs!$C$47*0.097)))+0.3*(2*((SIN(((Scenario_Data!V97)*12.9898+(0)*78.233+Inputs!$C$47*37.719))*43758.5453)-INT((SIN(((Scenario_Data!V97)*12.9898+(0)*78.233+Inputs!$C$47*37.719))*43758.5453)))-1)))))/Inputs!$C$21*1000000</f>
        <v/>
      </c>
      <c r="AD97">
        <f>Scenario_Data!W97</f>
        <v/>
      </c>
      <c r="AE97">
        <f>2*((Scenario_Data!E97*1000)-(IF(OR(Inputs!$C$27=TRUE,Inputs!$C$27="TRUE",Inputs!$C$27=1),1,0)*(Inputs!$C$51*(115*EXP(-(((0)-25)^2)/(4.5^2))+70*EXP(-(((0)+38)^2)/(7^2))*(0.55+0.45*SIN(2*PI()*(Scenario_Data!W97)/45))+24*SIN(2*PI()*(0)/9+(Scenario_Data!W97)/18)*EXP(-(((0)+5)^2)/(22^2))+18*SIN(2*PI()*(Scenario_Data!W97)/70))+Inputs!$C$28*EXP(-(((Scenario_Data!W97)-Inputs!$C$29)^2)/(2*Inputs!$C$31^2))*EXP(-(((0)-Inputs!$C$30)^2)/(2*Inputs!$C$32^2))+-Inputs!$C$33*EXP(-(((((Scenario_Data!W97)-Inputs!$C$34)^2)+(((0)-Inputs!$C$35)^2))/(2*Inputs!$C$36^2)))+Inputs!$C$37*(0.55*SIN(2*PI()*(Scenario_Data!W97)/Inputs!$C$39)+0.35*COS(2*PI()*(0)/Inputs!$C$40)+0.2*SIN(2*PI()*((Scenario_Data!W97)+(0))/(0.5*(Inputs!$C$39+Inputs!$C$40))))+Inputs!$C$38*SIN(2*PI()*(Scenario_Data!W97)/Inputs!$C$39)*SIN(2*PI()*(0)/Inputs!$C$40)+-Inputs!$C$41*EXP(-(((0)-Inputs!$C$43)^2)/(2*Inputs!$C$44^2))*EXP(-(((Scenario_Data!W97)-Inputs!$C$42)^2)/(2*Inputs!$C$45^2))+Inputs!$C$48*(0.7*(0.45*SIN(2*PI()*(((Scenario_Data!W97)/Inputs!$C$49)+Inputs!$C$47*0.137))+0.35*COS(2*PI()*(((0)/Inputs!$C$50)+Inputs!$C$47*0.173))+0.2*SIN(2*PI()*((((Scenario_Data!W97)+(0))/(0.5*(Inputs!$C$49+Inputs!$C$50)))+Inputs!$C$47*0.097)))+0.3*(2*((SIN(((Scenario_Data!W97)*12.9898+(0)*78.233+Inputs!$C$47*37.719))*43758.5453)-INT((SIN(((Scenario_Data!W97)*12.9898+(0)*78.233+Inputs!$C$47*37.719))*43758.5453)))-1)))))/Inputs!$C$21*1000000</f>
        <v/>
      </c>
      <c r="AG97">
        <f>Scenario_Data!T97</f>
        <v/>
      </c>
      <c r="AH97">
        <f>2*(SQRT((Inputs!$C$52+(Scenario_Data!B97))^2+Inputs!$C$52^2-2*(Inputs!$C$52+(Scenario_Data!B97))*Inputs!$C$52*COS(SQRT((Scenario_Data!T97)^2+Inputs!$C$6^2)/Inputs!$C$52))*1000)/Inputs!$C$21*1000000</f>
        <v/>
      </c>
      <c r="AI97">
        <f>Scenario_Data!U97</f>
        <v/>
      </c>
      <c r="AJ97">
        <f>2*(SQRT((Inputs!$C$52+(Scenario_Data!C97))^2+Inputs!$C$52^2-2*(Inputs!$C$52+(Scenario_Data!C97))*Inputs!$C$52*COS(SQRT((Scenario_Data!U97)^2+Inputs!$C$6^2)/Inputs!$C$52))*1000)/Inputs!$C$21*1000000</f>
        <v/>
      </c>
      <c r="AK97">
        <f>Scenario_Data!V97</f>
        <v/>
      </c>
      <c r="AL97">
        <f>2*(SQRT((Inputs!$C$52+(Scenario_Data!D97))^2+Inputs!$C$52^2-2*(Inputs!$C$52+(Scenario_Data!D97))*Inputs!$C$52*COS(SQRT((Scenario_Data!V97)^2+Inputs!$C$6^2)/Inputs!$C$52))*1000)/Inputs!$C$21*1000000</f>
        <v/>
      </c>
      <c r="AM97">
        <f>Scenario_Data!W97</f>
        <v/>
      </c>
      <c r="AN97">
        <f>2*(SQRT((Inputs!$C$52+(Scenario_Data!E97))^2+Inputs!$C$52^2-2*(Inputs!$C$52+(Scenario_Data!E97))*Inputs!$C$52*COS(SQRT((Scenario_Data!W97)^2+Inputs!$C$6^2)/Inputs!$C$52))*1000)/Inputs!$C$21*1000000</f>
        <v/>
      </c>
      <c r="AP97">
        <f>Scenario_Data!T97</f>
        <v/>
      </c>
      <c r="AQ97">
        <f>2*(SQRT((Inputs!$C$52+(Scenario_Data!B97))^2+(Inputs!$C$52+((IF(OR(Inputs!$C$27=TRUE,Inputs!$C$27="TRUE",Inputs!$C$27=1),1,0)*(Inputs!$C$51*(115*EXP(-(((Inputs!$C$6)-25)^2)/(4.5^2))+70*EXP(-(((Inputs!$C$6)+38)^2)/(7^2))*(0.55+0.45*SIN(2*PI()*(Scenario_Data!T97)/45))+24*SIN(2*PI()*(Inputs!$C$6)/9+(Scenario_Data!T97)/18)*EXP(-(((Inputs!$C$6)+5)^2)/(22^2))+18*SIN(2*PI()*(Scenario_Data!T97)/70))+Inputs!$C$28*EXP(-(((Scenario_Data!T97)-Inputs!$C$29)^2)/(2*Inputs!$C$31^2))*EXP(-(((Inputs!$C$6)-Inputs!$C$30)^2)/(2*Inputs!$C$32^2))+-Inputs!$C$33*EXP(-(((((Scenario_Data!T97)-Inputs!$C$34)^2)+(((Inputs!$C$6)-Inputs!$C$35)^2))/(2*Inputs!$C$36^2)))+Inputs!$C$37*(0.55*SIN(2*PI()*(Scenario_Data!T97)/Inputs!$C$39)+0.35*COS(2*PI()*(Inputs!$C$6)/Inputs!$C$40)+0.2*SIN(2*PI()*((Scenario_Data!T97)+(Inputs!$C$6))/(0.5*(Inputs!$C$39+Inputs!$C$40))))+Inputs!$C$38*SIN(2*PI()*(Scenario_Data!T97)/Inputs!$C$39)*SIN(2*PI()*(Inputs!$C$6)/Inputs!$C$40)+-Inputs!$C$41*EXP(-(((Inputs!$C$6)-Inputs!$C$43)^2)/(2*Inputs!$C$44^2))*EXP(-(((Scenario_Data!T97)-Inputs!$C$42)^2)/(2*Inputs!$C$45^2))+Inputs!$C$48*(0.7*(0.45*SIN(2*PI()*(((Scenario_Data!T97)/Inputs!$C$49)+Inputs!$C$47*0.137))+0.35*COS(2*PI()*(((Inputs!$C$6)/Inputs!$C$50)+Inputs!$C$47*0.173))+0.2*SIN(2*PI()*((((Scenario_Data!T97)+(Inputs!$C$6))/(0.5*(Inputs!$C$49+Inputs!$C$50)))+Inputs!$C$47*0.097)))+0.3*(2*((SIN(((Scenario_Data!T97)*12.9898+(Inputs!$C$6)*78.233+Inputs!$C$47*37.719))*43758.5453)-INT((SIN(((Scenario_Data!T97)*12.9898+(Inputs!$C$6)*78.233+Inputs!$C$47*37.719))*43758.5453)))-1))))/1000))^2-2*(Inputs!$C$52+(Scenario_Data!B97))*(Inputs!$C$52+((IF(OR(Inputs!$C$27=TRUE,Inputs!$C$27="TRUE",Inputs!$C$27=1),1,0)*(Inputs!$C$51*(115*EXP(-(((Inputs!$C$6)-25)^2)/(4.5^2))+70*EXP(-(((Inputs!$C$6)+38)^2)/(7^2))*(0.55+0.45*SIN(2*PI()*(Scenario_Data!T97)/45))+24*SIN(2*PI()*(Inputs!$C$6)/9+(Scenario_Data!T97)/18)*EXP(-(((Inputs!$C$6)+5)^2)/(22^2))+18*SIN(2*PI()*(Scenario_Data!T97)/70))+Inputs!$C$28*EXP(-(((Scenario_Data!T97)-Inputs!$C$29)^2)/(2*Inputs!$C$31^2))*EXP(-(((Inputs!$C$6)-Inputs!$C$30)^2)/(2*Inputs!$C$32^2))+-Inputs!$C$33*EXP(-(((((Scenario_Data!T97)-Inputs!$C$34)^2)+(((Inputs!$C$6)-Inputs!$C$35)^2))/(2*Inputs!$C$36^2)))+Inputs!$C$37*(0.55*SIN(2*PI()*(Scenario_Data!T97)/Inputs!$C$39)+0.35*COS(2*PI()*(Inputs!$C$6)/Inputs!$C$40)+0.2*SIN(2*PI()*((Scenario_Data!T97)+(Inputs!$C$6))/(0.5*(Inputs!$C$39+Inputs!$C$40))))+Inputs!$C$38*SIN(2*PI()*(Scenario_Data!T97)/Inputs!$C$39)*SIN(2*PI()*(Inputs!$C$6)/Inputs!$C$40)+-Inputs!$C$41*EXP(-(((Inputs!$C$6)-Inputs!$C$43)^2)/(2*Inputs!$C$44^2))*EXP(-(((Scenario_Data!T97)-Inputs!$C$42)^2)/(2*Inputs!$C$45^2))+Inputs!$C$48*(0.7*(0.45*SIN(2*PI()*(((Scenario_Data!T97)/Inputs!$C$49)+Inputs!$C$47*0.137))+0.35*COS(2*PI()*(((Inputs!$C$6)/Inputs!$C$50)+Inputs!$C$47*0.173))+0.2*SIN(2*PI()*((((Scenario_Data!T97)+(Inputs!$C$6))/(0.5*(Inputs!$C$49+Inputs!$C$50)))+Inputs!$C$47*0.097)))+0.3*(2*((SIN(((Scenario_Data!T97)*12.9898+(Inputs!$C$6)*78.233+Inputs!$C$47*37.719))*43758.5453)-INT((SIN(((Scenario_Data!T97)*12.9898+(Inputs!$C$6)*78.233+Inputs!$C$47*37.719))*43758.5453)))-1))))/1000))*COS(SQRT((Scenario_Data!T97)^2+Inputs!$C$6^2)/Inputs!$C$52))*1000)/Inputs!$C$21*1000000</f>
        <v/>
      </c>
      <c r="AR97">
        <f>Scenario_Data!U97</f>
        <v/>
      </c>
      <c r="AS97">
        <f>2*(SQRT((Inputs!$C$52+(Scenario_Data!C97))^2+(Inputs!$C$52+((IF(OR(Inputs!$C$27=TRUE,Inputs!$C$27="TRUE",Inputs!$C$27=1),1,0)*(Inputs!$C$51*(115*EXP(-(((Inputs!$C$6)-25)^2)/(4.5^2))+70*EXP(-(((Inputs!$C$6)+38)^2)/(7^2))*(0.55+0.45*SIN(2*PI()*(Scenario_Data!U97)/45))+24*SIN(2*PI()*(Inputs!$C$6)/9+(Scenario_Data!U97)/18)*EXP(-(((Inputs!$C$6)+5)^2)/(22^2))+18*SIN(2*PI()*(Scenario_Data!U97)/70))+Inputs!$C$28*EXP(-(((Scenario_Data!U97)-Inputs!$C$29)^2)/(2*Inputs!$C$31^2))*EXP(-(((Inputs!$C$6)-Inputs!$C$30)^2)/(2*Inputs!$C$32^2))+-Inputs!$C$33*EXP(-(((((Scenario_Data!U97)-Inputs!$C$34)^2)+(((Inputs!$C$6)-Inputs!$C$35)^2))/(2*Inputs!$C$36^2)))+Inputs!$C$37*(0.55*SIN(2*PI()*(Scenario_Data!U97)/Inputs!$C$39)+0.35*COS(2*PI()*(Inputs!$C$6)/Inputs!$C$40)+0.2*SIN(2*PI()*((Scenario_Data!U97)+(Inputs!$C$6))/(0.5*(Inputs!$C$39+Inputs!$C$40))))+Inputs!$C$38*SIN(2*PI()*(Scenario_Data!U97)/Inputs!$C$39)*SIN(2*PI()*(Inputs!$C$6)/Inputs!$C$40)+-Inputs!$C$41*EXP(-(((Inputs!$C$6)-Inputs!$C$43)^2)/(2*Inputs!$C$44^2))*EXP(-(((Scenario_Data!U97)-Inputs!$C$42)^2)/(2*Inputs!$C$45^2))+Inputs!$C$48*(0.7*(0.45*SIN(2*PI()*(((Scenario_Data!U97)/Inputs!$C$49)+Inputs!$C$47*0.137))+0.35*COS(2*PI()*(((Inputs!$C$6)/Inputs!$C$50)+Inputs!$C$47*0.173))+0.2*SIN(2*PI()*((((Scenario_Data!U97)+(Inputs!$C$6))/(0.5*(Inputs!$C$49+Inputs!$C$50)))+Inputs!$C$47*0.097)))+0.3*(2*((SIN(((Scenario_Data!U97)*12.9898+(Inputs!$C$6)*78.233+Inputs!$C$47*37.719))*43758.5453)-INT((SIN(((Scenario_Data!U97)*12.9898+(Inputs!$C$6)*78.233+Inputs!$C$47*37.719))*43758.5453)))-1))))/1000))^2-2*(Inputs!$C$52+(Scenario_Data!C97))*(Inputs!$C$52+((IF(OR(Inputs!$C$27=TRUE,Inputs!$C$27="TRUE",Inputs!$C$27=1),1,0)*(Inputs!$C$51*(115*EXP(-(((Inputs!$C$6)-25)^2)/(4.5^2))+70*EXP(-(((Inputs!$C$6)+38)^2)/(7^2))*(0.55+0.45*SIN(2*PI()*(Scenario_Data!U97)/45))+24*SIN(2*PI()*(Inputs!$C$6)/9+(Scenario_Data!U97)/18)*EXP(-(((Inputs!$C$6)+5)^2)/(22^2))+18*SIN(2*PI()*(Scenario_Data!U97)/70))+Inputs!$C$28*EXP(-(((Scenario_Data!U97)-Inputs!$C$29)^2)/(2*Inputs!$C$31^2))*EXP(-(((Inputs!$C$6)-Inputs!$C$30)^2)/(2*Inputs!$C$32^2))+-Inputs!$C$33*EXP(-(((((Scenario_Data!U97)-Inputs!$C$34)^2)+(((Inputs!$C$6)-Inputs!$C$35)^2))/(2*Inputs!$C$36^2)))+Inputs!$C$37*(0.55*SIN(2*PI()*(Scenario_Data!U97)/Inputs!$C$39)+0.35*COS(2*PI()*(Inputs!$C$6)/Inputs!$C$40)+0.2*SIN(2*PI()*((Scenario_Data!U97)+(Inputs!$C$6))/(0.5*(Inputs!$C$39+Inputs!$C$40))))+Inputs!$C$38*SIN(2*PI()*(Scenario_Data!U97)/Inputs!$C$39)*SIN(2*PI()*(Inputs!$C$6)/Inputs!$C$40)+-Inputs!$C$41*EXP(-(((Inputs!$C$6)-Inputs!$C$43)^2)/(2*Inputs!$C$44^2))*EXP(-(((Scenario_Data!U97)-Inputs!$C$42)^2)/(2*Inputs!$C$45^2))+Inputs!$C$48*(0.7*(0.45*SIN(2*PI()*(((Scenario_Data!U97)/Inputs!$C$49)+Inputs!$C$47*0.137))+0.35*COS(2*PI()*(((Inputs!$C$6)/Inputs!$C$50)+Inputs!$C$47*0.173))+0.2*SIN(2*PI()*((((Scenario_Data!U97)+(Inputs!$C$6))/(0.5*(Inputs!$C$49+Inputs!$C$50)))+Inputs!$C$47*0.097)))+0.3*(2*((SIN(((Scenario_Data!U97)*12.9898+(Inputs!$C$6)*78.233+Inputs!$C$47*37.719))*43758.5453)-INT((SIN(((Scenario_Data!U97)*12.9898+(Inputs!$C$6)*78.233+Inputs!$C$47*37.719))*43758.5453)))-1))))/1000))*COS(SQRT((Scenario_Data!U97)^2+Inputs!$C$6^2)/Inputs!$C$52))*1000)/Inputs!$C$21*1000000</f>
        <v/>
      </c>
      <c r="AT97">
        <f>Scenario_Data!V97</f>
        <v/>
      </c>
      <c r="AU97">
        <f>2*(SQRT((Inputs!$C$52+(Scenario_Data!D97))^2+(Inputs!$C$52+((IF(OR(Inputs!$C$27=TRUE,Inputs!$C$27="TRUE",Inputs!$C$27=1),1,0)*(Inputs!$C$51*(115*EXP(-(((Inputs!$C$6)-25)^2)/(4.5^2))+70*EXP(-(((Inputs!$C$6)+38)^2)/(7^2))*(0.55+0.45*SIN(2*PI()*(Scenario_Data!V97)/45))+24*SIN(2*PI()*(Inputs!$C$6)/9+(Scenario_Data!V97)/18)*EXP(-(((Inputs!$C$6)+5)^2)/(22^2))+18*SIN(2*PI()*(Scenario_Data!V97)/70))+Inputs!$C$28*EXP(-(((Scenario_Data!V97)-Inputs!$C$29)^2)/(2*Inputs!$C$31^2))*EXP(-(((Inputs!$C$6)-Inputs!$C$30)^2)/(2*Inputs!$C$32^2))+-Inputs!$C$33*EXP(-(((((Scenario_Data!V97)-Inputs!$C$34)^2)+(((Inputs!$C$6)-Inputs!$C$35)^2))/(2*Inputs!$C$36^2)))+Inputs!$C$37*(0.55*SIN(2*PI()*(Scenario_Data!V97)/Inputs!$C$39)+0.35*COS(2*PI()*(Inputs!$C$6)/Inputs!$C$40)+0.2*SIN(2*PI()*((Scenario_Data!V97)+(Inputs!$C$6))/(0.5*(Inputs!$C$39+Inputs!$C$40))))+Inputs!$C$38*SIN(2*PI()*(Scenario_Data!V97)/Inputs!$C$39)*SIN(2*PI()*(Inputs!$C$6)/Inputs!$C$40)+-Inputs!$C$41*EXP(-(((Inputs!$C$6)-Inputs!$C$43)^2)/(2*Inputs!$C$44^2))*EXP(-(((Scenario_Data!V97)-Inputs!$C$42)^2)/(2*Inputs!$C$45^2))+Inputs!$C$48*(0.7*(0.45*SIN(2*PI()*(((Scenario_Data!V97)/Inputs!$C$49)+Inputs!$C$47*0.137))+0.35*COS(2*PI()*(((Inputs!$C$6)/Inputs!$C$50)+Inputs!$C$47*0.173))+0.2*SIN(2*PI()*((((Scenario_Data!V97)+(Inputs!$C$6))/(0.5*(Inputs!$C$49+Inputs!$C$50)))+Inputs!$C$47*0.097)))+0.3*(2*((SIN(((Scenario_Data!V97)*12.9898+(Inputs!$C$6)*78.233+Inputs!$C$47*37.719))*43758.5453)-INT((SIN(((Scenario_Data!V97)*12.9898+(Inputs!$C$6)*78.233+Inputs!$C$47*37.719))*43758.5453)))-1))))/1000))^2-2*(Inputs!$C$52+(Scenario_Data!D97))*(Inputs!$C$52+((IF(OR(Inputs!$C$27=TRUE,Inputs!$C$27="TRUE",Inputs!$C$27=1),1,0)*(Inputs!$C$51*(115*EXP(-(((Inputs!$C$6)-25)^2)/(4.5^2))+70*EXP(-(((Inputs!$C$6)+38)^2)/(7^2))*(0.55+0.45*SIN(2*PI()*(Scenario_Data!V97)/45))+24*SIN(2*PI()*(Inputs!$C$6)/9+(Scenario_Data!V97)/18)*EXP(-(((Inputs!$C$6)+5)^2)/(22^2))+18*SIN(2*PI()*(Scenario_Data!V97)/70))+Inputs!$C$28*EXP(-(((Scenario_Data!V97)-Inputs!$C$29)^2)/(2*Inputs!$C$31^2))*EXP(-(((Inputs!$C$6)-Inputs!$C$30)^2)/(2*Inputs!$C$32^2))+-Inputs!$C$33*EXP(-(((((Scenario_Data!V97)-Inputs!$C$34)^2)+(((Inputs!$C$6)-Inputs!$C$35)^2))/(2*Inputs!$C$36^2)))+Inputs!$C$37*(0.55*SIN(2*PI()*(Scenario_Data!V97)/Inputs!$C$39)+0.35*COS(2*PI()*(Inputs!$C$6)/Inputs!$C$40)+0.2*SIN(2*PI()*((Scenario_Data!V97)+(Inputs!$C$6))/(0.5*(Inputs!$C$39+Inputs!$C$40))))+Inputs!$C$38*SIN(2*PI()*(Scenario_Data!V97)/Inputs!$C$39)*SIN(2*PI()*(Inputs!$C$6)/Inputs!$C$40)+-Inputs!$C$41*EXP(-(((Inputs!$C$6)-Inputs!$C$43)^2)/(2*Inputs!$C$44^2))*EXP(-(((Scenario_Data!V97)-Inputs!$C$42)^2)/(2*Inputs!$C$45^2))+Inputs!$C$48*(0.7*(0.45*SIN(2*PI()*(((Scenario_Data!V97)/Inputs!$C$49)+Inputs!$C$47*0.137))+0.35*COS(2*PI()*(((Inputs!$C$6)/Inputs!$C$50)+Inputs!$C$47*0.173))+0.2*SIN(2*PI()*((((Scenario_Data!V97)+(Inputs!$C$6))/(0.5*(Inputs!$C$49+Inputs!$C$50)))+Inputs!$C$47*0.097)))+0.3*(2*((SIN(((Scenario_Data!V97)*12.9898+(Inputs!$C$6)*78.233+Inputs!$C$47*37.719))*43758.5453)-INT((SIN(((Scenario_Data!V97)*12.9898+(Inputs!$C$6)*78.233+Inputs!$C$47*37.719))*43758.5453)))-1))))/1000))*COS(SQRT((Scenario_Data!V97)^2+Inputs!$C$6^2)/Inputs!$C$52))*1000)/Inputs!$C$21*1000000</f>
        <v/>
      </c>
      <c r="AV97">
        <f>Scenario_Data!W97</f>
        <v/>
      </c>
      <c r="AW97">
        <f>2*(SQRT((Inputs!$C$52+(Scenario_Data!E97))^2+(Inputs!$C$52+((IF(OR(Inputs!$C$27=TRUE,Inputs!$C$27="TRUE",Inputs!$C$27=1),1,0)*(Inputs!$C$51*(115*EXP(-(((Inputs!$C$6)-25)^2)/(4.5^2))+70*EXP(-(((Inputs!$C$6)+38)^2)/(7^2))*(0.55+0.45*SIN(2*PI()*(Scenario_Data!W97)/45))+24*SIN(2*PI()*(Inputs!$C$6)/9+(Scenario_Data!W97)/18)*EXP(-(((Inputs!$C$6)+5)^2)/(22^2))+18*SIN(2*PI()*(Scenario_Data!W97)/70))+Inputs!$C$28*EXP(-(((Scenario_Data!W97)-Inputs!$C$29)^2)/(2*Inputs!$C$31^2))*EXP(-(((Inputs!$C$6)-Inputs!$C$30)^2)/(2*Inputs!$C$32^2))+-Inputs!$C$33*EXP(-(((((Scenario_Data!W97)-Inputs!$C$34)^2)+(((Inputs!$C$6)-Inputs!$C$35)^2))/(2*Inputs!$C$36^2)))+Inputs!$C$37*(0.55*SIN(2*PI()*(Scenario_Data!W97)/Inputs!$C$39)+0.35*COS(2*PI()*(Inputs!$C$6)/Inputs!$C$40)+0.2*SIN(2*PI()*((Scenario_Data!W97)+(Inputs!$C$6))/(0.5*(Inputs!$C$39+Inputs!$C$40))))+Inputs!$C$38*SIN(2*PI()*(Scenario_Data!W97)/Inputs!$C$39)*SIN(2*PI()*(Inputs!$C$6)/Inputs!$C$40)+-Inputs!$C$41*EXP(-(((Inputs!$C$6)-Inputs!$C$43)^2)/(2*Inputs!$C$44^2))*EXP(-(((Scenario_Data!W97)-Inputs!$C$42)^2)/(2*Inputs!$C$45^2))+Inputs!$C$48*(0.7*(0.45*SIN(2*PI()*(((Scenario_Data!W97)/Inputs!$C$49)+Inputs!$C$47*0.137))+0.35*COS(2*PI()*(((Inputs!$C$6)/Inputs!$C$50)+Inputs!$C$47*0.173))+0.2*SIN(2*PI()*((((Scenario_Data!W97)+(Inputs!$C$6))/(0.5*(Inputs!$C$49+Inputs!$C$50)))+Inputs!$C$47*0.097)))+0.3*(2*((SIN(((Scenario_Data!W97)*12.9898+(Inputs!$C$6)*78.233+Inputs!$C$47*37.719))*43758.5453)-INT((SIN(((Scenario_Data!W97)*12.9898+(Inputs!$C$6)*78.233+Inputs!$C$47*37.719))*43758.5453)))-1))))/1000))^2-2*(Inputs!$C$52+(Scenario_Data!E97))*(Inputs!$C$52+((IF(OR(Inputs!$C$27=TRUE,Inputs!$C$27="TRUE",Inputs!$C$27=1),1,0)*(Inputs!$C$51*(115*EXP(-(((Inputs!$C$6)-25)^2)/(4.5^2))+70*EXP(-(((Inputs!$C$6)+38)^2)/(7^2))*(0.55+0.45*SIN(2*PI()*(Scenario_Data!W97)/45))+24*SIN(2*PI()*(Inputs!$C$6)/9+(Scenario_Data!W97)/18)*EXP(-(((Inputs!$C$6)+5)^2)/(22^2))+18*SIN(2*PI()*(Scenario_Data!W97)/70))+Inputs!$C$28*EXP(-(((Scenario_Data!W97)-Inputs!$C$29)^2)/(2*Inputs!$C$31^2))*EXP(-(((Inputs!$C$6)-Inputs!$C$30)^2)/(2*Inputs!$C$32^2))+-Inputs!$C$33*EXP(-(((((Scenario_Data!W97)-Inputs!$C$34)^2)+(((Inputs!$C$6)-Inputs!$C$35)^2))/(2*Inputs!$C$36^2)))+Inputs!$C$37*(0.55*SIN(2*PI()*(Scenario_Data!W97)/Inputs!$C$39)+0.35*COS(2*PI()*(Inputs!$C$6)/Inputs!$C$40)+0.2*SIN(2*PI()*((Scenario_Data!W97)+(Inputs!$C$6))/(0.5*(Inputs!$C$39+Inputs!$C$40))))+Inputs!$C$38*SIN(2*PI()*(Scenario_Data!W97)/Inputs!$C$39)*SIN(2*PI()*(Inputs!$C$6)/Inputs!$C$40)+-Inputs!$C$41*EXP(-(((Inputs!$C$6)-Inputs!$C$43)^2)/(2*Inputs!$C$44^2))*EXP(-(((Scenario_Data!W97)-Inputs!$C$42)^2)/(2*Inputs!$C$45^2))+Inputs!$C$48*(0.7*(0.45*SIN(2*PI()*(((Scenario_Data!W97)/Inputs!$C$49)+Inputs!$C$47*0.137))+0.35*COS(2*PI()*(((Inputs!$C$6)/Inputs!$C$50)+Inputs!$C$47*0.173))+0.2*SIN(2*PI()*((((Scenario_Data!W97)+(Inputs!$C$6))/(0.5*(Inputs!$C$49+Inputs!$C$50)))+Inputs!$C$47*0.097)))+0.3*(2*((SIN(((Scenario_Data!W97)*12.9898+(Inputs!$C$6)*78.233+Inputs!$C$47*37.719))*43758.5453)-INT((SIN(((Scenario_Data!W97)*12.9898+(Inputs!$C$6)*78.233+Inputs!$C$47*37.719))*43758.5453)))-1))))/1000))*COS(SQRT((Scenario_Data!W97)^2+Inputs!$C$6^2)/Inputs!$C$52))*1000)/Inputs!$C$21*1000000</f>
        <v/>
      </c>
    </row>
    <row r="98">
      <c r="A98">
        <f>Chart_Data!K98</f>
        <v/>
      </c>
      <c r="B98">
        <f>Chart_Data!N98-Chart_Data!L98</f>
        <v/>
      </c>
      <c r="D98">
        <f>Chart_Data!G98</f>
        <v/>
      </c>
      <c r="E98">
        <f>Chart_Data!H98</f>
        <v/>
      </c>
      <c r="F98">
        <f>Chart_Data!I98</f>
        <v/>
      </c>
      <c r="G98">
        <f>Chart_Data!J98</f>
        <v/>
      </c>
      <c r="I98">
        <f>Scenario_Data!A98</f>
        <v/>
      </c>
      <c r="J98">
        <f>Scenario_Data!H98-(((SQRT((Inputs!$C$52+(Inputs!$H$6))^2+Inputs!$C$52^2-2*(Inputs!$C$52+(Inputs!$H$6))*Inputs!$C$52*COS(SQRT((Scenario_Data!T98)^2+Inputs!$C$6^2)/Inputs!$C$52)))-(Inputs!$H$6))*1000/Inputs!$C$12)</f>
        <v/>
      </c>
      <c r="K98">
        <f>Scenario_Data!I98-(((SQRT((Inputs!$C$52+(Inputs!$H$7))^2+Inputs!$C$52^2-2*(Inputs!$C$52+(Inputs!$H$7))*Inputs!$C$52*COS(SQRT((Scenario_Data!U98)^2+Inputs!$C$6^2)/Inputs!$C$52)))-(Inputs!$H$7))*1000/Inputs!$C$12)</f>
        <v/>
      </c>
      <c r="L98">
        <f>Scenario_Data!J98-(((SQRT((Inputs!$C$52+(Inputs!$H$8))^2+Inputs!$C$52^2-2*(Inputs!$C$52+(Inputs!$H$8))*Inputs!$C$52*COS(SQRT((Scenario_Data!V98)^2+Inputs!$C$6^2)/Inputs!$C$52)))-(Inputs!$H$8))*1000/Inputs!$C$12)</f>
        <v/>
      </c>
      <c r="M98">
        <f>Scenario_Data!K98-(((SQRT((Inputs!$C$52+(Inputs!$H$9))^2+Inputs!$C$52^2-2*(Inputs!$C$52+(Inputs!$H$9))*Inputs!$C$52*COS(SQRT((Scenario_Data!W98)^2+Inputs!$C$6^2)/Inputs!$C$52)))-(Inputs!$H$9))*1000/Inputs!$C$12)</f>
        <v/>
      </c>
      <c r="O98">
        <f>Scenario_Data!T98</f>
        <v/>
      </c>
      <c r="P98">
        <f>2*(Scenario_Data!B98*1000)/Inputs!$C$21*1000000</f>
        <v/>
      </c>
      <c r="Q98">
        <f>Scenario_Data!U98</f>
        <v/>
      </c>
      <c r="R98">
        <f>2*(Scenario_Data!C98*1000)/Inputs!$C$21*1000000</f>
        <v/>
      </c>
      <c r="S98">
        <f>Scenario_Data!V98</f>
        <v/>
      </c>
      <c r="T98">
        <f>2*(Scenario_Data!D98*1000)/Inputs!$C$21*1000000</f>
        <v/>
      </c>
      <c r="U98">
        <f>Scenario_Data!W98</f>
        <v/>
      </c>
      <c r="V98">
        <f>2*(Scenario_Data!E98*1000)/Inputs!$C$21*1000000</f>
        <v/>
      </c>
      <c r="X98">
        <f>Scenario_Data!T98</f>
        <v/>
      </c>
      <c r="Y98">
        <f>2*((Scenario_Data!B98*1000)-(IF(OR(Inputs!$C$27=TRUE,Inputs!$C$27="TRUE",Inputs!$C$27=1),1,0)*(Inputs!$C$51*(115*EXP(-(((0)-25)^2)/(4.5^2))+70*EXP(-(((0)+38)^2)/(7^2))*(0.55+0.45*SIN(2*PI()*(Scenario_Data!T98)/45))+24*SIN(2*PI()*(0)/9+(Scenario_Data!T98)/18)*EXP(-(((0)+5)^2)/(22^2))+18*SIN(2*PI()*(Scenario_Data!T98)/70))+Inputs!$C$28*EXP(-(((Scenario_Data!T98)-Inputs!$C$29)^2)/(2*Inputs!$C$31^2))*EXP(-(((0)-Inputs!$C$30)^2)/(2*Inputs!$C$32^2))+-Inputs!$C$33*EXP(-(((((Scenario_Data!T98)-Inputs!$C$34)^2)+(((0)-Inputs!$C$35)^2))/(2*Inputs!$C$36^2)))+Inputs!$C$37*(0.55*SIN(2*PI()*(Scenario_Data!T98)/Inputs!$C$39)+0.35*COS(2*PI()*(0)/Inputs!$C$40)+0.2*SIN(2*PI()*((Scenario_Data!T98)+(0))/(0.5*(Inputs!$C$39+Inputs!$C$40))))+Inputs!$C$38*SIN(2*PI()*(Scenario_Data!T98)/Inputs!$C$39)*SIN(2*PI()*(0)/Inputs!$C$40)+-Inputs!$C$41*EXP(-(((0)-Inputs!$C$43)^2)/(2*Inputs!$C$44^2))*EXP(-(((Scenario_Data!T98)-Inputs!$C$42)^2)/(2*Inputs!$C$45^2))+Inputs!$C$48*(0.7*(0.45*SIN(2*PI()*(((Scenario_Data!T98)/Inputs!$C$49)+Inputs!$C$47*0.137))+0.35*COS(2*PI()*(((0)/Inputs!$C$50)+Inputs!$C$47*0.173))+0.2*SIN(2*PI()*((((Scenario_Data!T98)+(0))/(0.5*(Inputs!$C$49+Inputs!$C$50)))+Inputs!$C$47*0.097)))+0.3*(2*((SIN(((Scenario_Data!T98)*12.9898+(0)*78.233+Inputs!$C$47*37.719))*43758.5453)-INT((SIN(((Scenario_Data!T98)*12.9898+(0)*78.233+Inputs!$C$47*37.719))*43758.5453)))-1)))))/Inputs!$C$21*1000000</f>
        <v/>
      </c>
      <c r="Z98">
        <f>Scenario_Data!U98</f>
        <v/>
      </c>
      <c r="AA98">
        <f>2*((Scenario_Data!C98*1000)-(IF(OR(Inputs!$C$27=TRUE,Inputs!$C$27="TRUE",Inputs!$C$27=1),1,0)*(Inputs!$C$51*(115*EXP(-(((0)-25)^2)/(4.5^2))+70*EXP(-(((0)+38)^2)/(7^2))*(0.55+0.45*SIN(2*PI()*(Scenario_Data!U98)/45))+24*SIN(2*PI()*(0)/9+(Scenario_Data!U98)/18)*EXP(-(((0)+5)^2)/(22^2))+18*SIN(2*PI()*(Scenario_Data!U98)/70))+Inputs!$C$28*EXP(-(((Scenario_Data!U98)-Inputs!$C$29)^2)/(2*Inputs!$C$31^2))*EXP(-(((0)-Inputs!$C$30)^2)/(2*Inputs!$C$32^2))+-Inputs!$C$33*EXP(-(((((Scenario_Data!U98)-Inputs!$C$34)^2)+(((0)-Inputs!$C$35)^2))/(2*Inputs!$C$36^2)))+Inputs!$C$37*(0.55*SIN(2*PI()*(Scenario_Data!U98)/Inputs!$C$39)+0.35*COS(2*PI()*(0)/Inputs!$C$40)+0.2*SIN(2*PI()*((Scenario_Data!U98)+(0))/(0.5*(Inputs!$C$39+Inputs!$C$40))))+Inputs!$C$38*SIN(2*PI()*(Scenario_Data!U98)/Inputs!$C$39)*SIN(2*PI()*(0)/Inputs!$C$40)+-Inputs!$C$41*EXP(-(((0)-Inputs!$C$43)^2)/(2*Inputs!$C$44^2))*EXP(-(((Scenario_Data!U98)-Inputs!$C$42)^2)/(2*Inputs!$C$45^2))+Inputs!$C$48*(0.7*(0.45*SIN(2*PI()*(((Scenario_Data!U98)/Inputs!$C$49)+Inputs!$C$47*0.137))+0.35*COS(2*PI()*(((0)/Inputs!$C$50)+Inputs!$C$47*0.173))+0.2*SIN(2*PI()*((((Scenario_Data!U98)+(0))/(0.5*(Inputs!$C$49+Inputs!$C$50)))+Inputs!$C$47*0.097)))+0.3*(2*((SIN(((Scenario_Data!U98)*12.9898+(0)*78.233+Inputs!$C$47*37.719))*43758.5453)-INT((SIN(((Scenario_Data!U98)*12.9898+(0)*78.233+Inputs!$C$47*37.719))*43758.5453)))-1)))))/Inputs!$C$21*1000000</f>
        <v/>
      </c>
      <c r="AB98">
        <f>Scenario_Data!V98</f>
        <v/>
      </c>
      <c r="AC98">
        <f>2*((Scenario_Data!D98*1000)-(IF(OR(Inputs!$C$27=TRUE,Inputs!$C$27="TRUE",Inputs!$C$27=1),1,0)*(Inputs!$C$51*(115*EXP(-(((0)-25)^2)/(4.5^2))+70*EXP(-(((0)+38)^2)/(7^2))*(0.55+0.45*SIN(2*PI()*(Scenario_Data!V98)/45))+24*SIN(2*PI()*(0)/9+(Scenario_Data!V98)/18)*EXP(-(((0)+5)^2)/(22^2))+18*SIN(2*PI()*(Scenario_Data!V98)/70))+Inputs!$C$28*EXP(-(((Scenario_Data!V98)-Inputs!$C$29)^2)/(2*Inputs!$C$31^2))*EXP(-(((0)-Inputs!$C$30)^2)/(2*Inputs!$C$32^2))+-Inputs!$C$33*EXP(-(((((Scenario_Data!V98)-Inputs!$C$34)^2)+(((0)-Inputs!$C$35)^2))/(2*Inputs!$C$36^2)))+Inputs!$C$37*(0.55*SIN(2*PI()*(Scenario_Data!V98)/Inputs!$C$39)+0.35*COS(2*PI()*(0)/Inputs!$C$40)+0.2*SIN(2*PI()*((Scenario_Data!V98)+(0))/(0.5*(Inputs!$C$39+Inputs!$C$40))))+Inputs!$C$38*SIN(2*PI()*(Scenario_Data!V98)/Inputs!$C$39)*SIN(2*PI()*(0)/Inputs!$C$40)+-Inputs!$C$41*EXP(-(((0)-Inputs!$C$43)^2)/(2*Inputs!$C$44^2))*EXP(-(((Scenario_Data!V98)-Inputs!$C$42)^2)/(2*Inputs!$C$45^2))+Inputs!$C$48*(0.7*(0.45*SIN(2*PI()*(((Scenario_Data!V98)/Inputs!$C$49)+Inputs!$C$47*0.137))+0.35*COS(2*PI()*(((0)/Inputs!$C$50)+Inputs!$C$47*0.173))+0.2*SIN(2*PI()*((((Scenario_Data!V98)+(0))/(0.5*(Inputs!$C$49+Inputs!$C$50)))+Inputs!$C$47*0.097)))+0.3*(2*((SIN(((Scenario_Data!V98)*12.9898+(0)*78.233+Inputs!$C$47*37.719))*43758.5453)-INT((SIN(((Scenario_Data!V98)*12.9898+(0)*78.233+Inputs!$C$47*37.719))*43758.5453)))-1)))))/Inputs!$C$21*1000000</f>
        <v/>
      </c>
      <c r="AD98">
        <f>Scenario_Data!W98</f>
        <v/>
      </c>
      <c r="AE98">
        <f>2*((Scenario_Data!E98*1000)-(IF(OR(Inputs!$C$27=TRUE,Inputs!$C$27="TRUE",Inputs!$C$27=1),1,0)*(Inputs!$C$51*(115*EXP(-(((0)-25)^2)/(4.5^2))+70*EXP(-(((0)+38)^2)/(7^2))*(0.55+0.45*SIN(2*PI()*(Scenario_Data!W98)/45))+24*SIN(2*PI()*(0)/9+(Scenario_Data!W98)/18)*EXP(-(((0)+5)^2)/(22^2))+18*SIN(2*PI()*(Scenario_Data!W98)/70))+Inputs!$C$28*EXP(-(((Scenario_Data!W98)-Inputs!$C$29)^2)/(2*Inputs!$C$31^2))*EXP(-(((0)-Inputs!$C$30)^2)/(2*Inputs!$C$32^2))+-Inputs!$C$33*EXP(-(((((Scenario_Data!W98)-Inputs!$C$34)^2)+(((0)-Inputs!$C$35)^2))/(2*Inputs!$C$36^2)))+Inputs!$C$37*(0.55*SIN(2*PI()*(Scenario_Data!W98)/Inputs!$C$39)+0.35*COS(2*PI()*(0)/Inputs!$C$40)+0.2*SIN(2*PI()*((Scenario_Data!W98)+(0))/(0.5*(Inputs!$C$39+Inputs!$C$40))))+Inputs!$C$38*SIN(2*PI()*(Scenario_Data!W98)/Inputs!$C$39)*SIN(2*PI()*(0)/Inputs!$C$40)+-Inputs!$C$41*EXP(-(((0)-Inputs!$C$43)^2)/(2*Inputs!$C$44^2))*EXP(-(((Scenario_Data!W98)-Inputs!$C$42)^2)/(2*Inputs!$C$45^2))+Inputs!$C$48*(0.7*(0.45*SIN(2*PI()*(((Scenario_Data!W98)/Inputs!$C$49)+Inputs!$C$47*0.137))+0.35*COS(2*PI()*(((0)/Inputs!$C$50)+Inputs!$C$47*0.173))+0.2*SIN(2*PI()*((((Scenario_Data!W98)+(0))/(0.5*(Inputs!$C$49+Inputs!$C$50)))+Inputs!$C$47*0.097)))+0.3*(2*((SIN(((Scenario_Data!W98)*12.9898+(0)*78.233+Inputs!$C$47*37.719))*43758.5453)-INT((SIN(((Scenario_Data!W98)*12.9898+(0)*78.233+Inputs!$C$47*37.719))*43758.5453)))-1)))))/Inputs!$C$21*1000000</f>
        <v/>
      </c>
      <c r="AG98">
        <f>Scenario_Data!T98</f>
        <v/>
      </c>
      <c r="AH98">
        <f>2*(SQRT((Inputs!$C$52+(Scenario_Data!B98))^2+Inputs!$C$52^2-2*(Inputs!$C$52+(Scenario_Data!B98))*Inputs!$C$52*COS(SQRT((Scenario_Data!T98)^2+Inputs!$C$6^2)/Inputs!$C$52))*1000)/Inputs!$C$21*1000000</f>
        <v/>
      </c>
      <c r="AI98">
        <f>Scenario_Data!U98</f>
        <v/>
      </c>
      <c r="AJ98">
        <f>2*(SQRT((Inputs!$C$52+(Scenario_Data!C98))^2+Inputs!$C$52^2-2*(Inputs!$C$52+(Scenario_Data!C98))*Inputs!$C$52*COS(SQRT((Scenario_Data!U98)^2+Inputs!$C$6^2)/Inputs!$C$52))*1000)/Inputs!$C$21*1000000</f>
        <v/>
      </c>
      <c r="AK98">
        <f>Scenario_Data!V98</f>
        <v/>
      </c>
      <c r="AL98">
        <f>2*(SQRT((Inputs!$C$52+(Scenario_Data!D98))^2+Inputs!$C$52^2-2*(Inputs!$C$52+(Scenario_Data!D98))*Inputs!$C$52*COS(SQRT((Scenario_Data!V98)^2+Inputs!$C$6^2)/Inputs!$C$52))*1000)/Inputs!$C$21*1000000</f>
        <v/>
      </c>
      <c r="AM98">
        <f>Scenario_Data!W98</f>
        <v/>
      </c>
      <c r="AN98">
        <f>2*(SQRT((Inputs!$C$52+(Scenario_Data!E98))^2+Inputs!$C$52^2-2*(Inputs!$C$52+(Scenario_Data!E98))*Inputs!$C$52*COS(SQRT((Scenario_Data!W98)^2+Inputs!$C$6^2)/Inputs!$C$52))*1000)/Inputs!$C$21*1000000</f>
        <v/>
      </c>
      <c r="AP98">
        <f>Scenario_Data!T98</f>
        <v/>
      </c>
      <c r="AQ98">
        <f>2*(SQRT((Inputs!$C$52+(Scenario_Data!B98))^2+(Inputs!$C$52+((IF(OR(Inputs!$C$27=TRUE,Inputs!$C$27="TRUE",Inputs!$C$27=1),1,0)*(Inputs!$C$51*(115*EXP(-(((Inputs!$C$6)-25)^2)/(4.5^2))+70*EXP(-(((Inputs!$C$6)+38)^2)/(7^2))*(0.55+0.45*SIN(2*PI()*(Scenario_Data!T98)/45))+24*SIN(2*PI()*(Inputs!$C$6)/9+(Scenario_Data!T98)/18)*EXP(-(((Inputs!$C$6)+5)^2)/(22^2))+18*SIN(2*PI()*(Scenario_Data!T98)/70))+Inputs!$C$28*EXP(-(((Scenario_Data!T98)-Inputs!$C$29)^2)/(2*Inputs!$C$31^2))*EXP(-(((Inputs!$C$6)-Inputs!$C$30)^2)/(2*Inputs!$C$32^2))+-Inputs!$C$33*EXP(-(((((Scenario_Data!T98)-Inputs!$C$34)^2)+(((Inputs!$C$6)-Inputs!$C$35)^2))/(2*Inputs!$C$36^2)))+Inputs!$C$37*(0.55*SIN(2*PI()*(Scenario_Data!T98)/Inputs!$C$39)+0.35*COS(2*PI()*(Inputs!$C$6)/Inputs!$C$40)+0.2*SIN(2*PI()*((Scenario_Data!T98)+(Inputs!$C$6))/(0.5*(Inputs!$C$39+Inputs!$C$40))))+Inputs!$C$38*SIN(2*PI()*(Scenario_Data!T98)/Inputs!$C$39)*SIN(2*PI()*(Inputs!$C$6)/Inputs!$C$40)+-Inputs!$C$41*EXP(-(((Inputs!$C$6)-Inputs!$C$43)^2)/(2*Inputs!$C$44^2))*EXP(-(((Scenario_Data!T98)-Inputs!$C$42)^2)/(2*Inputs!$C$45^2))+Inputs!$C$48*(0.7*(0.45*SIN(2*PI()*(((Scenario_Data!T98)/Inputs!$C$49)+Inputs!$C$47*0.137))+0.35*COS(2*PI()*(((Inputs!$C$6)/Inputs!$C$50)+Inputs!$C$47*0.173))+0.2*SIN(2*PI()*((((Scenario_Data!T98)+(Inputs!$C$6))/(0.5*(Inputs!$C$49+Inputs!$C$50)))+Inputs!$C$47*0.097)))+0.3*(2*((SIN(((Scenario_Data!T98)*12.9898+(Inputs!$C$6)*78.233+Inputs!$C$47*37.719))*43758.5453)-INT((SIN(((Scenario_Data!T98)*12.9898+(Inputs!$C$6)*78.233+Inputs!$C$47*37.719))*43758.5453)))-1))))/1000))^2-2*(Inputs!$C$52+(Scenario_Data!B98))*(Inputs!$C$52+((IF(OR(Inputs!$C$27=TRUE,Inputs!$C$27="TRUE",Inputs!$C$27=1),1,0)*(Inputs!$C$51*(115*EXP(-(((Inputs!$C$6)-25)^2)/(4.5^2))+70*EXP(-(((Inputs!$C$6)+38)^2)/(7^2))*(0.55+0.45*SIN(2*PI()*(Scenario_Data!T98)/45))+24*SIN(2*PI()*(Inputs!$C$6)/9+(Scenario_Data!T98)/18)*EXP(-(((Inputs!$C$6)+5)^2)/(22^2))+18*SIN(2*PI()*(Scenario_Data!T98)/70))+Inputs!$C$28*EXP(-(((Scenario_Data!T98)-Inputs!$C$29)^2)/(2*Inputs!$C$31^2))*EXP(-(((Inputs!$C$6)-Inputs!$C$30)^2)/(2*Inputs!$C$32^2))+-Inputs!$C$33*EXP(-(((((Scenario_Data!T98)-Inputs!$C$34)^2)+(((Inputs!$C$6)-Inputs!$C$35)^2))/(2*Inputs!$C$36^2)))+Inputs!$C$37*(0.55*SIN(2*PI()*(Scenario_Data!T98)/Inputs!$C$39)+0.35*COS(2*PI()*(Inputs!$C$6)/Inputs!$C$40)+0.2*SIN(2*PI()*((Scenario_Data!T98)+(Inputs!$C$6))/(0.5*(Inputs!$C$39+Inputs!$C$40))))+Inputs!$C$38*SIN(2*PI()*(Scenario_Data!T98)/Inputs!$C$39)*SIN(2*PI()*(Inputs!$C$6)/Inputs!$C$40)+-Inputs!$C$41*EXP(-(((Inputs!$C$6)-Inputs!$C$43)^2)/(2*Inputs!$C$44^2))*EXP(-(((Scenario_Data!T98)-Inputs!$C$42)^2)/(2*Inputs!$C$45^2))+Inputs!$C$48*(0.7*(0.45*SIN(2*PI()*(((Scenario_Data!T98)/Inputs!$C$49)+Inputs!$C$47*0.137))+0.35*COS(2*PI()*(((Inputs!$C$6)/Inputs!$C$50)+Inputs!$C$47*0.173))+0.2*SIN(2*PI()*((((Scenario_Data!T98)+(Inputs!$C$6))/(0.5*(Inputs!$C$49+Inputs!$C$50)))+Inputs!$C$47*0.097)))+0.3*(2*((SIN(((Scenario_Data!T98)*12.9898+(Inputs!$C$6)*78.233+Inputs!$C$47*37.719))*43758.5453)-INT((SIN(((Scenario_Data!T98)*12.9898+(Inputs!$C$6)*78.233+Inputs!$C$47*37.719))*43758.5453)))-1))))/1000))*COS(SQRT((Scenario_Data!T98)^2+Inputs!$C$6^2)/Inputs!$C$52))*1000)/Inputs!$C$21*1000000</f>
        <v/>
      </c>
      <c r="AR98">
        <f>Scenario_Data!U98</f>
        <v/>
      </c>
      <c r="AS98">
        <f>2*(SQRT((Inputs!$C$52+(Scenario_Data!C98))^2+(Inputs!$C$52+((IF(OR(Inputs!$C$27=TRUE,Inputs!$C$27="TRUE",Inputs!$C$27=1),1,0)*(Inputs!$C$51*(115*EXP(-(((Inputs!$C$6)-25)^2)/(4.5^2))+70*EXP(-(((Inputs!$C$6)+38)^2)/(7^2))*(0.55+0.45*SIN(2*PI()*(Scenario_Data!U98)/45))+24*SIN(2*PI()*(Inputs!$C$6)/9+(Scenario_Data!U98)/18)*EXP(-(((Inputs!$C$6)+5)^2)/(22^2))+18*SIN(2*PI()*(Scenario_Data!U98)/70))+Inputs!$C$28*EXP(-(((Scenario_Data!U98)-Inputs!$C$29)^2)/(2*Inputs!$C$31^2))*EXP(-(((Inputs!$C$6)-Inputs!$C$30)^2)/(2*Inputs!$C$32^2))+-Inputs!$C$33*EXP(-(((((Scenario_Data!U98)-Inputs!$C$34)^2)+(((Inputs!$C$6)-Inputs!$C$35)^2))/(2*Inputs!$C$36^2)))+Inputs!$C$37*(0.55*SIN(2*PI()*(Scenario_Data!U98)/Inputs!$C$39)+0.35*COS(2*PI()*(Inputs!$C$6)/Inputs!$C$40)+0.2*SIN(2*PI()*((Scenario_Data!U98)+(Inputs!$C$6))/(0.5*(Inputs!$C$39+Inputs!$C$40))))+Inputs!$C$38*SIN(2*PI()*(Scenario_Data!U98)/Inputs!$C$39)*SIN(2*PI()*(Inputs!$C$6)/Inputs!$C$40)+-Inputs!$C$41*EXP(-(((Inputs!$C$6)-Inputs!$C$43)^2)/(2*Inputs!$C$44^2))*EXP(-(((Scenario_Data!U98)-Inputs!$C$42)^2)/(2*Inputs!$C$45^2))+Inputs!$C$48*(0.7*(0.45*SIN(2*PI()*(((Scenario_Data!U98)/Inputs!$C$49)+Inputs!$C$47*0.137))+0.35*COS(2*PI()*(((Inputs!$C$6)/Inputs!$C$50)+Inputs!$C$47*0.173))+0.2*SIN(2*PI()*((((Scenario_Data!U98)+(Inputs!$C$6))/(0.5*(Inputs!$C$49+Inputs!$C$50)))+Inputs!$C$47*0.097)))+0.3*(2*((SIN(((Scenario_Data!U98)*12.9898+(Inputs!$C$6)*78.233+Inputs!$C$47*37.719))*43758.5453)-INT((SIN(((Scenario_Data!U98)*12.9898+(Inputs!$C$6)*78.233+Inputs!$C$47*37.719))*43758.5453)))-1))))/1000))^2-2*(Inputs!$C$52+(Scenario_Data!C98))*(Inputs!$C$52+((IF(OR(Inputs!$C$27=TRUE,Inputs!$C$27="TRUE",Inputs!$C$27=1),1,0)*(Inputs!$C$51*(115*EXP(-(((Inputs!$C$6)-25)^2)/(4.5^2))+70*EXP(-(((Inputs!$C$6)+38)^2)/(7^2))*(0.55+0.45*SIN(2*PI()*(Scenario_Data!U98)/45))+24*SIN(2*PI()*(Inputs!$C$6)/9+(Scenario_Data!U98)/18)*EXP(-(((Inputs!$C$6)+5)^2)/(22^2))+18*SIN(2*PI()*(Scenario_Data!U98)/70))+Inputs!$C$28*EXP(-(((Scenario_Data!U98)-Inputs!$C$29)^2)/(2*Inputs!$C$31^2))*EXP(-(((Inputs!$C$6)-Inputs!$C$30)^2)/(2*Inputs!$C$32^2))+-Inputs!$C$33*EXP(-(((((Scenario_Data!U98)-Inputs!$C$34)^2)+(((Inputs!$C$6)-Inputs!$C$35)^2))/(2*Inputs!$C$36^2)))+Inputs!$C$37*(0.55*SIN(2*PI()*(Scenario_Data!U98)/Inputs!$C$39)+0.35*COS(2*PI()*(Inputs!$C$6)/Inputs!$C$40)+0.2*SIN(2*PI()*((Scenario_Data!U98)+(Inputs!$C$6))/(0.5*(Inputs!$C$39+Inputs!$C$40))))+Inputs!$C$38*SIN(2*PI()*(Scenario_Data!U98)/Inputs!$C$39)*SIN(2*PI()*(Inputs!$C$6)/Inputs!$C$40)+-Inputs!$C$41*EXP(-(((Inputs!$C$6)-Inputs!$C$43)^2)/(2*Inputs!$C$44^2))*EXP(-(((Scenario_Data!U98)-Inputs!$C$42)^2)/(2*Inputs!$C$45^2))+Inputs!$C$48*(0.7*(0.45*SIN(2*PI()*(((Scenario_Data!U98)/Inputs!$C$49)+Inputs!$C$47*0.137))+0.35*COS(2*PI()*(((Inputs!$C$6)/Inputs!$C$50)+Inputs!$C$47*0.173))+0.2*SIN(2*PI()*((((Scenario_Data!U98)+(Inputs!$C$6))/(0.5*(Inputs!$C$49+Inputs!$C$50)))+Inputs!$C$47*0.097)))+0.3*(2*((SIN(((Scenario_Data!U98)*12.9898+(Inputs!$C$6)*78.233+Inputs!$C$47*37.719))*43758.5453)-INT((SIN(((Scenario_Data!U98)*12.9898+(Inputs!$C$6)*78.233+Inputs!$C$47*37.719))*43758.5453)))-1))))/1000))*COS(SQRT((Scenario_Data!U98)^2+Inputs!$C$6^2)/Inputs!$C$52))*1000)/Inputs!$C$21*1000000</f>
        <v/>
      </c>
      <c r="AT98">
        <f>Scenario_Data!V98</f>
        <v/>
      </c>
      <c r="AU98">
        <f>2*(SQRT((Inputs!$C$52+(Scenario_Data!D98))^2+(Inputs!$C$52+((IF(OR(Inputs!$C$27=TRUE,Inputs!$C$27="TRUE",Inputs!$C$27=1),1,0)*(Inputs!$C$51*(115*EXP(-(((Inputs!$C$6)-25)^2)/(4.5^2))+70*EXP(-(((Inputs!$C$6)+38)^2)/(7^2))*(0.55+0.45*SIN(2*PI()*(Scenario_Data!V98)/45))+24*SIN(2*PI()*(Inputs!$C$6)/9+(Scenario_Data!V98)/18)*EXP(-(((Inputs!$C$6)+5)^2)/(22^2))+18*SIN(2*PI()*(Scenario_Data!V98)/70))+Inputs!$C$28*EXP(-(((Scenario_Data!V98)-Inputs!$C$29)^2)/(2*Inputs!$C$31^2))*EXP(-(((Inputs!$C$6)-Inputs!$C$30)^2)/(2*Inputs!$C$32^2))+-Inputs!$C$33*EXP(-(((((Scenario_Data!V98)-Inputs!$C$34)^2)+(((Inputs!$C$6)-Inputs!$C$35)^2))/(2*Inputs!$C$36^2)))+Inputs!$C$37*(0.55*SIN(2*PI()*(Scenario_Data!V98)/Inputs!$C$39)+0.35*COS(2*PI()*(Inputs!$C$6)/Inputs!$C$40)+0.2*SIN(2*PI()*((Scenario_Data!V98)+(Inputs!$C$6))/(0.5*(Inputs!$C$39+Inputs!$C$40))))+Inputs!$C$38*SIN(2*PI()*(Scenario_Data!V98)/Inputs!$C$39)*SIN(2*PI()*(Inputs!$C$6)/Inputs!$C$40)+-Inputs!$C$41*EXP(-(((Inputs!$C$6)-Inputs!$C$43)^2)/(2*Inputs!$C$44^2))*EXP(-(((Scenario_Data!V98)-Inputs!$C$42)^2)/(2*Inputs!$C$45^2))+Inputs!$C$48*(0.7*(0.45*SIN(2*PI()*(((Scenario_Data!V98)/Inputs!$C$49)+Inputs!$C$47*0.137))+0.35*COS(2*PI()*(((Inputs!$C$6)/Inputs!$C$50)+Inputs!$C$47*0.173))+0.2*SIN(2*PI()*((((Scenario_Data!V98)+(Inputs!$C$6))/(0.5*(Inputs!$C$49+Inputs!$C$50)))+Inputs!$C$47*0.097)))+0.3*(2*((SIN(((Scenario_Data!V98)*12.9898+(Inputs!$C$6)*78.233+Inputs!$C$47*37.719))*43758.5453)-INT((SIN(((Scenario_Data!V98)*12.9898+(Inputs!$C$6)*78.233+Inputs!$C$47*37.719))*43758.5453)))-1))))/1000))^2-2*(Inputs!$C$52+(Scenario_Data!D98))*(Inputs!$C$52+((IF(OR(Inputs!$C$27=TRUE,Inputs!$C$27="TRUE",Inputs!$C$27=1),1,0)*(Inputs!$C$51*(115*EXP(-(((Inputs!$C$6)-25)^2)/(4.5^2))+70*EXP(-(((Inputs!$C$6)+38)^2)/(7^2))*(0.55+0.45*SIN(2*PI()*(Scenario_Data!V98)/45))+24*SIN(2*PI()*(Inputs!$C$6)/9+(Scenario_Data!V98)/18)*EXP(-(((Inputs!$C$6)+5)^2)/(22^2))+18*SIN(2*PI()*(Scenario_Data!V98)/70))+Inputs!$C$28*EXP(-(((Scenario_Data!V98)-Inputs!$C$29)^2)/(2*Inputs!$C$31^2))*EXP(-(((Inputs!$C$6)-Inputs!$C$30)^2)/(2*Inputs!$C$32^2))+-Inputs!$C$33*EXP(-(((((Scenario_Data!V98)-Inputs!$C$34)^2)+(((Inputs!$C$6)-Inputs!$C$35)^2))/(2*Inputs!$C$36^2)))+Inputs!$C$37*(0.55*SIN(2*PI()*(Scenario_Data!V98)/Inputs!$C$39)+0.35*COS(2*PI()*(Inputs!$C$6)/Inputs!$C$40)+0.2*SIN(2*PI()*((Scenario_Data!V98)+(Inputs!$C$6))/(0.5*(Inputs!$C$39+Inputs!$C$40))))+Inputs!$C$38*SIN(2*PI()*(Scenario_Data!V98)/Inputs!$C$39)*SIN(2*PI()*(Inputs!$C$6)/Inputs!$C$40)+-Inputs!$C$41*EXP(-(((Inputs!$C$6)-Inputs!$C$43)^2)/(2*Inputs!$C$44^2))*EXP(-(((Scenario_Data!V98)-Inputs!$C$42)^2)/(2*Inputs!$C$45^2))+Inputs!$C$48*(0.7*(0.45*SIN(2*PI()*(((Scenario_Data!V98)/Inputs!$C$49)+Inputs!$C$47*0.137))+0.35*COS(2*PI()*(((Inputs!$C$6)/Inputs!$C$50)+Inputs!$C$47*0.173))+0.2*SIN(2*PI()*((((Scenario_Data!V98)+(Inputs!$C$6))/(0.5*(Inputs!$C$49+Inputs!$C$50)))+Inputs!$C$47*0.097)))+0.3*(2*((SIN(((Scenario_Data!V98)*12.9898+(Inputs!$C$6)*78.233+Inputs!$C$47*37.719))*43758.5453)-INT((SIN(((Scenario_Data!V98)*12.9898+(Inputs!$C$6)*78.233+Inputs!$C$47*37.719))*43758.5453)))-1))))/1000))*COS(SQRT((Scenario_Data!V98)^2+Inputs!$C$6^2)/Inputs!$C$52))*1000)/Inputs!$C$21*1000000</f>
        <v/>
      </c>
      <c r="AV98">
        <f>Scenario_Data!W98</f>
        <v/>
      </c>
      <c r="AW98">
        <f>2*(SQRT((Inputs!$C$52+(Scenario_Data!E98))^2+(Inputs!$C$52+((IF(OR(Inputs!$C$27=TRUE,Inputs!$C$27="TRUE",Inputs!$C$27=1),1,0)*(Inputs!$C$51*(115*EXP(-(((Inputs!$C$6)-25)^2)/(4.5^2))+70*EXP(-(((Inputs!$C$6)+38)^2)/(7^2))*(0.55+0.45*SIN(2*PI()*(Scenario_Data!W98)/45))+24*SIN(2*PI()*(Inputs!$C$6)/9+(Scenario_Data!W98)/18)*EXP(-(((Inputs!$C$6)+5)^2)/(22^2))+18*SIN(2*PI()*(Scenario_Data!W98)/70))+Inputs!$C$28*EXP(-(((Scenario_Data!W98)-Inputs!$C$29)^2)/(2*Inputs!$C$31^2))*EXP(-(((Inputs!$C$6)-Inputs!$C$30)^2)/(2*Inputs!$C$32^2))+-Inputs!$C$33*EXP(-(((((Scenario_Data!W98)-Inputs!$C$34)^2)+(((Inputs!$C$6)-Inputs!$C$35)^2))/(2*Inputs!$C$36^2)))+Inputs!$C$37*(0.55*SIN(2*PI()*(Scenario_Data!W98)/Inputs!$C$39)+0.35*COS(2*PI()*(Inputs!$C$6)/Inputs!$C$40)+0.2*SIN(2*PI()*((Scenario_Data!W98)+(Inputs!$C$6))/(0.5*(Inputs!$C$39+Inputs!$C$40))))+Inputs!$C$38*SIN(2*PI()*(Scenario_Data!W98)/Inputs!$C$39)*SIN(2*PI()*(Inputs!$C$6)/Inputs!$C$40)+-Inputs!$C$41*EXP(-(((Inputs!$C$6)-Inputs!$C$43)^2)/(2*Inputs!$C$44^2))*EXP(-(((Scenario_Data!W98)-Inputs!$C$42)^2)/(2*Inputs!$C$45^2))+Inputs!$C$48*(0.7*(0.45*SIN(2*PI()*(((Scenario_Data!W98)/Inputs!$C$49)+Inputs!$C$47*0.137))+0.35*COS(2*PI()*(((Inputs!$C$6)/Inputs!$C$50)+Inputs!$C$47*0.173))+0.2*SIN(2*PI()*((((Scenario_Data!W98)+(Inputs!$C$6))/(0.5*(Inputs!$C$49+Inputs!$C$50)))+Inputs!$C$47*0.097)))+0.3*(2*((SIN(((Scenario_Data!W98)*12.9898+(Inputs!$C$6)*78.233+Inputs!$C$47*37.719))*43758.5453)-INT((SIN(((Scenario_Data!W98)*12.9898+(Inputs!$C$6)*78.233+Inputs!$C$47*37.719))*43758.5453)))-1))))/1000))^2-2*(Inputs!$C$52+(Scenario_Data!E98))*(Inputs!$C$52+((IF(OR(Inputs!$C$27=TRUE,Inputs!$C$27="TRUE",Inputs!$C$27=1),1,0)*(Inputs!$C$51*(115*EXP(-(((Inputs!$C$6)-25)^2)/(4.5^2))+70*EXP(-(((Inputs!$C$6)+38)^2)/(7^2))*(0.55+0.45*SIN(2*PI()*(Scenario_Data!W98)/45))+24*SIN(2*PI()*(Inputs!$C$6)/9+(Scenario_Data!W98)/18)*EXP(-(((Inputs!$C$6)+5)^2)/(22^2))+18*SIN(2*PI()*(Scenario_Data!W98)/70))+Inputs!$C$28*EXP(-(((Scenario_Data!W98)-Inputs!$C$29)^2)/(2*Inputs!$C$31^2))*EXP(-(((Inputs!$C$6)-Inputs!$C$30)^2)/(2*Inputs!$C$32^2))+-Inputs!$C$33*EXP(-(((((Scenario_Data!W98)-Inputs!$C$34)^2)+(((Inputs!$C$6)-Inputs!$C$35)^2))/(2*Inputs!$C$36^2)))+Inputs!$C$37*(0.55*SIN(2*PI()*(Scenario_Data!W98)/Inputs!$C$39)+0.35*COS(2*PI()*(Inputs!$C$6)/Inputs!$C$40)+0.2*SIN(2*PI()*((Scenario_Data!W98)+(Inputs!$C$6))/(0.5*(Inputs!$C$39+Inputs!$C$40))))+Inputs!$C$38*SIN(2*PI()*(Scenario_Data!W98)/Inputs!$C$39)*SIN(2*PI()*(Inputs!$C$6)/Inputs!$C$40)+-Inputs!$C$41*EXP(-(((Inputs!$C$6)-Inputs!$C$43)^2)/(2*Inputs!$C$44^2))*EXP(-(((Scenario_Data!W98)-Inputs!$C$42)^2)/(2*Inputs!$C$45^2))+Inputs!$C$48*(0.7*(0.45*SIN(2*PI()*(((Scenario_Data!W98)/Inputs!$C$49)+Inputs!$C$47*0.137))+0.35*COS(2*PI()*(((Inputs!$C$6)/Inputs!$C$50)+Inputs!$C$47*0.173))+0.2*SIN(2*PI()*((((Scenario_Data!W98)+(Inputs!$C$6))/(0.5*(Inputs!$C$49+Inputs!$C$50)))+Inputs!$C$47*0.097)))+0.3*(2*((SIN(((Scenario_Data!W98)*12.9898+(Inputs!$C$6)*78.233+Inputs!$C$47*37.719))*43758.5453)-INT((SIN(((Scenario_Data!W98)*12.9898+(Inputs!$C$6)*78.233+Inputs!$C$47*37.719))*43758.5453)))-1))))/1000))*COS(SQRT((Scenario_Data!W98)^2+Inputs!$C$6^2)/Inputs!$C$52))*1000)/Inputs!$C$21*1000000</f>
        <v/>
      </c>
    </row>
    <row r="99">
      <c r="A99">
        <f>Chart_Data!K99</f>
        <v/>
      </c>
      <c r="B99">
        <f>Chart_Data!N99-Chart_Data!L99</f>
        <v/>
      </c>
      <c r="D99">
        <f>Chart_Data!G99</f>
        <v/>
      </c>
      <c r="E99">
        <f>Chart_Data!H99</f>
        <v/>
      </c>
      <c r="F99">
        <f>Chart_Data!I99</f>
        <v/>
      </c>
      <c r="G99">
        <f>Chart_Data!J99</f>
        <v/>
      </c>
      <c r="I99">
        <f>Scenario_Data!A99</f>
        <v/>
      </c>
      <c r="J99">
        <f>Scenario_Data!H99-(((SQRT((Inputs!$C$52+(Inputs!$H$6))^2+Inputs!$C$52^2-2*(Inputs!$C$52+(Inputs!$H$6))*Inputs!$C$52*COS(SQRT((Scenario_Data!T99)^2+Inputs!$C$6^2)/Inputs!$C$52)))-(Inputs!$H$6))*1000/Inputs!$C$12)</f>
        <v/>
      </c>
      <c r="K99">
        <f>Scenario_Data!I99-(((SQRT((Inputs!$C$52+(Inputs!$H$7))^2+Inputs!$C$52^2-2*(Inputs!$C$52+(Inputs!$H$7))*Inputs!$C$52*COS(SQRT((Scenario_Data!U99)^2+Inputs!$C$6^2)/Inputs!$C$52)))-(Inputs!$H$7))*1000/Inputs!$C$12)</f>
        <v/>
      </c>
      <c r="L99">
        <f>Scenario_Data!J99-(((SQRT((Inputs!$C$52+(Inputs!$H$8))^2+Inputs!$C$52^2-2*(Inputs!$C$52+(Inputs!$H$8))*Inputs!$C$52*COS(SQRT((Scenario_Data!V99)^2+Inputs!$C$6^2)/Inputs!$C$52)))-(Inputs!$H$8))*1000/Inputs!$C$12)</f>
        <v/>
      </c>
      <c r="M99">
        <f>Scenario_Data!K99-(((SQRT((Inputs!$C$52+(Inputs!$H$9))^2+Inputs!$C$52^2-2*(Inputs!$C$52+(Inputs!$H$9))*Inputs!$C$52*COS(SQRT((Scenario_Data!W99)^2+Inputs!$C$6^2)/Inputs!$C$52)))-(Inputs!$H$9))*1000/Inputs!$C$12)</f>
        <v/>
      </c>
      <c r="O99">
        <f>Scenario_Data!T99</f>
        <v/>
      </c>
      <c r="P99">
        <f>2*(Scenario_Data!B99*1000)/Inputs!$C$21*1000000</f>
        <v/>
      </c>
      <c r="Q99">
        <f>Scenario_Data!U99</f>
        <v/>
      </c>
      <c r="R99">
        <f>2*(Scenario_Data!C99*1000)/Inputs!$C$21*1000000</f>
        <v/>
      </c>
      <c r="S99">
        <f>Scenario_Data!V99</f>
        <v/>
      </c>
      <c r="T99">
        <f>2*(Scenario_Data!D99*1000)/Inputs!$C$21*1000000</f>
        <v/>
      </c>
      <c r="U99">
        <f>Scenario_Data!W99</f>
        <v/>
      </c>
      <c r="V99">
        <f>2*(Scenario_Data!E99*1000)/Inputs!$C$21*1000000</f>
        <v/>
      </c>
      <c r="X99">
        <f>Scenario_Data!T99</f>
        <v/>
      </c>
      <c r="Y99">
        <f>2*((Scenario_Data!B99*1000)-(IF(OR(Inputs!$C$27=TRUE,Inputs!$C$27="TRUE",Inputs!$C$27=1),1,0)*(Inputs!$C$51*(115*EXP(-(((0)-25)^2)/(4.5^2))+70*EXP(-(((0)+38)^2)/(7^2))*(0.55+0.45*SIN(2*PI()*(Scenario_Data!T99)/45))+24*SIN(2*PI()*(0)/9+(Scenario_Data!T99)/18)*EXP(-(((0)+5)^2)/(22^2))+18*SIN(2*PI()*(Scenario_Data!T99)/70))+Inputs!$C$28*EXP(-(((Scenario_Data!T99)-Inputs!$C$29)^2)/(2*Inputs!$C$31^2))*EXP(-(((0)-Inputs!$C$30)^2)/(2*Inputs!$C$32^2))+-Inputs!$C$33*EXP(-(((((Scenario_Data!T99)-Inputs!$C$34)^2)+(((0)-Inputs!$C$35)^2))/(2*Inputs!$C$36^2)))+Inputs!$C$37*(0.55*SIN(2*PI()*(Scenario_Data!T99)/Inputs!$C$39)+0.35*COS(2*PI()*(0)/Inputs!$C$40)+0.2*SIN(2*PI()*((Scenario_Data!T99)+(0))/(0.5*(Inputs!$C$39+Inputs!$C$40))))+Inputs!$C$38*SIN(2*PI()*(Scenario_Data!T99)/Inputs!$C$39)*SIN(2*PI()*(0)/Inputs!$C$40)+-Inputs!$C$41*EXP(-(((0)-Inputs!$C$43)^2)/(2*Inputs!$C$44^2))*EXP(-(((Scenario_Data!T99)-Inputs!$C$42)^2)/(2*Inputs!$C$45^2))+Inputs!$C$48*(0.7*(0.45*SIN(2*PI()*(((Scenario_Data!T99)/Inputs!$C$49)+Inputs!$C$47*0.137))+0.35*COS(2*PI()*(((0)/Inputs!$C$50)+Inputs!$C$47*0.173))+0.2*SIN(2*PI()*((((Scenario_Data!T99)+(0))/(0.5*(Inputs!$C$49+Inputs!$C$50)))+Inputs!$C$47*0.097)))+0.3*(2*((SIN(((Scenario_Data!T99)*12.9898+(0)*78.233+Inputs!$C$47*37.719))*43758.5453)-INT((SIN(((Scenario_Data!T99)*12.9898+(0)*78.233+Inputs!$C$47*37.719))*43758.5453)))-1)))))/Inputs!$C$21*1000000</f>
        <v/>
      </c>
      <c r="Z99">
        <f>Scenario_Data!U99</f>
        <v/>
      </c>
      <c r="AA99">
        <f>2*((Scenario_Data!C99*1000)-(IF(OR(Inputs!$C$27=TRUE,Inputs!$C$27="TRUE",Inputs!$C$27=1),1,0)*(Inputs!$C$51*(115*EXP(-(((0)-25)^2)/(4.5^2))+70*EXP(-(((0)+38)^2)/(7^2))*(0.55+0.45*SIN(2*PI()*(Scenario_Data!U99)/45))+24*SIN(2*PI()*(0)/9+(Scenario_Data!U99)/18)*EXP(-(((0)+5)^2)/(22^2))+18*SIN(2*PI()*(Scenario_Data!U99)/70))+Inputs!$C$28*EXP(-(((Scenario_Data!U99)-Inputs!$C$29)^2)/(2*Inputs!$C$31^2))*EXP(-(((0)-Inputs!$C$30)^2)/(2*Inputs!$C$32^2))+-Inputs!$C$33*EXP(-(((((Scenario_Data!U99)-Inputs!$C$34)^2)+(((0)-Inputs!$C$35)^2))/(2*Inputs!$C$36^2)))+Inputs!$C$37*(0.55*SIN(2*PI()*(Scenario_Data!U99)/Inputs!$C$39)+0.35*COS(2*PI()*(0)/Inputs!$C$40)+0.2*SIN(2*PI()*((Scenario_Data!U99)+(0))/(0.5*(Inputs!$C$39+Inputs!$C$40))))+Inputs!$C$38*SIN(2*PI()*(Scenario_Data!U99)/Inputs!$C$39)*SIN(2*PI()*(0)/Inputs!$C$40)+-Inputs!$C$41*EXP(-(((0)-Inputs!$C$43)^2)/(2*Inputs!$C$44^2))*EXP(-(((Scenario_Data!U99)-Inputs!$C$42)^2)/(2*Inputs!$C$45^2))+Inputs!$C$48*(0.7*(0.45*SIN(2*PI()*(((Scenario_Data!U99)/Inputs!$C$49)+Inputs!$C$47*0.137))+0.35*COS(2*PI()*(((0)/Inputs!$C$50)+Inputs!$C$47*0.173))+0.2*SIN(2*PI()*((((Scenario_Data!U99)+(0))/(0.5*(Inputs!$C$49+Inputs!$C$50)))+Inputs!$C$47*0.097)))+0.3*(2*((SIN(((Scenario_Data!U99)*12.9898+(0)*78.233+Inputs!$C$47*37.719))*43758.5453)-INT((SIN(((Scenario_Data!U99)*12.9898+(0)*78.233+Inputs!$C$47*37.719))*43758.5453)))-1)))))/Inputs!$C$21*1000000</f>
        <v/>
      </c>
      <c r="AB99">
        <f>Scenario_Data!V99</f>
        <v/>
      </c>
      <c r="AC99">
        <f>2*((Scenario_Data!D99*1000)-(IF(OR(Inputs!$C$27=TRUE,Inputs!$C$27="TRUE",Inputs!$C$27=1),1,0)*(Inputs!$C$51*(115*EXP(-(((0)-25)^2)/(4.5^2))+70*EXP(-(((0)+38)^2)/(7^2))*(0.55+0.45*SIN(2*PI()*(Scenario_Data!V99)/45))+24*SIN(2*PI()*(0)/9+(Scenario_Data!V99)/18)*EXP(-(((0)+5)^2)/(22^2))+18*SIN(2*PI()*(Scenario_Data!V99)/70))+Inputs!$C$28*EXP(-(((Scenario_Data!V99)-Inputs!$C$29)^2)/(2*Inputs!$C$31^2))*EXP(-(((0)-Inputs!$C$30)^2)/(2*Inputs!$C$32^2))+-Inputs!$C$33*EXP(-(((((Scenario_Data!V99)-Inputs!$C$34)^2)+(((0)-Inputs!$C$35)^2))/(2*Inputs!$C$36^2)))+Inputs!$C$37*(0.55*SIN(2*PI()*(Scenario_Data!V99)/Inputs!$C$39)+0.35*COS(2*PI()*(0)/Inputs!$C$40)+0.2*SIN(2*PI()*((Scenario_Data!V99)+(0))/(0.5*(Inputs!$C$39+Inputs!$C$40))))+Inputs!$C$38*SIN(2*PI()*(Scenario_Data!V99)/Inputs!$C$39)*SIN(2*PI()*(0)/Inputs!$C$40)+-Inputs!$C$41*EXP(-(((0)-Inputs!$C$43)^2)/(2*Inputs!$C$44^2))*EXP(-(((Scenario_Data!V99)-Inputs!$C$42)^2)/(2*Inputs!$C$45^2))+Inputs!$C$48*(0.7*(0.45*SIN(2*PI()*(((Scenario_Data!V99)/Inputs!$C$49)+Inputs!$C$47*0.137))+0.35*COS(2*PI()*(((0)/Inputs!$C$50)+Inputs!$C$47*0.173))+0.2*SIN(2*PI()*((((Scenario_Data!V99)+(0))/(0.5*(Inputs!$C$49+Inputs!$C$50)))+Inputs!$C$47*0.097)))+0.3*(2*((SIN(((Scenario_Data!V99)*12.9898+(0)*78.233+Inputs!$C$47*37.719))*43758.5453)-INT((SIN(((Scenario_Data!V99)*12.9898+(0)*78.233+Inputs!$C$47*37.719))*43758.5453)))-1)))))/Inputs!$C$21*1000000</f>
        <v/>
      </c>
      <c r="AD99">
        <f>Scenario_Data!W99</f>
        <v/>
      </c>
      <c r="AE99">
        <f>2*((Scenario_Data!E99*1000)-(IF(OR(Inputs!$C$27=TRUE,Inputs!$C$27="TRUE",Inputs!$C$27=1),1,0)*(Inputs!$C$51*(115*EXP(-(((0)-25)^2)/(4.5^2))+70*EXP(-(((0)+38)^2)/(7^2))*(0.55+0.45*SIN(2*PI()*(Scenario_Data!W99)/45))+24*SIN(2*PI()*(0)/9+(Scenario_Data!W99)/18)*EXP(-(((0)+5)^2)/(22^2))+18*SIN(2*PI()*(Scenario_Data!W99)/70))+Inputs!$C$28*EXP(-(((Scenario_Data!W99)-Inputs!$C$29)^2)/(2*Inputs!$C$31^2))*EXP(-(((0)-Inputs!$C$30)^2)/(2*Inputs!$C$32^2))+-Inputs!$C$33*EXP(-(((((Scenario_Data!W99)-Inputs!$C$34)^2)+(((0)-Inputs!$C$35)^2))/(2*Inputs!$C$36^2)))+Inputs!$C$37*(0.55*SIN(2*PI()*(Scenario_Data!W99)/Inputs!$C$39)+0.35*COS(2*PI()*(0)/Inputs!$C$40)+0.2*SIN(2*PI()*((Scenario_Data!W99)+(0))/(0.5*(Inputs!$C$39+Inputs!$C$40))))+Inputs!$C$38*SIN(2*PI()*(Scenario_Data!W99)/Inputs!$C$39)*SIN(2*PI()*(0)/Inputs!$C$40)+-Inputs!$C$41*EXP(-(((0)-Inputs!$C$43)^2)/(2*Inputs!$C$44^2))*EXP(-(((Scenario_Data!W99)-Inputs!$C$42)^2)/(2*Inputs!$C$45^2))+Inputs!$C$48*(0.7*(0.45*SIN(2*PI()*(((Scenario_Data!W99)/Inputs!$C$49)+Inputs!$C$47*0.137))+0.35*COS(2*PI()*(((0)/Inputs!$C$50)+Inputs!$C$47*0.173))+0.2*SIN(2*PI()*((((Scenario_Data!W99)+(0))/(0.5*(Inputs!$C$49+Inputs!$C$50)))+Inputs!$C$47*0.097)))+0.3*(2*((SIN(((Scenario_Data!W99)*12.9898+(0)*78.233+Inputs!$C$47*37.719))*43758.5453)-INT((SIN(((Scenario_Data!W99)*12.9898+(0)*78.233+Inputs!$C$47*37.719))*43758.5453)))-1)))))/Inputs!$C$21*1000000</f>
        <v/>
      </c>
      <c r="AG99">
        <f>Scenario_Data!T99</f>
        <v/>
      </c>
      <c r="AH99">
        <f>2*(SQRT((Inputs!$C$52+(Scenario_Data!B99))^2+Inputs!$C$52^2-2*(Inputs!$C$52+(Scenario_Data!B99))*Inputs!$C$52*COS(SQRT((Scenario_Data!T99)^2+Inputs!$C$6^2)/Inputs!$C$52))*1000)/Inputs!$C$21*1000000</f>
        <v/>
      </c>
      <c r="AI99">
        <f>Scenario_Data!U99</f>
        <v/>
      </c>
      <c r="AJ99">
        <f>2*(SQRT((Inputs!$C$52+(Scenario_Data!C99))^2+Inputs!$C$52^2-2*(Inputs!$C$52+(Scenario_Data!C99))*Inputs!$C$52*COS(SQRT((Scenario_Data!U99)^2+Inputs!$C$6^2)/Inputs!$C$52))*1000)/Inputs!$C$21*1000000</f>
        <v/>
      </c>
      <c r="AK99">
        <f>Scenario_Data!V99</f>
        <v/>
      </c>
      <c r="AL99">
        <f>2*(SQRT((Inputs!$C$52+(Scenario_Data!D99))^2+Inputs!$C$52^2-2*(Inputs!$C$52+(Scenario_Data!D99))*Inputs!$C$52*COS(SQRT((Scenario_Data!V99)^2+Inputs!$C$6^2)/Inputs!$C$52))*1000)/Inputs!$C$21*1000000</f>
        <v/>
      </c>
      <c r="AM99">
        <f>Scenario_Data!W99</f>
        <v/>
      </c>
      <c r="AN99">
        <f>2*(SQRT((Inputs!$C$52+(Scenario_Data!E99))^2+Inputs!$C$52^2-2*(Inputs!$C$52+(Scenario_Data!E99))*Inputs!$C$52*COS(SQRT((Scenario_Data!W99)^2+Inputs!$C$6^2)/Inputs!$C$52))*1000)/Inputs!$C$21*1000000</f>
        <v/>
      </c>
      <c r="AP99">
        <f>Scenario_Data!T99</f>
        <v/>
      </c>
      <c r="AQ99">
        <f>2*(SQRT((Inputs!$C$52+(Scenario_Data!B99))^2+(Inputs!$C$52+((IF(OR(Inputs!$C$27=TRUE,Inputs!$C$27="TRUE",Inputs!$C$27=1),1,0)*(Inputs!$C$51*(115*EXP(-(((Inputs!$C$6)-25)^2)/(4.5^2))+70*EXP(-(((Inputs!$C$6)+38)^2)/(7^2))*(0.55+0.45*SIN(2*PI()*(Scenario_Data!T99)/45))+24*SIN(2*PI()*(Inputs!$C$6)/9+(Scenario_Data!T99)/18)*EXP(-(((Inputs!$C$6)+5)^2)/(22^2))+18*SIN(2*PI()*(Scenario_Data!T99)/70))+Inputs!$C$28*EXP(-(((Scenario_Data!T99)-Inputs!$C$29)^2)/(2*Inputs!$C$31^2))*EXP(-(((Inputs!$C$6)-Inputs!$C$30)^2)/(2*Inputs!$C$32^2))+-Inputs!$C$33*EXP(-(((((Scenario_Data!T99)-Inputs!$C$34)^2)+(((Inputs!$C$6)-Inputs!$C$35)^2))/(2*Inputs!$C$36^2)))+Inputs!$C$37*(0.55*SIN(2*PI()*(Scenario_Data!T99)/Inputs!$C$39)+0.35*COS(2*PI()*(Inputs!$C$6)/Inputs!$C$40)+0.2*SIN(2*PI()*((Scenario_Data!T99)+(Inputs!$C$6))/(0.5*(Inputs!$C$39+Inputs!$C$40))))+Inputs!$C$38*SIN(2*PI()*(Scenario_Data!T99)/Inputs!$C$39)*SIN(2*PI()*(Inputs!$C$6)/Inputs!$C$40)+-Inputs!$C$41*EXP(-(((Inputs!$C$6)-Inputs!$C$43)^2)/(2*Inputs!$C$44^2))*EXP(-(((Scenario_Data!T99)-Inputs!$C$42)^2)/(2*Inputs!$C$45^2))+Inputs!$C$48*(0.7*(0.45*SIN(2*PI()*(((Scenario_Data!T99)/Inputs!$C$49)+Inputs!$C$47*0.137))+0.35*COS(2*PI()*(((Inputs!$C$6)/Inputs!$C$50)+Inputs!$C$47*0.173))+0.2*SIN(2*PI()*((((Scenario_Data!T99)+(Inputs!$C$6))/(0.5*(Inputs!$C$49+Inputs!$C$50)))+Inputs!$C$47*0.097)))+0.3*(2*((SIN(((Scenario_Data!T99)*12.9898+(Inputs!$C$6)*78.233+Inputs!$C$47*37.719))*43758.5453)-INT((SIN(((Scenario_Data!T99)*12.9898+(Inputs!$C$6)*78.233+Inputs!$C$47*37.719))*43758.5453)))-1))))/1000))^2-2*(Inputs!$C$52+(Scenario_Data!B99))*(Inputs!$C$52+((IF(OR(Inputs!$C$27=TRUE,Inputs!$C$27="TRUE",Inputs!$C$27=1),1,0)*(Inputs!$C$51*(115*EXP(-(((Inputs!$C$6)-25)^2)/(4.5^2))+70*EXP(-(((Inputs!$C$6)+38)^2)/(7^2))*(0.55+0.45*SIN(2*PI()*(Scenario_Data!T99)/45))+24*SIN(2*PI()*(Inputs!$C$6)/9+(Scenario_Data!T99)/18)*EXP(-(((Inputs!$C$6)+5)^2)/(22^2))+18*SIN(2*PI()*(Scenario_Data!T99)/70))+Inputs!$C$28*EXP(-(((Scenario_Data!T99)-Inputs!$C$29)^2)/(2*Inputs!$C$31^2))*EXP(-(((Inputs!$C$6)-Inputs!$C$30)^2)/(2*Inputs!$C$32^2))+-Inputs!$C$33*EXP(-(((((Scenario_Data!T99)-Inputs!$C$34)^2)+(((Inputs!$C$6)-Inputs!$C$35)^2))/(2*Inputs!$C$36^2)))+Inputs!$C$37*(0.55*SIN(2*PI()*(Scenario_Data!T99)/Inputs!$C$39)+0.35*COS(2*PI()*(Inputs!$C$6)/Inputs!$C$40)+0.2*SIN(2*PI()*((Scenario_Data!T99)+(Inputs!$C$6))/(0.5*(Inputs!$C$39+Inputs!$C$40))))+Inputs!$C$38*SIN(2*PI()*(Scenario_Data!T99)/Inputs!$C$39)*SIN(2*PI()*(Inputs!$C$6)/Inputs!$C$40)+-Inputs!$C$41*EXP(-(((Inputs!$C$6)-Inputs!$C$43)^2)/(2*Inputs!$C$44^2))*EXP(-(((Scenario_Data!T99)-Inputs!$C$42)^2)/(2*Inputs!$C$45^2))+Inputs!$C$48*(0.7*(0.45*SIN(2*PI()*(((Scenario_Data!T99)/Inputs!$C$49)+Inputs!$C$47*0.137))+0.35*COS(2*PI()*(((Inputs!$C$6)/Inputs!$C$50)+Inputs!$C$47*0.173))+0.2*SIN(2*PI()*((((Scenario_Data!T99)+(Inputs!$C$6))/(0.5*(Inputs!$C$49+Inputs!$C$50)))+Inputs!$C$47*0.097)))+0.3*(2*((SIN(((Scenario_Data!T99)*12.9898+(Inputs!$C$6)*78.233+Inputs!$C$47*37.719))*43758.5453)-INT((SIN(((Scenario_Data!T99)*12.9898+(Inputs!$C$6)*78.233+Inputs!$C$47*37.719))*43758.5453)))-1))))/1000))*COS(SQRT((Scenario_Data!T99)^2+Inputs!$C$6^2)/Inputs!$C$52))*1000)/Inputs!$C$21*1000000</f>
        <v/>
      </c>
      <c r="AR99">
        <f>Scenario_Data!U99</f>
        <v/>
      </c>
      <c r="AS99">
        <f>2*(SQRT((Inputs!$C$52+(Scenario_Data!C99))^2+(Inputs!$C$52+((IF(OR(Inputs!$C$27=TRUE,Inputs!$C$27="TRUE",Inputs!$C$27=1),1,0)*(Inputs!$C$51*(115*EXP(-(((Inputs!$C$6)-25)^2)/(4.5^2))+70*EXP(-(((Inputs!$C$6)+38)^2)/(7^2))*(0.55+0.45*SIN(2*PI()*(Scenario_Data!U99)/45))+24*SIN(2*PI()*(Inputs!$C$6)/9+(Scenario_Data!U99)/18)*EXP(-(((Inputs!$C$6)+5)^2)/(22^2))+18*SIN(2*PI()*(Scenario_Data!U99)/70))+Inputs!$C$28*EXP(-(((Scenario_Data!U99)-Inputs!$C$29)^2)/(2*Inputs!$C$31^2))*EXP(-(((Inputs!$C$6)-Inputs!$C$30)^2)/(2*Inputs!$C$32^2))+-Inputs!$C$33*EXP(-(((((Scenario_Data!U99)-Inputs!$C$34)^2)+(((Inputs!$C$6)-Inputs!$C$35)^2))/(2*Inputs!$C$36^2)))+Inputs!$C$37*(0.55*SIN(2*PI()*(Scenario_Data!U99)/Inputs!$C$39)+0.35*COS(2*PI()*(Inputs!$C$6)/Inputs!$C$40)+0.2*SIN(2*PI()*((Scenario_Data!U99)+(Inputs!$C$6))/(0.5*(Inputs!$C$39+Inputs!$C$40))))+Inputs!$C$38*SIN(2*PI()*(Scenario_Data!U99)/Inputs!$C$39)*SIN(2*PI()*(Inputs!$C$6)/Inputs!$C$40)+-Inputs!$C$41*EXP(-(((Inputs!$C$6)-Inputs!$C$43)^2)/(2*Inputs!$C$44^2))*EXP(-(((Scenario_Data!U99)-Inputs!$C$42)^2)/(2*Inputs!$C$45^2))+Inputs!$C$48*(0.7*(0.45*SIN(2*PI()*(((Scenario_Data!U99)/Inputs!$C$49)+Inputs!$C$47*0.137))+0.35*COS(2*PI()*(((Inputs!$C$6)/Inputs!$C$50)+Inputs!$C$47*0.173))+0.2*SIN(2*PI()*((((Scenario_Data!U99)+(Inputs!$C$6))/(0.5*(Inputs!$C$49+Inputs!$C$50)))+Inputs!$C$47*0.097)))+0.3*(2*((SIN(((Scenario_Data!U99)*12.9898+(Inputs!$C$6)*78.233+Inputs!$C$47*37.719))*43758.5453)-INT((SIN(((Scenario_Data!U99)*12.9898+(Inputs!$C$6)*78.233+Inputs!$C$47*37.719))*43758.5453)))-1))))/1000))^2-2*(Inputs!$C$52+(Scenario_Data!C99))*(Inputs!$C$52+((IF(OR(Inputs!$C$27=TRUE,Inputs!$C$27="TRUE",Inputs!$C$27=1),1,0)*(Inputs!$C$51*(115*EXP(-(((Inputs!$C$6)-25)^2)/(4.5^2))+70*EXP(-(((Inputs!$C$6)+38)^2)/(7^2))*(0.55+0.45*SIN(2*PI()*(Scenario_Data!U99)/45))+24*SIN(2*PI()*(Inputs!$C$6)/9+(Scenario_Data!U99)/18)*EXP(-(((Inputs!$C$6)+5)^2)/(22^2))+18*SIN(2*PI()*(Scenario_Data!U99)/70))+Inputs!$C$28*EXP(-(((Scenario_Data!U99)-Inputs!$C$29)^2)/(2*Inputs!$C$31^2))*EXP(-(((Inputs!$C$6)-Inputs!$C$30)^2)/(2*Inputs!$C$32^2))+-Inputs!$C$33*EXP(-(((((Scenario_Data!U99)-Inputs!$C$34)^2)+(((Inputs!$C$6)-Inputs!$C$35)^2))/(2*Inputs!$C$36^2)))+Inputs!$C$37*(0.55*SIN(2*PI()*(Scenario_Data!U99)/Inputs!$C$39)+0.35*COS(2*PI()*(Inputs!$C$6)/Inputs!$C$40)+0.2*SIN(2*PI()*((Scenario_Data!U99)+(Inputs!$C$6))/(0.5*(Inputs!$C$39+Inputs!$C$40))))+Inputs!$C$38*SIN(2*PI()*(Scenario_Data!U99)/Inputs!$C$39)*SIN(2*PI()*(Inputs!$C$6)/Inputs!$C$40)+-Inputs!$C$41*EXP(-(((Inputs!$C$6)-Inputs!$C$43)^2)/(2*Inputs!$C$44^2))*EXP(-(((Scenario_Data!U99)-Inputs!$C$42)^2)/(2*Inputs!$C$45^2))+Inputs!$C$48*(0.7*(0.45*SIN(2*PI()*(((Scenario_Data!U99)/Inputs!$C$49)+Inputs!$C$47*0.137))+0.35*COS(2*PI()*(((Inputs!$C$6)/Inputs!$C$50)+Inputs!$C$47*0.173))+0.2*SIN(2*PI()*((((Scenario_Data!U99)+(Inputs!$C$6))/(0.5*(Inputs!$C$49+Inputs!$C$50)))+Inputs!$C$47*0.097)))+0.3*(2*((SIN(((Scenario_Data!U99)*12.9898+(Inputs!$C$6)*78.233+Inputs!$C$47*37.719))*43758.5453)-INT((SIN(((Scenario_Data!U99)*12.9898+(Inputs!$C$6)*78.233+Inputs!$C$47*37.719))*43758.5453)))-1))))/1000))*COS(SQRT((Scenario_Data!U99)^2+Inputs!$C$6^2)/Inputs!$C$52))*1000)/Inputs!$C$21*1000000</f>
        <v/>
      </c>
      <c r="AT99">
        <f>Scenario_Data!V99</f>
        <v/>
      </c>
      <c r="AU99">
        <f>2*(SQRT((Inputs!$C$52+(Scenario_Data!D99))^2+(Inputs!$C$52+((IF(OR(Inputs!$C$27=TRUE,Inputs!$C$27="TRUE",Inputs!$C$27=1),1,0)*(Inputs!$C$51*(115*EXP(-(((Inputs!$C$6)-25)^2)/(4.5^2))+70*EXP(-(((Inputs!$C$6)+38)^2)/(7^2))*(0.55+0.45*SIN(2*PI()*(Scenario_Data!V99)/45))+24*SIN(2*PI()*(Inputs!$C$6)/9+(Scenario_Data!V99)/18)*EXP(-(((Inputs!$C$6)+5)^2)/(22^2))+18*SIN(2*PI()*(Scenario_Data!V99)/70))+Inputs!$C$28*EXP(-(((Scenario_Data!V99)-Inputs!$C$29)^2)/(2*Inputs!$C$31^2))*EXP(-(((Inputs!$C$6)-Inputs!$C$30)^2)/(2*Inputs!$C$32^2))+-Inputs!$C$33*EXP(-(((((Scenario_Data!V99)-Inputs!$C$34)^2)+(((Inputs!$C$6)-Inputs!$C$35)^2))/(2*Inputs!$C$36^2)))+Inputs!$C$37*(0.55*SIN(2*PI()*(Scenario_Data!V99)/Inputs!$C$39)+0.35*COS(2*PI()*(Inputs!$C$6)/Inputs!$C$40)+0.2*SIN(2*PI()*((Scenario_Data!V99)+(Inputs!$C$6))/(0.5*(Inputs!$C$39+Inputs!$C$40))))+Inputs!$C$38*SIN(2*PI()*(Scenario_Data!V99)/Inputs!$C$39)*SIN(2*PI()*(Inputs!$C$6)/Inputs!$C$40)+-Inputs!$C$41*EXP(-(((Inputs!$C$6)-Inputs!$C$43)^2)/(2*Inputs!$C$44^2))*EXP(-(((Scenario_Data!V99)-Inputs!$C$42)^2)/(2*Inputs!$C$45^2))+Inputs!$C$48*(0.7*(0.45*SIN(2*PI()*(((Scenario_Data!V99)/Inputs!$C$49)+Inputs!$C$47*0.137))+0.35*COS(2*PI()*(((Inputs!$C$6)/Inputs!$C$50)+Inputs!$C$47*0.173))+0.2*SIN(2*PI()*((((Scenario_Data!V99)+(Inputs!$C$6))/(0.5*(Inputs!$C$49+Inputs!$C$50)))+Inputs!$C$47*0.097)))+0.3*(2*((SIN(((Scenario_Data!V99)*12.9898+(Inputs!$C$6)*78.233+Inputs!$C$47*37.719))*43758.5453)-INT((SIN(((Scenario_Data!V99)*12.9898+(Inputs!$C$6)*78.233+Inputs!$C$47*37.719))*43758.5453)))-1))))/1000))^2-2*(Inputs!$C$52+(Scenario_Data!D99))*(Inputs!$C$52+((IF(OR(Inputs!$C$27=TRUE,Inputs!$C$27="TRUE",Inputs!$C$27=1),1,0)*(Inputs!$C$51*(115*EXP(-(((Inputs!$C$6)-25)^2)/(4.5^2))+70*EXP(-(((Inputs!$C$6)+38)^2)/(7^2))*(0.55+0.45*SIN(2*PI()*(Scenario_Data!V99)/45))+24*SIN(2*PI()*(Inputs!$C$6)/9+(Scenario_Data!V99)/18)*EXP(-(((Inputs!$C$6)+5)^2)/(22^2))+18*SIN(2*PI()*(Scenario_Data!V99)/70))+Inputs!$C$28*EXP(-(((Scenario_Data!V99)-Inputs!$C$29)^2)/(2*Inputs!$C$31^2))*EXP(-(((Inputs!$C$6)-Inputs!$C$30)^2)/(2*Inputs!$C$32^2))+-Inputs!$C$33*EXP(-(((((Scenario_Data!V99)-Inputs!$C$34)^2)+(((Inputs!$C$6)-Inputs!$C$35)^2))/(2*Inputs!$C$36^2)))+Inputs!$C$37*(0.55*SIN(2*PI()*(Scenario_Data!V99)/Inputs!$C$39)+0.35*COS(2*PI()*(Inputs!$C$6)/Inputs!$C$40)+0.2*SIN(2*PI()*((Scenario_Data!V99)+(Inputs!$C$6))/(0.5*(Inputs!$C$39+Inputs!$C$40))))+Inputs!$C$38*SIN(2*PI()*(Scenario_Data!V99)/Inputs!$C$39)*SIN(2*PI()*(Inputs!$C$6)/Inputs!$C$40)+-Inputs!$C$41*EXP(-(((Inputs!$C$6)-Inputs!$C$43)^2)/(2*Inputs!$C$44^2))*EXP(-(((Scenario_Data!V99)-Inputs!$C$42)^2)/(2*Inputs!$C$45^2))+Inputs!$C$48*(0.7*(0.45*SIN(2*PI()*(((Scenario_Data!V99)/Inputs!$C$49)+Inputs!$C$47*0.137))+0.35*COS(2*PI()*(((Inputs!$C$6)/Inputs!$C$50)+Inputs!$C$47*0.173))+0.2*SIN(2*PI()*((((Scenario_Data!V99)+(Inputs!$C$6))/(0.5*(Inputs!$C$49+Inputs!$C$50)))+Inputs!$C$47*0.097)))+0.3*(2*((SIN(((Scenario_Data!V99)*12.9898+(Inputs!$C$6)*78.233+Inputs!$C$47*37.719))*43758.5453)-INT((SIN(((Scenario_Data!V99)*12.9898+(Inputs!$C$6)*78.233+Inputs!$C$47*37.719))*43758.5453)))-1))))/1000))*COS(SQRT((Scenario_Data!V99)^2+Inputs!$C$6^2)/Inputs!$C$52))*1000)/Inputs!$C$21*1000000</f>
        <v/>
      </c>
      <c r="AV99">
        <f>Scenario_Data!W99</f>
        <v/>
      </c>
      <c r="AW99">
        <f>2*(SQRT((Inputs!$C$52+(Scenario_Data!E99))^2+(Inputs!$C$52+((IF(OR(Inputs!$C$27=TRUE,Inputs!$C$27="TRUE",Inputs!$C$27=1),1,0)*(Inputs!$C$51*(115*EXP(-(((Inputs!$C$6)-25)^2)/(4.5^2))+70*EXP(-(((Inputs!$C$6)+38)^2)/(7^2))*(0.55+0.45*SIN(2*PI()*(Scenario_Data!W99)/45))+24*SIN(2*PI()*(Inputs!$C$6)/9+(Scenario_Data!W99)/18)*EXP(-(((Inputs!$C$6)+5)^2)/(22^2))+18*SIN(2*PI()*(Scenario_Data!W99)/70))+Inputs!$C$28*EXP(-(((Scenario_Data!W99)-Inputs!$C$29)^2)/(2*Inputs!$C$31^2))*EXP(-(((Inputs!$C$6)-Inputs!$C$30)^2)/(2*Inputs!$C$32^2))+-Inputs!$C$33*EXP(-(((((Scenario_Data!W99)-Inputs!$C$34)^2)+(((Inputs!$C$6)-Inputs!$C$35)^2))/(2*Inputs!$C$36^2)))+Inputs!$C$37*(0.55*SIN(2*PI()*(Scenario_Data!W99)/Inputs!$C$39)+0.35*COS(2*PI()*(Inputs!$C$6)/Inputs!$C$40)+0.2*SIN(2*PI()*((Scenario_Data!W99)+(Inputs!$C$6))/(0.5*(Inputs!$C$39+Inputs!$C$40))))+Inputs!$C$38*SIN(2*PI()*(Scenario_Data!W99)/Inputs!$C$39)*SIN(2*PI()*(Inputs!$C$6)/Inputs!$C$40)+-Inputs!$C$41*EXP(-(((Inputs!$C$6)-Inputs!$C$43)^2)/(2*Inputs!$C$44^2))*EXP(-(((Scenario_Data!W99)-Inputs!$C$42)^2)/(2*Inputs!$C$45^2))+Inputs!$C$48*(0.7*(0.45*SIN(2*PI()*(((Scenario_Data!W99)/Inputs!$C$49)+Inputs!$C$47*0.137))+0.35*COS(2*PI()*(((Inputs!$C$6)/Inputs!$C$50)+Inputs!$C$47*0.173))+0.2*SIN(2*PI()*((((Scenario_Data!W99)+(Inputs!$C$6))/(0.5*(Inputs!$C$49+Inputs!$C$50)))+Inputs!$C$47*0.097)))+0.3*(2*((SIN(((Scenario_Data!W99)*12.9898+(Inputs!$C$6)*78.233+Inputs!$C$47*37.719))*43758.5453)-INT((SIN(((Scenario_Data!W99)*12.9898+(Inputs!$C$6)*78.233+Inputs!$C$47*37.719))*43758.5453)))-1))))/1000))^2-2*(Inputs!$C$52+(Scenario_Data!E99))*(Inputs!$C$52+((IF(OR(Inputs!$C$27=TRUE,Inputs!$C$27="TRUE",Inputs!$C$27=1),1,0)*(Inputs!$C$51*(115*EXP(-(((Inputs!$C$6)-25)^2)/(4.5^2))+70*EXP(-(((Inputs!$C$6)+38)^2)/(7^2))*(0.55+0.45*SIN(2*PI()*(Scenario_Data!W99)/45))+24*SIN(2*PI()*(Inputs!$C$6)/9+(Scenario_Data!W99)/18)*EXP(-(((Inputs!$C$6)+5)^2)/(22^2))+18*SIN(2*PI()*(Scenario_Data!W99)/70))+Inputs!$C$28*EXP(-(((Scenario_Data!W99)-Inputs!$C$29)^2)/(2*Inputs!$C$31^2))*EXP(-(((Inputs!$C$6)-Inputs!$C$30)^2)/(2*Inputs!$C$32^2))+-Inputs!$C$33*EXP(-(((((Scenario_Data!W99)-Inputs!$C$34)^2)+(((Inputs!$C$6)-Inputs!$C$35)^2))/(2*Inputs!$C$36^2)))+Inputs!$C$37*(0.55*SIN(2*PI()*(Scenario_Data!W99)/Inputs!$C$39)+0.35*COS(2*PI()*(Inputs!$C$6)/Inputs!$C$40)+0.2*SIN(2*PI()*((Scenario_Data!W99)+(Inputs!$C$6))/(0.5*(Inputs!$C$39+Inputs!$C$40))))+Inputs!$C$38*SIN(2*PI()*(Scenario_Data!W99)/Inputs!$C$39)*SIN(2*PI()*(Inputs!$C$6)/Inputs!$C$40)+-Inputs!$C$41*EXP(-(((Inputs!$C$6)-Inputs!$C$43)^2)/(2*Inputs!$C$44^2))*EXP(-(((Scenario_Data!W99)-Inputs!$C$42)^2)/(2*Inputs!$C$45^2))+Inputs!$C$48*(0.7*(0.45*SIN(2*PI()*(((Scenario_Data!W99)/Inputs!$C$49)+Inputs!$C$47*0.137))+0.35*COS(2*PI()*(((Inputs!$C$6)/Inputs!$C$50)+Inputs!$C$47*0.173))+0.2*SIN(2*PI()*((((Scenario_Data!W99)+(Inputs!$C$6))/(0.5*(Inputs!$C$49+Inputs!$C$50)))+Inputs!$C$47*0.097)))+0.3*(2*((SIN(((Scenario_Data!W99)*12.9898+(Inputs!$C$6)*78.233+Inputs!$C$47*37.719))*43758.5453)-INT((SIN(((Scenario_Data!W99)*12.9898+(Inputs!$C$6)*78.233+Inputs!$C$47*37.719))*43758.5453)))-1))))/1000))*COS(SQRT((Scenario_Data!W99)^2+Inputs!$C$6^2)/Inputs!$C$52))*1000)/Inputs!$C$21*1000000</f>
        <v/>
      </c>
    </row>
    <row r="100">
      <c r="A100">
        <f>Chart_Data!K100</f>
        <v/>
      </c>
      <c r="B100">
        <f>Chart_Data!N100-Chart_Data!L100</f>
        <v/>
      </c>
      <c r="D100">
        <f>Chart_Data!G100</f>
        <v/>
      </c>
      <c r="E100">
        <f>Chart_Data!H100</f>
        <v/>
      </c>
      <c r="F100">
        <f>Chart_Data!I100</f>
        <v/>
      </c>
      <c r="G100">
        <f>Chart_Data!J100</f>
        <v/>
      </c>
      <c r="I100">
        <f>Scenario_Data!A100</f>
        <v/>
      </c>
      <c r="J100">
        <f>Scenario_Data!H100-(((SQRT((Inputs!$C$52+(Inputs!$H$6))^2+Inputs!$C$52^2-2*(Inputs!$C$52+(Inputs!$H$6))*Inputs!$C$52*COS(SQRT((Scenario_Data!T100)^2+Inputs!$C$6^2)/Inputs!$C$52)))-(Inputs!$H$6))*1000/Inputs!$C$12)</f>
        <v/>
      </c>
      <c r="K100">
        <f>Scenario_Data!I100-(((SQRT((Inputs!$C$52+(Inputs!$H$7))^2+Inputs!$C$52^2-2*(Inputs!$C$52+(Inputs!$H$7))*Inputs!$C$52*COS(SQRT((Scenario_Data!U100)^2+Inputs!$C$6^2)/Inputs!$C$52)))-(Inputs!$H$7))*1000/Inputs!$C$12)</f>
        <v/>
      </c>
      <c r="L100">
        <f>Scenario_Data!J100-(((SQRT((Inputs!$C$52+(Inputs!$H$8))^2+Inputs!$C$52^2-2*(Inputs!$C$52+(Inputs!$H$8))*Inputs!$C$52*COS(SQRT((Scenario_Data!V100)^2+Inputs!$C$6^2)/Inputs!$C$52)))-(Inputs!$H$8))*1000/Inputs!$C$12)</f>
        <v/>
      </c>
      <c r="M100">
        <f>Scenario_Data!K100-(((SQRT((Inputs!$C$52+(Inputs!$H$9))^2+Inputs!$C$52^2-2*(Inputs!$C$52+(Inputs!$H$9))*Inputs!$C$52*COS(SQRT((Scenario_Data!W100)^2+Inputs!$C$6^2)/Inputs!$C$52)))-(Inputs!$H$9))*1000/Inputs!$C$12)</f>
        <v/>
      </c>
      <c r="O100">
        <f>Scenario_Data!T100</f>
        <v/>
      </c>
      <c r="P100">
        <f>2*(Scenario_Data!B100*1000)/Inputs!$C$21*1000000</f>
        <v/>
      </c>
      <c r="Q100">
        <f>Scenario_Data!U100</f>
        <v/>
      </c>
      <c r="R100">
        <f>2*(Scenario_Data!C100*1000)/Inputs!$C$21*1000000</f>
        <v/>
      </c>
      <c r="S100">
        <f>Scenario_Data!V100</f>
        <v/>
      </c>
      <c r="T100">
        <f>2*(Scenario_Data!D100*1000)/Inputs!$C$21*1000000</f>
        <v/>
      </c>
      <c r="U100">
        <f>Scenario_Data!W100</f>
        <v/>
      </c>
      <c r="V100">
        <f>2*(Scenario_Data!E100*1000)/Inputs!$C$21*1000000</f>
        <v/>
      </c>
      <c r="X100">
        <f>Scenario_Data!T100</f>
        <v/>
      </c>
      <c r="Y100">
        <f>2*((Scenario_Data!B100*1000)-(IF(OR(Inputs!$C$27=TRUE,Inputs!$C$27="TRUE",Inputs!$C$27=1),1,0)*(Inputs!$C$51*(115*EXP(-(((0)-25)^2)/(4.5^2))+70*EXP(-(((0)+38)^2)/(7^2))*(0.55+0.45*SIN(2*PI()*(Scenario_Data!T100)/45))+24*SIN(2*PI()*(0)/9+(Scenario_Data!T100)/18)*EXP(-(((0)+5)^2)/(22^2))+18*SIN(2*PI()*(Scenario_Data!T100)/70))+Inputs!$C$28*EXP(-(((Scenario_Data!T100)-Inputs!$C$29)^2)/(2*Inputs!$C$31^2))*EXP(-(((0)-Inputs!$C$30)^2)/(2*Inputs!$C$32^2))+-Inputs!$C$33*EXP(-(((((Scenario_Data!T100)-Inputs!$C$34)^2)+(((0)-Inputs!$C$35)^2))/(2*Inputs!$C$36^2)))+Inputs!$C$37*(0.55*SIN(2*PI()*(Scenario_Data!T100)/Inputs!$C$39)+0.35*COS(2*PI()*(0)/Inputs!$C$40)+0.2*SIN(2*PI()*((Scenario_Data!T100)+(0))/(0.5*(Inputs!$C$39+Inputs!$C$40))))+Inputs!$C$38*SIN(2*PI()*(Scenario_Data!T100)/Inputs!$C$39)*SIN(2*PI()*(0)/Inputs!$C$40)+-Inputs!$C$41*EXP(-(((0)-Inputs!$C$43)^2)/(2*Inputs!$C$44^2))*EXP(-(((Scenario_Data!T100)-Inputs!$C$42)^2)/(2*Inputs!$C$45^2))+Inputs!$C$48*(0.7*(0.45*SIN(2*PI()*(((Scenario_Data!T100)/Inputs!$C$49)+Inputs!$C$47*0.137))+0.35*COS(2*PI()*(((0)/Inputs!$C$50)+Inputs!$C$47*0.173))+0.2*SIN(2*PI()*((((Scenario_Data!T100)+(0))/(0.5*(Inputs!$C$49+Inputs!$C$50)))+Inputs!$C$47*0.097)))+0.3*(2*((SIN(((Scenario_Data!T100)*12.9898+(0)*78.233+Inputs!$C$47*37.719))*43758.5453)-INT((SIN(((Scenario_Data!T100)*12.9898+(0)*78.233+Inputs!$C$47*37.719))*43758.5453)))-1)))))/Inputs!$C$21*1000000</f>
        <v/>
      </c>
      <c r="Z100">
        <f>Scenario_Data!U100</f>
        <v/>
      </c>
      <c r="AA100">
        <f>2*((Scenario_Data!C100*1000)-(IF(OR(Inputs!$C$27=TRUE,Inputs!$C$27="TRUE",Inputs!$C$27=1),1,0)*(Inputs!$C$51*(115*EXP(-(((0)-25)^2)/(4.5^2))+70*EXP(-(((0)+38)^2)/(7^2))*(0.55+0.45*SIN(2*PI()*(Scenario_Data!U100)/45))+24*SIN(2*PI()*(0)/9+(Scenario_Data!U100)/18)*EXP(-(((0)+5)^2)/(22^2))+18*SIN(2*PI()*(Scenario_Data!U100)/70))+Inputs!$C$28*EXP(-(((Scenario_Data!U100)-Inputs!$C$29)^2)/(2*Inputs!$C$31^2))*EXP(-(((0)-Inputs!$C$30)^2)/(2*Inputs!$C$32^2))+-Inputs!$C$33*EXP(-(((((Scenario_Data!U100)-Inputs!$C$34)^2)+(((0)-Inputs!$C$35)^2))/(2*Inputs!$C$36^2)))+Inputs!$C$37*(0.55*SIN(2*PI()*(Scenario_Data!U100)/Inputs!$C$39)+0.35*COS(2*PI()*(0)/Inputs!$C$40)+0.2*SIN(2*PI()*((Scenario_Data!U100)+(0))/(0.5*(Inputs!$C$39+Inputs!$C$40))))+Inputs!$C$38*SIN(2*PI()*(Scenario_Data!U100)/Inputs!$C$39)*SIN(2*PI()*(0)/Inputs!$C$40)+-Inputs!$C$41*EXP(-(((0)-Inputs!$C$43)^2)/(2*Inputs!$C$44^2))*EXP(-(((Scenario_Data!U100)-Inputs!$C$42)^2)/(2*Inputs!$C$45^2))+Inputs!$C$48*(0.7*(0.45*SIN(2*PI()*(((Scenario_Data!U100)/Inputs!$C$49)+Inputs!$C$47*0.137))+0.35*COS(2*PI()*(((0)/Inputs!$C$50)+Inputs!$C$47*0.173))+0.2*SIN(2*PI()*((((Scenario_Data!U100)+(0))/(0.5*(Inputs!$C$49+Inputs!$C$50)))+Inputs!$C$47*0.097)))+0.3*(2*((SIN(((Scenario_Data!U100)*12.9898+(0)*78.233+Inputs!$C$47*37.719))*43758.5453)-INT((SIN(((Scenario_Data!U100)*12.9898+(0)*78.233+Inputs!$C$47*37.719))*43758.5453)))-1)))))/Inputs!$C$21*1000000</f>
        <v/>
      </c>
      <c r="AB100">
        <f>Scenario_Data!V100</f>
        <v/>
      </c>
      <c r="AC100">
        <f>2*((Scenario_Data!D100*1000)-(IF(OR(Inputs!$C$27=TRUE,Inputs!$C$27="TRUE",Inputs!$C$27=1),1,0)*(Inputs!$C$51*(115*EXP(-(((0)-25)^2)/(4.5^2))+70*EXP(-(((0)+38)^2)/(7^2))*(0.55+0.45*SIN(2*PI()*(Scenario_Data!V100)/45))+24*SIN(2*PI()*(0)/9+(Scenario_Data!V100)/18)*EXP(-(((0)+5)^2)/(22^2))+18*SIN(2*PI()*(Scenario_Data!V100)/70))+Inputs!$C$28*EXP(-(((Scenario_Data!V100)-Inputs!$C$29)^2)/(2*Inputs!$C$31^2))*EXP(-(((0)-Inputs!$C$30)^2)/(2*Inputs!$C$32^2))+-Inputs!$C$33*EXP(-(((((Scenario_Data!V100)-Inputs!$C$34)^2)+(((0)-Inputs!$C$35)^2))/(2*Inputs!$C$36^2)))+Inputs!$C$37*(0.55*SIN(2*PI()*(Scenario_Data!V100)/Inputs!$C$39)+0.35*COS(2*PI()*(0)/Inputs!$C$40)+0.2*SIN(2*PI()*((Scenario_Data!V100)+(0))/(0.5*(Inputs!$C$39+Inputs!$C$40))))+Inputs!$C$38*SIN(2*PI()*(Scenario_Data!V100)/Inputs!$C$39)*SIN(2*PI()*(0)/Inputs!$C$40)+-Inputs!$C$41*EXP(-(((0)-Inputs!$C$43)^2)/(2*Inputs!$C$44^2))*EXP(-(((Scenario_Data!V100)-Inputs!$C$42)^2)/(2*Inputs!$C$45^2))+Inputs!$C$48*(0.7*(0.45*SIN(2*PI()*(((Scenario_Data!V100)/Inputs!$C$49)+Inputs!$C$47*0.137))+0.35*COS(2*PI()*(((0)/Inputs!$C$50)+Inputs!$C$47*0.173))+0.2*SIN(2*PI()*((((Scenario_Data!V100)+(0))/(0.5*(Inputs!$C$49+Inputs!$C$50)))+Inputs!$C$47*0.097)))+0.3*(2*((SIN(((Scenario_Data!V100)*12.9898+(0)*78.233+Inputs!$C$47*37.719))*43758.5453)-INT((SIN(((Scenario_Data!V100)*12.9898+(0)*78.233+Inputs!$C$47*37.719))*43758.5453)))-1)))))/Inputs!$C$21*1000000</f>
        <v/>
      </c>
      <c r="AD100">
        <f>Scenario_Data!W100</f>
        <v/>
      </c>
      <c r="AE100">
        <f>2*((Scenario_Data!E100*1000)-(IF(OR(Inputs!$C$27=TRUE,Inputs!$C$27="TRUE",Inputs!$C$27=1),1,0)*(Inputs!$C$51*(115*EXP(-(((0)-25)^2)/(4.5^2))+70*EXP(-(((0)+38)^2)/(7^2))*(0.55+0.45*SIN(2*PI()*(Scenario_Data!W100)/45))+24*SIN(2*PI()*(0)/9+(Scenario_Data!W100)/18)*EXP(-(((0)+5)^2)/(22^2))+18*SIN(2*PI()*(Scenario_Data!W100)/70))+Inputs!$C$28*EXP(-(((Scenario_Data!W100)-Inputs!$C$29)^2)/(2*Inputs!$C$31^2))*EXP(-(((0)-Inputs!$C$30)^2)/(2*Inputs!$C$32^2))+-Inputs!$C$33*EXP(-(((((Scenario_Data!W100)-Inputs!$C$34)^2)+(((0)-Inputs!$C$35)^2))/(2*Inputs!$C$36^2)))+Inputs!$C$37*(0.55*SIN(2*PI()*(Scenario_Data!W100)/Inputs!$C$39)+0.35*COS(2*PI()*(0)/Inputs!$C$40)+0.2*SIN(2*PI()*((Scenario_Data!W100)+(0))/(0.5*(Inputs!$C$39+Inputs!$C$40))))+Inputs!$C$38*SIN(2*PI()*(Scenario_Data!W100)/Inputs!$C$39)*SIN(2*PI()*(0)/Inputs!$C$40)+-Inputs!$C$41*EXP(-(((0)-Inputs!$C$43)^2)/(2*Inputs!$C$44^2))*EXP(-(((Scenario_Data!W100)-Inputs!$C$42)^2)/(2*Inputs!$C$45^2))+Inputs!$C$48*(0.7*(0.45*SIN(2*PI()*(((Scenario_Data!W100)/Inputs!$C$49)+Inputs!$C$47*0.137))+0.35*COS(2*PI()*(((0)/Inputs!$C$50)+Inputs!$C$47*0.173))+0.2*SIN(2*PI()*((((Scenario_Data!W100)+(0))/(0.5*(Inputs!$C$49+Inputs!$C$50)))+Inputs!$C$47*0.097)))+0.3*(2*((SIN(((Scenario_Data!W100)*12.9898+(0)*78.233+Inputs!$C$47*37.719))*43758.5453)-INT((SIN(((Scenario_Data!W100)*12.9898+(0)*78.233+Inputs!$C$47*37.719))*43758.5453)))-1)))))/Inputs!$C$21*1000000</f>
        <v/>
      </c>
      <c r="AG100">
        <f>Scenario_Data!T100</f>
        <v/>
      </c>
      <c r="AH100">
        <f>2*(SQRT((Inputs!$C$52+(Scenario_Data!B100))^2+Inputs!$C$52^2-2*(Inputs!$C$52+(Scenario_Data!B100))*Inputs!$C$52*COS(SQRT((Scenario_Data!T100)^2+Inputs!$C$6^2)/Inputs!$C$52))*1000)/Inputs!$C$21*1000000</f>
        <v/>
      </c>
      <c r="AI100">
        <f>Scenario_Data!U100</f>
        <v/>
      </c>
      <c r="AJ100">
        <f>2*(SQRT((Inputs!$C$52+(Scenario_Data!C100))^2+Inputs!$C$52^2-2*(Inputs!$C$52+(Scenario_Data!C100))*Inputs!$C$52*COS(SQRT((Scenario_Data!U100)^2+Inputs!$C$6^2)/Inputs!$C$52))*1000)/Inputs!$C$21*1000000</f>
        <v/>
      </c>
      <c r="AK100">
        <f>Scenario_Data!V100</f>
        <v/>
      </c>
      <c r="AL100">
        <f>2*(SQRT((Inputs!$C$52+(Scenario_Data!D100))^2+Inputs!$C$52^2-2*(Inputs!$C$52+(Scenario_Data!D100))*Inputs!$C$52*COS(SQRT((Scenario_Data!V100)^2+Inputs!$C$6^2)/Inputs!$C$52))*1000)/Inputs!$C$21*1000000</f>
        <v/>
      </c>
      <c r="AM100">
        <f>Scenario_Data!W100</f>
        <v/>
      </c>
      <c r="AN100">
        <f>2*(SQRT((Inputs!$C$52+(Scenario_Data!E100))^2+Inputs!$C$52^2-2*(Inputs!$C$52+(Scenario_Data!E100))*Inputs!$C$52*COS(SQRT((Scenario_Data!W100)^2+Inputs!$C$6^2)/Inputs!$C$52))*1000)/Inputs!$C$21*1000000</f>
        <v/>
      </c>
      <c r="AP100">
        <f>Scenario_Data!T100</f>
        <v/>
      </c>
      <c r="AQ100">
        <f>2*(SQRT((Inputs!$C$52+(Scenario_Data!B100))^2+(Inputs!$C$52+((IF(OR(Inputs!$C$27=TRUE,Inputs!$C$27="TRUE",Inputs!$C$27=1),1,0)*(Inputs!$C$51*(115*EXP(-(((Inputs!$C$6)-25)^2)/(4.5^2))+70*EXP(-(((Inputs!$C$6)+38)^2)/(7^2))*(0.55+0.45*SIN(2*PI()*(Scenario_Data!T100)/45))+24*SIN(2*PI()*(Inputs!$C$6)/9+(Scenario_Data!T100)/18)*EXP(-(((Inputs!$C$6)+5)^2)/(22^2))+18*SIN(2*PI()*(Scenario_Data!T100)/70))+Inputs!$C$28*EXP(-(((Scenario_Data!T100)-Inputs!$C$29)^2)/(2*Inputs!$C$31^2))*EXP(-(((Inputs!$C$6)-Inputs!$C$30)^2)/(2*Inputs!$C$32^2))+-Inputs!$C$33*EXP(-(((((Scenario_Data!T100)-Inputs!$C$34)^2)+(((Inputs!$C$6)-Inputs!$C$35)^2))/(2*Inputs!$C$36^2)))+Inputs!$C$37*(0.55*SIN(2*PI()*(Scenario_Data!T100)/Inputs!$C$39)+0.35*COS(2*PI()*(Inputs!$C$6)/Inputs!$C$40)+0.2*SIN(2*PI()*((Scenario_Data!T100)+(Inputs!$C$6))/(0.5*(Inputs!$C$39+Inputs!$C$40))))+Inputs!$C$38*SIN(2*PI()*(Scenario_Data!T100)/Inputs!$C$39)*SIN(2*PI()*(Inputs!$C$6)/Inputs!$C$40)+-Inputs!$C$41*EXP(-(((Inputs!$C$6)-Inputs!$C$43)^2)/(2*Inputs!$C$44^2))*EXP(-(((Scenario_Data!T100)-Inputs!$C$42)^2)/(2*Inputs!$C$45^2))+Inputs!$C$48*(0.7*(0.45*SIN(2*PI()*(((Scenario_Data!T100)/Inputs!$C$49)+Inputs!$C$47*0.137))+0.35*COS(2*PI()*(((Inputs!$C$6)/Inputs!$C$50)+Inputs!$C$47*0.173))+0.2*SIN(2*PI()*((((Scenario_Data!T100)+(Inputs!$C$6))/(0.5*(Inputs!$C$49+Inputs!$C$50)))+Inputs!$C$47*0.097)))+0.3*(2*((SIN(((Scenario_Data!T100)*12.9898+(Inputs!$C$6)*78.233+Inputs!$C$47*37.719))*43758.5453)-INT((SIN(((Scenario_Data!T100)*12.9898+(Inputs!$C$6)*78.233+Inputs!$C$47*37.719))*43758.5453)))-1))))/1000))^2-2*(Inputs!$C$52+(Scenario_Data!B100))*(Inputs!$C$52+((IF(OR(Inputs!$C$27=TRUE,Inputs!$C$27="TRUE",Inputs!$C$27=1),1,0)*(Inputs!$C$51*(115*EXP(-(((Inputs!$C$6)-25)^2)/(4.5^2))+70*EXP(-(((Inputs!$C$6)+38)^2)/(7^2))*(0.55+0.45*SIN(2*PI()*(Scenario_Data!T100)/45))+24*SIN(2*PI()*(Inputs!$C$6)/9+(Scenario_Data!T100)/18)*EXP(-(((Inputs!$C$6)+5)^2)/(22^2))+18*SIN(2*PI()*(Scenario_Data!T100)/70))+Inputs!$C$28*EXP(-(((Scenario_Data!T100)-Inputs!$C$29)^2)/(2*Inputs!$C$31^2))*EXP(-(((Inputs!$C$6)-Inputs!$C$30)^2)/(2*Inputs!$C$32^2))+-Inputs!$C$33*EXP(-(((((Scenario_Data!T100)-Inputs!$C$34)^2)+(((Inputs!$C$6)-Inputs!$C$35)^2))/(2*Inputs!$C$36^2)))+Inputs!$C$37*(0.55*SIN(2*PI()*(Scenario_Data!T100)/Inputs!$C$39)+0.35*COS(2*PI()*(Inputs!$C$6)/Inputs!$C$40)+0.2*SIN(2*PI()*((Scenario_Data!T100)+(Inputs!$C$6))/(0.5*(Inputs!$C$39+Inputs!$C$40))))+Inputs!$C$38*SIN(2*PI()*(Scenario_Data!T100)/Inputs!$C$39)*SIN(2*PI()*(Inputs!$C$6)/Inputs!$C$40)+-Inputs!$C$41*EXP(-(((Inputs!$C$6)-Inputs!$C$43)^2)/(2*Inputs!$C$44^2))*EXP(-(((Scenario_Data!T100)-Inputs!$C$42)^2)/(2*Inputs!$C$45^2))+Inputs!$C$48*(0.7*(0.45*SIN(2*PI()*(((Scenario_Data!T100)/Inputs!$C$49)+Inputs!$C$47*0.137))+0.35*COS(2*PI()*(((Inputs!$C$6)/Inputs!$C$50)+Inputs!$C$47*0.173))+0.2*SIN(2*PI()*((((Scenario_Data!T100)+(Inputs!$C$6))/(0.5*(Inputs!$C$49+Inputs!$C$50)))+Inputs!$C$47*0.097)))+0.3*(2*((SIN(((Scenario_Data!T100)*12.9898+(Inputs!$C$6)*78.233+Inputs!$C$47*37.719))*43758.5453)-INT((SIN(((Scenario_Data!T100)*12.9898+(Inputs!$C$6)*78.233+Inputs!$C$47*37.719))*43758.5453)))-1))))/1000))*COS(SQRT((Scenario_Data!T100)^2+Inputs!$C$6^2)/Inputs!$C$52))*1000)/Inputs!$C$21*1000000</f>
        <v/>
      </c>
      <c r="AR100">
        <f>Scenario_Data!U100</f>
        <v/>
      </c>
      <c r="AS100">
        <f>2*(SQRT((Inputs!$C$52+(Scenario_Data!C100))^2+(Inputs!$C$52+((IF(OR(Inputs!$C$27=TRUE,Inputs!$C$27="TRUE",Inputs!$C$27=1),1,0)*(Inputs!$C$51*(115*EXP(-(((Inputs!$C$6)-25)^2)/(4.5^2))+70*EXP(-(((Inputs!$C$6)+38)^2)/(7^2))*(0.55+0.45*SIN(2*PI()*(Scenario_Data!U100)/45))+24*SIN(2*PI()*(Inputs!$C$6)/9+(Scenario_Data!U100)/18)*EXP(-(((Inputs!$C$6)+5)^2)/(22^2))+18*SIN(2*PI()*(Scenario_Data!U100)/70))+Inputs!$C$28*EXP(-(((Scenario_Data!U100)-Inputs!$C$29)^2)/(2*Inputs!$C$31^2))*EXP(-(((Inputs!$C$6)-Inputs!$C$30)^2)/(2*Inputs!$C$32^2))+-Inputs!$C$33*EXP(-(((((Scenario_Data!U100)-Inputs!$C$34)^2)+(((Inputs!$C$6)-Inputs!$C$35)^2))/(2*Inputs!$C$36^2)))+Inputs!$C$37*(0.55*SIN(2*PI()*(Scenario_Data!U100)/Inputs!$C$39)+0.35*COS(2*PI()*(Inputs!$C$6)/Inputs!$C$40)+0.2*SIN(2*PI()*((Scenario_Data!U100)+(Inputs!$C$6))/(0.5*(Inputs!$C$39+Inputs!$C$40))))+Inputs!$C$38*SIN(2*PI()*(Scenario_Data!U100)/Inputs!$C$39)*SIN(2*PI()*(Inputs!$C$6)/Inputs!$C$40)+-Inputs!$C$41*EXP(-(((Inputs!$C$6)-Inputs!$C$43)^2)/(2*Inputs!$C$44^2))*EXP(-(((Scenario_Data!U100)-Inputs!$C$42)^2)/(2*Inputs!$C$45^2))+Inputs!$C$48*(0.7*(0.45*SIN(2*PI()*(((Scenario_Data!U100)/Inputs!$C$49)+Inputs!$C$47*0.137))+0.35*COS(2*PI()*(((Inputs!$C$6)/Inputs!$C$50)+Inputs!$C$47*0.173))+0.2*SIN(2*PI()*((((Scenario_Data!U100)+(Inputs!$C$6))/(0.5*(Inputs!$C$49+Inputs!$C$50)))+Inputs!$C$47*0.097)))+0.3*(2*((SIN(((Scenario_Data!U100)*12.9898+(Inputs!$C$6)*78.233+Inputs!$C$47*37.719))*43758.5453)-INT((SIN(((Scenario_Data!U100)*12.9898+(Inputs!$C$6)*78.233+Inputs!$C$47*37.719))*43758.5453)))-1))))/1000))^2-2*(Inputs!$C$52+(Scenario_Data!C100))*(Inputs!$C$52+((IF(OR(Inputs!$C$27=TRUE,Inputs!$C$27="TRUE",Inputs!$C$27=1),1,0)*(Inputs!$C$51*(115*EXP(-(((Inputs!$C$6)-25)^2)/(4.5^2))+70*EXP(-(((Inputs!$C$6)+38)^2)/(7^2))*(0.55+0.45*SIN(2*PI()*(Scenario_Data!U100)/45))+24*SIN(2*PI()*(Inputs!$C$6)/9+(Scenario_Data!U100)/18)*EXP(-(((Inputs!$C$6)+5)^2)/(22^2))+18*SIN(2*PI()*(Scenario_Data!U100)/70))+Inputs!$C$28*EXP(-(((Scenario_Data!U100)-Inputs!$C$29)^2)/(2*Inputs!$C$31^2))*EXP(-(((Inputs!$C$6)-Inputs!$C$30)^2)/(2*Inputs!$C$32^2))+-Inputs!$C$33*EXP(-(((((Scenario_Data!U100)-Inputs!$C$34)^2)+(((Inputs!$C$6)-Inputs!$C$35)^2))/(2*Inputs!$C$36^2)))+Inputs!$C$37*(0.55*SIN(2*PI()*(Scenario_Data!U100)/Inputs!$C$39)+0.35*COS(2*PI()*(Inputs!$C$6)/Inputs!$C$40)+0.2*SIN(2*PI()*((Scenario_Data!U100)+(Inputs!$C$6))/(0.5*(Inputs!$C$39+Inputs!$C$40))))+Inputs!$C$38*SIN(2*PI()*(Scenario_Data!U100)/Inputs!$C$39)*SIN(2*PI()*(Inputs!$C$6)/Inputs!$C$40)+-Inputs!$C$41*EXP(-(((Inputs!$C$6)-Inputs!$C$43)^2)/(2*Inputs!$C$44^2))*EXP(-(((Scenario_Data!U100)-Inputs!$C$42)^2)/(2*Inputs!$C$45^2))+Inputs!$C$48*(0.7*(0.45*SIN(2*PI()*(((Scenario_Data!U100)/Inputs!$C$49)+Inputs!$C$47*0.137))+0.35*COS(2*PI()*(((Inputs!$C$6)/Inputs!$C$50)+Inputs!$C$47*0.173))+0.2*SIN(2*PI()*((((Scenario_Data!U100)+(Inputs!$C$6))/(0.5*(Inputs!$C$49+Inputs!$C$50)))+Inputs!$C$47*0.097)))+0.3*(2*((SIN(((Scenario_Data!U100)*12.9898+(Inputs!$C$6)*78.233+Inputs!$C$47*37.719))*43758.5453)-INT((SIN(((Scenario_Data!U100)*12.9898+(Inputs!$C$6)*78.233+Inputs!$C$47*37.719))*43758.5453)))-1))))/1000))*COS(SQRT((Scenario_Data!U100)^2+Inputs!$C$6^2)/Inputs!$C$52))*1000)/Inputs!$C$21*1000000</f>
        <v/>
      </c>
      <c r="AT100">
        <f>Scenario_Data!V100</f>
        <v/>
      </c>
      <c r="AU100">
        <f>2*(SQRT((Inputs!$C$52+(Scenario_Data!D100))^2+(Inputs!$C$52+((IF(OR(Inputs!$C$27=TRUE,Inputs!$C$27="TRUE",Inputs!$C$27=1),1,0)*(Inputs!$C$51*(115*EXP(-(((Inputs!$C$6)-25)^2)/(4.5^2))+70*EXP(-(((Inputs!$C$6)+38)^2)/(7^2))*(0.55+0.45*SIN(2*PI()*(Scenario_Data!V100)/45))+24*SIN(2*PI()*(Inputs!$C$6)/9+(Scenario_Data!V100)/18)*EXP(-(((Inputs!$C$6)+5)^2)/(22^2))+18*SIN(2*PI()*(Scenario_Data!V100)/70))+Inputs!$C$28*EXP(-(((Scenario_Data!V100)-Inputs!$C$29)^2)/(2*Inputs!$C$31^2))*EXP(-(((Inputs!$C$6)-Inputs!$C$30)^2)/(2*Inputs!$C$32^2))+-Inputs!$C$33*EXP(-(((((Scenario_Data!V100)-Inputs!$C$34)^2)+(((Inputs!$C$6)-Inputs!$C$35)^2))/(2*Inputs!$C$36^2)))+Inputs!$C$37*(0.55*SIN(2*PI()*(Scenario_Data!V100)/Inputs!$C$39)+0.35*COS(2*PI()*(Inputs!$C$6)/Inputs!$C$40)+0.2*SIN(2*PI()*((Scenario_Data!V100)+(Inputs!$C$6))/(0.5*(Inputs!$C$39+Inputs!$C$40))))+Inputs!$C$38*SIN(2*PI()*(Scenario_Data!V100)/Inputs!$C$39)*SIN(2*PI()*(Inputs!$C$6)/Inputs!$C$40)+-Inputs!$C$41*EXP(-(((Inputs!$C$6)-Inputs!$C$43)^2)/(2*Inputs!$C$44^2))*EXP(-(((Scenario_Data!V100)-Inputs!$C$42)^2)/(2*Inputs!$C$45^2))+Inputs!$C$48*(0.7*(0.45*SIN(2*PI()*(((Scenario_Data!V100)/Inputs!$C$49)+Inputs!$C$47*0.137))+0.35*COS(2*PI()*(((Inputs!$C$6)/Inputs!$C$50)+Inputs!$C$47*0.173))+0.2*SIN(2*PI()*((((Scenario_Data!V100)+(Inputs!$C$6))/(0.5*(Inputs!$C$49+Inputs!$C$50)))+Inputs!$C$47*0.097)))+0.3*(2*((SIN(((Scenario_Data!V100)*12.9898+(Inputs!$C$6)*78.233+Inputs!$C$47*37.719))*43758.5453)-INT((SIN(((Scenario_Data!V100)*12.9898+(Inputs!$C$6)*78.233+Inputs!$C$47*37.719))*43758.5453)))-1))))/1000))^2-2*(Inputs!$C$52+(Scenario_Data!D100))*(Inputs!$C$52+((IF(OR(Inputs!$C$27=TRUE,Inputs!$C$27="TRUE",Inputs!$C$27=1),1,0)*(Inputs!$C$51*(115*EXP(-(((Inputs!$C$6)-25)^2)/(4.5^2))+70*EXP(-(((Inputs!$C$6)+38)^2)/(7^2))*(0.55+0.45*SIN(2*PI()*(Scenario_Data!V100)/45))+24*SIN(2*PI()*(Inputs!$C$6)/9+(Scenario_Data!V100)/18)*EXP(-(((Inputs!$C$6)+5)^2)/(22^2))+18*SIN(2*PI()*(Scenario_Data!V100)/70))+Inputs!$C$28*EXP(-(((Scenario_Data!V100)-Inputs!$C$29)^2)/(2*Inputs!$C$31^2))*EXP(-(((Inputs!$C$6)-Inputs!$C$30)^2)/(2*Inputs!$C$32^2))+-Inputs!$C$33*EXP(-(((((Scenario_Data!V100)-Inputs!$C$34)^2)+(((Inputs!$C$6)-Inputs!$C$35)^2))/(2*Inputs!$C$36^2)))+Inputs!$C$37*(0.55*SIN(2*PI()*(Scenario_Data!V100)/Inputs!$C$39)+0.35*COS(2*PI()*(Inputs!$C$6)/Inputs!$C$40)+0.2*SIN(2*PI()*((Scenario_Data!V100)+(Inputs!$C$6))/(0.5*(Inputs!$C$39+Inputs!$C$40))))+Inputs!$C$38*SIN(2*PI()*(Scenario_Data!V100)/Inputs!$C$39)*SIN(2*PI()*(Inputs!$C$6)/Inputs!$C$40)+-Inputs!$C$41*EXP(-(((Inputs!$C$6)-Inputs!$C$43)^2)/(2*Inputs!$C$44^2))*EXP(-(((Scenario_Data!V100)-Inputs!$C$42)^2)/(2*Inputs!$C$45^2))+Inputs!$C$48*(0.7*(0.45*SIN(2*PI()*(((Scenario_Data!V100)/Inputs!$C$49)+Inputs!$C$47*0.137))+0.35*COS(2*PI()*(((Inputs!$C$6)/Inputs!$C$50)+Inputs!$C$47*0.173))+0.2*SIN(2*PI()*((((Scenario_Data!V100)+(Inputs!$C$6))/(0.5*(Inputs!$C$49+Inputs!$C$50)))+Inputs!$C$47*0.097)))+0.3*(2*((SIN(((Scenario_Data!V100)*12.9898+(Inputs!$C$6)*78.233+Inputs!$C$47*37.719))*43758.5453)-INT((SIN(((Scenario_Data!V100)*12.9898+(Inputs!$C$6)*78.233+Inputs!$C$47*37.719))*43758.5453)))-1))))/1000))*COS(SQRT((Scenario_Data!V100)^2+Inputs!$C$6^2)/Inputs!$C$52))*1000)/Inputs!$C$21*1000000</f>
        <v/>
      </c>
      <c r="AV100">
        <f>Scenario_Data!W100</f>
        <v/>
      </c>
      <c r="AW100">
        <f>2*(SQRT((Inputs!$C$52+(Scenario_Data!E100))^2+(Inputs!$C$52+((IF(OR(Inputs!$C$27=TRUE,Inputs!$C$27="TRUE",Inputs!$C$27=1),1,0)*(Inputs!$C$51*(115*EXP(-(((Inputs!$C$6)-25)^2)/(4.5^2))+70*EXP(-(((Inputs!$C$6)+38)^2)/(7^2))*(0.55+0.45*SIN(2*PI()*(Scenario_Data!W100)/45))+24*SIN(2*PI()*(Inputs!$C$6)/9+(Scenario_Data!W100)/18)*EXP(-(((Inputs!$C$6)+5)^2)/(22^2))+18*SIN(2*PI()*(Scenario_Data!W100)/70))+Inputs!$C$28*EXP(-(((Scenario_Data!W100)-Inputs!$C$29)^2)/(2*Inputs!$C$31^2))*EXP(-(((Inputs!$C$6)-Inputs!$C$30)^2)/(2*Inputs!$C$32^2))+-Inputs!$C$33*EXP(-(((((Scenario_Data!W100)-Inputs!$C$34)^2)+(((Inputs!$C$6)-Inputs!$C$35)^2))/(2*Inputs!$C$36^2)))+Inputs!$C$37*(0.55*SIN(2*PI()*(Scenario_Data!W100)/Inputs!$C$39)+0.35*COS(2*PI()*(Inputs!$C$6)/Inputs!$C$40)+0.2*SIN(2*PI()*((Scenario_Data!W100)+(Inputs!$C$6))/(0.5*(Inputs!$C$39+Inputs!$C$40))))+Inputs!$C$38*SIN(2*PI()*(Scenario_Data!W100)/Inputs!$C$39)*SIN(2*PI()*(Inputs!$C$6)/Inputs!$C$40)+-Inputs!$C$41*EXP(-(((Inputs!$C$6)-Inputs!$C$43)^2)/(2*Inputs!$C$44^2))*EXP(-(((Scenario_Data!W100)-Inputs!$C$42)^2)/(2*Inputs!$C$45^2))+Inputs!$C$48*(0.7*(0.45*SIN(2*PI()*(((Scenario_Data!W100)/Inputs!$C$49)+Inputs!$C$47*0.137))+0.35*COS(2*PI()*(((Inputs!$C$6)/Inputs!$C$50)+Inputs!$C$47*0.173))+0.2*SIN(2*PI()*((((Scenario_Data!W100)+(Inputs!$C$6))/(0.5*(Inputs!$C$49+Inputs!$C$50)))+Inputs!$C$47*0.097)))+0.3*(2*((SIN(((Scenario_Data!W100)*12.9898+(Inputs!$C$6)*78.233+Inputs!$C$47*37.719))*43758.5453)-INT((SIN(((Scenario_Data!W100)*12.9898+(Inputs!$C$6)*78.233+Inputs!$C$47*37.719))*43758.5453)))-1))))/1000))^2-2*(Inputs!$C$52+(Scenario_Data!E100))*(Inputs!$C$52+((IF(OR(Inputs!$C$27=TRUE,Inputs!$C$27="TRUE",Inputs!$C$27=1),1,0)*(Inputs!$C$51*(115*EXP(-(((Inputs!$C$6)-25)^2)/(4.5^2))+70*EXP(-(((Inputs!$C$6)+38)^2)/(7^2))*(0.55+0.45*SIN(2*PI()*(Scenario_Data!W100)/45))+24*SIN(2*PI()*(Inputs!$C$6)/9+(Scenario_Data!W100)/18)*EXP(-(((Inputs!$C$6)+5)^2)/(22^2))+18*SIN(2*PI()*(Scenario_Data!W100)/70))+Inputs!$C$28*EXP(-(((Scenario_Data!W100)-Inputs!$C$29)^2)/(2*Inputs!$C$31^2))*EXP(-(((Inputs!$C$6)-Inputs!$C$30)^2)/(2*Inputs!$C$32^2))+-Inputs!$C$33*EXP(-(((((Scenario_Data!W100)-Inputs!$C$34)^2)+(((Inputs!$C$6)-Inputs!$C$35)^2))/(2*Inputs!$C$36^2)))+Inputs!$C$37*(0.55*SIN(2*PI()*(Scenario_Data!W100)/Inputs!$C$39)+0.35*COS(2*PI()*(Inputs!$C$6)/Inputs!$C$40)+0.2*SIN(2*PI()*((Scenario_Data!W100)+(Inputs!$C$6))/(0.5*(Inputs!$C$39+Inputs!$C$40))))+Inputs!$C$38*SIN(2*PI()*(Scenario_Data!W100)/Inputs!$C$39)*SIN(2*PI()*(Inputs!$C$6)/Inputs!$C$40)+-Inputs!$C$41*EXP(-(((Inputs!$C$6)-Inputs!$C$43)^2)/(2*Inputs!$C$44^2))*EXP(-(((Scenario_Data!W100)-Inputs!$C$42)^2)/(2*Inputs!$C$45^2))+Inputs!$C$48*(0.7*(0.45*SIN(2*PI()*(((Scenario_Data!W100)/Inputs!$C$49)+Inputs!$C$47*0.137))+0.35*COS(2*PI()*(((Inputs!$C$6)/Inputs!$C$50)+Inputs!$C$47*0.173))+0.2*SIN(2*PI()*((((Scenario_Data!W100)+(Inputs!$C$6))/(0.5*(Inputs!$C$49+Inputs!$C$50)))+Inputs!$C$47*0.097)))+0.3*(2*((SIN(((Scenario_Data!W100)*12.9898+(Inputs!$C$6)*78.233+Inputs!$C$47*37.719))*43758.5453)-INT((SIN(((Scenario_Data!W100)*12.9898+(Inputs!$C$6)*78.233+Inputs!$C$47*37.719))*43758.5453)))-1))))/1000))*COS(SQRT((Scenario_Data!W100)^2+Inputs!$C$6^2)/Inputs!$C$52))*1000)/Inputs!$C$21*1000000</f>
        <v/>
      </c>
    </row>
    <row r="101">
      <c r="A101">
        <f>Chart_Data!K101</f>
        <v/>
      </c>
      <c r="B101">
        <f>Chart_Data!N101-Chart_Data!L101</f>
        <v/>
      </c>
      <c r="D101">
        <f>Chart_Data!G101</f>
        <v/>
      </c>
      <c r="E101">
        <f>Chart_Data!H101</f>
        <v/>
      </c>
      <c r="F101">
        <f>Chart_Data!I101</f>
        <v/>
      </c>
      <c r="G101">
        <f>Chart_Data!J101</f>
        <v/>
      </c>
      <c r="I101">
        <f>Scenario_Data!A101</f>
        <v/>
      </c>
      <c r="J101">
        <f>Scenario_Data!H101-(((SQRT((Inputs!$C$52+(Inputs!$H$6))^2+Inputs!$C$52^2-2*(Inputs!$C$52+(Inputs!$H$6))*Inputs!$C$52*COS(SQRT((Scenario_Data!T101)^2+Inputs!$C$6^2)/Inputs!$C$52)))-(Inputs!$H$6))*1000/Inputs!$C$12)</f>
        <v/>
      </c>
      <c r="K101">
        <f>Scenario_Data!I101-(((SQRT((Inputs!$C$52+(Inputs!$H$7))^2+Inputs!$C$52^2-2*(Inputs!$C$52+(Inputs!$H$7))*Inputs!$C$52*COS(SQRT((Scenario_Data!U101)^2+Inputs!$C$6^2)/Inputs!$C$52)))-(Inputs!$H$7))*1000/Inputs!$C$12)</f>
        <v/>
      </c>
      <c r="L101">
        <f>Scenario_Data!J101-(((SQRT((Inputs!$C$52+(Inputs!$H$8))^2+Inputs!$C$52^2-2*(Inputs!$C$52+(Inputs!$H$8))*Inputs!$C$52*COS(SQRT((Scenario_Data!V101)^2+Inputs!$C$6^2)/Inputs!$C$52)))-(Inputs!$H$8))*1000/Inputs!$C$12)</f>
        <v/>
      </c>
      <c r="M101">
        <f>Scenario_Data!K101-(((SQRT((Inputs!$C$52+(Inputs!$H$9))^2+Inputs!$C$52^2-2*(Inputs!$C$52+(Inputs!$H$9))*Inputs!$C$52*COS(SQRT((Scenario_Data!W101)^2+Inputs!$C$6^2)/Inputs!$C$52)))-(Inputs!$H$9))*1000/Inputs!$C$12)</f>
        <v/>
      </c>
      <c r="O101">
        <f>Scenario_Data!T101</f>
        <v/>
      </c>
      <c r="P101">
        <f>2*(Scenario_Data!B101*1000)/Inputs!$C$21*1000000</f>
        <v/>
      </c>
      <c r="Q101">
        <f>Scenario_Data!U101</f>
        <v/>
      </c>
      <c r="R101">
        <f>2*(Scenario_Data!C101*1000)/Inputs!$C$21*1000000</f>
        <v/>
      </c>
      <c r="S101">
        <f>Scenario_Data!V101</f>
        <v/>
      </c>
      <c r="T101">
        <f>2*(Scenario_Data!D101*1000)/Inputs!$C$21*1000000</f>
        <v/>
      </c>
      <c r="U101">
        <f>Scenario_Data!W101</f>
        <v/>
      </c>
      <c r="V101">
        <f>2*(Scenario_Data!E101*1000)/Inputs!$C$21*1000000</f>
        <v/>
      </c>
      <c r="X101">
        <f>Scenario_Data!T101</f>
        <v/>
      </c>
      <c r="Y101">
        <f>2*((Scenario_Data!B101*1000)-(IF(OR(Inputs!$C$27=TRUE,Inputs!$C$27="TRUE",Inputs!$C$27=1),1,0)*(Inputs!$C$51*(115*EXP(-(((0)-25)^2)/(4.5^2))+70*EXP(-(((0)+38)^2)/(7^2))*(0.55+0.45*SIN(2*PI()*(Scenario_Data!T101)/45))+24*SIN(2*PI()*(0)/9+(Scenario_Data!T101)/18)*EXP(-(((0)+5)^2)/(22^2))+18*SIN(2*PI()*(Scenario_Data!T101)/70))+Inputs!$C$28*EXP(-(((Scenario_Data!T101)-Inputs!$C$29)^2)/(2*Inputs!$C$31^2))*EXP(-(((0)-Inputs!$C$30)^2)/(2*Inputs!$C$32^2))+-Inputs!$C$33*EXP(-(((((Scenario_Data!T101)-Inputs!$C$34)^2)+(((0)-Inputs!$C$35)^2))/(2*Inputs!$C$36^2)))+Inputs!$C$37*(0.55*SIN(2*PI()*(Scenario_Data!T101)/Inputs!$C$39)+0.35*COS(2*PI()*(0)/Inputs!$C$40)+0.2*SIN(2*PI()*((Scenario_Data!T101)+(0))/(0.5*(Inputs!$C$39+Inputs!$C$40))))+Inputs!$C$38*SIN(2*PI()*(Scenario_Data!T101)/Inputs!$C$39)*SIN(2*PI()*(0)/Inputs!$C$40)+-Inputs!$C$41*EXP(-(((0)-Inputs!$C$43)^2)/(2*Inputs!$C$44^2))*EXP(-(((Scenario_Data!T101)-Inputs!$C$42)^2)/(2*Inputs!$C$45^2))+Inputs!$C$48*(0.7*(0.45*SIN(2*PI()*(((Scenario_Data!T101)/Inputs!$C$49)+Inputs!$C$47*0.137))+0.35*COS(2*PI()*(((0)/Inputs!$C$50)+Inputs!$C$47*0.173))+0.2*SIN(2*PI()*((((Scenario_Data!T101)+(0))/(0.5*(Inputs!$C$49+Inputs!$C$50)))+Inputs!$C$47*0.097)))+0.3*(2*((SIN(((Scenario_Data!T101)*12.9898+(0)*78.233+Inputs!$C$47*37.719))*43758.5453)-INT((SIN(((Scenario_Data!T101)*12.9898+(0)*78.233+Inputs!$C$47*37.719))*43758.5453)))-1)))))/Inputs!$C$21*1000000</f>
        <v/>
      </c>
      <c r="Z101">
        <f>Scenario_Data!U101</f>
        <v/>
      </c>
      <c r="AA101">
        <f>2*((Scenario_Data!C101*1000)-(IF(OR(Inputs!$C$27=TRUE,Inputs!$C$27="TRUE",Inputs!$C$27=1),1,0)*(Inputs!$C$51*(115*EXP(-(((0)-25)^2)/(4.5^2))+70*EXP(-(((0)+38)^2)/(7^2))*(0.55+0.45*SIN(2*PI()*(Scenario_Data!U101)/45))+24*SIN(2*PI()*(0)/9+(Scenario_Data!U101)/18)*EXP(-(((0)+5)^2)/(22^2))+18*SIN(2*PI()*(Scenario_Data!U101)/70))+Inputs!$C$28*EXP(-(((Scenario_Data!U101)-Inputs!$C$29)^2)/(2*Inputs!$C$31^2))*EXP(-(((0)-Inputs!$C$30)^2)/(2*Inputs!$C$32^2))+-Inputs!$C$33*EXP(-(((((Scenario_Data!U101)-Inputs!$C$34)^2)+(((0)-Inputs!$C$35)^2))/(2*Inputs!$C$36^2)))+Inputs!$C$37*(0.55*SIN(2*PI()*(Scenario_Data!U101)/Inputs!$C$39)+0.35*COS(2*PI()*(0)/Inputs!$C$40)+0.2*SIN(2*PI()*((Scenario_Data!U101)+(0))/(0.5*(Inputs!$C$39+Inputs!$C$40))))+Inputs!$C$38*SIN(2*PI()*(Scenario_Data!U101)/Inputs!$C$39)*SIN(2*PI()*(0)/Inputs!$C$40)+-Inputs!$C$41*EXP(-(((0)-Inputs!$C$43)^2)/(2*Inputs!$C$44^2))*EXP(-(((Scenario_Data!U101)-Inputs!$C$42)^2)/(2*Inputs!$C$45^2))+Inputs!$C$48*(0.7*(0.45*SIN(2*PI()*(((Scenario_Data!U101)/Inputs!$C$49)+Inputs!$C$47*0.137))+0.35*COS(2*PI()*(((0)/Inputs!$C$50)+Inputs!$C$47*0.173))+0.2*SIN(2*PI()*((((Scenario_Data!U101)+(0))/(0.5*(Inputs!$C$49+Inputs!$C$50)))+Inputs!$C$47*0.097)))+0.3*(2*((SIN(((Scenario_Data!U101)*12.9898+(0)*78.233+Inputs!$C$47*37.719))*43758.5453)-INT((SIN(((Scenario_Data!U101)*12.9898+(0)*78.233+Inputs!$C$47*37.719))*43758.5453)))-1)))))/Inputs!$C$21*1000000</f>
        <v/>
      </c>
      <c r="AB101">
        <f>Scenario_Data!V101</f>
        <v/>
      </c>
      <c r="AC101">
        <f>2*((Scenario_Data!D101*1000)-(IF(OR(Inputs!$C$27=TRUE,Inputs!$C$27="TRUE",Inputs!$C$27=1),1,0)*(Inputs!$C$51*(115*EXP(-(((0)-25)^2)/(4.5^2))+70*EXP(-(((0)+38)^2)/(7^2))*(0.55+0.45*SIN(2*PI()*(Scenario_Data!V101)/45))+24*SIN(2*PI()*(0)/9+(Scenario_Data!V101)/18)*EXP(-(((0)+5)^2)/(22^2))+18*SIN(2*PI()*(Scenario_Data!V101)/70))+Inputs!$C$28*EXP(-(((Scenario_Data!V101)-Inputs!$C$29)^2)/(2*Inputs!$C$31^2))*EXP(-(((0)-Inputs!$C$30)^2)/(2*Inputs!$C$32^2))+-Inputs!$C$33*EXP(-(((((Scenario_Data!V101)-Inputs!$C$34)^2)+(((0)-Inputs!$C$35)^2))/(2*Inputs!$C$36^2)))+Inputs!$C$37*(0.55*SIN(2*PI()*(Scenario_Data!V101)/Inputs!$C$39)+0.35*COS(2*PI()*(0)/Inputs!$C$40)+0.2*SIN(2*PI()*((Scenario_Data!V101)+(0))/(0.5*(Inputs!$C$39+Inputs!$C$40))))+Inputs!$C$38*SIN(2*PI()*(Scenario_Data!V101)/Inputs!$C$39)*SIN(2*PI()*(0)/Inputs!$C$40)+-Inputs!$C$41*EXP(-(((0)-Inputs!$C$43)^2)/(2*Inputs!$C$44^2))*EXP(-(((Scenario_Data!V101)-Inputs!$C$42)^2)/(2*Inputs!$C$45^2))+Inputs!$C$48*(0.7*(0.45*SIN(2*PI()*(((Scenario_Data!V101)/Inputs!$C$49)+Inputs!$C$47*0.137))+0.35*COS(2*PI()*(((0)/Inputs!$C$50)+Inputs!$C$47*0.173))+0.2*SIN(2*PI()*((((Scenario_Data!V101)+(0))/(0.5*(Inputs!$C$49+Inputs!$C$50)))+Inputs!$C$47*0.097)))+0.3*(2*((SIN(((Scenario_Data!V101)*12.9898+(0)*78.233+Inputs!$C$47*37.719))*43758.5453)-INT((SIN(((Scenario_Data!V101)*12.9898+(0)*78.233+Inputs!$C$47*37.719))*43758.5453)))-1)))))/Inputs!$C$21*1000000</f>
        <v/>
      </c>
      <c r="AD101">
        <f>Scenario_Data!W101</f>
        <v/>
      </c>
      <c r="AE101">
        <f>2*((Scenario_Data!E101*1000)-(IF(OR(Inputs!$C$27=TRUE,Inputs!$C$27="TRUE",Inputs!$C$27=1),1,0)*(Inputs!$C$51*(115*EXP(-(((0)-25)^2)/(4.5^2))+70*EXP(-(((0)+38)^2)/(7^2))*(0.55+0.45*SIN(2*PI()*(Scenario_Data!W101)/45))+24*SIN(2*PI()*(0)/9+(Scenario_Data!W101)/18)*EXP(-(((0)+5)^2)/(22^2))+18*SIN(2*PI()*(Scenario_Data!W101)/70))+Inputs!$C$28*EXP(-(((Scenario_Data!W101)-Inputs!$C$29)^2)/(2*Inputs!$C$31^2))*EXP(-(((0)-Inputs!$C$30)^2)/(2*Inputs!$C$32^2))+-Inputs!$C$33*EXP(-(((((Scenario_Data!W101)-Inputs!$C$34)^2)+(((0)-Inputs!$C$35)^2))/(2*Inputs!$C$36^2)))+Inputs!$C$37*(0.55*SIN(2*PI()*(Scenario_Data!W101)/Inputs!$C$39)+0.35*COS(2*PI()*(0)/Inputs!$C$40)+0.2*SIN(2*PI()*((Scenario_Data!W101)+(0))/(0.5*(Inputs!$C$39+Inputs!$C$40))))+Inputs!$C$38*SIN(2*PI()*(Scenario_Data!W101)/Inputs!$C$39)*SIN(2*PI()*(0)/Inputs!$C$40)+-Inputs!$C$41*EXP(-(((0)-Inputs!$C$43)^2)/(2*Inputs!$C$44^2))*EXP(-(((Scenario_Data!W101)-Inputs!$C$42)^2)/(2*Inputs!$C$45^2))+Inputs!$C$48*(0.7*(0.45*SIN(2*PI()*(((Scenario_Data!W101)/Inputs!$C$49)+Inputs!$C$47*0.137))+0.35*COS(2*PI()*(((0)/Inputs!$C$50)+Inputs!$C$47*0.173))+0.2*SIN(2*PI()*((((Scenario_Data!W101)+(0))/(0.5*(Inputs!$C$49+Inputs!$C$50)))+Inputs!$C$47*0.097)))+0.3*(2*((SIN(((Scenario_Data!W101)*12.9898+(0)*78.233+Inputs!$C$47*37.719))*43758.5453)-INT((SIN(((Scenario_Data!W101)*12.9898+(0)*78.233+Inputs!$C$47*37.719))*43758.5453)))-1)))))/Inputs!$C$21*1000000</f>
        <v/>
      </c>
      <c r="AG101">
        <f>Scenario_Data!T101</f>
        <v/>
      </c>
      <c r="AH101">
        <f>2*(SQRT((Inputs!$C$52+(Scenario_Data!B101))^2+Inputs!$C$52^2-2*(Inputs!$C$52+(Scenario_Data!B101))*Inputs!$C$52*COS(SQRT((Scenario_Data!T101)^2+Inputs!$C$6^2)/Inputs!$C$52))*1000)/Inputs!$C$21*1000000</f>
        <v/>
      </c>
      <c r="AI101">
        <f>Scenario_Data!U101</f>
        <v/>
      </c>
      <c r="AJ101">
        <f>2*(SQRT((Inputs!$C$52+(Scenario_Data!C101))^2+Inputs!$C$52^2-2*(Inputs!$C$52+(Scenario_Data!C101))*Inputs!$C$52*COS(SQRT((Scenario_Data!U101)^2+Inputs!$C$6^2)/Inputs!$C$52))*1000)/Inputs!$C$21*1000000</f>
        <v/>
      </c>
      <c r="AK101">
        <f>Scenario_Data!V101</f>
        <v/>
      </c>
      <c r="AL101">
        <f>2*(SQRT((Inputs!$C$52+(Scenario_Data!D101))^2+Inputs!$C$52^2-2*(Inputs!$C$52+(Scenario_Data!D101))*Inputs!$C$52*COS(SQRT((Scenario_Data!V101)^2+Inputs!$C$6^2)/Inputs!$C$52))*1000)/Inputs!$C$21*1000000</f>
        <v/>
      </c>
      <c r="AM101">
        <f>Scenario_Data!W101</f>
        <v/>
      </c>
      <c r="AN101">
        <f>2*(SQRT((Inputs!$C$52+(Scenario_Data!E101))^2+Inputs!$C$52^2-2*(Inputs!$C$52+(Scenario_Data!E101))*Inputs!$C$52*COS(SQRT((Scenario_Data!W101)^2+Inputs!$C$6^2)/Inputs!$C$52))*1000)/Inputs!$C$21*1000000</f>
        <v/>
      </c>
      <c r="AP101">
        <f>Scenario_Data!T101</f>
        <v/>
      </c>
      <c r="AQ101">
        <f>2*(SQRT((Inputs!$C$52+(Scenario_Data!B101))^2+(Inputs!$C$52+((IF(OR(Inputs!$C$27=TRUE,Inputs!$C$27="TRUE",Inputs!$C$27=1),1,0)*(Inputs!$C$51*(115*EXP(-(((Inputs!$C$6)-25)^2)/(4.5^2))+70*EXP(-(((Inputs!$C$6)+38)^2)/(7^2))*(0.55+0.45*SIN(2*PI()*(Scenario_Data!T101)/45))+24*SIN(2*PI()*(Inputs!$C$6)/9+(Scenario_Data!T101)/18)*EXP(-(((Inputs!$C$6)+5)^2)/(22^2))+18*SIN(2*PI()*(Scenario_Data!T101)/70))+Inputs!$C$28*EXP(-(((Scenario_Data!T101)-Inputs!$C$29)^2)/(2*Inputs!$C$31^2))*EXP(-(((Inputs!$C$6)-Inputs!$C$30)^2)/(2*Inputs!$C$32^2))+-Inputs!$C$33*EXP(-(((((Scenario_Data!T101)-Inputs!$C$34)^2)+(((Inputs!$C$6)-Inputs!$C$35)^2))/(2*Inputs!$C$36^2)))+Inputs!$C$37*(0.55*SIN(2*PI()*(Scenario_Data!T101)/Inputs!$C$39)+0.35*COS(2*PI()*(Inputs!$C$6)/Inputs!$C$40)+0.2*SIN(2*PI()*((Scenario_Data!T101)+(Inputs!$C$6))/(0.5*(Inputs!$C$39+Inputs!$C$40))))+Inputs!$C$38*SIN(2*PI()*(Scenario_Data!T101)/Inputs!$C$39)*SIN(2*PI()*(Inputs!$C$6)/Inputs!$C$40)+-Inputs!$C$41*EXP(-(((Inputs!$C$6)-Inputs!$C$43)^2)/(2*Inputs!$C$44^2))*EXP(-(((Scenario_Data!T101)-Inputs!$C$42)^2)/(2*Inputs!$C$45^2))+Inputs!$C$48*(0.7*(0.45*SIN(2*PI()*(((Scenario_Data!T101)/Inputs!$C$49)+Inputs!$C$47*0.137))+0.35*COS(2*PI()*(((Inputs!$C$6)/Inputs!$C$50)+Inputs!$C$47*0.173))+0.2*SIN(2*PI()*((((Scenario_Data!T101)+(Inputs!$C$6))/(0.5*(Inputs!$C$49+Inputs!$C$50)))+Inputs!$C$47*0.097)))+0.3*(2*((SIN(((Scenario_Data!T101)*12.9898+(Inputs!$C$6)*78.233+Inputs!$C$47*37.719))*43758.5453)-INT((SIN(((Scenario_Data!T101)*12.9898+(Inputs!$C$6)*78.233+Inputs!$C$47*37.719))*43758.5453)))-1))))/1000))^2-2*(Inputs!$C$52+(Scenario_Data!B101))*(Inputs!$C$52+((IF(OR(Inputs!$C$27=TRUE,Inputs!$C$27="TRUE",Inputs!$C$27=1),1,0)*(Inputs!$C$51*(115*EXP(-(((Inputs!$C$6)-25)^2)/(4.5^2))+70*EXP(-(((Inputs!$C$6)+38)^2)/(7^2))*(0.55+0.45*SIN(2*PI()*(Scenario_Data!T101)/45))+24*SIN(2*PI()*(Inputs!$C$6)/9+(Scenario_Data!T101)/18)*EXP(-(((Inputs!$C$6)+5)^2)/(22^2))+18*SIN(2*PI()*(Scenario_Data!T101)/70))+Inputs!$C$28*EXP(-(((Scenario_Data!T101)-Inputs!$C$29)^2)/(2*Inputs!$C$31^2))*EXP(-(((Inputs!$C$6)-Inputs!$C$30)^2)/(2*Inputs!$C$32^2))+-Inputs!$C$33*EXP(-(((((Scenario_Data!T101)-Inputs!$C$34)^2)+(((Inputs!$C$6)-Inputs!$C$35)^2))/(2*Inputs!$C$36^2)))+Inputs!$C$37*(0.55*SIN(2*PI()*(Scenario_Data!T101)/Inputs!$C$39)+0.35*COS(2*PI()*(Inputs!$C$6)/Inputs!$C$40)+0.2*SIN(2*PI()*((Scenario_Data!T101)+(Inputs!$C$6))/(0.5*(Inputs!$C$39+Inputs!$C$40))))+Inputs!$C$38*SIN(2*PI()*(Scenario_Data!T101)/Inputs!$C$39)*SIN(2*PI()*(Inputs!$C$6)/Inputs!$C$40)+-Inputs!$C$41*EXP(-(((Inputs!$C$6)-Inputs!$C$43)^2)/(2*Inputs!$C$44^2))*EXP(-(((Scenario_Data!T101)-Inputs!$C$42)^2)/(2*Inputs!$C$45^2))+Inputs!$C$48*(0.7*(0.45*SIN(2*PI()*(((Scenario_Data!T101)/Inputs!$C$49)+Inputs!$C$47*0.137))+0.35*COS(2*PI()*(((Inputs!$C$6)/Inputs!$C$50)+Inputs!$C$47*0.173))+0.2*SIN(2*PI()*((((Scenario_Data!T101)+(Inputs!$C$6))/(0.5*(Inputs!$C$49+Inputs!$C$50)))+Inputs!$C$47*0.097)))+0.3*(2*((SIN(((Scenario_Data!T101)*12.9898+(Inputs!$C$6)*78.233+Inputs!$C$47*37.719))*43758.5453)-INT((SIN(((Scenario_Data!T101)*12.9898+(Inputs!$C$6)*78.233+Inputs!$C$47*37.719))*43758.5453)))-1))))/1000))*COS(SQRT((Scenario_Data!T101)^2+Inputs!$C$6^2)/Inputs!$C$52))*1000)/Inputs!$C$21*1000000</f>
        <v/>
      </c>
      <c r="AR101">
        <f>Scenario_Data!U101</f>
        <v/>
      </c>
      <c r="AS101">
        <f>2*(SQRT((Inputs!$C$52+(Scenario_Data!C101))^2+(Inputs!$C$52+((IF(OR(Inputs!$C$27=TRUE,Inputs!$C$27="TRUE",Inputs!$C$27=1),1,0)*(Inputs!$C$51*(115*EXP(-(((Inputs!$C$6)-25)^2)/(4.5^2))+70*EXP(-(((Inputs!$C$6)+38)^2)/(7^2))*(0.55+0.45*SIN(2*PI()*(Scenario_Data!U101)/45))+24*SIN(2*PI()*(Inputs!$C$6)/9+(Scenario_Data!U101)/18)*EXP(-(((Inputs!$C$6)+5)^2)/(22^2))+18*SIN(2*PI()*(Scenario_Data!U101)/70))+Inputs!$C$28*EXP(-(((Scenario_Data!U101)-Inputs!$C$29)^2)/(2*Inputs!$C$31^2))*EXP(-(((Inputs!$C$6)-Inputs!$C$30)^2)/(2*Inputs!$C$32^2))+-Inputs!$C$33*EXP(-(((((Scenario_Data!U101)-Inputs!$C$34)^2)+(((Inputs!$C$6)-Inputs!$C$35)^2))/(2*Inputs!$C$36^2)))+Inputs!$C$37*(0.55*SIN(2*PI()*(Scenario_Data!U101)/Inputs!$C$39)+0.35*COS(2*PI()*(Inputs!$C$6)/Inputs!$C$40)+0.2*SIN(2*PI()*((Scenario_Data!U101)+(Inputs!$C$6))/(0.5*(Inputs!$C$39+Inputs!$C$40))))+Inputs!$C$38*SIN(2*PI()*(Scenario_Data!U101)/Inputs!$C$39)*SIN(2*PI()*(Inputs!$C$6)/Inputs!$C$40)+-Inputs!$C$41*EXP(-(((Inputs!$C$6)-Inputs!$C$43)^2)/(2*Inputs!$C$44^2))*EXP(-(((Scenario_Data!U101)-Inputs!$C$42)^2)/(2*Inputs!$C$45^2))+Inputs!$C$48*(0.7*(0.45*SIN(2*PI()*(((Scenario_Data!U101)/Inputs!$C$49)+Inputs!$C$47*0.137))+0.35*COS(2*PI()*(((Inputs!$C$6)/Inputs!$C$50)+Inputs!$C$47*0.173))+0.2*SIN(2*PI()*((((Scenario_Data!U101)+(Inputs!$C$6))/(0.5*(Inputs!$C$49+Inputs!$C$50)))+Inputs!$C$47*0.097)))+0.3*(2*((SIN(((Scenario_Data!U101)*12.9898+(Inputs!$C$6)*78.233+Inputs!$C$47*37.719))*43758.5453)-INT((SIN(((Scenario_Data!U101)*12.9898+(Inputs!$C$6)*78.233+Inputs!$C$47*37.719))*43758.5453)))-1))))/1000))^2-2*(Inputs!$C$52+(Scenario_Data!C101))*(Inputs!$C$52+((IF(OR(Inputs!$C$27=TRUE,Inputs!$C$27="TRUE",Inputs!$C$27=1),1,0)*(Inputs!$C$51*(115*EXP(-(((Inputs!$C$6)-25)^2)/(4.5^2))+70*EXP(-(((Inputs!$C$6)+38)^2)/(7^2))*(0.55+0.45*SIN(2*PI()*(Scenario_Data!U101)/45))+24*SIN(2*PI()*(Inputs!$C$6)/9+(Scenario_Data!U101)/18)*EXP(-(((Inputs!$C$6)+5)^2)/(22^2))+18*SIN(2*PI()*(Scenario_Data!U101)/70))+Inputs!$C$28*EXP(-(((Scenario_Data!U101)-Inputs!$C$29)^2)/(2*Inputs!$C$31^2))*EXP(-(((Inputs!$C$6)-Inputs!$C$30)^2)/(2*Inputs!$C$32^2))+-Inputs!$C$33*EXP(-(((((Scenario_Data!U101)-Inputs!$C$34)^2)+(((Inputs!$C$6)-Inputs!$C$35)^2))/(2*Inputs!$C$36^2)))+Inputs!$C$37*(0.55*SIN(2*PI()*(Scenario_Data!U101)/Inputs!$C$39)+0.35*COS(2*PI()*(Inputs!$C$6)/Inputs!$C$40)+0.2*SIN(2*PI()*((Scenario_Data!U101)+(Inputs!$C$6))/(0.5*(Inputs!$C$39+Inputs!$C$40))))+Inputs!$C$38*SIN(2*PI()*(Scenario_Data!U101)/Inputs!$C$39)*SIN(2*PI()*(Inputs!$C$6)/Inputs!$C$40)+-Inputs!$C$41*EXP(-(((Inputs!$C$6)-Inputs!$C$43)^2)/(2*Inputs!$C$44^2))*EXP(-(((Scenario_Data!U101)-Inputs!$C$42)^2)/(2*Inputs!$C$45^2))+Inputs!$C$48*(0.7*(0.45*SIN(2*PI()*(((Scenario_Data!U101)/Inputs!$C$49)+Inputs!$C$47*0.137))+0.35*COS(2*PI()*(((Inputs!$C$6)/Inputs!$C$50)+Inputs!$C$47*0.173))+0.2*SIN(2*PI()*((((Scenario_Data!U101)+(Inputs!$C$6))/(0.5*(Inputs!$C$49+Inputs!$C$50)))+Inputs!$C$47*0.097)))+0.3*(2*((SIN(((Scenario_Data!U101)*12.9898+(Inputs!$C$6)*78.233+Inputs!$C$47*37.719))*43758.5453)-INT((SIN(((Scenario_Data!U101)*12.9898+(Inputs!$C$6)*78.233+Inputs!$C$47*37.719))*43758.5453)))-1))))/1000))*COS(SQRT((Scenario_Data!U101)^2+Inputs!$C$6^2)/Inputs!$C$52))*1000)/Inputs!$C$21*1000000</f>
        <v/>
      </c>
      <c r="AT101">
        <f>Scenario_Data!V101</f>
        <v/>
      </c>
      <c r="AU101">
        <f>2*(SQRT((Inputs!$C$52+(Scenario_Data!D101))^2+(Inputs!$C$52+((IF(OR(Inputs!$C$27=TRUE,Inputs!$C$27="TRUE",Inputs!$C$27=1),1,0)*(Inputs!$C$51*(115*EXP(-(((Inputs!$C$6)-25)^2)/(4.5^2))+70*EXP(-(((Inputs!$C$6)+38)^2)/(7^2))*(0.55+0.45*SIN(2*PI()*(Scenario_Data!V101)/45))+24*SIN(2*PI()*(Inputs!$C$6)/9+(Scenario_Data!V101)/18)*EXP(-(((Inputs!$C$6)+5)^2)/(22^2))+18*SIN(2*PI()*(Scenario_Data!V101)/70))+Inputs!$C$28*EXP(-(((Scenario_Data!V101)-Inputs!$C$29)^2)/(2*Inputs!$C$31^2))*EXP(-(((Inputs!$C$6)-Inputs!$C$30)^2)/(2*Inputs!$C$32^2))+-Inputs!$C$33*EXP(-(((((Scenario_Data!V101)-Inputs!$C$34)^2)+(((Inputs!$C$6)-Inputs!$C$35)^2))/(2*Inputs!$C$36^2)))+Inputs!$C$37*(0.55*SIN(2*PI()*(Scenario_Data!V101)/Inputs!$C$39)+0.35*COS(2*PI()*(Inputs!$C$6)/Inputs!$C$40)+0.2*SIN(2*PI()*((Scenario_Data!V101)+(Inputs!$C$6))/(0.5*(Inputs!$C$39+Inputs!$C$40))))+Inputs!$C$38*SIN(2*PI()*(Scenario_Data!V101)/Inputs!$C$39)*SIN(2*PI()*(Inputs!$C$6)/Inputs!$C$40)+-Inputs!$C$41*EXP(-(((Inputs!$C$6)-Inputs!$C$43)^2)/(2*Inputs!$C$44^2))*EXP(-(((Scenario_Data!V101)-Inputs!$C$42)^2)/(2*Inputs!$C$45^2))+Inputs!$C$48*(0.7*(0.45*SIN(2*PI()*(((Scenario_Data!V101)/Inputs!$C$49)+Inputs!$C$47*0.137))+0.35*COS(2*PI()*(((Inputs!$C$6)/Inputs!$C$50)+Inputs!$C$47*0.173))+0.2*SIN(2*PI()*((((Scenario_Data!V101)+(Inputs!$C$6))/(0.5*(Inputs!$C$49+Inputs!$C$50)))+Inputs!$C$47*0.097)))+0.3*(2*((SIN(((Scenario_Data!V101)*12.9898+(Inputs!$C$6)*78.233+Inputs!$C$47*37.719))*43758.5453)-INT((SIN(((Scenario_Data!V101)*12.9898+(Inputs!$C$6)*78.233+Inputs!$C$47*37.719))*43758.5453)))-1))))/1000))^2-2*(Inputs!$C$52+(Scenario_Data!D101))*(Inputs!$C$52+((IF(OR(Inputs!$C$27=TRUE,Inputs!$C$27="TRUE",Inputs!$C$27=1),1,0)*(Inputs!$C$51*(115*EXP(-(((Inputs!$C$6)-25)^2)/(4.5^2))+70*EXP(-(((Inputs!$C$6)+38)^2)/(7^2))*(0.55+0.45*SIN(2*PI()*(Scenario_Data!V101)/45))+24*SIN(2*PI()*(Inputs!$C$6)/9+(Scenario_Data!V101)/18)*EXP(-(((Inputs!$C$6)+5)^2)/(22^2))+18*SIN(2*PI()*(Scenario_Data!V101)/70))+Inputs!$C$28*EXP(-(((Scenario_Data!V101)-Inputs!$C$29)^2)/(2*Inputs!$C$31^2))*EXP(-(((Inputs!$C$6)-Inputs!$C$30)^2)/(2*Inputs!$C$32^2))+-Inputs!$C$33*EXP(-(((((Scenario_Data!V101)-Inputs!$C$34)^2)+(((Inputs!$C$6)-Inputs!$C$35)^2))/(2*Inputs!$C$36^2)))+Inputs!$C$37*(0.55*SIN(2*PI()*(Scenario_Data!V101)/Inputs!$C$39)+0.35*COS(2*PI()*(Inputs!$C$6)/Inputs!$C$40)+0.2*SIN(2*PI()*((Scenario_Data!V101)+(Inputs!$C$6))/(0.5*(Inputs!$C$39+Inputs!$C$40))))+Inputs!$C$38*SIN(2*PI()*(Scenario_Data!V101)/Inputs!$C$39)*SIN(2*PI()*(Inputs!$C$6)/Inputs!$C$40)+-Inputs!$C$41*EXP(-(((Inputs!$C$6)-Inputs!$C$43)^2)/(2*Inputs!$C$44^2))*EXP(-(((Scenario_Data!V101)-Inputs!$C$42)^2)/(2*Inputs!$C$45^2))+Inputs!$C$48*(0.7*(0.45*SIN(2*PI()*(((Scenario_Data!V101)/Inputs!$C$49)+Inputs!$C$47*0.137))+0.35*COS(2*PI()*(((Inputs!$C$6)/Inputs!$C$50)+Inputs!$C$47*0.173))+0.2*SIN(2*PI()*((((Scenario_Data!V101)+(Inputs!$C$6))/(0.5*(Inputs!$C$49+Inputs!$C$50)))+Inputs!$C$47*0.097)))+0.3*(2*((SIN(((Scenario_Data!V101)*12.9898+(Inputs!$C$6)*78.233+Inputs!$C$47*37.719))*43758.5453)-INT((SIN(((Scenario_Data!V101)*12.9898+(Inputs!$C$6)*78.233+Inputs!$C$47*37.719))*43758.5453)))-1))))/1000))*COS(SQRT((Scenario_Data!V101)^2+Inputs!$C$6^2)/Inputs!$C$52))*1000)/Inputs!$C$21*1000000</f>
        <v/>
      </c>
      <c r="AV101">
        <f>Scenario_Data!W101</f>
        <v/>
      </c>
      <c r="AW101">
        <f>2*(SQRT((Inputs!$C$52+(Scenario_Data!E101))^2+(Inputs!$C$52+((IF(OR(Inputs!$C$27=TRUE,Inputs!$C$27="TRUE",Inputs!$C$27=1),1,0)*(Inputs!$C$51*(115*EXP(-(((Inputs!$C$6)-25)^2)/(4.5^2))+70*EXP(-(((Inputs!$C$6)+38)^2)/(7^2))*(0.55+0.45*SIN(2*PI()*(Scenario_Data!W101)/45))+24*SIN(2*PI()*(Inputs!$C$6)/9+(Scenario_Data!W101)/18)*EXP(-(((Inputs!$C$6)+5)^2)/(22^2))+18*SIN(2*PI()*(Scenario_Data!W101)/70))+Inputs!$C$28*EXP(-(((Scenario_Data!W101)-Inputs!$C$29)^2)/(2*Inputs!$C$31^2))*EXP(-(((Inputs!$C$6)-Inputs!$C$30)^2)/(2*Inputs!$C$32^2))+-Inputs!$C$33*EXP(-(((((Scenario_Data!W101)-Inputs!$C$34)^2)+(((Inputs!$C$6)-Inputs!$C$35)^2))/(2*Inputs!$C$36^2)))+Inputs!$C$37*(0.55*SIN(2*PI()*(Scenario_Data!W101)/Inputs!$C$39)+0.35*COS(2*PI()*(Inputs!$C$6)/Inputs!$C$40)+0.2*SIN(2*PI()*((Scenario_Data!W101)+(Inputs!$C$6))/(0.5*(Inputs!$C$39+Inputs!$C$40))))+Inputs!$C$38*SIN(2*PI()*(Scenario_Data!W101)/Inputs!$C$39)*SIN(2*PI()*(Inputs!$C$6)/Inputs!$C$40)+-Inputs!$C$41*EXP(-(((Inputs!$C$6)-Inputs!$C$43)^2)/(2*Inputs!$C$44^2))*EXP(-(((Scenario_Data!W101)-Inputs!$C$42)^2)/(2*Inputs!$C$45^2))+Inputs!$C$48*(0.7*(0.45*SIN(2*PI()*(((Scenario_Data!W101)/Inputs!$C$49)+Inputs!$C$47*0.137))+0.35*COS(2*PI()*(((Inputs!$C$6)/Inputs!$C$50)+Inputs!$C$47*0.173))+0.2*SIN(2*PI()*((((Scenario_Data!W101)+(Inputs!$C$6))/(0.5*(Inputs!$C$49+Inputs!$C$50)))+Inputs!$C$47*0.097)))+0.3*(2*((SIN(((Scenario_Data!W101)*12.9898+(Inputs!$C$6)*78.233+Inputs!$C$47*37.719))*43758.5453)-INT((SIN(((Scenario_Data!W101)*12.9898+(Inputs!$C$6)*78.233+Inputs!$C$47*37.719))*43758.5453)))-1))))/1000))^2-2*(Inputs!$C$52+(Scenario_Data!E101))*(Inputs!$C$52+((IF(OR(Inputs!$C$27=TRUE,Inputs!$C$27="TRUE",Inputs!$C$27=1),1,0)*(Inputs!$C$51*(115*EXP(-(((Inputs!$C$6)-25)^2)/(4.5^2))+70*EXP(-(((Inputs!$C$6)+38)^2)/(7^2))*(0.55+0.45*SIN(2*PI()*(Scenario_Data!W101)/45))+24*SIN(2*PI()*(Inputs!$C$6)/9+(Scenario_Data!W101)/18)*EXP(-(((Inputs!$C$6)+5)^2)/(22^2))+18*SIN(2*PI()*(Scenario_Data!W101)/70))+Inputs!$C$28*EXP(-(((Scenario_Data!W101)-Inputs!$C$29)^2)/(2*Inputs!$C$31^2))*EXP(-(((Inputs!$C$6)-Inputs!$C$30)^2)/(2*Inputs!$C$32^2))+-Inputs!$C$33*EXP(-(((((Scenario_Data!W101)-Inputs!$C$34)^2)+(((Inputs!$C$6)-Inputs!$C$35)^2))/(2*Inputs!$C$36^2)))+Inputs!$C$37*(0.55*SIN(2*PI()*(Scenario_Data!W101)/Inputs!$C$39)+0.35*COS(2*PI()*(Inputs!$C$6)/Inputs!$C$40)+0.2*SIN(2*PI()*((Scenario_Data!W101)+(Inputs!$C$6))/(0.5*(Inputs!$C$39+Inputs!$C$40))))+Inputs!$C$38*SIN(2*PI()*(Scenario_Data!W101)/Inputs!$C$39)*SIN(2*PI()*(Inputs!$C$6)/Inputs!$C$40)+-Inputs!$C$41*EXP(-(((Inputs!$C$6)-Inputs!$C$43)^2)/(2*Inputs!$C$44^2))*EXP(-(((Scenario_Data!W101)-Inputs!$C$42)^2)/(2*Inputs!$C$45^2))+Inputs!$C$48*(0.7*(0.45*SIN(2*PI()*(((Scenario_Data!W101)/Inputs!$C$49)+Inputs!$C$47*0.137))+0.35*COS(2*PI()*(((Inputs!$C$6)/Inputs!$C$50)+Inputs!$C$47*0.173))+0.2*SIN(2*PI()*((((Scenario_Data!W101)+(Inputs!$C$6))/(0.5*(Inputs!$C$49+Inputs!$C$50)))+Inputs!$C$47*0.097)))+0.3*(2*((SIN(((Scenario_Data!W101)*12.9898+(Inputs!$C$6)*78.233+Inputs!$C$47*37.719))*43758.5453)-INT((SIN(((Scenario_Data!W101)*12.9898+(Inputs!$C$6)*78.233+Inputs!$C$47*37.719))*43758.5453)))-1))))/1000))*COS(SQRT((Scenario_Data!W101)^2+Inputs!$C$6^2)/Inputs!$C$52))*1000)/Inputs!$C$21*1000000</f>
        <v/>
      </c>
    </row>
    <row r="102">
      <c r="A102">
        <f>Chart_Data!K102</f>
        <v/>
      </c>
      <c r="B102">
        <f>Chart_Data!N102-Chart_Data!L102</f>
        <v/>
      </c>
      <c r="D102">
        <f>Chart_Data!G102</f>
        <v/>
      </c>
      <c r="E102">
        <f>Chart_Data!H102</f>
        <v/>
      </c>
      <c r="F102">
        <f>Chart_Data!I102</f>
        <v/>
      </c>
      <c r="G102">
        <f>Chart_Data!J102</f>
        <v/>
      </c>
      <c r="I102">
        <f>Scenario_Data!A102</f>
        <v/>
      </c>
      <c r="J102">
        <f>Scenario_Data!H102-(((SQRT((Inputs!$C$52+(Inputs!$H$6))^2+Inputs!$C$52^2-2*(Inputs!$C$52+(Inputs!$H$6))*Inputs!$C$52*COS(SQRT((Scenario_Data!T102)^2+Inputs!$C$6^2)/Inputs!$C$52)))-(Inputs!$H$6))*1000/Inputs!$C$12)</f>
        <v/>
      </c>
      <c r="K102">
        <f>Scenario_Data!I102-(((SQRT((Inputs!$C$52+(Inputs!$H$7))^2+Inputs!$C$52^2-2*(Inputs!$C$52+(Inputs!$H$7))*Inputs!$C$52*COS(SQRT((Scenario_Data!U102)^2+Inputs!$C$6^2)/Inputs!$C$52)))-(Inputs!$H$7))*1000/Inputs!$C$12)</f>
        <v/>
      </c>
      <c r="L102">
        <f>Scenario_Data!J102-(((SQRT((Inputs!$C$52+(Inputs!$H$8))^2+Inputs!$C$52^2-2*(Inputs!$C$52+(Inputs!$H$8))*Inputs!$C$52*COS(SQRT((Scenario_Data!V102)^2+Inputs!$C$6^2)/Inputs!$C$52)))-(Inputs!$H$8))*1000/Inputs!$C$12)</f>
        <v/>
      </c>
      <c r="M102">
        <f>Scenario_Data!K102-(((SQRT((Inputs!$C$52+(Inputs!$H$9))^2+Inputs!$C$52^2-2*(Inputs!$C$52+(Inputs!$H$9))*Inputs!$C$52*COS(SQRT((Scenario_Data!W102)^2+Inputs!$C$6^2)/Inputs!$C$52)))-(Inputs!$H$9))*1000/Inputs!$C$12)</f>
        <v/>
      </c>
      <c r="O102">
        <f>Scenario_Data!T102</f>
        <v/>
      </c>
      <c r="P102">
        <f>2*(Scenario_Data!B102*1000)/Inputs!$C$21*1000000</f>
        <v/>
      </c>
      <c r="Q102">
        <f>Scenario_Data!U102</f>
        <v/>
      </c>
      <c r="R102">
        <f>2*(Scenario_Data!C102*1000)/Inputs!$C$21*1000000</f>
        <v/>
      </c>
      <c r="S102">
        <f>Scenario_Data!V102</f>
        <v/>
      </c>
      <c r="T102">
        <f>2*(Scenario_Data!D102*1000)/Inputs!$C$21*1000000</f>
        <v/>
      </c>
      <c r="U102">
        <f>Scenario_Data!W102</f>
        <v/>
      </c>
      <c r="V102">
        <f>2*(Scenario_Data!E102*1000)/Inputs!$C$21*1000000</f>
        <v/>
      </c>
      <c r="X102">
        <f>Scenario_Data!T102</f>
        <v/>
      </c>
      <c r="Y102">
        <f>2*((Scenario_Data!B102*1000)-(IF(OR(Inputs!$C$27=TRUE,Inputs!$C$27="TRUE",Inputs!$C$27=1),1,0)*(Inputs!$C$51*(115*EXP(-(((0)-25)^2)/(4.5^2))+70*EXP(-(((0)+38)^2)/(7^2))*(0.55+0.45*SIN(2*PI()*(Scenario_Data!T102)/45))+24*SIN(2*PI()*(0)/9+(Scenario_Data!T102)/18)*EXP(-(((0)+5)^2)/(22^2))+18*SIN(2*PI()*(Scenario_Data!T102)/70))+Inputs!$C$28*EXP(-(((Scenario_Data!T102)-Inputs!$C$29)^2)/(2*Inputs!$C$31^2))*EXP(-(((0)-Inputs!$C$30)^2)/(2*Inputs!$C$32^2))+-Inputs!$C$33*EXP(-(((((Scenario_Data!T102)-Inputs!$C$34)^2)+(((0)-Inputs!$C$35)^2))/(2*Inputs!$C$36^2)))+Inputs!$C$37*(0.55*SIN(2*PI()*(Scenario_Data!T102)/Inputs!$C$39)+0.35*COS(2*PI()*(0)/Inputs!$C$40)+0.2*SIN(2*PI()*((Scenario_Data!T102)+(0))/(0.5*(Inputs!$C$39+Inputs!$C$40))))+Inputs!$C$38*SIN(2*PI()*(Scenario_Data!T102)/Inputs!$C$39)*SIN(2*PI()*(0)/Inputs!$C$40)+-Inputs!$C$41*EXP(-(((0)-Inputs!$C$43)^2)/(2*Inputs!$C$44^2))*EXP(-(((Scenario_Data!T102)-Inputs!$C$42)^2)/(2*Inputs!$C$45^2))+Inputs!$C$48*(0.7*(0.45*SIN(2*PI()*(((Scenario_Data!T102)/Inputs!$C$49)+Inputs!$C$47*0.137))+0.35*COS(2*PI()*(((0)/Inputs!$C$50)+Inputs!$C$47*0.173))+0.2*SIN(2*PI()*((((Scenario_Data!T102)+(0))/(0.5*(Inputs!$C$49+Inputs!$C$50)))+Inputs!$C$47*0.097)))+0.3*(2*((SIN(((Scenario_Data!T102)*12.9898+(0)*78.233+Inputs!$C$47*37.719))*43758.5453)-INT((SIN(((Scenario_Data!T102)*12.9898+(0)*78.233+Inputs!$C$47*37.719))*43758.5453)))-1)))))/Inputs!$C$21*1000000</f>
        <v/>
      </c>
      <c r="Z102">
        <f>Scenario_Data!U102</f>
        <v/>
      </c>
      <c r="AA102">
        <f>2*((Scenario_Data!C102*1000)-(IF(OR(Inputs!$C$27=TRUE,Inputs!$C$27="TRUE",Inputs!$C$27=1),1,0)*(Inputs!$C$51*(115*EXP(-(((0)-25)^2)/(4.5^2))+70*EXP(-(((0)+38)^2)/(7^2))*(0.55+0.45*SIN(2*PI()*(Scenario_Data!U102)/45))+24*SIN(2*PI()*(0)/9+(Scenario_Data!U102)/18)*EXP(-(((0)+5)^2)/(22^2))+18*SIN(2*PI()*(Scenario_Data!U102)/70))+Inputs!$C$28*EXP(-(((Scenario_Data!U102)-Inputs!$C$29)^2)/(2*Inputs!$C$31^2))*EXP(-(((0)-Inputs!$C$30)^2)/(2*Inputs!$C$32^2))+-Inputs!$C$33*EXP(-(((((Scenario_Data!U102)-Inputs!$C$34)^2)+(((0)-Inputs!$C$35)^2))/(2*Inputs!$C$36^2)))+Inputs!$C$37*(0.55*SIN(2*PI()*(Scenario_Data!U102)/Inputs!$C$39)+0.35*COS(2*PI()*(0)/Inputs!$C$40)+0.2*SIN(2*PI()*((Scenario_Data!U102)+(0))/(0.5*(Inputs!$C$39+Inputs!$C$40))))+Inputs!$C$38*SIN(2*PI()*(Scenario_Data!U102)/Inputs!$C$39)*SIN(2*PI()*(0)/Inputs!$C$40)+-Inputs!$C$41*EXP(-(((0)-Inputs!$C$43)^2)/(2*Inputs!$C$44^2))*EXP(-(((Scenario_Data!U102)-Inputs!$C$42)^2)/(2*Inputs!$C$45^2))+Inputs!$C$48*(0.7*(0.45*SIN(2*PI()*(((Scenario_Data!U102)/Inputs!$C$49)+Inputs!$C$47*0.137))+0.35*COS(2*PI()*(((0)/Inputs!$C$50)+Inputs!$C$47*0.173))+0.2*SIN(2*PI()*((((Scenario_Data!U102)+(0))/(0.5*(Inputs!$C$49+Inputs!$C$50)))+Inputs!$C$47*0.097)))+0.3*(2*((SIN(((Scenario_Data!U102)*12.9898+(0)*78.233+Inputs!$C$47*37.719))*43758.5453)-INT((SIN(((Scenario_Data!U102)*12.9898+(0)*78.233+Inputs!$C$47*37.719))*43758.5453)))-1)))))/Inputs!$C$21*1000000</f>
        <v/>
      </c>
      <c r="AB102">
        <f>Scenario_Data!V102</f>
        <v/>
      </c>
      <c r="AC102">
        <f>2*((Scenario_Data!D102*1000)-(IF(OR(Inputs!$C$27=TRUE,Inputs!$C$27="TRUE",Inputs!$C$27=1),1,0)*(Inputs!$C$51*(115*EXP(-(((0)-25)^2)/(4.5^2))+70*EXP(-(((0)+38)^2)/(7^2))*(0.55+0.45*SIN(2*PI()*(Scenario_Data!V102)/45))+24*SIN(2*PI()*(0)/9+(Scenario_Data!V102)/18)*EXP(-(((0)+5)^2)/(22^2))+18*SIN(2*PI()*(Scenario_Data!V102)/70))+Inputs!$C$28*EXP(-(((Scenario_Data!V102)-Inputs!$C$29)^2)/(2*Inputs!$C$31^2))*EXP(-(((0)-Inputs!$C$30)^2)/(2*Inputs!$C$32^2))+-Inputs!$C$33*EXP(-(((((Scenario_Data!V102)-Inputs!$C$34)^2)+(((0)-Inputs!$C$35)^2))/(2*Inputs!$C$36^2)))+Inputs!$C$37*(0.55*SIN(2*PI()*(Scenario_Data!V102)/Inputs!$C$39)+0.35*COS(2*PI()*(0)/Inputs!$C$40)+0.2*SIN(2*PI()*((Scenario_Data!V102)+(0))/(0.5*(Inputs!$C$39+Inputs!$C$40))))+Inputs!$C$38*SIN(2*PI()*(Scenario_Data!V102)/Inputs!$C$39)*SIN(2*PI()*(0)/Inputs!$C$40)+-Inputs!$C$41*EXP(-(((0)-Inputs!$C$43)^2)/(2*Inputs!$C$44^2))*EXP(-(((Scenario_Data!V102)-Inputs!$C$42)^2)/(2*Inputs!$C$45^2))+Inputs!$C$48*(0.7*(0.45*SIN(2*PI()*(((Scenario_Data!V102)/Inputs!$C$49)+Inputs!$C$47*0.137))+0.35*COS(2*PI()*(((0)/Inputs!$C$50)+Inputs!$C$47*0.173))+0.2*SIN(2*PI()*((((Scenario_Data!V102)+(0))/(0.5*(Inputs!$C$49+Inputs!$C$50)))+Inputs!$C$47*0.097)))+0.3*(2*((SIN(((Scenario_Data!V102)*12.9898+(0)*78.233+Inputs!$C$47*37.719))*43758.5453)-INT((SIN(((Scenario_Data!V102)*12.9898+(0)*78.233+Inputs!$C$47*37.719))*43758.5453)))-1)))))/Inputs!$C$21*1000000</f>
        <v/>
      </c>
      <c r="AD102">
        <f>Scenario_Data!W102</f>
        <v/>
      </c>
      <c r="AE102">
        <f>2*((Scenario_Data!E102*1000)-(IF(OR(Inputs!$C$27=TRUE,Inputs!$C$27="TRUE",Inputs!$C$27=1),1,0)*(Inputs!$C$51*(115*EXP(-(((0)-25)^2)/(4.5^2))+70*EXP(-(((0)+38)^2)/(7^2))*(0.55+0.45*SIN(2*PI()*(Scenario_Data!W102)/45))+24*SIN(2*PI()*(0)/9+(Scenario_Data!W102)/18)*EXP(-(((0)+5)^2)/(22^2))+18*SIN(2*PI()*(Scenario_Data!W102)/70))+Inputs!$C$28*EXP(-(((Scenario_Data!W102)-Inputs!$C$29)^2)/(2*Inputs!$C$31^2))*EXP(-(((0)-Inputs!$C$30)^2)/(2*Inputs!$C$32^2))+-Inputs!$C$33*EXP(-(((((Scenario_Data!W102)-Inputs!$C$34)^2)+(((0)-Inputs!$C$35)^2))/(2*Inputs!$C$36^2)))+Inputs!$C$37*(0.55*SIN(2*PI()*(Scenario_Data!W102)/Inputs!$C$39)+0.35*COS(2*PI()*(0)/Inputs!$C$40)+0.2*SIN(2*PI()*((Scenario_Data!W102)+(0))/(0.5*(Inputs!$C$39+Inputs!$C$40))))+Inputs!$C$38*SIN(2*PI()*(Scenario_Data!W102)/Inputs!$C$39)*SIN(2*PI()*(0)/Inputs!$C$40)+-Inputs!$C$41*EXP(-(((0)-Inputs!$C$43)^2)/(2*Inputs!$C$44^2))*EXP(-(((Scenario_Data!W102)-Inputs!$C$42)^2)/(2*Inputs!$C$45^2))+Inputs!$C$48*(0.7*(0.45*SIN(2*PI()*(((Scenario_Data!W102)/Inputs!$C$49)+Inputs!$C$47*0.137))+0.35*COS(2*PI()*(((0)/Inputs!$C$50)+Inputs!$C$47*0.173))+0.2*SIN(2*PI()*((((Scenario_Data!W102)+(0))/(0.5*(Inputs!$C$49+Inputs!$C$50)))+Inputs!$C$47*0.097)))+0.3*(2*((SIN(((Scenario_Data!W102)*12.9898+(0)*78.233+Inputs!$C$47*37.719))*43758.5453)-INT((SIN(((Scenario_Data!W102)*12.9898+(0)*78.233+Inputs!$C$47*37.719))*43758.5453)))-1)))))/Inputs!$C$21*1000000</f>
        <v/>
      </c>
      <c r="AG102">
        <f>Scenario_Data!T102</f>
        <v/>
      </c>
      <c r="AH102">
        <f>2*(SQRT((Inputs!$C$52+(Scenario_Data!B102))^2+Inputs!$C$52^2-2*(Inputs!$C$52+(Scenario_Data!B102))*Inputs!$C$52*COS(SQRT((Scenario_Data!T102)^2+Inputs!$C$6^2)/Inputs!$C$52))*1000)/Inputs!$C$21*1000000</f>
        <v/>
      </c>
      <c r="AI102">
        <f>Scenario_Data!U102</f>
        <v/>
      </c>
      <c r="AJ102">
        <f>2*(SQRT((Inputs!$C$52+(Scenario_Data!C102))^2+Inputs!$C$52^2-2*(Inputs!$C$52+(Scenario_Data!C102))*Inputs!$C$52*COS(SQRT((Scenario_Data!U102)^2+Inputs!$C$6^2)/Inputs!$C$52))*1000)/Inputs!$C$21*1000000</f>
        <v/>
      </c>
      <c r="AK102">
        <f>Scenario_Data!V102</f>
        <v/>
      </c>
      <c r="AL102">
        <f>2*(SQRT((Inputs!$C$52+(Scenario_Data!D102))^2+Inputs!$C$52^2-2*(Inputs!$C$52+(Scenario_Data!D102))*Inputs!$C$52*COS(SQRT((Scenario_Data!V102)^2+Inputs!$C$6^2)/Inputs!$C$52))*1000)/Inputs!$C$21*1000000</f>
        <v/>
      </c>
      <c r="AM102">
        <f>Scenario_Data!W102</f>
        <v/>
      </c>
      <c r="AN102">
        <f>2*(SQRT((Inputs!$C$52+(Scenario_Data!E102))^2+Inputs!$C$52^2-2*(Inputs!$C$52+(Scenario_Data!E102))*Inputs!$C$52*COS(SQRT((Scenario_Data!W102)^2+Inputs!$C$6^2)/Inputs!$C$52))*1000)/Inputs!$C$21*1000000</f>
        <v/>
      </c>
      <c r="AP102">
        <f>Scenario_Data!T102</f>
        <v/>
      </c>
      <c r="AQ102">
        <f>2*(SQRT((Inputs!$C$52+(Scenario_Data!B102))^2+(Inputs!$C$52+((IF(OR(Inputs!$C$27=TRUE,Inputs!$C$27="TRUE",Inputs!$C$27=1),1,0)*(Inputs!$C$51*(115*EXP(-(((Inputs!$C$6)-25)^2)/(4.5^2))+70*EXP(-(((Inputs!$C$6)+38)^2)/(7^2))*(0.55+0.45*SIN(2*PI()*(Scenario_Data!T102)/45))+24*SIN(2*PI()*(Inputs!$C$6)/9+(Scenario_Data!T102)/18)*EXP(-(((Inputs!$C$6)+5)^2)/(22^2))+18*SIN(2*PI()*(Scenario_Data!T102)/70))+Inputs!$C$28*EXP(-(((Scenario_Data!T102)-Inputs!$C$29)^2)/(2*Inputs!$C$31^2))*EXP(-(((Inputs!$C$6)-Inputs!$C$30)^2)/(2*Inputs!$C$32^2))+-Inputs!$C$33*EXP(-(((((Scenario_Data!T102)-Inputs!$C$34)^2)+(((Inputs!$C$6)-Inputs!$C$35)^2))/(2*Inputs!$C$36^2)))+Inputs!$C$37*(0.55*SIN(2*PI()*(Scenario_Data!T102)/Inputs!$C$39)+0.35*COS(2*PI()*(Inputs!$C$6)/Inputs!$C$40)+0.2*SIN(2*PI()*((Scenario_Data!T102)+(Inputs!$C$6))/(0.5*(Inputs!$C$39+Inputs!$C$40))))+Inputs!$C$38*SIN(2*PI()*(Scenario_Data!T102)/Inputs!$C$39)*SIN(2*PI()*(Inputs!$C$6)/Inputs!$C$40)+-Inputs!$C$41*EXP(-(((Inputs!$C$6)-Inputs!$C$43)^2)/(2*Inputs!$C$44^2))*EXP(-(((Scenario_Data!T102)-Inputs!$C$42)^2)/(2*Inputs!$C$45^2))+Inputs!$C$48*(0.7*(0.45*SIN(2*PI()*(((Scenario_Data!T102)/Inputs!$C$49)+Inputs!$C$47*0.137))+0.35*COS(2*PI()*(((Inputs!$C$6)/Inputs!$C$50)+Inputs!$C$47*0.173))+0.2*SIN(2*PI()*((((Scenario_Data!T102)+(Inputs!$C$6))/(0.5*(Inputs!$C$49+Inputs!$C$50)))+Inputs!$C$47*0.097)))+0.3*(2*((SIN(((Scenario_Data!T102)*12.9898+(Inputs!$C$6)*78.233+Inputs!$C$47*37.719))*43758.5453)-INT((SIN(((Scenario_Data!T102)*12.9898+(Inputs!$C$6)*78.233+Inputs!$C$47*37.719))*43758.5453)))-1))))/1000))^2-2*(Inputs!$C$52+(Scenario_Data!B102))*(Inputs!$C$52+((IF(OR(Inputs!$C$27=TRUE,Inputs!$C$27="TRUE",Inputs!$C$27=1),1,0)*(Inputs!$C$51*(115*EXP(-(((Inputs!$C$6)-25)^2)/(4.5^2))+70*EXP(-(((Inputs!$C$6)+38)^2)/(7^2))*(0.55+0.45*SIN(2*PI()*(Scenario_Data!T102)/45))+24*SIN(2*PI()*(Inputs!$C$6)/9+(Scenario_Data!T102)/18)*EXP(-(((Inputs!$C$6)+5)^2)/(22^2))+18*SIN(2*PI()*(Scenario_Data!T102)/70))+Inputs!$C$28*EXP(-(((Scenario_Data!T102)-Inputs!$C$29)^2)/(2*Inputs!$C$31^2))*EXP(-(((Inputs!$C$6)-Inputs!$C$30)^2)/(2*Inputs!$C$32^2))+-Inputs!$C$33*EXP(-(((((Scenario_Data!T102)-Inputs!$C$34)^2)+(((Inputs!$C$6)-Inputs!$C$35)^2))/(2*Inputs!$C$36^2)))+Inputs!$C$37*(0.55*SIN(2*PI()*(Scenario_Data!T102)/Inputs!$C$39)+0.35*COS(2*PI()*(Inputs!$C$6)/Inputs!$C$40)+0.2*SIN(2*PI()*((Scenario_Data!T102)+(Inputs!$C$6))/(0.5*(Inputs!$C$39+Inputs!$C$40))))+Inputs!$C$38*SIN(2*PI()*(Scenario_Data!T102)/Inputs!$C$39)*SIN(2*PI()*(Inputs!$C$6)/Inputs!$C$40)+-Inputs!$C$41*EXP(-(((Inputs!$C$6)-Inputs!$C$43)^2)/(2*Inputs!$C$44^2))*EXP(-(((Scenario_Data!T102)-Inputs!$C$42)^2)/(2*Inputs!$C$45^2))+Inputs!$C$48*(0.7*(0.45*SIN(2*PI()*(((Scenario_Data!T102)/Inputs!$C$49)+Inputs!$C$47*0.137))+0.35*COS(2*PI()*(((Inputs!$C$6)/Inputs!$C$50)+Inputs!$C$47*0.173))+0.2*SIN(2*PI()*((((Scenario_Data!T102)+(Inputs!$C$6))/(0.5*(Inputs!$C$49+Inputs!$C$50)))+Inputs!$C$47*0.097)))+0.3*(2*((SIN(((Scenario_Data!T102)*12.9898+(Inputs!$C$6)*78.233+Inputs!$C$47*37.719))*43758.5453)-INT((SIN(((Scenario_Data!T102)*12.9898+(Inputs!$C$6)*78.233+Inputs!$C$47*37.719))*43758.5453)))-1))))/1000))*COS(SQRT((Scenario_Data!T102)^2+Inputs!$C$6^2)/Inputs!$C$52))*1000)/Inputs!$C$21*1000000</f>
        <v/>
      </c>
      <c r="AR102">
        <f>Scenario_Data!U102</f>
        <v/>
      </c>
      <c r="AS102">
        <f>2*(SQRT((Inputs!$C$52+(Scenario_Data!C102))^2+(Inputs!$C$52+((IF(OR(Inputs!$C$27=TRUE,Inputs!$C$27="TRUE",Inputs!$C$27=1),1,0)*(Inputs!$C$51*(115*EXP(-(((Inputs!$C$6)-25)^2)/(4.5^2))+70*EXP(-(((Inputs!$C$6)+38)^2)/(7^2))*(0.55+0.45*SIN(2*PI()*(Scenario_Data!U102)/45))+24*SIN(2*PI()*(Inputs!$C$6)/9+(Scenario_Data!U102)/18)*EXP(-(((Inputs!$C$6)+5)^2)/(22^2))+18*SIN(2*PI()*(Scenario_Data!U102)/70))+Inputs!$C$28*EXP(-(((Scenario_Data!U102)-Inputs!$C$29)^2)/(2*Inputs!$C$31^2))*EXP(-(((Inputs!$C$6)-Inputs!$C$30)^2)/(2*Inputs!$C$32^2))+-Inputs!$C$33*EXP(-(((((Scenario_Data!U102)-Inputs!$C$34)^2)+(((Inputs!$C$6)-Inputs!$C$35)^2))/(2*Inputs!$C$36^2)))+Inputs!$C$37*(0.55*SIN(2*PI()*(Scenario_Data!U102)/Inputs!$C$39)+0.35*COS(2*PI()*(Inputs!$C$6)/Inputs!$C$40)+0.2*SIN(2*PI()*((Scenario_Data!U102)+(Inputs!$C$6))/(0.5*(Inputs!$C$39+Inputs!$C$40))))+Inputs!$C$38*SIN(2*PI()*(Scenario_Data!U102)/Inputs!$C$39)*SIN(2*PI()*(Inputs!$C$6)/Inputs!$C$40)+-Inputs!$C$41*EXP(-(((Inputs!$C$6)-Inputs!$C$43)^2)/(2*Inputs!$C$44^2))*EXP(-(((Scenario_Data!U102)-Inputs!$C$42)^2)/(2*Inputs!$C$45^2))+Inputs!$C$48*(0.7*(0.45*SIN(2*PI()*(((Scenario_Data!U102)/Inputs!$C$49)+Inputs!$C$47*0.137))+0.35*COS(2*PI()*(((Inputs!$C$6)/Inputs!$C$50)+Inputs!$C$47*0.173))+0.2*SIN(2*PI()*((((Scenario_Data!U102)+(Inputs!$C$6))/(0.5*(Inputs!$C$49+Inputs!$C$50)))+Inputs!$C$47*0.097)))+0.3*(2*((SIN(((Scenario_Data!U102)*12.9898+(Inputs!$C$6)*78.233+Inputs!$C$47*37.719))*43758.5453)-INT((SIN(((Scenario_Data!U102)*12.9898+(Inputs!$C$6)*78.233+Inputs!$C$47*37.719))*43758.5453)))-1))))/1000))^2-2*(Inputs!$C$52+(Scenario_Data!C102))*(Inputs!$C$52+((IF(OR(Inputs!$C$27=TRUE,Inputs!$C$27="TRUE",Inputs!$C$27=1),1,0)*(Inputs!$C$51*(115*EXP(-(((Inputs!$C$6)-25)^2)/(4.5^2))+70*EXP(-(((Inputs!$C$6)+38)^2)/(7^2))*(0.55+0.45*SIN(2*PI()*(Scenario_Data!U102)/45))+24*SIN(2*PI()*(Inputs!$C$6)/9+(Scenario_Data!U102)/18)*EXP(-(((Inputs!$C$6)+5)^2)/(22^2))+18*SIN(2*PI()*(Scenario_Data!U102)/70))+Inputs!$C$28*EXP(-(((Scenario_Data!U102)-Inputs!$C$29)^2)/(2*Inputs!$C$31^2))*EXP(-(((Inputs!$C$6)-Inputs!$C$30)^2)/(2*Inputs!$C$32^2))+-Inputs!$C$33*EXP(-(((((Scenario_Data!U102)-Inputs!$C$34)^2)+(((Inputs!$C$6)-Inputs!$C$35)^2))/(2*Inputs!$C$36^2)))+Inputs!$C$37*(0.55*SIN(2*PI()*(Scenario_Data!U102)/Inputs!$C$39)+0.35*COS(2*PI()*(Inputs!$C$6)/Inputs!$C$40)+0.2*SIN(2*PI()*((Scenario_Data!U102)+(Inputs!$C$6))/(0.5*(Inputs!$C$39+Inputs!$C$40))))+Inputs!$C$38*SIN(2*PI()*(Scenario_Data!U102)/Inputs!$C$39)*SIN(2*PI()*(Inputs!$C$6)/Inputs!$C$40)+-Inputs!$C$41*EXP(-(((Inputs!$C$6)-Inputs!$C$43)^2)/(2*Inputs!$C$44^2))*EXP(-(((Scenario_Data!U102)-Inputs!$C$42)^2)/(2*Inputs!$C$45^2))+Inputs!$C$48*(0.7*(0.45*SIN(2*PI()*(((Scenario_Data!U102)/Inputs!$C$49)+Inputs!$C$47*0.137))+0.35*COS(2*PI()*(((Inputs!$C$6)/Inputs!$C$50)+Inputs!$C$47*0.173))+0.2*SIN(2*PI()*((((Scenario_Data!U102)+(Inputs!$C$6))/(0.5*(Inputs!$C$49+Inputs!$C$50)))+Inputs!$C$47*0.097)))+0.3*(2*((SIN(((Scenario_Data!U102)*12.9898+(Inputs!$C$6)*78.233+Inputs!$C$47*37.719))*43758.5453)-INT((SIN(((Scenario_Data!U102)*12.9898+(Inputs!$C$6)*78.233+Inputs!$C$47*37.719))*43758.5453)))-1))))/1000))*COS(SQRT((Scenario_Data!U102)^2+Inputs!$C$6^2)/Inputs!$C$52))*1000)/Inputs!$C$21*1000000</f>
        <v/>
      </c>
      <c r="AT102">
        <f>Scenario_Data!V102</f>
        <v/>
      </c>
      <c r="AU102">
        <f>2*(SQRT((Inputs!$C$52+(Scenario_Data!D102))^2+(Inputs!$C$52+((IF(OR(Inputs!$C$27=TRUE,Inputs!$C$27="TRUE",Inputs!$C$27=1),1,0)*(Inputs!$C$51*(115*EXP(-(((Inputs!$C$6)-25)^2)/(4.5^2))+70*EXP(-(((Inputs!$C$6)+38)^2)/(7^2))*(0.55+0.45*SIN(2*PI()*(Scenario_Data!V102)/45))+24*SIN(2*PI()*(Inputs!$C$6)/9+(Scenario_Data!V102)/18)*EXP(-(((Inputs!$C$6)+5)^2)/(22^2))+18*SIN(2*PI()*(Scenario_Data!V102)/70))+Inputs!$C$28*EXP(-(((Scenario_Data!V102)-Inputs!$C$29)^2)/(2*Inputs!$C$31^2))*EXP(-(((Inputs!$C$6)-Inputs!$C$30)^2)/(2*Inputs!$C$32^2))+-Inputs!$C$33*EXP(-(((((Scenario_Data!V102)-Inputs!$C$34)^2)+(((Inputs!$C$6)-Inputs!$C$35)^2))/(2*Inputs!$C$36^2)))+Inputs!$C$37*(0.55*SIN(2*PI()*(Scenario_Data!V102)/Inputs!$C$39)+0.35*COS(2*PI()*(Inputs!$C$6)/Inputs!$C$40)+0.2*SIN(2*PI()*((Scenario_Data!V102)+(Inputs!$C$6))/(0.5*(Inputs!$C$39+Inputs!$C$40))))+Inputs!$C$38*SIN(2*PI()*(Scenario_Data!V102)/Inputs!$C$39)*SIN(2*PI()*(Inputs!$C$6)/Inputs!$C$40)+-Inputs!$C$41*EXP(-(((Inputs!$C$6)-Inputs!$C$43)^2)/(2*Inputs!$C$44^2))*EXP(-(((Scenario_Data!V102)-Inputs!$C$42)^2)/(2*Inputs!$C$45^2))+Inputs!$C$48*(0.7*(0.45*SIN(2*PI()*(((Scenario_Data!V102)/Inputs!$C$49)+Inputs!$C$47*0.137))+0.35*COS(2*PI()*(((Inputs!$C$6)/Inputs!$C$50)+Inputs!$C$47*0.173))+0.2*SIN(2*PI()*((((Scenario_Data!V102)+(Inputs!$C$6))/(0.5*(Inputs!$C$49+Inputs!$C$50)))+Inputs!$C$47*0.097)))+0.3*(2*((SIN(((Scenario_Data!V102)*12.9898+(Inputs!$C$6)*78.233+Inputs!$C$47*37.719))*43758.5453)-INT((SIN(((Scenario_Data!V102)*12.9898+(Inputs!$C$6)*78.233+Inputs!$C$47*37.719))*43758.5453)))-1))))/1000))^2-2*(Inputs!$C$52+(Scenario_Data!D102))*(Inputs!$C$52+((IF(OR(Inputs!$C$27=TRUE,Inputs!$C$27="TRUE",Inputs!$C$27=1),1,0)*(Inputs!$C$51*(115*EXP(-(((Inputs!$C$6)-25)^2)/(4.5^2))+70*EXP(-(((Inputs!$C$6)+38)^2)/(7^2))*(0.55+0.45*SIN(2*PI()*(Scenario_Data!V102)/45))+24*SIN(2*PI()*(Inputs!$C$6)/9+(Scenario_Data!V102)/18)*EXP(-(((Inputs!$C$6)+5)^2)/(22^2))+18*SIN(2*PI()*(Scenario_Data!V102)/70))+Inputs!$C$28*EXP(-(((Scenario_Data!V102)-Inputs!$C$29)^2)/(2*Inputs!$C$31^2))*EXP(-(((Inputs!$C$6)-Inputs!$C$30)^2)/(2*Inputs!$C$32^2))+-Inputs!$C$33*EXP(-(((((Scenario_Data!V102)-Inputs!$C$34)^2)+(((Inputs!$C$6)-Inputs!$C$35)^2))/(2*Inputs!$C$36^2)))+Inputs!$C$37*(0.55*SIN(2*PI()*(Scenario_Data!V102)/Inputs!$C$39)+0.35*COS(2*PI()*(Inputs!$C$6)/Inputs!$C$40)+0.2*SIN(2*PI()*((Scenario_Data!V102)+(Inputs!$C$6))/(0.5*(Inputs!$C$39+Inputs!$C$40))))+Inputs!$C$38*SIN(2*PI()*(Scenario_Data!V102)/Inputs!$C$39)*SIN(2*PI()*(Inputs!$C$6)/Inputs!$C$40)+-Inputs!$C$41*EXP(-(((Inputs!$C$6)-Inputs!$C$43)^2)/(2*Inputs!$C$44^2))*EXP(-(((Scenario_Data!V102)-Inputs!$C$42)^2)/(2*Inputs!$C$45^2))+Inputs!$C$48*(0.7*(0.45*SIN(2*PI()*(((Scenario_Data!V102)/Inputs!$C$49)+Inputs!$C$47*0.137))+0.35*COS(2*PI()*(((Inputs!$C$6)/Inputs!$C$50)+Inputs!$C$47*0.173))+0.2*SIN(2*PI()*((((Scenario_Data!V102)+(Inputs!$C$6))/(0.5*(Inputs!$C$49+Inputs!$C$50)))+Inputs!$C$47*0.097)))+0.3*(2*((SIN(((Scenario_Data!V102)*12.9898+(Inputs!$C$6)*78.233+Inputs!$C$47*37.719))*43758.5453)-INT((SIN(((Scenario_Data!V102)*12.9898+(Inputs!$C$6)*78.233+Inputs!$C$47*37.719))*43758.5453)))-1))))/1000))*COS(SQRT((Scenario_Data!V102)^2+Inputs!$C$6^2)/Inputs!$C$52))*1000)/Inputs!$C$21*1000000</f>
        <v/>
      </c>
      <c r="AV102">
        <f>Scenario_Data!W102</f>
        <v/>
      </c>
      <c r="AW102">
        <f>2*(SQRT((Inputs!$C$52+(Scenario_Data!E102))^2+(Inputs!$C$52+((IF(OR(Inputs!$C$27=TRUE,Inputs!$C$27="TRUE",Inputs!$C$27=1),1,0)*(Inputs!$C$51*(115*EXP(-(((Inputs!$C$6)-25)^2)/(4.5^2))+70*EXP(-(((Inputs!$C$6)+38)^2)/(7^2))*(0.55+0.45*SIN(2*PI()*(Scenario_Data!W102)/45))+24*SIN(2*PI()*(Inputs!$C$6)/9+(Scenario_Data!W102)/18)*EXP(-(((Inputs!$C$6)+5)^2)/(22^2))+18*SIN(2*PI()*(Scenario_Data!W102)/70))+Inputs!$C$28*EXP(-(((Scenario_Data!W102)-Inputs!$C$29)^2)/(2*Inputs!$C$31^2))*EXP(-(((Inputs!$C$6)-Inputs!$C$30)^2)/(2*Inputs!$C$32^2))+-Inputs!$C$33*EXP(-(((((Scenario_Data!W102)-Inputs!$C$34)^2)+(((Inputs!$C$6)-Inputs!$C$35)^2))/(2*Inputs!$C$36^2)))+Inputs!$C$37*(0.55*SIN(2*PI()*(Scenario_Data!W102)/Inputs!$C$39)+0.35*COS(2*PI()*(Inputs!$C$6)/Inputs!$C$40)+0.2*SIN(2*PI()*((Scenario_Data!W102)+(Inputs!$C$6))/(0.5*(Inputs!$C$39+Inputs!$C$40))))+Inputs!$C$38*SIN(2*PI()*(Scenario_Data!W102)/Inputs!$C$39)*SIN(2*PI()*(Inputs!$C$6)/Inputs!$C$40)+-Inputs!$C$41*EXP(-(((Inputs!$C$6)-Inputs!$C$43)^2)/(2*Inputs!$C$44^2))*EXP(-(((Scenario_Data!W102)-Inputs!$C$42)^2)/(2*Inputs!$C$45^2))+Inputs!$C$48*(0.7*(0.45*SIN(2*PI()*(((Scenario_Data!W102)/Inputs!$C$49)+Inputs!$C$47*0.137))+0.35*COS(2*PI()*(((Inputs!$C$6)/Inputs!$C$50)+Inputs!$C$47*0.173))+0.2*SIN(2*PI()*((((Scenario_Data!W102)+(Inputs!$C$6))/(0.5*(Inputs!$C$49+Inputs!$C$50)))+Inputs!$C$47*0.097)))+0.3*(2*((SIN(((Scenario_Data!W102)*12.9898+(Inputs!$C$6)*78.233+Inputs!$C$47*37.719))*43758.5453)-INT((SIN(((Scenario_Data!W102)*12.9898+(Inputs!$C$6)*78.233+Inputs!$C$47*37.719))*43758.5453)))-1))))/1000))^2-2*(Inputs!$C$52+(Scenario_Data!E102))*(Inputs!$C$52+((IF(OR(Inputs!$C$27=TRUE,Inputs!$C$27="TRUE",Inputs!$C$27=1),1,0)*(Inputs!$C$51*(115*EXP(-(((Inputs!$C$6)-25)^2)/(4.5^2))+70*EXP(-(((Inputs!$C$6)+38)^2)/(7^2))*(0.55+0.45*SIN(2*PI()*(Scenario_Data!W102)/45))+24*SIN(2*PI()*(Inputs!$C$6)/9+(Scenario_Data!W102)/18)*EXP(-(((Inputs!$C$6)+5)^2)/(22^2))+18*SIN(2*PI()*(Scenario_Data!W102)/70))+Inputs!$C$28*EXP(-(((Scenario_Data!W102)-Inputs!$C$29)^2)/(2*Inputs!$C$31^2))*EXP(-(((Inputs!$C$6)-Inputs!$C$30)^2)/(2*Inputs!$C$32^2))+-Inputs!$C$33*EXP(-(((((Scenario_Data!W102)-Inputs!$C$34)^2)+(((Inputs!$C$6)-Inputs!$C$35)^2))/(2*Inputs!$C$36^2)))+Inputs!$C$37*(0.55*SIN(2*PI()*(Scenario_Data!W102)/Inputs!$C$39)+0.35*COS(2*PI()*(Inputs!$C$6)/Inputs!$C$40)+0.2*SIN(2*PI()*((Scenario_Data!W102)+(Inputs!$C$6))/(0.5*(Inputs!$C$39+Inputs!$C$40))))+Inputs!$C$38*SIN(2*PI()*(Scenario_Data!W102)/Inputs!$C$39)*SIN(2*PI()*(Inputs!$C$6)/Inputs!$C$40)+-Inputs!$C$41*EXP(-(((Inputs!$C$6)-Inputs!$C$43)^2)/(2*Inputs!$C$44^2))*EXP(-(((Scenario_Data!W102)-Inputs!$C$42)^2)/(2*Inputs!$C$45^2))+Inputs!$C$48*(0.7*(0.45*SIN(2*PI()*(((Scenario_Data!W102)/Inputs!$C$49)+Inputs!$C$47*0.137))+0.35*COS(2*PI()*(((Inputs!$C$6)/Inputs!$C$50)+Inputs!$C$47*0.173))+0.2*SIN(2*PI()*((((Scenario_Data!W102)+(Inputs!$C$6))/(0.5*(Inputs!$C$49+Inputs!$C$50)))+Inputs!$C$47*0.097)))+0.3*(2*((SIN(((Scenario_Data!W102)*12.9898+(Inputs!$C$6)*78.233+Inputs!$C$47*37.719))*43758.5453)-INT((SIN(((Scenario_Data!W102)*12.9898+(Inputs!$C$6)*78.233+Inputs!$C$47*37.719))*43758.5453)))-1))))/1000))*COS(SQRT((Scenario_Data!W102)^2+Inputs!$C$6^2)/Inputs!$C$52))*1000)/Inputs!$C$21*1000000</f>
        <v/>
      </c>
    </row>
    <row r="103">
      <c r="A103">
        <f>Chart_Data!K103</f>
        <v/>
      </c>
      <c r="B103">
        <f>Chart_Data!N103-Chart_Data!L103</f>
        <v/>
      </c>
      <c r="D103">
        <f>Chart_Data!G103</f>
        <v/>
      </c>
      <c r="E103">
        <f>Chart_Data!H103</f>
        <v/>
      </c>
      <c r="F103">
        <f>Chart_Data!I103</f>
        <v/>
      </c>
      <c r="G103">
        <f>Chart_Data!J103</f>
        <v/>
      </c>
      <c r="I103">
        <f>Scenario_Data!A103</f>
        <v/>
      </c>
      <c r="J103">
        <f>Scenario_Data!H103-(((SQRT((Inputs!$C$52+(Inputs!$H$6))^2+Inputs!$C$52^2-2*(Inputs!$C$52+(Inputs!$H$6))*Inputs!$C$52*COS(SQRT((Scenario_Data!T103)^2+Inputs!$C$6^2)/Inputs!$C$52)))-(Inputs!$H$6))*1000/Inputs!$C$12)</f>
        <v/>
      </c>
      <c r="K103">
        <f>Scenario_Data!I103-(((SQRT((Inputs!$C$52+(Inputs!$H$7))^2+Inputs!$C$52^2-2*(Inputs!$C$52+(Inputs!$H$7))*Inputs!$C$52*COS(SQRT((Scenario_Data!U103)^2+Inputs!$C$6^2)/Inputs!$C$52)))-(Inputs!$H$7))*1000/Inputs!$C$12)</f>
        <v/>
      </c>
      <c r="L103">
        <f>Scenario_Data!J103-(((SQRT((Inputs!$C$52+(Inputs!$H$8))^2+Inputs!$C$52^2-2*(Inputs!$C$52+(Inputs!$H$8))*Inputs!$C$52*COS(SQRT((Scenario_Data!V103)^2+Inputs!$C$6^2)/Inputs!$C$52)))-(Inputs!$H$8))*1000/Inputs!$C$12)</f>
        <v/>
      </c>
      <c r="M103">
        <f>Scenario_Data!K103-(((SQRT((Inputs!$C$52+(Inputs!$H$9))^2+Inputs!$C$52^2-2*(Inputs!$C$52+(Inputs!$H$9))*Inputs!$C$52*COS(SQRT((Scenario_Data!W103)^2+Inputs!$C$6^2)/Inputs!$C$52)))-(Inputs!$H$9))*1000/Inputs!$C$12)</f>
        <v/>
      </c>
      <c r="O103">
        <f>Scenario_Data!T103</f>
        <v/>
      </c>
      <c r="P103">
        <f>2*(Scenario_Data!B103*1000)/Inputs!$C$21*1000000</f>
        <v/>
      </c>
      <c r="Q103">
        <f>Scenario_Data!U103</f>
        <v/>
      </c>
      <c r="R103">
        <f>2*(Scenario_Data!C103*1000)/Inputs!$C$21*1000000</f>
        <v/>
      </c>
      <c r="S103">
        <f>Scenario_Data!V103</f>
        <v/>
      </c>
      <c r="T103">
        <f>2*(Scenario_Data!D103*1000)/Inputs!$C$21*1000000</f>
        <v/>
      </c>
      <c r="U103">
        <f>Scenario_Data!W103</f>
        <v/>
      </c>
      <c r="V103">
        <f>2*(Scenario_Data!E103*1000)/Inputs!$C$21*1000000</f>
        <v/>
      </c>
      <c r="X103">
        <f>Scenario_Data!T103</f>
        <v/>
      </c>
      <c r="Y103">
        <f>2*((Scenario_Data!B103*1000)-(IF(OR(Inputs!$C$27=TRUE,Inputs!$C$27="TRUE",Inputs!$C$27=1),1,0)*(Inputs!$C$51*(115*EXP(-(((0)-25)^2)/(4.5^2))+70*EXP(-(((0)+38)^2)/(7^2))*(0.55+0.45*SIN(2*PI()*(Scenario_Data!T103)/45))+24*SIN(2*PI()*(0)/9+(Scenario_Data!T103)/18)*EXP(-(((0)+5)^2)/(22^2))+18*SIN(2*PI()*(Scenario_Data!T103)/70))+Inputs!$C$28*EXP(-(((Scenario_Data!T103)-Inputs!$C$29)^2)/(2*Inputs!$C$31^2))*EXP(-(((0)-Inputs!$C$30)^2)/(2*Inputs!$C$32^2))+-Inputs!$C$33*EXP(-(((((Scenario_Data!T103)-Inputs!$C$34)^2)+(((0)-Inputs!$C$35)^2))/(2*Inputs!$C$36^2)))+Inputs!$C$37*(0.55*SIN(2*PI()*(Scenario_Data!T103)/Inputs!$C$39)+0.35*COS(2*PI()*(0)/Inputs!$C$40)+0.2*SIN(2*PI()*((Scenario_Data!T103)+(0))/(0.5*(Inputs!$C$39+Inputs!$C$40))))+Inputs!$C$38*SIN(2*PI()*(Scenario_Data!T103)/Inputs!$C$39)*SIN(2*PI()*(0)/Inputs!$C$40)+-Inputs!$C$41*EXP(-(((0)-Inputs!$C$43)^2)/(2*Inputs!$C$44^2))*EXP(-(((Scenario_Data!T103)-Inputs!$C$42)^2)/(2*Inputs!$C$45^2))+Inputs!$C$48*(0.7*(0.45*SIN(2*PI()*(((Scenario_Data!T103)/Inputs!$C$49)+Inputs!$C$47*0.137))+0.35*COS(2*PI()*(((0)/Inputs!$C$50)+Inputs!$C$47*0.173))+0.2*SIN(2*PI()*((((Scenario_Data!T103)+(0))/(0.5*(Inputs!$C$49+Inputs!$C$50)))+Inputs!$C$47*0.097)))+0.3*(2*((SIN(((Scenario_Data!T103)*12.9898+(0)*78.233+Inputs!$C$47*37.719))*43758.5453)-INT((SIN(((Scenario_Data!T103)*12.9898+(0)*78.233+Inputs!$C$47*37.719))*43758.5453)))-1)))))/Inputs!$C$21*1000000</f>
        <v/>
      </c>
      <c r="Z103">
        <f>Scenario_Data!U103</f>
        <v/>
      </c>
      <c r="AA103">
        <f>2*((Scenario_Data!C103*1000)-(IF(OR(Inputs!$C$27=TRUE,Inputs!$C$27="TRUE",Inputs!$C$27=1),1,0)*(Inputs!$C$51*(115*EXP(-(((0)-25)^2)/(4.5^2))+70*EXP(-(((0)+38)^2)/(7^2))*(0.55+0.45*SIN(2*PI()*(Scenario_Data!U103)/45))+24*SIN(2*PI()*(0)/9+(Scenario_Data!U103)/18)*EXP(-(((0)+5)^2)/(22^2))+18*SIN(2*PI()*(Scenario_Data!U103)/70))+Inputs!$C$28*EXP(-(((Scenario_Data!U103)-Inputs!$C$29)^2)/(2*Inputs!$C$31^2))*EXP(-(((0)-Inputs!$C$30)^2)/(2*Inputs!$C$32^2))+-Inputs!$C$33*EXP(-(((((Scenario_Data!U103)-Inputs!$C$34)^2)+(((0)-Inputs!$C$35)^2))/(2*Inputs!$C$36^2)))+Inputs!$C$37*(0.55*SIN(2*PI()*(Scenario_Data!U103)/Inputs!$C$39)+0.35*COS(2*PI()*(0)/Inputs!$C$40)+0.2*SIN(2*PI()*((Scenario_Data!U103)+(0))/(0.5*(Inputs!$C$39+Inputs!$C$40))))+Inputs!$C$38*SIN(2*PI()*(Scenario_Data!U103)/Inputs!$C$39)*SIN(2*PI()*(0)/Inputs!$C$40)+-Inputs!$C$41*EXP(-(((0)-Inputs!$C$43)^2)/(2*Inputs!$C$44^2))*EXP(-(((Scenario_Data!U103)-Inputs!$C$42)^2)/(2*Inputs!$C$45^2))+Inputs!$C$48*(0.7*(0.45*SIN(2*PI()*(((Scenario_Data!U103)/Inputs!$C$49)+Inputs!$C$47*0.137))+0.35*COS(2*PI()*(((0)/Inputs!$C$50)+Inputs!$C$47*0.173))+0.2*SIN(2*PI()*((((Scenario_Data!U103)+(0))/(0.5*(Inputs!$C$49+Inputs!$C$50)))+Inputs!$C$47*0.097)))+0.3*(2*((SIN(((Scenario_Data!U103)*12.9898+(0)*78.233+Inputs!$C$47*37.719))*43758.5453)-INT((SIN(((Scenario_Data!U103)*12.9898+(0)*78.233+Inputs!$C$47*37.719))*43758.5453)))-1)))))/Inputs!$C$21*1000000</f>
        <v/>
      </c>
      <c r="AB103">
        <f>Scenario_Data!V103</f>
        <v/>
      </c>
      <c r="AC103">
        <f>2*((Scenario_Data!D103*1000)-(IF(OR(Inputs!$C$27=TRUE,Inputs!$C$27="TRUE",Inputs!$C$27=1),1,0)*(Inputs!$C$51*(115*EXP(-(((0)-25)^2)/(4.5^2))+70*EXP(-(((0)+38)^2)/(7^2))*(0.55+0.45*SIN(2*PI()*(Scenario_Data!V103)/45))+24*SIN(2*PI()*(0)/9+(Scenario_Data!V103)/18)*EXP(-(((0)+5)^2)/(22^2))+18*SIN(2*PI()*(Scenario_Data!V103)/70))+Inputs!$C$28*EXP(-(((Scenario_Data!V103)-Inputs!$C$29)^2)/(2*Inputs!$C$31^2))*EXP(-(((0)-Inputs!$C$30)^2)/(2*Inputs!$C$32^2))+-Inputs!$C$33*EXP(-(((((Scenario_Data!V103)-Inputs!$C$34)^2)+(((0)-Inputs!$C$35)^2))/(2*Inputs!$C$36^2)))+Inputs!$C$37*(0.55*SIN(2*PI()*(Scenario_Data!V103)/Inputs!$C$39)+0.35*COS(2*PI()*(0)/Inputs!$C$40)+0.2*SIN(2*PI()*((Scenario_Data!V103)+(0))/(0.5*(Inputs!$C$39+Inputs!$C$40))))+Inputs!$C$38*SIN(2*PI()*(Scenario_Data!V103)/Inputs!$C$39)*SIN(2*PI()*(0)/Inputs!$C$40)+-Inputs!$C$41*EXP(-(((0)-Inputs!$C$43)^2)/(2*Inputs!$C$44^2))*EXP(-(((Scenario_Data!V103)-Inputs!$C$42)^2)/(2*Inputs!$C$45^2))+Inputs!$C$48*(0.7*(0.45*SIN(2*PI()*(((Scenario_Data!V103)/Inputs!$C$49)+Inputs!$C$47*0.137))+0.35*COS(2*PI()*(((0)/Inputs!$C$50)+Inputs!$C$47*0.173))+0.2*SIN(2*PI()*((((Scenario_Data!V103)+(0))/(0.5*(Inputs!$C$49+Inputs!$C$50)))+Inputs!$C$47*0.097)))+0.3*(2*((SIN(((Scenario_Data!V103)*12.9898+(0)*78.233+Inputs!$C$47*37.719))*43758.5453)-INT((SIN(((Scenario_Data!V103)*12.9898+(0)*78.233+Inputs!$C$47*37.719))*43758.5453)))-1)))))/Inputs!$C$21*1000000</f>
        <v/>
      </c>
      <c r="AD103">
        <f>Scenario_Data!W103</f>
        <v/>
      </c>
      <c r="AE103">
        <f>2*((Scenario_Data!E103*1000)-(IF(OR(Inputs!$C$27=TRUE,Inputs!$C$27="TRUE",Inputs!$C$27=1),1,0)*(Inputs!$C$51*(115*EXP(-(((0)-25)^2)/(4.5^2))+70*EXP(-(((0)+38)^2)/(7^2))*(0.55+0.45*SIN(2*PI()*(Scenario_Data!W103)/45))+24*SIN(2*PI()*(0)/9+(Scenario_Data!W103)/18)*EXP(-(((0)+5)^2)/(22^2))+18*SIN(2*PI()*(Scenario_Data!W103)/70))+Inputs!$C$28*EXP(-(((Scenario_Data!W103)-Inputs!$C$29)^2)/(2*Inputs!$C$31^2))*EXP(-(((0)-Inputs!$C$30)^2)/(2*Inputs!$C$32^2))+-Inputs!$C$33*EXP(-(((((Scenario_Data!W103)-Inputs!$C$34)^2)+(((0)-Inputs!$C$35)^2))/(2*Inputs!$C$36^2)))+Inputs!$C$37*(0.55*SIN(2*PI()*(Scenario_Data!W103)/Inputs!$C$39)+0.35*COS(2*PI()*(0)/Inputs!$C$40)+0.2*SIN(2*PI()*((Scenario_Data!W103)+(0))/(0.5*(Inputs!$C$39+Inputs!$C$40))))+Inputs!$C$38*SIN(2*PI()*(Scenario_Data!W103)/Inputs!$C$39)*SIN(2*PI()*(0)/Inputs!$C$40)+-Inputs!$C$41*EXP(-(((0)-Inputs!$C$43)^2)/(2*Inputs!$C$44^2))*EXP(-(((Scenario_Data!W103)-Inputs!$C$42)^2)/(2*Inputs!$C$45^2))+Inputs!$C$48*(0.7*(0.45*SIN(2*PI()*(((Scenario_Data!W103)/Inputs!$C$49)+Inputs!$C$47*0.137))+0.35*COS(2*PI()*(((0)/Inputs!$C$50)+Inputs!$C$47*0.173))+0.2*SIN(2*PI()*((((Scenario_Data!W103)+(0))/(0.5*(Inputs!$C$49+Inputs!$C$50)))+Inputs!$C$47*0.097)))+0.3*(2*((SIN(((Scenario_Data!W103)*12.9898+(0)*78.233+Inputs!$C$47*37.719))*43758.5453)-INT((SIN(((Scenario_Data!W103)*12.9898+(0)*78.233+Inputs!$C$47*37.719))*43758.5453)))-1)))))/Inputs!$C$21*1000000</f>
        <v/>
      </c>
      <c r="AG103">
        <f>Scenario_Data!T103</f>
        <v/>
      </c>
      <c r="AH103">
        <f>2*(SQRT((Inputs!$C$52+(Scenario_Data!B103))^2+Inputs!$C$52^2-2*(Inputs!$C$52+(Scenario_Data!B103))*Inputs!$C$52*COS(SQRT((Scenario_Data!T103)^2+Inputs!$C$6^2)/Inputs!$C$52))*1000)/Inputs!$C$21*1000000</f>
        <v/>
      </c>
      <c r="AI103">
        <f>Scenario_Data!U103</f>
        <v/>
      </c>
      <c r="AJ103">
        <f>2*(SQRT((Inputs!$C$52+(Scenario_Data!C103))^2+Inputs!$C$52^2-2*(Inputs!$C$52+(Scenario_Data!C103))*Inputs!$C$52*COS(SQRT((Scenario_Data!U103)^2+Inputs!$C$6^2)/Inputs!$C$52))*1000)/Inputs!$C$21*1000000</f>
        <v/>
      </c>
      <c r="AK103">
        <f>Scenario_Data!V103</f>
        <v/>
      </c>
      <c r="AL103">
        <f>2*(SQRT((Inputs!$C$52+(Scenario_Data!D103))^2+Inputs!$C$52^2-2*(Inputs!$C$52+(Scenario_Data!D103))*Inputs!$C$52*COS(SQRT((Scenario_Data!V103)^2+Inputs!$C$6^2)/Inputs!$C$52))*1000)/Inputs!$C$21*1000000</f>
        <v/>
      </c>
      <c r="AM103">
        <f>Scenario_Data!W103</f>
        <v/>
      </c>
      <c r="AN103">
        <f>2*(SQRT((Inputs!$C$52+(Scenario_Data!E103))^2+Inputs!$C$52^2-2*(Inputs!$C$52+(Scenario_Data!E103))*Inputs!$C$52*COS(SQRT((Scenario_Data!W103)^2+Inputs!$C$6^2)/Inputs!$C$52))*1000)/Inputs!$C$21*1000000</f>
        <v/>
      </c>
      <c r="AP103">
        <f>Scenario_Data!T103</f>
        <v/>
      </c>
      <c r="AQ103">
        <f>2*(SQRT((Inputs!$C$52+(Scenario_Data!B103))^2+(Inputs!$C$52+((IF(OR(Inputs!$C$27=TRUE,Inputs!$C$27="TRUE",Inputs!$C$27=1),1,0)*(Inputs!$C$51*(115*EXP(-(((Inputs!$C$6)-25)^2)/(4.5^2))+70*EXP(-(((Inputs!$C$6)+38)^2)/(7^2))*(0.55+0.45*SIN(2*PI()*(Scenario_Data!T103)/45))+24*SIN(2*PI()*(Inputs!$C$6)/9+(Scenario_Data!T103)/18)*EXP(-(((Inputs!$C$6)+5)^2)/(22^2))+18*SIN(2*PI()*(Scenario_Data!T103)/70))+Inputs!$C$28*EXP(-(((Scenario_Data!T103)-Inputs!$C$29)^2)/(2*Inputs!$C$31^2))*EXP(-(((Inputs!$C$6)-Inputs!$C$30)^2)/(2*Inputs!$C$32^2))+-Inputs!$C$33*EXP(-(((((Scenario_Data!T103)-Inputs!$C$34)^2)+(((Inputs!$C$6)-Inputs!$C$35)^2))/(2*Inputs!$C$36^2)))+Inputs!$C$37*(0.55*SIN(2*PI()*(Scenario_Data!T103)/Inputs!$C$39)+0.35*COS(2*PI()*(Inputs!$C$6)/Inputs!$C$40)+0.2*SIN(2*PI()*((Scenario_Data!T103)+(Inputs!$C$6))/(0.5*(Inputs!$C$39+Inputs!$C$40))))+Inputs!$C$38*SIN(2*PI()*(Scenario_Data!T103)/Inputs!$C$39)*SIN(2*PI()*(Inputs!$C$6)/Inputs!$C$40)+-Inputs!$C$41*EXP(-(((Inputs!$C$6)-Inputs!$C$43)^2)/(2*Inputs!$C$44^2))*EXP(-(((Scenario_Data!T103)-Inputs!$C$42)^2)/(2*Inputs!$C$45^2))+Inputs!$C$48*(0.7*(0.45*SIN(2*PI()*(((Scenario_Data!T103)/Inputs!$C$49)+Inputs!$C$47*0.137))+0.35*COS(2*PI()*(((Inputs!$C$6)/Inputs!$C$50)+Inputs!$C$47*0.173))+0.2*SIN(2*PI()*((((Scenario_Data!T103)+(Inputs!$C$6))/(0.5*(Inputs!$C$49+Inputs!$C$50)))+Inputs!$C$47*0.097)))+0.3*(2*((SIN(((Scenario_Data!T103)*12.9898+(Inputs!$C$6)*78.233+Inputs!$C$47*37.719))*43758.5453)-INT((SIN(((Scenario_Data!T103)*12.9898+(Inputs!$C$6)*78.233+Inputs!$C$47*37.719))*43758.5453)))-1))))/1000))^2-2*(Inputs!$C$52+(Scenario_Data!B103))*(Inputs!$C$52+((IF(OR(Inputs!$C$27=TRUE,Inputs!$C$27="TRUE",Inputs!$C$27=1),1,0)*(Inputs!$C$51*(115*EXP(-(((Inputs!$C$6)-25)^2)/(4.5^2))+70*EXP(-(((Inputs!$C$6)+38)^2)/(7^2))*(0.55+0.45*SIN(2*PI()*(Scenario_Data!T103)/45))+24*SIN(2*PI()*(Inputs!$C$6)/9+(Scenario_Data!T103)/18)*EXP(-(((Inputs!$C$6)+5)^2)/(22^2))+18*SIN(2*PI()*(Scenario_Data!T103)/70))+Inputs!$C$28*EXP(-(((Scenario_Data!T103)-Inputs!$C$29)^2)/(2*Inputs!$C$31^2))*EXP(-(((Inputs!$C$6)-Inputs!$C$30)^2)/(2*Inputs!$C$32^2))+-Inputs!$C$33*EXP(-(((((Scenario_Data!T103)-Inputs!$C$34)^2)+(((Inputs!$C$6)-Inputs!$C$35)^2))/(2*Inputs!$C$36^2)))+Inputs!$C$37*(0.55*SIN(2*PI()*(Scenario_Data!T103)/Inputs!$C$39)+0.35*COS(2*PI()*(Inputs!$C$6)/Inputs!$C$40)+0.2*SIN(2*PI()*((Scenario_Data!T103)+(Inputs!$C$6))/(0.5*(Inputs!$C$39+Inputs!$C$40))))+Inputs!$C$38*SIN(2*PI()*(Scenario_Data!T103)/Inputs!$C$39)*SIN(2*PI()*(Inputs!$C$6)/Inputs!$C$40)+-Inputs!$C$41*EXP(-(((Inputs!$C$6)-Inputs!$C$43)^2)/(2*Inputs!$C$44^2))*EXP(-(((Scenario_Data!T103)-Inputs!$C$42)^2)/(2*Inputs!$C$45^2))+Inputs!$C$48*(0.7*(0.45*SIN(2*PI()*(((Scenario_Data!T103)/Inputs!$C$49)+Inputs!$C$47*0.137))+0.35*COS(2*PI()*(((Inputs!$C$6)/Inputs!$C$50)+Inputs!$C$47*0.173))+0.2*SIN(2*PI()*((((Scenario_Data!T103)+(Inputs!$C$6))/(0.5*(Inputs!$C$49+Inputs!$C$50)))+Inputs!$C$47*0.097)))+0.3*(2*((SIN(((Scenario_Data!T103)*12.9898+(Inputs!$C$6)*78.233+Inputs!$C$47*37.719))*43758.5453)-INT((SIN(((Scenario_Data!T103)*12.9898+(Inputs!$C$6)*78.233+Inputs!$C$47*37.719))*43758.5453)))-1))))/1000))*COS(SQRT((Scenario_Data!T103)^2+Inputs!$C$6^2)/Inputs!$C$52))*1000)/Inputs!$C$21*1000000</f>
        <v/>
      </c>
      <c r="AR103">
        <f>Scenario_Data!U103</f>
        <v/>
      </c>
      <c r="AS103">
        <f>2*(SQRT((Inputs!$C$52+(Scenario_Data!C103))^2+(Inputs!$C$52+((IF(OR(Inputs!$C$27=TRUE,Inputs!$C$27="TRUE",Inputs!$C$27=1),1,0)*(Inputs!$C$51*(115*EXP(-(((Inputs!$C$6)-25)^2)/(4.5^2))+70*EXP(-(((Inputs!$C$6)+38)^2)/(7^2))*(0.55+0.45*SIN(2*PI()*(Scenario_Data!U103)/45))+24*SIN(2*PI()*(Inputs!$C$6)/9+(Scenario_Data!U103)/18)*EXP(-(((Inputs!$C$6)+5)^2)/(22^2))+18*SIN(2*PI()*(Scenario_Data!U103)/70))+Inputs!$C$28*EXP(-(((Scenario_Data!U103)-Inputs!$C$29)^2)/(2*Inputs!$C$31^2))*EXP(-(((Inputs!$C$6)-Inputs!$C$30)^2)/(2*Inputs!$C$32^2))+-Inputs!$C$33*EXP(-(((((Scenario_Data!U103)-Inputs!$C$34)^2)+(((Inputs!$C$6)-Inputs!$C$35)^2))/(2*Inputs!$C$36^2)))+Inputs!$C$37*(0.55*SIN(2*PI()*(Scenario_Data!U103)/Inputs!$C$39)+0.35*COS(2*PI()*(Inputs!$C$6)/Inputs!$C$40)+0.2*SIN(2*PI()*((Scenario_Data!U103)+(Inputs!$C$6))/(0.5*(Inputs!$C$39+Inputs!$C$40))))+Inputs!$C$38*SIN(2*PI()*(Scenario_Data!U103)/Inputs!$C$39)*SIN(2*PI()*(Inputs!$C$6)/Inputs!$C$40)+-Inputs!$C$41*EXP(-(((Inputs!$C$6)-Inputs!$C$43)^2)/(2*Inputs!$C$44^2))*EXP(-(((Scenario_Data!U103)-Inputs!$C$42)^2)/(2*Inputs!$C$45^2))+Inputs!$C$48*(0.7*(0.45*SIN(2*PI()*(((Scenario_Data!U103)/Inputs!$C$49)+Inputs!$C$47*0.137))+0.35*COS(2*PI()*(((Inputs!$C$6)/Inputs!$C$50)+Inputs!$C$47*0.173))+0.2*SIN(2*PI()*((((Scenario_Data!U103)+(Inputs!$C$6))/(0.5*(Inputs!$C$49+Inputs!$C$50)))+Inputs!$C$47*0.097)))+0.3*(2*((SIN(((Scenario_Data!U103)*12.9898+(Inputs!$C$6)*78.233+Inputs!$C$47*37.719))*43758.5453)-INT((SIN(((Scenario_Data!U103)*12.9898+(Inputs!$C$6)*78.233+Inputs!$C$47*37.719))*43758.5453)))-1))))/1000))^2-2*(Inputs!$C$52+(Scenario_Data!C103))*(Inputs!$C$52+((IF(OR(Inputs!$C$27=TRUE,Inputs!$C$27="TRUE",Inputs!$C$27=1),1,0)*(Inputs!$C$51*(115*EXP(-(((Inputs!$C$6)-25)^2)/(4.5^2))+70*EXP(-(((Inputs!$C$6)+38)^2)/(7^2))*(0.55+0.45*SIN(2*PI()*(Scenario_Data!U103)/45))+24*SIN(2*PI()*(Inputs!$C$6)/9+(Scenario_Data!U103)/18)*EXP(-(((Inputs!$C$6)+5)^2)/(22^2))+18*SIN(2*PI()*(Scenario_Data!U103)/70))+Inputs!$C$28*EXP(-(((Scenario_Data!U103)-Inputs!$C$29)^2)/(2*Inputs!$C$31^2))*EXP(-(((Inputs!$C$6)-Inputs!$C$30)^2)/(2*Inputs!$C$32^2))+-Inputs!$C$33*EXP(-(((((Scenario_Data!U103)-Inputs!$C$34)^2)+(((Inputs!$C$6)-Inputs!$C$35)^2))/(2*Inputs!$C$36^2)))+Inputs!$C$37*(0.55*SIN(2*PI()*(Scenario_Data!U103)/Inputs!$C$39)+0.35*COS(2*PI()*(Inputs!$C$6)/Inputs!$C$40)+0.2*SIN(2*PI()*((Scenario_Data!U103)+(Inputs!$C$6))/(0.5*(Inputs!$C$39+Inputs!$C$40))))+Inputs!$C$38*SIN(2*PI()*(Scenario_Data!U103)/Inputs!$C$39)*SIN(2*PI()*(Inputs!$C$6)/Inputs!$C$40)+-Inputs!$C$41*EXP(-(((Inputs!$C$6)-Inputs!$C$43)^2)/(2*Inputs!$C$44^2))*EXP(-(((Scenario_Data!U103)-Inputs!$C$42)^2)/(2*Inputs!$C$45^2))+Inputs!$C$48*(0.7*(0.45*SIN(2*PI()*(((Scenario_Data!U103)/Inputs!$C$49)+Inputs!$C$47*0.137))+0.35*COS(2*PI()*(((Inputs!$C$6)/Inputs!$C$50)+Inputs!$C$47*0.173))+0.2*SIN(2*PI()*((((Scenario_Data!U103)+(Inputs!$C$6))/(0.5*(Inputs!$C$49+Inputs!$C$50)))+Inputs!$C$47*0.097)))+0.3*(2*((SIN(((Scenario_Data!U103)*12.9898+(Inputs!$C$6)*78.233+Inputs!$C$47*37.719))*43758.5453)-INT((SIN(((Scenario_Data!U103)*12.9898+(Inputs!$C$6)*78.233+Inputs!$C$47*37.719))*43758.5453)))-1))))/1000))*COS(SQRT((Scenario_Data!U103)^2+Inputs!$C$6^2)/Inputs!$C$52))*1000)/Inputs!$C$21*1000000</f>
        <v/>
      </c>
      <c r="AT103">
        <f>Scenario_Data!V103</f>
        <v/>
      </c>
      <c r="AU103">
        <f>2*(SQRT((Inputs!$C$52+(Scenario_Data!D103))^2+(Inputs!$C$52+((IF(OR(Inputs!$C$27=TRUE,Inputs!$C$27="TRUE",Inputs!$C$27=1),1,0)*(Inputs!$C$51*(115*EXP(-(((Inputs!$C$6)-25)^2)/(4.5^2))+70*EXP(-(((Inputs!$C$6)+38)^2)/(7^2))*(0.55+0.45*SIN(2*PI()*(Scenario_Data!V103)/45))+24*SIN(2*PI()*(Inputs!$C$6)/9+(Scenario_Data!V103)/18)*EXP(-(((Inputs!$C$6)+5)^2)/(22^2))+18*SIN(2*PI()*(Scenario_Data!V103)/70))+Inputs!$C$28*EXP(-(((Scenario_Data!V103)-Inputs!$C$29)^2)/(2*Inputs!$C$31^2))*EXP(-(((Inputs!$C$6)-Inputs!$C$30)^2)/(2*Inputs!$C$32^2))+-Inputs!$C$33*EXP(-(((((Scenario_Data!V103)-Inputs!$C$34)^2)+(((Inputs!$C$6)-Inputs!$C$35)^2))/(2*Inputs!$C$36^2)))+Inputs!$C$37*(0.55*SIN(2*PI()*(Scenario_Data!V103)/Inputs!$C$39)+0.35*COS(2*PI()*(Inputs!$C$6)/Inputs!$C$40)+0.2*SIN(2*PI()*((Scenario_Data!V103)+(Inputs!$C$6))/(0.5*(Inputs!$C$39+Inputs!$C$40))))+Inputs!$C$38*SIN(2*PI()*(Scenario_Data!V103)/Inputs!$C$39)*SIN(2*PI()*(Inputs!$C$6)/Inputs!$C$40)+-Inputs!$C$41*EXP(-(((Inputs!$C$6)-Inputs!$C$43)^2)/(2*Inputs!$C$44^2))*EXP(-(((Scenario_Data!V103)-Inputs!$C$42)^2)/(2*Inputs!$C$45^2))+Inputs!$C$48*(0.7*(0.45*SIN(2*PI()*(((Scenario_Data!V103)/Inputs!$C$49)+Inputs!$C$47*0.137))+0.35*COS(2*PI()*(((Inputs!$C$6)/Inputs!$C$50)+Inputs!$C$47*0.173))+0.2*SIN(2*PI()*((((Scenario_Data!V103)+(Inputs!$C$6))/(0.5*(Inputs!$C$49+Inputs!$C$50)))+Inputs!$C$47*0.097)))+0.3*(2*((SIN(((Scenario_Data!V103)*12.9898+(Inputs!$C$6)*78.233+Inputs!$C$47*37.719))*43758.5453)-INT((SIN(((Scenario_Data!V103)*12.9898+(Inputs!$C$6)*78.233+Inputs!$C$47*37.719))*43758.5453)))-1))))/1000))^2-2*(Inputs!$C$52+(Scenario_Data!D103))*(Inputs!$C$52+((IF(OR(Inputs!$C$27=TRUE,Inputs!$C$27="TRUE",Inputs!$C$27=1),1,0)*(Inputs!$C$51*(115*EXP(-(((Inputs!$C$6)-25)^2)/(4.5^2))+70*EXP(-(((Inputs!$C$6)+38)^2)/(7^2))*(0.55+0.45*SIN(2*PI()*(Scenario_Data!V103)/45))+24*SIN(2*PI()*(Inputs!$C$6)/9+(Scenario_Data!V103)/18)*EXP(-(((Inputs!$C$6)+5)^2)/(22^2))+18*SIN(2*PI()*(Scenario_Data!V103)/70))+Inputs!$C$28*EXP(-(((Scenario_Data!V103)-Inputs!$C$29)^2)/(2*Inputs!$C$31^2))*EXP(-(((Inputs!$C$6)-Inputs!$C$30)^2)/(2*Inputs!$C$32^2))+-Inputs!$C$33*EXP(-(((((Scenario_Data!V103)-Inputs!$C$34)^2)+(((Inputs!$C$6)-Inputs!$C$35)^2))/(2*Inputs!$C$36^2)))+Inputs!$C$37*(0.55*SIN(2*PI()*(Scenario_Data!V103)/Inputs!$C$39)+0.35*COS(2*PI()*(Inputs!$C$6)/Inputs!$C$40)+0.2*SIN(2*PI()*((Scenario_Data!V103)+(Inputs!$C$6))/(0.5*(Inputs!$C$39+Inputs!$C$40))))+Inputs!$C$38*SIN(2*PI()*(Scenario_Data!V103)/Inputs!$C$39)*SIN(2*PI()*(Inputs!$C$6)/Inputs!$C$40)+-Inputs!$C$41*EXP(-(((Inputs!$C$6)-Inputs!$C$43)^2)/(2*Inputs!$C$44^2))*EXP(-(((Scenario_Data!V103)-Inputs!$C$42)^2)/(2*Inputs!$C$45^2))+Inputs!$C$48*(0.7*(0.45*SIN(2*PI()*(((Scenario_Data!V103)/Inputs!$C$49)+Inputs!$C$47*0.137))+0.35*COS(2*PI()*(((Inputs!$C$6)/Inputs!$C$50)+Inputs!$C$47*0.173))+0.2*SIN(2*PI()*((((Scenario_Data!V103)+(Inputs!$C$6))/(0.5*(Inputs!$C$49+Inputs!$C$50)))+Inputs!$C$47*0.097)))+0.3*(2*((SIN(((Scenario_Data!V103)*12.9898+(Inputs!$C$6)*78.233+Inputs!$C$47*37.719))*43758.5453)-INT((SIN(((Scenario_Data!V103)*12.9898+(Inputs!$C$6)*78.233+Inputs!$C$47*37.719))*43758.5453)))-1))))/1000))*COS(SQRT((Scenario_Data!V103)^2+Inputs!$C$6^2)/Inputs!$C$52))*1000)/Inputs!$C$21*1000000</f>
        <v/>
      </c>
      <c r="AV103">
        <f>Scenario_Data!W103</f>
        <v/>
      </c>
      <c r="AW103">
        <f>2*(SQRT((Inputs!$C$52+(Scenario_Data!E103))^2+(Inputs!$C$52+((IF(OR(Inputs!$C$27=TRUE,Inputs!$C$27="TRUE",Inputs!$C$27=1),1,0)*(Inputs!$C$51*(115*EXP(-(((Inputs!$C$6)-25)^2)/(4.5^2))+70*EXP(-(((Inputs!$C$6)+38)^2)/(7^2))*(0.55+0.45*SIN(2*PI()*(Scenario_Data!W103)/45))+24*SIN(2*PI()*(Inputs!$C$6)/9+(Scenario_Data!W103)/18)*EXP(-(((Inputs!$C$6)+5)^2)/(22^2))+18*SIN(2*PI()*(Scenario_Data!W103)/70))+Inputs!$C$28*EXP(-(((Scenario_Data!W103)-Inputs!$C$29)^2)/(2*Inputs!$C$31^2))*EXP(-(((Inputs!$C$6)-Inputs!$C$30)^2)/(2*Inputs!$C$32^2))+-Inputs!$C$33*EXP(-(((((Scenario_Data!W103)-Inputs!$C$34)^2)+(((Inputs!$C$6)-Inputs!$C$35)^2))/(2*Inputs!$C$36^2)))+Inputs!$C$37*(0.55*SIN(2*PI()*(Scenario_Data!W103)/Inputs!$C$39)+0.35*COS(2*PI()*(Inputs!$C$6)/Inputs!$C$40)+0.2*SIN(2*PI()*((Scenario_Data!W103)+(Inputs!$C$6))/(0.5*(Inputs!$C$39+Inputs!$C$40))))+Inputs!$C$38*SIN(2*PI()*(Scenario_Data!W103)/Inputs!$C$39)*SIN(2*PI()*(Inputs!$C$6)/Inputs!$C$40)+-Inputs!$C$41*EXP(-(((Inputs!$C$6)-Inputs!$C$43)^2)/(2*Inputs!$C$44^2))*EXP(-(((Scenario_Data!W103)-Inputs!$C$42)^2)/(2*Inputs!$C$45^2))+Inputs!$C$48*(0.7*(0.45*SIN(2*PI()*(((Scenario_Data!W103)/Inputs!$C$49)+Inputs!$C$47*0.137))+0.35*COS(2*PI()*(((Inputs!$C$6)/Inputs!$C$50)+Inputs!$C$47*0.173))+0.2*SIN(2*PI()*((((Scenario_Data!W103)+(Inputs!$C$6))/(0.5*(Inputs!$C$49+Inputs!$C$50)))+Inputs!$C$47*0.097)))+0.3*(2*((SIN(((Scenario_Data!W103)*12.9898+(Inputs!$C$6)*78.233+Inputs!$C$47*37.719))*43758.5453)-INT((SIN(((Scenario_Data!W103)*12.9898+(Inputs!$C$6)*78.233+Inputs!$C$47*37.719))*43758.5453)))-1))))/1000))^2-2*(Inputs!$C$52+(Scenario_Data!E103))*(Inputs!$C$52+((IF(OR(Inputs!$C$27=TRUE,Inputs!$C$27="TRUE",Inputs!$C$27=1),1,0)*(Inputs!$C$51*(115*EXP(-(((Inputs!$C$6)-25)^2)/(4.5^2))+70*EXP(-(((Inputs!$C$6)+38)^2)/(7^2))*(0.55+0.45*SIN(2*PI()*(Scenario_Data!W103)/45))+24*SIN(2*PI()*(Inputs!$C$6)/9+(Scenario_Data!W103)/18)*EXP(-(((Inputs!$C$6)+5)^2)/(22^2))+18*SIN(2*PI()*(Scenario_Data!W103)/70))+Inputs!$C$28*EXP(-(((Scenario_Data!W103)-Inputs!$C$29)^2)/(2*Inputs!$C$31^2))*EXP(-(((Inputs!$C$6)-Inputs!$C$30)^2)/(2*Inputs!$C$32^2))+-Inputs!$C$33*EXP(-(((((Scenario_Data!W103)-Inputs!$C$34)^2)+(((Inputs!$C$6)-Inputs!$C$35)^2))/(2*Inputs!$C$36^2)))+Inputs!$C$37*(0.55*SIN(2*PI()*(Scenario_Data!W103)/Inputs!$C$39)+0.35*COS(2*PI()*(Inputs!$C$6)/Inputs!$C$40)+0.2*SIN(2*PI()*((Scenario_Data!W103)+(Inputs!$C$6))/(0.5*(Inputs!$C$39+Inputs!$C$40))))+Inputs!$C$38*SIN(2*PI()*(Scenario_Data!W103)/Inputs!$C$39)*SIN(2*PI()*(Inputs!$C$6)/Inputs!$C$40)+-Inputs!$C$41*EXP(-(((Inputs!$C$6)-Inputs!$C$43)^2)/(2*Inputs!$C$44^2))*EXP(-(((Scenario_Data!W103)-Inputs!$C$42)^2)/(2*Inputs!$C$45^2))+Inputs!$C$48*(0.7*(0.45*SIN(2*PI()*(((Scenario_Data!W103)/Inputs!$C$49)+Inputs!$C$47*0.137))+0.35*COS(2*PI()*(((Inputs!$C$6)/Inputs!$C$50)+Inputs!$C$47*0.173))+0.2*SIN(2*PI()*((((Scenario_Data!W103)+(Inputs!$C$6))/(0.5*(Inputs!$C$49+Inputs!$C$50)))+Inputs!$C$47*0.097)))+0.3*(2*((SIN(((Scenario_Data!W103)*12.9898+(Inputs!$C$6)*78.233+Inputs!$C$47*37.719))*43758.5453)-INT((SIN(((Scenario_Data!W103)*12.9898+(Inputs!$C$6)*78.233+Inputs!$C$47*37.719))*43758.5453)))-1))))/1000))*COS(SQRT((Scenario_Data!W103)^2+Inputs!$C$6^2)/Inputs!$C$52))*1000)/Inputs!$C$21*1000000</f>
        <v/>
      </c>
    </row>
    <row r="104">
      <c r="A104">
        <f>Chart_Data!K104</f>
        <v/>
      </c>
      <c r="B104">
        <f>Chart_Data!N104-Chart_Data!L104</f>
        <v/>
      </c>
      <c r="D104">
        <f>Chart_Data!G104</f>
        <v/>
      </c>
      <c r="E104">
        <f>Chart_Data!H104</f>
        <v/>
      </c>
      <c r="F104">
        <f>Chart_Data!I104</f>
        <v/>
      </c>
      <c r="G104">
        <f>Chart_Data!J104</f>
        <v/>
      </c>
      <c r="I104">
        <f>Scenario_Data!A104</f>
        <v/>
      </c>
      <c r="J104">
        <f>Scenario_Data!H104-(((SQRT((Inputs!$C$52+(Inputs!$H$6))^2+Inputs!$C$52^2-2*(Inputs!$C$52+(Inputs!$H$6))*Inputs!$C$52*COS(SQRT((Scenario_Data!T104)^2+Inputs!$C$6^2)/Inputs!$C$52)))-(Inputs!$H$6))*1000/Inputs!$C$12)</f>
        <v/>
      </c>
      <c r="K104">
        <f>Scenario_Data!I104-(((SQRT((Inputs!$C$52+(Inputs!$H$7))^2+Inputs!$C$52^2-2*(Inputs!$C$52+(Inputs!$H$7))*Inputs!$C$52*COS(SQRT((Scenario_Data!U104)^2+Inputs!$C$6^2)/Inputs!$C$52)))-(Inputs!$H$7))*1000/Inputs!$C$12)</f>
        <v/>
      </c>
      <c r="L104">
        <f>Scenario_Data!J104-(((SQRT((Inputs!$C$52+(Inputs!$H$8))^2+Inputs!$C$52^2-2*(Inputs!$C$52+(Inputs!$H$8))*Inputs!$C$52*COS(SQRT((Scenario_Data!V104)^2+Inputs!$C$6^2)/Inputs!$C$52)))-(Inputs!$H$8))*1000/Inputs!$C$12)</f>
        <v/>
      </c>
      <c r="M104">
        <f>Scenario_Data!K104-(((SQRT((Inputs!$C$52+(Inputs!$H$9))^2+Inputs!$C$52^2-2*(Inputs!$C$52+(Inputs!$H$9))*Inputs!$C$52*COS(SQRT((Scenario_Data!W104)^2+Inputs!$C$6^2)/Inputs!$C$52)))-(Inputs!$H$9))*1000/Inputs!$C$12)</f>
        <v/>
      </c>
      <c r="O104">
        <f>Scenario_Data!T104</f>
        <v/>
      </c>
      <c r="P104">
        <f>2*(Scenario_Data!B104*1000)/Inputs!$C$21*1000000</f>
        <v/>
      </c>
      <c r="Q104">
        <f>Scenario_Data!U104</f>
        <v/>
      </c>
      <c r="R104">
        <f>2*(Scenario_Data!C104*1000)/Inputs!$C$21*1000000</f>
        <v/>
      </c>
      <c r="S104">
        <f>Scenario_Data!V104</f>
        <v/>
      </c>
      <c r="T104">
        <f>2*(Scenario_Data!D104*1000)/Inputs!$C$21*1000000</f>
        <v/>
      </c>
      <c r="U104">
        <f>Scenario_Data!W104</f>
        <v/>
      </c>
      <c r="V104">
        <f>2*(Scenario_Data!E104*1000)/Inputs!$C$21*1000000</f>
        <v/>
      </c>
      <c r="X104">
        <f>Scenario_Data!T104</f>
        <v/>
      </c>
      <c r="Y104">
        <f>2*((Scenario_Data!B104*1000)-(IF(OR(Inputs!$C$27=TRUE,Inputs!$C$27="TRUE",Inputs!$C$27=1),1,0)*(Inputs!$C$51*(115*EXP(-(((0)-25)^2)/(4.5^2))+70*EXP(-(((0)+38)^2)/(7^2))*(0.55+0.45*SIN(2*PI()*(Scenario_Data!T104)/45))+24*SIN(2*PI()*(0)/9+(Scenario_Data!T104)/18)*EXP(-(((0)+5)^2)/(22^2))+18*SIN(2*PI()*(Scenario_Data!T104)/70))+Inputs!$C$28*EXP(-(((Scenario_Data!T104)-Inputs!$C$29)^2)/(2*Inputs!$C$31^2))*EXP(-(((0)-Inputs!$C$30)^2)/(2*Inputs!$C$32^2))+-Inputs!$C$33*EXP(-(((((Scenario_Data!T104)-Inputs!$C$34)^2)+(((0)-Inputs!$C$35)^2))/(2*Inputs!$C$36^2)))+Inputs!$C$37*(0.55*SIN(2*PI()*(Scenario_Data!T104)/Inputs!$C$39)+0.35*COS(2*PI()*(0)/Inputs!$C$40)+0.2*SIN(2*PI()*((Scenario_Data!T104)+(0))/(0.5*(Inputs!$C$39+Inputs!$C$40))))+Inputs!$C$38*SIN(2*PI()*(Scenario_Data!T104)/Inputs!$C$39)*SIN(2*PI()*(0)/Inputs!$C$40)+-Inputs!$C$41*EXP(-(((0)-Inputs!$C$43)^2)/(2*Inputs!$C$44^2))*EXP(-(((Scenario_Data!T104)-Inputs!$C$42)^2)/(2*Inputs!$C$45^2))+Inputs!$C$48*(0.7*(0.45*SIN(2*PI()*(((Scenario_Data!T104)/Inputs!$C$49)+Inputs!$C$47*0.137))+0.35*COS(2*PI()*(((0)/Inputs!$C$50)+Inputs!$C$47*0.173))+0.2*SIN(2*PI()*((((Scenario_Data!T104)+(0))/(0.5*(Inputs!$C$49+Inputs!$C$50)))+Inputs!$C$47*0.097)))+0.3*(2*((SIN(((Scenario_Data!T104)*12.9898+(0)*78.233+Inputs!$C$47*37.719))*43758.5453)-INT((SIN(((Scenario_Data!T104)*12.9898+(0)*78.233+Inputs!$C$47*37.719))*43758.5453)))-1)))))/Inputs!$C$21*1000000</f>
        <v/>
      </c>
      <c r="Z104">
        <f>Scenario_Data!U104</f>
        <v/>
      </c>
      <c r="AA104">
        <f>2*((Scenario_Data!C104*1000)-(IF(OR(Inputs!$C$27=TRUE,Inputs!$C$27="TRUE",Inputs!$C$27=1),1,0)*(Inputs!$C$51*(115*EXP(-(((0)-25)^2)/(4.5^2))+70*EXP(-(((0)+38)^2)/(7^2))*(0.55+0.45*SIN(2*PI()*(Scenario_Data!U104)/45))+24*SIN(2*PI()*(0)/9+(Scenario_Data!U104)/18)*EXP(-(((0)+5)^2)/(22^2))+18*SIN(2*PI()*(Scenario_Data!U104)/70))+Inputs!$C$28*EXP(-(((Scenario_Data!U104)-Inputs!$C$29)^2)/(2*Inputs!$C$31^2))*EXP(-(((0)-Inputs!$C$30)^2)/(2*Inputs!$C$32^2))+-Inputs!$C$33*EXP(-(((((Scenario_Data!U104)-Inputs!$C$34)^2)+(((0)-Inputs!$C$35)^2))/(2*Inputs!$C$36^2)))+Inputs!$C$37*(0.55*SIN(2*PI()*(Scenario_Data!U104)/Inputs!$C$39)+0.35*COS(2*PI()*(0)/Inputs!$C$40)+0.2*SIN(2*PI()*((Scenario_Data!U104)+(0))/(0.5*(Inputs!$C$39+Inputs!$C$40))))+Inputs!$C$38*SIN(2*PI()*(Scenario_Data!U104)/Inputs!$C$39)*SIN(2*PI()*(0)/Inputs!$C$40)+-Inputs!$C$41*EXP(-(((0)-Inputs!$C$43)^2)/(2*Inputs!$C$44^2))*EXP(-(((Scenario_Data!U104)-Inputs!$C$42)^2)/(2*Inputs!$C$45^2))+Inputs!$C$48*(0.7*(0.45*SIN(2*PI()*(((Scenario_Data!U104)/Inputs!$C$49)+Inputs!$C$47*0.137))+0.35*COS(2*PI()*(((0)/Inputs!$C$50)+Inputs!$C$47*0.173))+0.2*SIN(2*PI()*((((Scenario_Data!U104)+(0))/(0.5*(Inputs!$C$49+Inputs!$C$50)))+Inputs!$C$47*0.097)))+0.3*(2*((SIN(((Scenario_Data!U104)*12.9898+(0)*78.233+Inputs!$C$47*37.719))*43758.5453)-INT((SIN(((Scenario_Data!U104)*12.9898+(0)*78.233+Inputs!$C$47*37.719))*43758.5453)))-1)))))/Inputs!$C$21*1000000</f>
        <v/>
      </c>
      <c r="AB104">
        <f>Scenario_Data!V104</f>
        <v/>
      </c>
      <c r="AC104">
        <f>2*((Scenario_Data!D104*1000)-(IF(OR(Inputs!$C$27=TRUE,Inputs!$C$27="TRUE",Inputs!$C$27=1),1,0)*(Inputs!$C$51*(115*EXP(-(((0)-25)^2)/(4.5^2))+70*EXP(-(((0)+38)^2)/(7^2))*(0.55+0.45*SIN(2*PI()*(Scenario_Data!V104)/45))+24*SIN(2*PI()*(0)/9+(Scenario_Data!V104)/18)*EXP(-(((0)+5)^2)/(22^2))+18*SIN(2*PI()*(Scenario_Data!V104)/70))+Inputs!$C$28*EXP(-(((Scenario_Data!V104)-Inputs!$C$29)^2)/(2*Inputs!$C$31^2))*EXP(-(((0)-Inputs!$C$30)^2)/(2*Inputs!$C$32^2))+-Inputs!$C$33*EXP(-(((((Scenario_Data!V104)-Inputs!$C$34)^2)+(((0)-Inputs!$C$35)^2))/(2*Inputs!$C$36^2)))+Inputs!$C$37*(0.55*SIN(2*PI()*(Scenario_Data!V104)/Inputs!$C$39)+0.35*COS(2*PI()*(0)/Inputs!$C$40)+0.2*SIN(2*PI()*((Scenario_Data!V104)+(0))/(0.5*(Inputs!$C$39+Inputs!$C$40))))+Inputs!$C$38*SIN(2*PI()*(Scenario_Data!V104)/Inputs!$C$39)*SIN(2*PI()*(0)/Inputs!$C$40)+-Inputs!$C$41*EXP(-(((0)-Inputs!$C$43)^2)/(2*Inputs!$C$44^2))*EXP(-(((Scenario_Data!V104)-Inputs!$C$42)^2)/(2*Inputs!$C$45^2))+Inputs!$C$48*(0.7*(0.45*SIN(2*PI()*(((Scenario_Data!V104)/Inputs!$C$49)+Inputs!$C$47*0.137))+0.35*COS(2*PI()*(((0)/Inputs!$C$50)+Inputs!$C$47*0.173))+0.2*SIN(2*PI()*((((Scenario_Data!V104)+(0))/(0.5*(Inputs!$C$49+Inputs!$C$50)))+Inputs!$C$47*0.097)))+0.3*(2*((SIN(((Scenario_Data!V104)*12.9898+(0)*78.233+Inputs!$C$47*37.719))*43758.5453)-INT((SIN(((Scenario_Data!V104)*12.9898+(0)*78.233+Inputs!$C$47*37.719))*43758.5453)))-1)))))/Inputs!$C$21*1000000</f>
        <v/>
      </c>
      <c r="AD104">
        <f>Scenario_Data!W104</f>
        <v/>
      </c>
      <c r="AE104">
        <f>2*((Scenario_Data!E104*1000)-(IF(OR(Inputs!$C$27=TRUE,Inputs!$C$27="TRUE",Inputs!$C$27=1),1,0)*(Inputs!$C$51*(115*EXP(-(((0)-25)^2)/(4.5^2))+70*EXP(-(((0)+38)^2)/(7^2))*(0.55+0.45*SIN(2*PI()*(Scenario_Data!W104)/45))+24*SIN(2*PI()*(0)/9+(Scenario_Data!W104)/18)*EXP(-(((0)+5)^2)/(22^2))+18*SIN(2*PI()*(Scenario_Data!W104)/70))+Inputs!$C$28*EXP(-(((Scenario_Data!W104)-Inputs!$C$29)^2)/(2*Inputs!$C$31^2))*EXP(-(((0)-Inputs!$C$30)^2)/(2*Inputs!$C$32^2))+-Inputs!$C$33*EXP(-(((((Scenario_Data!W104)-Inputs!$C$34)^2)+(((0)-Inputs!$C$35)^2))/(2*Inputs!$C$36^2)))+Inputs!$C$37*(0.55*SIN(2*PI()*(Scenario_Data!W104)/Inputs!$C$39)+0.35*COS(2*PI()*(0)/Inputs!$C$40)+0.2*SIN(2*PI()*((Scenario_Data!W104)+(0))/(0.5*(Inputs!$C$39+Inputs!$C$40))))+Inputs!$C$38*SIN(2*PI()*(Scenario_Data!W104)/Inputs!$C$39)*SIN(2*PI()*(0)/Inputs!$C$40)+-Inputs!$C$41*EXP(-(((0)-Inputs!$C$43)^2)/(2*Inputs!$C$44^2))*EXP(-(((Scenario_Data!W104)-Inputs!$C$42)^2)/(2*Inputs!$C$45^2))+Inputs!$C$48*(0.7*(0.45*SIN(2*PI()*(((Scenario_Data!W104)/Inputs!$C$49)+Inputs!$C$47*0.137))+0.35*COS(2*PI()*(((0)/Inputs!$C$50)+Inputs!$C$47*0.173))+0.2*SIN(2*PI()*((((Scenario_Data!W104)+(0))/(0.5*(Inputs!$C$49+Inputs!$C$50)))+Inputs!$C$47*0.097)))+0.3*(2*((SIN(((Scenario_Data!W104)*12.9898+(0)*78.233+Inputs!$C$47*37.719))*43758.5453)-INT((SIN(((Scenario_Data!W104)*12.9898+(0)*78.233+Inputs!$C$47*37.719))*43758.5453)))-1)))))/Inputs!$C$21*1000000</f>
        <v/>
      </c>
      <c r="AG104">
        <f>Scenario_Data!T104</f>
        <v/>
      </c>
      <c r="AH104">
        <f>2*(SQRT((Inputs!$C$52+(Scenario_Data!B104))^2+Inputs!$C$52^2-2*(Inputs!$C$52+(Scenario_Data!B104))*Inputs!$C$52*COS(SQRT((Scenario_Data!T104)^2+Inputs!$C$6^2)/Inputs!$C$52))*1000)/Inputs!$C$21*1000000</f>
        <v/>
      </c>
      <c r="AI104">
        <f>Scenario_Data!U104</f>
        <v/>
      </c>
      <c r="AJ104">
        <f>2*(SQRT((Inputs!$C$52+(Scenario_Data!C104))^2+Inputs!$C$52^2-2*(Inputs!$C$52+(Scenario_Data!C104))*Inputs!$C$52*COS(SQRT((Scenario_Data!U104)^2+Inputs!$C$6^2)/Inputs!$C$52))*1000)/Inputs!$C$21*1000000</f>
        <v/>
      </c>
      <c r="AK104">
        <f>Scenario_Data!V104</f>
        <v/>
      </c>
      <c r="AL104">
        <f>2*(SQRT((Inputs!$C$52+(Scenario_Data!D104))^2+Inputs!$C$52^2-2*(Inputs!$C$52+(Scenario_Data!D104))*Inputs!$C$52*COS(SQRT((Scenario_Data!V104)^2+Inputs!$C$6^2)/Inputs!$C$52))*1000)/Inputs!$C$21*1000000</f>
        <v/>
      </c>
      <c r="AM104">
        <f>Scenario_Data!W104</f>
        <v/>
      </c>
      <c r="AN104">
        <f>2*(SQRT((Inputs!$C$52+(Scenario_Data!E104))^2+Inputs!$C$52^2-2*(Inputs!$C$52+(Scenario_Data!E104))*Inputs!$C$52*COS(SQRT((Scenario_Data!W104)^2+Inputs!$C$6^2)/Inputs!$C$52))*1000)/Inputs!$C$21*1000000</f>
        <v/>
      </c>
      <c r="AP104">
        <f>Scenario_Data!T104</f>
        <v/>
      </c>
      <c r="AQ104">
        <f>2*(SQRT((Inputs!$C$52+(Scenario_Data!B104))^2+(Inputs!$C$52+((IF(OR(Inputs!$C$27=TRUE,Inputs!$C$27="TRUE",Inputs!$C$27=1),1,0)*(Inputs!$C$51*(115*EXP(-(((Inputs!$C$6)-25)^2)/(4.5^2))+70*EXP(-(((Inputs!$C$6)+38)^2)/(7^2))*(0.55+0.45*SIN(2*PI()*(Scenario_Data!T104)/45))+24*SIN(2*PI()*(Inputs!$C$6)/9+(Scenario_Data!T104)/18)*EXP(-(((Inputs!$C$6)+5)^2)/(22^2))+18*SIN(2*PI()*(Scenario_Data!T104)/70))+Inputs!$C$28*EXP(-(((Scenario_Data!T104)-Inputs!$C$29)^2)/(2*Inputs!$C$31^2))*EXP(-(((Inputs!$C$6)-Inputs!$C$30)^2)/(2*Inputs!$C$32^2))+-Inputs!$C$33*EXP(-(((((Scenario_Data!T104)-Inputs!$C$34)^2)+(((Inputs!$C$6)-Inputs!$C$35)^2))/(2*Inputs!$C$36^2)))+Inputs!$C$37*(0.55*SIN(2*PI()*(Scenario_Data!T104)/Inputs!$C$39)+0.35*COS(2*PI()*(Inputs!$C$6)/Inputs!$C$40)+0.2*SIN(2*PI()*((Scenario_Data!T104)+(Inputs!$C$6))/(0.5*(Inputs!$C$39+Inputs!$C$40))))+Inputs!$C$38*SIN(2*PI()*(Scenario_Data!T104)/Inputs!$C$39)*SIN(2*PI()*(Inputs!$C$6)/Inputs!$C$40)+-Inputs!$C$41*EXP(-(((Inputs!$C$6)-Inputs!$C$43)^2)/(2*Inputs!$C$44^2))*EXP(-(((Scenario_Data!T104)-Inputs!$C$42)^2)/(2*Inputs!$C$45^2))+Inputs!$C$48*(0.7*(0.45*SIN(2*PI()*(((Scenario_Data!T104)/Inputs!$C$49)+Inputs!$C$47*0.137))+0.35*COS(2*PI()*(((Inputs!$C$6)/Inputs!$C$50)+Inputs!$C$47*0.173))+0.2*SIN(2*PI()*((((Scenario_Data!T104)+(Inputs!$C$6))/(0.5*(Inputs!$C$49+Inputs!$C$50)))+Inputs!$C$47*0.097)))+0.3*(2*((SIN(((Scenario_Data!T104)*12.9898+(Inputs!$C$6)*78.233+Inputs!$C$47*37.719))*43758.5453)-INT((SIN(((Scenario_Data!T104)*12.9898+(Inputs!$C$6)*78.233+Inputs!$C$47*37.719))*43758.5453)))-1))))/1000))^2-2*(Inputs!$C$52+(Scenario_Data!B104))*(Inputs!$C$52+((IF(OR(Inputs!$C$27=TRUE,Inputs!$C$27="TRUE",Inputs!$C$27=1),1,0)*(Inputs!$C$51*(115*EXP(-(((Inputs!$C$6)-25)^2)/(4.5^2))+70*EXP(-(((Inputs!$C$6)+38)^2)/(7^2))*(0.55+0.45*SIN(2*PI()*(Scenario_Data!T104)/45))+24*SIN(2*PI()*(Inputs!$C$6)/9+(Scenario_Data!T104)/18)*EXP(-(((Inputs!$C$6)+5)^2)/(22^2))+18*SIN(2*PI()*(Scenario_Data!T104)/70))+Inputs!$C$28*EXP(-(((Scenario_Data!T104)-Inputs!$C$29)^2)/(2*Inputs!$C$31^2))*EXP(-(((Inputs!$C$6)-Inputs!$C$30)^2)/(2*Inputs!$C$32^2))+-Inputs!$C$33*EXP(-(((((Scenario_Data!T104)-Inputs!$C$34)^2)+(((Inputs!$C$6)-Inputs!$C$35)^2))/(2*Inputs!$C$36^2)))+Inputs!$C$37*(0.55*SIN(2*PI()*(Scenario_Data!T104)/Inputs!$C$39)+0.35*COS(2*PI()*(Inputs!$C$6)/Inputs!$C$40)+0.2*SIN(2*PI()*((Scenario_Data!T104)+(Inputs!$C$6))/(0.5*(Inputs!$C$39+Inputs!$C$40))))+Inputs!$C$38*SIN(2*PI()*(Scenario_Data!T104)/Inputs!$C$39)*SIN(2*PI()*(Inputs!$C$6)/Inputs!$C$40)+-Inputs!$C$41*EXP(-(((Inputs!$C$6)-Inputs!$C$43)^2)/(2*Inputs!$C$44^2))*EXP(-(((Scenario_Data!T104)-Inputs!$C$42)^2)/(2*Inputs!$C$45^2))+Inputs!$C$48*(0.7*(0.45*SIN(2*PI()*(((Scenario_Data!T104)/Inputs!$C$49)+Inputs!$C$47*0.137))+0.35*COS(2*PI()*(((Inputs!$C$6)/Inputs!$C$50)+Inputs!$C$47*0.173))+0.2*SIN(2*PI()*((((Scenario_Data!T104)+(Inputs!$C$6))/(0.5*(Inputs!$C$49+Inputs!$C$50)))+Inputs!$C$47*0.097)))+0.3*(2*((SIN(((Scenario_Data!T104)*12.9898+(Inputs!$C$6)*78.233+Inputs!$C$47*37.719))*43758.5453)-INT((SIN(((Scenario_Data!T104)*12.9898+(Inputs!$C$6)*78.233+Inputs!$C$47*37.719))*43758.5453)))-1))))/1000))*COS(SQRT((Scenario_Data!T104)^2+Inputs!$C$6^2)/Inputs!$C$52))*1000)/Inputs!$C$21*1000000</f>
        <v/>
      </c>
      <c r="AR104">
        <f>Scenario_Data!U104</f>
        <v/>
      </c>
      <c r="AS104">
        <f>2*(SQRT((Inputs!$C$52+(Scenario_Data!C104))^2+(Inputs!$C$52+((IF(OR(Inputs!$C$27=TRUE,Inputs!$C$27="TRUE",Inputs!$C$27=1),1,0)*(Inputs!$C$51*(115*EXP(-(((Inputs!$C$6)-25)^2)/(4.5^2))+70*EXP(-(((Inputs!$C$6)+38)^2)/(7^2))*(0.55+0.45*SIN(2*PI()*(Scenario_Data!U104)/45))+24*SIN(2*PI()*(Inputs!$C$6)/9+(Scenario_Data!U104)/18)*EXP(-(((Inputs!$C$6)+5)^2)/(22^2))+18*SIN(2*PI()*(Scenario_Data!U104)/70))+Inputs!$C$28*EXP(-(((Scenario_Data!U104)-Inputs!$C$29)^2)/(2*Inputs!$C$31^2))*EXP(-(((Inputs!$C$6)-Inputs!$C$30)^2)/(2*Inputs!$C$32^2))+-Inputs!$C$33*EXP(-(((((Scenario_Data!U104)-Inputs!$C$34)^2)+(((Inputs!$C$6)-Inputs!$C$35)^2))/(2*Inputs!$C$36^2)))+Inputs!$C$37*(0.55*SIN(2*PI()*(Scenario_Data!U104)/Inputs!$C$39)+0.35*COS(2*PI()*(Inputs!$C$6)/Inputs!$C$40)+0.2*SIN(2*PI()*((Scenario_Data!U104)+(Inputs!$C$6))/(0.5*(Inputs!$C$39+Inputs!$C$40))))+Inputs!$C$38*SIN(2*PI()*(Scenario_Data!U104)/Inputs!$C$39)*SIN(2*PI()*(Inputs!$C$6)/Inputs!$C$40)+-Inputs!$C$41*EXP(-(((Inputs!$C$6)-Inputs!$C$43)^2)/(2*Inputs!$C$44^2))*EXP(-(((Scenario_Data!U104)-Inputs!$C$42)^2)/(2*Inputs!$C$45^2))+Inputs!$C$48*(0.7*(0.45*SIN(2*PI()*(((Scenario_Data!U104)/Inputs!$C$49)+Inputs!$C$47*0.137))+0.35*COS(2*PI()*(((Inputs!$C$6)/Inputs!$C$50)+Inputs!$C$47*0.173))+0.2*SIN(2*PI()*((((Scenario_Data!U104)+(Inputs!$C$6))/(0.5*(Inputs!$C$49+Inputs!$C$50)))+Inputs!$C$47*0.097)))+0.3*(2*((SIN(((Scenario_Data!U104)*12.9898+(Inputs!$C$6)*78.233+Inputs!$C$47*37.719))*43758.5453)-INT((SIN(((Scenario_Data!U104)*12.9898+(Inputs!$C$6)*78.233+Inputs!$C$47*37.719))*43758.5453)))-1))))/1000))^2-2*(Inputs!$C$52+(Scenario_Data!C104))*(Inputs!$C$52+((IF(OR(Inputs!$C$27=TRUE,Inputs!$C$27="TRUE",Inputs!$C$27=1),1,0)*(Inputs!$C$51*(115*EXP(-(((Inputs!$C$6)-25)^2)/(4.5^2))+70*EXP(-(((Inputs!$C$6)+38)^2)/(7^2))*(0.55+0.45*SIN(2*PI()*(Scenario_Data!U104)/45))+24*SIN(2*PI()*(Inputs!$C$6)/9+(Scenario_Data!U104)/18)*EXP(-(((Inputs!$C$6)+5)^2)/(22^2))+18*SIN(2*PI()*(Scenario_Data!U104)/70))+Inputs!$C$28*EXP(-(((Scenario_Data!U104)-Inputs!$C$29)^2)/(2*Inputs!$C$31^2))*EXP(-(((Inputs!$C$6)-Inputs!$C$30)^2)/(2*Inputs!$C$32^2))+-Inputs!$C$33*EXP(-(((((Scenario_Data!U104)-Inputs!$C$34)^2)+(((Inputs!$C$6)-Inputs!$C$35)^2))/(2*Inputs!$C$36^2)))+Inputs!$C$37*(0.55*SIN(2*PI()*(Scenario_Data!U104)/Inputs!$C$39)+0.35*COS(2*PI()*(Inputs!$C$6)/Inputs!$C$40)+0.2*SIN(2*PI()*((Scenario_Data!U104)+(Inputs!$C$6))/(0.5*(Inputs!$C$39+Inputs!$C$40))))+Inputs!$C$38*SIN(2*PI()*(Scenario_Data!U104)/Inputs!$C$39)*SIN(2*PI()*(Inputs!$C$6)/Inputs!$C$40)+-Inputs!$C$41*EXP(-(((Inputs!$C$6)-Inputs!$C$43)^2)/(2*Inputs!$C$44^2))*EXP(-(((Scenario_Data!U104)-Inputs!$C$42)^2)/(2*Inputs!$C$45^2))+Inputs!$C$48*(0.7*(0.45*SIN(2*PI()*(((Scenario_Data!U104)/Inputs!$C$49)+Inputs!$C$47*0.137))+0.35*COS(2*PI()*(((Inputs!$C$6)/Inputs!$C$50)+Inputs!$C$47*0.173))+0.2*SIN(2*PI()*((((Scenario_Data!U104)+(Inputs!$C$6))/(0.5*(Inputs!$C$49+Inputs!$C$50)))+Inputs!$C$47*0.097)))+0.3*(2*((SIN(((Scenario_Data!U104)*12.9898+(Inputs!$C$6)*78.233+Inputs!$C$47*37.719))*43758.5453)-INT((SIN(((Scenario_Data!U104)*12.9898+(Inputs!$C$6)*78.233+Inputs!$C$47*37.719))*43758.5453)))-1))))/1000))*COS(SQRT((Scenario_Data!U104)^2+Inputs!$C$6^2)/Inputs!$C$52))*1000)/Inputs!$C$21*1000000</f>
        <v/>
      </c>
      <c r="AT104">
        <f>Scenario_Data!V104</f>
        <v/>
      </c>
      <c r="AU104">
        <f>2*(SQRT((Inputs!$C$52+(Scenario_Data!D104))^2+(Inputs!$C$52+((IF(OR(Inputs!$C$27=TRUE,Inputs!$C$27="TRUE",Inputs!$C$27=1),1,0)*(Inputs!$C$51*(115*EXP(-(((Inputs!$C$6)-25)^2)/(4.5^2))+70*EXP(-(((Inputs!$C$6)+38)^2)/(7^2))*(0.55+0.45*SIN(2*PI()*(Scenario_Data!V104)/45))+24*SIN(2*PI()*(Inputs!$C$6)/9+(Scenario_Data!V104)/18)*EXP(-(((Inputs!$C$6)+5)^2)/(22^2))+18*SIN(2*PI()*(Scenario_Data!V104)/70))+Inputs!$C$28*EXP(-(((Scenario_Data!V104)-Inputs!$C$29)^2)/(2*Inputs!$C$31^2))*EXP(-(((Inputs!$C$6)-Inputs!$C$30)^2)/(2*Inputs!$C$32^2))+-Inputs!$C$33*EXP(-(((((Scenario_Data!V104)-Inputs!$C$34)^2)+(((Inputs!$C$6)-Inputs!$C$35)^2))/(2*Inputs!$C$36^2)))+Inputs!$C$37*(0.55*SIN(2*PI()*(Scenario_Data!V104)/Inputs!$C$39)+0.35*COS(2*PI()*(Inputs!$C$6)/Inputs!$C$40)+0.2*SIN(2*PI()*((Scenario_Data!V104)+(Inputs!$C$6))/(0.5*(Inputs!$C$39+Inputs!$C$40))))+Inputs!$C$38*SIN(2*PI()*(Scenario_Data!V104)/Inputs!$C$39)*SIN(2*PI()*(Inputs!$C$6)/Inputs!$C$40)+-Inputs!$C$41*EXP(-(((Inputs!$C$6)-Inputs!$C$43)^2)/(2*Inputs!$C$44^2))*EXP(-(((Scenario_Data!V104)-Inputs!$C$42)^2)/(2*Inputs!$C$45^2))+Inputs!$C$48*(0.7*(0.45*SIN(2*PI()*(((Scenario_Data!V104)/Inputs!$C$49)+Inputs!$C$47*0.137))+0.35*COS(2*PI()*(((Inputs!$C$6)/Inputs!$C$50)+Inputs!$C$47*0.173))+0.2*SIN(2*PI()*((((Scenario_Data!V104)+(Inputs!$C$6))/(0.5*(Inputs!$C$49+Inputs!$C$50)))+Inputs!$C$47*0.097)))+0.3*(2*((SIN(((Scenario_Data!V104)*12.9898+(Inputs!$C$6)*78.233+Inputs!$C$47*37.719))*43758.5453)-INT((SIN(((Scenario_Data!V104)*12.9898+(Inputs!$C$6)*78.233+Inputs!$C$47*37.719))*43758.5453)))-1))))/1000))^2-2*(Inputs!$C$52+(Scenario_Data!D104))*(Inputs!$C$52+((IF(OR(Inputs!$C$27=TRUE,Inputs!$C$27="TRUE",Inputs!$C$27=1),1,0)*(Inputs!$C$51*(115*EXP(-(((Inputs!$C$6)-25)^2)/(4.5^2))+70*EXP(-(((Inputs!$C$6)+38)^2)/(7^2))*(0.55+0.45*SIN(2*PI()*(Scenario_Data!V104)/45))+24*SIN(2*PI()*(Inputs!$C$6)/9+(Scenario_Data!V104)/18)*EXP(-(((Inputs!$C$6)+5)^2)/(22^2))+18*SIN(2*PI()*(Scenario_Data!V104)/70))+Inputs!$C$28*EXP(-(((Scenario_Data!V104)-Inputs!$C$29)^2)/(2*Inputs!$C$31^2))*EXP(-(((Inputs!$C$6)-Inputs!$C$30)^2)/(2*Inputs!$C$32^2))+-Inputs!$C$33*EXP(-(((((Scenario_Data!V104)-Inputs!$C$34)^2)+(((Inputs!$C$6)-Inputs!$C$35)^2))/(2*Inputs!$C$36^2)))+Inputs!$C$37*(0.55*SIN(2*PI()*(Scenario_Data!V104)/Inputs!$C$39)+0.35*COS(2*PI()*(Inputs!$C$6)/Inputs!$C$40)+0.2*SIN(2*PI()*((Scenario_Data!V104)+(Inputs!$C$6))/(0.5*(Inputs!$C$39+Inputs!$C$40))))+Inputs!$C$38*SIN(2*PI()*(Scenario_Data!V104)/Inputs!$C$39)*SIN(2*PI()*(Inputs!$C$6)/Inputs!$C$40)+-Inputs!$C$41*EXP(-(((Inputs!$C$6)-Inputs!$C$43)^2)/(2*Inputs!$C$44^2))*EXP(-(((Scenario_Data!V104)-Inputs!$C$42)^2)/(2*Inputs!$C$45^2))+Inputs!$C$48*(0.7*(0.45*SIN(2*PI()*(((Scenario_Data!V104)/Inputs!$C$49)+Inputs!$C$47*0.137))+0.35*COS(2*PI()*(((Inputs!$C$6)/Inputs!$C$50)+Inputs!$C$47*0.173))+0.2*SIN(2*PI()*((((Scenario_Data!V104)+(Inputs!$C$6))/(0.5*(Inputs!$C$49+Inputs!$C$50)))+Inputs!$C$47*0.097)))+0.3*(2*((SIN(((Scenario_Data!V104)*12.9898+(Inputs!$C$6)*78.233+Inputs!$C$47*37.719))*43758.5453)-INT((SIN(((Scenario_Data!V104)*12.9898+(Inputs!$C$6)*78.233+Inputs!$C$47*37.719))*43758.5453)))-1))))/1000))*COS(SQRT((Scenario_Data!V104)^2+Inputs!$C$6^2)/Inputs!$C$52))*1000)/Inputs!$C$21*1000000</f>
        <v/>
      </c>
      <c r="AV104">
        <f>Scenario_Data!W104</f>
        <v/>
      </c>
      <c r="AW104">
        <f>2*(SQRT((Inputs!$C$52+(Scenario_Data!E104))^2+(Inputs!$C$52+((IF(OR(Inputs!$C$27=TRUE,Inputs!$C$27="TRUE",Inputs!$C$27=1),1,0)*(Inputs!$C$51*(115*EXP(-(((Inputs!$C$6)-25)^2)/(4.5^2))+70*EXP(-(((Inputs!$C$6)+38)^2)/(7^2))*(0.55+0.45*SIN(2*PI()*(Scenario_Data!W104)/45))+24*SIN(2*PI()*(Inputs!$C$6)/9+(Scenario_Data!W104)/18)*EXP(-(((Inputs!$C$6)+5)^2)/(22^2))+18*SIN(2*PI()*(Scenario_Data!W104)/70))+Inputs!$C$28*EXP(-(((Scenario_Data!W104)-Inputs!$C$29)^2)/(2*Inputs!$C$31^2))*EXP(-(((Inputs!$C$6)-Inputs!$C$30)^2)/(2*Inputs!$C$32^2))+-Inputs!$C$33*EXP(-(((((Scenario_Data!W104)-Inputs!$C$34)^2)+(((Inputs!$C$6)-Inputs!$C$35)^2))/(2*Inputs!$C$36^2)))+Inputs!$C$37*(0.55*SIN(2*PI()*(Scenario_Data!W104)/Inputs!$C$39)+0.35*COS(2*PI()*(Inputs!$C$6)/Inputs!$C$40)+0.2*SIN(2*PI()*((Scenario_Data!W104)+(Inputs!$C$6))/(0.5*(Inputs!$C$39+Inputs!$C$40))))+Inputs!$C$38*SIN(2*PI()*(Scenario_Data!W104)/Inputs!$C$39)*SIN(2*PI()*(Inputs!$C$6)/Inputs!$C$40)+-Inputs!$C$41*EXP(-(((Inputs!$C$6)-Inputs!$C$43)^2)/(2*Inputs!$C$44^2))*EXP(-(((Scenario_Data!W104)-Inputs!$C$42)^2)/(2*Inputs!$C$45^2))+Inputs!$C$48*(0.7*(0.45*SIN(2*PI()*(((Scenario_Data!W104)/Inputs!$C$49)+Inputs!$C$47*0.137))+0.35*COS(2*PI()*(((Inputs!$C$6)/Inputs!$C$50)+Inputs!$C$47*0.173))+0.2*SIN(2*PI()*((((Scenario_Data!W104)+(Inputs!$C$6))/(0.5*(Inputs!$C$49+Inputs!$C$50)))+Inputs!$C$47*0.097)))+0.3*(2*((SIN(((Scenario_Data!W104)*12.9898+(Inputs!$C$6)*78.233+Inputs!$C$47*37.719))*43758.5453)-INT((SIN(((Scenario_Data!W104)*12.9898+(Inputs!$C$6)*78.233+Inputs!$C$47*37.719))*43758.5453)))-1))))/1000))^2-2*(Inputs!$C$52+(Scenario_Data!E104))*(Inputs!$C$52+((IF(OR(Inputs!$C$27=TRUE,Inputs!$C$27="TRUE",Inputs!$C$27=1),1,0)*(Inputs!$C$51*(115*EXP(-(((Inputs!$C$6)-25)^2)/(4.5^2))+70*EXP(-(((Inputs!$C$6)+38)^2)/(7^2))*(0.55+0.45*SIN(2*PI()*(Scenario_Data!W104)/45))+24*SIN(2*PI()*(Inputs!$C$6)/9+(Scenario_Data!W104)/18)*EXP(-(((Inputs!$C$6)+5)^2)/(22^2))+18*SIN(2*PI()*(Scenario_Data!W104)/70))+Inputs!$C$28*EXP(-(((Scenario_Data!W104)-Inputs!$C$29)^2)/(2*Inputs!$C$31^2))*EXP(-(((Inputs!$C$6)-Inputs!$C$30)^2)/(2*Inputs!$C$32^2))+-Inputs!$C$33*EXP(-(((((Scenario_Data!W104)-Inputs!$C$34)^2)+(((Inputs!$C$6)-Inputs!$C$35)^2))/(2*Inputs!$C$36^2)))+Inputs!$C$37*(0.55*SIN(2*PI()*(Scenario_Data!W104)/Inputs!$C$39)+0.35*COS(2*PI()*(Inputs!$C$6)/Inputs!$C$40)+0.2*SIN(2*PI()*((Scenario_Data!W104)+(Inputs!$C$6))/(0.5*(Inputs!$C$39+Inputs!$C$40))))+Inputs!$C$38*SIN(2*PI()*(Scenario_Data!W104)/Inputs!$C$39)*SIN(2*PI()*(Inputs!$C$6)/Inputs!$C$40)+-Inputs!$C$41*EXP(-(((Inputs!$C$6)-Inputs!$C$43)^2)/(2*Inputs!$C$44^2))*EXP(-(((Scenario_Data!W104)-Inputs!$C$42)^2)/(2*Inputs!$C$45^2))+Inputs!$C$48*(0.7*(0.45*SIN(2*PI()*(((Scenario_Data!W104)/Inputs!$C$49)+Inputs!$C$47*0.137))+0.35*COS(2*PI()*(((Inputs!$C$6)/Inputs!$C$50)+Inputs!$C$47*0.173))+0.2*SIN(2*PI()*((((Scenario_Data!W104)+(Inputs!$C$6))/(0.5*(Inputs!$C$49+Inputs!$C$50)))+Inputs!$C$47*0.097)))+0.3*(2*((SIN(((Scenario_Data!W104)*12.9898+(Inputs!$C$6)*78.233+Inputs!$C$47*37.719))*43758.5453)-INT((SIN(((Scenario_Data!W104)*12.9898+(Inputs!$C$6)*78.233+Inputs!$C$47*37.719))*43758.5453)))-1))))/1000))*COS(SQRT((Scenario_Data!W104)^2+Inputs!$C$6^2)/Inputs!$C$52))*1000)/Inputs!$C$21*1000000</f>
        <v/>
      </c>
    </row>
    <row r="105">
      <c r="A105">
        <f>Chart_Data!K105</f>
        <v/>
      </c>
      <c r="B105">
        <f>Chart_Data!N105-Chart_Data!L105</f>
        <v/>
      </c>
      <c r="D105">
        <f>Chart_Data!G105</f>
        <v/>
      </c>
      <c r="E105">
        <f>Chart_Data!H105</f>
        <v/>
      </c>
      <c r="F105">
        <f>Chart_Data!I105</f>
        <v/>
      </c>
      <c r="G105">
        <f>Chart_Data!J105</f>
        <v/>
      </c>
      <c r="I105">
        <f>Scenario_Data!A105</f>
        <v/>
      </c>
      <c r="J105">
        <f>Scenario_Data!H105-(((SQRT((Inputs!$C$52+(Inputs!$H$6))^2+Inputs!$C$52^2-2*(Inputs!$C$52+(Inputs!$H$6))*Inputs!$C$52*COS(SQRT((Scenario_Data!T105)^2+Inputs!$C$6^2)/Inputs!$C$52)))-(Inputs!$H$6))*1000/Inputs!$C$12)</f>
        <v/>
      </c>
      <c r="K105">
        <f>Scenario_Data!I105-(((SQRT((Inputs!$C$52+(Inputs!$H$7))^2+Inputs!$C$52^2-2*(Inputs!$C$52+(Inputs!$H$7))*Inputs!$C$52*COS(SQRT((Scenario_Data!U105)^2+Inputs!$C$6^2)/Inputs!$C$52)))-(Inputs!$H$7))*1000/Inputs!$C$12)</f>
        <v/>
      </c>
      <c r="L105">
        <f>Scenario_Data!J105-(((SQRT((Inputs!$C$52+(Inputs!$H$8))^2+Inputs!$C$52^2-2*(Inputs!$C$52+(Inputs!$H$8))*Inputs!$C$52*COS(SQRT((Scenario_Data!V105)^2+Inputs!$C$6^2)/Inputs!$C$52)))-(Inputs!$H$8))*1000/Inputs!$C$12)</f>
        <v/>
      </c>
      <c r="M105">
        <f>Scenario_Data!K105-(((SQRT((Inputs!$C$52+(Inputs!$H$9))^2+Inputs!$C$52^2-2*(Inputs!$C$52+(Inputs!$H$9))*Inputs!$C$52*COS(SQRT((Scenario_Data!W105)^2+Inputs!$C$6^2)/Inputs!$C$52)))-(Inputs!$H$9))*1000/Inputs!$C$12)</f>
        <v/>
      </c>
      <c r="O105">
        <f>Scenario_Data!T105</f>
        <v/>
      </c>
      <c r="P105">
        <f>2*(Scenario_Data!B105*1000)/Inputs!$C$21*1000000</f>
        <v/>
      </c>
      <c r="Q105">
        <f>Scenario_Data!U105</f>
        <v/>
      </c>
      <c r="R105">
        <f>2*(Scenario_Data!C105*1000)/Inputs!$C$21*1000000</f>
        <v/>
      </c>
      <c r="S105">
        <f>Scenario_Data!V105</f>
        <v/>
      </c>
      <c r="T105">
        <f>2*(Scenario_Data!D105*1000)/Inputs!$C$21*1000000</f>
        <v/>
      </c>
      <c r="U105">
        <f>Scenario_Data!W105</f>
        <v/>
      </c>
      <c r="V105">
        <f>2*(Scenario_Data!E105*1000)/Inputs!$C$21*1000000</f>
        <v/>
      </c>
      <c r="X105">
        <f>Scenario_Data!T105</f>
        <v/>
      </c>
      <c r="Y105">
        <f>2*((Scenario_Data!B105*1000)-(IF(OR(Inputs!$C$27=TRUE,Inputs!$C$27="TRUE",Inputs!$C$27=1),1,0)*(Inputs!$C$51*(115*EXP(-(((0)-25)^2)/(4.5^2))+70*EXP(-(((0)+38)^2)/(7^2))*(0.55+0.45*SIN(2*PI()*(Scenario_Data!T105)/45))+24*SIN(2*PI()*(0)/9+(Scenario_Data!T105)/18)*EXP(-(((0)+5)^2)/(22^2))+18*SIN(2*PI()*(Scenario_Data!T105)/70))+Inputs!$C$28*EXP(-(((Scenario_Data!T105)-Inputs!$C$29)^2)/(2*Inputs!$C$31^2))*EXP(-(((0)-Inputs!$C$30)^2)/(2*Inputs!$C$32^2))+-Inputs!$C$33*EXP(-(((((Scenario_Data!T105)-Inputs!$C$34)^2)+(((0)-Inputs!$C$35)^2))/(2*Inputs!$C$36^2)))+Inputs!$C$37*(0.55*SIN(2*PI()*(Scenario_Data!T105)/Inputs!$C$39)+0.35*COS(2*PI()*(0)/Inputs!$C$40)+0.2*SIN(2*PI()*((Scenario_Data!T105)+(0))/(0.5*(Inputs!$C$39+Inputs!$C$40))))+Inputs!$C$38*SIN(2*PI()*(Scenario_Data!T105)/Inputs!$C$39)*SIN(2*PI()*(0)/Inputs!$C$40)+-Inputs!$C$41*EXP(-(((0)-Inputs!$C$43)^2)/(2*Inputs!$C$44^2))*EXP(-(((Scenario_Data!T105)-Inputs!$C$42)^2)/(2*Inputs!$C$45^2))+Inputs!$C$48*(0.7*(0.45*SIN(2*PI()*(((Scenario_Data!T105)/Inputs!$C$49)+Inputs!$C$47*0.137))+0.35*COS(2*PI()*(((0)/Inputs!$C$50)+Inputs!$C$47*0.173))+0.2*SIN(2*PI()*((((Scenario_Data!T105)+(0))/(0.5*(Inputs!$C$49+Inputs!$C$50)))+Inputs!$C$47*0.097)))+0.3*(2*((SIN(((Scenario_Data!T105)*12.9898+(0)*78.233+Inputs!$C$47*37.719))*43758.5453)-INT((SIN(((Scenario_Data!T105)*12.9898+(0)*78.233+Inputs!$C$47*37.719))*43758.5453)))-1)))))/Inputs!$C$21*1000000</f>
        <v/>
      </c>
      <c r="Z105">
        <f>Scenario_Data!U105</f>
        <v/>
      </c>
      <c r="AA105">
        <f>2*((Scenario_Data!C105*1000)-(IF(OR(Inputs!$C$27=TRUE,Inputs!$C$27="TRUE",Inputs!$C$27=1),1,0)*(Inputs!$C$51*(115*EXP(-(((0)-25)^2)/(4.5^2))+70*EXP(-(((0)+38)^2)/(7^2))*(0.55+0.45*SIN(2*PI()*(Scenario_Data!U105)/45))+24*SIN(2*PI()*(0)/9+(Scenario_Data!U105)/18)*EXP(-(((0)+5)^2)/(22^2))+18*SIN(2*PI()*(Scenario_Data!U105)/70))+Inputs!$C$28*EXP(-(((Scenario_Data!U105)-Inputs!$C$29)^2)/(2*Inputs!$C$31^2))*EXP(-(((0)-Inputs!$C$30)^2)/(2*Inputs!$C$32^2))+-Inputs!$C$33*EXP(-(((((Scenario_Data!U105)-Inputs!$C$34)^2)+(((0)-Inputs!$C$35)^2))/(2*Inputs!$C$36^2)))+Inputs!$C$37*(0.55*SIN(2*PI()*(Scenario_Data!U105)/Inputs!$C$39)+0.35*COS(2*PI()*(0)/Inputs!$C$40)+0.2*SIN(2*PI()*((Scenario_Data!U105)+(0))/(0.5*(Inputs!$C$39+Inputs!$C$40))))+Inputs!$C$38*SIN(2*PI()*(Scenario_Data!U105)/Inputs!$C$39)*SIN(2*PI()*(0)/Inputs!$C$40)+-Inputs!$C$41*EXP(-(((0)-Inputs!$C$43)^2)/(2*Inputs!$C$44^2))*EXP(-(((Scenario_Data!U105)-Inputs!$C$42)^2)/(2*Inputs!$C$45^2))+Inputs!$C$48*(0.7*(0.45*SIN(2*PI()*(((Scenario_Data!U105)/Inputs!$C$49)+Inputs!$C$47*0.137))+0.35*COS(2*PI()*(((0)/Inputs!$C$50)+Inputs!$C$47*0.173))+0.2*SIN(2*PI()*((((Scenario_Data!U105)+(0))/(0.5*(Inputs!$C$49+Inputs!$C$50)))+Inputs!$C$47*0.097)))+0.3*(2*((SIN(((Scenario_Data!U105)*12.9898+(0)*78.233+Inputs!$C$47*37.719))*43758.5453)-INT((SIN(((Scenario_Data!U105)*12.9898+(0)*78.233+Inputs!$C$47*37.719))*43758.5453)))-1)))))/Inputs!$C$21*1000000</f>
        <v/>
      </c>
      <c r="AB105">
        <f>Scenario_Data!V105</f>
        <v/>
      </c>
      <c r="AC105">
        <f>2*((Scenario_Data!D105*1000)-(IF(OR(Inputs!$C$27=TRUE,Inputs!$C$27="TRUE",Inputs!$C$27=1),1,0)*(Inputs!$C$51*(115*EXP(-(((0)-25)^2)/(4.5^2))+70*EXP(-(((0)+38)^2)/(7^2))*(0.55+0.45*SIN(2*PI()*(Scenario_Data!V105)/45))+24*SIN(2*PI()*(0)/9+(Scenario_Data!V105)/18)*EXP(-(((0)+5)^2)/(22^2))+18*SIN(2*PI()*(Scenario_Data!V105)/70))+Inputs!$C$28*EXP(-(((Scenario_Data!V105)-Inputs!$C$29)^2)/(2*Inputs!$C$31^2))*EXP(-(((0)-Inputs!$C$30)^2)/(2*Inputs!$C$32^2))+-Inputs!$C$33*EXP(-(((((Scenario_Data!V105)-Inputs!$C$34)^2)+(((0)-Inputs!$C$35)^2))/(2*Inputs!$C$36^2)))+Inputs!$C$37*(0.55*SIN(2*PI()*(Scenario_Data!V105)/Inputs!$C$39)+0.35*COS(2*PI()*(0)/Inputs!$C$40)+0.2*SIN(2*PI()*((Scenario_Data!V105)+(0))/(0.5*(Inputs!$C$39+Inputs!$C$40))))+Inputs!$C$38*SIN(2*PI()*(Scenario_Data!V105)/Inputs!$C$39)*SIN(2*PI()*(0)/Inputs!$C$40)+-Inputs!$C$41*EXP(-(((0)-Inputs!$C$43)^2)/(2*Inputs!$C$44^2))*EXP(-(((Scenario_Data!V105)-Inputs!$C$42)^2)/(2*Inputs!$C$45^2))+Inputs!$C$48*(0.7*(0.45*SIN(2*PI()*(((Scenario_Data!V105)/Inputs!$C$49)+Inputs!$C$47*0.137))+0.35*COS(2*PI()*(((0)/Inputs!$C$50)+Inputs!$C$47*0.173))+0.2*SIN(2*PI()*((((Scenario_Data!V105)+(0))/(0.5*(Inputs!$C$49+Inputs!$C$50)))+Inputs!$C$47*0.097)))+0.3*(2*((SIN(((Scenario_Data!V105)*12.9898+(0)*78.233+Inputs!$C$47*37.719))*43758.5453)-INT((SIN(((Scenario_Data!V105)*12.9898+(0)*78.233+Inputs!$C$47*37.719))*43758.5453)))-1)))))/Inputs!$C$21*1000000</f>
        <v/>
      </c>
      <c r="AD105">
        <f>Scenario_Data!W105</f>
        <v/>
      </c>
      <c r="AE105">
        <f>2*((Scenario_Data!E105*1000)-(IF(OR(Inputs!$C$27=TRUE,Inputs!$C$27="TRUE",Inputs!$C$27=1),1,0)*(Inputs!$C$51*(115*EXP(-(((0)-25)^2)/(4.5^2))+70*EXP(-(((0)+38)^2)/(7^2))*(0.55+0.45*SIN(2*PI()*(Scenario_Data!W105)/45))+24*SIN(2*PI()*(0)/9+(Scenario_Data!W105)/18)*EXP(-(((0)+5)^2)/(22^2))+18*SIN(2*PI()*(Scenario_Data!W105)/70))+Inputs!$C$28*EXP(-(((Scenario_Data!W105)-Inputs!$C$29)^2)/(2*Inputs!$C$31^2))*EXP(-(((0)-Inputs!$C$30)^2)/(2*Inputs!$C$32^2))+-Inputs!$C$33*EXP(-(((((Scenario_Data!W105)-Inputs!$C$34)^2)+(((0)-Inputs!$C$35)^2))/(2*Inputs!$C$36^2)))+Inputs!$C$37*(0.55*SIN(2*PI()*(Scenario_Data!W105)/Inputs!$C$39)+0.35*COS(2*PI()*(0)/Inputs!$C$40)+0.2*SIN(2*PI()*((Scenario_Data!W105)+(0))/(0.5*(Inputs!$C$39+Inputs!$C$40))))+Inputs!$C$38*SIN(2*PI()*(Scenario_Data!W105)/Inputs!$C$39)*SIN(2*PI()*(0)/Inputs!$C$40)+-Inputs!$C$41*EXP(-(((0)-Inputs!$C$43)^2)/(2*Inputs!$C$44^2))*EXP(-(((Scenario_Data!W105)-Inputs!$C$42)^2)/(2*Inputs!$C$45^2))+Inputs!$C$48*(0.7*(0.45*SIN(2*PI()*(((Scenario_Data!W105)/Inputs!$C$49)+Inputs!$C$47*0.137))+0.35*COS(2*PI()*(((0)/Inputs!$C$50)+Inputs!$C$47*0.173))+0.2*SIN(2*PI()*((((Scenario_Data!W105)+(0))/(0.5*(Inputs!$C$49+Inputs!$C$50)))+Inputs!$C$47*0.097)))+0.3*(2*((SIN(((Scenario_Data!W105)*12.9898+(0)*78.233+Inputs!$C$47*37.719))*43758.5453)-INT((SIN(((Scenario_Data!W105)*12.9898+(0)*78.233+Inputs!$C$47*37.719))*43758.5453)))-1)))))/Inputs!$C$21*1000000</f>
        <v/>
      </c>
      <c r="AG105">
        <f>Scenario_Data!T105</f>
        <v/>
      </c>
      <c r="AH105">
        <f>2*(SQRT((Inputs!$C$52+(Scenario_Data!B105))^2+Inputs!$C$52^2-2*(Inputs!$C$52+(Scenario_Data!B105))*Inputs!$C$52*COS(SQRT((Scenario_Data!T105)^2+Inputs!$C$6^2)/Inputs!$C$52))*1000)/Inputs!$C$21*1000000</f>
        <v/>
      </c>
      <c r="AI105">
        <f>Scenario_Data!U105</f>
        <v/>
      </c>
      <c r="AJ105">
        <f>2*(SQRT((Inputs!$C$52+(Scenario_Data!C105))^2+Inputs!$C$52^2-2*(Inputs!$C$52+(Scenario_Data!C105))*Inputs!$C$52*COS(SQRT((Scenario_Data!U105)^2+Inputs!$C$6^2)/Inputs!$C$52))*1000)/Inputs!$C$21*1000000</f>
        <v/>
      </c>
      <c r="AK105">
        <f>Scenario_Data!V105</f>
        <v/>
      </c>
      <c r="AL105">
        <f>2*(SQRT((Inputs!$C$52+(Scenario_Data!D105))^2+Inputs!$C$52^2-2*(Inputs!$C$52+(Scenario_Data!D105))*Inputs!$C$52*COS(SQRT((Scenario_Data!V105)^2+Inputs!$C$6^2)/Inputs!$C$52))*1000)/Inputs!$C$21*1000000</f>
        <v/>
      </c>
      <c r="AM105">
        <f>Scenario_Data!W105</f>
        <v/>
      </c>
      <c r="AN105">
        <f>2*(SQRT((Inputs!$C$52+(Scenario_Data!E105))^2+Inputs!$C$52^2-2*(Inputs!$C$52+(Scenario_Data!E105))*Inputs!$C$52*COS(SQRT((Scenario_Data!W105)^2+Inputs!$C$6^2)/Inputs!$C$52))*1000)/Inputs!$C$21*1000000</f>
        <v/>
      </c>
      <c r="AP105">
        <f>Scenario_Data!T105</f>
        <v/>
      </c>
      <c r="AQ105">
        <f>2*(SQRT((Inputs!$C$52+(Scenario_Data!B105))^2+(Inputs!$C$52+((IF(OR(Inputs!$C$27=TRUE,Inputs!$C$27="TRUE",Inputs!$C$27=1),1,0)*(Inputs!$C$51*(115*EXP(-(((Inputs!$C$6)-25)^2)/(4.5^2))+70*EXP(-(((Inputs!$C$6)+38)^2)/(7^2))*(0.55+0.45*SIN(2*PI()*(Scenario_Data!T105)/45))+24*SIN(2*PI()*(Inputs!$C$6)/9+(Scenario_Data!T105)/18)*EXP(-(((Inputs!$C$6)+5)^2)/(22^2))+18*SIN(2*PI()*(Scenario_Data!T105)/70))+Inputs!$C$28*EXP(-(((Scenario_Data!T105)-Inputs!$C$29)^2)/(2*Inputs!$C$31^2))*EXP(-(((Inputs!$C$6)-Inputs!$C$30)^2)/(2*Inputs!$C$32^2))+-Inputs!$C$33*EXP(-(((((Scenario_Data!T105)-Inputs!$C$34)^2)+(((Inputs!$C$6)-Inputs!$C$35)^2))/(2*Inputs!$C$36^2)))+Inputs!$C$37*(0.55*SIN(2*PI()*(Scenario_Data!T105)/Inputs!$C$39)+0.35*COS(2*PI()*(Inputs!$C$6)/Inputs!$C$40)+0.2*SIN(2*PI()*((Scenario_Data!T105)+(Inputs!$C$6))/(0.5*(Inputs!$C$39+Inputs!$C$40))))+Inputs!$C$38*SIN(2*PI()*(Scenario_Data!T105)/Inputs!$C$39)*SIN(2*PI()*(Inputs!$C$6)/Inputs!$C$40)+-Inputs!$C$41*EXP(-(((Inputs!$C$6)-Inputs!$C$43)^2)/(2*Inputs!$C$44^2))*EXP(-(((Scenario_Data!T105)-Inputs!$C$42)^2)/(2*Inputs!$C$45^2))+Inputs!$C$48*(0.7*(0.45*SIN(2*PI()*(((Scenario_Data!T105)/Inputs!$C$49)+Inputs!$C$47*0.137))+0.35*COS(2*PI()*(((Inputs!$C$6)/Inputs!$C$50)+Inputs!$C$47*0.173))+0.2*SIN(2*PI()*((((Scenario_Data!T105)+(Inputs!$C$6))/(0.5*(Inputs!$C$49+Inputs!$C$50)))+Inputs!$C$47*0.097)))+0.3*(2*((SIN(((Scenario_Data!T105)*12.9898+(Inputs!$C$6)*78.233+Inputs!$C$47*37.719))*43758.5453)-INT((SIN(((Scenario_Data!T105)*12.9898+(Inputs!$C$6)*78.233+Inputs!$C$47*37.719))*43758.5453)))-1))))/1000))^2-2*(Inputs!$C$52+(Scenario_Data!B105))*(Inputs!$C$52+((IF(OR(Inputs!$C$27=TRUE,Inputs!$C$27="TRUE",Inputs!$C$27=1),1,0)*(Inputs!$C$51*(115*EXP(-(((Inputs!$C$6)-25)^2)/(4.5^2))+70*EXP(-(((Inputs!$C$6)+38)^2)/(7^2))*(0.55+0.45*SIN(2*PI()*(Scenario_Data!T105)/45))+24*SIN(2*PI()*(Inputs!$C$6)/9+(Scenario_Data!T105)/18)*EXP(-(((Inputs!$C$6)+5)^2)/(22^2))+18*SIN(2*PI()*(Scenario_Data!T105)/70))+Inputs!$C$28*EXP(-(((Scenario_Data!T105)-Inputs!$C$29)^2)/(2*Inputs!$C$31^2))*EXP(-(((Inputs!$C$6)-Inputs!$C$30)^2)/(2*Inputs!$C$32^2))+-Inputs!$C$33*EXP(-(((((Scenario_Data!T105)-Inputs!$C$34)^2)+(((Inputs!$C$6)-Inputs!$C$35)^2))/(2*Inputs!$C$36^2)))+Inputs!$C$37*(0.55*SIN(2*PI()*(Scenario_Data!T105)/Inputs!$C$39)+0.35*COS(2*PI()*(Inputs!$C$6)/Inputs!$C$40)+0.2*SIN(2*PI()*((Scenario_Data!T105)+(Inputs!$C$6))/(0.5*(Inputs!$C$39+Inputs!$C$40))))+Inputs!$C$38*SIN(2*PI()*(Scenario_Data!T105)/Inputs!$C$39)*SIN(2*PI()*(Inputs!$C$6)/Inputs!$C$40)+-Inputs!$C$41*EXP(-(((Inputs!$C$6)-Inputs!$C$43)^2)/(2*Inputs!$C$44^2))*EXP(-(((Scenario_Data!T105)-Inputs!$C$42)^2)/(2*Inputs!$C$45^2))+Inputs!$C$48*(0.7*(0.45*SIN(2*PI()*(((Scenario_Data!T105)/Inputs!$C$49)+Inputs!$C$47*0.137))+0.35*COS(2*PI()*(((Inputs!$C$6)/Inputs!$C$50)+Inputs!$C$47*0.173))+0.2*SIN(2*PI()*((((Scenario_Data!T105)+(Inputs!$C$6))/(0.5*(Inputs!$C$49+Inputs!$C$50)))+Inputs!$C$47*0.097)))+0.3*(2*((SIN(((Scenario_Data!T105)*12.9898+(Inputs!$C$6)*78.233+Inputs!$C$47*37.719))*43758.5453)-INT((SIN(((Scenario_Data!T105)*12.9898+(Inputs!$C$6)*78.233+Inputs!$C$47*37.719))*43758.5453)))-1))))/1000))*COS(SQRT((Scenario_Data!T105)^2+Inputs!$C$6^2)/Inputs!$C$52))*1000)/Inputs!$C$21*1000000</f>
        <v/>
      </c>
      <c r="AR105">
        <f>Scenario_Data!U105</f>
        <v/>
      </c>
      <c r="AS105">
        <f>2*(SQRT((Inputs!$C$52+(Scenario_Data!C105))^2+(Inputs!$C$52+((IF(OR(Inputs!$C$27=TRUE,Inputs!$C$27="TRUE",Inputs!$C$27=1),1,0)*(Inputs!$C$51*(115*EXP(-(((Inputs!$C$6)-25)^2)/(4.5^2))+70*EXP(-(((Inputs!$C$6)+38)^2)/(7^2))*(0.55+0.45*SIN(2*PI()*(Scenario_Data!U105)/45))+24*SIN(2*PI()*(Inputs!$C$6)/9+(Scenario_Data!U105)/18)*EXP(-(((Inputs!$C$6)+5)^2)/(22^2))+18*SIN(2*PI()*(Scenario_Data!U105)/70))+Inputs!$C$28*EXP(-(((Scenario_Data!U105)-Inputs!$C$29)^2)/(2*Inputs!$C$31^2))*EXP(-(((Inputs!$C$6)-Inputs!$C$30)^2)/(2*Inputs!$C$32^2))+-Inputs!$C$33*EXP(-(((((Scenario_Data!U105)-Inputs!$C$34)^2)+(((Inputs!$C$6)-Inputs!$C$35)^2))/(2*Inputs!$C$36^2)))+Inputs!$C$37*(0.55*SIN(2*PI()*(Scenario_Data!U105)/Inputs!$C$39)+0.35*COS(2*PI()*(Inputs!$C$6)/Inputs!$C$40)+0.2*SIN(2*PI()*((Scenario_Data!U105)+(Inputs!$C$6))/(0.5*(Inputs!$C$39+Inputs!$C$40))))+Inputs!$C$38*SIN(2*PI()*(Scenario_Data!U105)/Inputs!$C$39)*SIN(2*PI()*(Inputs!$C$6)/Inputs!$C$40)+-Inputs!$C$41*EXP(-(((Inputs!$C$6)-Inputs!$C$43)^2)/(2*Inputs!$C$44^2))*EXP(-(((Scenario_Data!U105)-Inputs!$C$42)^2)/(2*Inputs!$C$45^2))+Inputs!$C$48*(0.7*(0.45*SIN(2*PI()*(((Scenario_Data!U105)/Inputs!$C$49)+Inputs!$C$47*0.137))+0.35*COS(2*PI()*(((Inputs!$C$6)/Inputs!$C$50)+Inputs!$C$47*0.173))+0.2*SIN(2*PI()*((((Scenario_Data!U105)+(Inputs!$C$6))/(0.5*(Inputs!$C$49+Inputs!$C$50)))+Inputs!$C$47*0.097)))+0.3*(2*((SIN(((Scenario_Data!U105)*12.9898+(Inputs!$C$6)*78.233+Inputs!$C$47*37.719))*43758.5453)-INT((SIN(((Scenario_Data!U105)*12.9898+(Inputs!$C$6)*78.233+Inputs!$C$47*37.719))*43758.5453)))-1))))/1000))^2-2*(Inputs!$C$52+(Scenario_Data!C105))*(Inputs!$C$52+((IF(OR(Inputs!$C$27=TRUE,Inputs!$C$27="TRUE",Inputs!$C$27=1),1,0)*(Inputs!$C$51*(115*EXP(-(((Inputs!$C$6)-25)^2)/(4.5^2))+70*EXP(-(((Inputs!$C$6)+38)^2)/(7^2))*(0.55+0.45*SIN(2*PI()*(Scenario_Data!U105)/45))+24*SIN(2*PI()*(Inputs!$C$6)/9+(Scenario_Data!U105)/18)*EXP(-(((Inputs!$C$6)+5)^2)/(22^2))+18*SIN(2*PI()*(Scenario_Data!U105)/70))+Inputs!$C$28*EXP(-(((Scenario_Data!U105)-Inputs!$C$29)^2)/(2*Inputs!$C$31^2))*EXP(-(((Inputs!$C$6)-Inputs!$C$30)^2)/(2*Inputs!$C$32^2))+-Inputs!$C$33*EXP(-(((((Scenario_Data!U105)-Inputs!$C$34)^2)+(((Inputs!$C$6)-Inputs!$C$35)^2))/(2*Inputs!$C$36^2)))+Inputs!$C$37*(0.55*SIN(2*PI()*(Scenario_Data!U105)/Inputs!$C$39)+0.35*COS(2*PI()*(Inputs!$C$6)/Inputs!$C$40)+0.2*SIN(2*PI()*((Scenario_Data!U105)+(Inputs!$C$6))/(0.5*(Inputs!$C$39+Inputs!$C$40))))+Inputs!$C$38*SIN(2*PI()*(Scenario_Data!U105)/Inputs!$C$39)*SIN(2*PI()*(Inputs!$C$6)/Inputs!$C$40)+-Inputs!$C$41*EXP(-(((Inputs!$C$6)-Inputs!$C$43)^2)/(2*Inputs!$C$44^2))*EXP(-(((Scenario_Data!U105)-Inputs!$C$42)^2)/(2*Inputs!$C$45^2))+Inputs!$C$48*(0.7*(0.45*SIN(2*PI()*(((Scenario_Data!U105)/Inputs!$C$49)+Inputs!$C$47*0.137))+0.35*COS(2*PI()*(((Inputs!$C$6)/Inputs!$C$50)+Inputs!$C$47*0.173))+0.2*SIN(2*PI()*((((Scenario_Data!U105)+(Inputs!$C$6))/(0.5*(Inputs!$C$49+Inputs!$C$50)))+Inputs!$C$47*0.097)))+0.3*(2*((SIN(((Scenario_Data!U105)*12.9898+(Inputs!$C$6)*78.233+Inputs!$C$47*37.719))*43758.5453)-INT((SIN(((Scenario_Data!U105)*12.9898+(Inputs!$C$6)*78.233+Inputs!$C$47*37.719))*43758.5453)))-1))))/1000))*COS(SQRT((Scenario_Data!U105)^2+Inputs!$C$6^2)/Inputs!$C$52))*1000)/Inputs!$C$21*1000000</f>
        <v/>
      </c>
      <c r="AT105">
        <f>Scenario_Data!V105</f>
        <v/>
      </c>
      <c r="AU105">
        <f>2*(SQRT((Inputs!$C$52+(Scenario_Data!D105))^2+(Inputs!$C$52+((IF(OR(Inputs!$C$27=TRUE,Inputs!$C$27="TRUE",Inputs!$C$27=1),1,0)*(Inputs!$C$51*(115*EXP(-(((Inputs!$C$6)-25)^2)/(4.5^2))+70*EXP(-(((Inputs!$C$6)+38)^2)/(7^2))*(0.55+0.45*SIN(2*PI()*(Scenario_Data!V105)/45))+24*SIN(2*PI()*(Inputs!$C$6)/9+(Scenario_Data!V105)/18)*EXP(-(((Inputs!$C$6)+5)^2)/(22^2))+18*SIN(2*PI()*(Scenario_Data!V105)/70))+Inputs!$C$28*EXP(-(((Scenario_Data!V105)-Inputs!$C$29)^2)/(2*Inputs!$C$31^2))*EXP(-(((Inputs!$C$6)-Inputs!$C$30)^2)/(2*Inputs!$C$32^2))+-Inputs!$C$33*EXP(-(((((Scenario_Data!V105)-Inputs!$C$34)^2)+(((Inputs!$C$6)-Inputs!$C$35)^2))/(2*Inputs!$C$36^2)))+Inputs!$C$37*(0.55*SIN(2*PI()*(Scenario_Data!V105)/Inputs!$C$39)+0.35*COS(2*PI()*(Inputs!$C$6)/Inputs!$C$40)+0.2*SIN(2*PI()*((Scenario_Data!V105)+(Inputs!$C$6))/(0.5*(Inputs!$C$39+Inputs!$C$40))))+Inputs!$C$38*SIN(2*PI()*(Scenario_Data!V105)/Inputs!$C$39)*SIN(2*PI()*(Inputs!$C$6)/Inputs!$C$40)+-Inputs!$C$41*EXP(-(((Inputs!$C$6)-Inputs!$C$43)^2)/(2*Inputs!$C$44^2))*EXP(-(((Scenario_Data!V105)-Inputs!$C$42)^2)/(2*Inputs!$C$45^2))+Inputs!$C$48*(0.7*(0.45*SIN(2*PI()*(((Scenario_Data!V105)/Inputs!$C$49)+Inputs!$C$47*0.137))+0.35*COS(2*PI()*(((Inputs!$C$6)/Inputs!$C$50)+Inputs!$C$47*0.173))+0.2*SIN(2*PI()*((((Scenario_Data!V105)+(Inputs!$C$6))/(0.5*(Inputs!$C$49+Inputs!$C$50)))+Inputs!$C$47*0.097)))+0.3*(2*((SIN(((Scenario_Data!V105)*12.9898+(Inputs!$C$6)*78.233+Inputs!$C$47*37.719))*43758.5453)-INT((SIN(((Scenario_Data!V105)*12.9898+(Inputs!$C$6)*78.233+Inputs!$C$47*37.719))*43758.5453)))-1))))/1000))^2-2*(Inputs!$C$52+(Scenario_Data!D105))*(Inputs!$C$52+((IF(OR(Inputs!$C$27=TRUE,Inputs!$C$27="TRUE",Inputs!$C$27=1),1,0)*(Inputs!$C$51*(115*EXP(-(((Inputs!$C$6)-25)^2)/(4.5^2))+70*EXP(-(((Inputs!$C$6)+38)^2)/(7^2))*(0.55+0.45*SIN(2*PI()*(Scenario_Data!V105)/45))+24*SIN(2*PI()*(Inputs!$C$6)/9+(Scenario_Data!V105)/18)*EXP(-(((Inputs!$C$6)+5)^2)/(22^2))+18*SIN(2*PI()*(Scenario_Data!V105)/70))+Inputs!$C$28*EXP(-(((Scenario_Data!V105)-Inputs!$C$29)^2)/(2*Inputs!$C$31^2))*EXP(-(((Inputs!$C$6)-Inputs!$C$30)^2)/(2*Inputs!$C$32^2))+-Inputs!$C$33*EXP(-(((((Scenario_Data!V105)-Inputs!$C$34)^2)+(((Inputs!$C$6)-Inputs!$C$35)^2))/(2*Inputs!$C$36^2)))+Inputs!$C$37*(0.55*SIN(2*PI()*(Scenario_Data!V105)/Inputs!$C$39)+0.35*COS(2*PI()*(Inputs!$C$6)/Inputs!$C$40)+0.2*SIN(2*PI()*((Scenario_Data!V105)+(Inputs!$C$6))/(0.5*(Inputs!$C$39+Inputs!$C$40))))+Inputs!$C$38*SIN(2*PI()*(Scenario_Data!V105)/Inputs!$C$39)*SIN(2*PI()*(Inputs!$C$6)/Inputs!$C$40)+-Inputs!$C$41*EXP(-(((Inputs!$C$6)-Inputs!$C$43)^2)/(2*Inputs!$C$44^2))*EXP(-(((Scenario_Data!V105)-Inputs!$C$42)^2)/(2*Inputs!$C$45^2))+Inputs!$C$48*(0.7*(0.45*SIN(2*PI()*(((Scenario_Data!V105)/Inputs!$C$49)+Inputs!$C$47*0.137))+0.35*COS(2*PI()*(((Inputs!$C$6)/Inputs!$C$50)+Inputs!$C$47*0.173))+0.2*SIN(2*PI()*((((Scenario_Data!V105)+(Inputs!$C$6))/(0.5*(Inputs!$C$49+Inputs!$C$50)))+Inputs!$C$47*0.097)))+0.3*(2*((SIN(((Scenario_Data!V105)*12.9898+(Inputs!$C$6)*78.233+Inputs!$C$47*37.719))*43758.5453)-INT((SIN(((Scenario_Data!V105)*12.9898+(Inputs!$C$6)*78.233+Inputs!$C$47*37.719))*43758.5453)))-1))))/1000))*COS(SQRT((Scenario_Data!V105)^2+Inputs!$C$6^2)/Inputs!$C$52))*1000)/Inputs!$C$21*1000000</f>
        <v/>
      </c>
      <c r="AV105">
        <f>Scenario_Data!W105</f>
        <v/>
      </c>
      <c r="AW105">
        <f>2*(SQRT((Inputs!$C$52+(Scenario_Data!E105))^2+(Inputs!$C$52+((IF(OR(Inputs!$C$27=TRUE,Inputs!$C$27="TRUE",Inputs!$C$27=1),1,0)*(Inputs!$C$51*(115*EXP(-(((Inputs!$C$6)-25)^2)/(4.5^2))+70*EXP(-(((Inputs!$C$6)+38)^2)/(7^2))*(0.55+0.45*SIN(2*PI()*(Scenario_Data!W105)/45))+24*SIN(2*PI()*(Inputs!$C$6)/9+(Scenario_Data!W105)/18)*EXP(-(((Inputs!$C$6)+5)^2)/(22^2))+18*SIN(2*PI()*(Scenario_Data!W105)/70))+Inputs!$C$28*EXP(-(((Scenario_Data!W105)-Inputs!$C$29)^2)/(2*Inputs!$C$31^2))*EXP(-(((Inputs!$C$6)-Inputs!$C$30)^2)/(2*Inputs!$C$32^2))+-Inputs!$C$33*EXP(-(((((Scenario_Data!W105)-Inputs!$C$34)^2)+(((Inputs!$C$6)-Inputs!$C$35)^2))/(2*Inputs!$C$36^2)))+Inputs!$C$37*(0.55*SIN(2*PI()*(Scenario_Data!W105)/Inputs!$C$39)+0.35*COS(2*PI()*(Inputs!$C$6)/Inputs!$C$40)+0.2*SIN(2*PI()*((Scenario_Data!W105)+(Inputs!$C$6))/(0.5*(Inputs!$C$39+Inputs!$C$40))))+Inputs!$C$38*SIN(2*PI()*(Scenario_Data!W105)/Inputs!$C$39)*SIN(2*PI()*(Inputs!$C$6)/Inputs!$C$40)+-Inputs!$C$41*EXP(-(((Inputs!$C$6)-Inputs!$C$43)^2)/(2*Inputs!$C$44^2))*EXP(-(((Scenario_Data!W105)-Inputs!$C$42)^2)/(2*Inputs!$C$45^2))+Inputs!$C$48*(0.7*(0.45*SIN(2*PI()*(((Scenario_Data!W105)/Inputs!$C$49)+Inputs!$C$47*0.137))+0.35*COS(2*PI()*(((Inputs!$C$6)/Inputs!$C$50)+Inputs!$C$47*0.173))+0.2*SIN(2*PI()*((((Scenario_Data!W105)+(Inputs!$C$6))/(0.5*(Inputs!$C$49+Inputs!$C$50)))+Inputs!$C$47*0.097)))+0.3*(2*((SIN(((Scenario_Data!W105)*12.9898+(Inputs!$C$6)*78.233+Inputs!$C$47*37.719))*43758.5453)-INT((SIN(((Scenario_Data!W105)*12.9898+(Inputs!$C$6)*78.233+Inputs!$C$47*37.719))*43758.5453)))-1))))/1000))^2-2*(Inputs!$C$52+(Scenario_Data!E105))*(Inputs!$C$52+((IF(OR(Inputs!$C$27=TRUE,Inputs!$C$27="TRUE",Inputs!$C$27=1),1,0)*(Inputs!$C$51*(115*EXP(-(((Inputs!$C$6)-25)^2)/(4.5^2))+70*EXP(-(((Inputs!$C$6)+38)^2)/(7^2))*(0.55+0.45*SIN(2*PI()*(Scenario_Data!W105)/45))+24*SIN(2*PI()*(Inputs!$C$6)/9+(Scenario_Data!W105)/18)*EXP(-(((Inputs!$C$6)+5)^2)/(22^2))+18*SIN(2*PI()*(Scenario_Data!W105)/70))+Inputs!$C$28*EXP(-(((Scenario_Data!W105)-Inputs!$C$29)^2)/(2*Inputs!$C$31^2))*EXP(-(((Inputs!$C$6)-Inputs!$C$30)^2)/(2*Inputs!$C$32^2))+-Inputs!$C$33*EXP(-(((((Scenario_Data!W105)-Inputs!$C$34)^2)+(((Inputs!$C$6)-Inputs!$C$35)^2))/(2*Inputs!$C$36^2)))+Inputs!$C$37*(0.55*SIN(2*PI()*(Scenario_Data!W105)/Inputs!$C$39)+0.35*COS(2*PI()*(Inputs!$C$6)/Inputs!$C$40)+0.2*SIN(2*PI()*((Scenario_Data!W105)+(Inputs!$C$6))/(0.5*(Inputs!$C$39+Inputs!$C$40))))+Inputs!$C$38*SIN(2*PI()*(Scenario_Data!W105)/Inputs!$C$39)*SIN(2*PI()*(Inputs!$C$6)/Inputs!$C$40)+-Inputs!$C$41*EXP(-(((Inputs!$C$6)-Inputs!$C$43)^2)/(2*Inputs!$C$44^2))*EXP(-(((Scenario_Data!W105)-Inputs!$C$42)^2)/(2*Inputs!$C$45^2))+Inputs!$C$48*(0.7*(0.45*SIN(2*PI()*(((Scenario_Data!W105)/Inputs!$C$49)+Inputs!$C$47*0.137))+0.35*COS(2*PI()*(((Inputs!$C$6)/Inputs!$C$50)+Inputs!$C$47*0.173))+0.2*SIN(2*PI()*((((Scenario_Data!W105)+(Inputs!$C$6))/(0.5*(Inputs!$C$49+Inputs!$C$50)))+Inputs!$C$47*0.097)))+0.3*(2*((SIN(((Scenario_Data!W105)*12.9898+(Inputs!$C$6)*78.233+Inputs!$C$47*37.719))*43758.5453)-INT((SIN(((Scenario_Data!W105)*12.9898+(Inputs!$C$6)*78.233+Inputs!$C$47*37.719))*43758.5453)))-1))))/1000))*COS(SQRT((Scenario_Data!W105)^2+Inputs!$C$6^2)/Inputs!$C$52))*1000)/Inputs!$C$21*1000000</f>
        <v/>
      </c>
    </row>
    <row r="106">
      <c r="A106">
        <f>Chart_Data!K106</f>
        <v/>
      </c>
      <c r="B106">
        <f>Chart_Data!N106-Chart_Data!L106</f>
        <v/>
      </c>
      <c r="D106">
        <f>Chart_Data!G106</f>
        <v/>
      </c>
      <c r="E106">
        <f>Chart_Data!H106</f>
        <v/>
      </c>
      <c r="F106">
        <f>Chart_Data!I106</f>
        <v/>
      </c>
      <c r="G106">
        <f>Chart_Data!J106</f>
        <v/>
      </c>
      <c r="I106">
        <f>Scenario_Data!A106</f>
        <v/>
      </c>
      <c r="J106">
        <f>Scenario_Data!H106-(((SQRT((Inputs!$C$52+(Inputs!$H$6))^2+Inputs!$C$52^2-2*(Inputs!$C$52+(Inputs!$H$6))*Inputs!$C$52*COS(SQRT((Scenario_Data!T106)^2+Inputs!$C$6^2)/Inputs!$C$52)))-(Inputs!$H$6))*1000/Inputs!$C$12)</f>
        <v/>
      </c>
      <c r="K106">
        <f>Scenario_Data!I106-(((SQRT((Inputs!$C$52+(Inputs!$H$7))^2+Inputs!$C$52^2-2*(Inputs!$C$52+(Inputs!$H$7))*Inputs!$C$52*COS(SQRT((Scenario_Data!U106)^2+Inputs!$C$6^2)/Inputs!$C$52)))-(Inputs!$H$7))*1000/Inputs!$C$12)</f>
        <v/>
      </c>
      <c r="L106">
        <f>Scenario_Data!J106-(((SQRT((Inputs!$C$52+(Inputs!$H$8))^2+Inputs!$C$52^2-2*(Inputs!$C$52+(Inputs!$H$8))*Inputs!$C$52*COS(SQRT((Scenario_Data!V106)^2+Inputs!$C$6^2)/Inputs!$C$52)))-(Inputs!$H$8))*1000/Inputs!$C$12)</f>
        <v/>
      </c>
      <c r="M106">
        <f>Scenario_Data!K106-(((SQRT((Inputs!$C$52+(Inputs!$H$9))^2+Inputs!$C$52^2-2*(Inputs!$C$52+(Inputs!$H$9))*Inputs!$C$52*COS(SQRT((Scenario_Data!W106)^2+Inputs!$C$6^2)/Inputs!$C$52)))-(Inputs!$H$9))*1000/Inputs!$C$12)</f>
        <v/>
      </c>
      <c r="O106">
        <f>Scenario_Data!T106</f>
        <v/>
      </c>
      <c r="P106">
        <f>2*(Scenario_Data!B106*1000)/Inputs!$C$21*1000000</f>
        <v/>
      </c>
      <c r="Q106">
        <f>Scenario_Data!U106</f>
        <v/>
      </c>
      <c r="R106">
        <f>2*(Scenario_Data!C106*1000)/Inputs!$C$21*1000000</f>
        <v/>
      </c>
      <c r="S106">
        <f>Scenario_Data!V106</f>
        <v/>
      </c>
      <c r="T106">
        <f>2*(Scenario_Data!D106*1000)/Inputs!$C$21*1000000</f>
        <v/>
      </c>
      <c r="U106">
        <f>Scenario_Data!W106</f>
        <v/>
      </c>
      <c r="V106">
        <f>2*(Scenario_Data!E106*1000)/Inputs!$C$21*1000000</f>
        <v/>
      </c>
      <c r="X106">
        <f>Scenario_Data!T106</f>
        <v/>
      </c>
      <c r="Y106">
        <f>2*((Scenario_Data!B106*1000)-(IF(OR(Inputs!$C$27=TRUE,Inputs!$C$27="TRUE",Inputs!$C$27=1),1,0)*(Inputs!$C$51*(115*EXP(-(((0)-25)^2)/(4.5^2))+70*EXP(-(((0)+38)^2)/(7^2))*(0.55+0.45*SIN(2*PI()*(Scenario_Data!T106)/45))+24*SIN(2*PI()*(0)/9+(Scenario_Data!T106)/18)*EXP(-(((0)+5)^2)/(22^2))+18*SIN(2*PI()*(Scenario_Data!T106)/70))+Inputs!$C$28*EXP(-(((Scenario_Data!T106)-Inputs!$C$29)^2)/(2*Inputs!$C$31^2))*EXP(-(((0)-Inputs!$C$30)^2)/(2*Inputs!$C$32^2))+-Inputs!$C$33*EXP(-(((((Scenario_Data!T106)-Inputs!$C$34)^2)+(((0)-Inputs!$C$35)^2))/(2*Inputs!$C$36^2)))+Inputs!$C$37*(0.55*SIN(2*PI()*(Scenario_Data!T106)/Inputs!$C$39)+0.35*COS(2*PI()*(0)/Inputs!$C$40)+0.2*SIN(2*PI()*((Scenario_Data!T106)+(0))/(0.5*(Inputs!$C$39+Inputs!$C$40))))+Inputs!$C$38*SIN(2*PI()*(Scenario_Data!T106)/Inputs!$C$39)*SIN(2*PI()*(0)/Inputs!$C$40)+-Inputs!$C$41*EXP(-(((0)-Inputs!$C$43)^2)/(2*Inputs!$C$44^2))*EXP(-(((Scenario_Data!T106)-Inputs!$C$42)^2)/(2*Inputs!$C$45^2))+Inputs!$C$48*(0.7*(0.45*SIN(2*PI()*(((Scenario_Data!T106)/Inputs!$C$49)+Inputs!$C$47*0.137))+0.35*COS(2*PI()*(((0)/Inputs!$C$50)+Inputs!$C$47*0.173))+0.2*SIN(2*PI()*((((Scenario_Data!T106)+(0))/(0.5*(Inputs!$C$49+Inputs!$C$50)))+Inputs!$C$47*0.097)))+0.3*(2*((SIN(((Scenario_Data!T106)*12.9898+(0)*78.233+Inputs!$C$47*37.719))*43758.5453)-INT((SIN(((Scenario_Data!T106)*12.9898+(0)*78.233+Inputs!$C$47*37.719))*43758.5453)))-1)))))/Inputs!$C$21*1000000</f>
        <v/>
      </c>
      <c r="Z106">
        <f>Scenario_Data!U106</f>
        <v/>
      </c>
      <c r="AA106">
        <f>2*((Scenario_Data!C106*1000)-(IF(OR(Inputs!$C$27=TRUE,Inputs!$C$27="TRUE",Inputs!$C$27=1),1,0)*(Inputs!$C$51*(115*EXP(-(((0)-25)^2)/(4.5^2))+70*EXP(-(((0)+38)^2)/(7^2))*(0.55+0.45*SIN(2*PI()*(Scenario_Data!U106)/45))+24*SIN(2*PI()*(0)/9+(Scenario_Data!U106)/18)*EXP(-(((0)+5)^2)/(22^2))+18*SIN(2*PI()*(Scenario_Data!U106)/70))+Inputs!$C$28*EXP(-(((Scenario_Data!U106)-Inputs!$C$29)^2)/(2*Inputs!$C$31^2))*EXP(-(((0)-Inputs!$C$30)^2)/(2*Inputs!$C$32^2))+-Inputs!$C$33*EXP(-(((((Scenario_Data!U106)-Inputs!$C$34)^2)+(((0)-Inputs!$C$35)^2))/(2*Inputs!$C$36^2)))+Inputs!$C$37*(0.55*SIN(2*PI()*(Scenario_Data!U106)/Inputs!$C$39)+0.35*COS(2*PI()*(0)/Inputs!$C$40)+0.2*SIN(2*PI()*((Scenario_Data!U106)+(0))/(0.5*(Inputs!$C$39+Inputs!$C$40))))+Inputs!$C$38*SIN(2*PI()*(Scenario_Data!U106)/Inputs!$C$39)*SIN(2*PI()*(0)/Inputs!$C$40)+-Inputs!$C$41*EXP(-(((0)-Inputs!$C$43)^2)/(2*Inputs!$C$44^2))*EXP(-(((Scenario_Data!U106)-Inputs!$C$42)^2)/(2*Inputs!$C$45^2))+Inputs!$C$48*(0.7*(0.45*SIN(2*PI()*(((Scenario_Data!U106)/Inputs!$C$49)+Inputs!$C$47*0.137))+0.35*COS(2*PI()*(((0)/Inputs!$C$50)+Inputs!$C$47*0.173))+0.2*SIN(2*PI()*((((Scenario_Data!U106)+(0))/(0.5*(Inputs!$C$49+Inputs!$C$50)))+Inputs!$C$47*0.097)))+0.3*(2*((SIN(((Scenario_Data!U106)*12.9898+(0)*78.233+Inputs!$C$47*37.719))*43758.5453)-INT((SIN(((Scenario_Data!U106)*12.9898+(0)*78.233+Inputs!$C$47*37.719))*43758.5453)))-1)))))/Inputs!$C$21*1000000</f>
        <v/>
      </c>
      <c r="AB106">
        <f>Scenario_Data!V106</f>
        <v/>
      </c>
      <c r="AC106">
        <f>2*((Scenario_Data!D106*1000)-(IF(OR(Inputs!$C$27=TRUE,Inputs!$C$27="TRUE",Inputs!$C$27=1),1,0)*(Inputs!$C$51*(115*EXP(-(((0)-25)^2)/(4.5^2))+70*EXP(-(((0)+38)^2)/(7^2))*(0.55+0.45*SIN(2*PI()*(Scenario_Data!V106)/45))+24*SIN(2*PI()*(0)/9+(Scenario_Data!V106)/18)*EXP(-(((0)+5)^2)/(22^2))+18*SIN(2*PI()*(Scenario_Data!V106)/70))+Inputs!$C$28*EXP(-(((Scenario_Data!V106)-Inputs!$C$29)^2)/(2*Inputs!$C$31^2))*EXP(-(((0)-Inputs!$C$30)^2)/(2*Inputs!$C$32^2))+-Inputs!$C$33*EXP(-(((((Scenario_Data!V106)-Inputs!$C$34)^2)+(((0)-Inputs!$C$35)^2))/(2*Inputs!$C$36^2)))+Inputs!$C$37*(0.55*SIN(2*PI()*(Scenario_Data!V106)/Inputs!$C$39)+0.35*COS(2*PI()*(0)/Inputs!$C$40)+0.2*SIN(2*PI()*((Scenario_Data!V106)+(0))/(0.5*(Inputs!$C$39+Inputs!$C$40))))+Inputs!$C$38*SIN(2*PI()*(Scenario_Data!V106)/Inputs!$C$39)*SIN(2*PI()*(0)/Inputs!$C$40)+-Inputs!$C$41*EXP(-(((0)-Inputs!$C$43)^2)/(2*Inputs!$C$44^2))*EXP(-(((Scenario_Data!V106)-Inputs!$C$42)^2)/(2*Inputs!$C$45^2))+Inputs!$C$48*(0.7*(0.45*SIN(2*PI()*(((Scenario_Data!V106)/Inputs!$C$49)+Inputs!$C$47*0.137))+0.35*COS(2*PI()*(((0)/Inputs!$C$50)+Inputs!$C$47*0.173))+0.2*SIN(2*PI()*((((Scenario_Data!V106)+(0))/(0.5*(Inputs!$C$49+Inputs!$C$50)))+Inputs!$C$47*0.097)))+0.3*(2*((SIN(((Scenario_Data!V106)*12.9898+(0)*78.233+Inputs!$C$47*37.719))*43758.5453)-INT((SIN(((Scenario_Data!V106)*12.9898+(0)*78.233+Inputs!$C$47*37.719))*43758.5453)))-1)))))/Inputs!$C$21*1000000</f>
        <v/>
      </c>
      <c r="AD106">
        <f>Scenario_Data!W106</f>
        <v/>
      </c>
      <c r="AE106">
        <f>2*((Scenario_Data!E106*1000)-(IF(OR(Inputs!$C$27=TRUE,Inputs!$C$27="TRUE",Inputs!$C$27=1),1,0)*(Inputs!$C$51*(115*EXP(-(((0)-25)^2)/(4.5^2))+70*EXP(-(((0)+38)^2)/(7^2))*(0.55+0.45*SIN(2*PI()*(Scenario_Data!W106)/45))+24*SIN(2*PI()*(0)/9+(Scenario_Data!W106)/18)*EXP(-(((0)+5)^2)/(22^2))+18*SIN(2*PI()*(Scenario_Data!W106)/70))+Inputs!$C$28*EXP(-(((Scenario_Data!W106)-Inputs!$C$29)^2)/(2*Inputs!$C$31^2))*EXP(-(((0)-Inputs!$C$30)^2)/(2*Inputs!$C$32^2))+-Inputs!$C$33*EXP(-(((((Scenario_Data!W106)-Inputs!$C$34)^2)+(((0)-Inputs!$C$35)^2))/(2*Inputs!$C$36^2)))+Inputs!$C$37*(0.55*SIN(2*PI()*(Scenario_Data!W106)/Inputs!$C$39)+0.35*COS(2*PI()*(0)/Inputs!$C$40)+0.2*SIN(2*PI()*((Scenario_Data!W106)+(0))/(0.5*(Inputs!$C$39+Inputs!$C$40))))+Inputs!$C$38*SIN(2*PI()*(Scenario_Data!W106)/Inputs!$C$39)*SIN(2*PI()*(0)/Inputs!$C$40)+-Inputs!$C$41*EXP(-(((0)-Inputs!$C$43)^2)/(2*Inputs!$C$44^2))*EXP(-(((Scenario_Data!W106)-Inputs!$C$42)^2)/(2*Inputs!$C$45^2))+Inputs!$C$48*(0.7*(0.45*SIN(2*PI()*(((Scenario_Data!W106)/Inputs!$C$49)+Inputs!$C$47*0.137))+0.35*COS(2*PI()*(((0)/Inputs!$C$50)+Inputs!$C$47*0.173))+0.2*SIN(2*PI()*((((Scenario_Data!W106)+(0))/(0.5*(Inputs!$C$49+Inputs!$C$50)))+Inputs!$C$47*0.097)))+0.3*(2*((SIN(((Scenario_Data!W106)*12.9898+(0)*78.233+Inputs!$C$47*37.719))*43758.5453)-INT((SIN(((Scenario_Data!W106)*12.9898+(0)*78.233+Inputs!$C$47*37.719))*43758.5453)))-1)))))/Inputs!$C$21*1000000</f>
        <v/>
      </c>
      <c r="AG106">
        <f>Scenario_Data!T106</f>
        <v/>
      </c>
      <c r="AH106">
        <f>2*(SQRT((Inputs!$C$52+(Scenario_Data!B106))^2+Inputs!$C$52^2-2*(Inputs!$C$52+(Scenario_Data!B106))*Inputs!$C$52*COS(SQRT((Scenario_Data!T106)^2+Inputs!$C$6^2)/Inputs!$C$52))*1000)/Inputs!$C$21*1000000</f>
        <v/>
      </c>
      <c r="AI106">
        <f>Scenario_Data!U106</f>
        <v/>
      </c>
      <c r="AJ106">
        <f>2*(SQRT((Inputs!$C$52+(Scenario_Data!C106))^2+Inputs!$C$52^2-2*(Inputs!$C$52+(Scenario_Data!C106))*Inputs!$C$52*COS(SQRT((Scenario_Data!U106)^2+Inputs!$C$6^2)/Inputs!$C$52))*1000)/Inputs!$C$21*1000000</f>
        <v/>
      </c>
      <c r="AK106">
        <f>Scenario_Data!V106</f>
        <v/>
      </c>
      <c r="AL106">
        <f>2*(SQRT((Inputs!$C$52+(Scenario_Data!D106))^2+Inputs!$C$52^2-2*(Inputs!$C$52+(Scenario_Data!D106))*Inputs!$C$52*COS(SQRT((Scenario_Data!V106)^2+Inputs!$C$6^2)/Inputs!$C$52))*1000)/Inputs!$C$21*1000000</f>
        <v/>
      </c>
      <c r="AM106">
        <f>Scenario_Data!W106</f>
        <v/>
      </c>
      <c r="AN106">
        <f>2*(SQRT((Inputs!$C$52+(Scenario_Data!E106))^2+Inputs!$C$52^2-2*(Inputs!$C$52+(Scenario_Data!E106))*Inputs!$C$52*COS(SQRT((Scenario_Data!W106)^2+Inputs!$C$6^2)/Inputs!$C$52))*1000)/Inputs!$C$21*1000000</f>
        <v/>
      </c>
      <c r="AP106">
        <f>Scenario_Data!T106</f>
        <v/>
      </c>
      <c r="AQ106">
        <f>2*(SQRT((Inputs!$C$52+(Scenario_Data!B106))^2+(Inputs!$C$52+((IF(OR(Inputs!$C$27=TRUE,Inputs!$C$27="TRUE",Inputs!$C$27=1),1,0)*(Inputs!$C$51*(115*EXP(-(((Inputs!$C$6)-25)^2)/(4.5^2))+70*EXP(-(((Inputs!$C$6)+38)^2)/(7^2))*(0.55+0.45*SIN(2*PI()*(Scenario_Data!T106)/45))+24*SIN(2*PI()*(Inputs!$C$6)/9+(Scenario_Data!T106)/18)*EXP(-(((Inputs!$C$6)+5)^2)/(22^2))+18*SIN(2*PI()*(Scenario_Data!T106)/70))+Inputs!$C$28*EXP(-(((Scenario_Data!T106)-Inputs!$C$29)^2)/(2*Inputs!$C$31^2))*EXP(-(((Inputs!$C$6)-Inputs!$C$30)^2)/(2*Inputs!$C$32^2))+-Inputs!$C$33*EXP(-(((((Scenario_Data!T106)-Inputs!$C$34)^2)+(((Inputs!$C$6)-Inputs!$C$35)^2))/(2*Inputs!$C$36^2)))+Inputs!$C$37*(0.55*SIN(2*PI()*(Scenario_Data!T106)/Inputs!$C$39)+0.35*COS(2*PI()*(Inputs!$C$6)/Inputs!$C$40)+0.2*SIN(2*PI()*((Scenario_Data!T106)+(Inputs!$C$6))/(0.5*(Inputs!$C$39+Inputs!$C$40))))+Inputs!$C$38*SIN(2*PI()*(Scenario_Data!T106)/Inputs!$C$39)*SIN(2*PI()*(Inputs!$C$6)/Inputs!$C$40)+-Inputs!$C$41*EXP(-(((Inputs!$C$6)-Inputs!$C$43)^2)/(2*Inputs!$C$44^2))*EXP(-(((Scenario_Data!T106)-Inputs!$C$42)^2)/(2*Inputs!$C$45^2))+Inputs!$C$48*(0.7*(0.45*SIN(2*PI()*(((Scenario_Data!T106)/Inputs!$C$49)+Inputs!$C$47*0.137))+0.35*COS(2*PI()*(((Inputs!$C$6)/Inputs!$C$50)+Inputs!$C$47*0.173))+0.2*SIN(2*PI()*((((Scenario_Data!T106)+(Inputs!$C$6))/(0.5*(Inputs!$C$49+Inputs!$C$50)))+Inputs!$C$47*0.097)))+0.3*(2*((SIN(((Scenario_Data!T106)*12.9898+(Inputs!$C$6)*78.233+Inputs!$C$47*37.719))*43758.5453)-INT((SIN(((Scenario_Data!T106)*12.9898+(Inputs!$C$6)*78.233+Inputs!$C$47*37.719))*43758.5453)))-1))))/1000))^2-2*(Inputs!$C$52+(Scenario_Data!B106))*(Inputs!$C$52+((IF(OR(Inputs!$C$27=TRUE,Inputs!$C$27="TRUE",Inputs!$C$27=1),1,0)*(Inputs!$C$51*(115*EXP(-(((Inputs!$C$6)-25)^2)/(4.5^2))+70*EXP(-(((Inputs!$C$6)+38)^2)/(7^2))*(0.55+0.45*SIN(2*PI()*(Scenario_Data!T106)/45))+24*SIN(2*PI()*(Inputs!$C$6)/9+(Scenario_Data!T106)/18)*EXP(-(((Inputs!$C$6)+5)^2)/(22^2))+18*SIN(2*PI()*(Scenario_Data!T106)/70))+Inputs!$C$28*EXP(-(((Scenario_Data!T106)-Inputs!$C$29)^2)/(2*Inputs!$C$31^2))*EXP(-(((Inputs!$C$6)-Inputs!$C$30)^2)/(2*Inputs!$C$32^2))+-Inputs!$C$33*EXP(-(((((Scenario_Data!T106)-Inputs!$C$34)^2)+(((Inputs!$C$6)-Inputs!$C$35)^2))/(2*Inputs!$C$36^2)))+Inputs!$C$37*(0.55*SIN(2*PI()*(Scenario_Data!T106)/Inputs!$C$39)+0.35*COS(2*PI()*(Inputs!$C$6)/Inputs!$C$40)+0.2*SIN(2*PI()*((Scenario_Data!T106)+(Inputs!$C$6))/(0.5*(Inputs!$C$39+Inputs!$C$40))))+Inputs!$C$38*SIN(2*PI()*(Scenario_Data!T106)/Inputs!$C$39)*SIN(2*PI()*(Inputs!$C$6)/Inputs!$C$40)+-Inputs!$C$41*EXP(-(((Inputs!$C$6)-Inputs!$C$43)^2)/(2*Inputs!$C$44^2))*EXP(-(((Scenario_Data!T106)-Inputs!$C$42)^2)/(2*Inputs!$C$45^2))+Inputs!$C$48*(0.7*(0.45*SIN(2*PI()*(((Scenario_Data!T106)/Inputs!$C$49)+Inputs!$C$47*0.137))+0.35*COS(2*PI()*(((Inputs!$C$6)/Inputs!$C$50)+Inputs!$C$47*0.173))+0.2*SIN(2*PI()*((((Scenario_Data!T106)+(Inputs!$C$6))/(0.5*(Inputs!$C$49+Inputs!$C$50)))+Inputs!$C$47*0.097)))+0.3*(2*((SIN(((Scenario_Data!T106)*12.9898+(Inputs!$C$6)*78.233+Inputs!$C$47*37.719))*43758.5453)-INT((SIN(((Scenario_Data!T106)*12.9898+(Inputs!$C$6)*78.233+Inputs!$C$47*37.719))*43758.5453)))-1))))/1000))*COS(SQRT((Scenario_Data!T106)^2+Inputs!$C$6^2)/Inputs!$C$52))*1000)/Inputs!$C$21*1000000</f>
        <v/>
      </c>
      <c r="AR106">
        <f>Scenario_Data!U106</f>
        <v/>
      </c>
      <c r="AS106">
        <f>2*(SQRT((Inputs!$C$52+(Scenario_Data!C106))^2+(Inputs!$C$52+((IF(OR(Inputs!$C$27=TRUE,Inputs!$C$27="TRUE",Inputs!$C$27=1),1,0)*(Inputs!$C$51*(115*EXP(-(((Inputs!$C$6)-25)^2)/(4.5^2))+70*EXP(-(((Inputs!$C$6)+38)^2)/(7^2))*(0.55+0.45*SIN(2*PI()*(Scenario_Data!U106)/45))+24*SIN(2*PI()*(Inputs!$C$6)/9+(Scenario_Data!U106)/18)*EXP(-(((Inputs!$C$6)+5)^2)/(22^2))+18*SIN(2*PI()*(Scenario_Data!U106)/70))+Inputs!$C$28*EXP(-(((Scenario_Data!U106)-Inputs!$C$29)^2)/(2*Inputs!$C$31^2))*EXP(-(((Inputs!$C$6)-Inputs!$C$30)^2)/(2*Inputs!$C$32^2))+-Inputs!$C$33*EXP(-(((((Scenario_Data!U106)-Inputs!$C$34)^2)+(((Inputs!$C$6)-Inputs!$C$35)^2))/(2*Inputs!$C$36^2)))+Inputs!$C$37*(0.55*SIN(2*PI()*(Scenario_Data!U106)/Inputs!$C$39)+0.35*COS(2*PI()*(Inputs!$C$6)/Inputs!$C$40)+0.2*SIN(2*PI()*((Scenario_Data!U106)+(Inputs!$C$6))/(0.5*(Inputs!$C$39+Inputs!$C$40))))+Inputs!$C$38*SIN(2*PI()*(Scenario_Data!U106)/Inputs!$C$39)*SIN(2*PI()*(Inputs!$C$6)/Inputs!$C$40)+-Inputs!$C$41*EXP(-(((Inputs!$C$6)-Inputs!$C$43)^2)/(2*Inputs!$C$44^2))*EXP(-(((Scenario_Data!U106)-Inputs!$C$42)^2)/(2*Inputs!$C$45^2))+Inputs!$C$48*(0.7*(0.45*SIN(2*PI()*(((Scenario_Data!U106)/Inputs!$C$49)+Inputs!$C$47*0.137))+0.35*COS(2*PI()*(((Inputs!$C$6)/Inputs!$C$50)+Inputs!$C$47*0.173))+0.2*SIN(2*PI()*((((Scenario_Data!U106)+(Inputs!$C$6))/(0.5*(Inputs!$C$49+Inputs!$C$50)))+Inputs!$C$47*0.097)))+0.3*(2*((SIN(((Scenario_Data!U106)*12.9898+(Inputs!$C$6)*78.233+Inputs!$C$47*37.719))*43758.5453)-INT((SIN(((Scenario_Data!U106)*12.9898+(Inputs!$C$6)*78.233+Inputs!$C$47*37.719))*43758.5453)))-1))))/1000))^2-2*(Inputs!$C$52+(Scenario_Data!C106))*(Inputs!$C$52+((IF(OR(Inputs!$C$27=TRUE,Inputs!$C$27="TRUE",Inputs!$C$27=1),1,0)*(Inputs!$C$51*(115*EXP(-(((Inputs!$C$6)-25)^2)/(4.5^2))+70*EXP(-(((Inputs!$C$6)+38)^2)/(7^2))*(0.55+0.45*SIN(2*PI()*(Scenario_Data!U106)/45))+24*SIN(2*PI()*(Inputs!$C$6)/9+(Scenario_Data!U106)/18)*EXP(-(((Inputs!$C$6)+5)^2)/(22^2))+18*SIN(2*PI()*(Scenario_Data!U106)/70))+Inputs!$C$28*EXP(-(((Scenario_Data!U106)-Inputs!$C$29)^2)/(2*Inputs!$C$31^2))*EXP(-(((Inputs!$C$6)-Inputs!$C$30)^2)/(2*Inputs!$C$32^2))+-Inputs!$C$33*EXP(-(((((Scenario_Data!U106)-Inputs!$C$34)^2)+(((Inputs!$C$6)-Inputs!$C$35)^2))/(2*Inputs!$C$36^2)))+Inputs!$C$37*(0.55*SIN(2*PI()*(Scenario_Data!U106)/Inputs!$C$39)+0.35*COS(2*PI()*(Inputs!$C$6)/Inputs!$C$40)+0.2*SIN(2*PI()*((Scenario_Data!U106)+(Inputs!$C$6))/(0.5*(Inputs!$C$39+Inputs!$C$40))))+Inputs!$C$38*SIN(2*PI()*(Scenario_Data!U106)/Inputs!$C$39)*SIN(2*PI()*(Inputs!$C$6)/Inputs!$C$40)+-Inputs!$C$41*EXP(-(((Inputs!$C$6)-Inputs!$C$43)^2)/(2*Inputs!$C$44^2))*EXP(-(((Scenario_Data!U106)-Inputs!$C$42)^2)/(2*Inputs!$C$45^2))+Inputs!$C$48*(0.7*(0.45*SIN(2*PI()*(((Scenario_Data!U106)/Inputs!$C$49)+Inputs!$C$47*0.137))+0.35*COS(2*PI()*(((Inputs!$C$6)/Inputs!$C$50)+Inputs!$C$47*0.173))+0.2*SIN(2*PI()*((((Scenario_Data!U106)+(Inputs!$C$6))/(0.5*(Inputs!$C$49+Inputs!$C$50)))+Inputs!$C$47*0.097)))+0.3*(2*((SIN(((Scenario_Data!U106)*12.9898+(Inputs!$C$6)*78.233+Inputs!$C$47*37.719))*43758.5453)-INT((SIN(((Scenario_Data!U106)*12.9898+(Inputs!$C$6)*78.233+Inputs!$C$47*37.719))*43758.5453)))-1))))/1000))*COS(SQRT((Scenario_Data!U106)^2+Inputs!$C$6^2)/Inputs!$C$52))*1000)/Inputs!$C$21*1000000</f>
        <v/>
      </c>
      <c r="AT106">
        <f>Scenario_Data!V106</f>
        <v/>
      </c>
      <c r="AU106">
        <f>2*(SQRT((Inputs!$C$52+(Scenario_Data!D106))^2+(Inputs!$C$52+((IF(OR(Inputs!$C$27=TRUE,Inputs!$C$27="TRUE",Inputs!$C$27=1),1,0)*(Inputs!$C$51*(115*EXP(-(((Inputs!$C$6)-25)^2)/(4.5^2))+70*EXP(-(((Inputs!$C$6)+38)^2)/(7^2))*(0.55+0.45*SIN(2*PI()*(Scenario_Data!V106)/45))+24*SIN(2*PI()*(Inputs!$C$6)/9+(Scenario_Data!V106)/18)*EXP(-(((Inputs!$C$6)+5)^2)/(22^2))+18*SIN(2*PI()*(Scenario_Data!V106)/70))+Inputs!$C$28*EXP(-(((Scenario_Data!V106)-Inputs!$C$29)^2)/(2*Inputs!$C$31^2))*EXP(-(((Inputs!$C$6)-Inputs!$C$30)^2)/(2*Inputs!$C$32^2))+-Inputs!$C$33*EXP(-(((((Scenario_Data!V106)-Inputs!$C$34)^2)+(((Inputs!$C$6)-Inputs!$C$35)^2))/(2*Inputs!$C$36^2)))+Inputs!$C$37*(0.55*SIN(2*PI()*(Scenario_Data!V106)/Inputs!$C$39)+0.35*COS(2*PI()*(Inputs!$C$6)/Inputs!$C$40)+0.2*SIN(2*PI()*((Scenario_Data!V106)+(Inputs!$C$6))/(0.5*(Inputs!$C$39+Inputs!$C$40))))+Inputs!$C$38*SIN(2*PI()*(Scenario_Data!V106)/Inputs!$C$39)*SIN(2*PI()*(Inputs!$C$6)/Inputs!$C$40)+-Inputs!$C$41*EXP(-(((Inputs!$C$6)-Inputs!$C$43)^2)/(2*Inputs!$C$44^2))*EXP(-(((Scenario_Data!V106)-Inputs!$C$42)^2)/(2*Inputs!$C$45^2))+Inputs!$C$48*(0.7*(0.45*SIN(2*PI()*(((Scenario_Data!V106)/Inputs!$C$49)+Inputs!$C$47*0.137))+0.35*COS(2*PI()*(((Inputs!$C$6)/Inputs!$C$50)+Inputs!$C$47*0.173))+0.2*SIN(2*PI()*((((Scenario_Data!V106)+(Inputs!$C$6))/(0.5*(Inputs!$C$49+Inputs!$C$50)))+Inputs!$C$47*0.097)))+0.3*(2*((SIN(((Scenario_Data!V106)*12.9898+(Inputs!$C$6)*78.233+Inputs!$C$47*37.719))*43758.5453)-INT((SIN(((Scenario_Data!V106)*12.9898+(Inputs!$C$6)*78.233+Inputs!$C$47*37.719))*43758.5453)))-1))))/1000))^2-2*(Inputs!$C$52+(Scenario_Data!D106))*(Inputs!$C$52+((IF(OR(Inputs!$C$27=TRUE,Inputs!$C$27="TRUE",Inputs!$C$27=1),1,0)*(Inputs!$C$51*(115*EXP(-(((Inputs!$C$6)-25)^2)/(4.5^2))+70*EXP(-(((Inputs!$C$6)+38)^2)/(7^2))*(0.55+0.45*SIN(2*PI()*(Scenario_Data!V106)/45))+24*SIN(2*PI()*(Inputs!$C$6)/9+(Scenario_Data!V106)/18)*EXP(-(((Inputs!$C$6)+5)^2)/(22^2))+18*SIN(2*PI()*(Scenario_Data!V106)/70))+Inputs!$C$28*EXP(-(((Scenario_Data!V106)-Inputs!$C$29)^2)/(2*Inputs!$C$31^2))*EXP(-(((Inputs!$C$6)-Inputs!$C$30)^2)/(2*Inputs!$C$32^2))+-Inputs!$C$33*EXP(-(((((Scenario_Data!V106)-Inputs!$C$34)^2)+(((Inputs!$C$6)-Inputs!$C$35)^2))/(2*Inputs!$C$36^2)))+Inputs!$C$37*(0.55*SIN(2*PI()*(Scenario_Data!V106)/Inputs!$C$39)+0.35*COS(2*PI()*(Inputs!$C$6)/Inputs!$C$40)+0.2*SIN(2*PI()*((Scenario_Data!V106)+(Inputs!$C$6))/(0.5*(Inputs!$C$39+Inputs!$C$40))))+Inputs!$C$38*SIN(2*PI()*(Scenario_Data!V106)/Inputs!$C$39)*SIN(2*PI()*(Inputs!$C$6)/Inputs!$C$40)+-Inputs!$C$41*EXP(-(((Inputs!$C$6)-Inputs!$C$43)^2)/(2*Inputs!$C$44^2))*EXP(-(((Scenario_Data!V106)-Inputs!$C$42)^2)/(2*Inputs!$C$45^2))+Inputs!$C$48*(0.7*(0.45*SIN(2*PI()*(((Scenario_Data!V106)/Inputs!$C$49)+Inputs!$C$47*0.137))+0.35*COS(2*PI()*(((Inputs!$C$6)/Inputs!$C$50)+Inputs!$C$47*0.173))+0.2*SIN(2*PI()*((((Scenario_Data!V106)+(Inputs!$C$6))/(0.5*(Inputs!$C$49+Inputs!$C$50)))+Inputs!$C$47*0.097)))+0.3*(2*((SIN(((Scenario_Data!V106)*12.9898+(Inputs!$C$6)*78.233+Inputs!$C$47*37.719))*43758.5453)-INT((SIN(((Scenario_Data!V106)*12.9898+(Inputs!$C$6)*78.233+Inputs!$C$47*37.719))*43758.5453)))-1))))/1000))*COS(SQRT((Scenario_Data!V106)^2+Inputs!$C$6^2)/Inputs!$C$52))*1000)/Inputs!$C$21*1000000</f>
        <v/>
      </c>
      <c r="AV106">
        <f>Scenario_Data!W106</f>
        <v/>
      </c>
      <c r="AW106">
        <f>2*(SQRT((Inputs!$C$52+(Scenario_Data!E106))^2+(Inputs!$C$52+((IF(OR(Inputs!$C$27=TRUE,Inputs!$C$27="TRUE",Inputs!$C$27=1),1,0)*(Inputs!$C$51*(115*EXP(-(((Inputs!$C$6)-25)^2)/(4.5^2))+70*EXP(-(((Inputs!$C$6)+38)^2)/(7^2))*(0.55+0.45*SIN(2*PI()*(Scenario_Data!W106)/45))+24*SIN(2*PI()*(Inputs!$C$6)/9+(Scenario_Data!W106)/18)*EXP(-(((Inputs!$C$6)+5)^2)/(22^2))+18*SIN(2*PI()*(Scenario_Data!W106)/70))+Inputs!$C$28*EXP(-(((Scenario_Data!W106)-Inputs!$C$29)^2)/(2*Inputs!$C$31^2))*EXP(-(((Inputs!$C$6)-Inputs!$C$30)^2)/(2*Inputs!$C$32^2))+-Inputs!$C$33*EXP(-(((((Scenario_Data!W106)-Inputs!$C$34)^2)+(((Inputs!$C$6)-Inputs!$C$35)^2))/(2*Inputs!$C$36^2)))+Inputs!$C$37*(0.55*SIN(2*PI()*(Scenario_Data!W106)/Inputs!$C$39)+0.35*COS(2*PI()*(Inputs!$C$6)/Inputs!$C$40)+0.2*SIN(2*PI()*((Scenario_Data!W106)+(Inputs!$C$6))/(0.5*(Inputs!$C$39+Inputs!$C$40))))+Inputs!$C$38*SIN(2*PI()*(Scenario_Data!W106)/Inputs!$C$39)*SIN(2*PI()*(Inputs!$C$6)/Inputs!$C$40)+-Inputs!$C$41*EXP(-(((Inputs!$C$6)-Inputs!$C$43)^2)/(2*Inputs!$C$44^2))*EXP(-(((Scenario_Data!W106)-Inputs!$C$42)^2)/(2*Inputs!$C$45^2))+Inputs!$C$48*(0.7*(0.45*SIN(2*PI()*(((Scenario_Data!W106)/Inputs!$C$49)+Inputs!$C$47*0.137))+0.35*COS(2*PI()*(((Inputs!$C$6)/Inputs!$C$50)+Inputs!$C$47*0.173))+0.2*SIN(2*PI()*((((Scenario_Data!W106)+(Inputs!$C$6))/(0.5*(Inputs!$C$49+Inputs!$C$50)))+Inputs!$C$47*0.097)))+0.3*(2*((SIN(((Scenario_Data!W106)*12.9898+(Inputs!$C$6)*78.233+Inputs!$C$47*37.719))*43758.5453)-INT((SIN(((Scenario_Data!W106)*12.9898+(Inputs!$C$6)*78.233+Inputs!$C$47*37.719))*43758.5453)))-1))))/1000))^2-2*(Inputs!$C$52+(Scenario_Data!E106))*(Inputs!$C$52+((IF(OR(Inputs!$C$27=TRUE,Inputs!$C$27="TRUE",Inputs!$C$27=1),1,0)*(Inputs!$C$51*(115*EXP(-(((Inputs!$C$6)-25)^2)/(4.5^2))+70*EXP(-(((Inputs!$C$6)+38)^2)/(7^2))*(0.55+0.45*SIN(2*PI()*(Scenario_Data!W106)/45))+24*SIN(2*PI()*(Inputs!$C$6)/9+(Scenario_Data!W106)/18)*EXP(-(((Inputs!$C$6)+5)^2)/(22^2))+18*SIN(2*PI()*(Scenario_Data!W106)/70))+Inputs!$C$28*EXP(-(((Scenario_Data!W106)-Inputs!$C$29)^2)/(2*Inputs!$C$31^2))*EXP(-(((Inputs!$C$6)-Inputs!$C$30)^2)/(2*Inputs!$C$32^2))+-Inputs!$C$33*EXP(-(((((Scenario_Data!W106)-Inputs!$C$34)^2)+(((Inputs!$C$6)-Inputs!$C$35)^2))/(2*Inputs!$C$36^2)))+Inputs!$C$37*(0.55*SIN(2*PI()*(Scenario_Data!W106)/Inputs!$C$39)+0.35*COS(2*PI()*(Inputs!$C$6)/Inputs!$C$40)+0.2*SIN(2*PI()*((Scenario_Data!W106)+(Inputs!$C$6))/(0.5*(Inputs!$C$39+Inputs!$C$40))))+Inputs!$C$38*SIN(2*PI()*(Scenario_Data!W106)/Inputs!$C$39)*SIN(2*PI()*(Inputs!$C$6)/Inputs!$C$40)+-Inputs!$C$41*EXP(-(((Inputs!$C$6)-Inputs!$C$43)^2)/(2*Inputs!$C$44^2))*EXP(-(((Scenario_Data!W106)-Inputs!$C$42)^2)/(2*Inputs!$C$45^2))+Inputs!$C$48*(0.7*(0.45*SIN(2*PI()*(((Scenario_Data!W106)/Inputs!$C$49)+Inputs!$C$47*0.137))+0.35*COS(2*PI()*(((Inputs!$C$6)/Inputs!$C$50)+Inputs!$C$47*0.173))+0.2*SIN(2*PI()*((((Scenario_Data!W106)+(Inputs!$C$6))/(0.5*(Inputs!$C$49+Inputs!$C$50)))+Inputs!$C$47*0.097)))+0.3*(2*((SIN(((Scenario_Data!W106)*12.9898+(Inputs!$C$6)*78.233+Inputs!$C$47*37.719))*43758.5453)-INT((SIN(((Scenario_Data!W106)*12.9898+(Inputs!$C$6)*78.233+Inputs!$C$47*37.719))*43758.5453)))-1))))/1000))*COS(SQRT((Scenario_Data!W106)^2+Inputs!$C$6^2)/Inputs!$C$52))*1000)/Inputs!$C$21*1000000</f>
        <v/>
      </c>
    </row>
    <row r="107">
      <c r="A107">
        <f>Chart_Data!K107</f>
        <v/>
      </c>
      <c r="B107">
        <f>Chart_Data!N107-Chart_Data!L107</f>
        <v/>
      </c>
      <c r="D107">
        <f>Chart_Data!G107</f>
        <v/>
      </c>
      <c r="E107">
        <f>Chart_Data!H107</f>
        <v/>
      </c>
      <c r="F107">
        <f>Chart_Data!I107</f>
        <v/>
      </c>
      <c r="G107">
        <f>Chart_Data!J107</f>
        <v/>
      </c>
      <c r="I107">
        <f>Scenario_Data!A107</f>
        <v/>
      </c>
      <c r="J107">
        <f>Scenario_Data!H107-(((SQRT((Inputs!$C$52+(Inputs!$H$6))^2+Inputs!$C$52^2-2*(Inputs!$C$52+(Inputs!$H$6))*Inputs!$C$52*COS(SQRT((Scenario_Data!T107)^2+Inputs!$C$6^2)/Inputs!$C$52)))-(Inputs!$H$6))*1000/Inputs!$C$12)</f>
        <v/>
      </c>
      <c r="K107">
        <f>Scenario_Data!I107-(((SQRT((Inputs!$C$52+(Inputs!$H$7))^2+Inputs!$C$52^2-2*(Inputs!$C$52+(Inputs!$H$7))*Inputs!$C$52*COS(SQRT((Scenario_Data!U107)^2+Inputs!$C$6^2)/Inputs!$C$52)))-(Inputs!$H$7))*1000/Inputs!$C$12)</f>
        <v/>
      </c>
      <c r="L107">
        <f>Scenario_Data!J107-(((SQRT((Inputs!$C$52+(Inputs!$H$8))^2+Inputs!$C$52^2-2*(Inputs!$C$52+(Inputs!$H$8))*Inputs!$C$52*COS(SQRT((Scenario_Data!V107)^2+Inputs!$C$6^2)/Inputs!$C$52)))-(Inputs!$H$8))*1000/Inputs!$C$12)</f>
        <v/>
      </c>
      <c r="M107">
        <f>Scenario_Data!K107-(((SQRT((Inputs!$C$52+(Inputs!$H$9))^2+Inputs!$C$52^2-2*(Inputs!$C$52+(Inputs!$H$9))*Inputs!$C$52*COS(SQRT((Scenario_Data!W107)^2+Inputs!$C$6^2)/Inputs!$C$52)))-(Inputs!$H$9))*1000/Inputs!$C$12)</f>
        <v/>
      </c>
      <c r="O107">
        <f>Scenario_Data!T107</f>
        <v/>
      </c>
      <c r="P107">
        <f>2*(Scenario_Data!B107*1000)/Inputs!$C$21*1000000</f>
        <v/>
      </c>
      <c r="Q107">
        <f>Scenario_Data!U107</f>
        <v/>
      </c>
      <c r="R107">
        <f>2*(Scenario_Data!C107*1000)/Inputs!$C$21*1000000</f>
        <v/>
      </c>
      <c r="S107">
        <f>Scenario_Data!V107</f>
        <v/>
      </c>
      <c r="T107">
        <f>2*(Scenario_Data!D107*1000)/Inputs!$C$21*1000000</f>
        <v/>
      </c>
      <c r="U107">
        <f>Scenario_Data!W107</f>
        <v/>
      </c>
      <c r="V107">
        <f>2*(Scenario_Data!E107*1000)/Inputs!$C$21*1000000</f>
        <v/>
      </c>
      <c r="X107">
        <f>Scenario_Data!T107</f>
        <v/>
      </c>
      <c r="Y107">
        <f>2*((Scenario_Data!B107*1000)-(IF(OR(Inputs!$C$27=TRUE,Inputs!$C$27="TRUE",Inputs!$C$27=1),1,0)*(Inputs!$C$51*(115*EXP(-(((0)-25)^2)/(4.5^2))+70*EXP(-(((0)+38)^2)/(7^2))*(0.55+0.45*SIN(2*PI()*(Scenario_Data!T107)/45))+24*SIN(2*PI()*(0)/9+(Scenario_Data!T107)/18)*EXP(-(((0)+5)^2)/(22^2))+18*SIN(2*PI()*(Scenario_Data!T107)/70))+Inputs!$C$28*EXP(-(((Scenario_Data!T107)-Inputs!$C$29)^2)/(2*Inputs!$C$31^2))*EXP(-(((0)-Inputs!$C$30)^2)/(2*Inputs!$C$32^2))+-Inputs!$C$33*EXP(-(((((Scenario_Data!T107)-Inputs!$C$34)^2)+(((0)-Inputs!$C$35)^2))/(2*Inputs!$C$36^2)))+Inputs!$C$37*(0.55*SIN(2*PI()*(Scenario_Data!T107)/Inputs!$C$39)+0.35*COS(2*PI()*(0)/Inputs!$C$40)+0.2*SIN(2*PI()*((Scenario_Data!T107)+(0))/(0.5*(Inputs!$C$39+Inputs!$C$40))))+Inputs!$C$38*SIN(2*PI()*(Scenario_Data!T107)/Inputs!$C$39)*SIN(2*PI()*(0)/Inputs!$C$40)+-Inputs!$C$41*EXP(-(((0)-Inputs!$C$43)^2)/(2*Inputs!$C$44^2))*EXP(-(((Scenario_Data!T107)-Inputs!$C$42)^2)/(2*Inputs!$C$45^2))+Inputs!$C$48*(0.7*(0.45*SIN(2*PI()*(((Scenario_Data!T107)/Inputs!$C$49)+Inputs!$C$47*0.137))+0.35*COS(2*PI()*(((0)/Inputs!$C$50)+Inputs!$C$47*0.173))+0.2*SIN(2*PI()*((((Scenario_Data!T107)+(0))/(0.5*(Inputs!$C$49+Inputs!$C$50)))+Inputs!$C$47*0.097)))+0.3*(2*((SIN(((Scenario_Data!T107)*12.9898+(0)*78.233+Inputs!$C$47*37.719))*43758.5453)-INT((SIN(((Scenario_Data!T107)*12.9898+(0)*78.233+Inputs!$C$47*37.719))*43758.5453)))-1)))))/Inputs!$C$21*1000000</f>
        <v/>
      </c>
      <c r="Z107">
        <f>Scenario_Data!U107</f>
        <v/>
      </c>
      <c r="AA107">
        <f>2*((Scenario_Data!C107*1000)-(IF(OR(Inputs!$C$27=TRUE,Inputs!$C$27="TRUE",Inputs!$C$27=1),1,0)*(Inputs!$C$51*(115*EXP(-(((0)-25)^2)/(4.5^2))+70*EXP(-(((0)+38)^2)/(7^2))*(0.55+0.45*SIN(2*PI()*(Scenario_Data!U107)/45))+24*SIN(2*PI()*(0)/9+(Scenario_Data!U107)/18)*EXP(-(((0)+5)^2)/(22^2))+18*SIN(2*PI()*(Scenario_Data!U107)/70))+Inputs!$C$28*EXP(-(((Scenario_Data!U107)-Inputs!$C$29)^2)/(2*Inputs!$C$31^2))*EXP(-(((0)-Inputs!$C$30)^2)/(2*Inputs!$C$32^2))+-Inputs!$C$33*EXP(-(((((Scenario_Data!U107)-Inputs!$C$34)^2)+(((0)-Inputs!$C$35)^2))/(2*Inputs!$C$36^2)))+Inputs!$C$37*(0.55*SIN(2*PI()*(Scenario_Data!U107)/Inputs!$C$39)+0.35*COS(2*PI()*(0)/Inputs!$C$40)+0.2*SIN(2*PI()*((Scenario_Data!U107)+(0))/(0.5*(Inputs!$C$39+Inputs!$C$40))))+Inputs!$C$38*SIN(2*PI()*(Scenario_Data!U107)/Inputs!$C$39)*SIN(2*PI()*(0)/Inputs!$C$40)+-Inputs!$C$41*EXP(-(((0)-Inputs!$C$43)^2)/(2*Inputs!$C$44^2))*EXP(-(((Scenario_Data!U107)-Inputs!$C$42)^2)/(2*Inputs!$C$45^2))+Inputs!$C$48*(0.7*(0.45*SIN(2*PI()*(((Scenario_Data!U107)/Inputs!$C$49)+Inputs!$C$47*0.137))+0.35*COS(2*PI()*(((0)/Inputs!$C$50)+Inputs!$C$47*0.173))+0.2*SIN(2*PI()*((((Scenario_Data!U107)+(0))/(0.5*(Inputs!$C$49+Inputs!$C$50)))+Inputs!$C$47*0.097)))+0.3*(2*((SIN(((Scenario_Data!U107)*12.9898+(0)*78.233+Inputs!$C$47*37.719))*43758.5453)-INT((SIN(((Scenario_Data!U107)*12.9898+(0)*78.233+Inputs!$C$47*37.719))*43758.5453)))-1)))))/Inputs!$C$21*1000000</f>
        <v/>
      </c>
      <c r="AB107">
        <f>Scenario_Data!V107</f>
        <v/>
      </c>
      <c r="AC107">
        <f>2*((Scenario_Data!D107*1000)-(IF(OR(Inputs!$C$27=TRUE,Inputs!$C$27="TRUE",Inputs!$C$27=1),1,0)*(Inputs!$C$51*(115*EXP(-(((0)-25)^2)/(4.5^2))+70*EXP(-(((0)+38)^2)/(7^2))*(0.55+0.45*SIN(2*PI()*(Scenario_Data!V107)/45))+24*SIN(2*PI()*(0)/9+(Scenario_Data!V107)/18)*EXP(-(((0)+5)^2)/(22^2))+18*SIN(2*PI()*(Scenario_Data!V107)/70))+Inputs!$C$28*EXP(-(((Scenario_Data!V107)-Inputs!$C$29)^2)/(2*Inputs!$C$31^2))*EXP(-(((0)-Inputs!$C$30)^2)/(2*Inputs!$C$32^2))+-Inputs!$C$33*EXP(-(((((Scenario_Data!V107)-Inputs!$C$34)^2)+(((0)-Inputs!$C$35)^2))/(2*Inputs!$C$36^2)))+Inputs!$C$37*(0.55*SIN(2*PI()*(Scenario_Data!V107)/Inputs!$C$39)+0.35*COS(2*PI()*(0)/Inputs!$C$40)+0.2*SIN(2*PI()*((Scenario_Data!V107)+(0))/(0.5*(Inputs!$C$39+Inputs!$C$40))))+Inputs!$C$38*SIN(2*PI()*(Scenario_Data!V107)/Inputs!$C$39)*SIN(2*PI()*(0)/Inputs!$C$40)+-Inputs!$C$41*EXP(-(((0)-Inputs!$C$43)^2)/(2*Inputs!$C$44^2))*EXP(-(((Scenario_Data!V107)-Inputs!$C$42)^2)/(2*Inputs!$C$45^2))+Inputs!$C$48*(0.7*(0.45*SIN(2*PI()*(((Scenario_Data!V107)/Inputs!$C$49)+Inputs!$C$47*0.137))+0.35*COS(2*PI()*(((0)/Inputs!$C$50)+Inputs!$C$47*0.173))+0.2*SIN(2*PI()*((((Scenario_Data!V107)+(0))/(0.5*(Inputs!$C$49+Inputs!$C$50)))+Inputs!$C$47*0.097)))+0.3*(2*((SIN(((Scenario_Data!V107)*12.9898+(0)*78.233+Inputs!$C$47*37.719))*43758.5453)-INT((SIN(((Scenario_Data!V107)*12.9898+(0)*78.233+Inputs!$C$47*37.719))*43758.5453)))-1)))))/Inputs!$C$21*1000000</f>
        <v/>
      </c>
      <c r="AD107">
        <f>Scenario_Data!W107</f>
        <v/>
      </c>
      <c r="AE107">
        <f>2*((Scenario_Data!E107*1000)-(IF(OR(Inputs!$C$27=TRUE,Inputs!$C$27="TRUE",Inputs!$C$27=1),1,0)*(Inputs!$C$51*(115*EXP(-(((0)-25)^2)/(4.5^2))+70*EXP(-(((0)+38)^2)/(7^2))*(0.55+0.45*SIN(2*PI()*(Scenario_Data!W107)/45))+24*SIN(2*PI()*(0)/9+(Scenario_Data!W107)/18)*EXP(-(((0)+5)^2)/(22^2))+18*SIN(2*PI()*(Scenario_Data!W107)/70))+Inputs!$C$28*EXP(-(((Scenario_Data!W107)-Inputs!$C$29)^2)/(2*Inputs!$C$31^2))*EXP(-(((0)-Inputs!$C$30)^2)/(2*Inputs!$C$32^2))+-Inputs!$C$33*EXP(-(((((Scenario_Data!W107)-Inputs!$C$34)^2)+(((0)-Inputs!$C$35)^2))/(2*Inputs!$C$36^2)))+Inputs!$C$37*(0.55*SIN(2*PI()*(Scenario_Data!W107)/Inputs!$C$39)+0.35*COS(2*PI()*(0)/Inputs!$C$40)+0.2*SIN(2*PI()*((Scenario_Data!W107)+(0))/(0.5*(Inputs!$C$39+Inputs!$C$40))))+Inputs!$C$38*SIN(2*PI()*(Scenario_Data!W107)/Inputs!$C$39)*SIN(2*PI()*(0)/Inputs!$C$40)+-Inputs!$C$41*EXP(-(((0)-Inputs!$C$43)^2)/(2*Inputs!$C$44^2))*EXP(-(((Scenario_Data!W107)-Inputs!$C$42)^2)/(2*Inputs!$C$45^2))+Inputs!$C$48*(0.7*(0.45*SIN(2*PI()*(((Scenario_Data!W107)/Inputs!$C$49)+Inputs!$C$47*0.137))+0.35*COS(2*PI()*(((0)/Inputs!$C$50)+Inputs!$C$47*0.173))+0.2*SIN(2*PI()*((((Scenario_Data!W107)+(0))/(0.5*(Inputs!$C$49+Inputs!$C$50)))+Inputs!$C$47*0.097)))+0.3*(2*((SIN(((Scenario_Data!W107)*12.9898+(0)*78.233+Inputs!$C$47*37.719))*43758.5453)-INT((SIN(((Scenario_Data!W107)*12.9898+(0)*78.233+Inputs!$C$47*37.719))*43758.5453)))-1)))))/Inputs!$C$21*1000000</f>
        <v/>
      </c>
      <c r="AG107">
        <f>Scenario_Data!T107</f>
        <v/>
      </c>
      <c r="AH107">
        <f>2*(SQRT((Inputs!$C$52+(Scenario_Data!B107))^2+Inputs!$C$52^2-2*(Inputs!$C$52+(Scenario_Data!B107))*Inputs!$C$52*COS(SQRT((Scenario_Data!T107)^2+Inputs!$C$6^2)/Inputs!$C$52))*1000)/Inputs!$C$21*1000000</f>
        <v/>
      </c>
      <c r="AI107">
        <f>Scenario_Data!U107</f>
        <v/>
      </c>
      <c r="AJ107">
        <f>2*(SQRT((Inputs!$C$52+(Scenario_Data!C107))^2+Inputs!$C$52^2-2*(Inputs!$C$52+(Scenario_Data!C107))*Inputs!$C$52*COS(SQRT((Scenario_Data!U107)^2+Inputs!$C$6^2)/Inputs!$C$52))*1000)/Inputs!$C$21*1000000</f>
        <v/>
      </c>
      <c r="AK107">
        <f>Scenario_Data!V107</f>
        <v/>
      </c>
      <c r="AL107">
        <f>2*(SQRT((Inputs!$C$52+(Scenario_Data!D107))^2+Inputs!$C$52^2-2*(Inputs!$C$52+(Scenario_Data!D107))*Inputs!$C$52*COS(SQRT((Scenario_Data!V107)^2+Inputs!$C$6^2)/Inputs!$C$52))*1000)/Inputs!$C$21*1000000</f>
        <v/>
      </c>
      <c r="AM107">
        <f>Scenario_Data!W107</f>
        <v/>
      </c>
      <c r="AN107">
        <f>2*(SQRT((Inputs!$C$52+(Scenario_Data!E107))^2+Inputs!$C$52^2-2*(Inputs!$C$52+(Scenario_Data!E107))*Inputs!$C$52*COS(SQRT((Scenario_Data!W107)^2+Inputs!$C$6^2)/Inputs!$C$52))*1000)/Inputs!$C$21*1000000</f>
        <v/>
      </c>
      <c r="AP107">
        <f>Scenario_Data!T107</f>
        <v/>
      </c>
      <c r="AQ107">
        <f>2*(SQRT((Inputs!$C$52+(Scenario_Data!B107))^2+(Inputs!$C$52+((IF(OR(Inputs!$C$27=TRUE,Inputs!$C$27="TRUE",Inputs!$C$27=1),1,0)*(Inputs!$C$51*(115*EXP(-(((Inputs!$C$6)-25)^2)/(4.5^2))+70*EXP(-(((Inputs!$C$6)+38)^2)/(7^2))*(0.55+0.45*SIN(2*PI()*(Scenario_Data!T107)/45))+24*SIN(2*PI()*(Inputs!$C$6)/9+(Scenario_Data!T107)/18)*EXP(-(((Inputs!$C$6)+5)^2)/(22^2))+18*SIN(2*PI()*(Scenario_Data!T107)/70))+Inputs!$C$28*EXP(-(((Scenario_Data!T107)-Inputs!$C$29)^2)/(2*Inputs!$C$31^2))*EXP(-(((Inputs!$C$6)-Inputs!$C$30)^2)/(2*Inputs!$C$32^2))+-Inputs!$C$33*EXP(-(((((Scenario_Data!T107)-Inputs!$C$34)^2)+(((Inputs!$C$6)-Inputs!$C$35)^2))/(2*Inputs!$C$36^2)))+Inputs!$C$37*(0.55*SIN(2*PI()*(Scenario_Data!T107)/Inputs!$C$39)+0.35*COS(2*PI()*(Inputs!$C$6)/Inputs!$C$40)+0.2*SIN(2*PI()*((Scenario_Data!T107)+(Inputs!$C$6))/(0.5*(Inputs!$C$39+Inputs!$C$40))))+Inputs!$C$38*SIN(2*PI()*(Scenario_Data!T107)/Inputs!$C$39)*SIN(2*PI()*(Inputs!$C$6)/Inputs!$C$40)+-Inputs!$C$41*EXP(-(((Inputs!$C$6)-Inputs!$C$43)^2)/(2*Inputs!$C$44^2))*EXP(-(((Scenario_Data!T107)-Inputs!$C$42)^2)/(2*Inputs!$C$45^2))+Inputs!$C$48*(0.7*(0.45*SIN(2*PI()*(((Scenario_Data!T107)/Inputs!$C$49)+Inputs!$C$47*0.137))+0.35*COS(2*PI()*(((Inputs!$C$6)/Inputs!$C$50)+Inputs!$C$47*0.173))+0.2*SIN(2*PI()*((((Scenario_Data!T107)+(Inputs!$C$6))/(0.5*(Inputs!$C$49+Inputs!$C$50)))+Inputs!$C$47*0.097)))+0.3*(2*((SIN(((Scenario_Data!T107)*12.9898+(Inputs!$C$6)*78.233+Inputs!$C$47*37.719))*43758.5453)-INT((SIN(((Scenario_Data!T107)*12.9898+(Inputs!$C$6)*78.233+Inputs!$C$47*37.719))*43758.5453)))-1))))/1000))^2-2*(Inputs!$C$52+(Scenario_Data!B107))*(Inputs!$C$52+((IF(OR(Inputs!$C$27=TRUE,Inputs!$C$27="TRUE",Inputs!$C$27=1),1,0)*(Inputs!$C$51*(115*EXP(-(((Inputs!$C$6)-25)^2)/(4.5^2))+70*EXP(-(((Inputs!$C$6)+38)^2)/(7^2))*(0.55+0.45*SIN(2*PI()*(Scenario_Data!T107)/45))+24*SIN(2*PI()*(Inputs!$C$6)/9+(Scenario_Data!T107)/18)*EXP(-(((Inputs!$C$6)+5)^2)/(22^2))+18*SIN(2*PI()*(Scenario_Data!T107)/70))+Inputs!$C$28*EXP(-(((Scenario_Data!T107)-Inputs!$C$29)^2)/(2*Inputs!$C$31^2))*EXP(-(((Inputs!$C$6)-Inputs!$C$30)^2)/(2*Inputs!$C$32^2))+-Inputs!$C$33*EXP(-(((((Scenario_Data!T107)-Inputs!$C$34)^2)+(((Inputs!$C$6)-Inputs!$C$35)^2))/(2*Inputs!$C$36^2)))+Inputs!$C$37*(0.55*SIN(2*PI()*(Scenario_Data!T107)/Inputs!$C$39)+0.35*COS(2*PI()*(Inputs!$C$6)/Inputs!$C$40)+0.2*SIN(2*PI()*((Scenario_Data!T107)+(Inputs!$C$6))/(0.5*(Inputs!$C$39+Inputs!$C$40))))+Inputs!$C$38*SIN(2*PI()*(Scenario_Data!T107)/Inputs!$C$39)*SIN(2*PI()*(Inputs!$C$6)/Inputs!$C$40)+-Inputs!$C$41*EXP(-(((Inputs!$C$6)-Inputs!$C$43)^2)/(2*Inputs!$C$44^2))*EXP(-(((Scenario_Data!T107)-Inputs!$C$42)^2)/(2*Inputs!$C$45^2))+Inputs!$C$48*(0.7*(0.45*SIN(2*PI()*(((Scenario_Data!T107)/Inputs!$C$49)+Inputs!$C$47*0.137))+0.35*COS(2*PI()*(((Inputs!$C$6)/Inputs!$C$50)+Inputs!$C$47*0.173))+0.2*SIN(2*PI()*((((Scenario_Data!T107)+(Inputs!$C$6))/(0.5*(Inputs!$C$49+Inputs!$C$50)))+Inputs!$C$47*0.097)))+0.3*(2*((SIN(((Scenario_Data!T107)*12.9898+(Inputs!$C$6)*78.233+Inputs!$C$47*37.719))*43758.5453)-INT((SIN(((Scenario_Data!T107)*12.9898+(Inputs!$C$6)*78.233+Inputs!$C$47*37.719))*43758.5453)))-1))))/1000))*COS(SQRT((Scenario_Data!T107)^2+Inputs!$C$6^2)/Inputs!$C$52))*1000)/Inputs!$C$21*1000000</f>
        <v/>
      </c>
      <c r="AR107">
        <f>Scenario_Data!U107</f>
        <v/>
      </c>
      <c r="AS107">
        <f>2*(SQRT((Inputs!$C$52+(Scenario_Data!C107))^2+(Inputs!$C$52+((IF(OR(Inputs!$C$27=TRUE,Inputs!$C$27="TRUE",Inputs!$C$27=1),1,0)*(Inputs!$C$51*(115*EXP(-(((Inputs!$C$6)-25)^2)/(4.5^2))+70*EXP(-(((Inputs!$C$6)+38)^2)/(7^2))*(0.55+0.45*SIN(2*PI()*(Scenario_Data!U107)/45))+24*SIN(2*PI()*(Inputs!$C$6)/9+(Scenario_Data!U107)/18)*EXP(-(((Inputs!$C$6)+5)^2)/(22^2))+18*SIN(2*PI()*(Scenario_Data!U107)/70))+Inputs!$C$28*EXP(-(((Scenario_Data!U107)-Inputs!$C$29)^2)/(2*Inputs!$C$31^2))*EXP(-(((Inputs!$C$6)-Inputs!$C$30)^2)/(2*Inputs!$C$32^2))+-Inputs!$C$33*EXP(-(((((Scenario_Data!U107)-Inputs!$C$34)^2)+(((Inputs!$C$6)-Inputs!$C$35)^2))/(2*Inputs!$C$36^2)))+Inputs!$C$37*(0.55*SIN(2*PI()*(Scenario_Data!U107)/Inputs!$C$39)+0.35*COS(2*PI()*(Inputs!$C$6)/Inputs!$C$40)+0.2*SIN(2*PI()*((Scenario_Data!U107)+(Inputs!$C$6))/(0.5*(Inputs!$C$39+Inputs!$C$40))))+Inputs!$C$38*SIN(2*PI()*(Scenario_Data!U107)/Inputs!$C$39)*SIN(2*PI()*(Inputs!$C$6)/Inputs!$C$40)+-Inputs!$C$41*EXP(-(((Inputs!$C$6)-Inputs!$C$43)^2)/(2*Inputs!$C$44^2))*EXP(-(((Scenario_Data!U107)-Inputs!$C$42)^2)/(2*Inputs!$C$45^2))+Inputs!$C$48*(0.7*(0.45*SIN(2*PI()*(((Scenario_Data!U107)/Inputs!$C$49)+Inputs!$C$47*0.137))+0.35*COS(2*PI()*(((Inputs!$C$6)/Inputs!$C$50)+Inputs!$C$47*0.173))+0.2*SIN(2*PI()*((((Scenario_Data!U107)+(Inputs!$C$6))/(0.5*(Inputs!$C$49+Inputs!$C$50)))+Inputs!$C$47*0.097)))+0.3*(2*((SIN(((Scenario_Data!U107)*12.9898+(Inputs!$C$6)*78.233+Inputs!$C$47*37.719))*43758.5453)-INT((SIN(((Scenario_Data!U107)*12.9898+(Inputs!$C$6)*78.233+Inputs!$C$47*37.719))*43758.5453)))-1))))/1000))^2-2*(Inputs!$C$52+(Scenario_Data!C107))*(Inputs!$C$52+((IF(OR(Inputs!$C$27=TRUE,Inputs!$C$27="TRUE",Inputs!$C$27=1),1,0)*(Inputs!$C$51*(115*EXP(-(((Inputs!$C$6)-25)^2)/(4.5^2))+70*EXP(-(((Inputs!$C$6)+38)^2)/(7^2))*(0.55+0.45*SIN(2*PI()*(Scenario_Data!U107)/45))+24*SIN(2*PI()*(Inputs!$C$6)/9+(Scenario_Data!U107)/18)*EXP(-(((Inputs!$C$6)+5)^2)/(22^2))+18*SIN(2*PI()*(Scenario_Data!U107)/70))+Inputs!$C$28*EXP(-(((Scenario_Data!U107)-Inputs!$C$29)^2)/(2*Inputs!$C$31^2))*EXP(-(((Inputs!$C$6)-Inputs!$C$30)^2)/(2*Inputs!$C$32^2))+-Inputs!$C$33*EXP(-(((((Scenario_Data!U107)-Inputs!$C$34)^2)+(((Inputs!$C$6)-Inputs!$C$35)^2))/(2*Inputs!$C$36^2)))+Inputs!$C$37*(0.55*SIN(2*PI()*(Scenario_Data!U107)/Inputs!$C$39)+0.35*COS(2*PI()*(Inputs!$C$6)/Inputs!$C$40)+0.2*SIN(2*PI()*((Scenario_Data!U107)+(Inputs!$C$6))/(0.5*(Inputs!$C$39+Inputs!$C$40))))+Inputs!$C$38*SIN(2*PI()*(Scenario_Data!U107)/Inputs!$C$39)*SIN(2*PI()*(Inputs!$C$6)/Inputs!$C$40)+-Inputs!$C$41*EXP(-(((Inputs!$C$6)-Inputs!$C$43)^2)/(2*Inputs!$C$44^2))*EXP(-(((Scenario_Data!U107)-Inputs!$C$42)^2)/(2*Inputs!$C$45^2))+Inputs!$C$48*(0.7*(0.45*SIN(2*PI()*(((Scenario_Data!U107)/Inputs!$C$49)+Inputs!$C$47*0.137))+0.35*COS(2*PI()*(((Inputs!$C$6)/Inputs!$C$50)+Inputs!$C$47*0.173))+0.2*SIN(2*PI()*((((Scenario_Data!U107)+(Inputs!$C$6))/(0.5*(Inputs!$C$49+Inputs!$C$50)))+Inputs!$C$47*0.097)))+0.3*(2*((SIN(((Scenario_Data!U107)*12.9898+(Inputs!$C$6)*78.233+Inputs!$C$47*37.719))*43758.5453)-INT((SIN(((Scenario_Data!U107)*12.9898+(Inputs!$C$6)*78.233+Inputs!$C$47*37.719))*43758.5453)))-1))))/1000))*COS(SQRT((Scenario_Data!U107)^2+Inputs!$C$6^2)/Inputs!$C$52))*1000)/Inputs!$C$21*1000000</f>
        <v/>
      </c>
      <c r="AT107">
        <f>Scenario_Data!V107</f>
        <v/>
      </c>
      <c r="AU107">
        <f>2*(SQRT((Inputs!$C$52+(Scenario_Data!D107))^2+(Inputs!$C$52+((IF(OR(Inputs!$C$27=TRUE,Inputs!$C$27="TRUE",Inputs!$C$27=1),1,0)*(Inputs!$C$51*(115*EXP(-(((Inputs!$C$6)-25)^2)/(4.5^2))+70*EXP(-(((Inputs!$C$6)+38)^2)/(7^2))*(0.55+0.45*SIN(2*PI()*(Scenario_Data!V107)/45))+24*SIN(2*PI()*(Inputs!$C$6)/9+(Scenario_Data!V107)/18)*EXP(-(((Inputs!$C$6)+5)^2)/(22^2))+18*SIN(2*PI()*(Scenario_Data!V107)/70))+Inputs!$C$28*EXP(-(((Scenario_Data!V107)-Inputs!$C$29)^2)/(2*Inputs!$C$31^2))*EXP(-(((Inputs!$C$6)-Inputs!$C$30)^2)/(2*Inputs!$C$32^2))+-Inputs!$C$33*EXP(-(((((Scenario_Data!V107)-Inputs!$C$34)^2)+(((Inputs!$C$6)-Inputs!$C$35)^2))/(2*Inputs!$C$36^2)))+Inputs!$C$37*(0.55*SIN(2*PI()*(Scenario_Data!V107)/Inputs!$C$39)+0.35*COS(2*PI()*(Inputs!$C$6)/Inputs!$C$40)+0.2*SIN(2*PI()*((Scenario_Data!V107)+(Inputs!$C$6))/(0.5*(Inputs!$C$39+Inputs!$C$40))))+Inputs!$C$38*SIN(2*PI()*(Scenario_Data!V107)/Inputs!$C$39)*SIN(2*PI()*(Inputs!$C$6)/Inputs!$C$40)+-Inputs!$C$41*EXP(-(((Inputs!$C$6)-Inputs!$C$43)^2)/(2*Inputs!$C$44^2))*EXP(-(((Scenario_Data!V107)-Inputs!$C$42)^2)/(2*Inputs!$C$45^2))+Inputs!$C$48*(0.7*(0.45*SIN(2*PI()*(((Scenario_Data!V107)/Inputs!$C$49)+Inputs!$C$47*0.137))+0.35*COS(2*PI()*(((Inputs!$C$6)/Inputs!$C$50)+Inputs!$C$47*0.173))+0.2*SIN(2*PI()*((((Scenario_Data!V107)+(Inputs!$C$6))/(0.5*(Inputs!$C$49+Inputs!$C$50)))+Inputs!$C$47*0.097)))+0.3*(2*((SIN(((Scenario_Data!V107)*12.9898+(Inputs!$C$6)*78.233+Inputs!$C$47*37.719))*43758.5453)-INT((SIN(((Scenario_Data!V107)*12.9898+(Inputs!$C$6)*78.233+Inputs!$C$47*37.719))*43758.5453)))-1))))/1000))^2-2*(Inputs!$C$52+(Scenario_Data!D107))*(Inputs!$C$52+((IF(OR(Inputs!$C$27=TRUE,Inputs!$C$27="TRUE",Inputs!$C$27=1),1,0)*(Inputs!$C$51*(115*EXP(-(((Inputs!$C$6)-25)^2)/(4.5^2))+70*EXP(-(((Inputs!$C$6)+38)^2)/(7^2))*(0.55+0.45*SIN(2*PI()*(Scenario_Data!V107)/45))+24*SIN(2*PI()*(Inputs!$C$6)/9+(Scenario_Data!V107)/18)*EXP(-(((Inputs!$C$6)+5)^2)/(22^2))+18*SIN(2*PI()*(Scenario_Data!V107)/70))+Inputs!$C$28*EXP(-(((Scenario_Data!V107)-Inputs!$C$29)^2)/(2*Inputs!$C$31^2))*EXP(-(((Inputs!$C$6)-Inputs!$C$30)^2)/(2*Inputs!$C$32^2))+-Inputs!$C$33*EXP(-(((((Scenario_Data!V107)-Inputs!$C$34)^2)+(((Inputs!$C$6)-Inputs!$C$35)^2))/(2*Inputs!$C$36^2)))+Inputs!$C$37*(0.55*SIN(2*PI()*(Scenario_Data!V107)/Inputs!$C$39)+0.35*COS(2*PI()*(Inputs!$C$6)/Inputs!$C$40)+0.2*SIN(2*PI()*((Scenario_Data!V107)+(Inputs!$C$6))/(0.5*(Inputs!$C$39+Inputs!$C$40))))+Inputs!$C$38*SIN(2*PI()*(Scenario_Data!V107)/Inputs!$C$39)*SIN(2*PI()*(Inputs!$C$6)/Inputs!$C$40)+-Inputs!$C$41*EXP(-(((Inputs!$C$6)-Inputs!$C$43)^2)/(2*Inputs!$C$44^2))*EXP(-(((Scenario_Data!V107)-Inputs!$C$42)^2)/(2*Inputs!$C$45^2))+Inputs!$C$48*(0.7*(0.45*SIN(2*PI()*(((Scenario_Data!V107)/Inputs!$C$49)+Inputs!$C$47*0.137))+0.35*COS(2*PI()*(((Inputs!$C$6)/Inputs!$C$50)+Inputs!$C$47*0.173))+0.2*SIN(2*PI()*((((Scenario_Data!V107)+(Inputs!$C$6))/(0.5*(Inputs!$C$49+Inputs!$C$50)))+Inputs!$C$47*0.097)))+0.3*(2*((SIN(((Scenario_Data!V107)*12.9898+(Inputs!$C$6)*78.233+Inputs!$C$47*37.719))*43758.5453)-INT((SIN(((Scenario_Data!V107)*12.9898+(Inputs!$C$6)*78.233+Inputs!$C$47*37.719))*43758.5453)))-1))))/1000))*COS(SQRT((Scenario_Data!V107)^2+Inputs!$C$6^2)/Inputs!$C$52))*1000)/Inputs!$C$21*1000000</f>
        <v/>
      </c>
      <c r="AV107">
        <f>Scenario_Data!W107</f>
        <v/>
      </c>
      <c r="AW107">
        <f>2*(SQRT((Inputs!$C$52+(Scenario_Data!E107))^2+(Inputs!$C$52+((IF(OR(Inputs!$C$27=TRUE,Inputs!$C$27="TRUE",Inputs!$C$27=1),1,0)*(Inputs!$C$51*(115*EXP(-(((Inputs!$C$6)-25)^2)/(4.5^2))+70*EXP(-(((Inputs!$C$6)+38)^2)/(7^2))*(0.55+0.45*SIN(2*PI()*(Scenario_Data!W107)/45))+24*SIN(2*PI()*(Inputs!$C$6)/9+(Scenario_Data!W107)/18)*EXP(-(((Inputs!$C$6)+5)^2)/(22^2))+18*SIN(2*PI()*(Scenario_Data!W107)/70))+Inputs!$C$28*EXP(-(((Scenario_Data!W107)-Inputs!$C$29)^2)/(2*Inputs!$C$31^2))*EXP(-(((Inputs!$C$6)-Inputs!$C$30)^2)/(2*Inputs!$C$32^2))+-Inputs!$C$33*EXP(-(((((Scenario_Data!W107)-Inputs!$C$34)^2)+(((Inputs!$C$6)-Inputs!$C$35)^2))/(2*Inputs!$C$36^2)))+Inputs!$C$37*(0.55*SIN(2*PI()*(Scenario_Data!W107)/Inputs!$C$39)+0.35*COS(2*PI()*(Inputs!$C$6)/Inputs!$C$40)+0.2*SIN(2*PI()*((Scenario_Data!W107)+(Inputs!$C$6))/(0.5*(Inputs!$C$39+Inputs!$C$40))))+Inputs!$C$38*SIN(2*PI()*(Scenario_Data!W107)/Inputs!$C$39)*SIN(2*PI()*(Inputs!$C$6)/Inputs!$C$40)+-Inputs!$C$41*EXP(-(((Inputs!$C$6)-Inputs!$C$43)^2)/(2*Inputs!$C$44^2))*EXP(-(((Scenario_Data!W107)-Inputs!$C$42)^2)/(2*Inputs!$C$45^2))+Inputs!$C$48*(0.7*(0.45*SIN(2*PI()*(((Scenario_Data!W107)/Inputs!$C$49)+Inputs!$C$47*0.137))+0.35*COS(2*PI()*(((Inputs!$C$6)/Inputs!$C$50)+Inputs!$C$47*0.173))+0.2*SIN(2*PI()*((((Scenario_Data!W107)+(Inputs!$C$6))/(0.5*(Inputs!$C$49+Inputs!$C$50)))+Inputs!$C$47*0.097)))+0.3*(2*((SIN(((Scenario_Data!W107)*12.9898+(Inputs!$C$6)*78.233+Inputs!$C$47*37.719))*43758.5453)-INT((SIN(((Scenario_Data!W107)*12.9898+(Inputs!$C$6)*78.233+Inputs!$C$47*37.719))*43758.5453)))-1))))/1000))^2-2*(Inputs!$C$52+(Scenario_Data!E107))*(Inputs!$C$52+((IF(OR(Inputs!$C$27=TRUE,Inputs!$C$27="TRUE",Inputs!$C$27=1),1,0)*(Inputs!$C$51*(115*EXP(-(((Inputs!$C$6)-25)^2)/(4.5^2))+70*EXP(-(((Inputs!$C$6)+38)^2)/(7^2))*(0.55+0.45*SIN(2*PI()*(Scenario_Data!W107)/45))+24*SIN(2*PI()*(Inputs!$C$6)/9+(Scenario_Data!W107)/18)*EXP(-(((Inputs!$C$6)+5)^2)/(22^2))+18*SIN(2*PI()*(Scenario_Data!W107)/70))+Inputs!$C$28*EXP(-(((Scenario_Data!W107)-Inputs!$C$29)^2)/(2*Inputs!$C$31^2))*EXP(-(((Inputs!$C$6)-Inputs!$C$30)^2)/(2*Inputs!$C$32^2))+-Inputs!$C$33*EXP(-(((((Scenario_Data!W107)-Inputs!$C$34)^2)+(((Inputs!$C$6)-Inputs!$C$35)^2))/(2*Inputs!$C$36^2)))+Inputs!$C$37*(0.55*SIN(2*PI()*(Scenario_Data!W107)/Inputs!$C$39)+0.35*COS(2*PI()*(Inputs!$C$6)/Inputs!$C$40)+0.2*SIN(2*PI()*((Scenario_Data!W107)+(Inputs!$C$6))/(0.5*(Inputs!$C$39+Inputs!$C$40))))+Inputs!$C$38*SIN(2*PI()*(Scenario_Data!W107)/Inputs!$C$39)*SIN(2*PI()*(Inputs!$C$6)/Inputs!$C$40)+-Inputs!$C$41*EXP(-(((Inputs!$C$6)-Inputs!$C$43)^2)/(2*Inputs!$C$44^2))*EXP(-(((Scenario_Data!W107)-Inputs!$C$42)^2)/(2*Inputs!$C$45^2))+Inputs!$C$48*(0.7*(0.45*SIN(2*PI()*(((Scenario_Data!W107)/Inputs!$C$49)+Inputs!$C$47*0.137))+0.35*COS(2*PI()*(((Inputs!$C$6)/Inputs!$C$50)+Inputs!$C$47*0.173))+0.2*SIN(2*PI()*((((Scenario_Data!W107)+(Inputs!$C$6))/(0.5*(Inputs!$C$49+Inputs!$C$50)))+Inputs!$C$47*0.097)))+0.3*(2*((SIN(((Scenario_Data!W107)*12.9898+(Inputs!$C$6)*78.233+Inputs!$C$47*37.719))*43758.5453)-INT((SIN(((Scenario_Data!W107)*12.9898+(Inputs!$C$6)*78.233+Inputs!$C$47*37.719))*43758.5453)))-1))))/1000))*COS(SQRT((Scenario_Data!W107)^2+Inputs!$C$6^2)/Inputs!$C$52))*1000)/Inputs!$C$21*1000000</f>
        <v/>
      </c>
    </row>
    <row r="108">
      <c r="A108">
        <f>Chart_Data!K108</f>
        <v/>
      </c>
      <c r="B108">
        <f>Chart_Data!N108-Chart_Data!L108</f>
        <v/>
      </c>
      <c r="D108">
        <f>Chart_Data!G108</f>
        <v/>
      </c>
      <c r="E108">
        <f>Chart_Data!H108</f>
        <v/>
      </c>
      <c r="F108">
        <f>Chart_Data!I108</f>
        <v/>
      </c>
      <c r="G108">
        <f>Chart_Data!J108</f>
        <v/>
      </c>
      <c r="I108">
        <f>Scenario_Data!A108</f>
        <v/>
      </c>
      <c r="J108">
        <f>Scenario_Data!H108-(((SQRT((Inputs!$C$52+(Inputs!$H$6))^2+Inputs!$C$52^2-2*(Inputs!$C$52+(Inputs!$H$6))*Inputs!$C$52*COS(SQRT((Scenario_Data!T108)^2+Inputs!$C$6^2)/Inputs!$C$52)))-(Inputs!$H$6))*1000/Inputs!$C$12)</f>
        <v/>
      </c>
      <c r="K108">
        <f>Scenario_Data!I108-(((SQRT((Inputs!$C$52+(Inputs!$H$7))^2+Inputs!$C$52^2-2*(Inputs!$C$52+(Inputs!$H$7))*Inputs!$C$52*COS(SQRT((Scenario_Data!U108)^2+Inputs!$C$6^2)/Inputs!$C$52)))-(Inputs!$H$7))*1000/Inputs!$C$12)</f>
        <v/>
      </c>
      <c r="L108">
        <f>Scenario_Data!J108-(((SQRT((Inputs!$C$52+(Inputs!$H$8))^2+Inputs!$C$52^2-2*(Inputs!$C$52+(Inputs!$H$8))*Inputs!$C$52*COS(SQRT((Scenario_Data!V108)^2+Inputs!$C$6^2)/Inputs!$C$52)))-(Inputs!$H$8))*1000/Inputs!$C$12)</f>
        <v/>
      </c>
      <c r="M108">
        <f>Scenario_Data!K108-(((SQRT((Inputs!$C$52+(Inputs!$H$9))^2+Inputs!$C$52^2-2*(Inputs!$C$52+(Inputs!$H$9))*Inputs!$C$52*COS(SQRT((Scenario_Data!W108)^2+Inputs!$C$6^2)/Inputs!$C$52)))-(Inputs!$H$9))*1000/Inputs!$C$12)</f>
        <v/>
      </c>
      <c r="O108">
        <f>Scenario_Data!T108</f>
        <v/>
      </c>
      <c r="P108">
        <f>2*(Scenario_Data!B108*1000)/Inputs!$C$21*1000000</f>
        <v/>
      </c>
      <c r="Q108">
        <f>Scenario_Data!U108</f>
        <v/>
      </c>
      <c r="R108">
        <f>2*(Scenario_Data!C108*1000)/Inputs!$C$21*1000000</f>
        <v/>
      </c>
      <c r="S108">
        <f>Scenario_Data!V108</f>
        <v/>
      </c>
      <c r="T108">
        <f>2*(Scenario_Data!D108*1000)/Inputs!$C$21*1000000</f>
        <v/>
      </c>
      <c r="U108">
        <f>Scenario_Data!W108</f>
        <v/>
      </c>
      <c r="V108">
        <f>2*(Scenario_Data!E108*1000)/Inputs!$C$21*1000000</f>
        <v/>
      </c>
      <c r="X108">
        <f>Scenario_Data!T108</f>
        <v/>
      </c>
      <c r="Y108">
        <f>2*((Scenario_Data!B108*1000)-(IF(OR(Inputs!$C$27=TRUE,Inputs!$C$27="TRUE",Inputs!$C$27=1),1,0)*(Inputs!$C$51*(115*EXP(-(((0)-25)^2)/(4.5^2))+70*EXP(-(((0)+38)^2)/(7^2))*(0.55+0.45*SIN(2*PI()*(Scenario_Data!T108)/45))+24*SIN(2*PI()*(0)/9+(Scenario_Data!T108)/18)*EXP(-(((0)+5)^2)/(22^2))+18*SIN(2*PI()*(Scenario_Data!T108)/70))+Inputs!$C$28*EXP(-(((Scenario_Data!T108)-Inputs!$C$29)^2)/(2*Inputs!$C$31^2))*EXP(-(((0)-Inputs!$C$30)^2)/(2*Inputs!$C$32^2))+-Inputs!$C$33*EXP(-(((((Scenario_Data!T108)-Inputs!$C$34)^2)+(((0)-Inputs!$C$35)^2))/(2*Inputs!$C$36^2)))+Inputs!$C$37*(0.55*SIN(2*PI()*(Scenario_Data!T108)/Inputs!$C$39)+0.35*COS(2*PI()*(0)/Inputs!$C$40)+0.2*SIN(2*PI()*((Scenario_Data!T108)+(0))/(0.5*(Inputs!$C$39+Inputs!$C$40))))+Inputs!$C$38*SIN(2*PI()*(Scenario_Data!T108)/Inputs!$C$39)*SIN(2*PI()*(0)/Inputs!$C$40)+-Inputs!$C$41*EXP(-(((0)-Inputs!$C$43)^2)/(2*Inputs!$C$44^2))*EXP(-(((Scenario_Data!T108)-Inputs!$C$42)^2)/(2*Inputs!$C$45^2))+Inputs!$C$48*(0.7*(0.45*SIN(2*PI()*(((Scenario_Data!T108)/Inputs!$C$49)+Inputs!$C$47*0.137))+0.35*COS(2*PI()*(((0)/Inputs!$C$50)+Inputs!$C$47*0.173))+0.2*SIN(2*PI()*((((Scenario_Data!T108)+(0))/(0.5*(Inputs!$C$49+Inputs!$C$50)))+Inputs!$C$47*0.097)))+0.3*(2*((SIN(((Scenario_Data!T108)*12.9898+(0)*78.233+Inputs!$C$47*37.719))*43758.5453)-INT((SIN(((Scenario_Data!T108)*12.9898+(0)*78.233+Inputs!$C$47*37.719))*43758.5453)))-1)))))/Inputs!$C$21*1000000</f>
        <v/>
      </c>
      <c r="Z108">
        <f>Scenario_Data!U108</f>
        <v/>
      </c>
      <c r="AA108">
        <f>2*((Scenario_Data!C108*1000)-(IF(OR(Inputs!$C$27=TRUE,Inputs!$C$27="TRUE",Inputs!$C$27=1),1,0)*(Inputs!$C$51*(115*EXP(-(((0)-25)^2)/(4.5^2))+70*EXP(-(((0)+38)^2)/(7^2))*(0.55+0.45*SIN(2*PI()*(Scenario_Data!U108)/45))+24*SIN(2*PI()*(0)/9+(Scenario_Data!U108)/18)*EXP(-(((0)+5)^2)/(22^2))+18*SIN(2*PI()*(Scenario_Data!U108)/70))+Inputs!$C$28*EXP(-(((Scenario_Data!U108)-Inputs!$C$29)^2)/(2*Inputs!$C$31^2))*EXP(-(((0)-Inputs!$C$30)^2)/(2*Inputs!$C$32^2))+-Inputs!$C$33*EXP(-(((((Scenario_Data!U108)-Inputs!$C$34)^2)+(((0)-Inputs!$C$35)^2))/(2*Inputs!$C$36^2)))+Inputs!$C$37*(0.55*SIN(2*PI()*(Scenario_Data!U108)/Inputs!$C$39)+0.35*COS(2*PI()*(0)/Inputs!$C$40)+0.2*SIN(2*PI()*((Scenario_Data!U108)+(0))/(0.5*(Inputs!$C$39+Inputs!$C$40))))+Inputs!$C$38*SIN(2*PI()*(Scenario_Data!U108)/Inputs!$C$39)*SIN(2*PI()*(0)/Inputs!$C$40)+-Inputs!$C$41*EXP(-(((0)-Inputs!$C$43)^2)/(2*Inputs!$C$44^2))*EXP(-(((Scenario_Data!U108)-Inputs!$C$42)^2)/(2*Inputs!$C$45^2))+Inputs!$C$48*(0.7*(0.45*SIN(2*PI()*(((Scenario_Data!U108)/Inputs!$C$49)+Inputs!$C$47*0.137))+0.35*COS(2*PI()*(((0)/Inputs!$C$50)+Inputs!$C$47*0.173))+0.2*SIN(2*PI()*((((Scenario_Data!U108)+(0))/(0.5*(Inputs!$C$49+Inputs!$C$50)))+Inputs!$C$47*0.097)))+0.3*(2*((SIN(((Scenario_Data!U108)*12.9898+(0)*78.233+Inputs!$C$47*37.719))*43758.5453)-INT((SIN(((Scenario_Data!U108)*12.9898+(0)*78.233+Inputs!$C$47*37.719))*43758.5453)))-1)))))/Inputs!$C$21*1000000</f>
        <v/>
      </c>
      <c r="AB108">
        <f>Scenario_Data!V108</f>
        <v/>
      </c>
      <c r="AC108">
        <f>2*((Scenario_Data!D108*1000)-(IF(OR(Inputs!$C$27=TRUE,Inputs!$C$27="TRUE",Inputs!$C$27=1),1,0)*(Inputs!$C$51*(115*EXP(-(((0)-25)^2)/(4.5^2))+70*EXP(-(((0)+38)^2)/(7^2))*(0.55+0.45*SIN(2*PI()*(Scenario_Data!V108)/45))+24*SIN(2*PI()*(0)/9+(Scenario_Data!V108)/18)*EXP(-(((0)+5)^2)/(22^2))+18*SIN(2*PI()*(Scenario_Data!V108)/70))+Inputs!$C$28*EXP(-(((Scenario_Data!V108)-Inputs!$C$29)^2)/(2*Inputs!$C$31^2))*EXP(-(((0)-Inputs!$C$30)^2)/(2*Inputs!$C$32^2))+-Inputs!$C$33*EXP(-(((((Scenario_Data!V108)-Inputs!$C$34)^2)+(((0)-Inputs!$C$35)^2))/(2*Inputs!$C$36^2)))+Inputs!$C$37*(0.55*SIN(2*PI()*(Scenario_Data!V108)/Inputs!$C$39)+0.35*COS(2*PI()*(0)/Inputs!$C$40)+0.2*SIN(2*PI()*((Scenario_Data!V108)+(0))/(0.5*(Inputs!$C$39+Inputs!$C$40))))+Inputs!$C$38*SIN(2*PI()*(Scenario_Data!V108)/Inputs!$C$39)*SIN(2*PI()*(0)/Inputs!$C$40)+-Inputs!$C$41*EXP(-(((0)-Inputs!$C$43)^2)/(2*Inputs!$C$44^2))*EXP(-(((Scenario_Data!V108)-Inputs!$C$42)^2)/(2*Inputs!$C$45^2))+Inputs!$C$48*(0.7*(0.45*SIN(2*PI()*(((Scenario_Data!V108)/Inputs!$C$49)+Inputs!$C$47*0.137))+0.35*COS(2*PI()*(((0)/Inputs!$C$50)+Inputs!$C$47*0.173))+0.2*SIN(2*PI()*((((Scenario_Data!V108)+(0))/(0.5*(Inputs!$C$49+Inputs!$C$50)))+Inputs!$C$47*0.097)))+0.3*(2*((SIN(((Scenario_Data!V108)*12.9898+(0)*78.233+Inputs!$C$47*37.719))*43758.5453)-INT((SIN(((Scenario_Data!V108)*12.9898+(0)*78.233+Inputs!$C$47*37.719))*43758.5453)))-1)))))/Inputs!$C$21*1000000</f>
        <v/>
      </c>
      <c r="AD108">
        <f>Scenario_Data!W108</f>
        <v/>
      </c>
      <c r="AE108">
        <f>2*((Scenario_Data!E108*1000)-(IF(OR(Inputs!$C$27=TRUE,Inputs!$C$27="TRUE",Inputs!$C$27=1),1,0)*(Inputs!$C$51*(115*EXP(-(((0)-25)^2)/(4.5^2))+70*EXP(-(((0)+38)^2)/(7^2))*(0.55+0.45*SIN(2*PI()*(Scenario_Data!W108)/45))+24*SIN(2*PI()*(0)/9+(Scenario_Data!W108)/18)*EXP(-(((0)+5)^2)/(22^2))+18*SIN(2*PI()*(Scenario_Data!W108)/70))+Inputs!$C$28*EXP(-(((Scenario_Data!W108)-Inputs!$C$29)^2)/(2*Inputs!$C$31^2))*EXP(-(((0)-Inputs!$C$30)^2)/(2*Inputs!$C$32^2))+-Inputs!$C$33*EXP(-(((((Scenario_Data!W108)-Inputs!$C$34)^2)+(((0)-Inputs!$C$35)^2))/(2*Inputs!$C$36^2)))+Inputs!$C$37*(0.55*SIN(2*PI()*(Scenario_Data!W108)/Inputs!$C$39)+0.35*COS(2*PI()*(0)/Inputs!$C$40)+0.2*SIN(2*PI()*((Scenario_Data!W108)+(0))/(0.5*(Inputs!$C$39+Inputs!$C$40))))+Inputs!$C$38*SIN(2*PI()*(Scenario_Data!W108)/Inputs!$C$39)*SIN(2*PI()*(0)/Inputs!$C$40)+-Inputs!$C$41*EXP(-(((0)-Inputs!$C$43)^2)/(2*Inputs!$C$44^2))*EXP(-(((Scenario_Data!W108)-Inputs!$C$42)^2)/(2*Inputs!$C$45^2))+Inputs!$C$48*(0.7*(0.45*SIN(2*PI()*(((Scenario_Data!W108)/Inputs!$C$49)+Inputs!$C$47*0.137))+0.35*COS(2*PI()*(((0)/Inputs!$C$50)+Inputs!$C$47*0.173))+0.2*SIN(2*PI()*((((Scenario_Data!W108)+(0))/(0.5*(Inputs!$C$49+Inputs!$C$50)))+Inputs!$C$47*0.097)))+0.3*(2*((SIN(((Scenario_Data!W108)*12.9898+(0)*78.233+Inputs!$C$47*37.719))*43758.5453)-INT((SIN(((Scenario_Data!W108)*12.9898+(0)*78.233+Inputs!$C$47*37.719))*43758.5453)))-1)))))/Inputs!$C$21*1000000</f>
        <v/>
      </c>
      <c r="AG108">
        <f>Scenario_Data!T108</f>
        <v/>
      </c>
      <c r="AH108">
        <f>2*(SQRT((Inputs!$C$52+(Scenario_Data!B108))^2+Inputs!$C$52^2-2*(Inputs!$C$52+(Scenario_Data!B108))*Inputs!$C$52*COS(SQRT((Scenario_Data!T108)^2+Inputs!$C$6^2)/Inputs!$C$52))*1000)/Inputs!$C$21*1000000</f>
        <v/>
      </c>
      <c r="AI108">
        <f>Scenario_Data!U108</f>
        <v/>
      </c>
      <c r="AJ108">
        <f>2*(SQRT((Inputs!$C$52+(Scenario_Data!C108))^2+Inputs!$C$52^2-2*(Inputs!$C$52+(Scenario_Data!C108))*Inputs!$C$52*COS(SQRT((Scenario_Data!U108)^2+Inputs!$C$6^2)/Inputs!$C$52))*1000)/Inputs!$C$21*1000000</f>
        <v/>
      </c>
      <c r="AK108">
        <f>Scenario_Data!V108</f>
        <v/>
      </c>
      <c r="AL108">
        <f>2*(SQRT((Inputs!$C$52+(Scenario_Data!D108))^2+Inputs!$C$52^2-2*(Inputs!$C$52+(Scenario_Data!D108))*Inputs!$C$52*COS(SQRT((Scenario_Data!V108)^2+Inputs!$C$6^2)/Inputs!$C$52))*1000)/Inputs!$C$21*1000000</f>
        <v/>
      </c>
      <c r="AM108">
        <f>Scenario_Data!W108</f>
        <v/>
      </c>
      <c r="AN108">
        <f>2*(SQRT((Inputs!$C$52+(Scenario_Data!E108))^2+Inputs!$C$52^2-2*(Inputs!$C$52+(Scenario_Data!E108))*Inputs!$C$52*COS(SQRT((Scenario_Data!W108)^2+Inputs!$C$6^2)/Inputs!$C$52))*1000)/Inputs!$C$21*1000000</f>
        <v/>
      </c>
      <c r="AP108">
        <f>Scenario_Data!T108</f>
        <v/>
      </c>
      <c r="AQ108">
        <f>2*(SQRT((Inputs!$C$52+(Scenario_Data!B108))^2+(Inputs!$C$52+((IF(OR(Inputs!$C$27=TRUE,Inputs!$C$27="TRUE",Inputs!$C$27=1),1,0)*(Inputs!$C$51*(115*EXP(-(((Inputs!$C$6)-25)^2)/(4.5^2))+70*EXP(-(((Inputs!$C$6)+38)^2)/(7^2))*(0.55+0.45*SIN(2*PI()*(Scenario_Data!T108)/45))+24*SIN(2*PI()*(Inputs!$C$6)/9+(Scenario_Data!T108)/18)*EXP(-(((Inputs!$C$6)+5)^2)/(22^2))+18*SIN(2*PI()*(Scenario_Data!T108)/70))+Inputs!$C$28*EXP(-(((Scenario_Data!T108)-Inputs!$C$29)^2)/(2*Inputs!$C$31^2))*EXP(-(((Inputs!$C$6)-Inputs!$C$30)^2)/(2*Inputs!$C$32^2))+-Inputs!$C$33*EXP(-(((((Scenario_Data!T108)-Inputs!$C$34)^2)+(((Inputs!$C$6)-Inputs!$C$35)^2))/(2*Inputs!$C$36^2)))+Inputs!$C$37*(0.55*SIN(2*PI()*(Scenario_Data!T108)/Inputs!$C$39)+0.35*COS(2*PI()*(Inputs!$C$6)/Inputs!$C$40)+0.2*SIN(2*PI()*((Scenario_Data!T108)+(Inputs!$C$6))/(0.5*(Inputs!$C$39+Inputs!$C$40))))+Inputs!$C$38*SIN(2*PI()*(Scenario_Data!T108)/Inputs!$C$39)*SIN(2*PI()*(Inputs!$C$6)/Inputs!$C$40)+-Inputs!$C$41*EXP(-(((Inputs!$C$6)-Inputs!$C$43)^2)/(2*Inputs!$C$44^2))*EXP(-(((Scenario_Data!T108)-Inputs!$C$42)^2)/(2*Inputs!$C$45^2))+Inputs!$C$48*(0.7*(0.45*SIN(2*PI()*(((Scenario_Data!T108)/Inputs!$C$49)+Inputs!$C$47*0.137))+0.35*COS(2*PI()*(((Inputs!$C$6)/Inputs!$C$50)+Inputs!$C$47*0.173))+0.2*SIN(2*PI()*((((Scenario_Data!T108)+(Inputs!$C$6))/(0.5*(Inputs!$C$49+Inputs!$C$50)))+Inputs!$C$47*0.097)))+0.3*(2*((SIN(((Scenario_Data!T108)*12.9898+(Inputs!$C$6)*78.233+Inputs!$C$47*37.719))*43758.5453)-INT((SIN(((Scenario_Data!T108)*12.9898+(Inputs!$C$6)*78.233+Inputs!$C$47*37.719))*43758.5453)))-1))))/1000))^2-2*(Inputs!$C$52+(Scenario_Data!B108))*(Inputs!$C$52+((IF(OR(Inputs!$C$27=TRUE,Inputs!$C$27="TRUE",Inputs!$C$27=1),1,0)*(Inputs!$C$51*(115*EXP(-(((Inputs!$C$6)-25)^2)/(4.5^2))+70*EXP(-(((Inputs!$C$6)+38)^2)/(7^2))*(0.55+0.45*SIN(2*PI()*(Scenario_Data!T108)/45))+24*SIN(2*PI()*(Inputs!$C$6)/9+(Scenario_Data!T108)/18)*EXP(-(((Inputs!$C$6)+5)^2)/(22^2))+18*SIN(2*PI()*(Scenario_Data!T108)/70))+Inputs!$C$28*EXP(-(((Scenario_Data!T108)-Inputs!$C$29)^2)/(2*Inputs!$C$31^2))*EXP(-(((Inputs!$C$6)-Inputs!$C$30)^2)/(2*Inputs!$C$32^2))+-Inputs!$C$33*EXP(-(((((Scenario_Data!T108)-Inputs!$C$34)^2)+(((Inputs!$C$6)-Inputs!$C$35)^2))/(2*Inputs!$C$36^2)))+Inputs!$C$37*(0.55*SIN(2*PI()*(Scenario_Data!T108)/Inputs!$C$39)+0.35*COS(2*PI()*(Inputs!$C$6)/Inputs!$C$40)+0.2*SIN(2*PI()*((Scenario_Data!T108)+(Inputs!$C$6))/(0.5*(Inputs!$C$39+Inputs!$C$40))))+Inputs!$C$38*SIN(2*PI()*(Scenario_Data!T108)/Inputs!$C$39)*SIN(2*PI()*(Inputs!$C$6)/Inputs!$C$40)+-Inputs!$C$41*EXP(-(((Inputs!$C$6)-Inputs!$C$43)^2)/(2*Inputs!$C$44^2))*EXP(-(((Scenario_Data!T108)-Inputs!$C$42)^2)/(2*Inputs!$C$45^2))+Inputs!$C$48*(0.7*(0.45*SIN(2*PI()*(((Scenario_Data!T108)/Inputs!$C$49)+Inputs!$C$47*0.137))+0.35*COS(2*PI()*(((Inputs!$C$6)/Inputs!$C$50)+Inputs!$C$47*0.173))+0.2*SIN(2*PI()*((((Scenario_Data!T108)+(Inputs!$C$6))/(0.5*(Inputs!$C$49+Inputs!$C$50)))+Inputs!$C$47*0.097)))+0.3*(2*((SIN(((Scenario_Data!T108)*12.9898+(Inputs!$C$6)*78.233+Inputs!$C$47*37.719))*43758.5453)-INT((SIN(((Scenario_Data!T108)*12.9898+(Inputs!$C$6)*78.233+Inputs!$C$47*37.719))*43758.5453)))-1))))/1000))*COS(SQRT((Scenario_Data!T108)^2+Inputs!$C$6^2)/Inputs!$C$52))*1000)/Inputs!$C$21*1000000</f>
        <v/>
      </c>
      <c r="AR108">
        <f>Scenario_Data!U108</f>
        <v/>
      </c>
      <c r="AS108">
        <f>2*(SQRT((Inputs!$C$52+(Scenario_Data!C108))^2+(Inputs!$C$52+((IF(OR(Inputs!$C$27=TRUE,Inputs!$C$27="TRUE",Inputs!$C$27=1),1,0)*(Inputs!$C$51*(115*EXP(-(((Inputs!$C$6)-25)^2)/(4.5^2))+70*EXP(-(((Inputs!$C$6)+38)^2)/(7^2))*(0.55+0.45*SIN(2*PI()*(Scenario_Data!U108)/45))+24*SIN(2*PI()*(Inputs!$C$6)/9+(Scenario_Data!U108)/18)*EXP(-(((Inputs!$C$6)+5)^2)/(22^2))+18*SIN(2*PI()*(Scenario_Data!U108)/70))+Inputs!$C$28*EXP(-(((Scenario_Data!U108)-Inputs!$C$29)^2)/(2*Inputs!$C$31^2))*EXP(-(((Inputs!$C$6)-Inputs!$C$30)^2)/(2*Inputs!$C$32^2))+-Inputs!$C$33*EXP(-(((((Scenario_Data!U108)-Inputs!$C$34)^2)+(((Inputs!$C$6)-Inputs!$C$35)^2))/(2*Inputs!$C$36^2)))+Inputs!$C$37*(0.55*SIN(2*PI()*(Scenario_Data!U108)/Inputs!$C$39)+0.35*COS(2*PI()*(Inputs!$C$6)/Inputs!$C$40)+0.2*SIN(2*PI()*((Scenario_Data!U108)+(Inputs!$C$6))/(0.5*(Inputs!$C$39+Inputs!$C$40))))+Inputs!$C$38*SIN(2*PI()*(Scenario_Data!U108)/Inputs!$C$39)*SIN(2*PI()*(Inputs!$C$6)/Inputs!$C$40)+-Inputs!$C$41*EXP(-(((Inputs!$C$6)-Inputs!$C$43)^2)/(2*Inputs!$C$44^2))*EXP(-(((Scenario_Data!U108)-Inputs!$C$42)^2)/(2*Inputs!$C$45^2))+Inputs!$C$48*(0.7*(0.45*SIN(2*PI()*(((Scenario_Data!U108)/Inputs!$C$49)+Inputs!$C$47*0.137))+0.35*COS(2*PI()*(((Inputs!$C$6)/Inputs!$C$50)+Inputs!$C$47*0.173))+0.2*SIN(2*PI()*((((Scenario_Data!U108)+(Inputs!$C$6))/(0.5*(Inputs!$C$49+Inputs!$C$50)))+Inputs!$C$47*0.097)))+0.3*(2*((SIN(((Scenario_Data!U108)*12.9898+(Inputs!$C$6)*78.233+Inputs!$C$47*37.719))*43758.5453)-INT((SIN(((Scenario_Data!U108)*12.9898+(Inputs!$C$6)*78.233+Inputs!$C$47*37.719))*43758.5453)))-1))))/1000))^2-2*(Inputs!$C$52+(Scenario_Data!C108))*(Inputs!$C$52+((IF(OR(Inputs!$C$27=TRUE,Inputs!$C$27="TRUE",Inputs!$C$27=1),1,0)*(Inputs!$C$51*(115*EXP(-(((Inputs!$C$6)-25)^2)/(4.5^2))+70*EXP(-(((Inputs!$C$6)+38)^2)/(7^2))*(0.55+0.45*SIN(2*PI()*(Scenario_Data!U108)/45))+24*SIN(2*PI()*(Inputs!$C$6)/9+(Scenario_Data!U108)/18)*EXP(-(((Inputs!$C$6)+5)^2)/(22^2))+18*SIN(2*PI()*(Scenario_Data!U108)/70))+Inputs!$C$28*EXP(-(((Scenario_Data!U108)-Inputs!$C$29)^2)/(2*Inputs!$C$31^2))*EXP(-(((Inputs!$C$6)-Inputs!$C$30)^2)/(2*Inputs!$C$32^2))+-Inputs!$C$33*EXP(-(((((Scenario_Data!U108)-Inputs!$C$34)^2)+(((Inputs!$C$6)-Inputs!$C$35)^2))/(2*Inputs!$C$36^2)))+Inputs!$C$37*(0.55*SIN(2*PI()*(Scenario_Data!U108)/Inputs!$C$39)+0.35*COS(2*PI()*(Inputs!$C$6)/Inputs!$C$40)+0.2*SIN(2*PI()*((Scenario_Data!U108)+(Inputs!$C$6))/(0.5*(Inputs!$C$39+Inputs!$C$40))))+Inputs!$C$38*SIN(2*PI()*(Scenario_Data!U108)/Inputs!$C$39)*SIN(2*PI()*(Inputs!$C$6)/Inputs!$C$40)+-Inputs!$C$41*EXP(-(((Inputs!$C$6)-Inputs!$C$43)^2)/(2*Inputs!$C$44^2))*EXP(-(((Scenario_Data!U108)-Inputs!$C$42)^2)/(2*Inputs!$C$45^2))+Inputs!$C$48*(0.7*(0.45*SIN(2*PI()*(((Scenario_Data!U108)/Inputs!$C$49)+Inputs!$C$47*0.137))+0.35*COS(2*PI()*(((Inputs!$C$6)/Inputs!$C$50)+Inputs!$C$47*0.173))+0.2*SIN(2*PI()*((((Scenario_Data!U108)+(Inputs!$C$6))/(0.5*(Inputs!$C$49+Inputs!$C$50)))+Inputs!$C$47*0.097)))+0.3*(2*((SIN(((Scenario_Data!U108)*12.9898+(Inputs!$C$6)*78.233+Inputs!$C$47*37.719))*43758.5453)-INT((SIN(((Scenario_Data!U108)*12.9898+(Inputs!$C$6)*78.233+Inputs!$C$47*37.719))*43758.5453)))-1))))/1000))*COS(SQRT((Scenario_Data!U108)^2+Inputs!$C$6^2)/Inputs!$C$52))*1000)/Inputs!$C$21*1000000</f>
        <v/>
      </c>
      <c r="AT108">
        <f>Scenario_Data!V108</f>
        <v/>
      </c>
      <c r="AU108">
        <f>2*(SQRT((Inputs!$C$52+(Scenario_Data!D108))^2+(Inputs!$C$52+((IF(OR(Inputs!$C$27=TRUE,Inputs!$C$27="TRUE",Inputs!$C$27=1),1,0)*(Inputs!$C$51*(115*EXP(-(((Inputs!$C$6)-25)^2)/(4.5^2))+70*EXP(-(((Inputs!$C$6)+38)^2)/(7^2))*(0.55+0.45*SIN(2*PI()*(Scenario_Data!V108)/45))+24*SIN(2*PI()*(Inputs!$C$6)/9+(Scenario_Data!V108)/18)*EXP(-(((Inputs!$C$6)+5)^2)/(22^2))+18*SIN(2*PI()*(Scenario_Data!V108)/70))+Inputs!$C$28*EXP(-(((Scenario_Data!V108)-Inputs!$C$29)^2)/(2*Inputs!$C$31^2))*EXP(-(((Inputs!$C$6)-Inputs!$C$30)^2)/(2*Inputs!$C$32^2))+-Inputs!$C$33*EXP(-(((((Scenario_Data!V108)-Inputs!$C$34)^2)+(((Inputs!$C$6)-Inputs!$C$35)^2))/(2*Inputs!$C$36^2)))+Inputs!$C$37*(0.55*SIN(2*PI()*(Scenario_Data!V108)/Inputs!$C$39)+0.35*COS(2*PI()*(Inputs!$C$6)/Inputs!$C$40)+0.2*SIN(2*PI()*((Scenario_Data!V108)+(Inputs!$C$6))/(0.5*(Inputs!$C$39+Inputs!$C$40))))+Inputs!$C$38*SIN(2*PI()*(Scenario_Data!V108)/Inputs!$C$39)*SIN(2*PI()*(Inputs!$C$6)/Inputs!$C$40)+-Inputs!$C$41*EXP(-(((Inputs!$C$6)-Inputs!$C$43)^2)/(2*Inputs!$C$44^2))*EXP(-(((Scenario_Data!V108)-Inputs!$C$42)^2)/(2*Inputs!$C$45^2))+Inputs!$C$48*(0.7*(0.45*SIN(2*PI()*(((Scenario_Data!V108)/Inputs!$C$49)+Inputs!$C$47*0.137))+0.35*COS(2*PI()*(((Inputs!$C$6)/Inputs!$C$50)+Inputs!$C$47*0.173))+0.2*SIN(2*PI()*((((Scenario_Data!V108)+(Inputs!$C$6))/(0.5*(Inputs!$C$49+Inputs!$C$50)))+Inputs!$C$47*0.097)))+0.3*(2*((SIN(((Scenario_Data!V108)*12.9898+(Inputs!$C$6)*78.233+Inputs!$C$47*37.719))*43758.5453)-INT((SIN(((Scenario_Data!V108)*12.9898+(Inputs!$C$6)*78.233+Inputs!$C$47*37.719))*43758.5453)))-1))))/1000))^2-2*(Inputs!$C$52+(Scenario_Data!D108))*(Inputs!$C$52+((IF(OR(Inputs!$C$27=TRUE,Inputs!$C$27="TRUE",Inputs!$C$27=1),1,0)*(Inputs!$C$51*(115*EXP(-(((Inputs!$C$6)-25)^2)/(4.5^2))+70*EXP(-(((Inputs!$C$6)+38)^2)/(7^2))*(0.55+0.45*SIN(2*PI()*(Scenario_Data!V108)/45))+24*SIN(2*PI()*(Inputs!$C$6)/9+(Scenario_Data!V108)/18)*EXP(-(((Inputs!$C$6)+5)^2)/(22^2))+18*SIN(2*PI()*(Scenario_Data!V108)/70))+Inputs!$C$28*EXP(-(((Scenario_Data!V108)-Inputs!$C$29)^2)/(2*Inputs!$C$31^2))*EXP(-(((Inputs!$C$6)-Inputs!$C$30)^2)/(2*Inputs!$C$32^2))+-Inputs!$C$33*EXP(-(((((Scenario_Data!V108)-Inputs!$C$34)^2)+(((Inputs!$C$6)-Inputs!$C$35)^2))/(2*Inputs!$C$36^2)))+Inputs!$C$37*(0.55*SIN(2*PI()*(Scenario_Data!V108)/Inputs!$C$39)+0.35*COS(2*PI()*(Inputs!$C$6)/Inputs!$C$40)+0.2*SIN(2*PI()*((Scenario_Data!V108)+(Inputs!$C$6))/(0.5*(Inputs!$C$39+Inputs!$C$40))))+Inputs!$C$38*SIN(2*PI()*(Scenario_Data!V108)/Inputs!$C$39)*SIN(2*PI()*(Inputs!$C$6)/Inputs!$C$40)+-Inputs!$C$41*EXP(-(((Inputs!$C$6)-Inputs!$C$43)^2)/(2*Inputs!$C$44^2))*EXP(-(((Scenario_Data!V108)-Inputs!$C$42)^2)/(2*Inputs!$C$45^2))+Inputs!$C$48*(0.7*(0.45*SIN(2*PI()*(((Scenario_Data!V108)/Inputs!$C$49)+Inputs!$C$47*0.137))+0.35*COS(2*PI()*(((Inputs!$C$6)/Inputs!$C$50)+Inputs!$C$47*0.173))+0.2*SIN(2*PI()*((((Scenario_Data!V108)+(Inputs!$C$6))/(0.5*(Inputs!$C$49+Inputs!$C$50)))+Inputs!$C$47*0.097)))+0.3*(2*((SIN(((Scenario_Data!V108)*12.9898+(Inputs!$C$6)*78.233+Inputs!$C$47*37.719))*43758.5453)-INT((SIN(((Scenario_Data!V108)*12.9898+(Inputs!$C$6)*78.233+Inputs!$C$47*37.719))*43758.5453)))-1))))/1000))*COS(SQRT((Scenario_Data!V108)^2+Inputs!$C$6^2)/Inputs!$C$52))*1000)/Inputs!$C$21*1000000</f>
        <v/>
      </c>
      <c r="AV108">
        <f>Scenario_Data!W108</f>
        <v/>
      </c>
      <c r="AW108">
        <f>2*(SQRT((Inputs!$C$52+(Scenario_Data!E108))^2+(Inputs!$C$52+((IF(OR(Inputs!$C$27=TRUE,Inputs!$C$27="TRUE",Inputs!$C$27=1),1,0)*(Inputs!$C$51*(115*EXP(-(((Inputs!$C$6)-25)^2)/(4.5^2))+70*EXP(-(((Inputs!$C$6)+38)^2)/(7^2))*(0.55+0.45*SIN(2*PI()*(Scenario_Data!W108)/45))+24*SIN(2*PI()*(Inputs!$C$6)/9+(Scenario_Data!W108)/18)*EXP(-(((Inputs!$C$6)+5)^2)/(22^2))+18*SIN(2*PI()*(Scenario_Data!W108)/70))+Inputs!$C$28*EXP(-(((Scenario_Data!W108)-Inputs!$C$29)^2)/(2*Inputs!$C$31^2))*EXP(-(((Inputs!$C$6)-Inputs!$C$30)^2)/(2*Inputs!$C$32^2))+-Inputs!$C$33*EXP(-(((((Scenario_Data!W108)-Inputs!$C$34)^2)+(((Inputs!$C$6)-Inputs!$C$35)^2))/(2*Inputs!$C$36^2)))+Inputs!$C$37*(0.55*SIN(2*PI()*(Scenario_Data!W108)/Inputs!$C$39)+0.35*COS(2*PI()*(Inputs!$C$6)/Inputs!$C$40)+0.2*SIN(2*PI()*((Scenario_Data!W108)+(Inputs!$C$6))/(0.5*(Inputs!$C$39+Inputs!$C$40))))+Inputs!$C$38*SIN(2*PI()*(Scenario_Data!W108)/Inputs!$C$39)*SIN(2*PI()*(Inputs!$C$6)/Inputs!$C$40)+-Inputs!$C$41*EXP(-(((Inputs!$C$6)-Inputs!$C$43)^2)/(2*Inputs!$C$44^2))*EXP(-(((Scenario_Data!W108)-Inputs!$C$42)^2)/(2*Inputs!$C$45^2))+Inputs!$C$48*(0.7*(0.45*SIN(2*PI()*(((Scenario_Data!W108)/Inputs!$C$49)+Inputs!$C$47*0.137))+0.35*COS(2*PI()*(((Inputs!$C$6)/Inputs!$C$50)+Inputs!$C$47*0.173))+0.2*SIN(2*PI()*((((Scenario_Data!W108)+(Inputs!$C$6))/(0.5*(Inputs!$C$49+Inputs!$C$50)))+Inputs!$C$47*0.097)))+0.3*(2*((SIN(((Scenario_Data!W108)*12.9898+(Inputs!$C$6)*78.233+Inputs!$C$47*37.719))*43758.5453)-INT((SIN(((Scenario_Data!W108)*12.9898+(Inputs!$C$6)*78.233+Inputs!$C$47*37.719))*43758.5453)))-1))))/1000))^2-2*(Inputs!$C$52+(Scenario_Data!E108))*(Inputs!$C$52+((IF(OR(Inputs!$C$27=TRUE,Inputs!$C$27="TRUE",Inputs!$C$27=1),1,0)*(Inputs!$C$51*(115*EXP(-(((Inputs!$C$6)-25)^2)/(4.5^2))+70*EXP(-(((Inputs!$C$6)+38)^2)/(7^2))*(0.55+0.45*SIN(2*PI()*(Scenario_Data!W108)/45))+24*SIN(2*PI()*(Inputs!$C$6)/9+(Scenario_Data!W108)/18)*EXP(-(((Inputs!$C$6)+5)^2)/(22^2))+18*SIN(2*PI()*(Scenario_Data!W108)/70))+Inputs!$C$28*EXP(-(((Scenario_Data!W108)-Inputs!$C$29)^2)/(2*Inputs!$C$31^2))*EXP(-(((Inputs!$C$6)-Inputs!$C$30)^2)/(2*Inputs!$C$32^2))+-Inputs!$C$33*EXP(-(((((Scenario_Data!W108)-Inputs!$C$34)^2)+(((Inputs!$C$6)-Inputs!$C$35)^2))/(2*Inputs!$C$36^2)))+Inputs!$C$37*(0.55*SIN(2*PI()*(Scenario_Data!W108)/Inputs!$C$39)+0.35*COS(2*PI()*(Inputs!$C$6)/Inputs!$C$40)+0.2*SIN(2*PI()*((Scenario_Data!W108)+(Inputs!$C$6))/(0.5*(Inputs!$C$39+Inputs!$C$40))))+Inputs!$C$38*SIN(2*PI()*(Scenario_Data!W108)/Inputs!$C$39)*SIN(2*PI()*(Inputs!$C$6)/Inputs!$C$40)+-Inputs!$C$41*EXP(-(((Inputs!$C$6)-Inputs!$C$43)^2)/(2*Inputs!$C$44^2))*EXP(-(((Scenario_Data!W108)-Inputs!$C$42)^2)/(2*Inputs!$C$45^2))+Inputs!$C$48*(0.7*(0.45*SIN(2*PI()*(((Scenario_Data!W108)/Inputs!$C$49)+Inputs!$C$47*0.137))+0.35*COS(2*PI()*(((Inputs!$C$6)/Inputs!$C$50)+Inputs!$C$47*0.173))+0.2*SIN(2*PI()*((((Scenario_Data!W108)+(Inputs!$C$6))/(0.5*(Inputs!$C$49+Inputs!$C$50)))+Inputs!$C$47*0.097)))+0.3*(2*((SIN(((Scenario_Data!W108)*12.9898+(Inputs!$C$6)*78.233+Inputs!$C$47*37.719))*43758.5453)-INT((SIN(((Scenario_Data!W108)*12.9898+(Inputs!$C$6)*78.233+Inputs!$C$47*37.719))*43758.5453)))-1))))/1000))*COS(SQRT((Scenario_Data!W108)^2+Inputs!$C$6^2)/Inputs!$C$52))*1000)/Inputs!$C$21*1000000</f>
        <v/>
      </c>
    </row>
    <row r="109">
      <c r="A109">
        <f>Chart_Data!K109</f>
        <v/>
      </c>
      <c r="B109">
        <f>Chart_Data!N109-Chart_Data!L109</f>
        <v/>
      </c>
      <c r="D109">
        <f>Chart_Data!G109</f>
        <v/>
      </c>
      <c r="E109">
        <f>Chart_Data!H109</f>
        <v/>
      </c>
      <c r="F109">
        <f>Chart_Data!I109</f>
        <v/>
      </c>
      <c r="G109">
        <f>Chart_Data!J109</f>
        <v/>
      </c>
      <c r="I109">
        <f>Scenario_Data!A109</f>
        <v/>
      </c>
      <c r="J109">
        <f>Scenario_Data!H109-(((SQRT((Inputs!$C$52+(Inputs!$H$6))^2+Inputs!$C$52^2-2*(Inputs!$C$52+(Inputs!$H$6))*Inputs!$C$52*COS(SQRT((Scenario_Data!T109)^2+Inputs!$C$6^2)/Inputs!$C$52)))-(Inputs!$H$6))*1000/Inputs!$C$12)</f>
        <v/>
      </c>
      <c r="K109">
        <f>Scenario_Data!I109-(((SQRT((Inputs!$C$52+(Inputs!$H$7))^2+Inputs!$C$52^2-2*(Inputs!$C$52+(Inputs!$H$7))*Inputs!$C$52*COS(SQRT((Scenario_Data!U109)^2+Inputs!$C$6^2)/Inputs!$C$52)))-(Inputs!$H$7))*1000/Inputs!$C$12)</f>
        <v/>
      </c>
      <c r="L109">
        <f>Scenario_Data!J109-(((SQRT((Inputs!$C$52+(Inputs!$H$8))^2+Inputs!$C$52^2-2*(Inputs!$C$52+(Inputs!$H$8))*Inputs!$C$52*COS(SQRT((Scenario_Data!V109)^2+Inputs!$C$6^2)/Inputs!$C$52)))-(Inputs!$H$8))*1000/Inputs!$C$12)</f>
        <v/>
      </c>
      <c r="M109">
        <f>Scenario_Data!K109-(((SQRT((Inputs!$C$52+(Inputs!$H$9))^2+Inputs!$C$52^2-2*(Inputs!$C$52+(Inputs!$H$9))*Inputs!$C$52*COS(SQRT((Scenario_Data!W109)^2+Inputs!$C$6^2)/Inputs!$C$52)))-(Inputs!$H$9))*1000/Inputs!$C$12)</f>
        <v/>
      </c>
      <c r="O109">
        <f>Scenario_Data!T109</f>
        <v/>
      </c>
      <c r="P109">
        <f>2*(Scenario_Data!B109*1000)/Inputs!$C$21*1000000</f>
        <v/>
      </c>
      <c r="Q109">
        <f>Scenario_Data!U109</f>
        <v/>
      </c>
      <c r="R109">
        <f>2*(Scenario_Data!C109*1000)/Inputs!$C$21*1000000</f>
        <v/>
      </c>
      <c r="S109">
        <f>Scenario_Data!V109</f>
        <v/>
      </c>
      <c r="T109">
        <f>2*(Scenario_Data!D109*1000)/Inputs!$C$21*1000000</f>
        <v/>
      </c>
      <c r="U109">
        <f>Scenario_Data!W109</f>
        <v/>
      </c>
      <c r="V109">
        <f>2*(Scenario_Data!E109*1000)/Inputs!$C$21*1000000</f>
        <v/>
      </c>
      <c r="X109">
        <f>Scenario_Data!T109</f>
        <v/>
      </c>
      <c r="Y109">
        <f>2*((Scenario_Data!B109*1000)-(IF(OR(Inputs!$C$27=TRUE,Inputs!$C$27="TRUE",Inputs!$C$27=1),1,0)*(Inputs!$C$51*(115*EXP(-(((0)-25)^2)/(4.5^2))+70*EXP(-(((0)+38)^2)/(7^2))*(0.55+0.45*SIN(2*PI()*(Scenario_Data!T109)/45))+24*SIN(2*PI()*(0)/9+(Scenario_Data!T109)/18)*EXP(-(((0)+5)^2)/(22^2))+18*SIN(2*PI()*(Scenario_Data!T109)/70))+Inputs!$C$28*EXP(-(((Scenario_Data!T109)-Inputs!$C$29)^2)/(2*Inputs!$C$31^2))*EXP(-(((0)-Inputs!$C$30)^2)/(2*Inputs!$C$32^2))+-Inputs!$C$33*EXP(-(((((Scenario_Data!T109)-Inputs!$C$34)^2)+(((0)-Inputs!$C$35)^2))/(2*Inputs!$C$36^2)))+Inputs!$C$37*(0.55*SIN(2*PI()*(Scenario_Data!T109)/Inputs!$C$39)+0.35*COS(2*PI()*(0)/Inputs!$C$40)+0.2*SIN(2*PI()*((Scenario_Data!T109)+(0))/(0.5*(Inputs!$C$39+Inputs!$C$40))))+Inputs!$C$38*SIN(2*PI()*(Scenario_Data!T109)/Inputs!$C$39)*SIN(2*PI()*(0)/Inputs!$C$40)+-Inputs!$C$41*EXP(-(((0)-Inputs!$C$43)^2)/(2*Inputs!$C$44^2))*EXP(-(((Scenario_Data!T109)-Inputs!$C$42)^2)/(2*Inputs!$C$45^2))+Inputs!$C$48*(0.7*(0.45*SIN(2*PI()*(((Scenario_Data!T109)/Inputs!$C$49)+Inputs!$C$47*0.137))+0.35*COS(2*PI()*(((0)/Inputs!$C$50)+Inputs!$C$47*0.173))+0.2*SIN(2*PI()*((((Scenario_Data!T109)+(0))/(0.5*(Inputs!$C$49+Inputs!$C$50)))+Inputs!$C$47*0.097)))+0.3*(2*((SIN(((Scenario_Data!T109)*12.9898+(0)*78.233+Inputs!$C$47*37.719))*43758.5453)-INT((SIN(((Scenario_Data!T109)*12.9898+(0)*78.233+Inputs!$C$47*37.719))*43758.5453)))-1)))))/Inputs!$C$21*1000000</f>
        <v/>
      </c>
      <c r="Z109">
        <f>Scenario_Data!U109</f>
        <v/>
      </c>
      <c r="AA109">
        <f>2*((Scenario_Data!C109*1000)-(IF(OR(Inputs!$C$27=TRUE,Inputs!$C$27="TRUE",Inputs!$C$27=1),1,0)*(Inputs!$C$51*(115*EXP(-(((0)-25)^2)/(4.5^2))+70*EXP(-(((0)+38)^2)/(7^2))*(0.55+0.45*SIN(2*PI()*(Scenario_Data!U109)/45))+24*SIN(2*PI()*(0)/9+(Scenario_Data!U109)/18)*EXP(-(((0)+5)^2)/(22^2))+18*SIN(2*PI()*(Scenario_Data!U109)/70))+Inputs!$C$28*EXP(-(((Scenario_Data!U109)-Inputs!$C$29)^2)/(2*Inputs!$C$31^2))*EXP(-(((0)-Inputs!$C$30)^2)/(2*Inputs!$C$32^2))+-Inputs!$C$33*EXP(-(((((Scenario_Data!U109)-Inputs!$C$34)^2)+(((0)-Inputs!$C$35)^2))/(2*Inputs!$C$36^2)))+Inputs!$C$37*(0.55*SIN(2*PI()*(Scenario_Data!U109)/Inputs!$C$39)+0.35*COS(2*PI()*(0)/Inputs!$C$40)+0.2*SIN(2*PI()*((Scenario_Data!U109)+(0))/(0.5*(Inputs!$C$39+Inputs!$C$40))))+Inputs!$C$38*SIN(2*PI()*(Scenario_Data!U109)/Inputs!$C$39)*SIN(2*PI()*(0)/Inputs!$C$40)+-Inputs!$C$41*EXP(-(((0)-Inputs!$C$43)^2)/(2*Inputs!$C$44^2))*EXP(-(((Scenario_Data!U109)-Inputs!$C$42)^2)/(2*Inputs!$C$45^2))+Inputs!$C$48*(0.7*(0.45*SIN(2*PI()*(((Scenario_Data!U109)/Inputs!$C$49)+Inputs!$C$47*0.137))+0.35*COS(2*PI()*(((0)/Inputs!$C$50)+Inputs!$C$47*0.173))+0.2*SIN(2*PI()*((((Scenario_Data!U109)+(0))/(0.5*(Inputs!$C$49+Inputs!$C$50)))+Inputs!$C$47*0.097)))+0.3*(2*((SIN(((Scenario_Data!U109)*12.9898+(0)*78.233+Inputs!$C$47*37.719))*43758.5453)-INT((SIN(((Scenario_Data!U109)*12.9898+(0)*78.233+Inputs!$C$47*37.719))*43758.5453)))-1)))))/Inputs!$C$21*1000000</f>
        <v/>
      </c>
      <c r="AB109">
        <f>Scenario_Data!V109</f>
        <v/>
      </c>
      <c r="AC109">
        <f>2*((Scenario_Data!D109*1000)-(IF(OR(Inputs!$C$27=TRUE,Inputs!$C$27="TRUE",Inputs!$C$27=1),1,0)*(Inputs!$C$51*(115*EXP(-(((0)-25)^2)/(4.5^2))+70*EXP(-(((0)+38)^2)/(7^2))*(0.55+0.45*SIN(2*PI()*(Scenario_Data!V109)/45))+24*SIN(2*PI()*(0)/9+(Scenario_Data!V109)/18)*EXP(-(((0)+5)^2)/(22^2))+18*SIN(2*PI()*(Scenario_Data!V109)/70))+Inputs!$C$28*EXP(-(((Scenario_Data!V109)-Inputs!$C$29)^2)/(2*Inputs!$C$31^2))*EXP(-(((0)-Inputs!$C$30)^2)/(2*Inputs!$C$32^2))+-Inputs!$C$33*EXP(-(((((Scenario_Data!V109)-Inputs!$C$34)^2)+(((0)-Inputs!$C$35)^2))/(2*Inputs!$C$36^2)))+Inputs!$C$37*(0.55*SIN(2*PI()*(Scenario_Data!V109)/Inputs!$C$39)+0.35*COS(2*PI()*(0)/Inputs!$C$40)+0.2*SIN(2*PI()*((Scenario_Data!V109)+(0))/(0.5*(Inputs!$C$39+Inputs!$C$40))))+Inputs!$C$38*SIN(2*PI()*(Scenario_Data!V109)/Inputs!$C$39)*SIN(2*PI()*(0)/Inputs!$C$40)+-Inputs!$C$41*EXP(-(((0)-Inputs!$C$43)^2)/(2*Inputs!$C$44^2))*EXP(-(((Scenario_Data!V109)-Inputs!$C$42)^2)/(2*Inputs!$C$45^2))+Inputs!$C$48*(0.7*(0.45*SIN(2*PI()*(((Scenario_Data!V109)/Inputs!$C$49)+Inputs!$C$47*0.137))+0.35*COS(2*PI()*(((0)/Inputs!$C$50)+Inputs!$C$47*0.173))+0.2*SIN(2*PI()*((((Scenario_Data!V109)+(0))/(0.5*(Inputs!$C$49+Inputs!$C$50)))+Inputs!$C$47*0.097)))+0.3*(2*((SIN(((Scenario_Data!V109)*12.9898+(0)*78.233+Inputs!$C$47*37.719))*43758.5453)-INT((SIN(((Scenario_Data!V109)*12.9898+(0)*78.233+Inputs!$C$47*37.719))*43758.5453)))-1)))))/Inputs!$C$21*1000000</f>
        <v/>
      </c>
      <c r="AD109">
        <f>Scenario_Data!W109</f>
        <v/>
      </c>
      <c r="AE109">
        <f>2*((Scenario_Data!E109*1000)-(IF(OR(Inputs!$C$27=TRUE,Inputs!$C$27="TRUE",Inputs!$C$27=1),1,0)*(Inputs!$C$51*(115*EXP(-(((0)-25)^2)/(4.5^2))+70*EXP(-(((0)+38)^2)/(7^2))*(0.55+0.45*SIN(2*PI()*(Scenario_Data!W109)/45))+24*SIN(2*PI()*(0)/9+(Scenario_Data!W109)/18)*EXP(-(((0)+5)^2)/(22^2))+18*SIN(2*PI()*(Scenario_Data!W109)/70))+Inputs!$C$28*EXP(-(((Scenario_Data!W109)-Inputs!$C$29)^2)/(2*Inputs!$C$31^2))*EXP(-(((0)-Inputs!$C$30)^2)/(2*Inputs!$C$32^2))+-Inputs!$C$33*EXP(-(((((Scenario_Data!W109)-Inputs!$C$34)^2)+(((0)-Inputs!$C$35)^2))/(2*Inputs!$C$36^2)))+Inputs!$C$37*(0.55*SIN(2*PI()*(Scenario_Data!W109)/Inputs!$C$39)+0.35*COS(2*PI()*(0)/Inputs!$C$40)+0.2*SIN(2*PI()*((Scenario_Data!W109)+(0))/(0.5*(Inputs!$C$39+Inputs!$C$40))))+Inputs!$C$38*SIN(2*PI()*(Scenario_Data!W109)/Inputs!$C$39)*SIN(2*PI()*(0)/Inputs!$C$40)+-Inputs!$C$41*EXP(-(((0)-Inputs!$C$43)^2)/(2*Inputs!$C$44^2))*EXP(-(((Scenario_Data!W109)-Inputs!$C$42)^2)/(2*Inputs!$C$45^2))+Inputs!$C$48*(0.7*(0.45*SIN(2*PI()*(((Scenario_Data!W109)/Inputs!$C$49)+Inputs!$C$47*0.137))+0.35*COS(2*PI()*(((0)/Inputs!$C$50)+Inputs!$C$47*0.173))+0.2*SIN(2*PI()*((((Scenario_Data!W109)+(0))/(0.5*(Inputs!$C$49+Inputs!$C$50)))+Inputs!$C$47*0.097)))+0.3*(2*((SIN(((Scenario_Data!W109)*12.9898+(0)*78.233+Inputs!$C$47*37.719))*43758.5453)-INT((SIN(((Scenario_Data!W109)*12.9898+(0)*78.233+Inputs!$C$47*37.719))*43758.5453)))-1)))))/Inputs!$C$21*1000000</f>
        <v/>
      </c>
      <c r="AG109">
        <f>Scenario_Data!T109</f>
        <v/>
      </c>
      <c r="AH109">
        <f>2*(SQRT((Inputs!$C$52+(Scenario_Data!B109))^2+Inputs!$C$52^2-2*(Inputs!$C$52+(Scenario_Data!B109))*Inputs!$C$52*COS(SQRT((Scenario_Data!T109)^2+Inputs!$C$6^2)/Inputs!$C$52))*1000)/Inputs!$C$21*1000000</f>
        <v/>
      </c>
      <c r="AI109">
        <f>Scenario_Data!U109</f>
        <v/>
      </c>
      <c r="AJ109">
        <f>2*(SQRT((Inputs!$C$52+(Scenario_Data!C109))^2+Inputs!$C$52^2-2*(Inputs!$C$52+(Scenario_Data!C109))*Inputs!$C$52*COS(SQRT((Scenario_Data!U109)^2+Inputs!$C$6^2)/Inputs!$C$52))*1000)/Inputs!$C$21*1000000</f>
        <v/>
      </c>
      <c r="AK109">
        <f>Scenario_Data!V109</f>
        <v/>
      </c>
      <c r="AL109">
        <f>2*(SQRT((Inputs!$C$52+(Scenario_Data!D109))^2+Inputs!$C$52^2-2*(Inputs!$C$52+(Scenario_Data!D109))*Inputs!$C$52*COS(SQRT((Scenario_Data!V109)^2+Inputs!$C$6^2)/Inputs!$C$52))*1000)/Inputs!$C$21*1000000</f>
        <v/>
      </c>
      <c r="AM109">
        <f>Scenario_Data!W109</f>
        <v/>
      </c>
      <c r="AN109">
        <f>2*(SQRT((Inputs!$C$52+(Scenario_Data!E109))^2+Inputs!$C$52^2-2*(Inputs!$C$52+(Scenario_Data!E109))*Inputs!$C$52*COS(SQRT((Scenario_Data!W109)^2+Inputs!$C$6^2)/Inputs!$C$52))*1000)/Inputs!$C$21*1000000</f>
        <v/>
      </c>
      <c r="AP109">
        <f>Scenario_Data!T109</f>
        <v/>
      </c>
      <c r="AQ109">
        <f>2*(SQRT((Inputs!$C$52+(Scenario_Data!B109))^2+(Inputs!$C$52+((IF(OR(Inputs!$C$27=TRUE,Inputs!$C$27="TRUE",Inputs!$C$27=1),1,0)*(Inputs!$C$51*(115*EXP(-(((Inputs!$C$6)-25)^2)/(4.5^2))+70*EXP(-(((Inputs!$C$6)+38)^2)/(7^2))*(0.55+0.45*SIN(2*PI()*(Scenario_Data!T109)/45))+24*SIN(2*PI()*(Inputs!$C$6)/9+(Scenario_Data!T109)/18)*EXP(-(((Inputs!$C$6)+5)^2)/(22^2))+18*SIN(2*PI()*(Scenario_Data!T109)/70))+Inputs!$C$28*EXP(-(((Scenario_Data!T109)-Inputs!$C$29)^2)/(2*Inputs!$C$31^2))*EXP(-(((Inputs!$C$6)-Inputs!$C$30)^2)/(2*Inputs!$C$32^2))+-Inputs!$C$33*EXP(-(((((Scenario_Data!T109)-Inputs!$C$34)^2)+(((Inputs!$C$6)-Inputs!$C$35)^2))/(2*Inputs!$C$36^2)))+Inputs!$C$37*(0.55*SIN(2*PI()*(Scenario_Data!T109)/Inputs!$C$39)+0.35*COS(2*PI()*(Inputs!$C$6)/Inputs!$C$40)+0.2*SIN(2*PI()*((Scenario_Data!T109)+(Inputs!$C$6))/(0.5*(Inputs!$C$39+Inputs!$C$40))))+Inputs!$C$38*SIN(2*PI()*(Scenario_Data!T109)/Inputs!$C$39)*SIN(2*PI()*(Inputs!$C$6)/Inputs!$C$40)+-Inputs!$C$41*EXP(-(((Inputs!$C$6)-Inputs!$C$43)^2)/(2*Inputs!$C$44^2))*EXP(-(((Scenario_Data!T109)-Inputs!$C$42)^2)/(2*Inputs!$C$45^2))+Inputs!$C$48*(0.7*(0.45*SIN(2*PI()*(((Scenario_Data!T109)/Inputs!$C$49)+Inputs!$C$47*0.137))+0.35*COS(2*PI()*(((Inputs!$C$6)/Inputs!$C$50)+Inputs!$C$47*0.173))+0.2*SIN(2*PI()*((((Scenario_Data!T109)+(Inputs!$C$6))/(0.5*(Inputs!$C$49+Inputs!$C$50)))+Inputs!$C$47*0.097)))+0.3*(2*((SIN(((Scenario_Data!T109)*12.9898+(Inputs!$C$6)*78.233+Inputs!$C$47*37.719))*43758.5453)-INT((SIN(((Scenario_Data!T109)*12.9898+(Inputs!$C$6)*78.233+Inputs!$C$47*37.719))*43758.5453)))-1))))/1000))^2-2*(Inputs!$C$52+(Scenario_Data!B109))*(Inputs!$C$52+((IF(OR(Inputs!$C$27=TRUE,Inputs!$C$27="TRUE",Inputs!$C$27=1),1,0)*(Inputs!$C$51*(115*EXP(-(((Inputs!$C$6)-25)^2)/(4.5^2))+70*EXP(-(((Inputs!$C$6)+38)^2)/(7^2))*(0.55+0.45*SIN(2*PI()*(Scenario_Data!T109)/45))+24*SIN(2*PI()*(Inputs!$C$6)/9+(Scenario_Data!T109)/18)*EXP(-(((Inputs!$C$6)+5)^2)/(22^2))+18*SIN(2*PI()*(Scenario_Data!T109)/70))+Inputs!$C$28*EXP(-(((Scenario_Data!T109)-Inputs!$C$29)^2)/(2*Inputs!$C$31^2))*EXP(-(((Inputs!$C$6)-Inputs!$C$30)^2)/(2*Inputs!$C$32^2))+-Inputs!$C$33*EXP(-(((((Scenario_Data!T109)-Inputs!$C$34)^2)+(((Inputs!$C$6)-Inputs!$C$35)^2))/(2*Inputs!$C$36^2)))+Inputs!$C$37*(0.55*SIN(2*PI()*(Scenario_Data!T109)/Inputs!$C$39)+0.35*COS(2*PI()*(Inputs!$C$6)/Inputs!$C$40)+0.2*SIN(2*PI()*((Scenario_Data!T109)+(Inputs!$C$6))/(0.5*(Inputs!$C$39+Inputs!$C$40))))+Inputs!$C$38*SIN(2*PI()*(Scenario_Data!T109)/Inputs!$C$39)*SIN(2*PI()*(Inputs!$C$6)/Inputs!$C$40)+-Inputs!$C$41*EXP(-(((Inputs!$C$6)-Inputs!$C$43)^2)/(2*Inputs!$C$44^2))*EXP(-(((Scenario_Data!T109)-Inputs!$C$42)^2)/(2*Inputs!$C$45^2))+Inputs!$C$48*(0.7*(0.45*SIN(2*PI()*(((Scenario_Data!T109)/Inputs!$C$49)+Inputs!$C$47*0.137))+0.35*COS(2*PI()*(((Inputs!$C$6)/Inputs!$C$50)+Inputs!$C$47*0.173))+0.2*SIN(2*PI()*((((Scenario_Data!T109)+(Inputs!$C$6))/(0.5*(Inputs!$C$49+Inputs!$C$50)))+Inputs!$C$47*0.097)))+0.3*(2*((SIN(((Scenario_Data!T109)*12.9898+(Inputs!$C$6)*78.233+Inputs!$C$47*37.719))*43758.5453)-INT((SIN(((Scenario_Data!T109)*12.9898+(Inputs!$C$6)*78.233+Inputs!$C$47*37.719))*43758.5453)))-1))))/1000))*COS(SQRT((Scenario_Data!T109)^2+Inputs!$C$6^2)/Inputs!$C$52))*1000)/Inputs!$C$21*1000000</f>
        <v/>
      </c>
      <c r="AR109">
        <f>Scenario_Data!U109</f>
        <v/>
      </c>
      <c r="AS109">
        <f>2*(SQRT((Inputs!$C$52+(Scenario_Data!C109))^2+(Inputs!$C$52+((IF(OR(Inputs!$C$27=TRUE,Inputs!$C$27="TRUE",Inputs!$C$27=1),1,0)*(Inputs!$C$51*(115*EXP(-(((Inputs!$C$6)-25)^2)/(4.5^2))+70*EXP(-(((Inputs!$C$6)+38)^2)/(7^2))*(0.55+0.45*SIN(2*PI()*(Scenario_Data!U109)/45))+24*SIN(2*PI()*(Inputs!$C$6)/9+(Scenario_Data!U109)/18)*EXP(-(((Inputs!$C$6)+5)^2)/(22^2))+18*SIN(2*PI()*(Scenario_Data!U109)/70))+Inputs!$C$28*EXP(-(((Scenario_Data!U109)-Inputs!$C$29)^2)/(2*Inputs!$C$31^2))*EXP(-(((Inputs!$C$6)-Inputs!$C$30)^2)/(2*Inputs!$C$32^2))+-Inputs!$C$33*EXP(-(((((Scenario_Data!U109)-Inputs!$C$34)^2)+(((Inputs!$C$6)-Inputs!$C$35)^2))/(2*Inputs!$C$36^2)))+Inputs!$C$37*(0.55*SIN(2*PI()*(Scenario_Data!U109)/Inputs!$C$39)+0.35*COS(2*PI()*(Inputs!$C$6)/Inputs!$C$40)+0.2*SIN(2*PI()*((Scenario_Data!U109)+(Inputs!$C$6))/(0.5*(Inputs!$C$39+Inputs!$C$40))))+Inputs!$C$38*SIN(2*PI()*(Scenario_Data!U109)/Inputs!$C$39)*SIN(2*PI()*(Inputs!$C$6)/Inputs!$C$40)+-Inputs!$C$41*EXP(-(((Inputs!$C$6)-Inputs!$C$43)^2)/(2*Inputs!$C$44^2))*EXP(-(((Scenario_Data!U109)-Inputs!$C$42)^2)/(2*Inputs!$C$45^2))+Inputs!$C$48*(0.7*(0.45*SIN(2*PI()*(((Scenario_Data!U109)/Inputs!$C$49)+Inputs!$C$47*0.137))+0.35*COS(2*PI()*(((Inputs!$C$6)/Inputs!$C$50)+Inputs!$C$47*0.173))+0.2*SIN(2*PI()*((((Scenario_Data!U109)+(Inputs!$C$6))/(0.5*(Inputs!$C$49+Inputs!$C$50)))+Inputs!$C$47*0.097)))+0.3*(2*((SIN(((Scenario_Data!U109)*12.9898+(Inputs!$C$6)*78.233+Inputs!$C$47*37.719))*43758.5453)-INT((SIN(((Scenario_Data!U109)*12.9898+(Inputs!$C$6)*78.233+Inputs!$C$47*37.719))*43758.5453)))-1))))/1000))^2-2*(Inputs!$C$52+(Scenario_Data!C109))*(Inputs!$C$52+((IF(OR(Inputs!$C$27=TRUE,Inputs!$C$27="TRUE",Inputs!$C$27=1),1,0)*(Inputs!$C$51*(115*EXP(-(((Inputs!$C$6)-25)^2)/(4.5^2))+70*EXP(-(((Inputs!$C$6)+38)^2)/(7^2))*(0.55+0.45*SIN(2*PI()*(Scenario_Data!U109)/45))+24*SIN(2*PI()*(Inputs!$C$6)/9+(Scenario_Data!U109)/18)*EXP(-(((Inputs!$C$6)+5)^2)/(22^2))+18*SIN(2*PI()*(Scenario_Data!U109)/70))+Inputs!$C$28*EXP(-(((Scenario_Data!U109)-Inputs!$C$29)^2)/(2*Inputs!$C$31^2))*EXP(-(((Inputs!$C$6)-Inputs!$C$30)^2)/(2*Inputs!$C$32^2))+-Inputs!$C$33*EXP(-(((((Scenario_Data!U109)-Inputs!$C$34)^2)+(((Inputs!$C$6)-Inputs!$C$35)^2))/(2*Inputs!$C$36^2)))+Inputs!$C$37*(0.55*SIN(2*PI()*(Scenario_Data!U109)/Inputs!$C$39)+0.35*COS(2*PI()*(Inputs!$C$6)/Inputs!$C$40)+0.2*SIN(2*PI()*((Scenario_Data!U109)+(Inputs!$C$6))/(0.5*(Inputs!$C$39+Inputs!$C$40))))+Inputs!$C$38*SIN(2*PI()*(Scenario_Data!U109)/Inputs!$C$39)*SIN(2*PI()*(Inputs!$C$6)/Inputs!$C$40)+-Inputs!$C$41*EXP(-(((Inputs!$C$6)-Inputs!$C$43)^2)/(2*Inputs!$C$44^2))*EXP(-(((Scenario_Data!U109)-Inputs!$C$42)^2)/(2*Inputs!$C$45^2))+Inputs!$C$48*(0.7*(0.45*SIN(2*PI()*(((Scenario_Data!U109)/Inputs!$C$49)+Inputs!$C$47*0.137))+0.35*COS(2*PI()*(((Inputs!$C$6)/Inputs!$C$50)+Inputs!$C$47*0.173))+0.2*SIN(2*PI()*((((Scenario_Data!U109)+(Inputs!$C$6))/(0.5*(Inputs!$C$49+Inputs!$C$50)))+Inputs!$C$47*0.097)))+0.3*(2*((SIN(((Scenario_Data!U109)*12.9898+(Inputs!$C$6)*78.233+Inputs!$C$47*37.719))*43758.5453)-INT((SIN(((Scenario_Data!U109)*12.9898+(Inputs!$C$6)*78.233+Inputs!$C$47*37.719))*43758.5453)))-1))))/1000))*COS(SQRT((Scenario_Data!U109)^2+Inputs!$C$6^2)/Inputs!$C$52))*1000)/Inputs!$C$21*1000000</f>
        <v/>
      </c>
      <c r="AT109">
        <f>Scenario_Data!V109</f>
        <v/>
      </c>
      <c r="AU109">
        <f>2*(SQRT((Inputs!$C$52+(Scenario_Data!D109))^2+(Inputs!$C$52+((IF(OR(Inputs!$C$27=TRUE,Inputs!$C$27="TRUE",Inputs!$C$27=1),1,0)*(Inputs!$C$51*(115*EXP(-(((Inputs!$C$6)-25)^2)/(4.5^2))+70*EXP(-(((Inputs!$C$6)+38)^2)/(7^2))*(0.55+0.45*SIN(2*PI()*(Scenario_Data!V109)/45))+24*SIN(2*PI()*(Inputs!$C$6)/9+(Scenario_Data!V109)/18)*EXP(-(((Inputs!$C$6)+5)^2)/(22^2))+18*SIN(2*PI()*(Scenario_Data!V109)/70))+Inputs!$C$28*EXP(-(((Scenario_Data!V109)-Inputs!$C$29)^2)/(2*Inputs!$C$31^2))*EXP(-(((Inputs!$C$6)-Inputs!$C$30)^2)/(2*Inputs!$C$32^2))+-Inputs!$C$33*EXP(-(((((Scenario_Data!V109)-Inputs!$C$34)^2)+(((Inputs!$C$6)-Inputs!$C$35)^2))/(2*Inputs!$C$36^2)))+Inputs!$C$37*(0.55*SIN(2*PI()*(Scenario_Data!V109)/Inputs!$C$39)+0.35*COS(2*PI()*(Inputs!$C$6)/Inputs!$C$40)+0.2*SIN(2*PI()*((Scenario_Data!V109)+(Inputs!$C$6))/(0.5*(Inputs!$C$39+Inputs!$C$40))))+Inputs!$C$38*SIN(2*PI()*(Scenario_Data!V109)/Inputs!$C$39)*SIN(2*PI()*(Inputs!$C$6)/Inputs!$C$40)+-Inputs!$C$41*EXP(-(((Inputs!$C$6)-Inputs!$C$43)^2)/(2*Inputs!$C$44^2))*EXP(-(((Scenario_Data!V109)-Inputs!$C$42)^2)/(2*Inputs!$C$45^2))+Inputs!$C$48*(0.7*(0.45*SIN(2*PI()*(((Scenario_Data!V109)/Inputs!$C$49)+Inputs!$C$47*0.137))+0.35*COS(2*PI()*(((Inputs!$C$6)/Inputs!$C$50)+Inputs!$C$47*0.173))+0.2*SIN(2*PI()*((((Scenario_Data!V109)+(Inputs!$C$6))/(0.5*(Inputs!$C$49+Inputs!$C$50)))+Inputs!$C$47*0.097)))+0.3*(2*((SIN(((Scenario_Data!V109)*12.9898+(Inputs!$C$6)*78.233+Inputs!$C$47*37.719))*43758.5453)-INT((SIN(((Scenario_Data!V109)*12.9898+(Inputs!$C$6)*78.233+Inputs!$C$47*37.719))*43758.5453)))-1))))/1000))^2-2*(Inputs!$C$52+(Scenario_Data!D109))*(Inputs!$C$52+((IF(OR(Inputs!$C$27=TRUE,Inputs!$C$27="TRUE",Inputs!$C$27=1),1,0)*(Inputs!$C$51*(115*EXP(-(((Inputs!$C$6)-25)^2)/(4.5^2))+70*EXP(-(((Inputs!$C$6)+38)^2)/(7^2))*(0.55+0.45*SIN(2*PI()*(Scenario_Data!V109)/45))+24*SIN(2*PI()*(Inputs!$C$6)/9+(Scenario_Data!V109)/18)*EXP(-(((Inputs!$C$6)+5)^2)/(22^2))+18*SIN(2*PI()*(Scenario_Data!V109)/70))+Inputs!$C$28*EXP(-(((Scenario_Data!V109)-Inputs!$C$29)^2)/(2*Inputs!$C$31^2))*EXP(-(((Inputs!$C$6)-Inputs!$C$30)^2)/(2*Inputs!$C$32^2))+-Inputs!$C$33*EXP(-(((((Scenario_Data!V109)-Inputs!$C$34)^2)+(((Inputs!$C$6)-Inputs!$C$35)^2))/(2*Inputs!$C$36^2)))+Inputs!$C$37*(0.55*SIN(2*PI()*(Scenario_Data!V109)/Inputs!$C$39)+0.35*COS(2*PI()*(Inputs!$C$6)/Inputs!$C$40)+0.2*SIN(2*PI()*((Scenario_Data!V109)+(Inputs!$C$6))/(0.5*(Inputs!$C$39+Inputs!$C$40))))+Inputs!$C$38*SIN(2*PI()*(Scenario_Data!V109)/Inputs!$C$39)*SIN(2*PI()*(Inputs!$C$6)/Inputs!$C$40)+-Inputs!$C$41*EXP(-(((Inputs!$C$6)-Inputs!$C$43)^2)/(2*Inputs!$C$44^2))*EXP(-(((Scenario_Data!V109)-Inputs!$C$42)^2)/(2*Inputs!$C$45^2))+Inputs!$C$48*(0.7*(0.45*SIN(2*PI()*(((Scenario_Data!V109)/Inputs!$C$49)+Inputs!$C$47*0.137))+0.35*COS(2*PI()*(((Inputs!$C$6)/Inputs!$C$50)+Inputs!$C$47*0.173))+0.2*SIN(2*PI()*((((Scenario_Data!V109)+(Inputs!$C$6))/(0.5*(Inputs!$C$49+Inputs!$C$50)))+Inputs!$C$47*0.097)))+0.3*(2*((SIN(((Scenario_Data!V109)*12.9898+(Inputs!$C$6)*78.233+Inputs!$C$47*37.719))*43758.5453)-INT((SIN(((Scenario_Data!V109)*12.9898+(Inputs!$C$6)*78.233+Inputs!$C$47*37.719))*43758.5453)))-1))))/1000))*COS(SQRT((Scenario_Data!V109)^2+Inputs!$C$6^2)/Inputs!$C$52))*1000)/Inputs!$C$21*1000000</f>
        <v/>
      </c>
      <c r="AV109">
        <f>Scenario_Data!W109</f>
        <v/>
      </c>
      <c r="AW109">
        <f>2*(SQRT((Inputs!$C$52+(Scenario_Data!E109))^2+(Inputs!$C$52+((IF(OR(Inputs!$C$27=TRUE,Inputs!$C$27="TRUE",Inputs!$C$27=1),1,0)*(Inputs!$C$51*(115*EXP(-(((Inputs!$C$6)-25)^2)/(4.5^2))+70*EXP(-(((Inputs!$C$6)+38)^2)/(7^2))*(0.55+0.45*SIN(2*PI()*(Scenario_Data!W109)/45))+24*SIN(2*PI()*(Inputs!$C$6)/9+(Scenario_Data!W109)/18)*EXP(-(((Inputs!$C$6)+5)^2)/(22^2))+18*SIN(2*PI()*(Scenario_Data!W109)/70))+Inputs!$C$28*EXP(-(((Scenario_Data!W109)-Inputs!$C$29)^2)/(2*Inputs!$C$31^2))*EXP(-(((Inputs!$C$6)-Inputs!$C$30)^2)/(2*Inputs!$C$32^2))+-Inputs!$C$33*EXP(-(((((Scenario_Data!W109)-Inputs!$C$34)^2)+(((Inputs!$C$6)-Inputs!$C$35)^2))/(2*Inputs!$C$36^2)))+Inputs!$C$37*(0.55*SIN(2*PI()*(Scenario_Data!W109)/Inputs!$C$39)+0.35*COS(2*PI()*(Inputs!$C$6)/Inputs!$C$40)+0.2*SIN(2*PI()*((Scenario_Data!W109)+(Inputs!$C$6))/(0.5*(Inputs!$C$39+Inputs!$C$40))))+Inputs!$C$38*SIN(2*PI()*(Scenario_Data!W109)/Inputs!$C$39)*SIN(2*PI()*(Inputs!$C$6)/Inputs!$C$40)+-Inputs!$C$41*EXP(-(((Inputs!$C$6)-Inputs!$C$43)^2)/(2*Inputs!$C$44^2))*EXP(-(((Scenario_Data!W109)-Inputs!$C$42)^2)/(2*Inputs!$C$45^2))+Inputs!$C$48*(0.7*(0.45*SIN(2*PI()*(((Scenario_Data!W109)/Inputs!$C$49)+Inputs!$C$47*0.137))+0.35*COS(2*PI()*(((Inputs!$C$6)/Inputs!$C$50)+Inputs!$C$47*0.173))+0.2*SIN(2*PI()*((((Scenario_Data!W109)+(Inputs!$C$6))/(0.5*(Inputs!$C$49+Inputs!$C$50)))+Inputs!$C$47*0.097)))+0.3*(2*((SIN(((Scenario_Data!W109)*12.9898+(Inputs!$C$6)*78.233+Inputs!$C$47*37.719))*43758.5453)-INT((SIN(((Scenario_Data!W109)*12.9898+(Inputs!$C$6)*78.233+Inputs!$C$47*37.719))*43758.5453)))-1))))/1000))^2-2*(Inputs!$C$52+(Scenario_Data!E109))*(Inputs!$C$52+((IF(OR(Inputs!$C$27=TRUE,Inputs!$C$27="TRUE",Inputs!$C$27=1),1,0)*(Inputs!$C$51*(115*EXP(-(((Inputs!$C$6)-25)^2)/(4.5^2))+70*EXP(-(((Inputs!$C$6)+38)^2)/(7^2))*(0.55+0.45*SIN(2*PI()*(Scenario_Data!W109)/45))+24*SIN(2*PI()*(Inputs!$C$6)/9+(Scenario_Data!W109)/18)*EXP(-(((Inputs!$C$6)+5)^2)/(22^2))+18*SIN(2*PI()*(Scenario_Data!W109)/70))+Inputs!$C$28*EXP(-(((Scenario_Data!W109)-Inputs!$C$29)^2)/(2*Inputs!$C$31^2))*EXP(-(((Inputs!$C$6)-Inputs!$C$30)^2)/(2*Inputs!$C$32^2))+-Inputs!$C$33*EXP(-(((((Scenario_Data!W109)-Inputs!$C$34)^2)+(((Inputs!$C$6)-Inputs!$C$35)^2))/(2*Inputs!$C$36^2)))+Inputs!$C$37*(0.55*SIN(2*PI()*(Scenario_Data!W109)/Inputs!$C$39)+0.35*COS(2*PI()*(Inputs!$C$6)/Inputs!$C$40)+0.2*SIN(2*PI()*((Scenario_Data!W109)+(Inputs!$C$6))/(0.5*(Inputs!$C$39+Inputs!$C$40))))+Inputs!$C$38*SIN(2*PI()*(Scenario_Data!W109)/Inputs!$C$39)*SIN(2*PI()*(Inputs!$C$6)/Inputs!$C$40)+-Inputs!$C$41*EXP(-(((Inputs!$C$6)-Inputs!$C$43)^2)/(2*Inputs!$C$44^2))*EXP(-(((Scenario_Data!W109)-Inputs!$C$42)^2)/(2*Inputs!$C$45^2))+Inputs!$C$48*(0.7*(0.45*SIN(2*PI()*(((Scenario_Data!W109)/Inputs!$C$49)+Inputs!$C$47*0.137))+0.35*COS(2*PI()*(((Inputs!$C$6)/Inputs!$C$50)+Inputs!$C$47*0.173))+0.2*SIN(2*PI()*((((Scenario_Data!W109)+(Inputs!$C$6))/(0.5*(Inputs!$C$49+Inputs!$C$50)))+Inputs!$C$47*0.097)))+0.3*(2*((SIN(((Scenario_Data!W109)*12.9898+(Inputs!$C$6)*78.233+Inputs!$C$47*37.719))*43758.5453)-INT((SIN(((Scenario_Data!W109)*12.9898+(Inputs!$C$6)*78.233+Inputs!$C$47*37.719))*43758.5453)))-1))))/1000))*COS(SQRT((Scenario_Data!W109)^2+Inputs!$C$6^2)/Inputs!$C$52))*1000)/Inputs!$C$21*1000000</f>
        <v/>
      </c>
    </row>
    <row r="110">
      <c r="A110">
        <f>Chart_Data!K110</f>
        <v/>
      </c>
      <c r="B110">
        <f>Chart_Data!N110-Chart_Data!L110</f>
        <v/>
      </c>
      <c r="D110">
        <f>Chart_Data!G110</f>
        <v/>
      </c>
      <c r="E110">
        <f>Chart_Data!H110</f>
        <v/>
      </c>
      <c r="F110">
        <f>Chart_Data!I110</f>
        <v/>
      </c>
      <c r="G110">
        <f>Chart_Data!J110</f>
        <v/>
      </c>
      <c r="I110">
        <f>Scenario_Data!A110</f>
        <v/>
      </c>
      <c r="J110">
        <f>Scenario_Data!H110-(((SQRT((Inputs!$C$52+(Inputs!$H$6))^2+Inputs!$C$52^2-2*(Inputs!$C$52+(Inputs!$H$6))*Inputs!$C$52*COS(SQRT((Scenario_Data!T110)^2+Inputs!$C$6^2)/Inputs!$C$52)))-(Inputs!$H$6))*1000/Inputs!$C$12)</f>
        <v/>
      </c>
      <c r="K110">
        <f>Scenario_Data!I110-(((SQRT((Inputs!$C$52+(Inputs!$H$7))^2+Inputs!$C$52^2-2*(Inputs!$C$52+(Inputs!$H$7))*Inputs!$C$52*COS(SQRT((Scenario_Data!U110)^2+Inputs!$C$6^2)/Inputs!$C$52)))-(Inputs!$H$7))*1000/Inputs!$C$12)</f>
        <v/>
      </c>
      <c r="L110">
        <f>Scenario_Data!J110-(((SQRT((Inputs!$C$52+(Inputs!$H$8))^2+Inputs!$C$52^2-2*(Inputs!$C$52+(Inputs!$H$8))*Inputs!$C$52*COS(SQRT((Scenario_Data!V110)^2+Inputs!$C$6^2)/Inputs!$C$52)))-(Inputs!$H$8))*1000/Inputs!$C$12)</f>
        <v/>
      </c>
      <c r="M110">
        <f>Scenario_Data!K110-(((SQRT((Inputs!$C$52+(Inputs!$H$9))^2+Inputs!$C$52^2-2*(Inputs!$C$52+(Inputs!$H$9))*Inputs!$C$52*COS(SQRT((Scenario_Data!W110)^2+Inputs!$C$6^2)/Inputs!$C$52)))-(Inputs!$H$9))*1000/Inputs!$C$12)</f>
        <v/>
      </c>
      <c r="O110">
        <f>Scenario_Data!T110</f>
        <v/>
      </c>
      <c r="P110">
        <f>2*(Scenario_Data!B110*1000)/Inputs!$C$21*1000000</f>
        <v/>
      </c>
      <c r="Q110">
        <f>Scenario_Data!U110</f>
        <v/>
      </c>
      <c r="R110">
        <f>2*(Scenario_Data!C110*1000)/Inputs!$C$21*1000000</f>
        <v/>
      </c>
      <c r="S110">
        <f>Scenario_Data!V110</f>
        <v/>
      </c>
      <c r="T110">
        <f>2*(Scenario_Data!D110*1000)/Inputs!$C$21*1000000</f>
        <v/>
      </c>
      <c r="U110">
        <f>Scenario_Data!W110</f>
        <v/>
      </c>
      <c r="V110">
        <f>2*(Scenario_Data!E110*1000)/Inputs!$C$21*1000000</f>
        <v/>
      </c>
      <c r="X110">
        <f>Scenario_Data!T110</f>
        <v/>
      </c>
      <c r="Y110">
        <f>2*((Scenario_Data!B110*1000)-(IF(OR(Inputs!$C$27=TRUE,Inputs!$C$27="TRUE",Inputs!$C$27=1),1,0)*(Inputs!$C$51*(115*EXP(-(((0)-25)^2)/(4.5^2))+70*EXP(-(((0)+38)^2)/(7^2))*(0.55+0.45*SIN(2*PI()*(Scenario_Data!T110)/45))+24*SIN(2*PI()*(0)/9+(Scenario_Data!T110)/18)*EXP(-(((0)+5)^2)/(22^2))+18*SIN(2*PI()*(Scenario_Data!T110)/70))+Inputs!$C$28*EXP(-(((Scenario_Data!T110)-Inputs!$C$29)^2)/(2*Inputs!$C$31^2))*EXP(-(((0)-Inputs!$C$30)^2)/(2*Inputs!$C$32^2))+-Inputs!$C$33*EXP(-(((((Scenario_Data!T110)-Inputs!$C$34)^2)+(((0)-Inputs!$C$35)^2))/(2*Inputs!$C$36^2)))+Inputs!$C$37*(0.55*SIN(2*PI()*(Scenario_Data!T110)/Inputs!$C$39)+0.35*COS(2*PI()*(0)/Inputs!$C$40)+0.2*SIN(2*PI()*((Scenario_Data!T110)+(0))/(0.5*(Inputs!$C$39+Inputs!$C$40))))+Inputs!$C$38*SIN(2*PI()*(Scenario_Data!T110)/Inputs!$C$39)*SIN(2*PI()*(0)/Inputs!$C$40)+-Inputs!$C$41*EXP(-(((0)-Inputs!$C$43)^2)/(2*Inputs!$C$44^2))*EXP(-(((Scenario_Data!T110)-Inputs!$C$42)^2)/(2*Inputs!$C$45^2))+Inputs!$C$48*(0.7*(0.45*SIN(2*PI()*(((Scenario_Data!T110)/Inputs!$C$49)+Inputs!$C$47*0.137))+0.35*COS(2*PI()*(((0)/Inputs!$C$50)+Inputs!$C$47*0.173))+0.2*SIN(2*PI()*((((Scenario_Data!T110)+(0))/(0.5*(Inputs!$C$49+Inputs!$C$50)))+Inputs!$C$47*0.097)))+0.3*(2*((SIN(((Scenario_Data!T110)*12.9898+(0)*78.233+Inputs!$C$47*37.719))*43758.5453)-INT((SIN(((Scenario_Data!T110)*12.9898+(0)*78.233+Inputs!$C$47*37.719))*43758.5453)))-1)))))/Inputs!$C$21*1000000</f>
        <v/>
      </c>
      <c r="Z110">
        <f>Scenario_Data!U110</f>
        <v/>
      </c>
      <c r="AA110">
        <f>2*((Scenario_Data!C110*1000)-(IF(OR(Inputs!$C$27=TRUE,Inputs!$C$27="TRUE",Inputs!$C$27=1),1,0)*(Inputs!$C$51*(115*EXP(-(((0)-25)^2)/(4.5^2))+70*EXP(-(((0)+38)^2)/(7^2))*(0.55+0.45*SIN(2*PI()*(Scenario_Data!U110)/45))+24*SIN(2*PI()*(0)/9+(Scenario_Data!U110)/18)*EXP(-(((0)+5)^2)/(22^2))+18*SIN(2*PI()*(Scenario_Data!U110)/70))+Inputs!$C$28*EXP(-(((Scenario_Data!U110)-Inputs!$C$29)^2)/(2*Inputs!$C$31^2))*EXP(-(((0)-Inputs!$C$30)^2)/(2*Inputs!$C$32^2))+-Inputs!$C$33*EXP(-(((((Scenario_Data!U110)-Inputs!$C$34)^2)+(((0)-Inputs!$C$35)^2))/(2*Inputs!$C$36^2)))+Inputs!$C$37*(0.55*SIN(2*PI()*(Scenario_Data!U110)/Inputs!$C$39)+0.35*COS(2*PI()*(0)/Inputs!$C$40)+0.2*SIN(2*PI()*((Scenario_Data!U110)+(0))/(0.5*(Inputs!$C$39+Inputs!$C$40))))+Inputs!$C$38*SIN(2*PI()*(Scenario_Data!U110)/Inputs!$C$39)*SIN(2*PI()*(0)/Inputs!$C$40)+-Inputs!$C$41*EXP(-(((0)-Inputs!$C$43)^2)/(2*Inputs!$C$44^2))*EXP(-(((Scenario_Data!U110)-Inputs!$C$42)^2)/(2*Inputs!$C$45^2))+Inputs!$C$48*(0.7*(0.45*SIN(2*PI()*(((Scenario_Data!U110)/Inputs!$C$49)+Inputs!$C$47*0.137))+0.35*COS(2*PI()*(((0)/Inputs!$C$50)+Inputs!$C$47*0.173))+0.2*SIN(2*PI()*((((Scenario_Data!U110)+(0))/(0.5*(Inputs!$C$49+Inputs!$C$50)))+Inputs!$C$47*0.097)))+0.3*(2*((SIN(((Scenario_Data!U110)*12.9898+(0)*78.233+Inputs!$C$47*37.719))*43758.5453)-INT((SIN(((Scenario_Data!U110)*12.9898+(0)*78.233+Inputs!$C$47*37.719))*43758.5453)))-1)))))/Inputs!$C$21*1000000</f>
        <v/>
      </c>
      <c r="AB110">
        <f>Scenario_Data!V110</f>
        <v/>
      </c>
      <c r="AC110">
        <f>2*((Scenario_Data!D110*1000)-(IF(OR(Inputs!$C$27=TRUE,Inputs!$C$27="TRUE",Inputs!$C$27=1),1,0)*(Inputs!$C$51*(115*EXP(-(((0)-25)^2)/(4.5^2))+70*EXP(-(((0)+38)^2)/(7^2))*(0.55+0.45*SIN(2*PI()*(Scenario_Data!V110)/45))+24*SIN(2*PI()*(0)/9+(Scenario_Data!V110)/18)*EXP(-(((0)+5)^2)/(22^2))+18*SIN(2*PI()*(Scenario_Data!V110)/70))+Inputs!$C$28*EXP(-(((Scenario_Data!V110)-Inputs!$C$29)^2)/(2*Inputs!$C$31^2))*EXP(-(((0)-Inputs!$C$30)^2)/(2*Inputs!$C$32^2))+-Inputs!$C$33*EXP(-(((((Scenario_Data!V110)-Inputs!$C$34)^2)+(((0)-Inputs!$C$35)^2))/(2*Inputs!$C$36^2)))+Inputs!$C$37*(0.55*SIN(2*PI()*(Scenario_Data!V110)/Inputs!$C$39)+0.35*COS(2*PI()*(0)/Inputs!$C$40)+0.2*SIN(2*PI()*((Scenario_Data!V110)+(0))/(0.5*(Inputs!$C$39+Inputs!$C$40))))+Inputs!$C$38*SIN(2*PI()*(Scenario_Data!V110)/Inputs!$C$39)*SIN(2*PI()*(0)/Inputs!$C$40)+-Inputs!$C$41*EXP(-(((0)-Inputs!$C$43)^2)/(2*Inputs!$C$44^2))*EXP(-(((Scenario_Data!V110)-Inputs!$C$42)^2)/(2*Inputs!$C$45^2))+Inputs!$C$48*(0.7*(0.45*SIN(2*PI()*(((Scenario_Data!V110)/Inputs!$C$49)+Inputs!$C$47*0.137))+0.35*COS(2*PI()*(((0)/Inputs!$C$50)+Inputs!$C$47*0.173))+0.2*SIN(2*PI()*((((Scenario_Data!V110)+(0))/(0.5*(Inputs!$C$49+Inputs!$C$50)))+Inputs!$C$47*0.097)))+0.3*(2*((SIN(((Scenario_Data!V110)*12.9898+(0)*78.233+Inputs!$C$47*37.719))*43758.5453)-INT((SIN(((Scenario_Data!V110)*12.9898+(0)*78.233+Inputs!$C$47*37.719))*43758.5453)))-1)))))/Inputs!$C$21*1000000</f>
        <v/>
      </c>
      <c r="AD110">
        <f>Scenario_Data!W110</f>
        <v/>
      </c>
      <c r="AE110">
        <f>2*((Scenario_Data!E110*1000)-(IF(OR(Inputs!$C$27=TRUE,Inputs!$C$27="TRUE",Inputs!$C$27=1),1,0)*(Inputs!$C$51*(115*EXP(-(((0)-25)^2)/(4.5^2))+70*EXP(-(((0)+38)^2)/(7^2))*(0.55+0.45*SIN(2*PI()*(Scenario_Data!W110)/45))+24*SIN(2*PI()*(0)/9+(Scenario_Data!W110)/18)*EXP(-(((0)+5)^2)/(22^2))+18*SIN(2*PI()*(Scenario_Data!W110)/70))+Inputs!$C$28*EXP(-(((Scenario_Data!W110)-Inputs!$C$29)^2)/(2*Inputs!$C$31^2))*EXP(-(((0)-Inputs!$C$30)^2)/(2*Inputs!$C$32^2))+-Inputs!$C$33*EXP(-(((((Scenario_Data!W110)-Inputs!$C$34)^2)+(((0)-Inputs!$C$35)^2))/(2*Inputs!$C$36^2)))+Inputs!$C$37*(0.55*SIN(2*PI()*(Scenario_Data!W110)/Inputs!$C$39)+0.35*COS(2*PI()*(0)/Inputs!$C$40)+0.2*SIN(2*PI()*((Scenario_Data!W110)+(0))/(0.5*(Inputs!$C$39+Inputs!$C$40))))+Inputs!$C$38*SIN(2*PI()*(Scenario_Data!W110)/Inputs!$C$39)*SIN(2*PI()*(0)/Inputs!$C$40)+-Inputs!$C$41*EXP(-(((0)-Inputs!$C$43)^2)/(2*Inputs!$C$44^2))*EXP(-(((Scenario_Data!W110)-Inputs!$C$42)^2)/(2*Inputs!$C$45^2))+Inputs!$C$48*(0.7*(0.45*SIN(2*PI()*(((Scenario_Data!W110)/Inputs!$C$49)+Inputs!$C$47*0.137))+0.35*COS(2*PI()*(((0)/Inputs!$C$50)+Inputs!$C$47*0.173))+0.2*SIN(2*PI()*((((Scenario_Data!W110)+(0))/(0.5*(Inputs!$C$49+Inputs!$C$50)))+Inputs!$C$47*0.097)))+0.3*(2*((SIN(((Scenario_Data!W110)*12.9898+(0)*78.233+Inputs!$C$47*37.719))*43758.5453)-INT((SIN(((Scenario_Data!W110)*12.9898+(0)*78.233+Inputs!$C$47*37.719))*43758.5453)))-1)))))/Inputs!$C$21*1000000</f>
        <v/>
      </c>
      <c r="AG110">
        <f>Scenario_Data!T110</f>
        <v/>
      </c>
      <c r="AH110">
        <f>2*(SQRT((Inputs!$C$52+(Scenario_Data!B110))^2+Inputs!$C$52^2-2*(Inputs!$C$52+(Scenario_Data!B110))*Inputs!$C$52*COS(SQRT((Scenario_Data!T110)^2+Inputs!$C$6^2)/Inputs!$C$52))*1000)/Inputs!$C$21*1000000</f>
        <v/>
      </c>
      <c r="AI110">
        <f>Scenario_Data!U110</f>
        <v/>
      </c>
      <c r="AJ110">
        <f>2*(SQRT((Inputs!$C$52+(Scenario_Data!C110))^2+Inputs!$C$52^2-2*(Inputs!$C$52+(Scenario_Data!C110))*Inputs!$C$52*COS(SQRT((Scenario_Data!U110)^2+Inputs!$C$6^2)/Inputs!$C$52))*1000)/Inputs!$C$21*1000000</f>
        <v/>
      </c>
      <c r="AK110">
        <f>Scenario_Data!V110</f>
        <v/>
      </c>
      <c r="AL110">
        <f>2*(SQRT((Inputs!$C$52+(Scenario_Data!D110))^2+Inputs!$C$52^2-2*(Inputs!$C$52+(Scenario_Data!D110))*Inputs!$C$52*COS(SQRT((Scenario_Data!V110)^2+Inputs!$C$6^2)/Inputs!$C$52))*1000)/Inputs!$C$21*1000000</f>
        <v/>
      </c>
      <c r="AM110">
        <f>Scenario_Data!W110</f>
        <v/>
      </c>
      <c r="AN110">
        <f>2*(SQRT((Inputs!$C$52+(Scenario_Data!E110))^2+Inputs!$C$52^2-2*(Inputs!$C$52+(Scenario_Data!E110))*Inputs!$C$52*COS(SQRT((Scenario_Data!W110)^2+Inputs!$C$6^2)/Inputs!$C$52))*1000)/Inputs!$C$21*1000000</f>
        <v/>
      </c>
      <c r="AP110">
        <f>Scenario_Data!T110</f>
        <v/>
      </c>
      <c r="AQ110">
        <f>2*(SQRT((Inputs!$C$52+(Scenario_Data!B110))^2+(Inputs!$C$52+((IF(OR(Inputs!$C$27=TRUE,Inputs!$C$27="TRUE",Inputs!$C$27=1),1,0)*(Inputs!$C$51*(115*EXP(-(((Inputs!$C$6)-25)^2)/(4.5^2))+70*EXP(-(((Inputs!$C$6)+38)^2)/(7^2))*(0.55+0.45*SIN(2*PI()*(Scenario_Data!T110)/45))+24*SIN(2*PI()*(Inputs!$C$6)/9+(Scenario_Data!T110)/18)*EXP(-(((Inputs!$C$6)+5)^2)/(22^2))+18*SIN(2*PI()*(Scenario_Data!T110)/70))+Inputs!$C$28*EXP(-(((Scenario_Data!T110)-Inputs!$C$29)^2)/(2*Inputs!$C$31^2))*EXP(-(((Inputs!$C$6)-Inputs!$C$30)^2)/(2*Inputs!$C$32^2))+-Inputs!$C$33*EXP(-(((((Scenario_Data!T110)-Inputs!$C$34)^2)+(((Inputs!$C$6)-Inputs!$C$35)^2))/(2*Inputs!$C$36^2)))+Inputs!$C$37*(0.55*SIN(2*PI()*(Scenario_Data!T110)/Inputs!$C$39)+0.35*COS(2*PI()*(Inputs!$C$6)/Inputs!$C$40)+0.2*SIN(2*PI()*((Scenario_Data!T110)+(Inputs!$C$6))/(0.5*(Inputs!$C$39+Inputs!$C$40))))+Inputs!$C$38*SIN(2*PI()*(Scenario_Data!T110)/Inputs!$C$39)*SIN(2*PI()*(Inputs!$C$6)/Inputs!$C$40)+-Inputs!$C$41*EXP(-(((Inputs!$C$6)-Inputs!$C$43)^2)/(2*Inputs!$C$44^2))*EXP(-(((Scenario_Data!T110)-Inputs!$C$42)^2)/(2*Inputs!$C$45^2))+Inputs!$C$48*(0.7*(0.45*SIN(2*PI()*(((Scenario_Data!T110)/Inputs!$C$49)+Inputs!$C$47*0.137))+0.35*COS(2*PI()*(((Inputs!$C$6)/Inputs!$C$50)+Inputs!$C$47*0.173))+0.2*SIN(2*PI()*((((Scenario_Data!T110)+(Inputs!$C$6))/(0.5*(Inputs!$C$49+Inputs!$C$50)))+Inputs!$C$47*0.097)))+0.3*(2*((SIN(((Scenario_Data!T110)*12.9898+(Inputs!$C$6)*78.233+Inputs!$C$47*37.719))*43758.5453)-INT((SIN(((Scenario_Data!T110)*12.9898+(Inputs!$C$6)*78.233+Inputs!$C$47*37.719))*43758.5453)))-1))))/1000))^2-2*(Inputs!$C$52+(Scenario_Data!B110))*(Inputs!$C$52+((IF(OR(Inputs!$C$27=TRUE,Inputs!$C$27="TRUE",Inputs!$C$27=1),1,0)*(Inputs!$C$51*(115*EXP(-(((Inputs!$C$6)-25)^2)/(4.5^2))+70*EXP(-(((Inputs!$C$6)+38)^2)/(7^2))*(0.55+0.45*SIN(2*PI()*(Scenario_Data!T110)/45))+24*SIN(2*PI()*(Inputs!$C$6)/9+(Scenario_Data!T110)/18)*EXP(-(((Inputs!$C$6)+5)^2)/(22^2))+18*SIN(2*PI()*(Scenario_Data!T110)/70))+Inputs!$C$28*EXP(-(((Scenario_Data!T110)-Inputs!$C$29)^2)/(2*Inputs!$C$31^2))*EXP(-(((Inputs!$C$6)-Inputs!$C$30)^2)/(2*Inputs!$C$32^2))+-Inputs!$C$33*EXP(-(((((Scenario_Data!T110)-Inputs!$C$34)^2)+(((Inputs!$C$6)-Inputs!$C$35)^2))/(2*Inputs!$C$36^2)))+Inputs!$C$37*(0.55*SIN(2*PI()*(Scenario_Data!T110)/Inputs!$C$39)+0.35*COS(2*PI()*(Inputs!$C$6)/Inputs!$C$40)+0.2*SIN(2*PI()*((Scenario_Data!T110)+(Inputs!$C$6))/(0.5*(Inputs!$C$39+Inputs!$C$40))))+Inputs!$C$38*SIN(2*PI()*(Scenario_Data!T110)/Inputs!$C$39)*SIN(2*PI()*(Inputs!$C$6)/Inputs!$C$40)+-Inputs!$C$41*EXP(-(((Inputs!$C$6)-Inputs!$C$43)^2)/(2*Inputs!$C$44^2))*EXP(-(((Scenario_Data!T110)-Inputs!$C$42)^2)/(2*Inputs!$C$45^2))+Inputs!$C$48*(0.7*(0.45*SIN(2*PI()*(((Scenario_Data!T110)/Inputs!$C$49)+Inputs!$C$47*0.137))+0.35*COS(2*PI()*(((Inputs!$C$6)/Inputs!$C$50)+Inputs!$C$47*0.173))+0.2*SIN(2*PI()*((((Scenario_Data!T110)+(Inputs!$C$6))/(0.5*(Inputs!$C$49+Inputs!$C$50)))+Inputs!$C$47*0.097)))+0.3*(2*((SIN(((Scenario_Data!T110)*12.9898+(Inputs!$C$6)*78.233+Inputs!$C$47*37.719))*43758.5453)-INT((SIN(((Scenario_Data!T110)*12.9898+(Inputs!$C$6)*78.233+Inputs!$C$47*37.719))*43758.5453)))-1))))/1000))*COS(SQRT((Scenario_Data!T110)^2+Inputs!$C$6^2)/Inputs!$C$52))*1000)/Inputs!$C$21*1000000</f>
        <v/>
      </c>
      <c r="AR110">
        <f>Scenario_Data!U110</f>
        <v/>
      </c>
      <c r="AS110">
        <f>2*(SQRT((Inputs!$C$52+(Scenario_Data!C110))^2+(Inputs!$C$52+((IF(OR(Inputs!$C$27=TRUE,Inputs!$C$27="TRUE",Inputs!$C$27=1),1,0)*(Inputs!$C$51*(115*EXP(-(((Inputs!$C$6)-25)^2)/(4.5^2))+70*EXP(-(((Inputs!$C$6)+38)^2)/(7^2))*(0.55+0.45*SIN(2*PI()*(Scenario_Data!U110)/45))+24*SIN(2*PI()*(Inputs!$C$6)/9+(Scenario_Data!U110)/18)*EXP(-(((Inputs!$C$6)+5)^2)/(22^2))+18*SIN(2*PI()*(Scenario_Data!U110)/70))+Inputs!$C$28*EXP(-(((Scenario_Data!U110)-Inputs!$C$29)^2)/(2*Inputs!$C$31^2))*EXP(-(((Inputs!$C$6)-Inputs!$C$30)^2)/(2*Inputs!$C$32^2))+-Inputs!$C$33*EXP(-(((((Scenario_Data!U110)-Inputs!$C$34)^2)+(((Inputs!$C$6)-Inputs!$C$35)^2))/(2*Inputs!$C$36^2)))+Inputs!$C$37*(0.55*SIN(2*PI()*(Scenario_Data!U110)/Inputs!$C$39)+0.35*COS(2*PI()*(Inputs!$C$6)/Inputs!$C$40)+0.2*SIN(2*PI()*((Scenario_Data!U110)+(Inputs!$C$6))/(0.5*(Inputs!$C$39+Inputs!$C$40))))+Inputs!$C$38*SIN(2*PI()*(Scenario_Data!U110)/Inputs!$C$39)*SIN(2*PI()*(Inputs!$C$6)/Inputs!$C$40)+-Inputs!$C$41*EXP(-(((Inputs!$C$6)-Inputs!$C$43)^2)/(2*Inputs!$C$44^2))*EXP(-(((Scenario_Data!U110)-Inputs!$C$42)^2)/(2*Inputs!$C$45^2))+Inputs!$C$48*(0.7*(0.45*SIN(2*PI()*(((Scenario_Data!U110)/Inputs!$C$49)+Inputs!$C$47*0.137))+0.35*COS(2*PI()*(((Inputs!$C$6)/Inputs!$C$50)+Inputs!$C$47*0.173))+0.2*SIN(2*PI()*((((Scenario_Data!U110)+(Inputs!$C$6))/(0.5*(Inputs!$C$49+Inputs!$C$50)))+Inputs!$C$47*0.097)))+0.3*(2*((SIN(((Scenario_Data!U110)*12.9898+(Inputs!$C$6)*78.233+Inputs!$C$47*37.719))*43758.5453)-INT((SIN(((Scenario_Data!U110)*12.9898+(Inputs!$C$6)*78.233+Inputs!$C$47*37.719))*43758.5453)))-1))))/1000))^2-2*(Inputs!$C$52+(Scenario_Data!C110))*(Inputs!$C$52+((IF(OR(Inputs!$C$27=TRUE,Inputs!$C$27="TRUE",Inputs!$C$27=1),1,0)*(Inputs!$C$51*(115*EXP(-(((Inputs!$C$6)-25)^2)/(4.5^2))+70*EXP(-(((Inputs!$C$6)+38)^2)/(7^2))*(0.55+0.45*SIN(2*PI()*(Scenario_Data!U110)/45))+24*SIN(2*PI()*(Inputs!$C$6)/9+(Scenario_Data!U110)/18)*EXP(-(((Inputs!$C$6)+5)^2)/(22^2))+18*SIN(2*PI()*(Scenario_Data!U110)/70))+Inputs!$C$28*EXP(-(((Scenario_Data!U110)-Inputs!$C$29)^2)/(2*Inputs!$C$31^2))*EXP(-(((Inputs!$C$6)-Inputs!$C$30)^2)/(2*Inputs!$C$32^2))+-Inputs!$C$33*EXP(-(((((Scenario_Data!U110)-Inputs!$C$34)^2)+(((Inputs!$C$6)-Inputs!$C$35)^2))/(2*Inputs!$C$36^2)))+Inputs!$C$37*(0.55*SIN(2*PI()*(Scenario_Data!U110)/Inputs!$C$39)+0.35*COS(2*PI()*(Inputs!$C$6)/Inputs!$C$40)+0.2*SIN(2*PI()*((Scenario_Data!U110)+(Inputs!$C$6))/(0.5*(Inputs!$C$39+Inputs!$C$40))))+Inputs!$C$38*SIN(2*PI()*(Scenario_Data!U110)/Inputs!$C$39)*SIN(2*PI()*(Inputs!$C$6)/Inputs!$C$40)+-Inputs!$C$41*EXP(-(((Inputs!$C$6)-Inputs!$C$43)^2)/(2*Inputs!$C$44^2))*EXP(-(((Scenario_Data!U110)-Inputs!$C$42)^2)/(2*Inputs!$C$45^2))+Inputs!$C$48*(0.7*(0.45*SIN(2*PI()*(((Scenario_Data!U110)/Inputs!$C$49)+Inputs!$C$47*0.137))+0.35*COS(2*PI()*(((Inputs!$C$6)/Inputs!$C$50)+Inputs!$C$47*0.173))+0.2*SIN(2*PI()*((((Scenario_Data!U110)+(Inputs!$C$6))/(0.5*(Inputs!$C$49+Inputs!$C$50)))+Inputs!$C$47*0.097)))+0.3*(2*((SIN(((Scenario_Data!U110)*12.9898+(Inputs!$C$6)*78.233+Inputs!$C$47*37.719))*43758.5453)-INT((SIN(((Scenario_Data!U110)*12.9898+(Inputs!$C$6)*78.233+Inputs!$C$47*37.719))*43758.5453)))-1))))/1000))*COS(SQRT((Scenario_Data!U110)^2+Inputs!$C$6^2)/Inputs!$C$52))*1000)/Inputs!$C$21*1000000</f>
        <v/>
      </c>
      <c r="AT110">
        <f>Scenario_Data!V110</f>
        <v/>
      </c>
      <c r="AU110">
        <f>2*(SQRT((Inputs!$C$52+(Scenario_Data!D110))^2+(Inputs!$C$52+((IF(OR(Inputs!$C$27=TRUE,Inputs!$C$27="TRUE",Inputs!$C$27=1),1,0)*(Inputs!$C$51*(115*EXP(-(((Inputs!$C$6)-25)^2)/(4.5^2))+70*EXP(-(((Inputs!$C$6)+38)^2)/(7^2))*(0.55+0.45*SIN(2*PI()*(Scenario_Data!V110)/45))+24*SIN(2*PI()*(Inputs!$C$6)/9+(Scenario_Data!V110)/18)*EXP(-(((Inputs!$C$6)+5)^2)/(22^2))+18*SIN(2*PI()*(Scenario_Data!V110)/70))+Inputs!$C$28*EXP(-(((Scenario_Data!V110)-Inputs!$C$29)^2)/(2*Inputs!$C$31^2))*EXP(-(((Inputs!$C$6)-Inputs!$C$30)^2)/(2*Inputs!$C$32^2))+-Inputs!$C$33*EXP(-(((((Scenario_Data!V110)-Inputs!$C$34)^2)+(((Inputs!$C$6)-Inputs!$C$35)^2))/(2*Inputs!$C$36^2)))+Inputs!$C$37*(0.55*SIN(2*PI()*(Scenario_Data!V110)/Inputs!$C$39)+0.35*COS(2*PI()*(Inputs!$C$6)/Inputs!$C$40)+0.2*SIN(2*PI()*((Scenario_Data!V110)+(Inputs!$C$6))/(0.5*(Inputs!$C$39+Inputs!$C$40))))+Inputs!$C$38*SIN(2*PI()*(Scenario_Data!V110)/Inputs!$C$39)*SIN(2*PI()*(Inputs!$C$6)/Inputs!$C$40)+-Inputs!$C$41*EXP(-(((Inputs!$C$6)-Inputs!$C$43)^2)/(2*Inputs!$C$44^2))*EXP(-(((Scenario_Data!V110)-Inputs!$C$42)^2)/(2*Inputs!$C$45^2))+Inputs!$C$48*(0.7*(0.45*SIN(2*PI()*(((Scenario_Data!V110)/Inputs!$C$49)+Inputs!$C$47*0.137))+0.35*COS(2*PI()*(((Inputs!$C$6)/Inputs!$C$50)+Inputs!$C$47*0.173))+0.2*SIN(2*PI()*((((Scenario_Data!V110)+(Inputs!$C$6))/(0.5*(Inputs!$C$49+Inputs!$C$50)))+Inputs!$C$47*0.097)))+0.3*(2*((SIN(((Scenario_Data!V110)*12.9898+(Inputs!$C$6)*78.233+Inputs!$C$47*37.719))*43758.5453)-INT((SIN(((Scenario_Data!V110)*12.9898+(Inputs!$C$6)*78.233+Inputs!$C$47*37.719))*43758.5453)))-1))))/1000))^2-2*(Inputs!$C$52+(Scenario_Data!D110))*(Inputs!$C$52+((IF(OR(Inputs!$C$27=TRUE,Inputs!$C$27="TRUE",Inputs!$C$27=1),1,0)*(Inputs!$C$51*(115*EXP(-(((Inputs!$C$6)-25)^2)/(4.5^2))+70*EXP(-(((Inputs!$C$6)+38)^2)/(7^2))*(0.55+0.45*SIN(2*PI()*(Scenario_Data!V110)/45))+24*SIN(2*PI()*(Inputs!$C$6)/9+(Scenario_Data!V110)/18)*EXP(-(((Inputs!$C$6)+5)^2)/(22^2))+18*SIN(2*PI()*(Scenario_Data!V110)/70))+Inputs!$C$28*EXP(-(((Scenario_Data!V110)-Inputs!$C$29)^2)/(2*Inputs!$C$31^2))*EXP(-(((Inputs!$C$6)-Inputs!$C$30)^2)/(2*Inputs!$C$32^2))+-Inputs!$C$33*EXP(-(((((Scenario_Data!V110)-Inputs!$C$34)^2)+(((Inputs!$C$6)-Inputs!$C$35)^2))/(2*Inputs!$C$36^2)))+Inputs!$C$37*(0.55*SIN(2*PI()*(Scenario_Data!V110)/Inputs!$C$39)+0.35*COS(2*PI()*(Inputs!$C$6)/Inputs!$C$40)+0.2*SIN(2*PI()*((Scenario_Data!V110)+(Inputs!$C$6))/(0.5*(Inputs!$C$39+Inputs!$C$40))))+Inputs!$C$38*SIN(2*PI()*(Scenario_Data!V110)/Inputs!$C$39)*SIN(2*PI()*(Inputs!$C$6)/Inputs!$C$40)+-Inputs!$C$41*EXP(-(((Inputs!$C$6)-Inputs!$C$43)^2)/(2*Inputs!$C$44^2))*EXP(-(((Scenario_Data!V110)-Inputs!$C$42)^2)/(2*Inputs!$C$45^2))+Inputs!$C$48*(0.7*(0.45*SIN(2*PI()*(((Scenario_Data!V110)/Inputs!$C$49)+Inputs!$C$47*0.137))+0.35*COS(2*PI()*(((Inputs!$C$6)/Inputs!$C$50)+Inputs!$C$47*0.173))+0.2*SIN(2*PI()*((((Scenario_Data!V110)+(Inputs!$C$6))/(0.5*(Inputs!$C$49+Inputs!$C$50)))+Inputs!$C$47*0.097)))+0.3*(2*((SIN(((Scenario_Data!V110)*12.9898+(Inputs!$C$6)*78.233+Inputs!$C$47*37.719))*43758.5453)-INT((SIN(((Scenario_Data!V110)*12.9898+(Inputs!$C$6)*78.233+Inputs!$C$47*37.719))*43758.5453)))-1))))/1000))*COS(SQRT((Scenario_Data!V110)^2+Inputs!$C$6^2)/Inputs!$C$52))*1000)/Inputs!$C$21*1000000</f>
        <v/>
      </c>
      <c r="AV110">
        <f>Scenario_Data!W110</f>
        <v/>
      </c>
      <c r="AW110">
        <f>2*(SQRT((Inputs!$C$52+(Scenario_Data!E110))^2+(Inputs!$C$52+((IF(OR(Inputs!$C$27=TRUE,Inputs!$C$27="TRUE",Inputs!$C$27=1),1,0)*(Inputs!$C$51*(115*EXP(-(((Inputs!$C$6)-25)^2)/(4.5^2))+70*EXP(-(((Inputs!$C$6)+38)^2)/(7^2))*(0.55+0.45*SIN(2*PI()*(Scenario_Data!W110)/45))+24*SIN(2*PI()*(Inputs!$C$6)/9+(Scenario_Data!W110)/18)*EXP(-(((Inputs!$C$6)+5)^2)/(22^2))+18*SIN(2*PI()*(Scenario_Data!W110)/70))+Inputs!$C$28*EXP(-(((Scenario_Data!W110)-Inputs!$C$29)^2)/(2*Inputs!$C$31^2))*EXP(-(((Inputs!$C$6)-Inputs!$C$30)^2)/(2*Inputs!$C$32^2))+-Inputs!$C$33*EXP(-(((((Scenario_Data!W110)-Inputs!$C$34)^2)+(((Inputs!$C$6)-Inputs!$C$35)^2))/(2*Inputs!$C$36^2)))+Inputs!$C$37*(0.55*SIN(2*PI()*(Scenario_Data!W110)/Inputs!$C$39)+0.35*COS(2*PI()*(Inputs!$C$6)/Inputs!$C$40)+0.2*SIN(2*PI()*((Scenario_Data!W110)+(Inputs!$C$6))/(0.5*(Inputs!$C$39+Inputs!$C$40))))+Inputs!$C$38*SIN(2*PI()*(Scenario_Data!W110)/Inputs!$C$39)*SIN(2*PI()*(Inputs!$C$6)/Inputs!$C$40)+-Inputs!$C$41*EXP(-(((Inputs!$C$6)-Inputs!$C$43)^2)/(2*Inputs!$C$44^2))*EXP(-(((Scenario_Data!W110)-Inputs!$C$42)^2)/(2*Inputs!$C$45^2))+Inputs!$C$48*(0.7*(0.45*SIN(2*PI()*(((Scenario_Data!W110)/Inputs!$C$49)+Inputs!$C$47*0.137))+0.35*COS(2*PI()*(((Inputs!$C$6)/Inputs!$C$50)+Inputs!$C$47*0.173))+0.2*SIN(2*PI()*((((Scenario_Data!W110)+(Inputs!$C$6))/(0.5*(Inputs!$C$49+Inputs!$C$50)))+Inputs!$C$47*0.097)))+0.3*(2*((SIN(((Scenario_Data!W110)*12.9898+(Inputs!$C$6)*78.233+Inputs!$C$47*37.719))*43758.5453)-INT((SIN(((Scenario_Data!W110)*12.9898+(Inputs!$C$6)*78.233+Inputs!$C$47*37.719))*43758.5453)))-1))))/1000))^2-2*(Inputs!$C$52+(Scenario_Data!E110))*(Inputs!$C$52+((IF(OR(Inputs!$C$27=TRUE,Inputs!$C$27="TRUE",Inputs!$C$27=1),1,0)*(Inputs!$C$51*(115*EXP(-(((Inputs!$C$6)-25)^2)/(4.5^2))+70*EXP(-(((Inputs!$C$6)+38)^2)/(7^2))*(0.55+0.45*SIN(2*PI()*(Scenario_Data!W110)/45))+24*SIN(2*PI()*(Inputs!$C$6)/9+(Scenario_Data!W110)/18)*EXP(-(((Inputs!$C$6)+5)^2)/(22^2))+18*SIN(2*PI()*(Scenario_Data!W110)/70))+Inputs!$C$28*EXP(-(((Scenario_Data!W110)-Inputs!$C$29)^2)/(2*Inputs!$C$31^2))*EXP(-(((Inputs!$C$6)-Inputs!$C$30)^2)/(2*Inputs!$C$32^2))+-Inputs!$C$33*EXP(-(((((Scenario_Data!W110)-Inputs!$C$34)^2)+(((Inputs!$C$6)-Inputs!$C$35)^2))/(2*Inputs!$C$36^2)))+Inputs!$C$37*(0.55*SIN(2*PI()*(Scenario_Data!W110)/Inputs!$C$39)+0.35*COS(2*PI()*(Inputs!$C$6)/Inputs!$C$40)+0.2*SIN(2*PI()*((Scenario_Data!W110)+(Inputs!$C$6))/(0.5*(Inputs!$C$39+Inputs!$C$40))))+Inputs!$C$38*SIN(2*PI()*(Scenario_Data!W110)/Inputs!$C$39)*SIN(2*PI()*(Inputs!$C$6)/Inputs!$C$40)+-Inputs!$C$41*EXP(-(((Inputs!$C$6)-Inputs!$C$43)^2)/(2*Inputs!$C$44^2))*EXP(-(((Scenario_Data!W110)-Inputs!$C$42)^2)/(2*Inputs!$C$45^2))+Inputs!$C$48*(0.7*(0.45*SIN(2*PI()*(((Scenario_Data!W110)/Inputs!$C$49)+Inputs!$C$47*0.137))+0.35*COS(2*PI()*(((Inputs!$C$6)/Inputs!$C$50)+Inputs!$C$47*0.173))+0.2*SIN(2*PI()*((((Scenario_Data!W110)+(Inputs!$C$6))/(0.5*(Inputs!$C$49+Inputs!$C$50)))+Inputs!$C$47*0.097)))+0.3*(2*((SIN(((Scenario_Data!W110)*12.9898+(Inputs!$C$6)*78.233+Inputs!$C$47*37.719))*43758.5453)-INT((SIN(((Scenario_Data!W110)*12.9898+(Inputs!$C$6)*78.233+Inputs!$C$47*37.719))*43758.5453)))-1))))/1000))*COS(SQRT((Scenario_Data!W110)^2+Inputs!$C$6^2)/Inputs!$C$52))*1000)/Inputs!$C$21*1000000</f>
        <v/>
      </c>
    </row>
    <row r="111">
      <c r="A111">
        <f>Chart_Data!K111</f>
        <v/>
      </c>
      <c r="B111">
        <f>Chart_Data!N111-Chart_Data!L111</f>
        <v/>
      </c>
      <c r="D111">
        <f>Chart_Data!G111</f>
        <v/>
      </c>
      <c r="E111">
        <f>Chart_Data!H111</f>
        <v/>
      </c>
      <c r="F111">
        <f>Chart_Data!I111</f>
        <v/>
      </c>
      <c r="G111">
        <f>Chart_Data!J111</f>
        <v/>
      </c>
      <c r="I111">
        <f>Scenario_Data!A111</f>
        <v/>
      </c>
      <c r="J111">
        <f>Scenario_Data!H111-(((SQRT((Inputs!$C$52+(Inputs!$H$6))^2+Inputs!$C$52^2-2*(Inputs!$C$52+(Inputs!$H$6))*Inputs!$C$52*COS(SQRT((Scenario_Data!T111)^2+Inputs!$C$6^2)/Inputs!$C$52)))-(Inputs!$H$6))*1000/Inputs!$C$12)</f>
        <v/>
      </c>
      <c r="K111">
        <f>Scenario_Data!I111-(((SQRT((Inputs!$C$52+(Inputs!$H$7))^2+Inputs!$C$52^2-2*(Inputs!$C$52+(Inputs!$H$7))*Inputs!$C$52*COS(SQRT((Scenario_Data!U111)^2+Inputs!$C$6^2)/Inputs!$C$52)))-(Inputs!$H$7))*1000/Inputs!$C$12)</f>
        <v/>
      </c>
      <c r="L111">
        <f>Scenario_Data!J111-(((SQRT((Inputs!$C$52+(Inputs!$H$8))^2+Inputs!$C$52^2-2*(Inputs!$C$52+(Inputs!$H$8))*Inputs!$C$52*COS(SQRT((Scenario_Data!V111)^2+Inputs!$C$6^2)/Inputs!$C$52)))-(Inputs!$H$8))*1000/Inputs!$C$12)</f>
        <v/>
      </c>
      <c r="M111">
        <f>Scenario_Data!K111-(((SQRT((Inputs!$C$52+(Inputs!$H$9))^2+Inputs!$C$52^2-2*(Inputs!$C$52+(Inputs!$H$9))*Inputs!$C$52*COS(SQRT((Scenario_Data!W111)^2+Inputs!$C$6^2)/Inputs!$C$52)))-(Inputs!$H$9))*1000/Inputs!$C$12)</f>
        <v/>
      </c>
      <c r="O111">
        <f>Scenario_Data!T111</f>
        <v/>
      </c>
      <c r="P111">
        <f>2*(Scenario_Data!B111*1000)/Inputs!$C$21*1000000</f>
        <v/>
      </c>
      <c r="Q111">
        <f>Scenario_Data!U111</f>
        <v/>
      </c>
      <c r="R111">
        <f>2*(Scenario_Data!C111*1000)/Inputs!$C$21*1000000</f>
        <v/>
      </c>
      <c r="S111">
        <f>Scenario_Data!V111</f>
        <v/>
      </c>
      <c r="T111">
        <f>2*(Scenario_Data!D111*1000)/Inputs!$C$21*1000000</f>
        <v/>
      </c>
      <c r="U111">
        <f>Scenario_Data!W111</f>
        <v/>
      </c>
      <c r="V111">
        <f>2*(Scenario_Data!E111*1000)/Inputs!$C$21*1000000</f>
        <v/>
      </c>
      <c r="X111">
        <f>Scenario_Data!T111</f>
        <v/>
      </c>
      <c r="Y111">
        <f>2*((Scenario_Data!B111*1000)-(IF(OR(Inputs!$C$27=TRUE,Inputs!$C$27="TRUE",Inputs!$C$27=1),1,0)*(Inputs!$C$51*(115*EXP(-(((0)-25)^2)/(4.5^2))+70*EXP(-(((0)+38)^2)/(7^2))*(0.55+0.45*SIN(2*PI()*(Scenario_Data!T111)/45))+24*SIN(2*PI()*(0)/9+(Scenario_Data!T111)/18)*EXP(-(((0)+5)^2)/(22^2))+18*SIN(2*PI()*(Scenario_Data!T111)/70))+Inputs!$C$28*EXP(-(((Scenario_Data!T111)-Inputs!$C$29)^2)/(2*Inputs!$C$31^2))*EXP(-(((0)-Inputs!$C$30)^2)/(2*Inputs!$C$32^2))+-Inputs!$C$33*EXP(-(((((Scenario_Data!T111)-Inputs!$C$34)^2)+(((0)-Inputs!$C$35)^2))/(2*Inputs!$C$36^2)))+Inputs!$C$37*(0.55*SIN(2*PI()*(Scenario_Data!T111)/Inputs!$C$39)+0.35*COS(2*PI()*(0)/Inputs!$C$40)+0.2*SIN(2*PI()*((Scenario_Data!T111)+(0))/(0.5*(Inputs!$C$39+Inputs!$C$40))))+Inputs!$C$38*SIN(2*PI()*(Scenario_Data!T111)/Inputs!$C$39)*SIN(2*PI()*(0)/Inputs!$C$40)+-Inputs!$C$41*EXP(-(((0)-Inputs!$C$43)^2)/(2*Inputs!$C$44^2))*EXP(-(((Scenario_Data!T111)-Inputs!$C$42)^2)/(2*Inputs!$C$45^2))+Inputs!$C$48*(0.7*(0.45*SIN(2*PI()*(((Scenario_Data!T111)/Inputs!$C$49)+Inputs!$C$47*0.137))+0.35*COS(2*PI()*(((0)/Inputs!$C$50)+Inputs!$C$47*0.173))+0.2*SIN(2*PI()*((((Scenario_Data!T111)+(0))/(0.5*(Inputs!$C$49+Inputs!$C$50)))+Inputs!$C$47*0.097)))+0.3*(2*((SIN(((Scenario_Data!T111)*12.9898+(0)*78.233+Inputs!$C$47*37.719))*43758.5453)-INT((SIN(((Scenario_Data!T111)*12.9898+(0)*78.233+Inputs!$C$47*37.719))*43758.5453)))-1)))))/Inputs!$C$21*1000000</f>
        <v/>
      </c>
      <c r="Z111">
        <f>Scenario_Data!U111</f>
        <v/>
      </c>
      <c r="AA111">
        <f>2*((Scenario_Data!C111*1000)-(IF(OR(Inputs!$C$27=TRUE,Inputs!$C$27="TRUE",Inputs!$C$27=1),1,0)*(Inputs!$C$51*(115*EXP(-(((0)-25)^2)/(4.5^2))+70*EXP(-(((0)+38)^2)/(7^2))*(0.55+0.45*SIN(2*PI()*(Scenario_Data!U111)/45))+24*SIN(2*PI()*(0)/9+(Scenario_Data!U111)/18)*EXP(-(((0)+5)^2)/(22^2))+18*SIN(2*PI()*(Scenario_Data!U111)/70))+Inputs!$C$28*EXP(-(((Scenario_Data!U111)-Inputs!$C$29)^2)/(2*Inputs!$C$31^2))*EXP(-(((0)-Inputs!$C$30)^2)/(2*Inputs!$C$32^2))+-Inputs!$C$33*EXP(-(((((Scenario_Data!U111)-Inputs!$C$34)^2)+(((0)-Inputs!$C$35)^2))/(2*Inputs!$C$36^2)))+Inputs!$C$37*(0.55*SIN(2*PI()*(Scenario_Data!U111)/Inputs!$C$39)+0.35*COS(2*PI()*(0)/Inputs!$C$40)+0.2*SIN(2*PI()*((Scenario_Data!U111)+(0))/(0.5*(Inputs!$C$39+Inputs!$C$40))))+Inputs!$C$38*SIN(2*PI()*(Scenario_Data!U111)/Inputs!$C$39)*SIN(2*PI()*(0)/Inputs!$C$40)+-Inputs!$C$41*EXP(-(((0)-Inputs!$C$43)^2)/(2*Inputs!$C$44^2))*EXP(-(((Scenario_Data!U111)-Inputs!$C$42)^2)/(2*Inputs!$C$45^2))+Inputs!$C$48*(0.7*(0.45*SIN(2*PI()*(((Scenario_Data!U111)/Inputs!$C$49)+Inputs!$C$47*0.137))+0.35*COS(2*PI()*(((0)/Inputs!$C$50)+Inputs!$C$47*0.173))+0.2*SIN(2*PI()*((((Scenario_Data!U111)+(0))/(0.5*(Inputs!$C$49+Inputs!$C$50)))+Inputs!$C$47*0.097)))+0.3*(2*((SIN(((Scenario_Data!U111)*12.9898+(0)*78.233+Inputs!$C$47*37.719))*43758.5453)-INT((SIN(((Scenario_Data!U111)*12.9898+(0)*78.233+Inputs!$C$47*37.719))*43758.5453)))-1)))))/Inputs!$C$21*1000000</f>
        <v/>
      </c>
      <c r="AB111">
        <f>Scenario_Data!V111</f>
        <v/>
      </c>
      <c r="AC111">
        <f>2*((Scenario_Data!D111*1000)-(IF(OR(Inputs!$C$27=TRUE,Inputs!$C$27="TRUE",Inputs!$C$27=1),1,0)*(Inputs!$C$51*(115*EXP(-(((0)-25)^2)/(4.5^2))+70*EXP(-(((0)+38)^2)/(7^2))*(0.55+0.45*SIN(2*PI()*(Scenario_Data!V111)/45))+24*SIN(2*PI()*(0)/9+(Scenario_Data!V111)/18)*EXP(-(((0)+5)^2)/(22^2))+18*SIN(2*PI()*(Scenario_Data!V111)/70))+Inputs!$C$28*EXP(-(((Scenario_Data!V111)-Inputs!$C$29)^2)/(2*Inputs!$C$31^2))*EXP(-(((0)-Inputs!$C$30)^2)/(2*Inputs!$C$32^2))+-Inputs!$C$33*EXP(-(((((Scenario_Data!V111)-Inputs!$C$34)^2)+(((0)-Inputs!$C$35)^2))/(2*Inputs!$C$36^2)))+Inputs!$C$37*(0.55*SIN(2*PI()*(Scenario_Data!V111)/Inputs!$C$39)+0.35*COS(2*PI()*(0)/Inputs!$C$40)+0.2*SIN(2*PI()*((Scenario_Data!V111)+(0))/(0.5*(Inputs!$C$39+Inputs!$C$40))))+Inputs!$C$38*SIN(2*PI()*(Scenario_Data!V111)/Inputs!$C$39)*SIN(2*PI()*(0)/Inputs!$C$40)+-Inputs!$C$41*EXP(-(((0)-Inputs!$C$43)^2)/(2*Inputs!$C$44^2))*EXP(-(((Scenario_Data!V111)-Inputs!$C$42)^2)/(2*Inputs!$C$45^2))+Inputs!$C$48*(0.7*(0.45*SIN(2*PI()*(((Scenario_Data!V111)/Inputs!$C$49)+Inputs!$C$47*0.137))+0.35*COS(2*PI()*(((0)/Inputs!$C$50)+Inputs!$C$47*0.173))+0.2*SIN(2*PI()*((((Scenario_Data!V111)+(0))/(0.5*(Inputs!$C$49+Inputs!$C$50)))+Inputs!$C$47*0.097)))+0.3*(2*((SIN(((Scenario_Data!V111)*12.9898+(0)*78.233+Inputs!$C$47*37.719))*43758.5453)-INT((SIN(((Scenario_Data!V111)*12.9898+(0)*78.233+Inputs!$C$47*37.719))*43758.5453)))-1)))))/Inputs!$C$21*1000000</f>
        <v/>
      </c>
      <c r="AD111">
        <f>Scenario_Data!W111</f>
        <v/>
      </c>
      <c r="AE111">
        <f>2*((Scenario_Data!E111*1000)-(IF(OR(Inputs!$C$27=TRUE,Inputs!$C$27="TRUE",Inputs!$C$27=1),1,0)*(Inputs!$C$51*(115*EXP(-(((0)-25)^2)/(4.5^2))+70*EXP(-(((0)+38)^2)/(7^2))*(0.55+0.45*SIN(2*PI()*(Scenario_Data!W111)/45))+24*SIN(2*PI()*(0)/9+(Scenario_Data!W111)/18)*EXP(-(((0)+5)^2)/(22^2))+18*SIN(2*PI()*(Scenario_Data!W111)/70))+Inputs!$C$28*EXP(-(((Scenario_Data!W111)-Inputs!$C$29)^2)/(2*Inputs!$C$31^2))*EXP(-(((0)-Inputs!$C$30)^2)/(2*Inputs!$C$32^2))+-Inputs!$C$33*EXP(-(((((Scenario_Data!W111)-Inputs!$C$34)^2)+(((0)-Inputs!$C$35)^2))/(2*Inputs!$C$36^2)))+Inputs!$C$37*(0.55*SIN(2*PI()*(Scenario_Data!W111)/Inputs!$C$39)+0.35*COS(2*PI()*(0)/Inputs!$C$40)+0.2*SIN(2*PI()*((Scenario_Data!W111)+(0))/(0.5*(Inputs!$C$39+Inputs!$C$40))))+Inputs!$C$38*SIN(2*PI()*(Scenario_Data!W111)/Inputs!$C$39)*SIN(2*PI()*(0)/Inputs!$C$40)+-Inputs!$C$41*EXP(-(((0)-Inputs!$C$43)^2)/(2*Inputs!$C$44^2))*EXP(-(((Scenario_Data!W111)-Inputs!$C$42)^2)/(2*Inputs!$C$45^2))+Inputs!$C$48*(0.7*(0.45*SIN(2*PI()*(((Scenario_Data!W111)/Inputs!$C$49)+Inputs!$C$47*0.137))+0.35*COS(2*PI()*(((0)/Inputs!$C$50)+Inputs!$C$47*0.173))+0.2*SIN(2*PI()*((((Scenario_Data!W111)+(0))/(0.5*(Inputs!$C$49+Inputs!$C$50)))+Inputs!$C$47*0.097)))+0.3*(2*((SIN(((Scenario_Data!W111)*12.9898+(0)*78.233+Inputs!$C$47*37.719))*43758.5453)-INT((SIN(((Scenario_Data!W111)*12.9898+(0)*78.233+Inputs!$C$47*37.719))*43758.5453)))-1)))))/Inputs!$C$21*1000000</f>
        <v/>
      </c>
      <c r="AG111">
        <f>Scenario_Data!T111</f>
        <v/>
      </c>
      <c r="AH111">
        <f>2*(SQRT((Inputs!$C$52+(Scenario_Data!B111))^2+Inputs!$C$52^2-2*(Inputs!$C$52+(Scenario_Data!B111))*Inputs!$C$52*COS(SQRT((Scenario_Data!T111)^2+Inputs!$C$6^2)/Inputs!$C$52))*1000)/Inputs!$C$21*1000000</f>
        <v/>
      </c>
      <c r="AI111">
        <f>Scenario_Data!U111</f>
        <v/>
      </c>
      <c r="AJ111">
        <f>2*(SQRT((Inputs!$C$52+(Scenario_Data!C111))^2+Inputs!$C$52^2-2*(Inputs!$C$52+(Scenario_Data!C111))*Inputs!$C$52*COS(SQRT((Scenario_Data!U111)^2+Inputs!$C$6^2)/Inputs!$C$52))*1000)/Inputs!$C$21*1000000</f>
        <v/>
      </c>
      <c r="AK111">
        <f>Scenario_Data!V111</f>
        <v/>
      </c>
      <c r="AL111">
        <f>2*(SQRT((Inputs!$C$52+(Scenario_Data!D111))^2+Inputs!$C$52^2-2*(Inputs!$C$52+(Scenario_Data!D111))*Inputs!$C$52*COS(SQRT((Scenario_Data!V111)^2+Inputs!$C$6^2)/Inputs!$C$52))*1000)/Inputs!$C$21*1000000</f>
        <v/>
      </c>
      <c r="AM111">
        <f>Scenario_Data!W111</f>
        <v/>
      </c>
      <c r="AN111">
        <f>2*(SQRT((Inputs!$C$52+(Scenario_Data!E111))^2+Inputs!$C$52^2-2*(Inputs!$C$52+(Scenario_Data!E111))*Inputs!$C$52*COS(SQRT((Scenario_Data!W111)^2+Inputs!$C$6^2)/Inputs!$C$52))*1000)/Inputs!$C$21*1000000</f>
        <v/>
      </c>
      <c r="AP111">
        <f>Scenario_Data!T111</f>
        <v/>
      </c>
      <c r="AQ111">
        <f>2*(SQRT((Inputs!$C$52+(Scenario_Data!B111))^2+(Inputs!$C$52+((IF(OR(Inputs!$C$27=TRUE,Inputs!$C$27="TRUE",Inputs!$C$27=1),1,0)*(Inputs!$C$51*(115*EXP(-(((Inputs!$C$6)-25)^2)/(4.5^2))+70*EXP(-(((Inputs!$C$6)+38)^2)/(7^2))*(0.55+0.45*SIN(2*PI()*(Scenario_Data!T111)/45))+24*SIN(2*PI()*(Inputs!$C$6)/9+(Scenario_Data!T111)/18)*EXP(-(((Inputs!$C$6)+5)^2)/(22^2))+18*SIN(2*PI()*(Scenario_Data!T111)/70))+Inputs!$C$28*EXP(-(((Scenario_Data!T111)-Inputs!$C$29)^2)/(2*Inputs!$C$31^2))*EXP(-(((Inputs!$C$6)-Inputs!$C$30)^2)/(2*Inputs!$C$32^2))+-Inputs!$C$33*EXP(-(((((Scenario_Data!T111)-Inputs!$C$34)^2)+(((Inputs!$C$6)-Inputs!$C$35)^2))/(2*Inputs!$C$36^2)))+Inputs!$C$37*(0.55*SIN(2*PI()*(Scenario_Data!T111)/Inputs!$C$39)+0.35*COS(2*PI()*(Inputs!$C$6)/Inputs!$C$40)+0.2*SIN(2*PI()*((Scenario_Data!T111)+(Inputs!$C$6))/(0.5*(Inputs!$C$39+Inputs!$C$40))))+Inputs!$C$38*SIN(2*PI()*(Scenario_Data!T111)/Inputs!$C$39)*SIN(2*PI()*(Inputs!$C$6)/Inputs!$C$40)+-Inputs!$C$41*EXP(-(((Inputs!$C$6)-Inputs!$C$43)^2)/(2*Inputs!$C$44^2))*EXP(-(((Scenario_Data!T111)-Inputs!$C$42)^2)/(2*Inputs!$C$45^2))+Inputs!$C$48*(0.7*(0.45*SIN(2*PI()*(((Scenario_Data!T111)/Inputs!$C$49)+Inputs!$C$47*0.137))+0.35*COS(2*PI()*(((Inputs!$C$6)/Inputs!$C$50)+Inputs!$C$47*0.173))+0.2*SIN(2*PI()*((((Scenario_Data!T111)+(Inputs!$C$6))/(0.5*(Inputs!$C$49+Inputs!$C$50)))+Inputs!$C$47*0.097)))+0.3*(2*((SIN(((Scenario_Data!T111)*12.9898+(Inputs!$C$6)*78.233+Inputs!$C$47*37.719))*43758.5453)-INT((SIN(((Scenario_Data!T111)*12.9898+(Inputs!$C$6)*78.233+Inputs!$C$47*37.719))*43758.5453)))-1))))/1000))^2-2*(Inputs!$C$52+(Scenario_Data!B111))*(Inputs!$C$52+((IF(OR(Inputs!$C$27=TRUE,Inputs!$C$27="TRUE",Inputs!$C$27=1),1,0)*(Inputs!$C$51*(115*EXP(-(((Inputs!$C$6)-25)^2)/(4.5^2))+70*EXP(-(((Inputs!$C$6)+38)^2)/(7^2))*(0.55+0.45*SIN(2*PI()*(Scenario_Data!T111)/45))+24*SIN(2*PI()*(Inputs!$C$6)/9+(Scenario_Data!T111)/18)*EXP(-(((Inputs!$C$6)+5)^2)/(22^2))+18*SIN(2*PI()*(Scenario_Data!T111)/70))+Inputs!$C$28*EXP(-(((Scenario_Data!T111)-Inputs!$C$29)^2)/(2*Inputs!$C$31^2))*EXP(-(((Inputs!$C$6)-Inputs!$C$30)^2)/(2*Inputs!$C$32^2))+-Inputs!$C$33*EXP(-(((((Scenario_Data!T111)-Inputs!$C$34)^2)+(((Inputs!$C$6)-Inputs!$C$35)^2))/(2*Inputs!$C$36^2)))+Inputs!$C$37*(0.55*SIN(2*PI()*(Scenario_Data!T111)/Inputs!$C$39)+0.35*COS(2*PI()*(Inputs!$C$6)/Inputs!$C$40)+0.2*SIN(2*PI()*((Scenario_Data!T111)+(Inputs!$C$6))/(0.5*(Inputs!$C$39+Inputs!$C$40))))+Inputs!$C$38*SIN(2*PI()*(Scenario_Data!T111)/Inputs!$C$39)*SIN(2*PI()*(Inputs!$C$6)/Inputs!$C$40)+-Inputs!$C$41*EXP(-(((Inputs!$C$6)-Inputs!$C$43)^2)/(2*Inputs!$C$44^2))*EXP(-(((Scenario_Data!T111)-Inputs!$C$42)^2)/(2*Inputs!$C$45^2))+Inputs!$C$48*(0.7*(0.45*SIN(2*PI()*(((Scenario_Data!T111)/Inputs!$C$49)+Inputs!$C$47*0.137))+0.35*COS(2*PI()*(((Inputs!$C$6)/Inputs!$C$50)+Inputs!$C$47*0.173))+0.2*SIN(2*PI()*((((Scenario_Data!T111)+(Inputs!$C$6))/(0.5*(Inputs!$C$49+Inputs!$C$50)))+Inputs!$C$47*0.097)))+0.3*(2*((SIN(((Scenario_Data!T111)*12.9898+(Inputs!$C$6)*78.233+Inputs!$C$47*37.719))*43758.5453)-INT((SIN(((Scenario_Data!T111)*12.9898+(Inputs!$C$6)*78.233+Inputs!$C$47*37.719))*43758.5453)))-1))))/1000))*COS(SQRT((Scenario_Data!T111)^2+Inputs!$C$6^2)/Inputs!$C$52))*1000)/Inputs!$C$21*1000000</f>
        <v/>
      </c>
      <c r="AR111">
        <f>Scenario_Data!U111</f>
        <v/>
      </c>
      <c r="AS111">
        <f>2*(SQRT((Inputs!$C$52+(Scenario_Data!C111))^2+(Inputs!$C$52+((IF(OR(Inputs!$C$27=TRUE,Inputs!$C$27="TRUE",Inputs!$C$27=1),1,0)*(Inputs!$C$51*(115*EXP(-(((Inputs!$C$6)-25)^2)/(4.5^2))+70*EXP(-(((Inputs!$C$6)+38)^2)/(7^2))*(0.55+0.45*SIN(2*PI()*(Scenario_Data!U111)/45))+24*SIN(2*PI()*(Inputs!$C$6)/9+(Scenario_Data!U111)/18)*EXP(-(((Inputs!$C$6)+5)^2)/(22^2))+18*SIN(2*PI()*(Scenario_Data!U111)/70))+Inputs!$C$28*EXP(-(((Scenario_Data!U111)-Inputs!$C$29)^2)/(2*Inputs!$C$31^2))*EXP(-(((Inputs!$C$6)-Inputs!$C$30)^2)/(2*Inputs!$C$32^2))+-Inputs!$C$33*EXP(-(((((Scenario_Data!U111)-Inputs!$C$34)^2)+(((Inputs!$C$6)-Inputs!$C$35)^2))/(2*Inputs!$C$36^2)))+Inputs!$C$37*(0.55*SIN(2*PI()*(Scenario_Data!U111)/Inputs!$C$39)+0.35*COS(2*PI()*(Inputs!$C$6)/Inputs!$C$40)+0.2*SIN(2*PI()*((Scenario_Data!U111)+(Inputs!$C$6))/(0.5*(Inputs!$C$39+Inputs!$C$40))))+Inputs!$C$38*SIN(2*PI()*(Scenario_Data!U111)/Inputs!$C$39)*SIN(2*PI()*(Inputs!$C$6)/Inputs!$C$40)+-Inputs!$C$41*EXP(-(((Inputs!$C$6)-Inputs!$C$43)^2)/(2*Inputs!$C$44^2))*EXP(-(((Scenario_Data!U111)-Inputs!$C$42)^2)/(2*Inputs!$C$45^2))+Inputs!$C$48*(0.7*(0.45*SIN(2*PI()*(((Scenario_Data!U111)/Inputs!$C$49)+Inputs!$C$47*0.137))+0.35*COS(2*PI()*(((Inputs!$C$6)/Inputs!$C$50)+Inputs!$C$47*0.173))+0.2*SIN(2*PI()*((((Scenario_Data!U111)+(Inputs!$C$6))/(0.5*(Inputs!$C$49+Inputs!$C$50)))+Inputs!$C$47*0.097)))+0.3*(2*((SIN(((Scenario_Data!U111)*12.9898+(Inputs!$C$6)*78.233+Inputs!$C$47*37.719))*43758.5453)-INT((SIN(((Scenario_Data!U111)*12.9898+(Inputs!$C$6)*78.233+Inputs!$C$47*37.719))*43758.5453)))-1))))/1000))^2-2*(Inputs!$C$52+(Scenario_Data!C111))*(Inputs!$C$52+((IF(OR(Inputs!$C$27=TRUE,Inputs!$C$27="TRUE",Inputs!$C$27=1),1,0)*(Inputs!$C$51*(115*EXP(-(((Inputs!$C$6)-25)^2)/(4.5^2))+70*EXP(-(((Inputs!$C$6)+38)^2)/(7^2))*(0.55+0.45*SIN(2*PI()*(Scenario_Data!U111)/45))+24*SIN(2*PI()*(Inputs!$C$6)/9+(Scenario_Data!U111)/18)*EXP(-(((Inputs!$C$6)+5)^2)/(22^2))+18*SIN(2*PI()*(Scenario_Data!U111)/70))+Inputs!$C$28*EXP(-(((Scenario_Data!U111)-Inputs!$C$29)^2)/(2*Inputs!$C$31^2))*EXP(-(((Inputs!$C$6)-Inputs!$C$30)^2)/(2*Inputs!$C$32^2))+-Inputs!$C$33*EXP(-(((((Scenario_Data!U111)-Inputs!$C$34)^2)+(((Inputs!$C$6)-Inputs!$C$35)^2))/(2*Inputs!$C$36^2)))+Inputs!$C$37*(0.55*SIN(2*PI()*(Scenario_Data!U111)/Inputs!$C$39)+0.35*COS(2*PI()*(Inputs!$C$6)/Inputs!$C$40)+0.2*SIN(2*PI()*((Scenario_Data!U111)+(Inputs!$C$6))/(0.5*(Inputs!$C$39+Inputs!$C$40))))+Inputs!$C$38*SIN(2*PI()*(Scenario_Data!U111)/Inputs!$C$39)*SIN(2*PI()*(Inputs!$C$6)/Inputs!$C$40)+-Inputs!$C$41*EXP(-(((Inputs!$C$6)-Inputs!$C$43)^2)/(2*Inputs!$C$44^2))*EXP(-(((Scenario_Data!U111)-Inputs!$C$42)^2)/(2*Inputs!$C$45^2))+Inputs!$C$48*(0.7*(0.45*SIN(2*PI()*(((Scenario_Data!U111)/Inputs!$C$49)+Inputs!$C$47*0.137))+0.35*COS(2*PI()*(((Inputs!$C$6)/Inputs!$C$50)+Inputs!$C$47*0.173))+0.2*SIN(2*PI()*((((Scenario_Data!U111)+(Inputs!$C$6))/(0.5*(Inputs!$C$49+Inputs!$C$50)))+Inputs!$C$47*0.097)))+0.3*(2*((SIN(((Scenario_Data!U111)*12.9898+(Inputs!$C$6)*78.233+Inputs!$C$47*37.719))*43758.5453)-INT((SIN(((Scenario_Data!U111)*12.9898+(Inputs!$C$6)*78.233+Inputs!$C$47*37.719))*43758.5453)))-1))))/1000))*COS(SQRT((Scenario_Data!U111)^2+Inputs!$C$6^2)/Inputs!$C$52))*1000)/Inputs!$C$21*1000000</f>
        <v/>
      </c>
      <c r="AT111">
        <f>Scenario_Data!V111</f>
        <v/>
      </c>
      <c r="AU111">
        <f>2*(SQRT((Inputs!$C$52+(Scenario_Data!D111))^2+(Inputs!$C$52+((IF(OR(Inputs!$C$27=TRUE,Inputs!$C$27="TRUE",Inputs!$C$27=1),1,0)*(Inputs!$C$51*(115*EXP(-(((Inputs!$C$6)-25)^2)/(4.5^2))+70*EXP(-(((Inputs!$C$6)+38)^2)/(7^2))*(0.55+0.45*SIN(2*PI()*(Scenario_Data!V111)/45))+24*SIN(2*PI()*(Inputs!$C$6)/9+(Scenario_Data!V111)/18)*EXP(-(((Inputs!$C$6)+5)^2)/(22^2))+18*SIN(2*PI()*(Scenario_Data!V111)/70))+Inputs!$C$28*EXP(-(((Scenario_Data!V111)-Inputs!$C$29)^2)/(2*Inputs!$C$31^2))*EXP(-(((Inputs!$C$6)-Inputs!$C$30)^2)/(2*Inputs!$C$32^2))+-Inputs!$C$33*EXP(-(((((Scenario_Data!V111)-Inputs!$C$34)^2)+(((Inputs!$C$6)-Inputs!$C$35)^2))/(2*Inputs!$C$36^2)))+Inputs!$C$37*(0.55*SIN(2*PI()*(Scenario_Data!V111)/Inputs!$C$39)+0.35*COS(2*PI()*(Inputs!$C$6)/Inputs!$C$40)+0.2*SIN(2*PI()*((Scenario_Data!V111)+(Inputs!$C$6))/(0.5*(Inputs!$C$39+Inputs!$C$40))))+Inputs!$C$38*SIN(2*PI()*(Scenario_Data!V111)/Inputs!$C$39)*SIN(2*PI()*(Inputs!$C$6)/Inputs!$C$40)+-Inputs!$C$41*EXP(-(((Inputs!$C$6)-Inputs!$C$43)^2)/(2*Inputs!$C$44^2))*EXP(-(((Scenario_Data!V111)-Inputs!$C$42)^2)/(2*Inputs!$C$45^2))+Inputs!$C$48*(0.7*(0.45*SIN(2*PI()*(((Scenario_Data!V111)/Inputs!$C$49)+Inputs!$C$47*0.137))+0.35*COS(2*PI()*(((Inputs!$C$6)/Inputs!$C$50)+Inputs!$C$47*0.173))+0.2*SIN(2*PI()*((((Scenario_Data!V111)+(Inputs!$C$6))/(0.5*(Inputs!$C$49+Inputs!$C$50)))+Inputs!$C$47*0.097)))+0.3*(2*((SIN(((Scenario_Data!V111)*12.9898+(Inputs!$C$6)*78.233+Inputs!$C$47*37.719))*43758.5453)-INT((SIN(((Scenario_Data!V111)*12.9898+(Inputs!$C$6)*78.233+Inputs!$C$47*37.719))*43758.5453)))-1))))/1000))^2-2*(Inputs!$C$52+(Scenario_Data!D111))*(Inputs!$C$52+((IF(OR(Inputs!$C$27=TRUE,Inputs!$C$27="TRUE",Inputs!$C$27=1),1,0)*(Inputs!$C$51*(115*EXP(-(((Inputs!$C$6)-25)^2)/(4.5^2))+70*EXP(-(((Inputs!$C$6)+38)^2)/(7^2))*(0.55+0.45*SIN(2*PI()*(Scenario_Data!V111)/45))+24*SIN(2*PI()*(Inputs!$C$6)/9+(Scenario_Data!V111)/18)*EXP(-(((Inputs!$C$6)+5)^2)/(22^2))+18*SIN(2*PI()*(Scenario_Data!V111)/70))+Inputs!$C$28*EXP(-(((Scenario_Data!V111)-Inputs!$C$29)^2)/(2*Inputs!$C$31^2))*EXP(-(((Inputs!$C$6)-Inputs!$C$30)^2)/(2*Inputs!$C$32^2))+-Inputs!$C$33*EXP(-(((((Scenario_Data!V111)-Inputs!$C$34)^2)+(((Inputs!$C$6)-Inputs!$C$35)^2))/(2*Inputs!$C$36^2)))+Inputs!$C$37*(0.55*SIN(2*PI()*(Scenario_Data!V111)/Inputs!$C$39)+0.35*COS(2*PI()*(Inputs!$C$6)/Inputs!$C$40)+0.2*SIN(2*PI()*((Scenario_Data!V111)+(Inputs!$C$6))/(0.5*(Inputs!$C$39+Inputs!$C$40))))+Inputs!$C$38*SIN(2*PI()*(Scenario_Data!V111)/Inputs!$C$39)*SIN(2*PI()*(Inputs!$C$6)/Inputs!$C$40)+-Inputs!$C$41*EXP(-(((Inputs!$C$6)-Inputs!$C$43)^2)/(2*Inputs!$C$44^2))*EXP(-(((Scenario_Data!V111)-Inputs!$C$42)^2)/(2*Inputs!$C$45^2))+Inputs!$C$48*(0.7*(0.45*SIN(2*PI()*(((Scenario_Data!V111)/Inputs!$C$49)+Inputs!$C$47*0.137))+0.35*COS(2*PI()*(((Inputs!$C$6)/Inputs!$C$50)+Inputs!$C$47*0.173))+0.2*SIN(2*PI()*((((Scenario_Data!V111)+(Inputs!$C$6))/(0.5*(Inputs!$C$49+Inputs!$C$50)))+Inputs!$C$47*0.097)))+0.3*(2*((SIN(((Scenario_Data!V111)*12.9898+(Inputs!$C$6)*78.233+Inputs!$C$47*37.719))*43758.5453)-INT((SIN(((Scenario_Data!V111)*12.9898+(Inputs!$C$6)*78.233+Inputs!$C$47*37.719))*43758.5453)))-1))))/1000))*COS(SQRT((Scenario_Data!V111)^2+Inputs!$C$6^2)/Inputs!$C$52))*1000)/Inputs!$C$21*1000000</f>
        <v/>
      </c>
      <c r="AV111">
        <f>Scenario_Data!W111</f>
        <v/>
      </c>
      <c r="AW111">
        <f>2*(SQRT((Inputs!$C$52+(Scenario_Data!E111))^2+(Inputs!$C$52+((IF(OR(Inputs!$C$27=TRUE,Inputs!$C$27="TRUE",Inputs!$C$27=1),1,0)*(Inputs!$C$51*(115*EXP(-(((Inputs!$C$6)-25)^2)/(4.5^2))+70*EXP(-(((Inputs!$C$6)+38)^2)/(7^2))*(0.55+0.45*SIN(2*PI()*(Scenario_Data!W111)/45))+24*SIN(2*PI()*(Inputs!$C$6)/9+(Scenario_Data!W111)/18)*EXP(-(((Inputs!$C$6)+5)^2)/(22^2))+18*SIN(2*PI()*(Scenario_Data!W111)/70))+Inputs!$C$28*EXP(-(((Scenario_Data!W111)-Inputs!$C$29)^2)/(2*Inputs!$C$31^2))*EXP(-(((Inputs!$C$6)-Inputs!$C$30)^2)/(2*Inputs!$C$32^2))+-Inputs!$C$33*EXP(-(((((Scenario_Data!W111)-Inputs!$C$34)^2)+(((Inputs!$C$6)-Inputs!$C$35)^2))/(2*Inputs!$C$36^2)))+Inputs!$C$37*(0.55*SIN(2*PI()*(Scenario_Data!W111)/Inputs!$C$39)+0.35*COS(2*PI()*(Inputs!$C$6)/Inputs!$C$40)+0.2*SIN(2*PI()*((Scenario_Data!W111)+(Inputs!$C$6))/(0.5*(Inputs!$C$39+Inputs!$C$40))))+Inputs!$C$38*SIN(2*PI()*(Scenario_Data!W111)/Inputs!$C$39)*SIN(2*PI()*(Inputs!$C$6)/Inputs!$C$40)+-Inputs!$C$41*EXP(-(((Inputs!$C$6)-Inputs!$C$43)^2)/(2*Inputs!$C$44^2))*EXP(-(((Scenario_Data!W111)-Inputs!$C$42)^2)/(2*Inputs!$C$45^2))+Inputs!$C$48*(0.7*(0.45*SIN(2*PI()*(((Scenario_Data!W111)/Inputs!$C$49)+Inputs!$C$47*0.137))+0.35*COS(2*PI()*(((Inputs!$C$6)/Inputs!$C$50)+Inputs!$C$47*0.173))+0.2*SIN(2*PI()*((((Scenario_Data!W111)+(Inputs!$C$6))/(0.5*(Inputs!$C$49+Inputs!$C$50)))+Inputs!$C$47*0.097)))+0.3*(2*((SIN(((Scenario_Data!W111)*12.9898+(Inputs!$C$6)*78.233+Inputs!$C$47*37.719))*43758.5453)-INT((SIN(((Scenario_Data!W111)*12.9898+(Inputs!$C$6)*78.233+Inputs!$C$47*37.719))*43758.5453)))-1))))/1000))^2-2*(Inputs!$C$52+(Scenario_Data!E111))*(Inputs!$C$52+((IF(OR(Inputs!$C$27=TRUE,Inputs!$C$27="TRUE",Inputs!$C$27=1),1,0)*(Inputs!$C$51*(115*EXP(-(((Inputs!$C$6)-25)^2)/(4.5^2))+70*EXP(-(((Inputs!$C$6)+38)^2)/(7^2))*(0.55+0.45*SIN(2*PI()*(Scenario_Data!W111)/45))+24*SIN(2*PI()*(Inputs!$C$6)/9+(Scenario_Data!W111)/18)*EXP(-(((Inputs!$C$6)+5)^2)/(22^2))+18*SIN(2*PI()*(Scenario_Data!W111)/70))+Inputs!$C$28*EXP(-(((Scenario_Data!W111)-Inputs!$C$29)^2)/(2*Inputs!$C$31^2))*EXP(-(((Inputs!$C$6)-Inputs!$C$30)^2)/(2*Inputs!$C$32^2))+-Inputs!$C$33*EXP(-(((((Scenario_Data!W111)-Inputs!$C$34)^2)+(((Inputs!$C$6)-Inputs!$C$35)^2))/(2*Inputs!$C$36^2)))+Inputs!$C$37*(0.55*SIN(2*PI()*(Scenario_Data!W111)/Inputs!$C$39)+0.35*COS(2*PI()*(Inputs!$C$6)/Inputs!$C$40)+0.2*SIN(2*PI()*((Scenario_Data!W111)+(Inputs!$C$6))/(0.5*(Inputs!$C$39+Inputs!$C$40))))+Inputs!$C$38*SIN(2*PI()*(Scenario_Data!W111)/Inputs!$C$39)*SIN(2*PI()*(Inputs!$C$6)/Inputs!$C$40)+-Inputs!$C$41*EXP(-(((Inputs!$C$6)-Inputs!$C$43)^2)/(2*Inputs!$C$44^2))*EXP(-(((Scenario_Data!W111)-Inputs!$C$42)^2)/(2*Inputs!$C$45^2))+Inputs!$C$48*(0.7*(0.45*SIN(2*PI()*(((Scenario_Data!W111)/Inputs!$C$49)+Inputs!$C$47*0.137))+0.35*COS(2*PI()*(((Inputs!$C$6)/Inputs!$C$50)+Inputs!$C$47*0.173))+0.2*SIN(2*PI()*((((Scenario_Data!W111)+(Inputs!$C$6))/(0.5*(Inputs!$C$49+Inputs!$C$50)))+Inputs!$C$47*0.097)))+0.3*(2*((SIN(((Scenario_Data!W111)*12.9898+(Inputs!$C$6)*78.233+Inputs!$C$47*37.719))*43758.5453)-INT((SIN(((Scenario_Data!W111)*12.9898+(Inputs!$C$6)*78.233+Inputs!$C$47*37.719))*43758.5453)))-1))))/1000))*COS(SQRT((Scenario_Data!W111)^2+Inputs!$C$6^2)/Inputs!$C$52))*1000)/Inputs!$C$21*1000000</f>
        <v/>
      </c>
    </row>
    <row r="112">
      <c r="A112">
        <f>Chart_Data!K112</f>
        <v/>
      </c>
      <c r="B112">
        <f>Chart_Data!N112-Chart_Data!L112</f>
        <v/>
      </c>
      <c r="D112">
        <f>Chart_Data!G112</f>
        <v/>
      </c>
      <c r="E112">
        <f>Chart_Data!H112</f>
        <v/>
      </c>
      <c r="F112">
        <f>Chart_Data!I112</f>
        <v/>
      </c>
      <c r="G112">
        <f>Chart_Data!J112</f>
        <v/>
      </c>
      <c r="I112">
        <f>Scenario_Data!A112</f>
        <v/>
      </c>
      <c r="J112">
        <f>Scenario_Data!H112-(((SQRT((Inputs!$C$52+(Inputs!$H$6))^2+Inputs!$C$52^2-2*(Inputs!$C$52+(Inputs!$H$6))*Inputs!$C$52*COS(SQRT((Scenario_Data!T112)^2+Inputs!$C$6^2)/Inputs!$C$52)))-(Inputs!$H$6))*1000/Inputs!$C$12)</f>
        <v/>
      </c>
      <c r="K112">
        <f>Scenario_Data!I112-(((SQRT((Inputs!$C$52+(Inputs!$H$7))^2+Inputs!$C$52^2-2*(Inputs!$C$52+(Inputs!$H$7))*Inputs!$C$52*COS(SQRT((Scenario_Data!U112)^2+Inputs!$C$6^2)/Inputs!$C$52)))-(Inputs!$H$7))*1000/Inputs!$C$12)</f>
        <v/>
      </c>
      <c r="L112">
        <f>Scenario_Data!J112-(((SQRT((Inputs!$C$52+(Inputs!$H$8))^2+Inputs!$C$52^2-2*(Inputs!$C$52+(Inputs!$H$8))*Inputs!$C$52*COS(SQRT((Scenario_Data!V112)^2+Inputs!$C$6^2)/Inputs!$C$52)))-(Inputs!$H$8))*1000/Inputs!$C$12)</f>
        <v/>
      </c>
      <c r="M112">
        <f>Scenario_Data!K112-(((SQRT((Inputs!$C$52+(Inputs!$H$9))^2+Inputs!$C$52^2-2*(Inputs!$C$52+(Inputs!$H$9))*Inputs!$C$52*COS(SQRT((Scenario_Data!W112)^2+Inputs!$C$6^2)/Inputs!$C$52)))-(Inputs!$H$9))*1000/Inputs!$C$12)</f>
        <v/>
      </c>
      <c r="O112">
        <f>Scenario_Data!T112</f>
        <v/>
      </c>
      <c r="P112">
        <f>2*(Scenario_Data!B112*1000)/Inputs!$C$21*1000000</f>
        <v/>
      </c>
      <c r="Q112">
        <f>Scenario_Data!U112</f>
        <v/>
      </c>
      <c r="R112">
        <f>2*(Scenario_Data!C112*1000)/Inputs!$C$21*1000000</f>
        <v/>
      </c>
      <c r="S112">
        <f>Scenario_Data!V112</f>
        <v/>
      </c>
      <c r="T112">
        <f>2*(Scenario_Data!D112*1000)/Inputs!$C$21*1000000</f>
        <v/>
      </c>
      <c r="U112">
        <f>Scenario_Data!W112</f>
        <v/>
      </c>
      <c r="V112">
        <f>2*(Scenario_Data!E112*1000)/Inputs!$C$21*1000000</f>
        <v/>
      </c>
      <c r="X112">
        <f>Scenario_Data!T112</f>
        <v/>
      </c>
      <c r="Y112">
        <f>2*((Scenario_Data!B112*1000)-(IF(OR(Inputs!$C$27=TRUE,Inputs!$C$27="TRUE",Inputs!$C$27=1),1,0)*(Inputs!$C$51*(115*EXP(-(((0)-25)^2)/(4.5^2))+70*EXP(-(((0)+38)^2)/(7^2))*(0.55+0.45*SIN(2*PI()*(Scenario_Data!T112)/45))+24*SIN(2*PI()*(0)/9+(Scenario_Data!T112)/18)*EXP(-(((0)+5)^2)/(22^2))+18*SIN(2*PI()*(Scenario_Data!T112)/70))+Inputs!$C$28*EXP(-(((Scenario_Data!T112)-Inputs!$C$29)^2)/(2*Inputs!$C$31^2))*EXP(-(((0)-Inputs!$C$30)^2)/(2*Inputs!$C$32^2))+-Inputs!$C$33*EXP(-(((((Scenario_Data!T112)-Inputs!$C$34)^2)+(((0)-Inputs!$C$35)^2))/(2*Inputs!$C$36^2)))+Inputs!$C$37*(0.55*SIN(2*PI()*(Scenario_Data!T112)/Inputs!$C$39)+0.35*COS(2*PI()*(0)/Inputs!$C$40)+0.2*SIN(2*PI()*((Scenario_Data!T112)+(0))/(0.5*(Inputs!$C$39+Inputs!$C$40))))+Inputs!$C$38*SIN(2*PI()*(Scenario_Data!T112)/Inputs!$C$39)*SIN(2*PI()*(0)/Inputs!$C$40)+-Inputs!$C$41*EXP(-(((0)-Inputs!$C$43)^2)/(2*Inputs!$C$44^2))*EXP(-(((Scenario_Data!T112)-Inputs!$C$42)^2)/(2*Inputs!$C$45^2))+Inputs!$C$48*(0.7*(0.45*SIN(2*PI()*(((Scenario_Data!T112)/Inputs!$C$49)+Inputs!$C$47*0.137))+0.35*COS(2*PI()*(((0)/Inputs!$C$50)+Inputs!$C$47*0.173))+0.2*SIN(2*PI()*((((Scenario_Data!T112)+(0))/(0.5*(Inputs!$C$49+Inputs!$C$50)))+Inputs!$C$47*0.097)))+0.3*(2*((SIN(((Scenario_Data!T112)*12.9898+(0)*78.233+Inputs!$C$47*37.719))*43758.5453)-INT((SIN(((Scenario_Data!T112)*12.9898+(0)*78.233+Inputs!$C$47*37.719))*43758.5453)))-1)))))/Inputs!$C$21*1000000</f>
        <v/>
      </c>
      <c r="Z112">
        <f>Scenario_Data!U112</f>
        <v/>
      </c>
      <c r="AA112">
        <f>2*((Scenario_Data!C112*1000)-(IF(OR(Inputs!$C$27=TRUE,Inputs!$C$27="TRUE",Inputs!$C$27=1),1,0)*(Inputs!$C$51*(115*EXP(-(((0)-25)^2)/(4.5^2))+70*EXP(-(((0)+38)^2)/(7^2))*(0.55+0.45*SIN(2*PI()*(Scenario_Data!U112)/45))+24*SIN(2*PI()*(0)/9+(Scenario_Data!U112)/18)*EXP(-(((0)+5)^2)/(22^2))+18*SIN(2*PI()*(Scenario_Data!U112)/70))+Inputs!$C$28*EXP(-(((Scenario_Data!U112)-Inputs!$C$29)^2)/(2*Inputs!$C$31^2))*EXP(-(((0)-Inputs!$C$30)^2)/(2*Inputs!$C$32^2))+-Inputs!$C$33*EXP(-(((((Scenario_Data!U112)-Inputs!$C$34)^2)+(((0)-Inputs!$C$35)^2))/(2*Inputs!$C$36^2)))+Inputs!$C$37*(0.55*SIN(2*PI()*(Scenario_Data!U112)/Inputs!$C$39)+0.35*COS(2*PI()*(0)/Inputs!$C$40)+0.2*SIN(2*PI()*((Scenario_Data!U112)+(0))/(0.5*(Inputs!$C$39+Inputs!$C$40))))+Inputs!$C$38*SIN(2*PI()*(Scenario_Data!U112)/Inputs!$C$39)*SIN(2*PI()*(0)/Inputs!$C$40)+-Inputs!$C$41*EXP(-(((0)-Inputs!$C$43)^2)/(2*Inputs!$C$44^2))*EXP(-(((Scenario_Data!U112)-Inputs!$C$42)^2)/(2*Inputs!$C$45^2))+Inputs!$C$48*(0.7*(0.45*SIN(2*PI()*(((Scenario_Data!U112)/Inputs!$C$49)+Inputs!$C$47*0.137))+0.35*COS(2*PI()*(((0)/Inputs!$C$50)+Inputs!$C$47*0.173))+0.2*SIN(2*PI()*((((Scenario_Data!U112)+(0))/(0.5*(Inputs!$C$49+Inputs!$C$50)))+Inputs!$C$47*0.097)))+0.3*(2*((SIN(((Scenario_Data!U112)*12.9898+(0)*78.233+Inputs!$C$47*37.719))*43758.5453)-INT((SIN(((Scenario_Data!U112)*12.9898+(0)*78.233+Inputs!$C$47*37.719))*43758.5453)))-1)))))/Inputs!$C$21*1000000</f>
        <v/>
      </c>
      <c r="AB112">
        <f>Scenario_Data!V112</f>
        <v/>
      </c>
      <c r="AC112">
        <f>2*((Scenario_Data!D112*1000)-(IF(OR(Inputs!$C$27=TRUE,Inputs!$C$27="TRUE",Inputs!$C$27=1),1,0)*(Inputs!$C$51*(115*EXP(-(((0)-25)^2)/(4.5^2))+70*EXP(-(((0)+38)^2)/(7^2))*(0.55+0.45*SIN(2*PI()*(Scenario_Data!V112)/45))+24*SIN(2*PI()*(0)/9+(Scenario_Data!V112)/18)*EXP(-(((0)+5)^2)/(22^2))+18*SIN(2*PI()*(Scenario_Data!V112)/70))+Inputs!$C$28*EXP(-(((Scenario_Data!V112)-Inputs!$C$29)^2)/(2*Inputs!$C$31^2))*EXP(-(((0)-Inputs!$C$30)^2)/(2*Inputs!$C$32^2))+-Inputs!$C$33*EXP(-(((((Scenario_Data!V112)-Inputs!$C$34)^2)+(((0)-Inputs!$C$35)^2))/(2*Inputs!$C$36^2)))+Inputs!$C$37*(0.55*SIN(2*PI()*(Scenario_Data!V112)/Inputs!$C$39)+0.35*COS(2*PI()*(0)/Inputs!$C$40)+0.2*SIN(2*PI()*((Scenario_Data!V112)+(0))/(0.5*(Inputs!$C$39+Inputs!$C$40))))+Inputs!$C$38*SIN(2*PI()*(Scenario_Data!V112)/Inputs!$C$39)*SIN(2*PI()*(0)/Inputs!$C$40)+-Inputs!$C$41*EXP(-(((0)-Inputs!$C$43)^2)/(2*Inputs!$C$44^2))*EXP(-(((Scenario_Data!V112)-Inputs!$C$42)^2)/(2*Inputs!$C$45^2))+Inputs!$C$48*(0.7*(0.45*SIN(2*PI()*(((Scenario_Data!V112)/Inputs!$C$49)+Inputs!$C$47*0.137))+0.35*COS(2*PI()*(((0)/Inputs!$C$50)+Inputs!$C$47*0.173))+0.2*SIN(2*PI()*((((Scenario_Data!V112)+(0))/(0.5*(Inputs!$C$49+Inputs!$C$50)))+Inputs!$C$47*0.097)))+0.3*(2*((SIN(((Scenario_Data!V112)*12.9898+(0)*78.233+Inputs!$C$47*37.719))*43758.5453)-INT((SIN(((Scenario_Data!V112)*12.9898+(0)*78.233+Inputs!$C$47*37.719))*43758.5453)))-1)))))/Inputs!$C$21*1000000</f>
        <v/>
      </c>
      <c r="AD112">
        <f>Scenario_Data!W112</f>
        <v/>
      </c>
      <c r="AE112">
        <f>2*((Scenario_Data!E112*1000)-(IF(OR(Inputs!$C$27=TRUE,Inputs!$C$27="TRUE",Inputs!$C$27=1),1,0)*(Inputs!$C$51*(115*EXP(-(((0)-25)^2)/(4.5^2))+70*EXP(-(((0)+38)^2)/(7^2))*(0.55+0.45*SIN(2*PI()*(Scenario_Data!W112)/45))+24*SIN(2*PI()*(0)/9+(Scenario_Data!W112)/18)*EXP(-(((0)+5)^2)/(22^2))+18*SIN(2*PI()*(Scenario_Data!W112)/70))+Inputs!$C$28*EXP(-(((Scenario_Data!W112)-Inputs!$C$29)^2)/(2*Inputs!$C$31^2))*EXP(-(((0)-Inputs!$C$30)^2)/(2*Inputs!$C$32^2))+-Inputs!$C$33*EXP(-(((((Scenario_Data!W112)-Inputs!$C$34)^2)+(((0)-Inputs!$C$35)^2))/(2*Inputs!$C$36^2)))+Inputs!$C$37*(0.55*SIN(2*PI()*(Scenario_Data!W112)/Inputs!$C$39)+0.35*COS(2*PI()*(0)/Inputs!$C$40)+0.2*SIN(2*PI()*((Scenario_Data!W112)+(0))/(0.5*(Inputs!$C$39+Inputs!$C$40))))+Inputs!$C$38*SIN(2*PI()*(Scenario_Data!W112)/Inputs!$C$39)*SIN(2*PI()*(0)/Inputs!$C$40)+-Inputs!$C$41*EXP(-(((0)-Inputs!$C$43)^2)/(2*Inputs!$C$44^2))*EXP(-(((Scenario_Data!W112)-Inputs!$C$42)^2)/(2*Inputs!$C$45^2))+Inputs!$C$48*(0.7*(0.45*SIN(2*PI()*(((Scenario_Data!W112)/Inputs!$C$49)+Inputs!$C$47*0.137))+0.35*COS(2*PI()*(((0)/Inputs!$C$50)+Inputs!$C$47*0.173))+0.2*SIN(2*PI()*((((Scenario_Data!W112)+(0))/(0.5*(Inputs!$C$49+Inputs!$C$50)))+Inputs!$C$47*0.097)))+0.3*(2*((SIN(((Scenario_Data!W112)*12.9898+(0)*78.233+Inputs!$C$47*37.719))*43758.5453)-INT((SIN(((Scenario_Data!W112)*12.9898+(0)*78.233+Inputs!$C$47*37.719))*43758.5453)))-1)))))/Inputs!$C$21*1000000</f>
        <v/>
      </c>
      <c r="AG112">
        <f>Scenario_Data!T112</f>
        <v/>
      </c>
      <c r="AH112">
        <f>2*(SQRT((Inputs!$C$52+(Scenario_Data!B112))^2+Inputs!$C$52^2-2*(Inputs!$C$52+(Scenario_Data!B112))*Inputs!$C$52*COS(SQRT((Scenario_Data!T112)^2+Inputs!$C$6^2)/Inputs!$C$52))*1000)/Inputs!$C$21*1000000</f>
        <v/>
      </c>
      <c r="AI112">
        <f>Scenario_Data!U112</f>
        <v/>
      </c>
      <c r="AJ112">
        <f>2*(SQRT((Inputs!$C$52+(Scenario_Data!C112))^2+Inputs!$C$52^2-2*(Inputs!$C$52+(Scenario_Data!C112))*Inputs!$C$52*COS(SQRT((Scenario_Data!U112)^2+Inputs!$C$6^2)/Inputs!$C$52))*1000)/Inputs!$C$21*1000000</f>
        <v/>
      </c>
      <c r="AK112">
        <f>Scenario_Data!V112</f>
        <v/>
      </c>
      <c r="AL112">
        <f>2*(SQRT((Inputs!$C$52+(Scenario_Data!D112))^2+Inputs!$C$52^2-2*(Inputs!$C$52+(Scenario_Data!D112))*Inputs!$C$52*COS(SQRT((Scenario_Data!V112)^2+Inputs!$C$6^2)/Inputs!$C$52))*1000)/Inputs!$C$21*1000000</f>
        <v/>
      </c>
      <c r="AM112">
        <f>Scenario_Data!W112</f>
        <v/>
      </c>
      <c r="AN112">
        <f>2*(SQRT((Inputs!$C$52+(Scenario_Data!E112))^2+Inputs!$C$52^2-2*(Inputs!$C$52+(Scenario_Data!E112))*Inputs!$C$52*COS(SQRT((Scenario_Data!W112)^2+Inputs!$C$6^2)/Inputs!$C$52))*1000)/Inputs!$C$21*1000000</f>
        <v/>
      </c>
      <c r="AP112">
        <f>Scenario_Data!T112</f>
        <v/>
      </c>
      <c r="AQ112">
        <f>2*(SQRT((Inputs!$C$52+(Scenario_Data!B112))^2+(Inputs!$C$52+((IF(OR(Inputs!$C$27=TRUE,Inputs!$C$27="TRUE",Inputs!$C$27=1),1,0)*(Inputs!$C$51*(115*EXP(-(((Inputs!$C$6)-25)^2)/(4.5^2))+70*EXP(-(((Inputs!$C$6)+38)^2)/(7^2))*(0.55+0.45*SIN(2*PI()*(Scenario_Data!T112)/45))+24*SIN(2*PI()*(Inputs!$C$6)/9+(Scenario_Data!T112)/18)*EXP(-(((Inputs!$C$6)+5)^2)/(22^2))+18*SIN(2*PI()*(Scenario_Data!T112)/70))+Inputs!$C$28*EXP(-(((Scenario_Data!T112)-Inputs!$C$29)^2)/(2*Inputs!$C$31^2))*EXP(-(((Inputs!$C$6)-Inputs!$C$30)^2)/(2*Inputs!$C$32^2))+-Inputs!$C$33*EXP(-(((((Scenario_Data!T112)-Inputs!$C$34)^2)+(((Inputs!$C$6)-Inputs!$C$35)^2))/(2*Inputs!$C$36^2)))+Inputs!$C$37*(0.55*SIN(2*PI()*(Scenario_Data!T112)/Inputs!$C$39)+0.35*COS(2*PI()*(Inputs!$C$6)/Inputs!$C$40)+0.2*SIN(2*PI()*((Scenario_Data!T112)+(Inputs!$C$6))/(0.5*(Inputs!$C$39+Inputs!$C$40))))+Inputs!$C$38*SIN(2*PI()*(Scenario_Data!T112)/Inputs!$C$39)*SIN(2*PI()*(Inputs!$C$6)/Inputs!$C$40)+-Inputs!$C$41*EXP(-(((Inputs!$C$6)-Inputs!$C$43)^2)/(2*Inputs!$C$44^2))*EXP(-(((Scenario_Data!T112)-Inputs!$C$42)^2)/(2*Inputs!$C$45^2))+Inputs!$C$48*(0.7*(0.45*SIN(2*PI()*(((Scenario_Data!T112)/Inputs!$C$49)+Inputs!$C$47*0.137))+0.35*COS(2*PI()*(((Inputs!$C$6)/Inputs!$C$50)+Inputs!$C$47*0.173))+0.2*SIN(2*PI()*((((Scenario_Data!T112)+(Inputs!$C$6))/(0.5*(Inputs!$C$49+Inputs!$C$50)))+Inputs!$C$47*0.097)))+0.3*(2*((SIN(((Scenario_Data!T112)*12.9898+(Inputs!$C$6)*78.233+Inputs!$C$47*37.719))*43758.5453)-INT((SIN(((Scenario_Data!T112)*12.9898+(Inputs!$C$6)*78.233+Inputs!$C$47*37.719))*43758.5453)))-1))))/1000))^2-2*(Inputs!$C$52+(Scenario_Data!B112))*(Inputs!$C$52+((IF(OR(Inputs!$C$27=TRUE,Inputs!$C$27="TRUE",Inputs!$C$27=1),1,0)*(Inputs!$C$51*(115*EXP(-(((Inputs!$C$6)-25)^2)/(4.5^2))+70*EXP(-(((Inputs!$C$6)+38)^2)/(7^2))*(0.55+0.45*SIN(2*PI()*(Scenario_Data!T112)/45))+24*SIN(2*PI()*(Inputs!$C$6)/9+(Scenario_Data!T112)/18)*EXP(-(((Inputs!$C$6)+5)^2)/(22^2))+18*SIN(2*PI()*(Scenario_Data!T112)/70))+Inputs!$C$28*EXP(-(((Scenario_Data!T112)-Inputs!$C$29)^2)/(2*Inputs!$C$31^2))*EXP(-(((Inputs!$C$6)-Inputs!$C$30)^2)/(2*Inputs!$C$32^2))+-Inputs!$C$33*EXP(-(((((Scenario_Data!T112)-Inputs!$C$34)^2)+(((Inputs!$C$6)-Inputs!$C$35)^2))/(2*Inputs!$C$36^2)))+Inputs!$C$37*(0.55*SIN(2*PI()*(Scenario_Data!T112)/Inputs!$C$39)+0.35*COS(2*PI()*(Inputs!$C$6)/Inputs!$C$40)+0.2*SIN(2*PI()*((Scenario_Data!T112)+(Inputs!$C$6))/(0.5*(Inputs!$C$39+Inputs!$C$40))))+Inputs!$C$38*SIN(2*PI()*(Scenario_Data!T112)/Inputs!$C$39)*SIN(2*PI()*(Inputs!$C$6)/Inputs!$C$40)+-Inputs!$C$41*EXP(-(((Inputs!$C$6)-Inputs!$C$43)^2)/(2*Inputs!$C$44^2))*EXP(-(((Scenario_Data!T112)-Inputs!$C$42)^2)/(2*Inputs!$C$45^2))+Inputs!$C$48*(0.7*(0.45*SIN(2*PI()*(((Scenario_Data!T112)/Inputs!$C$49)+Inputs!$C$47*0.137))+0.35*COS(2*PI()*(((Inputs!$C$6)/Inputs!$C$50)+Inputs!$C$47*0.173))+0.2*SIN(2*PI()*((((Scenario_Data!T112)+(Inputs!$C$6))/(0.5*(Inputs!$C$49+Inputs!$C$50)))+Inputs!$C$47*0.097)))+0.3*(2*((SIN(((Scenario_Data!T112)*12.9898+(Inputs!$C$6)*78.233+Inputs!$C$47*37.719))*43758.5453)-INT((SIN(((Scenario_Data!T112)*12.9898+(Inputs!$C$6)*78.233+Inputs!$C$47*37.719))*43758.5453)))-1))))/1000))*COS(SQRT((Scenario_Data!T112)^2+Inputs!$C$6^2)/Inputs!$C$52))*1000)/Inputs!$C$21*1000000</f>
        <v/>
      </c>
      <c r="AR112">
        <f>Scenario_Data!U112</f>
        <v/>
      </c>
      <c r="AS112">
        <f>2*(SQRT((Inputs!$C$52+(Scenario_Data!C112))^2+(Inputs!$C$52+((IF(OR(Inputs!$C$27=TRUE,Inputs!$C$27="TRUE",Inputs!$C$27=1),1,0)*(Inputs!$C$51*(115*EXP(-(((Inputs!$C$6)-25)^2)/(4.5^2))+70*EXP(-(((Inputs!$C$6)+38)^2)/(7^2))*(0.55+0.45*SIN(2*PI()*(Scenario_Data!U112)/45))+24*SIN(2*PI()*(Inputs!$C$6)/9+(Scenario_Data!U112)/18)*EXP(-(((Inputs!$C$6)+5)^2)/(22^2))+18*SIN(2*PI()*(Scenario_Data!U112)/70))+Inputs!$C$28*EXP(-(((Scenario_Data!U112)-Inputs!$C$29)^2)/(2*Inputs!$C$31^2))*EXP(-(((Inputs!$C$6)-Inputs!$C$30)^2)/(2*Inputs!$C$32^2))+-Inputs!$C$33*EXP(-(((((Scenario_Data!U112)-Inputs!$C$34)^2)+(((Inputs!$C$6)-Inputs!$C$35)^2))/(2*Inputs!$C$36^2)))+Inputs!$C$37*(0.55*SIN(2*PI()*(Scenario_Data!U112)/Inputs!$C$39)+0.35*COS(2*PI()*(Inputs!$C$6)/Inputs!$C$40)+0.2*SIN(2*PI()*((Scenario_Data!U112)+(Inputs!$C$6))/(0.5*(Inputs!$C$39+Inputs!$C$40))))+Inputs!$C$38*SIN(2*PI()*(Scenario_Data!U112)/Inputs!$C$39)*SIN(2*PI()*(Inputs!$C$6)/Inputs!$C$40)+-Inputs!$C$41*EXP(-(((Inputs!$C$6)-Inputs!$C$43)^2)/(2*Inputs!$C$44^2))*EXP(-(((Scenario_Data!U112)-Inputs!$C$42)^2)/(2*Inputs!$C$45^2))+Inputs!$C$48*(0.7*(0.45*SIN(2*PI()*(((Scenario_Data!U112)/Inputs!$C$49)+Inputs!$C$47*0.137))+0.35*COS(2*PI()*(((Inputs!$C$6)/Inputs!$C$50)+Inputs!$C$47*0.173))+0.2*SIN(2*PI()*((((Scenario_Data!U112)+(Inputs!$C$6))/(0.5*(Inputs!$C$49+Inputs!$C$50)))+Inputs!$C$47*0.097)))+0.3*(2*((SIN(((Scenario_Data!U112)*12.9898+(Inputs!$C$6)*78.233+Inputs!$C$47*37.719))*43758.5453)-INT((SIN(((Scenario_Data!U112)*12.9898+(Inputs!$C$6)*78.233+Inputs!$C$47*37.719))*43758.5453)))-1))))/1000))^2-2*(Inputs!$C$52+(Scenario_Data!C112))*(Inputs!$C$52+((IF(OR(Inputs!$C$27=TRUE,Inputs!$C$27="TRUE",Inputs!$C$27=1),1,0)*(Inputs!$C$51*(115*EXP(-(((Inputs!$C$6)-25)^2)/(4.5^2))+70*EXP(-(((Inputs!$C$6)+38)^2)/(7^2))*(0.55+0.45*SIN(2*PI()*(Scenario_Data!U112)/45))+24*SIN(2*PI()*(Inputs!$C$6)/9+(Scenario_Data!U112)/18)*EXP(-(((Inputs!$C$6)+5)^2)/(22^2))+18*SIN(2*PI()*(Scenario_Data!U112)/70))+Inputs!$C$28*EXP(-(((Scenario_Data!U112)-Inputs!$C$29)^2)/(2*Inputs!$C$31^2))*EXP(-(((Inputs!$C$6)-Inputs!$C$30)^2)/(2*Inputs!$C$32^2))+-Inputs!$C$33*EXP(-(((((Scenario_Data!U112)-Inputs!$C$34)^2)+(((Inputs!$C$6)-Inputs!$C$35)^2))/(2*Inputs!$C$36^2)))+Inputs!$C$37*(0.55*SIN(2*PI()*(Scenario_Data!U112)/Inputs!$C$39)+0.35*COS(2*PI()*(Inputs!$C$6)/Inputs!$C$40)+0.2*SIN(2*PI()*((Scenario_Data!U112)+(Inputs!$C$6))/(0.5*(Inputs!$C$39+Inputs!$C$40))))+Inputs!$C$38*SIN(2*PI()*(Scenario_Data!U112)/Inputs!$C$39)*SIN(2*PI()*(Inputs!$C$6)/Inputs!$C$40)+-Inputs!$C$41*EXP(-(((Inputs!$C$6)-Inputs!$C$43)^2)/(2*Inputs!$C$44^2))*EXP(-(((Scenario_Data!U112)-Inputs!$C$42)^2)/(2*Inputs!$C$45^2))+Inputs!$C$48*(0.7*(0.45*SIN(2*PI()*(((Scenario_Data!U112)/Inputs!$C$49)+Inputs!$C$47*0.137))+0.35*COS(2*PI()*(((Inputs!$C$6)/Inputs!$C$50)+Inputs!$C$47*0.173))+0.2*SIN(2*PI()*((((Scenario_Data!U112)+(Inputs!$C$6))/(0.5*(Inputs!$C$49+Inputs!$C$50)))+Inputs!$C$47*0.097)))+0.3*(2*((SIN(((Scenario_Data!U112)*12.9898+(Inputs!$C$6)*78.233+Inputs!$C$47*37.719))*43758.5453)-INT((SIN(((Scenario_Data!U112)*12.9898+(Inputs!$C$6)*78.233+Inputs!$C$47*37.719))*43758.5453)))-1))))/1000))*COS(SQRT((Scenario_Data!U112)^2+Inputs!$C$6^2)/Inputs!$C$52))*1000)/Inputs!$C$21*1000000</f>
        <v/>
      </c>
      <c r="AT112">
        <f>Scenario_Data!V112</f>
        <v/>
      </c>
      <c r="AU112">
        <f>2*(SQRT((Inputs!$C$52+(Scenario_Data!D112))^2+(Inputs!$C$52+((IF(OR(Inputs!$C$27=TRUE,Inputs!$C$27="TRUE",Inputs!$C$27=1),1,0)*(Inputs!$C$51*(115*EXP(-(((Inputs!$C$6)-25)^2)/(4.5^2))+70*EXP(-(((Inputs!$C$6)+38)^2)/(7^2))*(0.55+0.45*SIN(2*PI()*(Scenario_Data!V112)/45))+24*SIN(2*PI()*(Inputs!$C$6)/9+(Scenario_Data!V112)/18)*EXP(-(((Inputs!$C$6)+5)^2)/(22^2))+18*SIN(2*PI()*(Scenario_Data!V112)/70))+Inputs!$C$28*EXP(-(((Scenario_Data!V112)-Inputs!$C$29)^2)/(2*Inputs!$C$31^2))*EXP(-(((Inputs!$C$6)-Inputs!$C$30)^2)/(2*Inputs!$C$32^2))+-Inputs!$C$33*EXP(-(((((Scenario_Data!V112)-Inputs!$C$34)^2)+(((Inputs!$C$6)-Inputs!$C$35)^2))/(2*Inputs!$C$36^2)))+Inputs!$C$37*(0.55*SIN(2*PI()*(Scenario_Data!V112)/Inputs!$C$39)+0.35*COS(2*PI()*(Inputs!$C$6)/Inputs!$C$40)+0.2*SIN(2*PI()*((Scenario_Data!V112)+(Inputs!$C$6))/(0.5*(Inputs!$C$39+Inputs!$C$40))))+Inputs!$C$38*SIN(2*PI()*(Scenario_Data!V112)/Inputs!$C$39)*SIN(2*PI()*(Inputs!$C$6)/Inputs!$C$40)+-Inputs!$C$41*EXP(-(((Inputs!$C$6)-Inputs!$C$43)^2)/(2*Inputs!$C$44^2))*EXP(-(((Scenario_Data!V112)-Inputs!$C$42)^2)/(2*Inputs!$C$45^2))+Inputs!$C$48*(0.7*(0.45*SIN(2*PI()*(((Scenario_Data!V112)/Inputs!$C$49)+Inputs!$C$47*0.137))+0.35*COS(2*PI()*(((Inputs!$C$6)/Inputs!$C$50)+Inputs!$C$47*0.173))+0.2*SIN(2*PI()*((((Scenario_Data!V112)+(Inputs!$C$6))/(0.5*(Inputs!$C$49+Inputs!$C$50)))+Inputs!$C$47*0.097)))+0.3*(2*((SIN(((Scenario_Data!V112)*12.9898+(Inputs!$C$6)*78.233+Inputs!$C$47*37.719))*43758.5453)-INT((SIN(((Scenario_Data!V112)*12.9898+(Inputs!$C$6)*78.233+Inputs!$C$47*37.719))*43758.5453)))-1))))/1000))^2-2*(Inputs!$C$52+(Scenario_Data!D112))*(Inputs!$C$52+((IF(OR(Inputs!$C$27=TRUE,Inputs!$C$27="TRUE",Inputs!$C$27=1),1,0)*(Inputs!$C$51*(115*EXP(-(((Inputs!$C$6)-25)^2)/(4.5^2))+70*EXP(-(((Inputs!$C$6)+38)^2)/(7^2))*(0.55+0.45*SIN(2*PI()*(Scenario_Data!V112)/45))+24*SIN(2*PI()*(Inputs!$C$6)/9+(Scenario_Data!V112)/18)*EXP(-(((Inputs!$C$6)+5)^2)/(22^2))+18*SIN(2*PI()*(Scenario_Data!V112)/70))+Inputs!$C$28*EXP(-(((Scenario_Data!V112)-Inputs!$C$29)^2)/(2*Inputs!$C$31^2))*EXP(-(((Inputs!$C$6)-Inputs!$C$30)^2)/(2*Inputs!$C$32^2))+-Inputs!$C$33*EXP(-(((((Scenario_Data!V112)-Inputs!$C$34)^2)+(((Inputs!$C$6)-Inputs!$C$35)^2))/(2*Inputs!$C$36^2)))+Inputs!$C$37*(0.55*SIN(2*PI()*(Scenario_Data!V112)/Inputs!$C$39)+0.35*COS(2*PI()*(Inputs!$C$6)/Inputs!$C$40)+0.2*SIN(2*PI()*((Scenario_Data!V112)+(Inputs!$C$6))/(0.5*(Inputs!$C$39+Inputs!$C$40))))+Inputs!$C$38*SIN(2*PI()*(Scenario_Data!V112)/Inputs!$C$39)*SIN(2*PI()*(Inputs!$C$6)/Inputs!$C$40)+-Inputs!$C$41*EXP(-(((Inputs!$C$6)-Inputs!$C$43)^2)/(2*Inputs!$C$44^2))*EXP(-(((Scenario_Data!V112)-Inputs!$C$42)^2)/(2*Inputs!$C$45^2))+Inputs!$C$48*(0.7*(0.45*SIN(2*PI()*(((Scenario_Data!V112)/Inputs!$C$49)+Inputs!$C$47*0.137))+0.35*COS(2*PI()*(((Inputs!$C$6)/Inputs!$C$50)+Inputs!$C$47*0.173))+0.2*SIN(2*PI()*((((Scenario_Data!V112)+(Inputs!$C$6))/(0.5*(Inputs!$C$49+Inputs!$C$50)))+Inputs!$C$47*0.097)))+0.3*(2*((SIN(((Scenario_Data!V112)*12.9898+(Inputs!$C$6)*78.233+Inputs!$C$47*37.719))*43758.5453)-INT((SIN(((Scenario_Data!V112)*12.9898+(Inputs!$C$6)*78.233+Inputs!$C$47*37.719))*43758.5453)))-1))))/1000))*COS(SQRT((Scenario_Data!V112)^2+Inputs!$C$6^2)/Inputs!$C$52))*1000)/Inputs!$C$21*1000000</f>
        <v/>
      </c>
      <c r="AV112">
        <f>Scenario_Data!W112</f>
        <v/>
      </c>
      <c r="AW112">
        <f>2*(SQRT((Inputs!$C$52+(Scenario_Data!E112))^2+(Inputs!$C$52+((IF(OR(Inputs!$C$27=TRUE,Inputs!$C$27="TRUE",Inputs!$C$27=1),1,0)*(Inputs!$C$51*(115*EXP(-(((Inputs!$C$6)-25)^2)/(4.5^2))+70*EXP(-(((Inputs!$C$6)+38)^2)/(7^2))*(0.55+0.45*SIN(2*PI()*(Scenario_Data!W112)/45))+24*SIN(2*PI()*(Inputs!$C$6)/9+(Scenario_Data!W112)/18)*EXP(-(((Inputs!$C$6)+5)^2)/(22^2))+18*SIN(2*PI()*(Scenario_Data!W112)/70))+Inputs!$C$28*EXP(-(((Scenario_Data!W112)-Inputs!$C$29)^2)/(2*Inputs!$C$31^2))*EXP(-(((Inputs!$C$6)-Inputs!$C$30)^2)/(2*Inputs!$C$32^2))+-Inputs!$C$33*EXP(-(((((Scenario_Data!W112)-Inputs!$C$34)^2)+(((Inputs!$C$6)-Inputs!$C$35)^2))/(2*Inputs!$C$36^2)))+Inputs!$C$37*(0.55*SIN(2*PI()*(Scenario_Data!W112)/Inputs!$C$39)+0.35*COS(2*PI()*(Inputs!$C$6)/Inputs!$C$40)+0.2*SIN(2*PI()*((Scenario_Data!W112)+(Inputs!$C$6))/(0.5*(Inputs!$C$39+Inputs!$C$40))))+Inputs!$C$38*SIN(2*PI()*(Scenario_Data!W112)/Inputs!$C$39)*SIN(2*PI()*(Inputs!$C$6)/Inputs!$C$40)+-Inputs!$C$41*EXP(-(((Inputs!$C$6)-Inputs!$C$43)^2)/(2*Inputs!$C$44^2))*EXP(-(((Scenario_Data!W112)-Inputs!$C$42)^2)/(2*Inputs!$C$45^2))+Inputs!$C$48*(0.7*(0.45*SIN(2*PI()*(((Scenario_Data!W112)/Inputs!$C$49)+Inputs!$C$47*0.137))+0.35*COS(2*PI()*(((Inputs!$C$6)/Inputs!$C$50)+Inputs!$C$47*0.173))+0.2*SIN(2*PI()*((((Scenario_Data!W112)+(Inputs!$C$6))/(0.5*(Inputs!$C$49+Inputs!$C$50)))+Inputs!$C$47*0.097)))+0.3*(2*((SIN(((Scenario_Data!W112)*12.9898+(Inputs!$C$6)*78.233+Inputs!$C$47*37.719))*43758.5453)-INT((SIN(((Scenario_Data!W112)*12.9898+(Inputs!$C$6)*78.233+Inputs!$C$47*37.719))*43758.5453)))-1))))/1000))^2-2*(Inputs!$C$52+(Scenario_Data!E112))*(Inputs!$C$52+((IF(OR(Inputs!$C$27=TRUE,Inputs!$C$27="TRUE",Inputs!$C$27=1),1,0)*(Inputs!$C$51*(115*EXP(-(((Inputs!$C$6)-25)^2)/(4.5^2))+70*EXP(-(((Inputs!$C$6)+38)^2)/(7^2))*(0.55+0.45*SIN(2*PI()*(Scenario_Data!W112)/45))+24*SIN(2*PI()*(Inputs!$C$6)/9+(Scenario_Data!W112)/18)*EXP(-(((Inputs!$C$6)+5)^2)/(22^2))+18*SIN(2*PI()*(Scenario_Data!W112)/70))+Inputs!$C$28*EXP(-(((Scenario_Data!W112)-Inputs!$C$29)^2)/(2*Inputs!$C$31^2))*EXP(-(((Inputs!$C$6)-Inputs!$C$30)^2)/(2*Inputs!$C$32^2))+-Inputs!$C$33*EXP(-(((((Scenario_Data!W112)-Inputs!$C$34)^2)+(((Inputs!$C$6)-Inputs!$C$35)^2))/(2*Inputs!$C$36^2)))+Inputs!$C$37*(0.55*SIN(2*PI()*(Scenario_Data!W112)/Inputs!$C$39)+0.35*COS(2*PI()*(Inputs!$C$6)/Inputs!$C$40)+0.2*SIN(2*PI()*((Scenario_Data!W112)+(Inputs!$C$6))/(0.5*(Inputs!$C$39+Inputs!$C$40))))+Inputs!$C$38*SIN(2*PI()*(Scenario_Data!W112)/Inputs!$C$39)*SIN(2*PI()*(Inputs!$C$6)/Inputs!$C$40)+-Inputs!$C$41*EXP(-(((Inputs!$C$6)-Inputs!$C$43)^2)/(2*Inputs!$C$44^2))*EXP(-(((Scenario_Data!W112)-Inputs!$C$42)^2)/(2*Inputs!$C$45^2))+Inputs!$C$48*(0.7*(0.45*SIN(2*PI()*(((Scenario_Data!W112)/Inputs!$C$49)+Inputs!$C$47*0.137))+0.35*COS(2*PI()*(((Inputs!$C$6)/Inputs!$C$50)+Inputs!$C$47*0.173))+0.2*SIN(2*PI()*((((Scenario_Data!W112)+(Inputs!$C$6))/(0.5*(Inputs!$C$49+Inputs!$C$50)))+Inputs!$C$47*0.097)))+0.3*(2*((SIN(((Scenario_Data!W112)*12.9898+(Inputs!$C$6)*78.233+Inputs!$C$47*37.719))*43758.5453)-INT((SIN(((Scenario_Data!W112)*12.9898+(Inputs!$C$6)*78.233+Inputs!$C$47*37.719))*43758.5453)))-1))))/1000))*COS(SQRT((Scenario_Data!W112)^2+Inputs!$C$6^2)/Inputs!$C$52))*1000)/Inputs!$C$21*1000000</f>
        <v/>
      </c>
    </row>
    <row r="113">
      <c r="A113">
        <f>Chart_Data!K113</f>
        <v/>
      </c>
      <c r="B113">
        <f>Chart_Data!N113-Chart_Data!L113</f>
        <v/>
      </c>
      <c r="D113">
        <f>Chart_Data!G113</f>
        <v/>
      </c>
      <c r="E113">
        <f>Chart_Data!H113</f>
        <v/>
      </c>
      <c r="F113">
        <f>Chart_Data!I113</f>
        <v/>
      </c>
      <c r="G113">
        <f>Chart_Data!J113</f>
        <v/>
      </c>
      <c r="I113">
        <f>Scenario_Data!A113</f>
        <v/>
      </c>
      <c r="J113">
        <f>Scenario_Data!H113-(((SQRT((Inputs!$C$52+(Inputs!$H$6))^2+Inputs!$C$52^2-2*(Inputs!$C$52+(Inputs!$H$6))*Inputs!$C$52*COS(SQRT((Scenario_Data!T113)^2+Inputs!$C$6^2)/Inputs!$C$52)))-(Inputs!$H$6))*1000/Inputs!$C$12)</f>
        <v/>
      </c>
      <c r="K113">
        <f>Scenario_Data!I113-(((SQRT((Inputs!$C$52+(Inputs!$H$7))^2+Inputs!$C$52^2-2*(Inputs!$C$52+(Inputs!$H$7))*Inputs!$C$52*COS(SQRT((Scenario_Data!U113)^2+Inputs!$C$6^2)/Inputs!$C$52)))-(Inputs!$H$7))*1000/Inputs!$C$12)</f>
        <v/>
      </c>
      <c r="L113">
        <f>Scenario_Data!J113-(((SQRT((Inputs!$C$52+(Inputs!$H$8))^2+Inputs!$C$52^2-2*(Inputs!$C$52+(Inputs!$H$8))*Inputs!$C$52*COS(SQRT((Scenario_Data!V113)^2+Inputs!$C$6^2)/Inputs!$C$52)))-(Inputs!$H$8))*1000/Inputs!$C$12)</f>
        <v/>
      </c>
      <c r="M113">
        <f>Scenario_Data!K113-(((SQRT((Inputs!$C$52+(Inputs!$H$9))^2+Inputs!$C$52^2-2*(Inputs!$C$52+(Inputs!$H$9))*Inputs!$C$52*COS(SQRT((Scenario_Data!W113)^2+Inputs!$C$6^2)/Inputs!$C$52)))-(Inputs!$H$9))*1000/Inputs!$C$12)</f>
        <v/>
      </c>
      <c r="O113">
        <f>Scenario_Data!T113</f>
        <v/>
      </c>
      <c r="P113">
        <f>2*(Scenario_Data!B113*1000)/Inputs!$C$21*1000000</f>
        <v/>
      </c>
      <c r="Q113">
        <f>Scenario_Data!U113</f>
        <v/>
      </c>
      <c r="R113">
        <f>2*(Scenario_Data!C113*1000)/Inputs!$C$21*1000000</f>
        <v/>
      </c>
      <c r="S113">
        <f>Scenario_Data!V113</f>
        <v/>
      </c>
      <c r="T113">
        <f>2*(Scenario_Data!D113*1000)/Inputs!$C$21*1000000</f>
        <v/>
      </c>
      <c r="U113">
        <f>Scenario_Data!W113</f>
        <v/>
      </c>
      <c r="V113">
        <f>2*(Scenario_Data!E113*1000)/Inputs!$C$21*1000000</f>
        <v/>
      </c>
      <c r="X113">
        <f>Scenario_Data!T113</f>
        <v/>
      </c>
      <c r="Y113">
        <f>2*((Scenario_Data!B113*1000)-(IF(OR(Inputs!$C$27=TRUE,Inputs!$C$27="TRUE",Inputs!$C$27=1),1,0)*(Inputs!$C$51*(115*EXP(-(((0)-25)^2)/(4.5^2))+70*EXP(-(((0)+38)^2)/(7^2))*(0.55+0.45*SIN(2*PI()*(Scenario_Data!T113)/45))+24*SIN(2*PI()*(0)/9+(Scenario_Data!T113)/18)*EXP(-(((0)+5)^2)/(22^2))+18*SIN(2*PI()*(Scenario_Data!T113)/70))+Inputs!$C$28*EXP(-(((Scenario_Data!T113)-Inputs!$C$29)^2)/(2*Inputs!$C$31^2))*EXP(-(((0)-Inputs!$C$30)^2)/(2*Inputs!$C$32^2))+-Inputs!$C$33*EXP(-(((((Scenario_Data!T113)-Inputs!$C$34)^2)+(((0)-Inputs!$C$35)^2))/(2*Inputs!$C$36^2)))+Inputs!$C$37*(0.55*SIN(2*PI()*(Scenario_Data!T113)/Inputs!$C$39)+0.35*COS(2*PI()*(0)/Inputs!$C$40)+0.2*SIN(2*PI()*((Scenario_Data!T113)+(0))/(0.5*(Inputs!$C$39+Inputs!$C$40))))+Inputs!$C$38*SIN(2*PI()*(Scenario_Data!T113)/Inputs!$C$39)*SIN(2*PI()*(0)/Inputs!$C$40)+-Inputs!$C$41*EXP(-(((0)-Inputs!$C$43)^2)/(2*Inputs!$C$44^2))*EXP(-(((Scenario_Data!T113)-Inputs!$C$42)^2)/(2*Inputs!$C$45^2))+Inputs!$C$48*(0.7*(0.45*SIN(2*PI()*(((Scenario_Data!T113)/Inputs!$C$49)+Inputs!$C$47*0.137))+0.35*COS(2*PI()*(((0)/Inputs!$C$50)+Inputs!$C$47*0.173))+0.2*SIN(2*PI()*((((Scenario_Data!T113)+(0))/(0.5*(Inputs!$C$49+Inputs!$C$50)))+Inputs!$C$47*0.097)))+0.3*(2*((SIN(((Scenario_Data!T113)*12.9898+(0)*78.233+Inputs!$C$47*37.719))*43758.5453)-INT((SIN(((Scenario_Data!T113)*12.9898+(0)*78.233+Inputs!$C$47*37.719))*43758.5453)))-1)))))/Inputs!$C$21*1000000</f>
        <v/>
      </c>
      <c r="Z113">
        <f>Scenario_Data!U113</f>
        <v/>
      </c>
      <c r="AA113">
        <f>2*((Scenario_Data!C113*1000)-(IF(OR(Inputs!$C$27=TRUE,Inputs!$C$27="TRUE",Inputs!$C$27=1),1,0)*(Inputs!$C$51*(115*EXP(-(((0)-25)^2)/(4.5^2))+70*EXP(-(((0)+38)^2)/(7^2))*(0.55+0.45*SIN(2*PI()*(Scenario_Data!U113)/45))+24*SIN(2*PI()*(0)/9+(Scenario_Data!U113)/18)*EXP(-(((0)+5)^2)/(22^2))+18*SIN(2*PI()*(Scenario_Data!U113)/70))+Inputs!$C$28*EXP(-(((Scenario_Data!U113)-Inputs!$C$29)^2)/(2*Inputs!$C$31^2))*EXP(-(((0)-Inputs!$C$30)^2)/(2*Inputs!$C$32^2))+-Inputs!$C$33*EXP(-(((((Scenario_Data!U113)-Inputs!$C$34)^2)+(((0)-Inputs!$C$35)^2))/(2*Inputs!$C$36^2)))+Inputs!$C$37*(0.55*SIN(2*PI()*(Scenario_Data!U113)/Inputs!$C$39)+0.35*COS(2*PI()*(0)/Inputs!$C$40)+0.2*SIN(2*PI()*((Scenario_Data!U113)+(0))/(0.5*(Inputs!$C$39+Inputs!$C$40))))+Inputs!$C$38*SIN(2*PI()*(Scenario_Data!U113)/Inputs!$C$39)*SIN(2*PI()*(0)/Inputs!$C$40)+-Inputs!$C$41*EXP(-(((0)-Inputs!$C$43)^2)/(2*Inputs!$C$44^2))*EXP(-(((Scenario_Data!U113)-Inputs!$C$42)^2)/(2*Inputs!$C$45^2))+Inputs!$C$48*(0.7*(0.45*SIN(2*PI()*(((Scenario_Data!U113)/Inputs!$C$49)+Inputs!$C$47*0.137))+0.35*COS(2*PI()*(((0)/Inputs!$C$50)+Inputs!$C$47*0.173))+0.2*SIN(2*PI()*((((Scenario_Data!U113)+(0))/(0.5*(Inputs!$C$49+Inputs!$C$50)))+Inputs!$C$47*0.097)))+0.3*(2*((SIN(((Scenario_Data!U113)*12.9898+(0)*78.233+Inputs!$C$47*37.719))*43758.5453)-INT((SIN(((Scenario_Data!U113)*12.9898+(0)*78.233+Inputs!$C$47*37.719))*43758.5453)))-1)))))/Inputs!$C$21*1000000</f>
        <v/>
      </c>
      <c r="AB113">
        <f>Scenario_Data!V113</f>
        <v/>
      </c>
      <c r="AC113">
        <f>2*((Scenario_Data!D113*1000)-(IF(OR(Inputs!$C$27=TRUE,Inputs!$C$27="TRUE",Inputs!$C$27=1),1,0)*(Inputs!$C$51*(115*EXP(-(((0)-25)^2)/(4.5^2))+70*EXP(-(((0)+38)^2)/(7^2))*(0.55+0.45*SIN(2*PI()*(Scenario_Data!V113)/45))+24*SIN(2*PI()*(0)/9+(Scenario_Data!V113)/18)*EXP(-(((0)+5)^2)/(22^2))+18*SIN(2*PI()*(Scenario_Data!V113)/70))+Inputs!$C$28*EXP(-(((Scenario_Data!V113)-Inputs!$C$29)^2)/(2*Inputs!$C$31^2))*EXP(-(((0)-Inputs!$C$30)^2)/(2*Inputs!$C$32^2))+-Inputs!$C$33*EXP(-(((((Scenario_Data!V113)-Inputs!$C$34)^2)+(((0)-Inputs!$C$35)^2))/(2*Inputs!$C$36^2)))+Inputs!$C$37*(0.55*SIN(2*PI()*(Scenario_Data!V113)/Inputs!$C$39)+0.35*COS(2*PI()*(0)/Inputs!$C$40)+0.2*SIN(2*PI()*((Scenario_Data!V113)+(0))/(0.5*(Inputs!$C$39+Inputs!$C$40))))+Inputs!$C$38*SIN(2*PI()*(Scenario_Data!V113)/Inputs!$C$39)*SIN(2*PI()*(0)/Inputs!$C$40)+-Inputs!$C$41*EXP(-(((0)-Inputs!$C$43)^2)/(2*Inputs!$C$44^2))*EXP(-(((Scenario_Data!V113)-Inputs!$C$42)^2)/(2*Inputs!$C$45^2))+Inputs!$C$48*(0.7*(0.45*SIN(2*PI()*(((Scenario_Data!V113)/Inputs!$C$49)+Inputs!$C$47*0.137))+0.35*COS(2*PI()*(((0)/Inputs!$C$50)+Inputs!$C$47*0.173))+0.2*SIN(2*PI()*((((Scenario_Data!V113)+(0))/(0.5*(Inputs!$C$49+Inputs!$C$50)))+Inputs!$C$47*0.097)))+0.3*(2*((SIN(((Scenario_Data!V113)*12.9898+(0)*78.233+Inputs!$C$47*37.719))*43758.5453)-INT((SIN(((Scenario_Data!V113)*12.9898+(0)*78.233+Inputs!$C$47*37.719))*43758.5453)))-1)))))/Inputs!$C$21*1000000</f>
        <v/>
      </c>
      <c r="AD113">
        <f>Scenario_Data!W113</f>
        <v/>
      </c>
      <c r="AE113">
        <f>2*((Scenario_Data!E113*1000)-(IF(OR(Inputs!$C$27=TRUE,Inputs!$C$27="TRUE",Inputs!$C$27=1),1,0)*(Inputs!$C$51*(115*EXP(-(((0)-25)^2)/(4.5^2))+70*EXP(-(((0)+38)^2)/(7^2))*(0.55+0.45*SIN(2*PI()*(Scenario_Data!W113)/45))+24*SIN(2*PI()*(0)/9+(Scenario_Data!W113)/18)*EXP(-(((0)+5)^2)/(22^2))+18*SIN(2*PI()*(Scenario_Data!W113)/70))+Inputs!$C$28*EXP(-(((Scenario_Data!W113)-Inputs!$C$29)^2)/(2*Inputs!$C$31^2))*EXP(-(((0)-Inputs!$C$30)^2)/(2*Inputs!$C$32^2))+-Inputs!$C$33*EXP(-(((((Scenario_Data!W113)-Inputs!$C$34)^2)+(((0)-Inputs!$C$35)^2))/(2*Inputs!$C$36^2)))+Inputs!$C$37*(0.55*SIN(2*PI()*(Scenario_Data!W113)/Inputs!$C$39)+0.35*COS(2*PI()*(0)/Inputs!$C$40)+0.2*SIN(2*PI()*((Scenario_Data!W113)+(0))/(0.5*(Inputs!$C$39+Inputs!$C$40))))+Inputs!$C$38*SIN(2*PI()*(Scenario_Data!W113)/Inputs!$C$39)*SIN(2*PI()*(0)/Inputs!$C$40)+-Inputs!$C$41*EXP(-(((0)-Inputs!$C$43)^2)/(2*Inputs!$C$44^2))*EXP(-(((Scenario_Data!W113)-Inputs!$C$42)^2)/(2*Inputs!$C$45^2))+Inputs!$C$48*(0.7*(0.45*SIN(2*PI()*(((Scenario_Data!W113)/Inputs!$C$49)+Inputs!$C$47*0.137))+0.35*COS(2*PI()*(((0)/Inputs!$C$50)+Inputs!$C$47*0.173))+0.2*SIN(2*PI()*((((Scenario_Data!W113)+(0))/(0.5*(Inputs!$C$49+Inputs!$C$50)))+Inputs!$C$47*0.097)))+0.3*(2*((SIN(((Scenario_Data!W113)*12.9898+(0)*78.233+Inputs!$C$47*37.719))*43758.5453)-INT((SIN(((Scenario_Data!W113)*12.9898+(0)*78.233+Inputs!$C$47*37.719))*43758.5453)))-1)))))/Inputs!$C$21*1000000</f>
        <v/>
      </c>
      <c r="AG113">
        <f>Scenario_Data!T113</f>
        <v/>
      </c>
      <c r="AH113">
        <f>2*(SQRT((Inputs!$C$52+(Scenario_Data!B113))^2+Inputs!$C$52^2-2*(Inputs!$C$52+(Scenario_Data!B113))*Inputs!$C$52*COS(SQRT((Scenario_Data!T113)^2+Inputs!$C$6^2)/Inputs!$C$52))*1000)/Inputs!$C$21*1000000</f>
        <v/>
      </c>
      <c r="AI113">
        <f>Scenario_Data!U113</f>
        <v/>
      </c>
      <c r="AJ113">
        <f>2*(SQRT((Inputs!$C$52+(Scenario_Data!C113))^2+Inputs!$C$52^2-2*(Inputs!$C$52+(Scenario_Data!C113))*Inputs!$C$52*COS(SQRT((Scenario_Data!U113)^2+Inputs!$C$6^2)/Inputs!$C$52))*1000)/Inputs!$C$21*1000000</f>
        <v/>
      </c>
      <c r="AK113">
        <f>Scenario_Data!V113</f>
        <v/>
      </c>
      <c r="AL113">
        <f>2*(SQRT((Inputs!$C$52+(Scenario_Data!D113))^2+Inputs!$C$52^2-2*(Inputs!$C$52+(Scenario_Data!D113))*Inputs!$C$52*COS(SQRT((Scenario_Data!V113)^2+Inputs!$C$6^2)/Inputs!$C$52))*1000)/Inputs!$C$21*1000000</f>
        <v/>
      </c>
      <c r="AM113">
        <f>Scenario_Data!W113</f>
        <v/>
      </c>
      <c r="AN113">
        <f>2*(SQRT((Inputs!$C$52+(Scenario_Data!E113))^2+Inputs!$C$52^2-2*(Inputs!$C$52+(Scenario_Data!E113))*Inputs!$C$52*COS(SQRT((Scenario_Data!W113)^2+Inputs!$C$6^2)/Inputs!$C$52))*1000)/Inputs!$C$21*1000000</f>
        <v/>
      </c>
      <c r="AP113">
        <f>Scenario_Data!T113</f>
        <v/>
      </c>
      <c r="AQ113">
        <f>2*(SQRT((Inputs!$C$52+(Scenario_Data!B113))^2+(Inputs!$C$52+((IF(OR(Inputs!$C$27=TRUE,Inputs!$C$27="TRUE",Inputs!$C$27=1),1,0)*(Inputs!$C$51*(115*EXP(-(((Inputs!$C$6)-25)^2)/(4.5^2))+70*EXP(-(((Inputs!$C$6)+38)^2)/(7^2))*(0.55+0.45*SIN(2*PI()*(Scenario_Data!T113)/45))+24*SIN(2*PI()*(Inputs!$C$6)/9+(Scenario_Data!T113)/18)*EXP(-(((Inputs!$C$6)+5)^2)/(22^2))+18*SIN(2*PI()*(Scenario_Data!T113)/70))+Inputs!$C$28*EXP(-(((Scenario_Data!T113)-Inputs!$C$29)^2)/(2*Inputs!$C$31^2))*EXP(-(((Inputs!$C$6)-Inputs!$C$30)^2)/(2*Inputs!$C$32^2))+-Inputs!$C$33*EXP(-(((((Scenario_Data!T113)-Inputs!$C$34)^2)+(((Inputs!$C$6)-Inputs!$C$35)^2))/(2*Inputs!$C$36^2)))+Inputs!$C$37*(0.55*SIN(2*PI()*(Scenario_Data!T113)/Inputs!$C$39)+0.35*COS(2*PI()*(Inputs!$C$6)/Inputs!$C$40)+0.2*SIN(2*PI()*((Scenario_Data!T113)+(Inputs!$C$6))/(0.5*(Inputs!$C$39+Inputs!$C$40))))+Inputs!$C$38*SIN(2*PI()*(Scenario_Data!T113)/Inputs!$C$39)*SIN(2*PI()*(Inputs!$C$6)/Inputs!$C$40)+-Inputs!$C$41*EXP(-(((Inputs!$C$6)-Inputs!$C$43)^2)/(2*Inputs!$C$44^2))*EXP(-(((Scenario_Data!T113)-Inputs!$C$42)^2)/(2*Inputs!$C$45^2))+Inputs!$C$48*(0.7*(0.45*SIN(2*PI()*(((Scenario_Data!T113)/Inputs!$C$49)+Inputs!$C$47*0.137))+0.35*COS(2*PI()*(((Inputs!$C$6)/Inputs!$C$50)+Inputs!$C$47*0.173))+0.2*SIN(2*PI()*((((Scenario_Data!T113)+(Inputs!$C$6))/(0.5*(Inputs!$C$49+Inputs!$C$50)))+Inputs!$C$47*0.097)))+0.3*(2*((SIN(((Scenario_Data!T113)*12.9898+(Inputs!$C$6)*78.233+Inputs!$C$47*37.719))*43758.5453)-INT((SIN(((Scenario_Data!T113)*12.9898+(Inputs!$C$6)*78.233+Inputs!$C$47*37.719))*43758.5453)))-1))))/1000))^2-2*(Inputs!$C$52+(Scenario_Data!B113))*(Inputs!$C$52+((IF(OR(Inputs!$C$27=TRUE,Inputs!$C$27="TRUE",Inputs!$C$27=1),1,0)*(Inputs!$C$51*(115*EXP(-(((Inputs!$C$6)-25)^2)/(4.5^2))+70*EXP(-(((Inputs!$C$6)+38)^2)/(7^2))*(0.55+0.45*SIN(2*PI()*(Scenario_Data!T113)/45))+24*SIN(2*PI()*(Inputs!$C$6)/9+(Scenario_Data!T113)/18)*EXP(-(((Inputs!$C$6)+5)^2)/(22^2))+18*SIN(2*PI()*(Scenario_Data!T113)/70))+Inputs!$C$28*EXP(-(((Scenario_Data!T113)-Inputs!$C$29)^2)/(2*Inputs!$C$31^2))*EXP(-(((Inputs!$C$6)-Inputs!$C$30)^2)/(2*Inputs!$C$32^2))+-Inputs!$C$33*EXP(-(((((Scenario_Data!T113)-Inputs!$C$34)^2)+(((Inputs!$C$6)-Inputs!$C$35)^2))/(2*Inputs!$C$36^2)))+Inputs!$C$37*(0.55*SIN(2*PI()*(Scenario_Data!T113)/Inputs!$C$39)+0.35*COS(2*PI()*(Inputs!$C$6)/Inputs!$C$40)+0.2*SIN(2*PI()*((Scenario_Data!T113)+(Inputs!$C$6))/(0.5*(Inputs!$C$39+Inputs!$C$40))))+Inputs!$C$38*SIN(2*PI()*(Scenario_Data!T113)/Inputs!$C$39)*SIN(2*PI()*(Inputs!$C$6)/Inputs!$C$40)+-Inputs!$C$41*EXP(-(((Inputs!$C$6)-Inputs!$C$43)^2)/(2*Inputs!$C$44^2))*EXP(-(((Scenario_Data!T113)-Inputs!$C$42)^2)/(2*Inputs!$C$45^2))+Inputs!$C$48*(0.7*(0.45*SIN(2*PI()*(((Scenario_Data!T113)/Inputs!$C$49)+Inputs!$C$47*0.137))+0.35*COS(2*PI()*(((Inputs!$C$6)/Inputs!$C$50)+Inputs!$C$47*0.173))+0.2*SIN(2*PI()*((((Scenario_Data!T113)+(Inputs!$C$6))/(0.5*(Inputs!$C$49+Inputs!$C$50)))+Inputs!$C$47*0.097)))+0.3*(2*((SIN(((Scenario_Data!T113)*12.9898+(Inputs!$C$6)*78.233+Inputs!$C$47*37.719))*43758.5453)-INT((SIN(((Scenario_Data!T113)*12.9898+(Inputs!$C$6)*78.233+Inputs!$C$47*37.719))*43758.5453)))-1))))/1000))*COS(SQRT((Scenario_Data!T113)^2+Inputs!$C$6^2)/Inputs!$C$52))*1000)/Inputs!$C$21*1000000</f>
        <v/>
      </c>
      <c r="AR113">
        <f>Scenario_Data!U113</f>
        <v/>
      </c>
      <c r="AS113">
        <f>2*(SQRT((Inputs!$C$52+(Scenario_Data!C113))^2+(Inputs!$C$52+((IF(OR(Inputs!$C$27=TRUE,Inputs!$C$27="TRUE",Inputs!$C$27=1),1,0)*(Inputs!$C$51*(115*EXP(-(((Inputs!$C$6)-25)^2)/(4.5^2))+70*EXP(-(((Inputs!$C$6)+38)^2)/(7^2))*(0.55+0.45*SIN(2*PI()*(Scenario_Data!U113)/45))+24*SIN(2*PI()*(Inputs!$C$6)/9+(Scenario_Data!U113)/18)*EXP(-(((Inputs!$C$6)+5)^2)/(22^2))+18*SIN(2*PI()*(Scenario_Data!U113)/70))+Inputs!$C$28*EXP(-(((Scenario_Data!U113)-Inputs!$C$29)^2)/(2*Inputs!$C$31^2))*EXP(-(((Inputs!$C$6)-Inputs!$C$30)^2)/(2*Inputs!$C$32^2))+-Inputs!$C$33*EXP(-(((((Scenario_Data!U113)-Inputs!$C$34)^2)+(((Inputs!$C$6)-Inputs!$C$35)^2))/(2*Inputs!$C$36^2)))+Inputs!$C$37*(0.55*SIN(2*PI()*(Scenario_Data!U113)/Inputs!$C$39)+0.35*COS(2*PI()*(Inputs!$C$6)/Inputs!$C$40)+0.2*SIN(2*PI()*((Scenario_Data!U113)+(Inputs!$C$6))/(0.5*(Inputs!$C$39+Inputs!$C$40))))+Inputs!$C$38*SIN(2*PI()*(Scenario_Data!U113)/Inputs!$C$39)*SIN(2*PI()*(Inputs!$C$6)/Inputs!$C$40)+-Inputs!$C$41*EXP(-(((Inputs!$C$6)-Inputs!$C$43)^2)/(2*Inputs!$C$44^2))*EXP(-(((Scenario_Data!U113)-Inputs!$C$42)^2)/(2*Inputs!$C$45^2))+Inputs!$C$48*(0.7*(0.45*SIN(2*PI()*(((Scenario_Data!U113)/Inputs!$C$49)+Inputs!$C$47*0.137))+0.35*COS(2*PI()*(((Inputs!$C$6)/Inputs!$C$50)+Inputs!$C$47*0.173))+0.2*SIN(2*PI()*((((Scenario_Data!U113)+(Inputs!$C$6))/(0.5*(Inputs!$C$49+Inputs!$C$50)))+Inputs!$C$47*0.097)))+0.3*(2*((SIN(((Scenario_Data!U113)*12.9898+(Inputs!$C$6)*78.233+Inputs!$C$47*37.719))*43758.5453)-INT((SIN(((Scenario_Data!U113)*12.9898+(Inputs!$C$6)*78.233+Inputs!$C$47*37.719))*43758.5453)))-1))))/1000))^2-2*(Inputs!$C$52+(Scenario_Data!C113))*(Inputs!$C$52+((IF(OR(Inputs!$C$27=TRUE,Inputs!$C$27="TRUE",Inputs!$C$27=1),1,0)*(Inputs!$C$51*(115*EXP(-(((Inputs!$C$6)-25)^2)/(4.5^2))+70*EXP(-(((Inputs!$C$6)+38)^2)/(7^2))*(0.55+0.45*SIN(2*PI()*(Scenario_Data!U113)/45))+24*SIN(2*PI()*(Inputs!$C$6)/9+(Scenario_Data!U113)/18)*EXP(-(((Inputs!$C$6)+5)^2)/(22^2))+18*SIN(2*PI()*(Scenario_Data!U113)/70))+Inputs!$C$28*EXP(-(((Scenario_Data!U113)-Inputs!$C$29)^2)/(2*Inputs!$C$31^2))*EXP(-(((Inputs!$C$6)-Inputs!$C$30)^2)/(2*Inputs!$C$32^2))+-Inputs!$C$33*EXP(-(((((Scenario_Data!U113)-Inputs!$C$34)^2)+(((Inputs!$C$6)-Inputs!$C$35)^2))/(2*Inputs!$C$36^2)))+Inputs!$C$37*(0.55*SIN(2*PI()*(Scenario_Data!U113)/Inputs!$C$39)+0.35*COS(2*PI()*(Inputs!$C$6)/Inputs!$C$40)+0.2*SIN(2*PI()*((Scenario_Data!U113)+(Inputs!$C$6))/(0.5*(Inputs!$C$39+Inputs!$C$40))))+Inputs!$C$38*SIN(2*PI()*(Scenario_Data!U113)/Inputs!$C$39)*SIN(2*PI()*(Inputs!$C$6)/Inputs!$C$40)+-Inputs!$C$41*EXP(-(((Inputs!$C$6)-Inputs!$C$43)^2)/(2*Inputs!$C$44^2))*EXP(-(((Scenario_Data!U113)-Inputs!$C$42)^2)/(2*Inputs!$C$45^2))+Inputs!$C$48*(0.7*(0.45*SIN(2*PI()*(((Scenario_Data!U113)/Inputs!$C$49)+Inputs!$C$47*0.137))+0.35*COS(2*PI()*(((Inputs!$C$6)/Inputs!$C$50)+Inputs!$C$47*0.173))+0.2*SIN(2*PI()*((((Scenario_Data!U113)+(Inputs!$C$6))/(0.5*(Inputs!$C$49+Inputs!$C$50)))+Inputs!$C$47*0.097)))+0.3*(2*((SIN(((Scenario_Data!U113)*12.9898+(Inputs!$C$6)*78.233+Inputs!$C$47*37.719))*43758.5453)-INT((SIN(((Scenario_Data!U113)*12.9898+(Inputs!$C$6)*78.233+Inputs!$C$47*37.719))*43758.5453)))-1))))/1000))*COS(SQRT((Scenario_Data!U113)^2+Inputs!$C$6^2)/Inputs!$C$52))*1000)/Inputs!$C$21*1000000</f>
        <v/>
      </c>
      <c r="AT113">
        <f>Scenario_Data!V113</f>
        <v/>
      </c>
      <c r="AU113">
        <f>2*(SQRT((Inputs!$C$52+(Scenario_Data!D113))^2+(Inputs!$C$52+((IF(OR(Inputs!$C$27=TRUE,Inputs!$C$27="TRUE",Inputs!$C$27=1),1,0)*(Inputs!$C$51*(115*EXP(-(((Inputs!$C$6)-25)^2)/(4.5^2))+70*EXP(-(((Inputs!$C$6)+38)^2)/(7^2))*(0.55+0.45*SIN(2*PI()*(Scenario_Data!V113)/45))+24*SIN(2*PI()*(Inputs!$C$6)/9+(Scenario_Data!V113)/18)*EXP(-(((Inputs!$C$6)+5)^2)/(22^2))+18*SIN(2*PI()*(Scenario_Data!V113)/70))+Inputs!$C$28*EXP(-(((Scenario_Data!V113)-Inputs!$C$29)^2)/(2*Inputs!$C$31^2))*EXP(-(((Inputs!$C$6)-Inputs!$C$30)^2)/(2*Inputs!$C$32^2))+-Inputs!$C$33*EXP(-(((((Scenario_Data!V113)-Inputs!$C$34)^2)+(((Inputs!$C$6)-Inputs!$C$35)^2))/(2*Inputs!$C$36^2)))+Inputs!$C$37*(0.55*SIN(2*PI()*(Scenario_Data!V113)/Inputs!$C$39)+0.35*COS(2*PI()*(Inputs!$C$6)/Inputs!$C$40)+0.2*SIN(2*PI()*((Scenario_Data!V113)+(Inputs!$C$6))/(0.5*(Inputs!$C$39+Inputs!$C$40))))+Inputs!$C$38*SIN(2*PI()*(Scenario_Data!V113)/Inputs!$C$39)*SIN(2*PI()*(Inputs!$C$6)/Inputs!$C$40)+-Inputs!$C$41*EXP(-(((Inputs!$C$6)-Inputs!$C$43)^2)/(2*Inputs!$C$44^2))*EXP(-(((Scenario_Data!V113)-Inputs!$C$42)^2)/(2*Inputs!$C$45^2))+Inputs!$C$48*(0.7*(0.45*SIN(2*PI()*(((Scenario_Data!V113)/Inputs!$C$49)+Inputs!$C$47*0.137))+0.35*COS(2*PI()*(((Inputs!$C$6)/Inputs!$C$50)+Inputs!$C$47*0.173))+0.2*SIN(2*PI()*((((Scenario_Data!V113)+(Inputs!$C$6))/(0.5*(Inputs!$C$49+Inputs!$C$50)))+Inputs!$C$47*0.097)))+0.3*(2*((SIN(((Scenario_Data!V113)*12.9898+(Inputs!$C$6)*78.233+Inputs!$C$47*37.719))*43758.5453)-INT((SIN(((Scenario_Data!V113)*12.9898+(Inputs!$C$6)*78.233+Inputs!$C$47*37.719))*43758.5453)))-1))))/1000))^2-2*(Inputs!$C$52+(Scenario_Data!D113))*(Inputs!$C$52+((IF(OR(Inputs!$C$27=TRUE,Inputs!$C$27="TRUE",Inputs!$C$27=1),1,0)*(Inputs!$C$51*(115*EXP(-(((Inputs!$C$6)-25)^2)/(4.5^2))+70*EXP(-(((Inputs!$C$6)+38)^2)/(7^2))*(0.55+0.45*SIN(2*PI()*(Scenario_Data!V113)/45))+24*SIN(2*PI()*(Inputs!$C$6)/9+(Scenario_Data!V113)/18)*EXP(-(((Inputs!$C$6)+5)^2)/(22^2))+18*SIN(2*PI()*(Scenario_Data!V113)/70))+Inputs!$C$28*EXP(-(((Scenario_Data!V113)-Inputs!$C$29)^2)/(2*Inputs!$C$31^2))*EXP(-(((Inputs!$C$6)-Inputs!$C$30)^2)/(2*Inputs!$C$32^2))+-Inputs!$C$33*EXP(-(((((Scenario_Data!V113)-Inputs!$C$34)^2)+(((Inputs!$C$6)-Inputs!$C$35)^2))/(2*Inputs!$C$36^2)))+Inputs!$C$37*(0.55*SIN(2*PI()*(Scenario_Data!V113)/Inputs!$C$39)+0.35*COS(2*PI()*(Inputs!$C$6)/Inputs!$C$40)+0.2*SIN(2*PI()*((Scenario_Data!V113)+(Inputs!$C$6))/(0.5*(Inputs!$C$39+Inputs!$C$40))))+Inputs!$C$38*SIN(2*PI()*(Scenario_Data!V113)/Inputs!$C$39)*SIN(2*PI()*(Inputs!$C$6)/Inputs!$C$40)+-Inputs!$C$41*EXP(-(((Inputs!$C$6)-Inputs!$C$43)^2)/(2*Inputs!$C$44^2))*EXP(-(((Scenario_Data!V113)-Inputs!$C$42)^2)/(2*Inputs!$C$45^2))+Inputs!$C$48*(0.7*(0.45*SIN(2*PI()*(((Scenario_Data!V113)/Inputs!$C$49)+Inputs!$C$47*0.137))+0.35*COS(2*PI()*(((Inputs!$C$6)/Inputs!$C$50)+Inputs!$C$47*0.173))+0.2*SIN(2*PI()*((((Scenario_Data!V113)+(Inputs!$C$6))/(0.5*(Inputs!$C$49+Inputs!$C$50)))+Inputs!$C$47*0.097)))+0.3*(2*((SIN(((Scenario_Data!V113)*12.9898+(Inputs!$C$6)*78.233+Inputs!$C$47*37.719))*43758.5453)-INT((SIN(((Scenario_Data!V113)*12.9898+(Inputs!$C$6)*78.233+Inputs!$C$47*37.719))*43758.5453)))-1))))/1000))*COS(SQRT((Scenario_Data!V113)^2+Inputs!$C$6^2)/Inputs!$C$52))*1000)/Inputs!$C$21*1000000</f>
        <v/>
      </c>
      <c r="AV113">
        <f>Scenario_Data!W113</f>
        <v/>
      </c>
      <c r="AW113">
        <f>2*(SQRT((Inputs!$C$52+(Scenario_Data!E113))^2+(Inputs!$C$52+((IF(OR(Inputs!$C$27=TRUE,Inputs!$C$27="TRUE",Inputs!$C$27=1),1,0)*(Inputs!$C$51*(115*EXP(-(((Inputs!$C$6)-25)^2)/(4.5^2))+70*EXP(-(((Inputs!$C$6)+38)^2)/(7^2))*(0.55+0.45*SIN(2*PI()*(Scenario_Data!W113)/45))+24*SIN(2*PI()*(Inputs!$C$6)/9+(Scenario_Data!W113)/18)*EXP(-(((Inputs!$C$6)+5)^2)/(22^2))+18*SIN(2*PI()*(Scenario_Data!W113)/70))+Inputs!$C$28*EXP(-(((Scenario_Data!W113)-Inputs!$C$29)^2)/(2*Inputs!$C$31^2))*EXP(-(((Inputs!$C$6)-Inputs!$C$30)^2)/(2*Inputs!$C$32^2))+-Inputs!$C$33*EXP(-(((((Scenario_Data!W113)-Inputs!$C$34)^2)+(((Inputs!$C$6)-Inputs!$C$35)^2))/(2*Inputs!$C$36^2)))+Inputs!$C$37*(0.55*SIN(2*PI()*(Scenario_Data!W113)/Inputs!$C$39)+0.35*COS(2*PI()*(Inputs!$C$6)/Inputs!$C$40)+0.2*SIN(2*PI()*((Scenario_Data!W113)+(Inputs!$C$6))/(0.5*(Inputs!$C$39+Inputs!$C$40))))+Inputs!$C$38*SIN(2*PI()*(Scenario_Data!W113)/Inputs!$C$39)*SIN(2*PI()*(Inputs!$C$6)/Inputs!$C$40)+-Inputs!$C$41*EXP(-(((Inputs!$C$6)-Inputs!$C$43)^2)/(2*Inputs!$C$44^2))*EXP(-(((Scenario_Data!W113)-Inputs!$C$42)^2)/(2*Inputs!$C$45^2))+Inputs!$C$48*(0.7*(0.45*SIN(2*PI()*(((Scenario_Data!W113)/Inputs!$C$49)+Inputs!$C$47*0.137))+0.35*COS(2*PI()*(((Inputs!$C$6)/Inputs!$C$50)+Inputs!$C$47*0.173))+0.2*SIN(2*PI()*((((Scenario_Data!W113)+(Inputs!$C$6))/(0.5*(Inputs!$C$49+Inputs!$C$50)))+Inputs!$C$47*0.097)))+0.3*(2*((SIN(((Scenario_Data!W113)*12.9898+(Inputs!$C$6)*78.233+Inputs!$C$47*37.719))*43758.5453)-INT((SIN(((Scenario_Data!W113)*12.9898+(Inputs!$C$6)*78.233+Inputs!$C$47*37.719))*43758.5453)))-1))))/1000))^2-2*(Inputs!$C$52+(Scenario_Data!E113))*(Inputs!$C$52+((IF(OR(Inputs!$C$27=TRUE,Inputs!$C$27="TRUE",Inputs!$C$27=1),1,0)*(Inputs!$C$51*(115*EXP(-(((Inputs!$C$6)-25)^2)/(4.5^2))+70*EXP(-(((Inputs!$C$6)+38)^2)/(7^2))*(0.55+0.45*SIN(2*PI()*(Scenario_Data!W113)/45))+24*SIN(2*PI()*(Inputs!$C$6)/9+(Scenario_Data!W113)/18)*EXP(-(((Inputs!$C$6)+5)^2)/(22^2))+18*SIN(2*PI()*(Scenario_Data!W113)/70))+Inputs!$C$28*EXP(-(((Scenario_Data!W113)-Inputs!$C$29)^2)/(2*Inputs!$C$31^2))*EXP(-(((Inputs!$C$6)-Inputs!$C$30)^2)/(2*Inputs!$C$32^2))+-Inputs!$C$33*EXP(-(((((Scenario_Data!W113)-Inputs!$C$34)^2)+(((Inputs!$C$6)-Inputs!$C$35)^2))/(2*Inputs!$C$36^2)))+Inputs!$C$37*(0.55*SIN(2*PI()*(Scenario_Data!W113)/Inputs!$C$39)+0.35*COS(2*PI()*(Inputs!$C$6)/Inputs!$C$40)+0.2*SIN(2*PI()*((Scenario_Data!W113)+(Inputs!$C$6))/(0.5*(Inputs!$C$39+Inputs!$C$40))))+Inputs!$C$38*SIN(2*PI()*(Scenario_Data!W113)/Inputs!$C$39)*SIN(2*PI()*(Inputs!$C$6)/Inputs!$C$40)+-Inputs!$C$41*EXP(-(((Inputs!$C$6)-Inputs!$C$43)^2)/(2*Inputs!$C$44^2))*EXP(-(((Scenario_Data!W113)-Inputs!$C$42)^2)/(2*Inputs!$C$45^2))+Inputs!$C$48*(0.7*(0.45*SIN(2*PI()*(((Scenario_Data!W113)/Inputs!$C$49)+Inputs!$C$47*0.137))+0.35*COS(2*PI()*(((Inputs!$C$6)/Inputs!$C$50)+Inputs!$C$47*0.173))+0.2*SIN(2*PI()*((((Scenario_Data!W113)+(Inputs!$C$6))/(0.5*(Inputs!$C$49+Inputs!$C$50)))+Inputs!$C$47*0.097)))+0.3*(2*((SIN(((Scenario_Data!W113)*12.9898+(Inputs!$C$6)*78.233+Inputs!$C$47*37.719))*43758.5453)-INT((SIN(((Scenario_Data!W113)*12.9898+(Inputs!$C$6)*78.233+Inputs!$C$47*37.719))*43758.5453)))-1))))/1000))*COS(SQRT((Scenario_Data!W113)^2+Inputs!$C$6^2)/Inputs!$C$52))*1000)/Inputs!$C$21*1000000</f>
        <v/>
      </c>
    </row>
    <row r="114">
      <c r="A114">
        <f>Chart_Data!K114</f>
        <v/>
      </c>
      <c r="B114">
        <f>Chart_Data!N114-Chart_Data!L114</f>
        <v/>
      </c>
      <c r="D114">
        <f>Chart_Data!G114</f>
        <v/>
      </c>
      <c r="E114">
        <f>Chart_Data!H114</f>
        <v/>
      </c>
      <c r="F114">
        <f>Chart_Data!I114</f>
        <v/>
      </c>
      <c r="G114">
        <f>Chart_Data!J114</f>
        <v/>
      </c>
      <c r="I114">
        <f>Scenario_Data!A114</f>
        <v/>
      </c>
      <c r="J114">
        <f>Scenario_Data!H114-(((SQRT((Inputs!$C$52+(Inputs!$H$6))^2+Inputs!$C$52^2-2*(Inputs!$C$52+(Inputs!$H$6))*Inputs!$C$52*COS(SQRT((Scenario_Data!T114)^2+Inputs!$C$6^2)/Inputs!$C$52)))-(Inputs!$H$6))*1000/Inputs!$C$12)</f>
        <v/>
      </c>
      <c r="K114">
        <f>Scenario_Data!I114-(((SQRT((Inputs!$C$52+(Inputs!$H$7))^2+Inputs!$C$52^2-2*(Inputs!$C$52+(Inputs!$H$7))*Inputs!$C$52*COS(SQRT((Scenario_Data!U114)^2+Inputs!$C$6^2)/Inputs!$C$52)))-(Inputs!$H$7))*1000/Inputs!$C$12)</f>
        <v/>
      </c>
      <c r="L114">
        <f>Scenario_Data!J114-(((SQRT((Inputs!$C$52+(Inputs!$H$8))^2+Inputs!$C$52^2-2*(Inputs!$C$52+(Inputs!$H$8))*Inputs!$C$52*COS(SQRT((Scenario_Data!V114)^2+Inputs!$C$6^2)/Inputs!$C$52)))-(Inputs!$H$8))*1000/Inputs!$C$12)</f>
        <v/>
      </c>
      <c r="M114">
        <f>Scenario_Data!K114-(((SQRT((Inputs!$C$52+(Inputs!$H$9))^2+Inputs!$C$52^2-2*(Inputs!$C$52+(Inputs!$H$9))*Inputs!$C$52*COS(SQRT((Scenario_Data!W114)^2+Inputs!$C$6^2)/Inputs!$C$52)))-(Inputs!$H$9))*1000/Inputs!$C$12)</f>
        <v/>
      </c>
      <c r="O114">
        <f>Scenario_Data!T114</f>
        <v/>
      </c>
      <c r="P114">
        <f>2*(Scenario_Data!B114*1000)/Inputs!$C$21*1000000</f>
        <v/>
      </c>
      <c r="Q114">
        <f>Scenario_Data!U114</f>
        <v/>
      </c>
      <c r="R114">
        <f>2*(Scenario_Data!C114*1000)/Inputs!$C$21*1000000</f>
        <v/>
      </c>
      <c r="S114">
        <f>Scenario_Data!V114</f>
        <v/>
      </c>
      <c r="T114">
        <f>2*(Scenario_Data!D114*1000)/Inputs!$C$21*1000000</f>
        <v/>
      </c>
      <c r="U114">
        <f>Scenario_Data!W114</f>
        <v/>
      </c>
      <c r="V114">
        <f>2*(Scenario_Data!E114*1000)/Inputs!$C$21*1000000</f>
        <v/>
      </c>
      <c r="X114">
        <f>Scenario_Data!T114</f>
        <v/>
      </c>
      <c r="Y114">
        <f>2*((Scenario_Data!B114*1000)-(IF(OR(Inputs!$C$27=TRUE,Inputs!$C$27="TRUE",Inputs!$C$27=1),1,0)*(Inputs!$C$51*(115*EXP(-(((0)-25)^2)/(4.5^2))+70*EXP(-(((0)+38)^2)/(7^2))*(0.55+0.45*SIN(2*PI()*(Scenario_Data!T114)/45))+24*SIN(2*PI()*(0)/9+(Scenario_Data!T114)/18)*EXP(-(((0)+5)^2)/(22^2))+18*SIN(2*PI()*(Scenario_Data!T114)/70))+Inputs!$C$28*EXP(-(((Scenario_Data!T114)-Inputs!$C$29)^2)/(2*Inputs!$C$31^2))*EXP(-(((0)-Inputs!$C$30)^2)/(2*Inputs!$C$32^2))+-Inputs!$C$33*EXP(-(((((Scenario_Data!T114)-Inputs!$C$34)^2)+(((0)-Inputs!$C$35)^2))/(2*Inputs!$C$36^2)))+Inputs!$C$37*(0.55*SIN(2*PI()*(Scenario_Data!T114)/Inputs!$C$39)+0.35*COS(2*PI()*(0)/Inputs!$C$40)+0.2*SIN(2*PI()*((Scenario_Data!T114)+(0))/(0.5*(Inputs!$C$39+Inputs!$C$40))))+Inputs!$C$38*SIN(2*PI()*(Scenario_Data!T114)/Inputs!$C$39)*SIN(2*PI()*(0)/Inputs!$C$40)+-Inputs!$C$41*EXP(-(((0)-Inputs!$C$43)^2)/(2*Inputs!$C$44^2))*EXP(-(((Scenario_Data!T114)-Inputs!$C$42)^2)/(2*Inputs!$C$45^2))+Inputs!$C$48*(0.7*(0.45*SIN(2*PI()*(((Scenario_Data!T114)/Inputs!$C$49)+Inputs!$C$47*0.137))+0.35*COS(2*PI()*(((0)/Inputs!$C$50)+Inputs!$C$47*0.173))+0.2*SIN(2*PI()*((((Scenario_Data!T114)+(0))/(0.5*(Inputs!$C$49+Inputs!$C$50)))+Inputs!$C$47*0.097)))+0.3*(2*((SIN(((Scenario_Data!T114)*12.9898+(0)*78.233+Inputs!$C$47*37.719))*43758.5453)-INT((SIN(((Scenario_Data!T114)*12.9898+(0)*78.233+Inputs!$C$47*37.719))*43758.5453)))-1)))))/Inputs!$C$21*1000000</f>
        <v/>
      </c>
      <c r="Z114">
        <f>Scenario_Data!U114</f>
        <v/>
      </c>
      <c r="AA114">
        <f>2*((Scenario_Data!C114*1000)-(IF(OR(Inputs!$C$27=TRUE,Inputs!$C$27="TRUE",Inputs!$C$27=1),1,0)*(Inputs!$C$51*(115*EXP(-(((0)-25)^2)/(4.5^2))+70*EXP(-(((0)+38)^2)/(7^2))*(0.55+0.45*SIN(2*PI()*(Scenario_Data!U114)/45))+24*SIN(2*PI()*(0)/9+(Scenario_Data!U114)/18)*EXP(-(((0)+5)^2)/(22^2))+18*SIN(2*PI()*(Scenario_Data!U114)/70))+Inputs!$C$28*EXP(-(((Scenario_Data!U114)-Inputs!$C$29)^2)/(2*Inputs!$C$31^2))*EXP(-(((0)-Inputs!$C$30)^2)/(2*Inputs!$C$32^2))+-Inputs!$C$33*EXP(-(((((Scenario_Data!U114)-Inputs!$C$34)^2)+(((0)-Inputs!$C$35)^2))/(2*Inputs!$C$36^2)))+Inputs!$C$37*(0.55*SIN(2*PI()*(Scenario_Data!U114)/Inputs!$C$39)+0.35*COS(2*PI()*(0)/Inputs!$C$40)+0.2*SIN(2*PI()*((Scenario_Data!U114)+(0))/(0.5*(Inputs!$C$39+Inputs!$C$40))))+Inputs!$C$38*SIN(2*PI()*(Scenario_Data!U114)/Inputs!$C$39)*SIN(2*PI()*(0)/Inputs!$C$40)+-Inputs!$C$41*EXP(-(((0)-Inputs!$C$43)^2)/(2*Inputs!$C$44^2))*EXP(-(((Scenario_Data!U114)-Inputs!$C$42)^2)/(2*Inputs!$C$45^2))+Inputs!$C$48*(0.7*(0.45*SIN(2*PI()*(((Scenario_Data!U114)/Inputs!$C$49)+Inputs!$C$47*0.137))+0.35*COS(2*PI()*(((0)/Inputs!$C$50)+Inputs!$C$47*0.173))+0.2*SIN(2*PI()*((((Scenario_Data!U114)+(0))/(0.5*(Inputs!$C$49+Inputs!$C$50)))+Inputs!$C$47*0.097)))+0.3*(2*((SIN(((Scenario_Data!U114)*12.9898+(0)*78.233+Inputs!$C$47*37.719))*43758.5453)-INT((SIN(((Scenario_Data!U114)*12.9898+(0)*78.233+Inputs!$C$47*37.719))*43758.5453)))-1)))))/Inputs!$C$21*1000000</f>
        <v/>
      </c>
      <c r="AB114">
        <f>Scenario_Data!V114</f>
        <v/>
      </c>
      <c r="AC114">
        <f>2*((Scenario_Data!D114*1000)-(IF(OR(Inputs!$C$27=TRUE,Inputs!$C$27="TRUE",Inputs!$C$27=1),1,0)*(Inputs!$C$51*(115*EXP(-(((0)-25)^2)/(4.5^2))+70*EXP(-(((0)+38)^2)/(7^2))*(0.55+0.45*SIN(2*PI()*(Scenario_Data!V114)/45))+24*SIN(2*PI()*(0)/9+(Scenario_Data!V114)/18)*EXP(-(((0)+5)^2)/(22^2))+18*SIN(2*PI()*(Scenario_Data!V114)/70))+Inputs!$C$28*EXP(-(((Scenario_Data!V114)-Inputs!$C$29)^2)/(2*Inputs!$C$31^2))*EXP(-(((0)-Inputs!$C$30)^2)/(2*Inputs!$C$32^2))+-Inputs!$C$33*EXP(-(((((Scenario_Data!V114)-Inputs!$C$34)^2)+(((0)-Inputs!$C$35)^2))/(2*Inputs!$C$36^2)))+Inputs!$C$37*(0.55*SIN(2*PI()*(Scenario_Data!V114)/Inputs!$C$39)+0.35*COS(2*PI()*(0)/Inputs!$C$40)+0.2*SIN(2*PI()*((Scenario_Data!V114)+(0))/(0.5*(Inputs!$C$39+Inputs!$C$40))))+Inputs!$C$38*SIN(2*PI()*(Scenario_Data!V114)/Inputs!$C$39)*SIN(2*PI()*(0)/Inputs!$C$40)+-Inputs!$C$41*EXP(-(((0)-Inputs!$C$43)^2)/(2*Inputs!$C$44^2))*EXP(-(((Scenario_Data!V114)-Inputs!$C$42)^2)/(2*Inputs!$C$45^2))+Inputs!$C$48*(0.7*(0.45*SIN(2*PI()*(((Scenario_Data!V114)/Inputs!$C$49)+Inputs!$C$47*0.137))+0.35*COS(2*PI()*(((0)/Inputs!$C$50)+Inputs!$C$47*0.173))+0.2*SIN(2*PI()*((((Scenario_Data!V114)+(0))/(0.5*(Inputs!$C$49+Inputs!$C$50)))+Inputs!$C$47*0.097)))+0.3*(2*((SIN(((Scenario_Data!V114)*12.9898+(0)*78.233+Inputs!$C$47*37.719))*43758.5453)-INT((SIN(((Scenario_Data!V114)*12.9898+(0)*78.233+Inputs!$C$47*37.719))*43758.5453)))-1)))))/Inputs!$C$21*1000000</f>
        <v/>
      </c>
      <c r="AD114">
        <f>Scenario_Data!W114</f>
        <v/>
      </c>
      <c r="AE114">
        <f>2*((Scenario_Data!E114*1000)-(IF(OR(Inputs!$C$27=TRUE,Inputs!$C$27="TRUE",Inputs!$C$27=1),1,0)*(Inputs!$C$51*(115*EXP(-(((0)-25)^2)/(4.5^2))+70*EXP(-(((0)+38)^2)/(7^2))*(0.55+0.45*SIN(2*PI()*(Scenario_Data!W114)/45))+24*SIN(2*PI()*(0)/9+(Scenario_Data!W114)/18)*EXP(-(((0)+5)^2)/(22^2))+18*SIN(2*PI()*(Scenario_Data!W114)/70))+Inputs!$C$28*EXP(-(((Scenario_Data!W114)-Inputs!$C$29)^2)/(2*Inputs!$C$31^2))*EXP(-(((0)-Inputs!$C$30)^2)/(2*Inputs!$C$32^2))+-Inputs!$C$33*EXP(-(((((Scenario_Data!W114)-Inputs!$C$34)^2)+(((0)-Inputs!$C$35)^2))/(2*Inputs!$C$36^2)))+Inputs!$C$37*(0.55*SIN(2*PI()*(Scenario_Data!W114)/Inputs!$C$39)+0.35*COS(2*PI()*(0)/Inputs!$C$40)+0.2*SIN(2*PI()*((Scenario_Data!W114)+(0))/(0.5*(Inputs!$C$39+Inputs!$C$40))))+Inputs!$C$38*SIN(2*PI()*(Scenario_Data!W114)/Inputs!$C$39)*SIN(2*PI()*(0)/Inputs!$C$40)+-Inputs!$C$41*EXP(-(((0)-Inputs!$C$43)^2)/(2*Inputs!$C$44^2))*EXP(-(((Scenario_Data!W114)-Inputs!$C$42)^2)/(2*Inputs!$C$45^2))+Inputs!$C$48*(0.7*(0.45*SIN(2*PI()*(((Scenario_Data!W114)/Inputs!$C$49)+Inputs!$C$47*0.137))+0.35*COS(2*PI()*(((0)/Inputs!$C$50)+Inputs!$C$47*0.173))+0.2*SIN(2*PI()*((((Scenario_Data!W114)+(0))/(0.5*(Inputs!$C$49+Inputs!$C$50)))+Inputs!$C$47*0.097)))+0.3*(2*((SIN(((Scenario_Data!W114)*12.9898+(0)*78.233+Inputs!$C$47*37.719))*43758.5453)-INT((SIN(((Scenario_Data!W114)*12.9898+(0)*78.233+Inputs!$C$47*37.719))*43758.5453)))-1)))))/Inputs!$C$21*1000000</f>
        <v/>
      </c>
      <c r="AG114">
        <f>Scenario_Data!T114</f>
        <v/>
      </c>
      <c r="AH114">
        <f>2*(SQRT((Inputs!$C$52+(Scenario_Data!B114))^2+Inputs!$C$52^2-2*(Inputs!$C$52+(Scenario_Data!B114))*Inputs!$C$52*COS(SQRT((Scenario_Data!T114)^2+Inputs!$C$6^2)/Inputs!$C$52))*1000)/Inputs!$C$21*1000000</f>
        <v/>
      </c>
      <c r="AI114">
        <f>Scenario_Data!U114</f>
        <v/>
      </c>
      <c r="AJ114">
        <f>2*(SQRT((Inputs!$C$52+(Scenario_Data!C114))^2+Inputs!$C$52^2-2*(Inputs!$C$52+(Scenario_Data!C114))*Inputs!$C$52*COS(SQRT((Scenario_Data!U114)^2+Inputs!$C$6^2)/Inputs!$C$52))*1000)/Inputs!$C$21*1000000</f>
        <v/>
      </c>
      <c r="AK114">
        <f>Scenario_Data!V114</f>
        <v/>
      </c>
      <c r="AL114">
        <f>2*(SQRT((Inputs!$C$52+(Scenario_Data!D114))^2+Inputs!$C$52^2-2*(Inputs!$C$52+(Scenario_Data!D114))*Inputs!$C$52*COS(SQRT((Scenario_Data!V114)^2+Inputs!$C$6^2)/Inputs!$C$52))*1000)/Inputs!$C$21*1000000</f>
        <v/>
      </c>
      <c r="AM114">
        <f>Scenario_Data!W114</f>
        <v/>
      </c>
      <c r="AN114">
        <f>2*(SQRT((Inputs!$C$52+(Scenario_Data!E114))^2+Inputs!$C$52^2-2*(Inputs!$C$52+(Scenario_Data!E114))*Inputs!$C$52*COS(SQRT((Scenario_Data!W114)^2+Inputs!$C$6^2)/Inputs!$C$52))*1000)/Inputs!$C$21*1000000</f>
        <v/>
      </c>
      <c r="AP114">
        <f>Scenario_Data!T114</f>
        <v/>
      </c>
      <c r="AQ114">
        <f>2*(SQRT((Inputs!$C$52+(Scenario_Data!B114))^2+(Inputs!$C$52+((IF(OR(Inputs!$C$27=TRUE,Inputs!$C$27="TRUE",Inputs!$C$27=1),1,0)*(Inputs!$C$51*(115*EXP(-(((Inputs!$C$6)-25)^2)/(4.5^2))+70*EXP(-(((Inputs!$C$6)+38)^2)/(7^2))*(0.55+0.45*SIN(2*PI()*(Scenario_Data!T114)/45))+24*SIN(2*PI()*(Inputs!$C$6)/9+(Scenario_Data!T114)/18)*EXP(-(((Inputs!$C$6)+5)^2)/(22^2))+18*SIN(2*PI()*(Scenario_Data!T114)/70))+Inputs!$C$28*EXP(-(((Scenario_Data!T114)-Inputs!$C$29)^2)/(2*Inputs!$C$31^2))*EXP(-(((Inputs!$C$6)-Inputs!$C$30)^2)/(2*Inputs!$C$32^2))+-Inputs!$C$33*EXP(-(((((Scenario_Data!T114)-Inputs!$C$34)^2)+(((Inputs!$C$6)-Inputs!$C$35)^2))/(2*Inputs!$C$36^2)))+Inputs!$C$37*(0.55*SIN(2*PI()*(Scenario_Data!T114)/Inputs!$C$39)+0.35*COS(2*PI()*(Inputs!$C$6)/Inputs!$C$40)+0.2*SIN(2*PI()*((Scenario_Data!T114)+(Inputs!$C$6))/(0.5*(Inputs!$C$39+Inputs!$C$40))))+Inputs!$C$38*SIN(2*PI()*(Scenario_Data!T114)/Inputs!$C$39)*SIN(2*PI()*(Inputs!$C$6)/Inputs!$C$40)+-Inputs!$C$41*EXP(-(((Inputs!$C$6)-Inputs!$C$43)^2)/(2*Inputs!$C$44^2))*EXP(-(((Scenario_Data!T114)-Inputs!$C$42)^2)/(2*Inputs!$C$45^2))+Inputs!$C$48*(0.7*(0.45*SIN(2*PI()*(((Scenario_Data!T114)/Inputs!$C$49)+Inputs!$C$47*0.137))+0.35*COS(2*PI()*(((Inputs!$C$6)/Inputs!$C$50)+Inputs!$C$47*0.173))+0.2*SIN(2*PI()*((((Scenario_Data!T114)+(Inputs!$C$6))/(0.5*(Inputs!$C$49+Inputs!$C$50)))+Inputs!$C$47*0.097)))+0.3*(2*((SIN(((Scenario_Data!T114)*12.9898+(Inputs!$C$6)*78.233+Inputs!$C$47*37.719))*43758.5453)-INT((SIN(((Scenario_Data!T114)*12.9898+(Inputs!$C$6)*78.233+Inputs!$C$47*37.719))*43758.5453)))-1))))/1000))^2-2*(Inputs!$C$52+(Scenario_Data!B114))*(Inputs!$C$52+((IF(OR(Inputs!$C$27=TRUE,Inputs!$C$27="TRUE",Inputs!$C$27=1),1,0)*(Inputs!$C$51*(115*EXP(-(((Inputs!$C$6)-25)^2)/(4.5^2))+70*EXP(-(((Inputs!$C$6)+38)^2)/(7^2))*(0.55+0.45*SIN(2*PI()*(Scenario_Data!T114)/45))+24*SIN(2*PI()*(Inputs!$C$6)/9+(Scenario_Data!T114)/18)*EXP(-(((Inputs!$C$6)+5)^2)/(22^2))+18*SIN(2*PI()*(Scenario_Data!T114)/70))+Inputs!$C$28*EXP(-(((Scenario_Data!T114)-Inputs!$C$29)^2)/(2*Inputs!$C$31^2))*EXP(-(((Inputs!$C$6)-Inputs!$C$30)^2)/(2*Inputs!$C$32^2))+-Inputs!$C$33*EXP(-(((((Scenario_Data!T114)-Inputs!$C$34)^2)+(((Inputs!$C$6)-Inputs!$C$35)^2))/(2*Inputs!$C$36^2)))+Inputs!$C$37*(0.55*SIN(2*PI()*(Scenario_Data!T114)/Inputs!$C$39)+0.35*COS(2*PI()*(Inputs!$C$6)/Inputs!$C$40)+0.2*SIN(2*PI()*((Scenario_Data!T114)+(Inputs!$C$6))/(0.5*(Inputs!$C$39+Inputs!$C$40))))+Inputs!$C$38*SIN(2*PI()*(Scenario_Data!T114)/Inputs!$C$39)*SIN(2*PI()*(Inputs!$C$6)/Inputs!$C$40)+-Inputs!$C$41*EXP(-(((Inputs!$C$6)-Inputs!$C$43)^2)/(2*Inputs!$C$44^2))*EXP(-(((Scenario_Data!T114)-Inputs!$C$42)^2)/(2*Inputs!$C$45^2))+Inputs!$C$48*(0.7*(0.45*SIN(2*PI()*(((Scenario_Data!T114)/Inputs!$C$49)+Inputs!$C$47*0.137))+0.35*COS(2*PI()*(((Inputs!$C$6)/Inputs!$C$50)+Inputs!$C$47*0.173))+0.2*SIN(2*PI()*((((Scenario_Data!T114)+(Inputs!$C$6))/(0.5*(Inputs!$C$49+Inputs!$C$50)))+Inputs!$C$47*0.097)))+0.3*(2*((SIN(((Scenario_Data!T114)*12.9898+(Inputs!$C$6)*78.233+Inputs!$C$47*37.719))*43758.5453)-INT((SIN(((Scenario_Data!T114)*12.9898+(Inputs!$C$6)*78.233+Inputs!$C$47*37.719))*43758.5453)))-1))))/1000))*COS(SQRT((Scenario_Data!T114)^2+Inputs!$C$6^2)/Inputs!$C$52))*1000)/Inputs!$C$21*1000000</f>
        <v/>
      </c>
      <c r="AR114">
        <f>Scenario_Data!U114</f>
        <v/>
      </c>
      <c r="AS114">
        <f>2*(SQRT((Inputs!$C$52+(Scenario_Data!C114))^2+(Inputs!$C$52+((IF(OR(Inputs!$C$27=TRUE,Inputs!$C$27="TRUE",Inputs!$C$27=1),1,0)*(Inputs!$C$51*(115*EXP(-(((Inputs!$C$6)-25)^2)/(4.5^2))+70*EXP(-(((Inputs!$C$6)+38)^2)/(7^2))*(0.55+0.45*SIN(2*PI()*(Scenario_Data!U114)/45))+24*SIN(2*PI()*(Inputs!$C$6)/9+(Scenario_Data!U114)/18)*EXP(-(((Inputs!$C$6)+5)^2)/(22^2))+18*SIN(2*PI()*(Scenario_Data!U114)/70))+Inputs!$C$28*EXP(-(((Scenario_Data!U114)-Inputs!$C$29)^2)/(2*Inputs!$C$31^2))*EXP(-(((Inputs!$C$6)-Inputs!$C$30)^2)/(2*Inputs!$C$32^2))+-Inputs!$C$33*EXP(-(((((Scenario_Data!U114)-Inputs!$C$34)^2)+(((Inputs!$C$6)-Inputs!$C$35)^2))/(2*Inputs!$C$36^2)))+Inputs!$C$37*(0.55*SIN(2*PI()*(Scenario_Data!U114)/Inputs!$C$39)+0.35*COS(2*PI()*(Inputs!$C$6)/Inputs!$C$40)+0.2*SIN(2*PI()*((Scenario_Data!U114)+(Inputs!$C$6))/(0.5*(Inputs!$C$39+Inputs!$C$40))))+Inputs!$C$38*SIN(2*PI()*(Scenario_Data!U114)/Inputs!$C$39)*SIN(2*PI()*(Inputs!$C$6)/Inputs!$C$40)+-Inputs!$C$41*EXP(-(((Inputs!$C$6)-Inputs!$C$43)^2)/(2*Inputs!$C$44^2))*EXP(-(((Scenario_Data!U114)-Inputs!$C$42)^2)/(2*Inputs!$C$45^2))+Inputs!$C$48*(0.7*(0.45*SIN(2*PI()*(((Scenario_Data!U114)/Inputs!$C$49)+Inputs!$C$47*0.137))+0.35*COS(2*PI()*(((Inputs!$C$6)/Inputs!$C$50)+Inputs!$C$47*0.173))+0.2*SIN(2*PI()*((((Scenario_Data!U114)+(Inputs!$C$6))/(0.5*(Inputs!$C$49+Inputs!$C$50)))+Inputs!$C$47*0.097)))+0.3*(2*((SIN(((Scenario_Data!U114)*12.9898+(Inputs!$C$6)*78.233+Inputs!$C$47*37.719))*43758.5453)-INT((SIN(((Scenario_Data!U114)*12.9898+(Inputs!$C$6)*78.233+Inputs!$C$47*37.719))*43758.5453)))-1))))/1000))^2-2*(Inputs!$C$52+(Scenario_Data!C114))*(Inputs!$C$52+((IF(OR(Inputs!$C$27=TRUE,Inputs!$C$27="TRUE",Inputs!$C$27=1),1,0)*(Inputs!$C$51*(115*EXP(-(((Inputs!$C$6)-25)^2)/(4.5^2))+70*EXP(-(((Inputs!$C$6)+38)^2)/(7^2))*(0.55+0.45*SIN(2*PI()*(Scenario_Data!U114)/45))+24*SIN(2*PI()*(Inputs!$C$6)/9+(Scenario_Data!U114)/18)*EXP(-(((Inputs!$C$6)+5)^2)/(22^2))+18*SIN(2*PI()*(Scenario_Data!U114)/70))+Inputs!$C$28*EXP(-(((Scenario_Data!U114)-Inputs!$C$29)^2)/(2*Inputs!$C$31^2))*EXP(-(((Inputs!$C$6)-Inputs!$C$30)^2)/(2*Inputs!$C$32^2))+-Inputs!$C$33*EXP(-(((((Scenario_Data!U114)-Inputs!$C$34)^2)+(((Inputs!$C$6)-Inputs!$C$35)^2))/(2*Inputs!$C$36^2)))+Inputs!$C$37*(0.55*SIN(2*PI()*(Scenario_Data!U114)/Inputs!$C$39)+0.35*COS(2*PI()*(Inputs!$C$6)/Inputs!$C$40)+0.2*SIN(2*PI()*((Scenario_Data!U114)+(Inputs!$C$6))/(0.5*(Inputs!$C$39+Inputs!$C$40))))+Inputs!$C$38*SIN(2*PI()*(Scenario_Data!U114)/Inputs!$C$39)*SIN(2*PI()*(Inputs!$C$6)/Inputs!$C$40)+-Inputs!$C$41*EXP(-(((Inputs!$C$6)-Inputs!$C$43)^2)/(2*Inputs!$C$44^2))*EXP(-(((Scenario_Data!U114)-Inputs!$C$42)^2)/(2*Inputs!$C$45^2))+Inputs!$C$48*(0.7*(0.45*SIN(2*PI()*(((Scenario_Data!U114)/Inputs!$C$49)+Inputs!$C$47*0.137))+0.35*COS(2*PI()*(((Inputs!$C$6)/Inputs!$C$50)+Inputs!$C$47*0.173))+0.2*SIN(2*PI()*((((Scenario_Data!U114)+(Inputs!$C$6))/(0.5*(Inputs!$C$49+Inputs!$C$50)))+Inputs!$C$47*0.097)))+0.3*(2*((SIN(((Scenario_Data!U114)*12.9898+(Inputs!$C$6)*78.233+Inputs!$C$47*37.719))*43758.5453)-INT((SIN(((Scenario_Data!U114)*12.9898+(Inputs!$C$6)*78.233+Inputs!$C$47*37.719))*43758.5453)))-1))))/1000))*COS(SQRT((Scenario_Data!U114)^2+Inputs!$C$6^2)/Inputs!$C$52))*1000)/Inputs!$C$21*1000000</f>
        <v/>
      </c>
      <c r="AT114">
        <f>Scenario_Data!V114</f>
        <v/>
      </c>
      <c r="AU114">
        <f>2*(SQRT((Inputs!$C$52+(Scenario_Data!D114))^2+(Inputs!$C$52+((IF(OR(Inputs!$C$27=TRUE,Inputs!$C$27="TRUE",Inputs!$C$27=1),1,0)*(Inputs!$C$51*(115*EXP(-(((Inputs!$C$6)-25)^2)/(4.5^2))+70*EXP(-(((Inputs!$C$6)+38)^2)/(7^2))*(0.55+0.45*SIN(2*PI()*(Scenario_Data!V114)/45))+24*SIN(2*PI()*(Inputs!$C$6)/9+(Scenario_Data!V114)/18)*EXP(-(((Inputs!$C$6)+5)^2)/(22^2))+18*SIN(2*PI()*(Scenario_Data!V114)/70))+Inputs!$C$28*EXP(-(((Scenario_Data!V114)-Inputs!$C$29)^2)/(2*Inputs!$C$31^2))*EXP(-(((Inputs!$C$6)-Inputs!$C$30)^2)/(2*Inputs!$C$32^2))+-Inputs!$C$33*EXP(-(((((Scenario_Data!V114)-Inputs!$C$34)^2)+(((Inputs!$C$6)-Inputs!$C$35)^2))/(2*Inputs!$C$36^2)))+Inputs!$C$37*(0.55*SIN(2*PI()*(Scenario_Data!V114)/Inputs!$C$39)+0.35*COS(2*PI()*(Inputs!$C$6)/Inputs!$C$40)+0.2*SIN(2*PI()*((Scenario_Data!V114)+(Inputs!$C$6))/(0.5*(Inputs!$C$39+Inputs!$C$40))))+Inputs!$C$38*SIN(2*PI()*(Scenario_Data!V114)/Inputs!$C$39)*SIN(2*PI()*(Inputs!$C$6)/Inputs!$C$40)+-Inputs!$C$41*EXP(-(((Inputs!$C$6)-Inputs!$C$43)^2)/(2*Inputs!$C$44^2))*EXP(-(((Scenario_Data!V114)-Inputs!$C$42)^2)/(2*Inputs!$C$45^2))+Inputs!$C$48*(0.7*(0.45*SIN(2*PI()*(((Scenario_Data!V114)/Inputs!$C$49)+Inputs!$C$47*0.137))+0.35*COS(2*PI()*(((Inputs!$C$6)/Inputs!$C$50)+Inputs!$C$47*0.173))+0.2*SIN(2*PI()*((((Scenario_Data!V114)+(Inputs!$C$6))/(0.5*(Inputs!$C$49+Inputs!$C$50)))+Inputs!$C$47*0.097)))+0.3*(2*((SIN(((Scenario_Data!V114)*12.9898+(Inputs!$C$6)*78.233+Inputs!$C$47*37.719))*43758.5453)-INT((SIN(((Scenario_Data!V114)*12.9898+(Inputs!$C$6)*78.233+Inputs!$C$47*37.719))*43758.5453)))-1))))/1000))^2-2*(Inputs!$C$52+(Scenario_Data!D114))*(Inputs!$C$52+((IF(OR(Inputs!$C$27=TRUE,Inputs!$C$27="TRUE",Inputs!$C$27=1),1,0)*(Inputs!$C$51*(115*EXP(-(((Inputs!$C$6)-25)^2)/(4.5^2))+70*EXP(-(((Inputs!$C$6)+38)^2)/(7^2))*(0.55+0.45*SIN(2*PI()*(Scenario_Data!V114)/45))+24*SIN(2*PI()*(Inputs!$C$6)/9+(Scenario_Data!V114)/18)*EXP(-(((Inputs!$C$6)+5)^2)/(22^2))+18*SIN(2*PI()*(Scenario_Data!V114)/70))+Inputs!$C$28*EXP(-(((Scenario_Data!V114)-Inputs!$C$29)^2)/(2*Inputs!$C$31^2))*EXP(-(((Inputs!$C$6)-Inputs!$C$30)^2)/(2*Inputs!$C$32^2))+-Inputs!$C$33*EXP(-(((((Scenario_Data!V114)-Inputs!$C$34)^2)+(((Inputs!$C$6)-Inputs!$C$35)^2))/(2*Inputs!$C$36^2)))+Inputs!$C$37*(0.55*SIN(2*PI()*(Scenario_Data!V114)/Inputs!$C$39)+0.35*COS(2*PI()*(Inputs!$C$6)/Inputs!$C$40)+0.2*SIN(2*PI()*((Scenario_Data!V114)+(Inputs!$C$6))/(0.5*(Inputs!$C$39+Inputs!$C$40))))+Inputs!$C$38*SIN(2*PI()*(Scenario_Data!V114)/Inputs!$C$39)*SIN(2*PI()*(Inputs!$C$6)/Inputs!$C$40)+-Inputs!$C$41*EXP(-(((Inputs!$C$6)-Inputs!$C$43)^2)/(2*Inputs!$C$44^2))*EXP(-(((Scenario_Data!V114)-Inputs!$C$42)^2)/(2*Inputs!$C$45^2))+Inputs!$C$48*(0.7*(0.45*SIN(2*PI()*(((Scenario_Data!V114)/Inputs!$C$49)+Inputs!$C$47*0.137))+0.35*COS(2*PI()*(((Inputs!$C$6)/Inputs!$C$50)+Inputs!$C$47*0.173))+0.2*SIN(2*PI()*((((Scenario_Data!V114)+(Inputs!$C$6))/(0.5*(Inputs!$C$49+Inputs!$C$50)))+Inputs!$C$47*0.097)))+0.3*(2*((SIN(((Scenario_Data!V114)*12.9898+(Inputs!$C$6)*78.233+Inputs!$C$47*37.719))*43758.5453)-INT((SIN(((Scenario_Data!V114)*12.9898+(Inputs!$C$6)*78.233+Inputs!$C$47*37.719))*43758.5453)))-1))))/1000))*COS(SQRT((Scenario_Data!V114)^2+Inputs!$C$6^2)/Inputs!$C$52))*1000)/Inputs!$C$21*1000000</f>
        <v/>
      </c>
      <c r="AV114">
        <f>Scenario_Data!W114</f>
        <v/>
      </c>
      <c r="AW114">
        <f>2*(SQRT((Inputs!$C$52+(Scenario_Data!E114))^2+(Inputs!$C$52+((IF(OR(Inputs!$C$27=TRUE,Inputs!$C$27="TRUE",Inputs!$C$27=1),1,0)*(Inputs!$C$51*(115*EXP(-(((Inputs!$C$6)-25)^2)/(4.5^2))+70*EXP(-(((Inputs!$C$6)+38)^2)/(7^2))*(0.55+0.45*SIN(2*PI()*(Scenario_Data!W114)/45))+24*SIN(2*PI()*(Inputs!$C$6)/9+(Scenario_Data!W114)/18)*EXP(-(((Inputs!$C$6)+5)^2)/(22^2))+18*SIN(2*PI()*(Scenario_Data!W114)/70))+Inputs!$C$28*EXP(-(((Scenario_Data!W114)-Inputs!$C$29)^2)/(2*Inputs!$C$31^2))*EXP(-(((Inputs!$C$6)-Inputs!$C$30)^2)/(2*Inputs!$C$32^2))+-Inputs!$C$33*EXP(-(((((Scenario_Data!W114)-Inputs!$C$34)^2)+(((Inputs!$C$6)-Inputs!$C$35)^2))/(2*Inputs!$C$36^2)))+Inputs!$C$37*(0.55*SIN(2*PI()*(Scenario_Data!W114)/Inputs!$C$39)+0.35*COS(2*PI()*(Inputs!$C$6)/Inputs!$C$40)+0.2*SIN(2*PI()*((Scenario_Data!W114)+(Inputs!$C$6))/(0.5*(Inputs!$C$39+Inputs!$C$40))))+Inputs!$C$38*SIN(2*PI()*(Scenario_Data!W114)/Inputs!$C$39)*SIN(2*PI()*(Inputs!$C$6)/Inputs!$C$40)+-Inputs!$C$41*EXP(-(((Inputs!$C$6)-Inputs!$C$43)^2)/(2*Inputs!$C$44^2))*EXP(-(((Scenario_Data!W114)-Inputs!$C$42)^2)/(2*Inputs!$C$45^2))+Inputs!$C$48*(0.7*(0.45*SIN(2*PI()*(((Scenario_Data!W114)/Inputs!$C$49)+Inputs!$C$47*0.137))+0.35*COS(2*PI()*(((Inputs!$C$6)/Inputs!$C$50)+Inputs!$C$47*0.173))+0.2*SIN(2*PI()*((((Scenario_Data!W114)+(Inputs!$C$6))/(0.5*(Inputs!$C$49+Inputs!$C$50)))+Inputs!$C$47*0.097)))+0.3*(2*((SIN(((Scenario_Data!W114)*12.9898+(Inputs!$C$6)*78.233+Inputs!$C$47*37.719))*43758.5453)-INT((SIN(((Scenario_Data!W114)*12.9898+(Inputs!$C$6)*78.233+Inputs!$C$47*37.719))*43758.5453)))-1))))/1000))^2-2*(Inputs!$C$52+(Scenario_Data!E114))*(Inputs!$C$52+((IF(OR(Inputs!$C$27=TRUE,Inputs!$C$27="TRUE",Inputs!$C$27=1),1,0)*(Inputs!$C$51*(115*EXP(-(((Inputs!$C$6)-25)^2)/(4.5^2))+70*EXP(-(((Inputs!$C$6)+38)^2)/(7^2))*(0.55+0.45*SIN(2*PI()*(Scenario_Data!W114)/45))+24*SIN(2*PI()*(Inputs!$C$6)/9+(Scenario_Data!W114)/18)*EXP(-(((Inputs!$C$6)+5)^2)/(22^2))+18*SIN(2*PI()*(Scenario_Data!W114)/70))+Inputs!$C$28*EXP(-(((Scenario_Data!W114)-Inputs!$C$29)^2)/(2*Inputs!$C$31^2))*EXP(-(((Inputs!$C$6)-Inputs!$C$30)^2)/(2*Inputs!$C$32^2))+-Inputs!$C$33*EXP(-(((((Scenario_Data!W114)-Inputs!$C$34)^2)+(((Inputs!$C$6)-Inputs!$C$35)^2))/(2*Inputs!$C$36^2)))+Inputs!$C$37*(0.55*SIN(2*PI()*(Scenario_Data!W114)/Inputs!$C$39)+0.35*COS(2*PI()*(Inputs!$C$6)/Inputs!$C$40)+0.2*SIN(2*PI()*((Scenario_Data!W114)+(Inputs!$C$6))/(0.5*(Inputs!$C$39+Inputs!$C$40))))+Inputs!$C$38*SIN(2*PI()*(Scenario_Data!W114)/Inputs!$C$39)*SIN(2*PI()*(Inputs!$C$6)/Inputs!$C$40)+-Inputs!$C$41*EXP(-(((Inputs!$C$6)-Inputs!$C$43)^2)/(2*Inputs!$C$44^2))*EXP(-(((Scenario_Data!W114)-Inputs!$C$42)^2)/(2*Inputs!$C$45^2))+Inputs!$C$48*(0.7*(0.45*SIN(2*PI()*(((Scenario_Data!W114)/Inputs!$C$49)+Inputs!$C$47*0.137))+0.35*COS(2*PI()*(((Inputs!$C$6)/Inputs!$C$50)+Inputs!$C$47*0.173))+0.2*SIN(2*PI()*((((Scenario_Data!W114)+(Inputs!$C$6))/(0.5*(Inputs!$C$49+Inputs!$C$50)))+Inputs!$C$47*0.097)))+0.3*(2*((SIN(((Scenario_Data!W114)*12.9898+(Inputs!$C$6)*78.233+Inputs!$C$47*37.719))*43758.5453)-INT((SIN(((Scenario_Data!W114)*12.9898+(Inputs!$C$6)*78.233+Inputs!$C$47*37.719))*43758.5453)))-1))))/1000))*COS(SQRT((Scenario_Data!W114)^2+Inputs!$C$6^2)/Inputs!$C$52))*1000)/Inputs!$C$21*1000000</f>
        <v/>
      </c>
    </row>
    <row r="115">
      <c r="A115">
        <f>Chart_Data!K115</f>
        <v/>
      </c>
      <c r="B115">
        <f>Chart_Data!N115-Chart_Data!L115</f>
        <v/>
      </c>
      <c r="D115">
        <f>Chart_Data!G115</f>
        <v/>
      </c>
      <c r="E115">
        <f>Chart_Data!H115</f>
        <v/>
      </c>
      <c r="F115">
        <f>Chart_Data!I115</f>
        <v/>
      </c>
      <c r="G115">
        <f>Chart_Data!J115</f>
        <v/>
      </c>
      <c r="I115">
        <f>Scenario_Data!A115</f>
        <v/>
      </c>
      <c r="J115">
        <f>Scenario_Data!H115-(((SQRT((Inputs!$C$52+(Inputs!$H$6))^2+Inputs!$C$52^2-2*(Inputs!$C$52+(Inputs!$H$6))*Inputs!$C$52*COS(SQRT((Scenario_Data!T115)^2+Inputs!$C$6^2)/Inputs!$C$52)))-(Inputs!$H$6))*1000/Inputs!$C$12)</f>
        <v/>
      </c>
      <c r="K115">
        <f>Scenario_Data!I115-(((SQRT((Inputs!$C$52+(Inputs!$H$7))^2+Inputs!$C$52^2-2*(Inputs!$C$52+(Inputs!$H$7))*Inputs!$C$52*COS(SQRT((Scenario_Data!U115)^2+Inputs!$C$6^2)/Inputs!$C$52)))-(Inputs!$H$7))*1000/Inputs!$C$12)</f>
        <v/>
      </c>
      <c r="L115">
        <f>Scenario_Data!J115-(((SQRT((Inputs!$C$52+(Inputs!$H$8))^2+Inputs!$C$52^2-2*(Inputs!$C$52+(Inputs!$H$8))*Inputs!$C$52*COS(SQRT((Scenario_Data!V115)^2+Inputs!$C$6^2)/Inputs!$C$52)))-(Inputs!$H$8))*1000/Inputs!$C$12)</f>
        <v/>
      </c>
      <c r="M115">
        <f>Scenario_Data!K115-(((SQRT((Inputs!$C$52+(Inputs!$H$9))^2+Inputs!$C$52^2-2*(Inputs!$C$52+(Inputs!$H$9))*Inputs!$C$52*COS(SQRT((Scenario_Data!W115)^2+Inputs!$C$6^2)/Inputs!$C$52)))-(Inputs!$H$9))*1000/Inputs!$C$12)</f>
        <v/>
      </c>
      <c r="O115">
        <f>Scenario_Data!T115</f>
        <v/>
      </c>
      <c r="P115">
        <f>2*(Scenario_Data!B115*1000)/Inputs!$C$21*1000000</f>
        <v/>
      </c>
      <c r="Q115">
        <f>Scenario_Data!U115</f>
        <v/>
      </c>
      <c r="R115">
        <f>2*(Scenario_Data!C115*1000)/Inputs!$C$21*1000000</f>
        <v/>
      </c>
      <c r="S115">
        <f>Scenario_Data!V115</f>
        <v/>
      </c>
      <c r="T115">
        <f>2*(Scenario_Data!D115*1000)/Inputs!$C$21*1000000</f>
        <v/>
      </c>
      <c r="U115">
        <f>Scenario_Data!W115</f>
        <v/>
      </c>
      <c r="V115">
        <f>2*(Scenario_Data!E115*1000)/Inputs!$C$21*1000000</f>
        <v/>
      </c>
      <c r="X115">
        <f>Scenario_Data!T115</f>
        <v/>
      </c>
      <c r="Y115">
        <f>2*((Scenario_Data!B115*1000)-(IF(OR(Inputs!$C$27=TRUE,Inputs!$C$27="TRUE",Inputs!$C$27=1),1,0)*(Inputs!$C$51*(115*EXP(-(((0)-25)^2)/(4.5^2))+70*EXP(-(((0)+38)^2)/(7^2))*(0.55+0.45*SIN(2*PI()*(Scenario_Data!T115)/45))+24*SIN(2*PI()*(0)/9+(Scenario_Data!T115)/18)*EXP(-(((0)+5)^2)/(22^2))+18*SIN(2*PI()*(Scenario_Data!T115)/70))+Inputs!$C$28*EXP(-(((Scenario_Data!T115)-Inputs!$C$29)^2)/(2*Inputs!$C$31^2))*EXP(-(((0)-Inputs!$C$30)^2)/(2*Inputs!$C$32^2))+-Inputs!$C$33*EXP(-(((((Scenario_Data!T115)-Inputs!$C$34)^2)+(((0)-Inputs!$C$35)^2))/(2*Inputs!$C$36^2)))+Inputs!$C$37*(0.55*SIN(2*PI()*(Scenario_Data!T115)/Inputs!$C$39)+0.35*COS(2*PI()*(0)/Inputs!$C$40)+0.2*SIN(2*PI()*((Scenario_Data!T115)+(0))/(0.5*(Inputs!$C$39+Inputs!$C$40))))+Inputs!$C$38*SIN(2*PI()*(Scenario_Data!T115)/Inputs!$C$39)*SIN(2*PI()*(0)/Inputs!$C$40)+-Inputs!$C$41*EXP(-(((0)-Inputs!$C$43)^2)/(2*Inputs!$C$44^2))*EXP(-(((Scenario_Data!T115)-Inputs!$C$42)^2)/(2*Inputs!$C$45^2))+Inputs!$C$48*(0.7*(0.45*SIN(2*PI()*(((Scenario_Data!T115)/Inputs!$C$49)+Inputs!$C$47*0.137))+0.35*COS(2*PI()*(((0)/Inputs!$C$50)+Inputs!$C$47*0.173))+0.2*SIN(2*PI()*((((Scenario_Data!T115)+(0))/(0.5*(Inputs!$C$49+Inputs!$C$50)))+Inputs!$C$47*0.097)))+0.3*(2*((SIN(((Scenario_Data!T115)*12.9898+(0)*78.233+Inputs!$C$47*37.719))*43758.5453)-INT((SIN(((Scenario_Data!T115)*12.9898+(0)*78.233+Inputs!$C$47*37.719))*43758.5453)))-1)))))/Inputs!$C$21*1000000</f>
        <v/>
      </c>
      <c r="Z115">
        <f>Scenario_Data!U115</f>
        <v/>
      </c>
      <c r="AA115">
        <f>2*((Scenario_Data!C115*1000)-(IF(OR(Inputs!$C$27=TRUE,Inputs!$C$27="TRUE",Inputs!$C$27=1),1,0)*(Inputs!$C$51*(115*EXP(-(((0)-25)^2)/(4.5^2))+70*EXP(-(((0)+38)^2)/(7^2))*(0.55+0.45*SIN(2*PI()*(Scenario_Data!U115)/45))+24*SIN(2*PI()*(0)/9+(Scenario_Data!U115)/18)*EXP(-(((0)+5)^2)/(22^2))+18*SIN(2*PI()*(Scenario_Data!U115)/70))+Inputs!$C$28*EXP(-(((Scenario_Data!U115)-Inputs!$C$29)^2)/(2*Inputs!$C$31^2))*EXP(-(((0)-Inputs!$C$30)^2)/(2*Inputs!$C$32^2))+-Inputs!$C$33*EXP(-(((((Scenario_Data!U115)-Inputs!$C$34)^2)+(((0)-Inputs!$C$35)^2))/(2*Inputs!$C$36^2)))+Inputs!$C$37*(0.55*SIN(2*PI()*(Scenario_Data!U115)/Inputs!$C$39)+0.35*COS(2*PI()*(0)/Inputs!$C$40)+0.2*SIN(2*PI()*((Scenario_Data!U115)+(0))/(0.5*(Inputs!$C$39+Inputs!$C$40))))+Inputs!$C$38*SIN(2*PI()*(Scenario_Data!U115)/Inputs!$C$39)*SIN(2*PI()*(0)/Inputs!$C$40)+-Inputs!$C$41*EXP(-(((0)-Inputs!$C$43)^2)/(2*Inputs!$C$44^2))*EXP(-(((Scenario_Data!U115)-Inputs!$C$42)^2)/(2*Inputs!$C$45^2))+Inputs!$C$48*(0.7*(0.45*SIN(2*PI()*(((Scenario_Data!U115)/Inputs!$C$49)+Inputs!$C$47*0.137))+0.35*COS(2*PI()*(((0)/Inputs!$C$50)+Inputs!$C$47*0.173))+0.2*SIN(2*PI()*((((Scenario_Data!U115)+(0))/(0.5*(Inputs!$C$49+Inputs!$C$50)))+Inputs!$C$47*0.097)))+0.3*(2*((SIN(((Scenario_Data!U115)*12.9898+(0)*78.233+Inputs!$C$47*37.719))*43758.5453)-INT((SIN(((Scenario_Data!U115)*12.9898+(0)*78.233+Inputs!$C$47*37.719))*43758.5453)))-1)))))/Inputs!$C$21*1000000</f>
        <v/>
      </c>
      <c r="AB115">
        <f>Scenario_Data!V115</f>
        <v/>
      </c>
      <c r="AC115">
        <f>2*((Scenario_Data!D115*1000)-(IF(OR(Inputs!$C$27=TRUE,Inputs!$C$27="TRUE",Inputs!$C$27=1),1,0)*(Inputs!$C$51*(115*EXP(-(((0)-25)^2)/(4.5^2))+70*EXP(-(((0)+38)^2)/(7^2))*(0.55+0.45*SIN(2*PI()*(Scenario_Data!V115)/45))+24*SIN(2*PI()*(0)/9+(Scenario_Data!V115)/18)*EXP(-(((0)+5)^2)/(22^2))+18*SIN(2*PI()*(Scenario_Data!V115)/70))+Inputs!$C$28*EXP(-(((Scenario_Data!V115)-Inputs!$C$29)^2)/(2*Inputs!$C$31^2))*EXP(-(((0)-Inputs!$C$30)^2)/(2*Inputs!$C$32^2))+-Inputs!$C$33*EXP(-(((((Scenario_Data!V115)-Inputs!$C$34)^2)+(((0)-Inputs!$C$35)^2))/(2*Inputs!$C$36^2)))+Inputs!$C$37*(0.55*SIN(2*PI()*(Scenario_Data!V115)/Inputs!$C$39)+0.35*COS(2*PI()*(0)/Inputs!$C$40)+0.2*SIN(2*PI()*((Scenario_Data!V115)+(0))/(0.5*(Inputs!$C$39+Inputs!$C$40))))+Inputs!$C$38*SIN(2*PI()*(Scenario_Data!V115)/Inputs!$C$39)*SIN(2*PI()*(0)/Inputs!$C$40)+-Inputs!$C$41*EXP(-(((0)-Inputs!$C$43)^2)/(2*Inputs!$C$44^2))*EXP(-(((Scenario_Data!V115)-Inputs!$C$42)^2)/(2*Inputs!$C$45^2))+Inputs!$C$48*(0.7*(0.45*SIN(2*PI()*(((Scenario_Data!V115)/Inputs!$C$49)+Inputs!$C$47*0.137))+0.35*COS(2*PI()*(((0)/Inputs!$C$50)+Inputs!$C$47*0.173))+0.2*SIN(2*PI()*((((Scenario_Data!V115)+(0))/(0.5*(Inputs!$C$49+Inputs!$C$50)))+Inputs!$C$47*0.097)))+0.3*(2*((SIN(((Scenario_Data!V115)*12.9898+(0)*78.233+Inputs!$C$47*37.719))*43758.5453)-INT((SIN(((Scenario_Data!V115)*12.9898+(0)*78.233+Inputs!$C$47*37.719))*43758.5453)))-1)))))/Inputs!$C$21*1000000</f>
        <v/>
      </c>
      <c r="AD115">
        <f>Scenario_Data!W115</f>
        <v/>
      </c>
      <c r="AE115">
        <f>2*((Scenario_Data!E115*1000)-(IF(OR(Inputs!$C$27=TRUE,Inputs!$C$27="TRUE",Inputs!$C$27=1),1,0)*(Inputs!$C$51*(115*EXP(-(((0)-25)^2)/(4.5^2))+70*EXP(-(((0)+38)^2)/(7^2))*(0.55+0.45*SIN(2*PI()*(Scenario_Data!W115)/45))+24*SIN(2*PI()*(0)/9+(Scenario_Data!W115)/18)*EXP(-(((0)+5)^2)/(22^2))+18*SIN(2*PI()*(Scenario_Data!W115)/70))+Inputs!$C$28*EXP(-(((Scenario_Data!W115)-Inputs!$C$29)^2)/(2*Inputs!$C$31^2))*EXP(-(((0)-Inputs!$C$30)^2)/(2*Inputs!$C$32^2))+-Inputs!$C$33*EXP(-(((((Scenario_Data!W115)-Inputs!$C$34)^2)+(((0)-Inputs!$C$35)^2))/(2*Inputs!$C$36^2)))+Inputs!$C$37*(0.55*SIN(2*PI()*(Scenario_Data!W115)/Inputs!$C$39)+0.35*COS(2*PI()*(0)/Inputs!$C$40)+0.2*SIN(2*PI()*((Scenario_Data!W115)+(0))/(0.5*(Inputs!$C$39+Inputs!$C$40))))+Inputs!$C$38*SIN(2*PI()*(Scenario_Data!W115)/Inputs!$C$39)*SIN(2*PI()*(0)/Inputs!$C$40)+-Inputs!$C$41*EXP(-(((0)-Inputs!$C$43)^2)/(2*Inputs!$C$44^2))*EXP(-(((Scenario_Data!W115)-Inputs!$C$42)^2)/(2*Inputs!$C$45^2))+Inputs!$C$48*(0.7*(0.45*SIN(2*PI()*(((Scenario_Data!W115)/Inputs!$C$49)+Inputs!$C$47*0.137))+0.35*COS(2*PI()*(((0)/Inputs!$C$50)+Inputs!$C$47*0.173))+0.2*SIN(2*PI()*((((Scenario_Data!W115)+(0))/(0.5*(Inputs!$C$49+Inputs!$C$50)))+Inputs!$C$47*0.097)))+0.3*(2*((SIN(((Scenario_Data!W115)*12.9898+(0)*78.233+Inputs!$C$47*37.719))*43758.5453)-INT((SIN(((Scenario_Data!W115)*12.9898+(0)*78.233+Inputs!$C$47*37.719))*43758.5453)))-1)))))/Inputs!$C$21*1000000</f>
        <v/>
      </c>
      <c r="AG115">
        <f>Scenario_Data!T115</f>
        <v/>
      </c>
      <c r="AH115">
        <f>2*(SQRT((Inputs!$C$52+(Scenario_Data!B115))^2+Inputs!$C$52^2-2*(Inputs!$C$52+(Scenario_Data!B115))*Inputs!$C$52*COS(SQRT((Scenario_Data!T115)^2+Inputs!$C$6^2)/Inputs!$C$52))*1000)/Inputs!$C$21*1000000</f>
        <v/>
      </c>
      <c r="AI115">
        <f>Scenario_Data!U115</f>
        <v/>
      </c>
      <c r="AJ115">
        <f>2*(SQRT((Inputs!$C$52+(Scenario_Data!C115))^2+Inputs!$C$52^2-2*(Inputs!$C$52+(Scenario_Data!C115))*Inputs!$C$52*COS(SQRT((Scenario_Data!U115)^2+Inputs!$C$6^2)/Inputs!$C$52))*1000)/Inputs!$C$21*1000000</f>
        <v/>
      </c>
      <c r="AK115">
        <f>Scenario_Data!V115</f>
        <v/>
      </c>
      <c r="AL115">
        <f>2*(SQRT((Inputs!$C$52+(Scenario_Data!D115))^2+Inputs!$C$52^2-2*(Inputs!$C$52+(Scenario_Data!D115))*Inputs!$C$52*COS(SQRT((Scenario_Data!V115)^2+Inputs!$C$6^2)/Inputs!$C$52))*1000)/Inputs!$C$21*1000000</f>
        <v/>
      </c>
      <c r="AM115">
        <f>Scenario_Data!W115</f>
        <v/>
      </c>
      <c r="AN115">
        <f>2*(SQRT((Inputs!$C$52+(Scenario_Data!E115))^2+Inputs!$C$52^2-2*(Inputs!$C$52+(Scenario_Data!E115))*Inputs!$C$52*COS(SQRT((Scenario_Data!W115)^2+Inputs!$C$6^2)/Inputs!$C$52))*1000)/Inputs!$C$21*1000000</f>
        <v/>
      </c>
      <c r="AP115">
        <f>Scenario_Data!T115</f>
        <v/>
      </c>
      <c r="AQ115">
        <f>2*(SQRT((Inputs!$C$52+(Scenario_Data!B115))^2+(Inputs!$C$52+((IF(OR(Inputs!$C$27=TRUE,Inputs!$C$27="TRUE",Inputs!$C$27=1),1,0)*(Inputs!$C$51*(115*EXP(-(((Inputs!$C$6)-25)^2)/(4.5^2))+70*EXP(-(((Inputs!$C$6)+38)^2)/(7^2))*(0.55+0.45*SIN(2*PI()*(Scenario_Data!T115)/45))+24*SIN(2*PI()*(Inputs!$C$6)/9+(Scenario_Data!T115)/18)*EXP(-(((Inputs!$C$6)+5)^2)/(22^2))+18*SIN(2*PI()*(Scenario_Data!T115)/70))+Inputs!$C$28*EXP(-(((Scenario_Data!T115)-Inputs!$C$29)^2)/(2*Inputs!$C$31^2))*EXP(-(((Inputs!$C$6)-Inputs!$C$30)^2)/(2*Inputs!$C$32^2))+-Inputs!$C$33*EXP(-(((((Scenario_Data!T115)-Inputs!$C$34)^2)+(((Inputs!$C$6)-Inputs!$C$35)^2))/(2*Inputs!$C$36^2)))+Inputs!$C$37*(0.55*SIN(2*PI()*(Scenario_Data!T115)/Inputs!$C$39)+0.35*COS(2*PI()*(Inputs!$C$6)/Inputs!$C$40)+0.2*SIN(2*PI()*((Scenario_Data!T115)+(Inputs!$C$6))/(0.5*(Inputs!$C$39+Inputs!$C$40))))+Inputs!$C$38*SIN(2*PI()*(Scenario_Data!T115)/Inputs!$C$39)*SIN(2*PI()*(Inputs!$C$6)/Inputs!$C$40)+-Inputs!$C$41*EXP(-(((Inputs!$C$6)-Inputs!$C$43)^2)/(2*Inputs!$C$44^2))*EXP(-(((Scenario_Data!T115)-Inputs!$C$42)^2)/(2*Inputs!$C$45^2))+Inputs!$C$48*(0.7*(0.45*SIN(2*PI()*(((Scenario_Data!T115)/Inputs!$C$49)+Inputs!$C$47*0.137))+0.35*COS(2*PI()*(((Inputs!$C$6)/Inputs!$C$50)+Inputs!$C$47*0.173))+0.2*SIN(2*PI()*((((Scenario_Data!T115)+(Inputs!$C$6))/(0.5*(Inputs!$C$49+Inputs!$C$50)))+Inputs!$C$47*0.097)))+0.3*(2*((SIN(((Scenario_Data!T115)*12.9898+(Inputs!$C$6)*78.233+Inputs!$C$47*37.719))*43758.5453)-INT((SIN(((Scenario_Data!T115)*12.9898+(Inputs!$C$6)*78.233+Inputs!$C$47*37.719))*43758.5453)))-1))))/1000))^2-2*(Inputs!$C$52+(Scenario_Data!B115))*(Inputs!$C$52+((IF(OR(Inputs!$C$27=TRUE,Inputs!$C$27="TRUE",Inputs!$C$27=1),1,0)*(Inputs!$C$51*(115*EXP(-(((Inputs!$C$6)-25)^2)/(4.5^2))+70*EXP(-(((Inputs!$C$6)+38)^2)/(7^2))*(0.55+0.45*SIN(2*PI()*(Scenario_Data!T115)/45))+24*SIN(2*PI()*(Inputs!$C$6)/9+(Scenario_Data!T115)/18)*EXP(-(((Inputs!$C$6)+5)^2)/(22^2))+18*SIN(2*PI()*(Scenario_Data!T115)/70))+Inputs!$C$28*EXP(-(((Scenario_Data!T115)-Inputs!$C$29)^2)/(2*Inputs!$C$31^2))*EXP(-(((Inputs!$C$6)-Inputs!$C$30)^2)/(2*Inputs!$C$32^2))+-Inputs!$C$33*EXP(-(((((Scenario_Data!T115)-Inputs!$C$34)^2)+(((Inputs!$C$6)-Inputs!$C$35)^2))/(2*Inputs!$C$36^2)))+Inputs!$C$37*(0.55*SIN(2*PI()*(Scenario_Data!T115)/Inputs!$C$39)+0.35*COS(2*PI()*(Inputs!$C$6)/Inputs!$C$40)+0.2*SIN(2*PI()*((Scenario_Data!T115)+(Inputs!$C$6))/(0.5*(Inputs!$C$39+Inputs!$C$40))))+Inputs!$C$38*SIN(2*PI()*(Scenario_Data!T115)/Inputs!$C$39)*SIN(2*PI()*(Inputs!$C$6)/Inputs!$C$40)+-Inputs!$C$41*EXP(-(((Inputs!$C$6)-Inputs!$C$43)^2)/(2*Inputs!$C$44^2))*EXP(-(((Scenario_Data!T115)-Inputs!$C$42)^2)/(2*Inputs!$C$45^2))+Inputs!$C$48*(0.7*(0.45*SIN(2*PI()*(((Scenario_Data!T115)/Inputs!$C$49)+Inputs!$C$47*0.137))+0.35*COS(2*PI()*(((Inputs!$C$6)/Inputs!$C$50)+Inputs!$C$47*0.173))+0.2*SIN(2*PI()*((((Scenario_Data!T115)+(Inputs!$C$6))/(0.5*(Inputs!$C$49+Inputs!$C$50)))+Inputs!$C$47*0.097)))+0.3*(2*((SIN(((Scenario_Data!T115)*12.9898+(Inputs!$C$6)*78.233+Inputs!$C$47*37.719))*43758.5453)-INT((SIN(((Scenario_Data!T115)*12.9898+(Inputs!$C$6)*78.233+Inputs!$C$47*37.719))*43758.5453)))-1))))/1000))*COS(SQRT((Scenario_Data!T115)^2+Inputs!$C$6^2)/Inputs!$C$52))*1000)/Inputs!$C$21*1000000</f>
        <v/>
      </c>
      <c r="AR115">
        <f>Scenario_Data!U115</f>
        <v/>
      </c>
      <c r="AS115">
        <f>2*(SQRT((Inputs!$C$52+(Scenario_Data!C115))^2+(Inputs!$C$52+((IF(OR(Inputs!$C$27=TRUE,Inputs!$C$27="TRUE",Inputs!$C$27=1),1,0)*(Inputs!$C$51*(115*EXP(-(((Inputs!$C$6)-25)^2)/(4.5^2))+70*EXP(-(((Inputs!$C$6)+38)^2)/(7^2))*(0.55+0.45*SIN(2*PI()*(Scenario_Data!U115)/45))+24*SIN(2*PI()*(Inputs!$C$6)/9+(Scenario_Data!U115)/18)*EXP(-(((Inputs!$C$6)+5)^2)/(22^2))+18*SIN(2*PI()*(Scenario_Data!U115)/70))+Inputs!$C$28*EXP(-(((Scenario_Data!U115)-Inputs!$C$29)^2)/(2*Inputs!$C$31^2))*EXP(-(((Inputs!$C$6)-Inputs!$C$30)^2)/(2*Inputs!$C$32^2))+-Inputs!$C$33*EXP(-(((((Scenario_Data!U115)-Inputs!$C$34)^2)+(((Inputs!$C$6)-Inputs!$C$35)^2))/(2*Inputs!$C$36^2)))+Inputs!$C$37*(0.55*SIN(2*PI()*(Scenario_Data!U115)/Inputs!$C$39)+0.35*COS(2*PI()*(Inputs!$C$6)/Inputs!$C$40)+0.2*SIN(2*PI()*((Scenario_Data!U115)+(Inputs!$C$6))/(0.5*(Inputs!$C$39+Inputs!$C$40))))+Inputs!$C$38*SIN(2*PI()*(Scenario_Data!U115)/Inputs!$C$39)*SIN(2*PI()*(Inputs!$C$6)/Inputs!$C$40)+-Inputs!$C$41*EXP(-(((Inputs!$C$6)-Inputs!$C$43)^2)/(2*Inputs!$C$44^2))*EXP(-(((Scenario_Data!U115)-Inputs!$C$42)^2)/(2*Inputs!$C$45^2))+Inputs!$C$48*(0.7*(0.45*SIN(2*PI()*(((Scenario_Data!U115)/Inputs!$C$49)+Inputs!$C$47*0.137))+0.35*COS(2*PI()*(((Inputs!$C$6)/Inputs!$C$50)+Inputs!$C$47*0.173))+0.2*SIN(2*PI()*((((Scenario_Data!U115)+(Inputs!$C$6))/(0.5*(Inputs!$C$49+Inputs!$C$50)))+Inputs!$C$47*0.097)))+0.3*(2*((SIN(((Scenario_Data!U115)*12.9898+(Inputs!$C$6)*78.233+Inputs!$C$47*37.719))*43758.5453)-INT((SIN(((Scenario_Data!U115)*12.9898+(Inputs!$C$6)*78.233+Inputs!$C$47*37.719))*43758.5453)))-1))))/1000))^2-2*(Inputs!$C$52+(Scenario_Data!C115))*(Inputs!$C$52+((IF(OR(Inputs!$C$27=TRUE,Inputs!$C$27="TRUE",Inputs!$C$27=1),1,0)*(Inputs!$C$51*(115*EXP(-(((Inputs!$C$6)-25)^2)/(4.5^2))+70*EXP(-(((Inputs!$C$6)+38)^2)/(7^2))*(0.55+0.45*SIN(2*PI()*(Scenario_Data!U115)/45))+24*SIN(2*PI()*(Inputs!$C$6)/9+(Scenario_Data!U115)/18)*EXP(-(((Inputs!$C$6)+5)^2)/(22^2))+18*SIN(2*PI()*(Scenario_Data!U115)/70))+Inputs!$C$28*EXP(-(((Scenario_Data!U115)-Inputs!$C$29)^2)/(2*Inputs!$C$31^2))*EXP(-(((Inputs!$C$6)-Inputs!$C$30)^2)/(2*Inputs!$C$32^2))+-Inputs!$C$33*EXP(-(((((Scenario_Data!U115)-Inputs!$C$34)^2)+(((Inputs!$C$6)-Inputs!$C$35)^2))/(2*Inputs!$C$36^2)))+Inputs!$C$37*(0.55*SIN(2*PI()*(Scenario_Data!U115)/Inputs!$C$39)+0.35*COS(2*PI()*(Inputs!$C$6)/Inputs!$C$40)+0.2*SIN(2*PI()*((Scenario_Data!U115)+(Inputs!$C$6))/(0.5*(Inputs!$C$39+Inputs!$C$40))))+Inputs!$C$38*SIN(2*PI()*(Scenario_Data!U115)/Inputs!$C$39)*SIN(2*PI()*(Inputs!$C$6)/Inputs!$C$40)+-Inputs!$C$41*EXP(-(((Inputs!$C$6)-Inputs!$C$43)^2)/(2*Inputs!$C$44^2))*EXP(-(((Scenario_Data!U115)-Inputs!$C$42)^2)/(2*Inputs!$C$45^2))+Inputs!$C$48*(0.7*(0.45*SIN(2*PI()*(((Scenario_Data!U115)/Inputs!$C$49)+Inputs!$C$47*0.137))+0.35*COS(2*PI()*(((Inputs!$C$6)/Inputs!$C$50)+Inputs!$C$47*0.173))+0.2*SIN(2*PI()*((((Scenario_Data!U115)+(Inputs!$C$6))/(0.5*(Inputs!$C$49+Inputs!$C$50)))+Inputs!$C$47*0.097)))+0.3*(2*((SIN(((Scenario_Data!U115)*12.9898+(Inputs!$C$6)*78.233+Inputs!$C$47*37.719))*43758.5453)-INT((SIN(((Scenario_Data!U115)*12.9898+(Inputs!$C$6)*78.233+Inputs!$C$47*37.719))*43758.5453)))-1))))/1000))*COS(SQRT((Scenario_Data!U115)^2+Inputs!$C$6^2)/Inputs!$C$52))*1000)/Inputs!$C$21*1000000</f>
        <v/>
      </c>
      <c r="AT115">
        <f>Scenario_Data!V115</f>
        <v/>
      </c>
      <c r="AU115">
        <f>2*(SQRT((Inputs!$C$52+(Scenario_Data!D115))^2+(Inputs!$C$52+((IF(OR(Inputs!$C$27=TRUE,Inputs!$C$27="TRUE",Inputs!$C$27=1),1,0)*(Inputs!$C$51*(115*EXP(-(((Inputs!$C$6)-25)^2)/(4.5^2))+70*EXP(-(((Inputs!$C$6)+38)^2)/(7^2))*(0.55+0.45*SIN(2*PI()*(Scenario_Data!V115)/45))+24*SIN(2*PI()*(Inputs!$C$6)/9+(Scenario_Data!V115)/18)*EXP(-(((Inputs!$C$6)+5)^2)/(22^2))+18*SIN(2*PI()*(Scenario_Data!V115)/70))+Inputs!$C$28*EXP(-(((Scenario_Data!V115)-Inputs!$C$29)^2)/(2*Inputs!$C$31^2))*EXP(-(((Inputs!$C$6)-Inputs!$C$30)^2)/(2*Inputs!$C$32^2))+-Inputs!$C$33*EXP(-(((((Scenario_Data!V115)-Inputs!$C$34)^2)+(((Inputs!$C$6)-Inputs!$C$35)^2))/(2*Inputs!$C$36^2)))+Inputs!$C$37*(0.55*SIN(2*PI()*(Scenario_Data!V115)/Inputs!$C$39)+0.35*COS(2*PI()*(Inputs!$C$6)/Inputs!$C$40)+0.2*SIN(2*PI()*((Scenario_Data!V115)+(Inputs!$C$6))/(0.5*(Inputs!$C$39+Inputs!$C$40))))+Inputs!$C$38*SIN(2*PI()*(Scenario_Data!V115)/Inputs!$C$39)*SIN(2*PI()*(Inputs!$C$6)/Inputs!$C$40)+-Inputs!$C$41*EXP(-(((Inputs!$C$6)-Inputs!$C$43)^2)/(2*Inputs!$C$44^2))*EXP(-(((Scenario_Data!V115)-Inputs!$C$42)^2)/(2*Inputs!$C$45^2))+Inputs!$C$48*(0.7*(0.45*SIN(2*PI()*(((Scenario_Data!V115)/Inputs!$C$49)+Inputs!$C$47*0.137))+0.35*COS(2*PI()*(((Inputs!$C$6)/Inputs!$C$50)+Inputs!$C$47*0.173))+0.2*SIN(2*PI()*((((Scenario_Data!V115)+(Inputs!$C$6))/(0.5*(Inputs!$C$49+Inputs!$C$50)))+Inputs!$C$47*0.097)))+0.3*(2*((SIN(((Scenario_Data!V115)*12.9898+(Inputs!$C$6)*78.233+Inputs!$C$47*37.719))*43758.5453)-INT((SIN(((Scenario_Data!V115)*12.9898+(Inputs!$C$6)*78.233+Inputs!$C$47*37.719))*43758.5453)))-1))))/1000))^2-2*(Inputs!$C$52+(Scenario_Data!D115))*(Inputs!$C$52+((IF(OR(Inputs!$C$27=TRUE,Inputs!$C$27="TRUE",Inputs!$C$27=1),1,0)*(Inputs!$C$51*(115*EXP(-(((Inputs!$C$6)-25)^2)/(4.5^2))+70*EXP(-(((Inputs!$C$6)+38)^2)/(7^2))*(0.55+0.45*SIN(2*PI()*(Scenario_Data!V115)/45))+24*SIN(2*PI()*(Inputs!$C$6)/9+(Scenario_Data!V115)/18)*EXP(-(((Inputs!$C$6)+5)^2)/(22^2))+18*SIN(2*PI()*(Scenario_Data!V115)/70))+Inputs!$C$28*EXP(-(((Scenario_Data!V115)-Inputs!$C$29)^2)/(2*Inputs!$C$31^2))*EXP(-(((Inputs!$C$6)-Inputs!$C$30)^2)/(2*Inputs!$C$32^2))+-Inputs!$C$33*EXP(-(((((Scenario_Data!V115)-Inputs!$C$34)^2)+(((Inputs!$C$6)-Inputs!$C$35)^2))/(2*Inputs!$C$36^2)))+Inputs!$C$37*(0.55*SIN(2*PI()*(Scenario_Data!V115)/Inputs!$C$39)+0.35*COS(2*PI()*(Inputs!$C$6)/Inputs!$C$40)+0.2*SIN(2*PI()*((Scenario_Data!V115)+(Inputs!$C$6))/(0.5*(Inputs!$C$39+Inputs!$C$40))))+Inputs!$C$38*SIN(2*PI()*(Scenario_Data!V115)/Inputs!$C$39)*SIN(2*PI()*(Inputs!$C$6)/Inputs!$C$40)+-Inputs!$C$41*EXP(-(((Inputs!$C$6)-Inputs!$C$43)^2)/(2*Inputs!$C$44^2))*EXP(-(((Scenario_Data!V115)-Inputs!$C$42)^2)/(2*Inputs!$C$45^2))+Inputs!$C$48*(0.7*(0.45*SIN(2*PI()*(((Scenario_Data!V115)/Inputs!$C$49)+Inputs!$C$47*0.137))+0.35*COS(2*PI()*(((Inputs!$C$6)/Inputs!$C$50)+Inputs!$C$47*0.173))+0.2*SIN(2*PI()*((((Scenario_Data!V115)+(Inputs!$C$6))/(0.5*(Inputs!$C$49+Inputs!$C$50)))+Inputs!$C$47*0.097)))+0.3*(2*((SIN(((Scenario_Data!V115)*12.9898+(Inputs!$C$6)*78.233+Inputs!$C$47*37.719))*43758.5453)-INT((SIN(((Scenario_Data!V115)*12.9898+(Inputs!$C$6)*78.233+Inputs!$C$47*37.719))*43758.5453)))-1))))/1000))*COS(SQRT((Scenario_Data!V115)^2+Inputs!$C$6^2)/Inputs!$C$52))*1000)/Inputs!$C$21*1000000</f>
        <v/>
      </c>
      <c r="AV115">
        <f>Scenario_Data!W115</f>
        <v/>
      </c>
      <c r="AW115">
        <f>2*(SQRT((Inputs!$C$52+(Scenario_Data!E115))^2+(Inputs!$C$52+((IF(OR(Inputs!$C$27=TRUE,Inputs!$C$27="TRUE",Inputs!$C$27=1),1,0)*(Inputs!$C$51*(115*EXP(-(((Inputs!$C$6)-25)^2)/(4.5^2))+70*EXP(-(((Inputs!$C$6)+38)^2)/(7^2))*(0.55+0.45*SIN(2*PI()*(Scenario_Data!W115)/45))+24*SIN(2*PI()*(Inputs!$C$6)/9+(Scenario_Data!W115)/18)*EXP(-(((Inputs!$C$6)+5)^2)/(22^2))+18*SIN(2*PI()*(Scenario_Data!W115)/70))+Inputs!$C$28*EXP(-(((Scenario_Data!W115)-Inputs!$C$29)^2)/(2*Inputs!$C$31^2))*EXP(-(((Inputs!$C$6)-Inputs!$C$30)^2)/(2*Inputs!$C$32^2))+-Inputs!$C$33*EXP(-(((((Scenario_Data!W115)-Inputs!$C$34)^2)+(((Inputs!$C$6)-Inputs!$C$35)^2))/(2*Inputs!$C$36^2)))+Inputs!$C$37*(0.55*SIN(2*PI()*(Scenario_Data!W115)/Inputs!$C$39)+0.35*COS(2*PI()*(Inputs!$C$6)/Inputs!$C$40)+0.2*SIN(2*PI()*((Scenario_Data!W115)+(Inputs!$C$6))/(0.5*(Inputs!$C$39+Inputs!$C$40))))+Inputs!$C$38*SIN(2*PI()*(Scenario_Data!W115)/Inputs!$C$39)*SIN(2*PI()*(Inputs!$C$6)/Inputs!$C$40)+-Inputs!$C$41*EXP(-(((Inputs!$C$6)-Inputs!$C$43)^2)/(2*Inputs!$C$44^2))*EXP(-(((Scenario_Data!W115)-Inputs!$C$42)^2)/(2*Inputs!$C$45^2))+Inputs!$C$48*(0.7*(0.45*SIN(2*PI()*(((Scenario_Data!W115)/Inputs!$C$49)+Inputs!$C$47*0.137))+0.35*COS(2*PI()*(((Inputs!$C$6)/Inputs!$C$50)+Inputs!$C$47*0.173))+0.2*SIN(2*PI()*((((Scenario_Data!W115)+(Inputs!$C$6))/(0.5*(Inputs!$C$49+Inputs!$C$50)))+Inputs!$C$47*0.097)))+0.3*(2*((SIN(((Scenario_Data!W115)*12.9898+(Inputs!$C$6)*78.233+Inputs!$C$47*37.719))*43758.5453)-INT((SIN(((Scenario_Data!W115)*12.9898+(Inputs!$C$6)*78.233+Inputs!$C$47*37.719))*43758.5453)))-1))))/1000))^2-2*(Inputs!$C$52+(Scenario_Data!E115))*(Inputs!$C$52+((IF(OR(Inputs!$C$27=TRUE,Inputs!$C$27="TRUE",Inputs!$C$27=1),1,0)*(Inputs!$C$51*(115*EXP(-(((Inputs!$C$6)-25)^2)/(4.5^2))+70*EXP(-(((Inputs!$C$6)+38)^2)/(7^2))*(0.55+0.45*SIN(2*PI()*(Scenario_Data!W115)/45))+24*SIN(2*PI()*(Inputs!$C$6)/9+(Scenario_Data!W115)/18)*EXP(-(((Inputs!$C$6)+5)^2)/(22^2))+18*SIN(2*PI()*(Scenario_Data!W115)/70))+Inputs!$C$28*EXP(-(((Scenario_Data!W115)-Inputs!$C$29)^2)/(2*Inputs!$C$31^2))*EXP(-(((Inputs!$C$6)-Inputs!$C$30)^2)/(2*Inputs!$C$32^2))+-Inputs!$C$33*EXP(-(((((Scenario_Data!W115)-Inputs!$C$34)^2)+(((Inputs!$C$6)-Inputs!$C$35)^2))/(2*Inputs!$C$36^2)))+Inputs!$C$37*(0.55*SIN(2*PI()*(Scenario_Data!W115)/Inputs!$C$39)+0.35*COS(2*PI()*(Inputs!$C$6)/Inputs!$C$40)+0.2*SIN(2*PI()*((Scenario_Data!W115)+(Inputs!$C$6))/(0.5*(Inputs!$C$39+Inputs!$C$40))))+Inputs!$C$38*SIN(2*PI()*(Scenario_Data!W115)/Inputs!$C$39)*SIN(2*PI()*(Inputs!$C$6)/Inputs!$C$40)+-Inputs!$C$41*EXP(-(((Inputs!$C$6)-Inputs!$C$43)^2)/(2*Inputs!$C$44^2))*EXP(-(((Scenario_Data!W115)-Inputs!$C$42)^2)/(2*Inputs!$C$45^2))+Inputs!$C$48*(0.7*(0.45*SIN(2*PI()*(((Scenario_Data!W115)/Inputs!$C$49)+Inputs!$C$47*0.137))+0.35*COS(2*PI()*(((Inputs!$C$6)/Inputs!$C$50)+Inputs!$C$47*0.173))+0.2*SIN(2*PI()*((((Scenario_Data!W115)+(Inputs!$C$6))/(0.5*(Inputs!$C$49+Inputs!$C$50)))+Inputs!$C$47*0.097)))+0.3*(2*((SIN(((Scenario_Data!W115)*12.9898+(Inputs!$C$6)*78.233+Inputs!$C$47*37.719))*43758.5453)-INT((SIN(((Scenario_Data!W115)*12.9898+(Inputs!$C$6)*78.233+Inputs!$C$47*37.719))*43758.5453)))-1))))/1000))*COS(SQRT((Scenario_Data!W115)^2+Inputs!$C$6^2)/Inputs!$C$52))*1000)/Inputs!$C$21*1000000</f>
        <v/>
      </c>
    </row>
    <row r="116">
      <c r="A116">
        <f>Chart_Data!K116</f>
        <v/>
      </c>
      <c r="B116">
        <f>Chart_Data!N116-Chart_Data!L116</f>
        <v/>
      </c>
      <c r="D116">
        <f>Chart_Data!G116</f>
        <v/>
      </c>
      <c r="E116">
        <f>Chart_Data!H116</f>
        <v/>
      </c>
      <c r="F116">
        <f>Chart_Data!I116</f>
        <v/>
      </c>
      <c r="G116">
        <f>Chart_Data!J116</f>
        <v/>
      </c>
      <c r="I116">
        <f>Scenario_Data!A116</f>
        <v/>
      </c>
      <c r="J116">
        <f>Scenario_Data!H116-(((SQRT((Inputs!$C$52+(Inputs!$H$6))^2+Inputs!$C$52^2-2*(Inputs!$C$52+(Inputs!$H$6))*Inputs!$C$52*COS(SQRT((Scenario_Data!T116)^2+Inputs!$C$6^2)/Inputs!$C$52)))-(Inputs!$H$6))*1000/Inputs!$C$12)</f>
        <v/>
      </c>
      <c r="K116">
        <f>Scenario_Data!I116-(((SQRT((Inputs!$C$52+(Inputs!$H$7))^2+Inputs!$C$52^2-2*(Inputs!$C$52+(Inputs!$H$7))*Inputs!$C$52*COS(SQRT((Scenario_Data!U116)^2+Inputs!$C$6^2)/Inputs!$C$52)))-(Inputs!$H$7))*1000/Inputs!$C$12)</f>
        <v/>
      </c>
      <c r="L116">
        <f>Scenario_Data!J116-(((SQRT((Inputs!$C$52+(Inputs!$H$8))^2+Inputs!$C$52^2-2*(Inputs!$C$52+(Inputs!$H$8))*Inputs!$C$52*COS(SQRT((Scenario_Data!V116)^2+Inputs!$C$6^2)/Inputs!$C$52)))-(Inputs!$H$8))*1000/Inputs!$C$12)</f>
        <v/>
      </c>
      <c r="M116">
        <f>Scenario_Data!K116-(((SQRT((Inputs!$C$52+(Inputs!$H$9))^2+Inputs!$C$52^2-2*(Inputs!$C$52+(Inputs!$H$9))*Inputs!$C$52*COS(SQRT((Scenario_Data!W116)^2+Inputs!$C$6^2)/Inputs!$C$52)))-(Inputs!$H$9))*1000/Inputs!$C$12)</f>
        <v/>
      </c>
      <c r="O116">
        <f>Scenario_Data!T116</f>
        <v/>
      </c>
      <c r="P116">
        <f>2*(Scenario_Data!B116*1000)/Inputs!$C$21*1000000</f>
        <v/>
      </c>
      <c r="Q116">
        <f>Scenario_Data!U116</f>
        <v/>
      </c>
      <c r="R116">
        <f>2*(Scenario_Data!C116*1000)/Inputs!$C$21*1000000</f>
        <v/>
      </c>
      <c r="S116">
        <f>Scenario_Data!V116</f>
        <v/>
      </c>
      <c r="T116">
        <f>2*(Scenario_Data!D116*1000)/Inputs!$C$21*1000000</f>
        <v/>
      </c>
      <c r="U116">
        <f>Scenario_Data!W116</f>
        <v/>
      </c>
      <c r="V116">
        <f>2*(Scenario_Data!E116*1000)/Inputs!$C$21*1000000</f>
        <v/>
      </c>
      <c r="X116">
        <f>Scenario_Data!T116</f>
        <v/>
      </c>
      <c r="Y116">
        <f>2*((Scenario_Data!B116*1000)-(IF(OR(Inputs!$C$27=TRUE,Inputs!$C$27="TRUE",Inputs!$C$27=1),1,0)*(Inputs!$C$51*(115*EXP(-(((0)-25)^2)/(4.5^2))+70*EXP(-(((0)+38)^2)/(7^2))*(0.55+0.45*SIN(2*PI()*(Scenario_Data!T116)/45))+24*SIN(2*PI()*(0)/9+(Scenario_Data!T116)/18)*EXP(-(((0)+5)^2)/(22^2))+18*SIN(2*PI()*(Scenario_Data!T116)/70))+Inputs!$C$28*EXP(-(((Scenario_Data!T116)-Inputs!$C$29)^2)/(2*Inputs!$C$31^2))*EXP(-(((0)-Inputs!$C$30)^2)/(2*Inputs!$C$32^2))+-Inputs!$C$33*EXP(-(((((Scenario_Data!T116)-Inputs!$C$34)^2)+(((0)-Inputs!$C$35)^2))/(2*Inputs!$C$36^2)))+Inputs!$C$37*(0.55*SIN(2*PI()*(Scenario_Data!T116)/Inputs!$C$39)+0.35*COS(2*PI()*(0)/Inputs!$C$40)+0.2*SIN(2*PI()*((Scenario_Data!T116)+(0))/(0.5*(Inputs!$C$39+Inputs!$C$40))))+Inputs!$C$38*SIN(2*PI()*(Scenario_Data!T116)/Inputs!$C$39)*SIN(2*PI()*(0)/Inputs!$C$40)+-Inputs!$C$41*EXP(-(((0)-Inputs!$C$43)^2)/(2*Inputs!$C$44^2))*EXP(-(((Scenario_Data!T116)-Inputs!$C$42)^2)/(2*Inputs!$C$45^2))+Inputs!$C$48*(0.7*(0.45*SIN(2*PI()*(((Scenario_Data!T116)/Inputs!$C$49)+Inputs!$C$47*0.137))+0.35*COS(2*PI()*(((0)/Inputs!$C$50)+Inputs!$C$47*0.173))+0.2*SIN(2*PI()*((((Scenario_Data!T116)+(0))/(0.5*(Inputs!$C$49+Inputs!$C$50)))+Inputs!$C$47*0.097)))+0.3*(2*((SIN(((Scenario_Data!T116)*12.9898+(0)*78.233+Inputs!$C$47*37.719))*43758.5453)-INT((SIN(((Scenario_Data!T116)*12.9898+(0)*78.233+Inputs!$C$47*37.719))*43758.5453)))-1)))))/Inputs!$C$21*1000000</f>
        <v/>
      </c>
      <c r="Z116">
        <f>Scenario_Data!U116</f>
        <v/>
      </c>
      <c r="AA116">
        <f>2*((Scenario_Data!C116*1000)-(IF(OR(Inputs!$C$27=TRUE,Inputs!$C$27="TRUE",Inputs!$C$27=1),1,0)*(Inputs!$C$51*(115*EXP(-(((0)-25)^2)/(4.5^2))+70*EXP(-(((0)+38)^2)/(7^2))*(0.55+0.45*SIN(2*PI()*(Scenario_Data!U116)/45))+24*SIN(2*PI()*(0)/9+(Scenario_Data!U116)/18)*EXP(-(((0)+5)^2)/(22^2))+18*SIN(2*PI()*(Scenario_Data!U116)/70))+Inputs!$C$28*EXP(-(((Scenario_Data!U116)-Inputs!$C$29)^2)/(2*Inputs!$C$31^2))*EXP(-(((0)-Inputs!$C$30)^2)/(2*Inputs!$C$32^2))+-Inputs!$C$33*EXP(-(((((Scenario_Data!U116)-Inputs!$C$34)^2)+(((0)-Inputs!$C$35)^2))/(2*Inputs!$C$36^2)))+Inputs!$C$37*(0.55*SIN(2*PI()*(Scenario_Data!U116)/Inputs!$C$39)+0.35*COS(2*PI()*(0)/Inputs!$C$40)+0.2*SIN(2*PI()*((Scenario_Data!U116)+(0))/(0.5*(Inputs!$C$39+Inputs!$C$40))))+Inputs!$C$38*SIN(2*PI()*(Scenario_Data!U116)/Inputs!$C$39)*SIN(2*PI()*(0)/Inputs!$C$40)+-Inputs!$C$41*EXP(-(((0)-Inputs!$C$43)^2)/(2*Inputs!$C$44^2))*EXP(-(((Scenario_Data!U116)-Inputs!$C$42)^2)/(2*Inputs!$C$45^2))+Inputs!$C$48*(0.7*(0.45*SIN(2*PI()*(((Scenario_Data!U116)/Inputs!$C$49)+Inputs!$C$47*0.137))+0.35*COS(2*PI()*(((0)/Inputs!$C$50)+Inputs!$C$47*0.173))+0.2*SIN(2*PI()*((((Scenario_Data!U116)+(0))/(0.5*(Inputs!$C$49+Inputs!$C$50)))+Inputs!$C$47*0.097)))+0.3*(2*((SIN(((Scenario_Data!U116)*12.9898+(0)*78.233+Inputs!$C$47*37.719))*43758.5453)-INT((SIN(((Scenario_Data!U116)*12.9898+(0)*78.233+Inputs!$C$47*37.719))*43758.5453)))-1)))))/Inputs!$C$21*1000000</f>
        <v/>
      </c>
      <c r="AB116">
        <f>Scenario_Data!V116</f>
        <v/>
      </c>
      <c r="AC116">
        <f>2*((Scenario_Data!D116*1000)-(IF(OR(Inputs!$C$27=TRUE,Inputs!$C$27="TRUE",Inputs!$C$27=1),1,0)*(Inputs!$C$51*(115*EXP(-(((0)-25)^2)/(4.5^2))+70*EXP(-(((0)+38)^2)/(7^2))*(0.55+0.45*SIN(2*PI()*(Scenario_Data!V116)/45))+24*SIN(2*PI()*(0)/9+(Scenario_Data!V116)/18)*EXP(-(((0)+5)^2)/(22^2))+18*SIN(2*PI()*(Scenario_Data!V116)/70))+Inputs!$C$28*EXP(-(((Scenario_Data!V116)-Inputs!$C$29)^2)/(2*Inputs!$C$31^2))*EXP(-(((0)-Inputs!$C$30)^2)/(2*Inputs!$C$32^2))+-Inputs!$C$33*EXP(-(((((Scenario_Data!V116)-Inputs!$C$34)^2)+(((0)-Inputs!$C$35)^2))/(2*Inputs!$C$36^2)))+Inputs!$C$37*(0.55*SIN(2*PI()*(Scenario_Data!V116)/Inputs!$C$39)+0.35*COS(2*PI()*(0)/Inputs!$C$40)+0.2*SIN(2*PI()*((Scenario_Data!V116)+(0))/(0.5*(Inputs!$C$39+Inputs!$C$40))))+Inputs!$C$38*SIN(2*PI()*(Scenario_Data!V116)/Inputs!$C$39)*SIN(2*PI()*(0)/Inputs!$C$40)+-Inputs!$C$41*EXP(-(((0)-Inputs!$C$43)^2)/(2*Inputs!$C$44^2))*EXP(-(((Scenario_Data!V116)-Inputs!$C$42)^2)/(2*Inputs!$C$45^2))+Inputs!$C$48*(0.7*(0.45*SIN(2*PI()*(((Scenario_Data!V116)/Inputs!$C$49)+Inputs!$C$47*0.137))+0.35*COS(2*PI()*(((0)/Inputs!$C$50)+Inputs!$C$47*0.173))+0.2*SIN(2*PI()*((((Scenario_Data!V116)+(0))/(0.5*(Inputs!$C$49+Inputs!$C$50)))+Inputs!$C$47*0.097)))+0.3*(2*((SIN(((Scenario_Data!V116)*12.9898+(0)*78.233+Inputs!$C$47*37.719))*43758.5453)-INT((SIN(((Scenario_Data!V116)*12.9898+(0)*78.233+Inputs!$C$47*37.719))*43758.5453)))-1)))))/Inputs!$C$21*1000000</f>
        <v/>
      </c>
      <c r="AD116">
        <f>Scenario_Data!W116</f>
        <v/>
      </c>
      <c r="AE116">
        <f>2*((Scenario_Data!E116*1000)-(IF(OR(Inputs!$C$27=TRUE,Inputs!$C$27="TRUE",Inputs!$C$27=1),1,0)*(Inputs!$C$51*(115*EXP(-(((0)-25)^2)/(4.5^2))+70*EXP(-(((0)+38)^2)/(7^2))*(0.55+0.45*SIN(2*PI()*(Scenario_Data!W116)/45))+24*SIN(2*PI()*(0)/9+(Scenario_Data!W116)/18)*EXP(-(((0)+5)^2)/(22^2))+18*SIN(2*PI()*(Scenario_Data!W116)/70))+Inputs!$C$28*EXP(-(((Scenario_Data!W116)-Inputs!$C$29)^2)/(2*Inputs!$C$31^2))*EXP(-(((0)-Inputs!$C$30)^2)/(2*Inputs!$C$32^2))+-Inputs!$C$33*EXP(-(((((Scenario_Data!W116)-Inputs!$C$34)^2)+(((0)-Inputs!$C$35)^2))/(2*Inputs!$C$36^2)))+Inputs!$C$37*(0.55*SIN(2*PI()*(Scenario_Data!W116)/Inputs!$C$39)+0.35*COS(2*PI()*(0)/Inputs!$C$40)+0.2*SIN(2*PI()*((Scenario_Data!W116)+(0))/(0.5*(Inputs!$C$39+Inputs!$C$40))))+Inputs!$C$38*SIN(2*PI()*(Scenario_Data!W116)/Inputs!$C$39)*SIN(2*PI()*(0)/Inputs!$C$40)+-Inputs!$C$41*EXP(-(((0)-Inputs!$C$43)^2)/(2*Inputs!$C$44^2))*EXP(-(((Scenario_Data!W116)-Inputs!$C$42)^2)/(2*Inputs!$C$45^2))+Inputs!$C$48*(0.7*(0.45*SIN(2*PI()*(((Scenario_Data!W116)/Inputs!$C$49)+Inputs!$C$47*0.137))+0.35*COS(2*PI()*(((0)/Inputs!$C$50)+Inputs!$C$47*0.173))+0.2*SIN(2*PI()*((((Scenario_Data!W116)+(0))/(0.5*(Inputs!$C$49+Inputs!$C$50)))+Inputs!$C$47*0.097)))+0.3*(2*((SIN(((Scenario_Data!W116)*12.9898+(0)*78.233+Inputs!$C$47*37.719))*43758.5453)-INT((SIN(((Scenario_Data!W116)*12.9898+(0)*78.233+Inputs!$C$47*37.719))*43758.5453)))-1)))))/Inputs!$C$21*1000000</f>
        <v/>
      </c>
      <c r="AG116">
        <f>Scenario_Data!T116</f>
        <v/>
      </c>
      <c r="AH116">
        <f>2*(SQRT((Inputs!$C$52+(Scenario_Data!B116))^2+Inputs!$C$52^2-2*(Inputs!$C$52+(Scenario_Data!B116))*Inputs!$C$52*COS(SQRT((Scenario_Data!T116)^2+Inputs!$C$6^2)/Inputs!$C$52))*1000)/Inputs!$C$21*1000000</f>
        <v/>
      </c>
      <c r="AI116">
        <f>Scenario_Data!U116</f>
        <v/>
      </c>
      <c r="AJ116">
        <f>2*(SQRT((Inputs!$C$52+(Scenario_Data!C116))^2+Inputs!$C$52^2-2*(Inputs!$C$52+(Scenario_Data!C116))*Inputs!$C$52*COS(SQRT((Scenario_Data!U116)^2+Inputs!$C$6^2)/Inputs!$C$52))*1000)/Inputs!$C$21*1000000</f>
        <v/>
      </c>
      <c r="AK116">
        <f>Scenario_Data!V116</f>
        <v/>
      </c>
      <c r="AL116">
        <f>2*(SQRT((Inputs!$C$52+(Scenario_Data!D116))^2+Inputs!$C$52^2-2*(Inputs!$C$52+(Scenario_Data!D116))*Inputs!$C$52*COS(SQRT((Scenario_Data!V116)^2+Inputs!$C$6^2)/Inputs!$C$52))*1000)/Inputs!$C$21*1000000</f>
        <v/>
      </c>
      <c r="AM116">
        <f>Scenario_Data!W116</f>
        <v/>
      </c>
      <c r="AN116">
        <f>2*(SQRT((Inputs!$C$52+(Scenario_Data!E116))^2+Inputs!$C$52^2-2*(Inputs!$C$52+(Scenario_Data!E116))*Inputs!$C$52*COS(SQRT((Scenario_Data!W116)^2+Inputs!$C$6^2)/Inputs!$C$52))*1000)/Inputs!$C$21*1000000</f>
        <v/>
      </c>
      <c r="AP116">
        <f>Scenario_Data!T116</f>
        <v/>
      </c>
      <c r="AQ116">
        <f>2*(SQRT((Inputs!$C$52+(Scenario_Data!B116))^2+(Inputs!$C$52+((IF(OR(Inputs!$C$27=TRUE,Inputs!$C$27="TRUE",Inputs!$C$27=1),1,0)*(Inputs!$C$51*(115*EXP(-(((Inputs!$C$6)-25)^2)/(4.5^2))+70*EXP(-(((Inputs!$C$6)+38)^2)/(7^2))*(0.55+0.45*SIN(2*PI()*(Scenario_Data!T116)/45))+24*SIN(2*PI()*(Inputs!$C$6)/9+(Scenario_Data!T116)/18)*EXP(-(((Inputs!$C$6)+5)^2)/(22^2))+18*SIN(2*PI()*(Scenario_Data!T116)/70))+Inputs!$C$28*EXP(-(((Scenario_Data!T116)-Inputs!$C$29)^2)/(2*Inputs!$C$31^2))*EXP(-(((Inputs!$C$6)-Inputs!$C$30)^2)/(2*Inputs!$C$32^2))+-Inputs!$C$33*EXP(-(((((Scenario_Data!T116)-Inputs!$C$34)^2)+(((Inputs!$C$6)-Inputs!$C$35)^2))/(2*Inputs!$C$36^2)))+Inputs!$C$37*(0.55*SIN(2*PI()*(Scenario_Data!T116)/Inputs!$C$39)+0.35*COS(2*PI()*(Inputs!$C$6)/Inputs!$C$40)+0.2*SIN(2*PI()*((Scenario_Data!T116)+(Inputs!$C$6))/(0.5*(Inputs!$C$39+Inputs!$C$40))))+Inputs!$C$38*SIN(2*PI()*(Scenario_Data!T116)/Inputs!$C$39)*SIN(2*PI()*(Inputs!$C$6)/Inputs!$C$40)+-Inputs!$C$41*EXP(-(((Inputs!$C$6)-Inputs!$C$43)^2)/(2*Inputs!$C$44^2))*EXP(-(((Scenario_Data!T116)-Inputs!$C$42)^2)/(2*Inputs!$C$45^2))+Inputs!$C$48*(0.7*(0.45*SIN(2*PI()*(((Scenario_Data!T116)/Inputs!$C$49)+Inputs!$C$47*0.137))+0.35*COS(2*PI()*(((Inputs!$C$6)/Inputs!$C$50)+Inputs!$C$47*0.173))+0.2*SIN(2*PI()*((((Scenario_Data!T116)+(Inputs!$C$6))/(0.5*(Inputs!$C$49+Inputs!$C$50)))+Inputs!$C$47*0.097)))+0.3*(2*((SIN(((Scenario_Data!T116)*12.9898+(Inputs!$C$6)*78.233+Inputs!$C$47*37.719))*43758.5453)-INT((SIN(((Scenario_Data!T116)*12.9898+(Inputs!$C$6)*78.233+Inputs!$C$47*37.719))*43758.5453)))-1))))/1000))^2-2*(Inputs!$C$52+(Scenario_Data!B116))*(Inputs!$C$52+((IF(OR(Inputs!$C$27=TRUE,Inputs!$C$27="TRUE",Inputs!$C$27=1),1,0)*(Inputs!$C$51*(115*EXP(-(((Inputs!$C$6)-25)^2)/(4.5^2))+70*EXP(-(((Inputs!$C$6)+38)^2)/(7^2))*(0.55+0.45*SIN(2*PI()*(Scenario_Data!T116)/45))+24*SIN(2*PI()*(Inputs!$C$6)/9+(Scenario_Data!T116)/18)*EXP(-(((Inputs!$C$6)+5)^2)/(22^2))+18*SIN(2*PI()*(Scenario_Data!T116)/70))+Inputs!$C$28*EXP(-(((Scenario_Data!T116)-Inputs!$C$29)^2)/(2*Inputs!$C$31^2))*EXP(-(((Inputs!$C$6)-Inputs!$C$30)^2)/(2*Inputs!$C$32^2))+-Inputs!$C$33*EXP(-(((((Scenario_Data!T116)-Inputs!$C$34)^2)+(((Inputs!$C$6)-Inputs!$C$35)^2))/(2*Inputs!$C$36^2)))+Inputs!$C$37*(0.55*SIN(2*PI()*(Scenario_Data!T116)/Inputs!$C$39)+0.35*COS(2*PI()*(Inputs!$C$6)/Inputs!$C$40)+0.2*SIN(2*PI()*((Scenario_Data!T116)+(Inputs!$C$6))/(0.5*(Inputs!$C$39+Inputs!$C$40))))+Inputs!$C$38*SIN(2*PI()*(Scenario_Data!T116)/Inputs!$C$39)*SIN(2*PI()*(Inputs!$C$6)/Inputs!$C$40)+-Inputs!$C$41*EXP(-(((Inputs!$C$6)-Inputs!$C$43)^2)/(2*Inputs!$C$44^2))*EXP(-(((Scenario_Data!T116)-Inputs!$C$42)^2)/(2*Inputs!$C$45^2))+Inputs!$C$48*(0.7*(0.45*SIN(2*PI()*(((Scenario_Data!T116)/Inputs!$C$49)+Inputs!$C$47*0.137))+0.35*COS(2*PI()*(((Inputs!$C$6)/Inputs!$C$50)+Inputs!$C$47*0.173))+0.2*SIN(2*PI()*((((Scenario_Data!T116)+(Inputs!$C$6))/(0.5*(Inputs!$C$49+Inputs!$C$50)))+Inputs!$C$47*0.097)))+0.3*(2*((SIN(((Scenario_Data!T116)*12.9898+(Inputs!$C$6)*78.233+Inputs!$C$47*37.719))*43758.5453)-INT((SIN(((Scenario_Data!T116)*12.9898+(Inputs!$C$6)*78.233+Inputs!$C$47*37.719))*43758.5453)))-1))))/1000))*COS(SQRT((Scenario_Data!T116)^2+Inputs!$C$6^2)/Inputs!$C$52))*1000)/Inputs!$C$21*1000000</f>
        <v/>
      </c>
      <c r="AR116">
        <f>Scenario_Data!U116</f>
        <v/>
      </c>
      <c r="AS116">
        <f>2*(SQRT((Inputs!$C$52+(Scenario_Data!C116))^2+(Inputs!$C$52+((IF(OR(Inputs!$C$27=TRUE,Inputs!$C$27="TRUE",Inputs!$C$27=1),1,0)*(Inputs!$C$51*(115*EXP(-(((Inputs!$C$6)-25)^2)/(4.5^2))+70*EXP(-(((Inputs!$C$6)+38)^2)/(7^2))*(0.55+0.45*SIN(2*PI()*(Scenario_Data!U116)/45))+24*SIN(2*PI()*(Inputs!$C$6)/9+(Scenario_Data!U116)/18)*EXP(-(((Inputs!$C$6)+5)^2)/(22^2))+18*SIN(2*PI()*(Scenario_Data!U116)/70))+Inputs!$C$28*EXP(-(((Scenario_Data!U116)-Inputs!$C$29)^2)/(2*Inputs!$C$31^2))*EXP(-(((Inputs!$C$6)-Inputs!$C$30)^2)/(2*Inputs!$C$32^2))+-Inputs!$C$33*EXP(-(((((Scenario_Data!U116)-Inputs!$C$34)^2)+(((Inputs!$C$6)-Inputs!$C$35)^2))/(2*Inputs!$C$36^2)))+Inputs!$C$37*(0.55*SIN(2*PI()*(Scenario_Data!U116)/Inputs!$C$39)+0.35*COS(2*PI()*(Inputs!$C$6)/Inputs!$C$40)+0.2*SIN(2*PI()*((Scenario_Data!U116)+(Inputs!$C$6))/(0.5*(Inputs!$C$39+Inputs!$C$40))))+Inputs!$C$38*SIN(2*PI()*(Scenario_Data!U116)/Inputs!$C$39)*SIN(2*PI()*(Inputs!$C$6)/Inputs!$C$40)+-Inputs!$C$41*EXP(-(((Inputs!$C$6)-Inputs!$C$43)^2)/(2*Inputs!$C$44^2))*EXP(-(((Scenario_Data!U116)-Inputs!$C$42)^2)/(2*Inputs!$C$45^2))+Inputs!$C$48*(0.7*(0.45*SIN(2*PI()*(((Scenario_Data!U116)/Inputs!$C$49)+Inputs!$C$47*0.137))+0.35*COS(2*PI()*(((Inputs!$C$6)/Inputs!$C$50)+Inputs!$C$47*0.173))+0.2*SIN(2*PI()*((((Scenario_Data!U116)+(Inputs!$C$6))/(0.5*(Inputs!$C$49+Inputs!$C$50)))+Inputs!$C$47*0.097)))+0.3*(2*((SIN(((Scenario_Data!U116)*12.9898+(Inputs!$C$6)*78.233+Inputs!$C$47*37.719))*43758.5453)-INT((SIN(((Scenario_Data!U116)*12.9898+(Inputs!$C$6)*78.233+Inputs!$C$47*37.719))*43758.5453)))-1))))/1000))^2-2*(Inputs!$C$52+(Scenario_Data!C116))*(Inputs!$C$52+((IF(OR(Inputs!$C$27=TRUE,Inputs!$C$27="TRUE",Inputs!$C$27=1),1,0)*(Inputs!$C$51*(115*EXP(-(((Inputs!$C$6)-25)^2)/(4.5^2))+70*EXP(-(((Inputs!$C$6)+38)^2)/(7^2))*(0.55+0.45*SIN(2*PI()*(Scenario_Data!U116)/45))+24*SIN(2*PI()*(Inputs!$C$6)/9+(Scenario_Data!U116)/18)*EXP(-(((Inputs!$C$6)+5)^2)/(22^2))+18*SIN(2*PI()*(Scenario_Data!U116)/70))+Inputs!$C$28*EXP(-(((Scenario_Data!U116)-Inputs!$C$29)^2)/(2*Inputs!$C$31^2))*EXP(-(((Inputs!$C$6)-Inputs!$C$30)^2)/(2*Inputs!$C$32^2))+-Inputs!$C$33*EXP(-(((((Scenario_Data!U116)-Inputs!$C$34)^2)+(((Inputs!$C$6)-Inputs!$C$35)^2))/(2*Inputs!$C$36^2)))+Inputs!$C$37*(0.55*SIN(2*PI()*(Scenario_Data!U116)/Inputs!$C$39)+0.35*COS(2*PI()*(Inputs!$C$6)/Inputs!$C$40)+0.2*SIN(2*PI()*((Scenario_Data!U116)+(Inputs!$C$6))/(0.5*(Inputs!$C$39+Inputs!$C$40))))+Inputs!$C$38*SIN(2*PI()*(Scenario_Data!U116)/Inputs!$C$39)*SIN(2*PI()*(Inputs!$C$6)/Inputs!$C$40)+-Inputs!$C$41*EXP(-(((Inputs!$C$6)-Inputs!$C$43)^2)/(2*Inputs!$C$44^2))*EXP(-(((Scenario_Data!U116)-Inputs!$C$42)^2)/(2*Inputs!$C$45^2))+Inputs!$C$48*(0.7*(0.45*SIN(2*PI()*(((Scenario_Data!U116)/Inputs!$C$49)+Inputs!$C$47*0.137))+0.35*COS(2*PI()*(((Inputs!$C$6)/Inputs!$C$50)+Inputs!$C$47*0.173))+0.2*SIN(2*PI()*((((Scenario_Data!U116)+(Inputs!$C$6))/(0.5*(Inputs!$C$49+Inputs!$C$50)))+Inputs!$C$47*0.097)))+0.3*(2*((SIN(((Scenario_Data!U116)*12.9898+(Inputs!$C$6)*78.233+Inputs!$C$47*37.719))*43758.5453)-INT((SIN(((Scenario_Data!U116)*12.9898+(Inputs!$C$6)*78.233+Inputs!$C$47*37.719))*43758.5453)))-1))))/1000))*COS(SQRT((Scenario_Data!U116)^2+Inputs!$C$6^2)/Inputs!$C$52))*1000)/Inputs!$C$21*1000000</f>
        <v/>
      </c>
      <c r="AT116">
        <f>Scenario_Data!V116</f>
        <v/>
      </c>
      <c r="AU116">
        <f>2*(SQRT((Inputs!$C$52+(Scenario_Data!D116))^2+(Inputs!$C$52+((IF(OR(Inputs!$C$27=TRUE,Inputs!$C$27="TRUE",Inputs!$C$27=1),1,0)*(Inputs!$C$51*(115*EXP(-(((Inputs!$C$6)-25)^2)/(4.5^2))+70*EXP(-(((Inputs!$C$6)+38)^2)/(7^2))*(0.55+0.45*SIN(2*PI()*(Scenario_Data!V116)/45))+24*SIN(2*PI()*(Inputs!$C$6)/9+(Scenario_Data!V116)/18)*EXP(-(((Inputs!$C$6)+5)^2)/(22^2))+18*SIN(2*PI()*(Scenario_Data!V116)/70))+Inputs!$C$28*EXP(-(((Scenario_Data!V116)-Inputs!$C$29)^2)/(2*Inputs!$C$31^2))*EXP(-(((Inputs!$C$6)-Inputs!$C$30)^2)/(2*Inputs!$C$32^2))+-Inputs!$C$33*EXP(-(((((Scenario_Data!V116)-Inputs!$C$34)^2)+(((Inputs!$C$6)-Inputs!$C$35)^2))/(2*Inputs!$C$36^2)))+Inputs!$C$37*(0.55*SIN(2*PI()*(Scenario_Data!V116)/Inputs!$C$39)+0.35*COS(2*PI()*(Inputs!$C$6)/Inputs!$C$40)+0.2*SIN(2*PI()*((Scenario_Data!V116)+(Inputs!$C$6))/(0.5*(Inputs!$C$39+Inputs!$C$40))))+Inputs!$C$38*SIN(2*PI()*(Scenario_Data!V116)/Inputs!$C$39)*SIN(2*PI()*(Inputs!$C$6)/Inputs!$C$40)+-Inputs!$C$41*EXP(-(((Inputs!$C$6)-Inputs!$C$43)^2)/(2*Inputs!$C$44^2))*EXP(-(((Scenario_Data!V116)-Inputs!$C$42)^2)/(2*Inputs!$C$45^2))+Inputs!$C$48*(0.7*(0.45*SIN(2*PI()*(((Scenario_Data!V116)/Inputs!$C$49)+Inputs!$C$47*0.137))+0.35*COS(2*PI()*(((Inputs!$C$6)/Inputs!$C$50)+Inputs!$C$47*0.173))+0.2*SIN(2*PI()*((((Scenario_Data!V116)+(Inputs!$C$6))/(0.5*(Inputs!$C$49+Inputs!$C$50)))+Inputs!$C$47*0.097)))+0.3*(2*((SIN(((Scenario_Data!V116)*12.9898+(Inputs!$C$6)*78.233+Inputs!$C$47*37.719))*43758.5453)-INT((SIN(((Scenario_Data!V116)*12.9898+(Inputs!$C$6)*78.233+Inputs!$C$47*37.719))*43758.5453)))-1))))/1000))^2-2*(Inputs!$C$52+(Scenario_Data!D116))*(Inputs!$C$52+((IF(OR(Inputs!$C$27=TRUE,Inputs!$C$27="TRUE",Inputs!$C$27=1),1,0)*(Inputs!$C$51*(115*EXP(-(((Inputs!$C$6)-25)^2)/(4.5^2))+70*EXP(-(((Inputs!$C$6)+38)^2)/(7^2))*(0.55+0.45*SIN(2*PI()*(Scenario_Data!V116)/45))+24*SIN(2*PI()*(Inputs!$C$6)/9+(Scenario_Data!V116)/18)*EXP(-(((Inputs!$C$6)+5)^2)/(22^2))+18*SIN(2*PI()*(Scenario_Data!V116)/70))+Inputs!$C$28*EXP(-(((Scenario_Data!V116)-Inputs!$C$29)^2)/(2*Inputs!$C$31^2))*EXP(-(((Inputs!$C$6)-Inputs!$C$30)^2)/(2*Inputs!$C$32^2))+-Inputs!$C$33*EXP(-(((((Scenario_Data!V116)-Inputs!$C$34)^2)+(((Inputs!$C$6)-Inputs!$C$35)^2))/(2*Inputs!$C$36^2)))+Inputs!$C$37*(0.55*SIN(2*PI()*(Scenario_Data!V116)/Inputs!$C$39)+0.35*COS(2*PI()*(Inputs!$C$6)/Inputs!$C$40)+0.2*SIN(2*PI()*((Scenario_Data!V116)+(Inputs!$C$6))/(0.5*(Inputs!$C$39+Inputs!$C$40))))+Inputs!$C$38*SIN(2*PI()*(Scenario_Data!V116)/Inputs!$C$39)*SIN(2*PI()*(Inputs!$C$6)/Inputs!$C$40)+-Inputs!$C$41*EXP(-(((Inputs!$C$6)-Inputs!$C$43)^2)/(2*Inputs!$C$44^2))*EXP(-(((Scenario_Data!V116)-Inputs!$C$42)^2)/(2*Inputs!$C$45^2))+Inputs!$C$48*(0.7*(0.45*SIN(2*PI()*(((Scenario_Data!V116)/Inputs!$C$49)+Inputs!$C$47*0.137))+0.35*COS(2*PI()*(((Inputs!$C$6)/Inputs!$C$50)+Inputs!$C$47*0.173))+0.2*SIN(2*PI()*((((Scenario_Data!V116)+(Inputs!$C$6))/(0.5*(Inputs!$C$49+Inputs!$C$50)))+Inputs!$C$47*0.097)))+0.3*(2*((SIN(((Scenario_Data!V116)*12.9898+(Inputs!$C$6)*78.233+Inputs!$C$47*37.719))*43758.5453)-INT((SIN(((Scenario_Data!V116)*12.9898+(Inputs!$C$6)*78.233+Inputs!$C$47*37.719))*43758.5453)))-1))))/1000))*COS(SQRT((Scenario_Data!V116)^2+Inputs!$C$6^2)/Inputs!$C$52))*1000)/Inputs!$C$21*1000000</f>
        <v/>
      </c>
      <c r="AV116">
        <f>Scenario_Data!W116</f>
        <v/>
      </c>
      <c r="AW116">
        <f>2*(SQRT((Inputs!$C$52+(Scenario_Data!E116))^2+(Inputs!$C$52+((IF(OR(Inputs!$C$27=TRUE,Inputs!$C$27="TRUE",Inputs!$C$27=1),1,0)*(Inputs!$C$51*(115*EXP(-(((Inputs!$C$6)-25)^2)/(4.5^2))+70*EXP(-(((Inputs!$C$6)+38)^2)/(7^2))*(0.55+0.45*SIN(2*PI()*(Scenario_Data!W116)/45))+24*SIN(2*PI()*(Inputs!$C$6)/9+(Scenario_Data!W116)/18)*EXP(-(((Inputs!$C$6)+5)^2)/(22^2))+18*SIN(2*PI()*(Scenario_Data!W116)/70))+Inputs!$C$28*EXP(-(((Scenario_Data!W116)-Inputs!$C$29)^2)/(2*Inputs!$C$31^2))*EXP(-(((Inputs!$C$6)-Inputs!$C$30)^2)/(2*Inputs!$C$32^2))+-Inputs!$C$33*EXP(-(((((Scenario_Data!W116)-Inputs!$C$34)^2)+(((Inputs!$C$6)-Inputs!$C$35)^2))/(2*Inputs!$C$36^2)))+Inputs!$C$37*(0.55*SIN(2*PI()*(Scenario_Data!W116)/Inputs!$C$39)+0.35*COS(2*PI()*(Inputs!$C$6)/Inputs!$C$40)+0.2*SIN(2*PI()*((Scenario_Data!W116)+(Inputs!$C$6))/(0.5*(Inputs!$C$39+Inputs!$C$40))))+Inputs!$C$38*SIN(2*PI()*(Scenario_Data!W116)/Inputs!$C$39)*SIN(2*PI()*(Inputs!$C$6)/Inputs!$C$40)+-Inputs!$C$41*EXP(-(((Inputs!$C$6)-Inputs!$C$43)^2)/(2*Inputs!$C$44^2))*EXP(-(((Scenario_Data!W116)-Inputs!$C$42)^2)/(2*Inputs!$C$45^2))+Inputs!$C$48*(0.7*(0.45*SIN(2*PI()*(((Scenario_Data!W116)/Inputs!$C$49)+Inputs!$C$47*0.137))+0.35*COS(2*PI()*(((Inputs!$C$6)/Inputs!$C$50)+Inputs!$C$47*0.173))+0.2*SIN(2*PI()*((((Scenario_Data!W116)+(Inputs!$C$6))/(0.5*(Inputs!$C$49+Inputs!$C$50)))+Inputs!$C$47*0.097)))+0.3*(2*((SIN(((Scenario_Data!W116)*12.9898+(Inputs!$C$6)*78.233+Inputs!$C$47*37.719))*43758.5453)-INT((SIN(((Scenario_Data!W116)*12.9898+(Inputs!$C$6)*78.233+Inputs!$C$47*37.719))*43758.5453)))-1))))/1000))^2-2*(Inputs!$C$52+(Scenario_Data!E116))*(Inputs!$C$52+((IF(OR(Inputs!$C$27=TRUE,Inputs!$C$27="TRUE",Inputs!$C$27=1),1,0)*(Inputs!$C$51*(115*EXP(-(((Inputs!$C$6)-25)^2)/(4.5^2))+70*EXP(-(((Inputs!$C$6)+38)^2)/(7^2))*(0.55+0.45*SIN(2*PI()*(Scenario_Data!W116)/45))+24*SIN(2*PI()*(Inputs!$C$6)/9+(Scenario_Data!W116)/18)*EXP(-(((Inputs!$C$6)+5)^2)/(22^2))+18*SIN(2*PI()*(Scenario_Data!W116)/70))+Inputs!$C$28*EXP(-(((Scenario_Data!W116)-Inputs!$C$29)^2)/(2*Inputs!$C$31^2))*EXP(-(((Inputs!$C$6)-Inputs!$C$30)^2)/(2*Inputs!$C$32^2))+-Inputs!$C$33*EXP(-(((((Scenario_Data!W116)-Inputs!$C$34)^2)+(((Inputs!$C$6)-Inputs!$C$35)^2))/(2*Inputs!$C$36^2)))+Inputs!$C$37*(0.55*SIN(2*PI()*(Scenario_Data!W116)/Inputs!$C$39)+0.35*COS(2*PI()*(Inputs!$C$6)/Inputs!$C$40)+0.2*SIN(2*PI()*((Scenario_Data!W116)+(Inputs!$C$6))/(0.5*(Inputs!$C$39+Inputs!$C$40))))+Inputs!$C$38*SIN(2*PI()*(Scenario_Data!W116)/Inputs!$C$39)*SIN(2*PI()*(Inputs!$C$6)/Inputs!$C$40)+-Inputs!$C$41*EXP(-(((Inputs!$C$6)-Inputs!$C$43)^2)/(2*Inputs!$C$44^2))*EXP(-(((Scenario_Data!W116)-Inputs!$C$42)^2)/(2*Inputs!$C$45^2))+Inputs!$C$48*(0.7*(0.45*SIN(2*PI()*(((Scenario_Data!W116)/Inputs!$C$49)+Inputs!$C$47*0.137))+0.35*COS(2*PI()*(((Inputs!$C$6)/Inputs!$C$50)+Inputs!$C$47*0.173))+0.2*SIN(2*PI()*((((Scenario_Data!W116)+(Inputs!$C$6))/(0.5*(Inputs!$C$49+Inputs!$C$50)))+Inputs!$C$47*0.097)))+0.3*(2*((SIN(((Scenario_Data!W116)*12.9898+(Inputs!$C$6)*78.233+Inputs!$C$47*37.719))*43758.5453)-INT((SIN(((Scenario_Data!W116)*12.9898+(Inputs!$C$6)*78.233+Inputs!$C$47*37.719))*43758.5453)))-1))))/1000))*COS(SQRT((Scenario_Data!W116)^2+Inputs!$C$6^2)/Inputs!$C$52))*1000)/Inputs!$C$21*1000000</f>
        <v/>
      </c>
    </row>
    <row r="117">
      <c r="A117">
        <f>Chart_Data!K117</f>
        <v/>
      </c>
      <c r="B117">
        <f>Chart_Data!N117-Chart_Data!L117</f>
        <v/>
      </c>
      <c r="D117">
        <f>Chart_Data!G117</f>
        <v/>
      </c>
      <c r="E117">
        <f>Chart_Data!H117</f>
        <v/>
      </c>
      <c r="F117">
        <f>Chart_Data!I117</f>
        <v/>
      </c>
      <c r="G117">
        <f>Chart_Data!J117</f>
        <v/>
      </c>
      <c r="I117">
        <f>Scenario_Data!A117</f>
        <v/>
      </c>
      <c r="J117">
        <f>Scenario_Data!H117-(((SQRT((Inputs!$C$52+(Inputs!$H$6))^2+Inputs!$C$52^2-2*(Inputs!$C$52+(Inputs!$H$6))*Inputs!$C$52*COS(SQRT((Scenario_Data!T117)^2+Inputs!$C$6^2)/Inputs!$C$52)))-(Inputs!$H$6))*1000/Inputs!$C$12)</f>
        <v/>
      </c>
      <c r="K117">
        <f>Scenario_Data!I117-(((SQRT((Inputs!$C$52+(Inputs!$H$7))^2+Inputs!$C$52^2-2*(Inputs!$C$52+(Inputs!$H$7))*Inputs!$C$52*COS(SQRT((Scenario_Data!U117)^2+Inputs!$C$6^2)/Inputs!$C$52)))-(Inputs!$H$7))*1000/Inputs!$C$12)</f>
        <v/>
      </c>
      <c r="L117">
        <f>Scenario_Data!J117-(((SQRT((Inputs!$C$52+(Inputs!$H$8))^2+Inputs!$C$52^2-2*(Inputs!$C$52+(Inputs!$H$8))*Inputs!$C$52*COS(SQRT((Scenario_Data!V117)^2+Inputs!$C$6^2)/Inputs!$C$52)))-(Inputs!$H$8))*1000/Inputs!$C$12)</f>
        <v/>
      </c>
      <c r="M117">
        <f>Scenario_Data!K117-(((SQRT((Inputs!$C$52+(Inputs!$H$9))^2+Inputs!$C$52^2-2*(Inputs!$C$52+(Inputs!$H$9))*Inputs!$C$52*COS(SQRT((Scenario_Data!W117)^2+Inputs!$C$6^2)/Inputs!$C$52)))-(Inputs!$H$9))*1000/Inputs!$C$12)</f>
        <v/>
      </c>
      <c r="O117">
        <f>Scenario_Data!T117</f>
        <v/>
      </c>
      <c r="P117">
        <f>2*(Scenario_Data!B117*1000)/Inputs!$C$21*1000000</f>
        <v/>
      </c>
      <c r="Q117">
        <f>Scenario_Data!U117</f>
        <v/>
      </c>
      <c r="R117">
        <f>2*(Scenario_Data!C117*1000)/Inputs!$C$21*1000000</f>
        <v/>
      </c>
      <c r="S117">
        <f>Scenario_Data!V117</f>
        <v/>
      </c>
      <c r="T117">
        <f>2*(Scenario_Data!D117*1000)/Inputs!$C$21*1000000</f>
        <v/>
      </c>
      <c r="U117">
        <f>Scenario_Data!W117</f>
        <v/>
      </c>
      <c r="V117">
        <f>2*(Scenario_Data!E117*1000)/Inputs!$C$21*1000000</f>
        <v/>
      </c>
      <c r="X117">
        <f>Scenario_Data!T117</f>
        <v/>
      </c>
      <c r="Y117">
        <f>2*((Scenario_Data!B117*1000)-(IF(OR(Inputs!$C$27=TRUE,Inputs!$C$27="TRUE",Inputs!$C$27=1),1,0)*(Inputs!$C$51*(115*EXP(-(((0)-25)^2)/(4.5^2))+70*EXP(-(((0)+38)^2)/(7^2))*(0.55+0.45*SIN(2*PI()*(Scenario_Data!T117)/45))+24*SIN(2*PI()*(0)/9+(Scenario_Data!T117)/18)*EXP(-(((0)+5)^2)/(22^2))+18*SIN(2*PI()*(Scenario_Data!T117)/70))+Inputs!$C$28*EXP(-(((Scenario_Data!T117)-Inputs!$C$29)^2)/(2*Inputs!$C$31^2))*EXP(-(((0)-Inputs!$C$30)^2)/(2*Inputs!$C$32^2))+-Inputs!$C$33*EXP(-(((((Scenario_Data!T117)-Inputs!$C$34)^2)+(((0)-Inputs!$C$35)^2))/(2*Inputs!$C$36^2)))+Inputs!$C$37*(0.55*SIN(2*PI()*(Scenario_Data!T117)/Inputs!$C$39)+0.35*COS(2*PI()*(0)/Inputs!$C$40)+0.2*SIN(2*PI()*((Scenario_Data!T117)+(0))/(0.5*(Inputs!$C$39+Inputs!$C$40))))+Inputs!$C$38*SIN(2*PI()*(Scenario_Data!T117)/Inputs!$C$39)*SIN(2*PI()*(0)/Inputs!$C$40)+-Inputs!$C$41*EXP(-(((0)-Inputs!$C$43)^2)/(2*Inputs!$C$44^2))*EXP(-(((Scenario_Data!T117)-Inputs!$C$42)^2)/(2*Inputs!$C$45^2))+Inputs!$C$48*(0.7*(0.45*SIN(2*PI()*(((Scenario_Data!T117)/Inputs!$C$49)+Inputs!$C$47*0.137))+0.35*COS(2*PI()*(((0)/Inputs!$C$50)+Inputs!$C$47*0.173))+0.2*SIN(2*PI()*((((Scenario_Data!T117)+(0))/(0.5*(Inputs!$C$49+Inputs!$C$50)))+Inputs!$C$47*0.097)))+0.3*(2*((SIN(((Scenario_Data!T117)*12.9898+(0)*78.233+Inputs!$C$47*37.719))*43758.5453)-INT((SIN(((Scenario_Data!T117)*12.9898+(0)*78.233+Inputs!$C$47*37.719))*43758.5453)))-1)))))/Inputs!$C$21*1000000</f>
        <v/>
      </c>
      <c r="Z117">
        <f>Scenario_Data!U117</f>
        <v/>
      </c>
      <c r="AA117">
        <f>2*((Scenario_Data!C117*1000)-(IF(OR(Inputs!$C$27=TRUE,Inputs!$C$27="TRUE",Inputs!$C$27=1),1,0)*(Inputs!$C$51*(115*EXP(-(((0)-25)^2)/(4.5^2))+70*EXP(-(((0)+38)^2)/(7^2))*(0.55+0.45*SIN(2*PI()*(Scenario_Data!U117)/45))+24*SIN(2*PI()*(0)/9+(Scenario_Data!U117)/18)*EXP(-(((0)+5)^2)/(22^2))+18*SIN(2*PI()*(Scenario_Data!U117)/70))+Inputs!$C$28*EXP(-(((Scenario_Data!U117)-Inputs!$C$29)^2)/(2*Inputs!$C$31^2))*EXP(-(((0)-Inputs!$C$30)^2)/(2*Inputs!$C$32^2))+-Inputs!$C$33*EXP(-(((((Scenario_Data!U117)-Inputs!$C$34)^2)+(((0)-Inputs!$C$35)^2))/(2*Inputs!$C$36^2)))+Inputs!$C$37*(0.55*SIN(2*PI()*(Scenario_Data!U117)/Inputs!$C$39)+0.35*COS(2*PI()*(0)/Inputs!$C$40)+0.2*SIN(2*PI()*((Scenario_Data!U117)+(0))/(0.5*(Inputs!$C$39+Inputs!$C$40))))+Inputs!$C$38*SIN(2*PI()*(Scenario_Data!U117)/Inputs!$C$39)*SIN(2*PI()*(0)/Inputs!$C$40)+-Inputs!$C$41*EXP(-(((0)-Inputs!$C$43)^2)/(2*Inputs!$C$44^2))*EXP(-(((Scenario_Data!U117)-Inputs!$C$42)^2)/(2*Inputs!$C$45^2))+Inputs!$C$48*(0.7*(0.45*SIN(2*PI()*(((Scenario_Data!U117)/Inputs!$C$49)+Inputs!$C$47*0.137))+0.35*COS(2*PI()*(((0)/Inputs!$C$50)+Inputs!$C$47*0.173))+0.2*SIN(2*PI()*((((Scenario_Data!U117)+(0))/(0.5*(Inputs!$C$49+Inputs!$C$50)))+Inputs!$C$47*0.097)))+0.3*(2*((SIN(((Scenario_Data!U117)*12.9898+(0)*78.233+Inputs!$C$47*37.719))*43758.5453)-INT((SIN(((Scenario_Data!U117)*12.9898+(0)*78.233+Inputs!$C$47*37.719))*43758.5453)))-1)))))/Inputs!$C$21*1000000</f>
        <v/>
      </c>
      <c r="AB117">
        <f>Scenario_Data!V117</f>
        <v/>
      </c>
      <c r="AC117">
        <f>2*((Scenario_Data!D117*1000)-(IF(OR(Inputs!$C$27=TRUE,Inputs!$C$27="TRUE",Inputs!$C$27=1),1,0)*(Inputs!$C$51*(115*EXP(-(((0)-25)^2)/(4.5^2))+70*EXP(-(((0)+38)^2)/(7^2))*(0.55+0.45*SIN(2*PI()*(Scenario_Data!V117)/45))+24*SIN(2*PI()*(0)/9+(Scenario_Data!V117)/18)*EXP(-(((0)+5)^2)/(22^2))+18*SIN(2*PI()*(Scenario_Data!V117)/70))+Inputs!$C$28*EXP(-(((Scenario_Data!V117)-Inputs!$C$29)^2)/(2*Inputs!$C$31^2))*EXP(-(((0)-Inputs!$C$30)^2)/(2*Inputs!$C$32^2))+-Inputs!$C$33*EXP(-(((((Scenario_Data!V117)-Inputs!$C$34)^2)+(((0)-Inputs!$C$35)^2))/(2*Inputs!$C$36^2)))+Inputs!$C$37*(0.55*SIN(2*PI()*(Scenario_Data!V117)/Inputs!$C$39)+0.35*COS(2*PI()*(0)/Inputs!$C$40)+0.2*SIN(2*PI()*((Scenario_Data!V117)+(0))/(0.5*(Inputs!$C$39+Inputs!$C$40))))+Inputs!$C$38*SIN(2*PI()*(Scenario_Data!V117)/Inputs!$C$39)*SIN(2*PI()*(0)/Inputs!$C$40)+-Inputs!$C$41*EXP(-(((0)-Inputs!$C$43)^2)/(2*Inputs!$C$44^2))*EXP(-(((Scenario_Data!V117)-Inputs!$C$42)^2)/(2*Inputs!$C$45^2))+Inputs!$C$48*(0.7*(0.45*SIN(2*PI()*(((Scenario_Data!V117)/Inputs!$C$49)+Inputs!$C$47*0.137))+0.35*COS(2*PI()*(((0)/Inputs!$C$50)+Inputs!$C$47*0.173))+0.2*SIN(2*PI()*((((Scenario_Data!V117)+(0))/(0.5*(Inputs!$C$49+Inputs!$C$50)))+Inputs!$C$47*0.097)))+0.3*(2*((SIN(((Scenario_Data!V117)*12.9898+(0)*78.233+Inputs!$C$47*37.719))*43758.5453)-INT((SIN(((Scenario_Data!V117)*12.9898+(0)*78.233+Inputs!$C$47*37.719))*43758.5453)))-1)))))/Inputs!$C$21*1000000</f>
        <v/>
      </c>
      <c r="AD117">
        <f>Scenario_Data!W117</f>
        <v/>
      </c>
      <c r="AE117">
        <f>2*((Scenario_Data!E117*1000)-(IF(OR(Inputs!$C$27=TRUE,Inputs!$C$27="TRUE",Inputs!$C$27=1),1,0)*(Inputs!$C$51*(115*EXP(-(((0)-25)^2)/(4.5^2))+70*EXP(-(((0)+38)^2)/(7^2))*(0.55+0.45*SIN(2*PI()*(Scenario_Data!W117)/45))+24*SIN(2*PI()*(0)/9+(Scenario_Data!W117)/18)*EXP(-(((0)+5)^2)/(22^2))+18*SIN(2*PI()*(Scenario_Data!W117)/70))+Inputs!$C$28*EXP(-(((Scenario_Data!W117)-Inputs!$C$29)^2)/(2*Inputs!$C$31^2))*EXP(-(((0)-Inputs!$C$30)^2)/(2*Inputs!$C$32^2))+-Inputs!$C$33*EXP(-(((((Scenario_Data!W117)-Inputs!$C$34)^2)+(((0)-Inputs!$C$35)^2))/(2*Inputs!$C$36^2)))+Inputs!$C$37*(0.55*SIN(2*PI()*(Scenario_Data!W117)/Inputs!$C$39)+0.35*COS(2*PI()*(0)/Inputs!$C$40)+0.2*SIN(2*PI()*((Scenario_Data!W117)+(0))/(0.5*(Inputs!$C$39+Inputs!$C$40))))+Inputs!$C$38*SIN(2*PI()*(Scenario_Data!W117)/Inputs!$C$39)*SIN(2*PI()*(0)/Inputs!$C$40)+-Inputs!$C$41*EXP(-(((0)-Inputs!$C$43)^2)/(2*Inputs!$C$44^2))*EXP(-(((Scenario_Data!W117)-Inputs!$C$42)^2)/(2*Inputs!$C$45^2))+Inputs!$C$48*(0.7*(0.45*SIN(2*PI()*(((Scenario_Data!W117)/Inputs!$C$49)+Inputs!$C$47*0.137))+0.35*COS(2*PI()*(((0)/Inputs!$C$50)+Inputs!$C$47*0.173))+0.2*SIN(2*PI()*((((Scenario_Data!W117)+(0))/(0.5*(Inputs!$C$49+Inputs!$C$50)))+Inputs!$C$47*0.097)))+0.3*(2*((SIN(((Scenario_Data!W117)*12.9898+(0)*78.233+Inputs!$C$47*37.719))*43758.5453)-INT((SIN(((Scenario_Data!W117)*12.9898+(0)*78.233+Inputs!$C$47*37.719))*43758.5453)))-1)))))/Inputs!$C$21*1000000</f>
        <v/>
      </c>
      <c r="AG117">
        <f>Scenario_Data!T117</f>
        <v/>
      </c>
      <c r="AH117">
        <f>2*(SQRT((Inputs!$C$52+(Scenario_Data!B117))^2+Inputs!$C$52^2-2*(Inputs!$C$52+(Scenario_Data!B117))*Inputs!$C$52*COS(SQRT((Scenario_Data!T117)^2+Inputs!$C$6^2)/Inputs!$C$52))*1000)/Inputs!$C$21*1000000</f>
        <v/>
      </c>
      <c r="AI117">
        <f>Scenario_Data!U117</f>
        <v/>
      </c>
      <c r="AJ117">
        <f>2*(SQRT((Inputs!$C$52+(Scenario_Data!C117))^2+Inputs!$C$52^2-2*(Inputs!$C$52+(Scenario_Data!C117))*Inputs!$C$52*COS(SQRT((Scenario_Data!U117)^2+Inputs!$C$6^2)/Inputs!$C$52))*1000)/Inputs!$C$21*1000000</f>
        <v/>
      </c>
      <c r="AK117">
        <f>Scenario_Data!V117</f>
        <v/>
      </c>
      <c r="AL117">
        <f>2*(SQRT((Inputs!$C$52+(Scenario_Data!D117))^2+Inputs!$C$52^2-2*(Inputs!$C$52+(Scenario_Data!D117))*Inputs!$C$52*COS(SQRT((Scenario_Data!V117)^2+Inputs!$C$6^2)/Inputs!$C$52))*1000)/Inputs!$C$21*1000000</f>
        <v/>
      </c>
      <c r="AM117">
        <f>Scenario_Data!W117</f>
        <v/>
      </c>
      <c r="AN117">
        <f>2*(SQRT((Inputs!$C$52+(Scenario_Data!E117))^2+Inputs!$C$52^2-2*(Inputs!$C$52+(Scenario_Data!E117))*Inputs!$C$52*COS(SQRT((Scenario_Data!W117)^2+Inputs!$C$6^2)/Inputs!$C$52))*1000)/Inputs!$C$21*1000000</f>
        <v/>
      </c>
      <c r="AP117">
        <f>Scenario_Data!T117</f>
        <v/>
      </c>
      <c r="AQ117">
        <f>2*(SQRT((Inputs!$C$52+(Scenario_Data!B117))^2+(Inputs!$C$52+((IF(OR(Inputs!$C$27=TRUE,Inputs!$C$27="TRUE",Inputs!$C$27=1),1,0)*(Inputs!$C$51*(115*EXP(-(((Inputs!$C$6)-25)^2)/(4.5^2))+70*EXP(-(((Inputs!$C$6)+38)^2)/(7^2))*(0.55+0.45*SIN(2*PI()*(Scenario_Data!T117)/45))+24*SIN(2*PI()*(Inputs!$C$6)/9+(Scenario_Data!T117)/18)*EXP(-(((Inputs!$C$6)+5)^2)/(22^2))+18*SIN(2*PI()*(Scenario_Data!T117)/70))+Inputs!$C$28*EXP(-(((Scenario_Data!T117)-Inputs!$C$29)^2)/(2*Inputs!$C$31^2))*EXP(-(((Inputs!$C$6)-Inputs!$C$30)^2)/(2*Inputs!$C$32^2))+-Inputs!$C$33*EXP(-(((((Scenario_Data!T117)-Inputs!$C$34)^2)+(((Inputs!$C$6)-Inputs!$C$35)^2))/(2*Inputs!$C$36^2)))+Inputs!$C$37*(0.55*SIN(2*PI()*(Scenario_Data!T117)/Inputs!$C$39)+0.35*COS(2*PI()*(Inputs!$C$6)/Inputs!$C$40)+0.2*SIN(2*PI()*((Scenario_Data!T117)+(Inputs!$C$6))/(0.5*(Inputs!$C$39+Inputs!$C$40))))+Inputs!$C$38*SIN(2*PI()*(Scenario_Data!T117)/Inputs!$C$39)*SIN(2*PI()*(Inputs!$C$6)/Inputs!$C$40)+-Inputs!$C$41*EXP(-(((Inputs!$C$6)-Inputs!$C$43)^2)/(2*Inputs!$C$44^2))*EXP(-(((Scenario_Data!T117)-Inputs!$C$42)^2)/(2*Inputs!$C$45^2))+Inputs!$C$48*(0.7*(0.45*SIN(2*PI()*(((Scenario_Data!T117)/Inputs!$C$49)+Inputs!$C$47*0.137))+0.35*COS(2*PI()*(((Inputs!$C$6)/Inputs!$C$50)+Inputs!$C$47*0.173))+0.2*SIN(2*PI()*((((Scenario_Data!T117)+(Inputs!$C$6))/(0.5*(Inputs!$C$49+Inputs!$C$50)))+Inputs!$C$47*0.097)))+0.3*(2*((SIN(((Scenario_Data!T117)*12.9898+(Inputs!$C$6)*78.233+Inputs!$C$47*37.719))*43758.5453)-INT((SIN(((Scenario_Data!T117)*12.9898+(Inputs!$C$6)*78.233+Inputs!$C$47*37.719))*43758.5453)))-1))))/1000))^2-2*(Inputs!$C$52+(Scenario_Data!B117))*(Inputs!$C$52+((IF(OR(Inputs!$C$27=TRUE,Inputs!$C$27="TRUE",Inputs!$C$27=1),1,0)*(Inputs!$C$51*(115*EXP(-(((Inputs!$C$6)-25)^2)/(4.5^2))+70*EXP(-(((Inputs!$C$6)+38)^2)/(7^2))*(0.55+0.45*SIN(2*PI()*(Scenario_Data!T117)/45))+24*SIN(2*PI()*(Inputs!$C$6)/9+(Scenario_Data!T117)/18)*EXP(-(((Inputs!$C$6)+5)^2)/(22^2))+18*SIN(2*PI()*(Scenario_Data!T117)/70))+Inputs!$C$28*EXP(-(((Scenario_Data!T117)-Inputs!$C$29)^2)/(2*Inputs!$C$31^2))*EXP(-(((Inputs!$C$6)-Inputs!$C$30)^2)/(2*Inputs!$C$32^2))+-Inputs!$C$33*EXP(-(((((Scenario_Data!T117)-Inputs!$C$34)^2)+(((Inputs!$C$6)-Inputs!$C$35)^2))/(2*Inputs!$C$36^2)))+Inputs!$C$37*(0.55*SIN(2*PI()*(Scenario_Data!T117)/Inputs!$C$39)+0.35*COS(2*PI()*(Inputs!$C$6)/Inputs!$C$40)+0.2*SIN(2*PI()*((Scenario_Data!T117)+(Inputs!$C$6))/(0.5*(Inputs!$C$39+Inputs!$C$40))))+Inputs!$C$38*SIN(2*PI()*(Scenario_Data!T117)/Inputs!$C$39)*SIN(2*PI()*(Inputs!$C$6)/Inputs!$C$40)+-Inputs!$C$41*EXP(-(((Inputs!$C$6)-Inputs!$C$43)^2)/(2*Inputs!$C$44^2))*EXP(-(((Scenario_Data!T117)-Inputs!$C$42)^2)/(2*Inputs!$C$45^2))+Inputs!$C$48*(0.7*(0.45*SIN(2*PI()*(((Scenario_Data!T117)/Inputs!$C$49)+Inputs!$C$47*0.137))+0.35*COS(2*PI()*(((Inputs!$C$6)/Inputs!$C$50)+Inputs!$C$47*0.173))+0.2*SIN(2*PI()*((((Scenario_Data!T117)+(Inputs!$C$6))/(0.5*(Inputs!$C$49+Inputs!$C$50)))+Inputs!$C$47*0.097)))+0.3*(2*((SIN(((Scenario_Data!T117)*12.9898+(Inputs!$C$6)*78.233+Inputs!$C$47*37.719))*43758.5453)-INT((SIN(((Scenario_Data!T117)*12.9898+(Inputs!$C$6)*78.233+Inputs!$C$47*37.719))*43758.5453)))-1))))/1000))*COS(SQRT((Scenario_Data!T117)^2+Inputs!$C$6^2)/Inputs!$C$52))*1000)/Inputs!$C$21*1000000</f>
        <v/>
      </c>
      <c r="AR117">
        <f>Scenario_Data!U117</f>
        <v/>
      </c>
      <c r="AS117">
        <f>2*(SQRT((Inputs!$C$52+(Scenario_Data!C117))^2+(Inputs!$C$52+((IF(OR(Inputs!$C$27=TRUE,Inputs!$C$27="TRUE",Inputs!$C$27=1),1,0)*(Inputs!$C$51*(115*EXP(-(((Inputs!$C$6)-25)^2)/(4.5^2))+70*EXP(-(((Inputs!$C$6)+38)^2)/(7^2))*(0.55+0.45*SIN(2*PI()*(Scenario_Data!U117)/45))+24*SIN(2*PI()*(Inputs!$C$6)/9+(Scenario_Data!U117)/18)*EXP(-(((Inputs!$C$6)+5)^2)/(22^2))+18*SIN(2*PI()*(Scenario_Data!U117)/70))+Inputs!$C$28*EXP(-(((Scenario_Data!U117)-Inputs!$C$29)^2)/(2*Inputs!$C$31^2))*EXP(-(((Inputs!$C$6)-Inputs!$C$30)^2)/(2*Inputs!$C$32^2))+-Inputs!$C$33*EXP(-(((((Scenario_Data!U117)-Inputs!$C$34)^2)+(((Inputs!$C$6)-Inputs!$C$35)^2))/(2*Inputs!$C$36^2)))+Inputs!$C$37*(0.55*SIN(2*PI()*(Scenario_Data!U117)/Inputs!$C$39)+0.35*COS(2*PI()*(Inputs!$C$6)/Inputs!$C$40)+0.2*SIN(2*PI()*((Scenario_Data!U117)+(Inputs!$C$6))/(0.5*(Inputs!$C$39+Inputs!$C$40))))+Inputs!$C$38*SIN(2*PI()*(Scenario_Data!U117)/Inputs!$C$39)*SIN(2*PI()*(Inputs!$C$6)/Inputs!$C$40)+-Inputs!$C$41*EXP(-(((Inputs!$C$6)-Inputs!$C$43)^2)/(2*Inputs!$C$44^2))*EXP(-(((Scenario_Data!U117)-Inputs!$C$42)^2)/(2*Inputs!$C$45^2))+Inputs!$C$48*(0.7*(0.45*SIN(2*PI()*(((Scenario_Data!U117)/Inputs!$C$49)+Inputs!$C$47*0.137))+0.35*COS(2*PI()*(((Inputs!$C$6)/Inputs!$C$50)+Inputs!$C$47*0.173))+0.2*SIN(2*PI()*((((Scenario_Data!U117)+(Inputs!$C$6))/(0.5*(Inputs!$C$49+Inputs!$C$50)))+Inputs!$C$47*0.097)))+0.3*(2*((SIN(((Scenario_Data!U117)*12.9898+(Inputs!$C$6)*78.233+Inputs!$C$47*37.719))*43758.5453)-INT((SIN(((Scenario_Data!U117)*12.9898+(Inputs!$C$6)*78.233+Inputs!$C$47*37.719))*43758.5453)))-1))))/1000))^2-2*(Inputs!$C$52+(Scenario_Data!C117))*(Inputs!$C$52+((IF(OR(Inputs!$C$27=TRUE,Inputs!$C$27="TRUE",Inputs!$C$27=1),1,0)*(Inputs!$C$51*(115*EXP(-(((Inputs!$C$6)-25)^2)/(4.5^2))+70*EXP(-(((Inputs!$C$6)+38)^2)/(7^2))*(0.55+0.45*SIN(2*PI()*(Scenario_Data!U117)/45))+24*SIN(2*PI()*(Inputs!$C$6)/9+(Scenario_Data!U117)/18)*EXP(-(((Inputs!$C$6)+5)^2)/(22^2))+18*SIN(2*PI()*(Scenario_Data!U117)/70))+Inputs!$C$28*EXP(-(((Scenario_Data!U117)-Inputs!$C$29)^2)/(2*Inputs!$C$31^2))*EXP(-(((Inputs!$C$6)-Inputs!$C$30)^2)/(2*Inputs!$C$32^2))+-Inputs!$C$33*EXP(-(((((Scenario_Data!U117)-Inputs!$C$34)^2)+(((Inputs!$C$6)-Inputs!$C$35)^2))/(2*Inputs!$C$36^2)))+Inputs!$C$37*(0.55*SIN(2*PI()*(Scenario_Data!U117)/Inputs!$C$39)+0.35*COS(2*PI()*(Inputs!$C$6)/Inputs!$C$40)+0.2*SIN(2*PI()*((Scenario_Data!U117)+(Inputs!$C$6))/(0.5*(Inputs!$C$39+Inputs!$C$40))))+Inputs!$C$38*SIN(2*PI()*(Scenario_Data!U117)/Inputs!$C$39)*SIN(2*PI()*(Inputs!$C$6)/Inputs!$C$40)+-Inputs!$C$41*EXP(-(((Inputs!$C$6)-Inputs!$C$43)^2)/(2*Inputs!$C$44^2))*EXP(-(((Scenario_Data!U117)-Inputs!$C$42)^2)/(2*Inputs!$C$45^2))+Inputs!$C$48*(0.7*(0.45*SIN(2*PI()*(((Scenario_Data!U117)/Inputs!$C$49)+Inputs!$C$47*0.137))+0.35*COS(2*PI()*(((Inputs!$C$6)/Inputs!$C$50)+Inputs!$C$47*0.173))+0.2*SIN(2*PI()*((((Scenario_Data!U117)+(Inputs!$C$6))/(0.5*(Inputs!$C$49+Inputs!$C$50)))+Inputs!$C$47*0.097)))+0.3*(2*((SIN(((Scenario_Data!U117)*12.9898+(Inputs!$C$6)*78.233+Inputs!$C$47*37.719))*43758.5453)-INT((SIN(((Scenario_Data!U117)*12.9898+(Inputs!$C$6)*78.233+Inputs!$C$47*37.719))*43758.5453)))-1))))/1000))*COS(SQRT((Scenario_Data!U117)^2+Inputs!$C$6^2)/Inputs!$C$52))*1000)/Inputs!$C$21*1000000</f>
        <v/>
      </c>
      <c r="AT117">
        <f>Scenario_Data!V117</f>
        <v/>
      </c>
      <c r="AU117">
        <f>2*(SQRT((Inputs!$C$52+(Scenario_Data!D117))^2+(Inputs!$C$52+((IF(OR(Inputs!$C$27=TRUE,Inputs!$C$27="TRUE",Inputs!$C$27=1),1,0)*(Inputs!$C$51*(115*EXP(-(((Inputs!$C$6)-25)^2)/(4.5^2))+70*EXP(-(((Inputs!$C$6)+38)^2)/(7^2))*(0.55+0.45*SIN(2*PI()*(Scenario_Data!V117)/45))+24*SIN(2*PI()*(Inputs!$C$6)/9+(Scenario_Data!V117)/18)*EXP(-(((Inputs!$C$6)+5)^2)/(22^2))+18*SIN(2*PI()*(Scenario_Data!V117)/70))+Inputs!$C$28*EXP(-(((Scenario_Data!V117)-Inputs!$C$29)^2)/(2*Inputs!$C$31^2))*EXP(-(((Inputs!$C$6)-Inputs!$C$30)^2)/(2*Inputs!$C$32^2))+-Inputs!$C$33*EXP(-(((((Scenario_Data!V117)-Inputs!$C$34)^2)+(((Inputs!$C$6)-Inputs!$C$35)^2))/(2*Inputs!$C$36^2)))+Inputs!$C$37*(0.55*SIN(2*PI()*(Scenario_Data!V117)/Inputs!$C$39)+0.35*COS(2*PI()*(Inputs!$C$6)/Inputs!$C$40)+0.2*SIN(2*PI()*((Scenario_Data!V117)+(Inputs!$C$6))/(0.5*(Inputs!$C$39+Inputs!$C$40))))+Inputs!$C$38*SIN(2*PI()*(Scenario_Data!V117)/Inputs!$C$39)*SIN(2*PI()*(Inputs!$C$6)/Inputs!$C$40)+-Inputs!$C$41*EXP(-(((Inputs!$C$6)-Inputs!$C$43)^2)/(2*Inputs!$C$44^2))*EXP(-(((Scenario_Data!V117)-Inputs!$C$42)^2)/(2*Inputs!$C$45^2))+Inputs!$C$48*(0.7*(0.45*SIN(2*PI()*(((Scenario_Data!V117)/Inputs!$C$49)+Inputs!$C$47*0.137))+0.35*COS(2*PI()*(((Inputs!$C$6)/Inputs!$C$50)+Inputs!$C$47*0.173))+0.2*SIN(2*PI()*((((Scenario_Data!V117)+(Inputs!$C$6))/(0.5*(Inputs!$C$49+Inputs!$C$50)))+Inputs!$C$47*0.097)))+0.3*(2*((SIN(((Scenario_Data!V117)*12.9898+(Inputs!$C$6)*78.233+Inputs!$C$47*37.719))*43758.5453)-INT((SIN(((Scenario_Data!V117)*12.9898+(Inputs!$C$6)*78.233+Inputs!$C$47*37.719))*43758.5453)))-1))))/1000))^2-2*(Inputs!$C$52+(Scenario_Data!D117))*(Inputs!$C$52+((IF(OR(Inputs!$C$27=TRUE,Inputs!$C$27="TRUE",Inputs!$C$27=1),1,0)*(Inputs!$C$51*(115*EXP(-(((Inputs!$C$6)-25)^2)/(4.5^2))+70*EXP(-(((Inputs!$C$6)+38)^2)/(7^2))*(0.55+0.45*SIN(2*PI()*(Scenario_Data!V117)/45))+24*SIN(2*PI()*(Inputs!$C$6)/9+(Scenario_Data!V117)/18)*EXP(-(((Inputs!$C$6)+5)^2)/(22^2))+18*SIN(2*PI()*(Scenario_Data!V117)/70))+Inputs!$C$28*EXP(-(((Scenario_Data!V117)-Inputs!$C$29)^2)/(2*Inputs!$C$31^2))*EXP(-(((Inputs!$C$6)-Inputs!$C$30)^2)/(2*Inputs!$C$32^2))+-Inputs!$C$33*EXP(-(((((Scenario_Data!V117)-Inputs!$C$34)^2)+(((Inputs!$C$6)-Inputs!$C$35)^2))/(2*Inputs!$C$36^2)))+Inputs!$C$37*(0.55*SIN(2*PI()*(Scenario_Data!V117)/Inputs!$C$39)+0.35*COS(2*PI()*(Inputs!$C$6)/Inputs!$C$40)+0.2*SIN(2*PI()*((Scenario_Data!V117)+(Inputs!$C$6))/(0.5*(Inputs!$C$39+Inputs!$C$40))))+Inputs!$C$38*SIN(2*PI()*(Scenario_Data!V117)/Inputs!$C$39)*SIN(2*PI()*(Inputs!$C$6)/Inputs!$C$40)+-Inputs!$C$41*EXP(-(((Inputs!$C$6)-Inputs!$C$43)^2)/(2*Inputs!$C$44^2))*EXP(-(((Scenario_Data!V117)-Inputs!$C$42)^2)/(2*Inputs!$C$45^2))+Inputs!$C$48*(0.7*(0.45*SIN(2*PI()*(((Scenario_Data!V117)/Inputs!$C$49)+Inputs!$C$47*0.137))+0.35*COS(2*PI()*(((Inputs!$C$6)/Inputs!$C$50)+Inputs!$C$47*0.173))+0.2*SIN(2*PI()*((((Scenario_Data!V117)+(Inputs!$C$6))/(0.5*(Inputs!$C$49+Inputs!$C$50)))+Inputs!$C$47*0.097)))+0.3*(2*((SIN(((Scenario_Data!V117)*12.9898+(Inputs!$C$6)*78.233+Inputs!$C$47*37.719))*43758.5453)-INT((SIN(((Scenario_Data!V117)*12.9898+(Inputs!$C$6)*78.233+Inputs!$C$47*37.719))*43758.5453)))-1))))/1000))*COS(SQRT((Scenario_Data!V117)^2+Inputs!$C$6^2)/Inputs!$C$52))*1000)/Inputs!$C$21*1000000</f>
        <v/>
      </c>
      <c r="AV117">
        <f>Scenario_Data!W117</f>
        <v/>
      </c>
      <c r="AW117">
        <f>2*(SQRT((Inputs!$C$52+(Scenario_Data!E117))^2+(Inputs!$C$52+((IF(OR(Inputs!$C$27=TRUE,Inputs!$C$27="TRUE",Inputs!$C$27=1),1,0)*(Inputs!$C$51*(115*EXP(-(((Inputs!$C$6)-25)^2)/(4.5^2))+70*EXP(-(((Inputs!$C$6)+38)^2)/(7^2))*(0.55+0.45*SIN(2*PI()*(Scenario_Data!W117)/45))+24*SIN(2*PI()*(Inputs!$C$6)/9+(Scenario_Data!W117)/18)*EXP(-(((Inputs!$C$6)+5)^2)/(22^2))+18*SIN(2*PI()*(Scenario_Data!W117)/70))+Inputs!$C$28*EXP(-(((Scenario_Data!W117)-Inputs!$C$29)^2)/(2*Inputs!$C$31^2))*EXP(-(((Inputs!$C$6)-Inputs!$C$30)^2)/(2*Inputs!$C$32^2))+-Inputs!$C$33*EXP(-(((((Scenario_Data!W117)-Inputs!$C$34)^2)+(((Inputs!$C$6)-Inputs!$C$35)^2))/(2*Inputs!$C$36^2)))+Inputs!$C$37*(0.55*SIN(2*PI()*(Scenario_Data!W117)/Inputs!$C$39)+0.35*COS(2*PI()*(Inputs!$C$6)/Inputs!$C$40)+0.2*SIN(2*PI()*((Scenario_Data!W117)+(Inputs!$C$6))/(0.5*(Inputs!$C$39+Inputs!$C$40))))+Inputs!$C$38*SIN(2*PI()*(Scenario_Data!W117)/Inputs!$C$39)*SIN(2*PI()*(Inputs!$C$6)/Inputs!$C$40)+-Inputs!$C$41*EXP(-(((Inputs!$C$6)-Inputs!$C$43)^2)/(2*Inputs!$C$44^2))*EXP(-(((Scenario_Data!W117)-Inputs!$C$42)^2)/(2*Inputs!$C$45^2))+Inputs!$C$48*(0.7*(0.45*SIN(2*PI()*(((Scenario_Data!W117)/Inputs!$C$49)+Inputs!$C$47*0.137))+0.35*COS(2*PI()*(((Inputs!$C$6)/Inputs!$C$50)+Inputs!$C$47*0.173))+0.2*SIN(2*PI()*((((Scenario_Data!W117)+(Inputs!$C$6))/(0.5*(Inputs!$C$49+Inputs!$C$50)))+Inputs!$C$47*0.097)))+0.3*(2*((SIN(((Scenario_Data!W117)*12.9898+(Inputs!$C$6)*78.233+Inputs!$C$47*37.719))*43758.5453)-INT((SIN(((Scenario_Data!W117)*12.9898+(Inputs!$C$6)*78.233+Inputs!$C$47*37.719))*43758.5453)))-1))))/1000))^2-2*(Inputs!$C$52+(Scenario_Data!E117))*(Inputs!$C$52+((IF(OR(Inputs!$C$27=TRUE,Inputs!$C$27="TRUE",Inputs!$C$27=1),1,0)*(Inputs!$C$51*(115*EXP(-(((Inputs!$C$6)-25)^2)/(4.5^2))+70*EXP(-(((Inputs!$C$6)+38)^2)/(7^2))*(0.55+0.45*SIN(2*PI()*(Scenario_Data!W117)/45))+24*SIN(2*PI()*(Inputs!$C$6)/9+(Scenario_Data!W117)/18)*EXP(-(((Inputs!$C$6)+5)^2)/(22^2))+18*SIN(2*PI()*(Scenario_Data!W117)/70))+Inputs!$C$28*EXP(-(((Scenario_Data!W117)-Inputs!$C$29)^2)/(2*Inputs!$C$31^2))*EXP(-(((Inputs!$C$6)-Inputs!$C$30)^2)/(2*Inputs!$C$32^2))+-Inputs!$C$33*EXP(-(((((Scenario_Data!W117)-Inputs!$C$34)^2)+(((Inputs!$C$6)-Inputs!$C$35)^2))/(2*Inputs!$C$36^2)))+Inputs!$C$37*(0.55*SIN(2*PI()*(Scenario_Data!W117)/Inputs!$C$39)+0.35*COS(2*PI()*(Inputs!$C$6)/Inputs!$C$40)+0.2*SIN(2*PI()*((Scenario_Data!W117)+(Inputs!$C$6))/(0.5*(Inputs!$C$39+Inputs!$C$40))))+Inputs!$C$38*SIN(2*PI()*(Scenario_Data!W117)/Inputs!$C$39)*SIN(2*PI()*(Inputs!$C$6)/Inputs!$C$40)+-Inputs!$C$41*EXP(-(((Inputs!$C$6)-Inputs!$C$43)^2)/(2*Inputs!$C$44^2))*EXP(-(((Scenario_Data!W117)-Inputs!$C$42)^2)/(2*Inputs!$C$45^2))+Inputs!$C$48*(0.7*(0.45*SIN(2*PI()*(((Scenario_Data!W117)/Inputs!$C$49)+Inputs!$C$47*0.137))+0.35*COS(2*PI()*(((Inputs!$C$6)/Inputs!$C$50)+Inputs!$C$47*0.173))+0.2*SIN(2*PI()*((((Scenario_Data!W117)+(Inputs!$C$6))/(0.5*(Inputs!$C$49+Inputs!$C$50)))+Inputs!$C$47*0.097)))+0.3*(2*((SIN(((Scenario_Data!W117)*12.9898+(Inputs!$C$6)*78.233+Inputs!$C$47*37.719))*43758.5453)-INT((SIN(((Scenario_Data!W117)*12.9898+(Inputs!$C$6)*78.233+Inputs!$C$47*37.719))*43758.5453)))-1))))/1000))*COS(SQRT((Scenario_Data!W117)^2+Inputs!$C$6^2)/Inputs!$C$52))*1000)/Inputs!$C$21*1000000</f>
        <v/>
      </c>
    </row>
    <row r="118">
      <c r="A118">
        <f>Chart_Data!K118</f>
        <v/>
      </c>
      <c r="B118">
        <f>Chart_Data!N118-Chart_Data!L118</f>
        <v/>
      </c>
      <c r="D118">
        <f>Chart_Data!G118</f>
        <v/>
      </c>
      <c r="E118">
        <f>Chart_Data!H118</f>
        <v/>
      </c>
      <c r="F118">
        <f>Chart_Data!I118</f>
        <v/>
      </c>
      <c r="G118">
        <f>Chart_Data!J118</f>
        <v/>
      </c>
      <c r="I118">
        <f>Scenario_Data!A118</f>
        <v/>
      </c>
      <c r="J118">
        <f>Scenario_Data!H118-(((SQRT((Inputs!$C$52+(Inputs!$H$6))^2+Inputs!$C$52^2-2*(Inputs!$C$52+(Inputs!$H$6))*Inputs!$C$52*COS(SQRT((Scenario_Data!T118)^2+Inputs!$C$6^2)/Inputs!$C$52)))-(Inputs!$H$6))*1000/Inputs!$C$12)</f>
        <v/>
      </c>
      <c r="K118">
        <f>Scenario_Data!I118-(((SQRT((Inputs!$C$52+(Inputs!$H$7))^2+Inputs!$C$52^2-2*(Inputs!$C$52+(Inputs!$H$7))*Inputs!$C$52*COS(SQRT((Scenario_Data!U118)^2+Inputs!$C$6^2)/Inputs!$C$52)))-(Inputs!$H$7))*1000/Inputs!$C$12)</f>
        <v/>
      </c>
      <c r="L118">
        <f>Scenario_Data!J118-(((SQRT((Inputs!$C$52+(Inputs!$H$8))^2+Inputs!$C$52^2-2*(Inputs!$C$52+(Inputs!$H$8))*Inputs!$C$52*COS(SQRT((Scenario_Data!V118)^2+Inputs!$C$6^2)/Inputs!$C$52)))-(Inputs!$H$8))*1000/Inputs!$C$12)</f>
        <v/>
      </c>
      <c r="M118">
        <f>Scenario_Data!K118-(((SQRT((Inputs!$C$52+(Inputs!$H$9))^2+Inputs!$C$52^2-2*(Inputs!$C$52+(Inputs!$H$9))*Inputs!$C$52*COS(SQRT((Scenario_Data!W118)^2+Inputs!$C$6^2)/Inputs!$C$52)))-(Inputs!$H$9))*1000/Inputs!$C$12)</f>
        <v/>
      </c>
      <c r="O118">
        <f>Scenario_Data!T118</f>
        <v/>
      </c>
      <c r="P118">
        <f>2*(Scenario_Data!B118*1000)/Inputs!$C$21*1000000</f>
        <v/>
      </c>
      <c r="Q118">
        <f>Scenario_Data!U118</f>
        <v/>
      </c>
      <c r="R118">
        <f>2*(Scenario_Data!C118*1000)/Inputs!$C$21*1000000</f>
        <v/>
      </c>
      <c r="S118">
        <f>Scenario_Data!V118</f>
        <v/>
      </c>
      <c r="T118">
        <f>2*(Scenario_Data!D118*1000)/Inputs!$C$21*1000000</f>
        <v/>
      </c>
      <c r="U118">
        <f>Scenario_Data!W118</f>
        <v/>
      </c>
      <c r="V118">
        <f>2*(Scenario_Data!E118*1000)/Inputs!$C$21*1000000</f>
        <v/>
      </c>
      <c r="X118">
        <f>Scenario_Data!T118</f>
        <v/>
      </c>
      <c r="Y118">
        <f>2*((Scenario_Data!B118*1000)-(IF(OR(Inputs!$C$27=TRUE,Inputs!$C$27="TRUE",Inputs!$C$27=1),1,0)*(Inputs!$C$51*(115*EXP(-(((0)-25)^2)/(4.5^2))+70*EXP(-(((0)+38)^2)/(7^2))*(0.55+0.45*SIN(2*PI()*(Scenario_Data!T118)/45))+24*SIN(2*PI()*(0)/9+(Scenario_Data!T118)/18)*EXP(-(((0)+5)^2)/(22^2))+18*SIN(2*PI()*(Scenario_Data!T118)/70))+Inputs!$C$28*EXP(-(((Scenario_Data!T118)-Inputs!$C$29)^2)/(2*Inputs!$C$31^2))*EXP(-(((0)-Inputs!$C$30)^2)/(2*Inputs!$C$32^2))+-Inputs!$C$33*EXP(-(((((Scenario_Data!T118)-Inputs!$C$34)^2)+(((0)-Inputs!$C$35)^2))/(2*Inputs!$C$36^2)))+Inputs!$C$37*(0.55*SIN(2*PI()*(Scenario_Data!T118)/Inputs!$C$39)+0.35*COS(2*PI()*(0)/Inputs!$C$40)+0.2*SIN(2*PI()*((Scenario_Data!T118)+(0))/(0.5*(Inputs!$C$39+Inputs!$C$40))))+Inputs!$C$38*SIN(2*PI()*(Scenario_Data!T118)/Inputs!$C$39)*SIN(2*PI()*(0)/Inputs!$C$40)+-Inputs!$C$41*EXP(-(((0)-Inputs!$C$43)^2)/(2*Inputs!$C$44^2))*EXP(-(((Scenario_Data!T118)-Inputs!$C$42)^2)/(2*Inputs!$C$45^2))+Inputs!$C$48*(0.7*(0.45*SIN(2*PI()*(((Scenario_Data!T118)/Inputs!$C$49)+Inputs!$C$47*0.137))+0.35*COS(2*PI()*(((0)/Inputs!$C$50)+Inputs!$C$47*0.173))+0.2*SIN(2*PI()*((((Scenario_Data!T118)+(0))/(0.5*(Inputs!$C$49+Inputs!$C$50)))+Inputs!$C$47*0.097)))+0.3*(2*((SIN(((Scenario_Data!T118)*12.9898+(0)*78.233+Inputs!$C$47*37.719))*43758.5453)-INT((SIN(((Scenario_Data!T118)*12.9898+(0)*78.233+Inputs!$C$47*37.719))*43758.5453)))-1)))))/Inputs!$C$21*1000000</f>
        <v/>
      </c>
      <c r="Z118">
        <f>Scenario_Data!U118</f>
        <v/>
      </c>
      <c r="AA118">
        <f>2*((Scenario_Data!C118*1000)-(IF(OR(Inputs!$C$27=TRUE,Inputs!$C$27="TRUE",Inputs!$C$27=1),1,0)*(Inputs!$C$51*(115*EXP(-(((0)-25)^2)/(4.5^2))+70*EXP(-(((0)+38)^2)/(7^2))*(0.55+0.45*SIN(2*PI()*(Scenario_Data!U118)/45))+24*SIN(2*PI()*(0)/9+(Scenario_Data!U118)/18)*EXP(-(((0)+5)^2)/(22^2))+18*SIN(2*PI()*(Scenario_Data!U118)/70))+Inputs!$C$28*EXP(-(((Scenario_Data!U118)-Inputs!$C$29)^2)/(2*Inputs!$C$31^2))*EXP(-(((0)-Inputs!$C$30)^2)/(2*Inputs!$C$32^2))+-Inputs!$C$33*EXP(-(((((Scenario_Data!U118)-Inputs!$C$34)^2)+(((0)-Inputs!$C$35)^2))/(2*Inputs!$C$36^2)))+Inputs!$C$37*(0.55*SIN(2*PI()*(Scenario_Data!U118)/Inputs!$C$39)+0.35*COS(2*PI()*(0)/Inputs!$C$40)+0.2*SIN(2*PI()*((Scenario_Data!U118)+(0))/(0.5*(Inputs!$C$39+Inputs!$C$40))))+Inputs!$C$38*SIN(2*PI()*(Scenario_Data!U118)/Inputs!$C$39)*SIN(2*PI()*(0)/Inputs!$C$40)+-Inputs!$C$41*EXP(-(((0)-Inputs!$C$43)^2)/(2*Inputs!$C$44^2))*EXP(-(((Scenario_Data!U118)-Inputs!$C$42)^2)/(2*Inputs!$C$45^2))+Inputs!$C$48*(0.7*(0.45*SIN(2*PI()*(((Scenario_Data!U118)/Inputs!$C$49)+Inputs!$C$47*0.137))+0.35*COS(2*PI()*(((0)/Inputs!$C$50)+Inputs!$C$47*0.173))+0.2*SIN(2*PI()*((((Scenario_Data!U118)+(0))/(0.5*(Inputs!$C$49+Inputs!$C$50)))+Inputs!$C$47*0.097)))+0.3*(2*((SIN(((Scenario_Data!U118)*12.9898+(0)*78.233+Inputs!$C$47*37.719))*43758.5453)-INT((SIN(((Scenario_Data!U118)*12.9898+(0)*78.233+Inputs!$C$47*37.719))*43758.5453)))-1)))))/Inputs!$C$21*1000000</f>
        <v/>
      </c>
      <c r="AB118">
        <f>Scenario_Data!V118</f>
        <v/>
      </c>
      <c r="AC118">
        <f>2*((Scenario_Data!D118*1000)-(IF(OR(Inputs!$C$27=TRUE,Inputs!$C$27="TRUE",Inputs!$C$27=1),1,0)*(Inputs!$C$51*(115*EXP(-(((0)-25)^2)/(4.5^2))+70*EXP(-(((0)+38)^2)/(7^2))*(0.55+0.45*SIN(2*PI()*(Scenario_Data!V118)/45))+24*SIN(2*PI()*(0)/9+(Scenario_Data!V118)/18)*EXP(-(((0)+5)^2)/(22^2))+18*SIN(2*PI()*(Scenario_Data!V118)/70))+Inputs!$C$28*EXP(-(((Scenario_Data!V118)-Inputs!$C$29)^2)/(2*Inputs!$C$31^2))*EXP(-(((0)-Inputs!$C$30)^2)/(2*Inputs!$C$32^2))+-Inputs!$C$33*EXP(-(((((Scenario_Data!V118)-Inputs!$C$34)^2)+(((0)-Inputs!$C$35)^2))/(2*Inputs!$C$36^2)))+Inputs!$C$37*(0.55*SIN(2*PI()*(Scenario_Data!V118)/Inputs!$C$39)+0.35*COS(2*PI()*(0)/Inputs!$C$40)+0.2*SIN(2*PI()*((Scenario_Data!V118)+(0))/(0.5*(Inputs!$C$39+Inputs!$C$40))))+Inputs!$C$38*SIN(2*PI()*(Scenario_Data!V118)/Inputs!$C$39)*SIN(2*PI()*(0)/Inputs!$C$40)+-Inputs!$C$41*EXP(-(((0)-Inputs!$C$43)^2)/(2*Inputs!$C$44^2))*EXP(-(((Scenario_Data!V118)-Inputs!$C$42)^2)/(2*Inputs!$C$45^2))+Inputs!$C$48*(0.7*(0.45*SIN(2*PI()*(((Scenario_Data!V118)/Inputs!$C$49)+Inputs!$C$47*0.137))+0.35*COS(2*PI()*(((0)/Inputs!$C$50)+Inputs!$C$47*0.173))+0.2*SIN(2*PI()*((((Scenario_Data!V118)+(0))/(0.5*(Inputs!$C$49+Inputs!$C$50)))+Inputs!$C$47*0.097)))+0.3*(2*((SIN(((Scenario_Data!V118)*12.9898+(0)*78.233+Inputs!$C$47*37.719))*43758.5453)-INT((SIN(((Scenario_Data!V118)*12.9898+(0)*78.233+Inputs!$C$47*37.719))*43758.5453)))-1)))))/Inputs!$C$21*1000000</f>
        <v/>
      </c>
      <c r="AD118">
        <f>Scenario_Data!W118</f>
        <v/>
      </c>
      <c r="AE118">
        <f>2*((Scenario_Data!E118*1000)-(IF(OR(Inputs!$C$27=TRUE,Inputs!$C$27="TRUE",Inputs!$C$27=1),1,0)*(Inputs!$C$51*(115*EXP(-(((0)-25)^2)/(4.5^2))+70*EXP(-(((0)+38)^2)/(7^2))*(0.55+0.45*SIN(2*PI()*(Scenario_Data!W118)/45))+24*SIN(2*PI()*(0)/9+(Scenario_Data!W118)/18)*EXP(-(((0)+5)^2)/(22^2))+18*SIN(2*PI()*(Scenario_Data!W118)/70))+Inputs!$C$28*EXP(-(((Scenario_Data!W118)-Inputs!$C$29)^2)/(2*Inputs!$C$31^2))*EXP(-(((0)-Inputs!$C$30)^2)/(2*Inputs!$C$32^2))+-Inputs!$C$33*EXP(-(((((Scenario_Data!W118)-Inputs!$C$34)^2)+(((0)-Inputs!$C$35)^2))/(2*Inputs!$C$36^2)))+Inputs!$C$37*(0.55*SIN(2*PI()*(Scenario_Data!W118)/Inputs!$C$39)+0.35*COS(2*PI()*(0)/Inputs!$C$40)+0.2*SIN(2*PI()*((Scenario_Data!W118)+(0))/(0.5*(Inputs!$C$39+Inputs!$C$40))))+Inputs!$C$38*SIN(2*PI()*(Scenario_Data!W118)/Inputs!$C$39)*SIN(2*PI()*(0)/Inputs!$C$40)+-Inputs!$C$41*EXP(-(((0)-Inputs!$C$43)^2)/(2*Inputs!$C$44^2))*EXP(-(((Scenario_Data!W118)-Inputs!$C$42)^2)/(2*Inputs!$C$45^2))+Inputs!$C$48*(0.7*(0.45*SIN(2*PI()*(((Scenario_Data!W118)/Inputs!$C$49)+Inputs!$C$47*0.137))+0.35*COS(2*PI()*(((0)/Inputs!$C$50)+Inputs!$C$47*0.173))+0.2*SIN(2*PI()*((((Scenario_Data!W118)+(0))/(0.5*(Inputs!$C$49+Inputs!$C$50)))+Inputs!$C$47*0.097)))+0.3*(2*((SIN(((Scenario_Data!W118)*12.9898+(0)*78.233+Inputs!$C$47*37.719))*43758.5453)-INT((SIN(((Scenario_Data!W118)*12.9898+(0)*78.233+Inputs!$C$47*37.719))*43758.5453)))-1)))))/Inputs!$C$21*1000000</f>
        <v/>
      </c>
      <c r="AG118">
        <f>Scenario_Data!T118</f>
        <v/>
      </c>
      <c r="AH118">
        <f>2*(SQRT((Inputs!$C$52+(Scenario_Data!B118))^2+Inputs!$C$52^2-2*(Inputs!$C$52+(Scenario_Data!B118))*Inputs!$C$52*COS(SQRT((Scenario_Data!T118)^2+Inputs!$C$6^2)/Inputs!$C$52))*1000)/Inputs!$C$21*1000000</f>
        <v/>
      </c>
      <c r="AI118">
        <f>Scenario_Data!U118</f>
        <v/>
      </c>
      <c r="AJ118">
        <f>2*(SQRT((Inputs!$C$52+(Scenario_Data!C118))^2+Inputs!$C$52^2-2*(Inputs!$C$52+(Scenario_Data!C118))*Inputs!$C$52*COS(SQRT((Scenario_Data!U118)^2+Inputs!$C$6^2)/Inputs!$C$52))*1000)/Inputs!$C$21*1000000</f>
        <v/>
      </c>
      <c r="AK118">
        <f>Scenario_Data!V118</f>
        <v/>
      </c>
      <c r="AL118">
        <f>2*(SQRT((Inputs!$C$52+(Scenario_Data!D118))^2+Inputs!$C$52^2-2*(Inputs!$C$52+(Scenario_Data!D118))*Inputs!$C$52*COS(SQRT((Scenario_Data!V118)^2+Inputs!$C$6^2)/Inputs!$C$52))*1000)/Inputs!$C$21*1000000</f>
        <v/>
      </c>
      <c r="AM118">
        <f>Scenario_Data!W118</f>
        <v/>
      </c>
      <c r="AN118">
        <f>2*(SQRT((Inputs!$C$52+(Scenario_Data!E118))^2+Inputs!$C$52^2-2*(Inputs!$C$52+(Scenario_Data!E118))*Inputs!$C$52*COS(SQRT((Scenario_Data!W118)^2+Inputs!$C$6^2)/Inputs!$C$52))*1000)/Inputs!$C$21*1000000</f>
        <v/>
      </c>
      <c r="AP118">
        <f>Scenario_Data!T118</f>
        <v/>
      </c>
      <c r="AQ118">
        <f>2*(SQRT((Inputs!$C$52+(Scenario_Data!B118))^2+(Inputs!$C$52+((IF(OR(Inputs!$C$27=TRUE,Inputs!$C$27="TRUE",Inputs!$C$27=1),1,0)*(Inputs!$C$51*(115*EXP(-(((Inputs!$C$6)-25)^2)/(4.5^2))+70*EXP(-(((Inputs!$C$6)+38)^2)/(7^2))*(0.55+0.45*SIN(2*PI()*(Scenario_Data!T118)/45))+24*SIN(2*PI()*(Inputs!$C$6)/9+(Scenario_Data!T118)/18)*EXP(-(((Inputs!$C$6)+5)^2)/(22^2))+18*SIN(2*PI()*(Scenario_Data!T118)/70))+Inputs!$C$28*EXP(-(((Scenario_Data!T118)-Inputs!$C$29)^2)/(2*Inputs!$C$31^2))*EXP(-(((Inputs!$C$6)-Inputs!$C$30)^2)/(2*Inputs!$C$32^2))+-Inputs!$C$33*EXP(-(((((Scenario_Data!T118)-Inputs!$C$34)^2)+(((Inputs!$C$6)-Inputs!$C$35)^2))/(2*Inputs!$C$36^2)))+Inputs!$C$37*(0.55*SIN(2*PI()*(Scenario_Data!T118)/Inputs!$C$39)+0.35*COS(2*PI()*(Inputs!$C$6)/Inputs!$C$40)+0.2*SIN(2*PI()*((Scenario_Data!T118)+(Inputs!$C$6))/(0.5*(Inputs!$C$39+Inputs!$C$40))))+Inputs!$C$38*SIN(2*PI()*(Scenario_Data!T118)/Inputs!$C$39)*SIN(2*PI()*(Inputs!$C$6)/Inputs!$C$40)+-Inputs!$C$41*EXP(-(((Inputs!$C$6)-Inputs!$C$43)^2)/(2*Inputs!$C$44^2))*EXP(-(((Scenario_Data!T118)-Inputs!$C$42)^2)/(2*Inputs!$C$45^2))+Inputs!$C$48*(0.7*(0.45*SIN(2*PI()*(((Scenario_Data!T118)/Inputs!$C$49)+Inputs!$C$47*0.137))+0.35*COS(2*PI()*(((Inputs!$C$6)/Inputs!$C$50)+Inputs!$C$47*0.173))+0.2*SIN(2*PI()*((((Scenario_Data!T118)+(Inputs!$C$6))/(0.5*(Inputs!$C$49+Inputs!$C$50)))+Inputs!$C$47*0.097)))+0.3*(2*((SIN(((Scenario_Data!T118)*12.9898+(Inputs!$C$6)*78.233+Inputs!$C$47*37.719))*43758.5453)-INT((SIN(((Scenario_Data!T118)*12.9898+(Inputs!$C$6)*78.233+Inputs!$C$47*37.719))*43758.5453)))-1))))/1000))^2-2*(Inputs!$C$52+(Scenario_Data!B118))*(Inputs!$C$52+((IF(OR(Inputs!$C$27=TRUE,Inputs!$C$27="TRUE",Inputs!$C$27=1),1,0)*(Inputs!$C$51*(115*EXP(-(((Inputs!$C$6)-25)^2)/(4.5^2))+70*EXP(-(((Inputs!$C$6)+38)^2)/(7^2))*(0.55+0.45*SIN(2*PI()*(Scenario_Data!T118)/45))+24*SIN(2*PI()*(Inputs!$C$6)/9+(Scenario_Data!T118)/18)*EXP(-(((Inputs!$C$6)+5)^2)/(22^2))+18*SIN(2*PI()*(Scenario_Data!T118)/70))+Inputs!$C$28*EXP(-(((Scenario_Data!T118)-Inputs!$C$29)^2)/(2*Inputs!$C$31^2))*EXP(-(((Inputs!$C$6)-Inputs!$C$30)^2)/(2*Inputs!$C$32^2))+-Inputs!$C$33*EXP(-(((((Scenario_Data!T118)-Inputs!$C$34)^2)+(((Inputs!$C$6)-Inputs!$C$35)^2))/(2*Inputs!$C$36^2)))+Inputs!$C$37*(0.55*SIN(2*PI()*(Scenario_Data!T118)/Inputs!$C$39)+0.35*COS(2*PI()*(Inputs!$C$6)/Inputs!$C$40)+0.2*SIN(2*PI()*((Scenario_Data!T118)+(Inputs!$C$6))/(0.5*(Inputs!$C$39+Inputs!$C$40))))+Inputs!$C$38*SIN(2*PI()*(Scenario_Data!T118)/Inputs!$C$39)*SIN(2*PI()*(Inputs!$C$6)/Inputs!$C$40)+-Inputs!$C$41*EXP(-(((Inputs!$C$6)-Inputs!$C$43)^2)/(2*Inputs!$C$44^2))*EXP(-(((Scenario_Data!T118)-Inputs!$C$42)^2)/(2*Inputs!$C$45^2))+Inputs!$C$48*(0.7*(0.45*SIN(2*PI()*(((Scenario_Data!T118)/Inputs!$C$49)+Inputs!$C$47*0.137))+0.35*COS(2*PI()*(((Inputs!$C$6)/Inputs!$C$50)+Inputs!$C$47*0.173))+0.2*SIN(2*PI()*((((Scenario_Data!T118)+(Inputs!$C$6))/(0.5*(Inputs!$C$49+Inputs!$C$50)))+Inputs!$C$47*0.097)))+0.3*(2*((SIN(((Scenario_Data!T118)*12.9898+(Inputs!$C$6)*78.233+Inputs!$C$47*37.719))*43758.5453)-INT((SIN(((Scenario_Data!T118)*12.9898+(Inputs!$C$6)*78.233+Inputs!$C$47*37.719))*43758.5453)))-1))))/1000))*COS(SQRT((Scenario_Data!T118)^2+Inputs!$C$6^2)/Inputs!$C$52))*1000)/Inputs!$C$21*1000000</f>
        <v/>
      </c>
      <c r="AR118">
        <f>Scenario_Data!U118</f>
        <v/>
      </c>
      <c r="AS118">
        <f>2*(SQRT((Inputs!$C$52+(Scenario_Data!C118))^2+(Inputs!$C$52+((IF(OR(Inputs!$C$27=TRUE,Inputs!$C$27="TRUE",Inputs!$C$27=1),1,0)*(Inputs!$C$51*(115*EXP(-(((Inputs!$C$6)-25)^2)/(4.5^2))+70*EXP(-(((Inputs!$C$6)+38)^2)/(7^2))*(0.55+0.45*SIN(2*PI()*(Scenario_Data!U118)/45))+24*SIN(2*PI()*(Inputs!$C$6)/9+(Scenario_Data!U118)/18)*EXP(-(((Inputs!$C$6)+5)^2)/(22^2))+18*SIN(2*PI()*(Scenario_Data!U118)/70))+Inputs!$C$28*EXP(-(((Scenario_Data!U118)-Inputs!$C$29)^2)/(2*Inputs!$C$31^2))*EXP(-(((Inputs!$C$6)-Inputs!$C$30)^2)/(2*Inputs!$C$32^2))+-Inputs!$C$33*EXP(-(((((Scenario_Data!U118)-Inputs!$C$34)^2)+(((Inputs!$C$6)-Inputs!$C$35)^2))/(2*Inputs!$C$36^2)))+Inputs!$C$37*(0.55*SIN(2*PI()*(Scenario_Data!U118)/Inputs!$C$39)+0.35*COS(2*PI()*(Inputs!$C$6)/Inputs!$C$40)+0.2*SIN(2*PI()*((Scenario_Data!U118)+(Inputs!$C$6))/(0.5*(Inputs!$C$39+Inputs!$C$40))))+Inputs!$C$38*SIN(2*PI()*(Scenario_Data!U118)/Inputs!$C$39)*SIN(2*PI()*(Inputs!$C$6)/Inputs!$C$40)+-Inputs!$C$41*EXP(-(((Inputs!$C$6)-Inputs!$C$43)^2)/(2*Inputs!$C$44^2))*EXP(-(((Scenario_Data!U118)-Inputs!$C$42)^2)/(2*Inputs!$C$45^2))+Inputs!$C$48*(0.7*(0.45*SIN(2*PI()*(((Scenario_Data!U118)/Inputs!$C$49)+Inputs!$C$47*0.137))+0.35*COS(2*PI()*(((Inputs!$C$6)/Inputs!$C$50)+Inputs!$C$47*0.173))+0.2*SIN(2*PI()*((((Scenario_Data!U118)+(Inputs!$C$6))/(0.5*(Inputs!$C$49+Inputs!$C$50)))+Inputs!$C$47*0.097)))+0.3*(2*((SIN(((Scenario_Data!U118)*12.9898+(Inputs!$C$6)*78.233+Inputs!$C$47*37.719))*43758.5453)-INT((SIN(((Scenario_Data!U118)*12.9898+(Inputs!$C$6)*78.233+Inputs!$C$47*37.719))*43758.5453)))-1))))/1000))^2-2*(Inputs!$C$52+(Scenario_Data!C118))*(Inputs!$C$52+((IF(OR(Inputs!$C$27=TRUE,Inputs!$C$27="TRUE",Inputs!$C$27=1),1,0)*(Inputs!$C$51*(115*EXP(-(((Inputs!$C$6)-25)^2)/(4.5^2))+70*EXP(-(((Inputs!$C$6)+38)^2)/(7^2))*(0.55+0.45*SIN(2*PI()*(Scenario_Data!U118)/45))+24*SIN(2*PI()*(Inputs!$C$6)/9+(Scenario_Data!U118)/18)*EXP(-(((Inputs!$C$6)+5)^2)/(22^2))+18*SIN(2*PI()*(Scenario_Data!U118)/70))+Inputs!$C$28*EXP(-(((Scenario_Data!U118)-Inputs!$C$29)^2)/(2*Inputs!$C$31^2))*EXP(-(((Inputs!$C$6)-Inputs!$C$30)^2)/(2*Inputs!$C$32^2))+-Inputs!$C$33*EXP(-(((((Scenario_Data!U118)-Inputs!$C$34)^2)+(((Inputs!$C$6)-Inputs!$C$35)^2))/(2*Inputs!$C$36^2)))+Inputs!$C$37*(0.55*SIN(2*PI()*(Scenario_Data!U118)/Inputs!$C$39)+0.35*COS(2*PI()*(Inputs!$C$6)/Inputs!$C$40)+0.2*SIN(2*PI()*((Scenario_Data!U118)+(Inputs!$C$6))/(0.5*(Inputs!$C$39+Inputs!$C$40))))+Inputs!$C$38*SIN(2*PI()*(Scenario_Data!U118)/Inputs!$C$39)*SIN(2*PI()*(Inputs!$C$6)/Inputs!$C$40)+-Inputs!$C$41*EXP(-(((Inputs!$C$6)-Inputs!$C$43)^2)/(2*Inputs!$C$44^2))*EXP(-(((Scenario_Data!U118)-Inputs!$C$42)^2)/(2*Inputs!$C$45^2))+Inputs!$C$48*(0.7*(0.45*SIN(2*PI()*(((Scenario_Data!U118)/Inputs!$C$49)+Inputs!$C$47*0.137))+0.35*COS(2*PI()*(((Inputs!$C$6)/Inputs!$C$50)+Inputs!$C$47*0.173))+0.2*SIN(2*PI()*((((Scenario_Data!U118)+(Inputs!$C$6))/(0.5*(Inputs!$C$49+Inputs!$C$50)))+Inputs!$C$47*0.097)))+0.3*(2*((SIN(((Scenario_Data!U118)*12.9898+(Inputs!$C$6)*78.233+Inputs!$C$47*37.719))*43758.5453)-INT((SIN(((Scenario_Data!U118)*12.9898+(Inputs!$C$6)*78.233+Inputs!$C$47*37.719))*43758.5453)))-1))))/1000))*COS(SQRT((Scenario_Data!U118)^2+Inputs!$C$6^2)/Inputs!$C$52))*1000)/Inputs!$C$21*1000000</f>
        <v/>
      </c>
      <c r="AT118">
        <f>Scenario_Data!V118</f>
        <v/>
      </c>
      <c r="AU118">
        <f>2*(SQRT((Inputs!$C$52+(Scenario_Data!D118))^2+(Inputs!$C$52+((IF(OR(Inputs!$C$27=TRUE,Inputs!$C$27="TRUE",Inputs!$C$27=1),1,0)*(Inputs!$C$51*(115*EXP(-(((Inputs!$C$6)-25)^2)/(4.5^2))+70*EXP(-(((Inputs!$C$6)+38)^2)/(7^2))*(0.55+0.45*SIN(2*PI()*(Scenario_Data!V118)/45))+24*SIN(2*PI()*(Inputs!$C$6)/9+(Scenario_Data!V118)/18)*EXP(-(((Inputs!$C$6)+5)^2)/(22^2))+18*SIN(2*PI()*(Scenario_Data!V118)/70))+Inputs!$C$28*EXP(-(((Scenario_Data!V118)-Inputs!$C$29)^2)/(2*Inputs!$C$31^2))*EXP(-(((Inputs!$C$6)-Inputs!$C$30)^2)/(2*Inputs!$C$32^2))+-Inputs!$C$33*EXP(-(((((Scenario_Data!V118)-Inputs!$C$34)^2)+(((Inputs!$C$6)-Inputs!$C$35)^2))/(2*Inputs!$C$36^2)))+Inputs!$C$37*(0.55*SIN(2*PI()*(Scenario_Data!V118)/Inputs!$C$39)+0.35*COS(2*PI()*(Inputs!$C$6)/Inputs!$C$40)+0.2*SIN(2*PI()*((Scenario_Data!V118)+(Inputs!$C$6))/(0.5*(Inputs!$C$39+Inputs!$C$40))))+Inputs!$C$38*SIN(2*PI()*(Scenario_Data!V118)/Inputs!$C$39)*SIN(2*PI()*(Inputs!$C$6)/Inputs!$C$40)+-Inputs!$C$41*EXP(-(((Inputs!$C$6)-Inputs!$C$43)^2)/(2*Inputs!$C$44^2))*EXP(-(((Scenario_Data!V118)-Inputs!$C$42)^2)/(2*Inputs!$C$45^2))+Inputs!$C$48*(0.7*(0.45*SIN(2*PI()*(((Scenario_Data!V118)/Inputs!$C$49)+Inputs!$C$47*0.137))+0.35*COS(2*PI()*(((Inputs!$C$6)/Inputs!$C$50)+Inputs!$C$47*0.173))+0.2*SIN(2*PI()*((((Scenario_Data!V118)+(Inputs!$C$6))/(0.5*(Inputs!$C$49+Inputs!$C$50)))+Inputs!$C$47*0.097)))+0.3*(2*((SIN(((Scenario_Data!V118)*12.9898+(Inputs!$C$6)*78.233+Inputs!$C$47*37.719))*43758.5453)-INT((SIN(((Scenario_Data!V118)*12.9898+(Inputs!$C$6)*78.233+Inputs!$C$47*37.719))*43758.5453)))-1))))/1000))^2-2*(Inputs!$C$52+(Scenario_Data!D118))*(Inputs!$C$52+((IF(OR(Inputs!$C$27=TRUE,Inputs!$C$27="TRUE",Inputs!$C$27=1),1,0)*(Inputs!$C$51*(115*EXP(-(((Inputs!$C$6)-25)^2)/(4.5^2))+70*EXP(-(((Inputs!$C$6)+38)^2)/(7^2))*(0.55+0.45*SIN(2*PI()*(Scenario_Data!V118)/45))+24*SIN(2*PI()*(Inputs!$C$6)/9+(Scenario_Data!V118)/18)*EXP(-(((Inputs!$C$6)+5)^2)/(22^2))+18*SIN(2*PI()*(Scenario_Data!V118)/70))+Inputs!$C$28*EXP(-(((Scenario_Data!V118)-Inputs!$C$29)^2)/(2*Inputs!$C$31^2))*EXP(-(((Inputs!$C$6)-Inputs!$C$30)^2)/(2*Inputs!$C$32^2))+-Inputs!$C$33*EXP(-(((((Scenario_Data!V118)-Inputs!$C$34)^2)+(((Inputs!$C$6)-Inputs!$C$35)^2))/(2*Inputs!$C$36^2)))+Inputs!$C$37*(0.55*SIN(2*PI()*(Scenario_Data!V118)/Inputs!$C$39)+0.35*COS(2*PI()*(Inputs!$C$6)/Inputs!$C$40)+0.2*SIN(2*PI()*((Scenario_Data!V118)+(Inputs!$C$6))/(0.5*(Inputs!$C$39+Inputs!$C$40))))+Inputs!$C$38*SIN(2*PI()*(Scenario_Data!V118)/Inputs!$C$39)*SIN(2*PI()*(Inputs!$C$6)/Inputs!$C$40)+-Inputs!$C$41*EXP(-(((Inputs!$C$6)-Inputs!$C$43)^2)/(2*Inputs!$C$44^2))*EXP(-(((Scenario_Data!V118)-Inputs!$C$42)^2)/(2*Inputs!$C$45^2))+Inputs!$C$48*(0.7*(0.45*SIN(2*PI()*(((Scenario_Data!V118)/Inputs!$C$49)+Inputs!$C$47*0.137))+0.35*COS(2*PI()*(((Inputs!$C$6)/Inputs!$C$50)+Inputs!$C$47*0.173))+0.2*SIN(2*PI()*((((Scenario_Data!V118)+(Inputs!$C$6))/(0.5*(Inputs!$C$49+Inputs!$C$50)))+Inputs!$C$47*0.097)))+0.3*(2*((SIN(((Scenario_Data!V118)*12.9898+(Inputs!$C$6)*78.233+Inputs!$C$47*37.719))*43758.5453)-INT((SIN(((Scenario_Data!V118)*12.9898+(Inputs!$C$6)*78.233+Inputs!$C$47*37.719))*43758.5453)))-1))))/1000))*COS(SQRT((Scenario_Data!V118)^2+Inputs!$C$6^2)/Inputs!$C$52))*1000)/Inputs!$C$21*1000000</f>
        <v/>
      </c>
      <c r="AV118">
        <f>Scenario_Data!W118</f>
        <v/>
      </c>
      <c r="AW118">
        <f>2*(SQRT((Inputs!$C$52+(Scenario_Data!E118))^2+(Inputs!$C$52+((IF(OR(Inputs!$C$27=TRUE,Inputs!$C$27="TRUE",Inputs!$C$27=1),1,0)*(Inputs!$C$51*(115*EXP(-(((Inputs!$C$6)-25)^2)/(4.5^2))+70*EXP(-(((Inputs!$C$6)+38)^2)/(7^2))*(0.55+0.45*SIN(2*PI()*(Scenario_Data!W118)/45))+24*SIN(2*PI()*(Inputs!$C$6)/9+(Scenario_Data!W118)/18)*EXP(-(((Inputs!$C$6)+5)^2)/(22^2))+18*SIN(2*PI()*(Scenario_Data!W118)/70))+Inputs!$C$28*EXP(-(((Scenario_Data!W118)-Inputs!$C$29)^2)/(2*Inputs!$C$31^2))*EXP(-(((Inputs!$C$6)-Inputs!$C$30)^2)/(2*Inputs!$C$32^2))+-Inputs!$C$33*EXP(-(((((Scenario_Data!W118)-Inputs!$C$34)^2)+(((Inputs!$C$6)-Inputs!$C$35)^2))/(2*Inputs!$C$36^2)))+Inputs!$C$37*(0.55*SIN(2*PI()*(Scenario_Data!W118)/Inputs!$C$39)+0.35*COS(2*PI()*(Inputs!$C$6)/Inputs!$C$40)+0.2*SIN(2*PI()*((Scenario_Data!W118)+(Inputs!$C$6))/(0.5*(Inputs!$C$39+Inputs!$C$40))))+Inputs!$C$38*SIN(2*PI()*(Scenario_Data!W118)/Inputs!$C$39)*SIN(2*PI()*(Inputs!$C$6)/Inputs!$C$40)+-Inputs!$C$41*EXP(-(((Inputs!$C$6)-Inputs!$C$43)^2)/(2*Inputs!$C$44^2))*EXP(-(((Scenario_Data!W118)-Inputs!$C$42)^2)/(2*Inputs!$C$45^2))+Inputs!$C$48*(0.7*(0.45*SIN(2*PI()*(((Scenario_Data!W118)/Inputs!$C$49)+Inputs!$C$47*0.137))+0.35*COS(2*PI()*(((Inputs!$C$6)/Inputs!$C$50)+Inputs!$C$47*0.173))+0.2*SIN(2*PI()*((((Scenario_Data!W118)+(Inputs!$C$6))/(0.5*(Inputs!$C$49+Inputs!$C$50)))+Inputs!$C$47*0.097)))+0.3*(2*((SIN(((Scenario_Data!W118)*12.9898+(Inputs!$C$6)*78.233+Inputs!$C$47*37.719))*43758.5453)-INT((SIN(((Scenario_Data!W118)*12.9898+(Inputs!$C$6)*78.233+Inputs!$C$47*37.719))*43758.5453)))-1))))/1000))^2-2*(Inputs!$C$52+(Scenario_Data!E118))*(Inputs!$C$52+((IF(OR(Inputs!$C$27=TRUE,Inputs!$C$27="TRUE",Inputs!$C$27=1),1,0)*(Inputs!$C$51*(115*EXP(-(((Inputs!$C$6)-25)^2)/(4.5^2))+70*EXP(-(((Inputs!$C$6)+38)^2)/(7^2))*(0.55+0.45*SIN(2*PI()*(Scenario_Data!W118)/45))+24*SIN(2*PI()*(Inputs!$C$6)/9+(Scenario_Data!W118)/18)*EXP(-(((Inputs!$C$6)+5)^2)/(22^2))+18*SIN(2*PI()*(Scenario_Data!W118)/70))+Inputs!$C$28*EXP(-(((Scenario_Data!W118)-Inputs!$C$29)^2)/(2*Inputs!$C$31^2))*EXP(-(((Inputs!$C$6)-Inputs!$C$30)^2)/(2*Inputs!$C$32^2))+-Inputs!$C$33*EXP(-(((((Scenario_Data!W118)-Inputs!$C$34)^2)+(((Inputs!$C$6)-Inputs!$C$35)^2))/(2*Inputs!$C$36^2)))+Inputs!$C$37*(0.55*SIN(2*PI()*(Scenario_Data!W118)/Inputs!$C$39)+0.35*COS(2*PI()*(Inputs!$C$6)/Inputs!$C$40)+0.2*SIN(2*PI()*((Scenario_Data!W118)+(Inputs!$C$6))/(0.5*(Inputs!$C$39+Inputs!$C$40))))+Inputs!$C$38*SIN(2*PI()*(Scenario_Data!W118)/Inputs!$C$39)*SIN(2*PI()*(Inputs!$C$6)/Inputs!$C$40)+-Inputs!$C$41*EXP(-(((Inputs!$C$6)-Inputs!$C$43)^2)/(2*Inputs!$C$44^2))*EXP(-(((Scenario_Data!W118)-Inputs!$C$42)^2)/(2*Inputs!$C$45^2))+Inputs!$C$48*(0.7*(0.45*SIN(2*PI()*(((Scenario_Data!W118)/Inputs!$C$49)+Inputs!$C$47*0.137))+0.35*COS(2*PI()*(((Inputs!$C$6)/Inputs!$C$50)+Inputs!$C$47*0.173))+0.2*SIN(2*PI()*((((Scenario_Data!W118)+(Inputs!$C$6))/(0.5*(Inputs!$C$49+Inputs!$C$50)))+Inputs!$C$47*0.097)))+0.3*(2*((SIN(((Scenario_Data!W118)*12.9898+(Inputs!$C$6)*78.233+Inputs!$C$47*37.719))*43758.5453)-INT((SIN(((Scenario_Data!W118)*12.9898+(Inputs!$C$6)*78.233+Inputs!$C$47*37.719))*43758.5453)))-1))))/1000))*COS(SQRT((Scenario_Data!W118)^2+Inputs!$C$6^2)/Inputs!$C$52))*1000)/Inputs!$C$21*1000000</f>
        <v/>
      </c>
    </row>
    <row r="119">
      <c r="A119">
        <f>Chart_Data!K119</f>
        <v/>
      </c>
      <c r="B119">
        <f>Chart_Data!N119-Chart_Data!L119</f>
        <v/>
      </c>
      <c r="D119">
        <f>Chart_Data!G119</f>
        <v/>
      </c>
      <c r="E119">
        <f>Chart_Data!H119</f>
        <v/>
      </c>
      <c r="F119">
        <f>Chart_Data!I119</f>
        <v/>
      </c>
      <c r="G119">
        <f>Chart_Data!J119</f>
        <v/>
      </c>
      <c r="I119">
        <f>Scenario_Data!A119</f>
        <v/>
      </c>
      <c r="J119">
        <f>Scenario_Data!H119-(((SQRT((Inputs!$C$52+(Inputs!$H$6))^2+Inputs!$C$52^2-2*(Inputs!$C$52+(Inputs!$H$6))*Inputs!$C$52*COS(SQRT((Scenario_Data!T119)^2+Inputs!$C$6^2)/Inputs!$C$52)))-(Inputs!$H$6))*1000/Inputs!$C$12)</f>
        <v/>
      </c>
      <c r="K119">
        <f>Scenario_Data!I119-(((SQRT((Inputs!$C$52+(Inputs!$H$7))^2+Inputs!$C$52^2-2*(Inputs!$C$52+(Inputs!$H$7))*Inputs!$C$52*COS(SQRT((Scenario_Data!U119)^2+Inputs!$C$6^2)/Inputs!$C$52)))-(Inputs!$H$7))*1000/Inputs!$C$12)</f>
        <v/>
      </c>
      <c r="L119">
        <f>Scenario_Data!J119-(((SQRT((Inputs!$C$52+(Inputs!$H$8))^2+Inputs!$C$52^2-2*(Inputs!$C$52+(Inputs!$H$8))*Inputs!$C$52*COS(SQRT((Scenario_Data!V119)^2+Inputs!$C$6^2)/Inputs!$C$52)))-(Inputs!$H$8))*1000/Inputs!$C$12)</f>
        <v/>
      </c>
      <c r="M119">
        <f>Scenario_Data!K119-(((SQRT((Inputs!$C$52+(Inputs!$H$9))^2+Inputs!$C$52^2-2*(Inputs!$C$52+(Inputs!$H$9))*Inputs!$C$52*COS(SQRT((Scenario_Data!W119)^2+Inputs!$C$6^2)/Inputs!$C$52)))-(Inputs!$H$9))*1000/Inputs!$C$12)</f>
        <v/>
      </c>
      <c r="O119">
        <f>Scenario_Data!T119</f>
        <v/>
      </c>
      <c r="P119">
        <f>2*(Scenario_Data!B119*1000)/Inputs!$C$21*1000000</f>
        <v/>
      </c>
      <c r="Q119">
        <f>Scenario_Data!U119</f>
        <v/>
      </c>
      <c r="R119">
        <f>2*(Scenario_Data!C119*1000)/Inputs!$C$21*1000000</f>
        <v/>
      </c>
      <c r="S119">
        <f>Scenario_Data!V119</f>
        <v/>
      </c>
      <c r="T119">
        <f>2*(Scenario_Data!D119*1000)/Inputs!$C$21*1000000</f>
        <v/>
      </c>
      <c r="U119">
        <f>Scenario_Data!W119</f>
        <v/>
      </c>
      <c r="V119">
        <f>2*(Scenario_Data!E119*1000)/Inputs!$C$21*1000000</f>
        <v/>
      </c>
      <c r="X119">
        <f>Scenario_Data!T119</f>
        <v/>
      </c>
      <c r="Y119">
        <f>2*((Scenario_Data!B119*1000)-(IF(OR(Inputs!$C$27=TRUE,Inputs!$C$27="TRUE",Inputs!$C$27=1),1,0)*(Inputs!$C$51*(115*EXP(-(((0)-25)^2)/(4.5^2))+70*EXP(-(((0)+38)^2)/(7^2))*(0.55+0.45*SIN(2*PI()*(Scenario_Data!T119)/45))+24*SIN(2*PI()*(0)/9+(Scenario_Data!T119)/18)*EXP(-(((0)+5)^2)/(22^2))+18*SIN(2*PI()*(Scenario_Data!T119)/70))+Inputs!$C$28*EXP(-(((Scenario_Data!T119)-Inputs!$C$29)^2)/(2*Inputs!$C$31^2))*EXP(-(((0)-Inputs!$C$30)^2)/(2*Inputs!$C$32^2))+-Inputs!$C$33*EXP(-(((((Scenario_Data!T119)-Inputs!$C$34)^2)+(((0)-Inputs!$C$35)^2))/(2*Inputs!$C$36^2)))+Inputs!$C$37*(0.55*SIN(2*PI()*(Scenario_Data!T119)/Inputs!$C$39)+0.35*COS(2*PI()*(0)/Inputs!$C$40)+0.2*SIN(2*PI()*((Scenario_Data!T119)+(0))/(0.5*(Inputs!$C$39+Inputs!$C$40))))+Inputs!$C$38*SIN(2*PI()*(Scenario_Data!T119)/Inputs!$C$39)*SIN(2*PI()*(0)/Inputs!$C$40)+-Inputs!$C$41*EXP(-(((0)-Inputs!$C$43)^2)/(2*Inputs!$C$44^2))*EXP(-(((Scenario_Data!T119)-Inputs!$C$42)^2)/(2*Inputs!$C$45^2))+Inputs!$C$48*(0.7*(0.45*SIN(2*PI()*(((Scenario_Data!T119)/Inputs!$C$49)+Inputs!$C$47*0.137))+0.35*COS(2*PI()*(((0)/Inputs!$C$50)+Inputs!$C$47*0.173))+0.2*SIN(2*PI()*((((Scenario_Data!T119)+(0))/(0.5*(Inputs!$C$49+Inputs!$C$50)))+Inputs!$C$47*0.097)))+0.3*(2*((SIN(((Scenario_Data!T119)*12.9898+(0)*78.233+Inputs!$C$47*37.719))*43758.5453)-INT((SIN(((Scenario_Data!T119)*12.9898+(0)*78.233+Inputs!$C$47*37.719))*43758.5453)))-1)))))/Inputs!$C$21*1000000</f>
        <v/>
      </c>
      <c r="Z119">
        <f>Scenario_Data!U119</f>
        <v/>
      </c>
      <c r="AA119">
        <f>2*((Scenario_Data!C119*1000)-(IF(OR(Inputs!$C$27=TRUE,Inputs!$C$27="TRUE",Inputs!$C$27=1),1,0)*(Inputs!$C$51*(115*EXP(-(((0)-25)^2)/(4.5^2))+70*EXP(-(((0)+38)^2)/(7^2))*(0.55+0.45*SIN(2*PI()*(Scenario_Data!U119)/45))+24*SIN(2*PI()*(0)/9+(Scenario_Data!U119)/18)*EXP(-(((0)+5)^2)/(22^2))+18*SIN(2*PI()*(Scenario_Data!U119)/70))+Inputs!$C$28*EXP(-(((Scenario_Data!U119)-Inputs!$C$29)^2)/(2*Inputs!$C$31^2))*EXP(-(((0)-Inputs!$C$30)^2)/(2*Inputs!$C$32^2))+-Inputs!$C$33*EXP(-(((((Scenario_Data!U119)-Inputs!$C$34)^2)+(((0)-Inputs!$C$35)^2))/(2*Inputs!$C$36^2)))+Inputs!$C$37*(0.55*SIN(2*PI()*(Scenario_Data!U119)/Inputs!$C$39)+0.35*COS(2*PI()*(0)/Inputs!$C$40)+0.2*SIN(2*PI()*((Scenario_Data!U119)+(0))/(0.5*(Inputs!$C$39+Inputs!$C$40))))+Inputs!$C$38*SIN(2*PI()*(Scenario_Data!U119)/Inputs!$C$39)*SIN(2*PI()*(0)/Inputs!$C$40)+-Inputs!$C$41*EXP(-(((0)-Inputs!$C$43)^2)/(2*Inputs!$C$44^2))*EXP(-(((Scenario_Data!U119)-Inputs!$C$42)^2)/(2*Inputs!$C$45^2))+Inputs!$C$48*(0.7*(0.45*SIN(2*PI()*(((Scenario_Data!U119)/Inputs!$C$49)+Inputs!$C$47*0.137))+0.35*COS(2*PI()*(((0)/Inputs!$C$50)+Inputs!$C$47*0.173))+0.2*SIN(2*PI()*((((Scenario_Data!U119)+(0))/(0.5*(Inputs!$C$49+Inputs!$C$50)))+Inputs!$C$47*0.097)))+0.3*(2*((SIN(((Scenario_Data!U119)*12.9898+(0)*78.233+Inputs!$C$47*37.719))*43758.5453)-INT((SIN(((Scenario_Data!U119)*12.9898+(0)*78.233+Inputs!$C$47*37.719))*43758.5453)))-1)))))/Inputs!$C$21*1000000</f>
        <v/>
      </c>
      <c r="AB119">
        <f>Scenario_Data!V119</f>
        <v/>
      </c>
      <c r="AC119">
        <f>2*((Scenario_Data!D119*1000)-(IF(OR(Inputs!$C$27=TRUE,Inputs!$C$27="TRUE",Inputs!$C$27=1),1,0)*(Inputs!$C$51*(115*EXP(-(((0)-25)^2)/(4.5^2))+70*EXP(-(((0)+38)^2)/(7^2))*(0.55+0.45*SIN(2*PI()*(Scenario_Data!V119)/45))+24*SIN(2*PI()*(0)/9+(Scenario_Data!V119)/18)*EXP(-(((0)+5)^2)/(22^2))+18*SIN(2*PI()*(Scenario_Data!V119)/70))+Inputs!$C$28*EXP(-(((Scenario_Data!V119)-Inputs!$C$29)^2)/(2*Inputs!$C$31^2))*EXP(-(((0)-Inputs!$C$30)^2)/(2*Inputs!$C$32^2))+-Inputs!$C$33*EXP(-(((((Scenario_Data!V119)-Inputs!$C$34)^2)+(((0)-Inputs!$C$35)^2))/(2*Inputs!$C$36^2)))+Inputs!$C$37*(0.55*SIN(2*PI()*(Scenario_Data!V119)/Inputs!$C$39)+0.35*COS(2*PI()*(0)/Inputs!$C$40)+0.2*SIN(2*PI()*((Scenario_Data!V119)+(0))/(0.5*(Inputs!$C$39+Inputs!$C$40))))+Inputs!$C$38*SIN(2*PI()*(Scenario_Data!V119)/Inputs!$C$39)*SIN(2*PI()*(0)/Inputs!$C$40)+-Inputs!$C$41*EXP(-(((0)-Inputs!$C$43)^2)/(2*Inputs!$C$44^2))*EXP(-(((Scenario_Data!V119)-Inputs!$C$42)^2)/(2*Inputs!$C$45^2))+Inputs!$C$48*(0.7*(0.45*SIN(2*PI()*(((Scenario_Data!V119)/Inputs!$C$49)+Inputs!$C$47*0.137))+0.35*COS(2*PI()*(((0)/Inputs!$C$50)+Inputs!$C$47*0.173))+0.2*SIN(2*PI()*((((Scenario_Data!V119)+(0))/(0.5*(Inputs!$C$49+Inputs!$C$50)))+Inputs!$C$47*0.097)))+0.3*(2*((SIN(((Scenario_Data!V119)*12.9898+(0)*78.233+Inputs!$C$47*37.719))*43758.5453)-INT((SIN(((Scenario_Data!V119)*12.9898+(0)*78.233+Inputs!$C$47*37.719))*43758.5453)))-1)))))/Inputs!$C$21*1000000</f>
        <v/>
      </c>
      <c r="AD119">
        <f>Scenario_Data!W119</f>
        <v/>
      </c>
      <c r="AE119">
        <f>2*((Scenario_Data!E119*1000)-(IF(OR(Inputs!$C$27=TRUE,Inputs!$C$27="TRUE",Inputs!$C$27=1),1,0)*(Inputs!$C$51*(115*EXP(-(((0)-25)^2)/(4.5^2))+70*EXP(-(((0)+38)^2)/(7^2))*(0.55+0.45*SIN(2*PI()*(Scenario_Data!W119)/45))+24*SIN(2*PI()*(0)/9+(Scenario_Data!W119)/18)*EXP(-(((0)+5)^2)/(22^2))+18*SIN(2*PI()*(Scenario_Data!W119)/70))+Inputs!$C$28*EXP(-(((Scenario_Data!W119)-Inputs!$C$29)^2)/(2*Inputs!$C$31^2))*EXP(-(((0)-Inputs!$C$30)^2)/(2*Inputs!$C$32^2))+-Inputs!$C$33*EXP(-(((((Scenario_Data!W119)-Inputs!$C$34)^2)+(((0)-Inputs!$C$35)^2))/(2*Inputs!$C$36^2)))+Inputs!$C$37*(0.55*SIN(2*PI()*(Scenario_Data!W119)/Inputs!$C$39)+0.35*COS(2*PI()*(0)/Inputs!$C$40)+0.2*SIN(2*PI()*((Scenario_Data!W119)+(0))/(0.5*(Inputs!$C$39+Inputs!$C$40))))+Inputs!$C$38*SIN(2*PI()*(Scenario_Data!W119)/Inputs!$C$39)*SIN(2*PI()*(0)/Inputs!$C$40)+-Inputs!$C$41*EXP(-(((0)-Inputs!$C$43)^2)/(2*Inputs!$C$44^2))*EXP(-(((Scenario_Data!W119)-Inputs!$C$42)^2)/(2*Inputs!$C$45^2))+Inputs!$C$48*(0.7*(0.45*SIN(2*PI()*(((Scenario_Data!W119)/Inputs!$C$49)+Inputs!$C$47*0.137))+0.35*COS(2*PI()*(((0)/Inputs!$C$50)+Inputs!$C$47*0.173))+0.2*SIN(2*PI()*((((Scenario_Data!W119)+(0))/(0.5*(Inputs!$C$49+Inputs!$C$50)))+Inputs!$C$47*0.097)))+0.3*(2*((SIN(((Scenario_Data!W119)*12.9898+(0)*78.233+Inputs!$C$47*37.719))*43758.5453)-INT((SIN(((Scenario_Data!W119)*12.9898+(0)*78.233+Inputs!$C$47*37.719))*43758.5453)))-1)))))/Inputs!$C$21*1000000</f>
        <v/>
      </c>
      <c r="AG119">
        <f>Scenario_Data!T119</f>
        <v/>
      </c>
      <c r="AH119">
        <f>2*(SQRT((Inputs!$C$52+(Scenario_Data!B119))^2+Inputs!$C$52^2-2*(Inputs!$C$52+(Scenario_Data!B119))*Inputs!$C$52*COS(SQRT((Scenario_Data!T119)^2+Inputs!$C$6^2)/Inputs!$C$52))*1000)/Inputs!$C$21*1000000</f>
        <v/>
      </c>
      <c r="AI119">
        <f>Scenario_Data!U119</f>
        <v/>
      </c>
      <c r="AJ119">
        <f>2*(SQRT((Inputs!$C$52+(Scenario_Data!C119))^2+Inputs!$C$52^2-2*(Inputs!$C$52+(Scenario_Data!C119))*Inputs!$C$52*COS(SQRT((Scenario_Data!U119)^2+Inputs!$C$6^2)/Inputs!$C$52))*1000)/Inputs!$C$21*1000000</f>
        <v/>
      </c>
      <c r="AK119">
        <f>Scenario_Data!V119</f>
        <v/>
      </c>
      <c r="AL119">
        <f>2*(SQRT((Inputs!$C$52+(Scenario_Data!D119))^2+Inputs!$C$52^2-2*(Inputs!$C$52+(Scenario_Data!D119))*Inputs!$C$52*COS(SQRT((Scenario_Data!V119)^2+Inputs!$C$6^2)/Inputs!$C$52))*1000)/Inputs!$C$21*1000000</f>
        <v/>
      </c>
      <c r="AM119">
        <f>Scenario_Data!W119</f>
        <v/>
      </c>
      <c r="AN119">
        <f>2*(SQRT((Inputs!$C$52+(Scenario_Data!E119))^2+Inputs!$C$52^2-2*(Inputs!$C$52+(Scenario_Data!E119))*Inputs!$C$52*COS(SQRT((Scenario_Data!W119)^2+Inputs!$C$6^2)/Inputs!$C$52))*1000)/Inputs!$C$21*1000000</f>
        <v/>
      </c>
      <c r="AP119">
        <f>Scenario_Data!T119</f>
        <v/>
      </c>
      <c r="AQ119">
        <f>2*(SQRT((Inputs!$C$52+(Scenario_Data!B119))^2+(Inputs!$C$52+((IF(OR(Inputs!$C$27=TRUE,Inputs!$C$27="TRUE",Inputs!$C$27=1),1,0)*(Inputs!$C$51*(115*EXP(-(((Inputs!$C$6)-25)^2)/(4.5^2))+70*EXP(-(((Inputs!$C$6)+38)^2)/(7^2))*(0.55+0.45*SIN(2*PI()*(Scenario_Data!T119)/45))+24*SIN(2*PI()*(Inputs!$C$6)/9+(Scenario_Data!T119)/18)*EXP(-(((Inputs!$C$6)+5)^2)/(22^2))+18*SIN(2*PI()*(Scenario_Data!T119)/70))+Inputs!$C$28*EXP(-(((Scenario_Data!T119)-Inputs!$C$29)^2)/(2*Inputs!$C$31^2))*EXP(-(((Inputs!$C$6)-Inputs!$C$30)^2)/(2*Inputs!$C$32^2))+-Inputs!$C$33*EXP(-(((((Scenario_Data!T119)-Inputs!$C$34)^2)+(((Inputs!$C$6)-Inputs!$C$35)^2))/(2*Inputs!$C$36^2)))+Inputs!$C$37*(0.55*SIN(2*PI()*(Scenario_Data!T119)/Inputs!$C$39)+0.35*COS(2*PI()*(Inputs!$C$6)/Inputs!$C$40)+0.2*SIN(2*PI()*((Scenario_Data!T119)+(Inputs!$C$6))/(0.5*(Inputs!$C$39+Inputs!$C$40))))+Inputs!$C$38*SIN(2*PI()*(Scenario_Data!T119)/Inputs!$C$39)*SIN(2*PI()*(Inputs!$C$6)/Inputs!$C$40)+-Inputs!$C$41*EXP(-(((Inputs!$C$6)-Inputs!$C$43)^2)/(2*Inputs!$C$44^2))*EXP(-(((Scenario_Data!T119)-Inputs!$C$42)^2)/(2*Inputs!$C$45^2))+Inputs!$C$48*(0.7*(0.45*SIN(2*PI()*(((Scenario_Data!T119)/Inputs!$C$49)+Inputs!$C$47*0.137))+0.35*COS(2*PI()*(((Inputs!$C$6)/Inputs!$C$50)+Inputs!$C$47*0.173))+0.2*SIN(2*PI()*((((Scenario_Data!T119)+(Inputs!$C$6))/(0.5*(Inputs!$C$49+Inputs!$C$50)))+Inputs!$C$47*0.097)))+0.3*(2*((SIN(((Scenario_Data!T119)*12.9898+(Inputs!$C$6)*78.233+Inputs!$C$47*37.719))*43758.5453)-INT((SIN(((Scenario_Data!T119)*12.9898+(Inputs!$C$6)*78.233+Inputs!$C$47*37.719))*43758.5453)))-1))))/1000))^2-2*(Inputs!$C$52+(Scenario_Data!B119))*(Inputs!$C$52+((IF(OR(Inputs!$C$27=TRUE,Inputs!$C$27="TRUE",Inputs!$C$27=1),1,0)*(Inputs!$C$51*(115*EXP(-(((Inputs!$C$6)-25)^2)/(4.5^2))+70*EXP(-(((Inputs!$C$6)+38)^2)/(7^2))*(0.55+0.45*SIN(2*PI()*(Scenario_Data!T119)/45))+24*SIN(2*PI()*(Inputs!$C$6)/9+(Scenario_Data!T119)/18)*EXP(-(((Inputs!$C$6)+5)^2)/(22^2))+18*SIN(2*PI()*(Scenario_Data!T119)/70))+Inputs!$C$28*EXP(-(((Scenario_Data!T119)-Inputs!$C$29)^2)/(2*Inputs!$C$31^2))*EXP(-(((Inputs!$C$6)-Inputs!$C$30)^2)/(2*Inputs!$C$32^2))+-Inputs!$C$33*EXP(-(((((Scenario_Data!T119)-Inputs!$C$34)^2)+(((Inputs!$C$6)-Inputs!$C$35)^2))/(2*Inputs!$C$36^2)))+Inputs!$C$37*(0.55*SIN(2*PI()*(Scenario_Data!T119)/Inputs!$C$39)+0.35*COS(2*PI()*(Inputs!$C$6)/Inputs!$C$40)+0.2*SIN(2*PI()*((Scenario_Data!T119)+(Inputs!$C$6))/(0.5*(Inputs!$C$39+Inputs!$C$40))))+Inputs!$C$38*SIN(2*PI()*(Scenario_Data!T119)/Inputs!$C$39)*SIN(2*PI()*(Inputs!$C$6)/Inputs!$C$40)+-Inputs!$C$41*EXP(-(((Inputs!$C$6)-Inputs!$C$43)^2)/(2*Inputs!$C$44^2))*EXP(-(((Scenario_Data!T119)-Inputs!$C$42)^2)/(2*Inputs!$C$45^2))+Inputs!$C$48*(0.7*(0.45*SIN(2*PI()*(((Scenario_Data!T119)/Inputs!$C$49)+Inputs!$C$47*0.137))+0.35*COS(2*PI()*(((Inputs!$C$6)/Inputs!$C$50)+Inputs!$C$47*0.173))+0.2*SIN(2*PI()*((((Scenario_Data!T119)+(Inputs!$C$6))/(0.5*(Inputs!$C$49+Inputs!$C$50)))+Inputs!$C$47*0.097)))+0.3*(2*((SIN(((Scenario_Data!T119)*12.9898+(Inputs!$C$6)*78.233+Inputs!$C$47*37.719))*43758.5453)-INT((SIN(((Scenario_Data!T119)*12.9898+(Inputs!$C$6)*78.233+Inputs!$C$47*37.719))*43758.5453)))-1))))/1000))*COS(SQRT((Scenario_Data!T119)^2+Inputs!$C$6^2)/Inputs!$C$52))*1000)/Inputs!$C$21*1000000</f>
        <v/>
      </c>
      <c r="AR119">
        <f>Scenario_Data!U119</f>
        <v/>
      </c>
      <c r="AS119">
        <f>2*(SQRT((Inputs!$C$52+(Scenario_Data!C119))^2+(Inputs!$C$52+((IF(OR(Inputs!$C$27=TRUE,Inputs!$C$27="TRUE",Inputs!$C$27=1),1,0)*(Inputs!$C$51*(115*EXP(-(((Inputs!$C$6)-25)^2)/(4.5^2))+70*EXP(-(((Inputs!$C$6)+38)^2)/(7^2))*(0.55+0.45*SIN(2*PI()*(Scenario_Data!U119)/45))+24*SIN(2*PI()*(Inputs!$C$6)/9+(Scenario_Data!U119)/18)*EXP(-(((Inputs!$C$6)+5)^2)/(22^2))+18*SIN(2*PI()*(Scenario_Data!U119)/70))+Inputs!$C$28*EXP(-(((Scenario_Data!U119)-Inputs!$C$29)^2)/(2*Inputs!$C$31^2))*EXP(-(((Inputs!$C$6)-Inputs!$C$30)^2)/(2*Inputs!$C$32^2))+-Inputs!$C$33*EXP(-(((((Scenario_Data!U119)-Inputs!$C$34)^2)+(((Inputs!$C$6)-Inputs!$C$35)^2))/(2*Inputs!$C$36^2)))+Inputs!$C$37*(0.55*SIN(2*PI()*(Scenario_Data!U119)/Inputs!$C$39)+0.35*COS(2*PI()*(Inputs!$C$6)/Inputs!$C$40)+0.2*SIN(2*PI()*((Scenario_Data!U119)+(Inputs!$C$6))/(0.5*(Inputs!$C$39+Inputs!$C$40))))+Inputs!$C$38*SIN(2*PI()*(Scenario_Data!U119)/Inputs!$C$39)*SIN(2*PI()*(Inputs!$C$6)/Inputs!$C$40)+-Inputs!$C$41*EXP(-(((Inputs!$C$6)-Inputs!$C$43)^2)/(2*Inputs!$C$44^2))*EXP(-(((Scenario_Data!U119)-Inputs!$C$42)^2)/(2*Inputs!$C$45^2))+Inputs!$C$48*(0.7*(0.45*SIN(2*PI()*(((Scenario_Data!U119)/Inputs!$C$49)+Inputs!$C$47*0.137))+0.35*COS(2*PI()*(((Inputs!$C$6)/Inputs!$C$50)+Inputs!$C$47*0.173))+0.2*SIN(2*PI()*((((Scenario_Data!U119)+(Inputs!$C$6))/(0.5*(Inputs!$C$49+Inputs!$C$50)))+Inputs!$C$47*0.097)))+0.3*(2*((SIN(((Scenario_Data!U119)*12.9898+(Inputs!$C$6)*78.233+Inputs!$C$47*37.719))*43758.5453)-INT((SIN(((Scenario_Data!U119)*12.9898+(Inputs!$C$6)*78.233+Inputs!$C$47*37.719))*43758.5453)))-1))))/1000))^2-2*(Inputs!$C$52+(Scenario_Data!C119))*(Inputs!$C$52+((IF(OR(Inputs!$C$27=TRUE,Inputs!$C$27="TRUE",Inputs!$C$27=1),1,0)*(Inputs!$C$51*(115*EXP(-(((Inputs!$C$6)-25)^2)/(4.5^2))+70*EXP(-(((Inputs!$C$6)+38)^2)/(7^2))*(0.55+0.45*SIN(2*PI()*(Scenario_Data!U119)/45))+24*SIN(2*PI()*(Inputs!$C$6)/9+(Scenario_Data!U119)/18)*EXP(-(((Inputs!$C$6)+5)^2)/(22^2))+18*SIN(2*PI()*(Scenario_Data!U119)/70))+Inputs!$C$28*EXP(-(((Scenario_Data!U119)-Inputs!$C$29)^2)/(2*Inputs!$C$31^2))*EXP(-(((Inputs!$C$6)-Inputs!$C$30)^2)/(2*Inputs!$C$32^2))+-Inputs!$C$33*EXP(-(((((Scenario_Data!U119)-Inputs!$C$34)^2)+(((Inputs!$C$6)-Inputs!$C$35)^2))/(2*Inputs!$C$36^2)))+Inputs!$C$37*(0.55*SIN(2*PI()*(Scenario_Data!U119)/Inputs!$C$39)+0.35*COS(2*PI()*(Inputs!$C$6)/Inputs!$C$40)+0.2*SIN(2*PI()*((Scenario_Data!U119)+(Inputs!$C$6))/(0.5*(Inputs!$C$39+Inputs!$C$40))))+Inputs!$C$38*SIN(2*PI()*(Scenario_Data!U119)/Inputs!$C$39)*SIN(2*PI()*(Inputs!$C$6)/Inputs!$C$40)+-Inputs!$C$41*EXP(-(((Inputs!$C$6)-Inputs!$C$43)^2)/(2*Inputs!$C$44^2))*EXP(-(((Scenario_Data!U119)-Inputs!$C$42)^2)/(2*Inputs!$C$45^2))+Inputs!$C$48*(0.7*(0.45*SIN(2*PI()*(((Scenario_Data!U119)/Inputs!$C$49)+Inputs!$C$47*0.137))+0.35*COS(2*PI()*(((Inputs!$C$6)/Inputs!$C$50)+Inputs!$C$47*0.173))+0.2*SIN(2*PI()*((((Scenario_Data!U119)+(Inputs!$C$6))/(0.5*(Inputs!$C$49+Inputs!$C$50)))+Inputs!$C$47*0.097)))+0.3*(2*((SIN(((Scenario_Data!U119)*12.9898+(Inputs!$C$6)*78.233+Inputs!$C$47*37.719))*43758.5453)-INT((SIN(((Scenario_Data!U119)*12.9898+(Inputs!$C$6)*78.233+Inputs!$C$47*37.719))*43758.5453)))-1))))/1000))*COS(SQRT((Scenario_Data!U119)^2+Inputs!$C$6^2)/Inputs!$C$52))*1000)/Inputs!$C$21*1000000</f>
        <v/>
      </c>
      <c r="AT119">
        <f>Scenario_Data!V119</f>
        <v/>
      </c>
      <c r="AU119">
        <f>2*(SQRT((Inputs!$C$52+(Scenario_Data!D119))^2+(Inputs!$C$52+((IF(OR(Inputs!$C$27=TRUE,Inputs!$C$27="TRUE",Inputs!$C$27=1),1,0)*(Inputs!$C$51*(115*EXP(-(((Inputs!$C$6)-25)^2)/(4.5^2))+70*EXP(-(((Inputs!$C$6)+38)^2)/(7^2))*(0.55+0.45*SIN(2*PI()*(Scenario_Data!V119)/45))+24*SIN(2*PI()*(Inputs!$C$6)/9+(Scenario_Data!V119)/18)*EXP(-(((Inputs!$C$6)+5)^2)/(22^2))+18*SIN(2*PI()*(Scenario_Data!V119)/70))+Inputs!$C$28*EXP(-(((Scenario_Data!V119)-Inputs!$C$29)^2)/(2*Inputs!$C$31^2))*EXP(-(((Inputs!$C$6)-Inputs!$C$30)^2)/(2*Inputs!$C$32^2))+-Inputs!$C$33*EXP(-(((((Scenario_Data!V119)-Inputs!$C$34)^2)+(((Inputs!$C$6)-Inputs!$C$35)^2))/(2*Inputs!$C$36^2)))+Inputs!$C$37*(0.55*SIN(2*PI()*(Scenario_Data!V119)/Inputs!$C$39)+0.35*COS(2*PI()*(Inputs!$C$6)/Inputs!$C$40)+0.2*SIN(2*PI()*((Scenario_Data!V119)+(Inputs!$C$6))/(0.5*(Inputs!$C$39+Inputs!$C$40))))+Inputs!$C$38*SIN(2*PI()*(Scenario_Data!V119)/Inputs!$C$39)*SIN(2*PI()*(Inputs!$C$6)/Inputs!$C$40)+-Inputs!$C$41*EXP(-(((Inputs!$C$6)-Inputs!$C$43)^2)/(2*Inputs!$C$44^2))*EXP(-(((Scenario_Data!V119)-Inputs!$C$42)^2)/(2*Inputs!$C$45^2))+Inputs!$C$48*(0.7*(0.45*SIN(2*PI()*(((Scenario_Data!V119)/Inputs!$C$49)+Inputs!$C$47*0.137))+0.35*COS(2*PI()*(((Inputs!$C$6)/Inputs!$C$50)+Inputs!$C$47*0.173))+0.2*SIN(2*PI()*((((Scenario_Data!V119)+(Inputs!$C$6))/(0.5*(Inputs!$C$49+Inputs!$C$50)))+Inputs!$C$47*0.097)))+0.3*(2*((SIN(((Scenario_Data!V119)*12.9898+(Inputs!$C$6)*78.233+Inputs!$C$47*37.719))*43758.5453)-INT((SIN(((Scenario_Data!V119)*12.9898+(Inputs!$C$6)*78.233+Inputs!$C$47*37.719))*43758.5453)))-1))))/1000))^2-2*(Inputs!$C$52+(Scenario_Data!D119))*(Inputs!$C$52+((IF(OR(Inputs!$C$27=TRUE,Inputs!$C$27="TRUE",Inputs!$C$27=1),1,0)*(Inputs!$C$51*(115*EXP(-(((Inputs!$C$6)-25)^2)/(4.5^2))+70*EXP(-(((Inputs!$C$6)+38)^2)/(7^2))*(0.55+0.45*SIN(2*PI()*(Scenario_Data!V119)/45))+24*SIN(2*PI()*(Inputs!$C$6)/9+(Scenario_Data!V119)/18)*EXP(-(((Inputs!$C$6)+5)^2)/(22^2))+18*SIN(2*PI()*(Scenario_Data!V119)/70))+Inputs!$C$28*EXP(-(((Scenario_Data!V119)-Inputs!$C$29)^2)/(2*Inputs!$C$31^2))*EXP(-(((Inputs!$C$6)-Inputs!$C$30)^2)/(2*Inputs!$C$32^2))+-Inputs!$C$33*EXP(-(((((Scenario_Data!V119)-Inputs!$C$34)^2)+(((Inputs!$C$6)-Inputs!$C$35)^2))/(2*Inputs!$C$36^2)))+Inputs!$C$37*(0.55*SIN(2*PI()*(Scenario_Data!V119)/Inputs!$C$39)+0.35*COS(2*PI()*(Inputs!$C$6)/Inputs!$C$40)+0.2*SIN(2*PI()*((Scenario_Data!V119)+(Inputs!$C$6))/(0.5*(Inputs!$C$39+Inputs!$C$40))))+Inputs!$C$38*SIN(2*PI()*(Scenario_Data!V119)/Inputs!$C$39)*SIN(2*PI()*(Inputs!$C$6)/Inputs!$C$40)+-Inputs!$C$41*EXP(-(((Inputs!$C$6)-Inputs!$C$43)^2)/(2*Inputs!$C$44^2))*EXP(-(((Scenario_Data!V119)-Inputs!$C$42)^2)/(2*Inputs!$C$45^2))+Inputs!$C$48*(0.7*(0.45*SIN(2*PI()*(((Scenario_Data!V119)/Inputs!$C$49)+Inputs!$C$47*0.137))+0.35*COS(2*PI()*(((Inputs!$C$6)/Inputs!$C$50)+Inputs!$C$47*0.173))+0.2*SIN(2*PI()*((((Scenario_Data!V119)+(Inputs!$C$6))/(0.5*(Inputs!$C$49+Inputs!$C$50)))+Inputs!$C$47*0.097)))+0.3*(2*((SIN(((Scenario_Data!V119)*12.9898+(Inputs!$C$6)*78.233+Inputs!$C$47*37.719))*43758.5453)-INT((SIN(((Scenario_Data!V119)*12.9898+(Inputs!$C$6)*78.233+Inputs!$C$47*37.719))*43758.5453)))-1))))/1000))*COS(SQRT((Scenario_Data!V119)^2+Inputs!$C$6^2)/Inputs!$C$52))*1000)/Inputs!$C$21*1000000</f>
        <v/>
      </c>
      <c r="AV119">
        <f>Scenario_Data!W119</f>
        <v/>
      </c>
      <c r="AW119">
        <f>2*(SQRT((Inputs!$C$52+(Scenario_Data!E119))^2+(Inputs!$C$52+((IF(OR(Inputs!$C$27=TRUE,Inputs!$C$27="TRUE",Inputs!$C$27=1),1,0)*(Inputs!$C$51*(115*EXP(-(((Inputs!$C$6)-25)^2)/(4.5^2))+70*EXP(-(((Inputs!$C$6)+38)^2)/(7^2))*(0.55+0.45*SIN(2*PI()*(Scenario_Data!W119)/45))+24*SIN(2*PI()*(Inputs!$C$6)/9+(Scenario_Data!W119)/18)*EXP(-(((Inputs!$C$6)+5)^2)/(22^2))+18*SIN(2*PI()*(Scenario_Data!W119)/70))+Inputs!$C$28*EXP(-(((Scenario_Data!W119)-Inputs!$C$29)^2)/(2*Inputs!$C$31^2))*EXP(-(((Inputs!$C$6)-Inputs!$C$30)^2)/(2*Inputs!$C$32^2))+-Inputs!$C$33*EXP(-(((((Scenario_Data!W119)-Inputs!$C$34)^2)+(((Inputs!$C$6)-Inputs!$C$35)^2))/(2*Inputs!$C$36^2)))+Inputs!$C$37*(0.55*SIN(2*PI()*(Scenario_Data!W119)/Inputs!$C$39)+0.35*COS(2*PI()*(Inputs!$C$6)/Inputs!$C$40)+0.2*SIN(2*PI()*((Scenario_Data!W119)+(Inputs!$C$6))/(0.5*(Inputs!$C$39+Inputs!$C$40))))+Inputs!$C$38*SIN(2*PI()*(Scenario_Data!W119)/Inputs!$C$39)*SIN(2*PI()*(Inputs!$C$6)/Inputs!$C$40)+-Inputs!$C$41*EXP(-(((Inputs!$C$6)-Inputs!$C$43)^2)/(2*Inputs!$C$44^2))*EXP(-(((Scenario_Data!W119)-Inputs!$C$42)^2)/(2*Inputs!$C$45^2))+Inputs!$C$48*(0.7*(0.45*SIN(2*PI()*(((Scenario_Data!W119)/Inputs!$C$49)+Inputs!$C$47*0.137))+0.35*COS(2*PI()*(((Inputs!$C$6)/Inputs!$C$50)+Inputs!$C$47*0.173))+0.2*SIN(2*PI()*((((Scenario_Data!W119)+(Inputs!$C$6))/(0.5*(Inputs!$C$49+Inputs!$C$50)))+Inputs!$C$47*0.097)))+0.3*(2*((SIN(((Scenario_Data!W119)*12.9898+(Inputs!$C$6)*78.233+Inputs!$C$47*37.719))*43758.5453)-INT((SIN(((Scenario_Data!W119)*12.9898+(Inputs!$C$6)*78.233+Inputs!$C$47*37.719))*43758.5453)))-1))))/1000))^2-2*(Inputs!$C$52+(Scenario_Data!E119))*(Inputs!$C$52+((IF(OR(Inputs!$C$27=TRUE,Inputs!$C$27="TRUE",Inputs!$C$27=1),1,0)*(Inputs!$C$51*(115*EXP(-(((Inputs!$C$6)-25)^2)/(4.5^2))+70*EXP(-(((Inputs!$C$6)+38)^2)/(7^2))*(0.55+0.45*SIN(2*PI()*(Scenario_Data!W119)/45))+24*SIN(2*PI()*(Inputs!$C$6)/9+(Scenario_Data!W119)/18)*EXP(-(((Inputs!$C$6)+5)^2)/(22^2))+18*SIN(2*PI()*(Scenario_Data!W119)/70))+Inputs!$C$28*EXP(-(((Scenario_Data!W119)-Inputs!$C$29)^2)/(2*Inputs!$C$31^2))*EXP(-(((Inputs!$C$6)-Inputs!$C$30)^2)/(2*Inputs!$C$32^2))+-Inputs!$C$33*EXP(-(((((Scenario_Data!W119)-Inputs!$C$34)^2)+(((Inputs!$C$6)-Inputs!$C$35)^2))/(2*Inputs!$C$36^2)))+Inputs!$C$37*(0.55*SIN(2*PI()*(Scenario_Data!W119)/Inputs!$C$39)+0.35*COS(2*PI()*(Inputs!$C$6)/Inputs!$C$40)+0.2*SIN(2*PI()*((Scenario_Data!W119)+(Inputs!$C$6))/(0.5*(Inputs!$C$39+Inputs!$C$40))))+Inputs!$C$38*SIN(2*PI()*(Scenario_Data!W119)/Inputs!$C$39)*SIN(2*PI()*(Inputs!$C$6)/Inputs!$C$40)+-Inputs!$C$41*EXP(-(((Inputs!$C$6)-Inputs!$C$43)^2)/(2*Inputs!$C$44^2))*EXP(-(((Scenario_Data!W119)-Inputs!$C$42)^2)/(2*Inputs!$C$45^2))+Inputs!$C$48*(0.7*(0.45*SIN(2*PI()*(((Scenario_Data!W119)/Inputs!$C$49)+Inputs!$C$47*0.137))+0.35*COS(2*PI()*(((Inputs!$C$6)/Inputs!$C$50)+Inputs!$C$47*0.173))+0.2*SIN(2*PI()*((((Scenario_Data!W119)+(Inputs!$C$6))/(0.5*(Inputs!$C$49+Inputs!$C$50)))+Inputs!$C$47*0.097)))+0.3*(2*((SIN(((Scenario_Data!W119)*12.9898+(Inputs!$C$6)*78.233+Inputs!$C$47*37.719))*43758.5453)-INT((SIN(((Scenario_Data!W119)*12.9898+(Inputs!$C$6)*78.233+Inputs!$C$47*37.719))*43758.5453)))-1))))/1000))*COS(SQRT((Scenario_Data!W119)^2+Inputs!$C$6^2)/Inputs!$C$52))*1000)/Inputs!$C$21*1000000</f>
        <v/>
      </c>
    </row>
    <row r="120">
      <c r="A120">
        <f>Chart_Data!K120</f>
        <v/>
      </c>
      <c r="B120">
        <f>Chart_Data!N120-Chart_Data!L120</f>
        <v/>
      </c>
      <c r="D120">
        <f>Chart_Data!G120</f>
        <v/>
      </c>
      <c r="E120">
        <f>Chart_Data!H120</f>
        <v/>
      </c>
      <c r="F120">
        <f>Chart_Data!I120</f>
        <v/>
      </c>
      <c r="G120">
        <f>Chart_Data!J120</f>
        <v/>
      </c>
      <c r="I120">
        <f>Scenario_Data!A120</f>
        <v/>
      </c>
      <c r="J120">
        <f>Scenario_Data!H120-(((SQRT((Inputs!$C$52+(Inputs!$H$6))^2+Inputs!$C$52^2-2*(Inputs!$C$52+(Inputs!$H$6))*Inputs!$C$52*COS(SQRT((Scenario_Data!T120)^2+Inputs!$C$6^2)/Inputs!$C$52)))-(Inputs!$H$6))*1000/Inputs!$C$12)</f>
        <v/>
      </c>
      <c r="K120">
        <f>Scenario_Data!I120-(((SQRT((Inputs!$C$52+(Inputs!$H$7))^2+Inputs!$C$52^2-2*(Inputs!$C$52+(Inputs!$H$7))*Inputs!$C$52*COS(SQRT((Scenario_Data!U120)^2+Inputs!$C$6^2)/Inputs!$C$52)))-(Inputs!$H$7))*1000/Inputs!$C$12)</f>
        <v/>
      </c>
      <c r="L120">
        <f>Scenario_Data!J120-(((SQRT((Inputs!$C$52+(Inputs!$H$8))^2+Inputs!$C$52^2-2*(Inputs!$C$52+(Inputs!$H$8))*Inputs!$C$52*COS(SQRT((Scenario_Data!V120)^2+Inputs!$C$6^2)/Inputs!$C$52)))-(Inputs!$H$8))*1000/Inputs!$C$12)</f>
        <v/>
      </c>
      <c r="M120">
        <f>Scenario_Data!K120-(((SQRT((Inputs!$C$52+(Inputs!$H$9))^2+Inputs!$C$52^2-2*(Inputs!$C$52+(Inputs!$H$9))*Inputs!$C$52*COS(SQRT((Scenario_Data!W120)^2+Inputs!$C$6^2)/Inputs!$C$52)))-(Inputs!$H$9))*1000/Inputs!$C$12)</f>
        <v/>
      </c>
      <c r="O120">
        <f>Scenario_Data!T120</f>
        <v/>
      </c>
      <c r="P120">
        <f>2*(Scenario_Data!B120*1000)/Inputs!$C$21*1000000</f>
        <v/>
      </c>
      <c r="Q120">
        <f>Scenario_Data!U120</f>
        <v/>
      </c>
      <c r="R120">
        <f>2*(Scenario_Data!C120*1000)/Inputs!$C$21*1000000</f>
        <v/>
      </c>
      <c r="S120">
        <f>Scenario_Data!V120</f>
        <v/>
      </c>
      <c r="T120">
        <f>2*(Scenario_Data!D120*1000)/Inputs!$C$21*1000000</f>
        <v/>
      </c>
      <c r="U120">
        <f>Scenario_Data!W120</f>
        <v/>
      </c>
      <c r="V120">
        <f>2*(Scenario_Data!E120*1000)/Inputs!$C$21*1000000</f>
        <v/>
      </c>
      <c r="X120">
        <f>Scenario_Data!T120</f>
        <v/>
      </c>
      <c r="Y120">
        <f>2*((Scenario_Data!B120*1000)-(IF(OR(Inputs!$C$27=TRUE,Inputs!$C$27="TRUE",Inputs!$C$27=1),1,0)*(Inputs!$C$51*(115*EXP(-(((0)-25)^2)/(4.5^2))+70*EXP(-(((0)+38)^2)/(7^2))*(0.55+0.45*SIN(2*PI()*(Scenario_Data!T120)/45))+24*SIN(2*PI()*(0)/9+(Scenario_Data!T120)/18)*EXP(-(((0)+5)^2)/(22^2))+18*SIN(2*PI()*(Scenario_Data!T120)/70))+Inputs!$C$28*EXP(-(((Scenario_Data!T120)-Inputs!$C$29)^2)/(2*Inputs!$C$31^2))*EXP(-(((0)-Inputs!$C$30)^2)/(2*Inputs!$C$32^2))+-Inputs!$C$33*EXP(-(((((Scenario_Data!T120)-Inputs!$C$34)^2)+(((0)-Inputs!$C$35)^2))/(2*Inputs!$C$36^2)))+Inputs!$C$37*(0.55*SIN(2*PI()*(Scenario_Data!T120)/Inputs!$C$39)+0.35*COS(2*PI()*(0)/Inputs!$C$40)+0.2*SIN(2*PI()*((Scenario_Data!T120)+(0))/(0.5*(Inputs!$C$39+Inputs!$C$40))))+Inputs!$C$38*SIN(2*PI()*(Scenario_Data!T120)/Inputs!$C$39)*SIN(2*PI()*(0)/Inputs!$C$40)+-Inputs!$C$41*EXP(-(((0)-Inputs!$C$43)^2)/(2*Inputs!$C$44^2))*EXP(-(((Scenario_Data!T120)-Inputs!$C$42)^2)/(2*Inputs!$C$45^2))+Inputs!$C$48*(0.7*(0.45*SIN(2*PI()*(((Scenario_Data!T120)/Inputs!$C$49)+Inputs!$C$47*0.137))+0.35*COS(2*PI()*(((0)/Inputs!$C$50)+Inputs!$C$47*0.173))+0.2*SIN(2*PI()*((((Scenario_Data!T120)+(0))/(0.5*(Inputs!$C$49+Inputs!$C$50)))+Inputs!$C$47*0.097)))+0.3*(2*((SIN(((Scenario_Data!T120)*12.9898+(0)*78.233+Inputs!$C$47*37.719))*43758.5453)-INT((SIN(((Scenario_Data!T120)*12.9898+(0)*78.233+Inputs!$C$47*37.719))*43758.5453)))-1)))))/Inputs!$C$21*1000000</f>
        <v/>
      </c>
      <c r="Z120">
        <f>Scenario_Data!U120</f>
        <v/>
      </c>
      <c r="AA120">
        <f>2*((Scenario_Data!C120*1000)-(IF(OR(Inputs!$C$27=TRUE,Inputs!$C$27="TRUE",Inputs!$C$27=1),1,0)*(Inputs!$C$51*(115*EXP(-(((0)-25)^2)/(4.5^2))+70*EXP(-(((0)+38)^2)/(7^2))*(0.55+0.45*SIN(2*PI()*(Scenario_Data!U120)/45))+24*SIN(2*PI()*(0)/9+(Scenario_Data!U120)/18)*EXP(-(((0)+5)^2)/(22^2))+18*SIN(2*PI()*(Scenario_Data!U120)/70))+Inputs!$C$28*EXP(-(((Scenario_Data!U120)-Inputs!$C$29)^2)/(2*Inputs!$C$31^2))*EXP(-(((0)-Inputs!$C$30)^2)/(2*Inputs!$C$32^2))+-Inputs!$C$33*EXP(-(((((Scenario_Data!U120)-Inputs!$C$34)^2)+(((0)-Inputs!$C$35)^2))/(2*Inputs!$C$36^2)))+Inputs!$C$37*(0.55*SIN(2*PI()*(Scenario_Data!U120)/Inputs!$C$39)+0.35*COS(2*PI()*(0)/Inputs!$C$40)+0.2*SIN(2*PI()*((Scenario_Data!U120)+(0))/(0.5*(Inputs!$C$39+Inputs!$C$40))))+Inputs!$C$38*SIN(2*PI()*(Scenario_Data!U120)/Inputs!$C$39)*SIN(2*PI()*(0)/Inputs!$C$40)+-Inputs!$C$41*EXP(-(((0)-Inputs!$C$43)^2)/(2*Inputs!$C$44^2))*EXP(-(((Scenario_Data!U120)-Inputs!$C$42)^2)/(2*Inputs!$C$45^2))+Inputs!$C$48*(0.7*(0.45*SIN(2*PI()*(((Scenario_Data!U120)/Inputs!$C$49)+Inputs!$C$47*0.137))+0.35*COS(2*PI()*(((0)/Inputs!$C$50)+Inputs!$C$47*0.173))+0.2*SIN(2*PI()*((((Scenario_Data!U120)+(0))/(0.5*(Inputs!$C$49+Inputs!$C$50)))+Inputs!$C$47*0.097)))+0.3*(2*((SIN(((Scenario_Data!U120)*12.9898+(0)*78.233+Inputs!$C$47*37.719))*43758.5453)-INT((SIN(((Scenario_Data!U120)*12.9898+(0)*78.233+Inputs!$C$47*37.719))*43758.5453)))-1)))))/Inputs!$C$21*1000000</f>
        <v/>
      </c>
      <c r="AB120">
        <f>Scenario_Data!V120</f>
        <v/>
      </c>
      <c r="AC120">
        <f>2*((Scenario_Data!D120*1000)-(IF(OR(Inputs!$C$27=TRUE,Inputs!$C$27="TRUE",Inputs!$C$27=1),1,0)*(Inputs!$C$51*(115*EXP(-(((0)-25)^2)/(4.5^2))+70*EXP(-(((0)+38)^2)/(7^2))*(0.55+0.45*SIN(2*PI()*(Scenario_Data!V120)/45))+24*SIN(2*PI()*(0)/9+(Scenario_Data!V120)/18)*EXP(-(((0)+5)^2)/(22^2))+18*SIN(2*PI()*(Scenario_Data!V120)/70))+Inputs!$C$28*EXP(-(((Scenario_Data!V120)-Inputs!$C$29)^2)/(2*Inputs!$C$31^2))*EXP(-(((0)-Inputs!$C$30)^2)/(2*Inputs!$C$32^2))+-Inputs!$C$33*EXP(-(((((Scenario_Data!V120)-Inputs!$C$34)^2)+(((0)-Inputs!$C$35)^2))/(2*Inputs!$C$36^2)))+Inputs!$C$37*(0.55*SIN(2*PI()*(Scenario_Data!V120)/Inputs!$C$39)+0.35*COS(2*PI()*(0)/Inputs!$C$40)+0.2*SIN(2*PI()*((Scenario_Data!V120)+(0))/(0.5*(Inputs!$C$39+Inputs!$C$40))))+Inputs!$C$38*SIN(2*PI()*(Scenario_Data!V120)/Inputs!$C$39)*SIN(2*PI()*(0)/Inputs!$C$40)+-Inputs!$C$41*EXP(-(((0)-Inputs!$C$43)^2)/(2*Inputs!$C$44^2))*EXP(-(((Scenario_Data!V120)-Inputs!$C$42)^2)/(2*Inputs!$C$45^2))+Inputs!$C$48*(0.7*(0.45*SIN(2*PI()*(((Scenario_Data!V120)/Inputs!$C$49)+Inputs!$C$47*0.137))+0.35*COS(2*PI()*(((0)/Inputs!$C$50)+Inputs!$C$47*0.173))+0.2*SIN(2*PI()*((((Scenario_Data!V120)+(0))/(0.5*(Inputs!$C$49+Inputs!$C$50)))+Inputs!$C$47*0.097)))+0.3*(2*((SIN(((Scenario_Data!V120)*12.9898+(0)*78.233+Inputs!$C$47*37.719))*43758.5453)-INT((SIN(((Scenario_Data!V120)*12.9898+(0)*78.233+Inputs!$C$47*37.719))*43758.5453)))-1)))))/Inputs!$C$21*1000000</f>
        <v/>
      </c>
      <c r="AD120">
        <f>Scenario_Data!W120</f>
        <v/>
      </c>
      <c r="AE120">
        <f>2*((Scenario_Data!E120*1000)-(IF(OR(Inputs!$C$27=TRUE,Inputs!$C$27="TRUE",Inputs!$C$27=1),1,0)*(Inputs!$C$51*(115*EXP(-(((0)-25)^2)/(4.5^2))+70*EXP(-(((0)+38)^2)/(7^2))*(0.55+0.45*SIN(2*PI()*(Scenario_Data!W120)/45))+24*SIN(2*PI()*(0)/9+(Scenario_Data!W120)/18)*EXP(-(((0)+5)^2)/(22^2))+18*SIN(2*PI()*(Scenario_Data!W120)/70))+Inputs!$C$28*EXP(-(((Scenario_Data!W120)-Inputs!$C$29)^2)/(2*Inputs!$C$31^2))*EXP(-(((0)-Inputs!$C$30)^2)/(2*Inputs!$C$32^2))+-Inputs!$C$33*EXP(-(((((Scenario_Data!W120)-Inputs!$C$34)^2)+(((0)-Inputs!$C$35)^2))/(2*Inputs!$C$36^2)))+Inputs!$C$37*(0.55*SIN(2*PI()*(Scenario_Data!W120)/Inputs!$C$39)+0.35*COS(2*PI()*(0)/Inputs!$C$40)+0.2*SIN(2*PI()*((Scenario_Data!W120)+(0))/(0.5*(Inputs!$C$39+Inputs!$C$40))))+Inputs!$C$38*SIN(2*PI()*(Scenario_Data!W120)/Inputs!$C$39)*SIN(2*PI()*(0)/Inputs!$C$40)+-Inputs!$C$41*EXP(-(((0)-Inputs!$C$43)^2)/(2*Inputs!$C$44^2))*EXP(-(((Scenario_Data!W120)-Inputs!$C$42)^2)/(2*Inputs!$C$45^2))+Inputs!$C$48*(0.7*(0.45*SIN(2*PI()*(((Scenario_Data!W120)/Inputs!$C$49)+Inputs!$C$47*0.137))+0.35*COS(2*PI()*(((0)/Inputs!$C$50)+Inputs!$C$47*0.173))+0.2*SIN(2*PI()*((((Scenario_Data!W120)+(0))/(0.5*(Inputs!$C$49+Inputs!$C$50)))+Inputs!$C$47*0.097)))+0.3*(2*((SIN(((Scenario_Data!W120)*12.9898+(0)*78.233+Inputs!$C$47*37.719))*43758.5453)-INT((SIN(((Scenario_Data!W120)*12.9898+(0)*78.233+Inputs!$C$47*37.719))*43758.5453)))-1)))))/Inputs!$C$21*1000000</f>
        <v/>
      </c>
      <c r="AG120">
        <f>Scenario_Data!T120</f>
        <v/>
      </c>
      <c r="AH120">
        <f>2*(SQRT((Inputs!$C$52+(Scenario_Data!B120))^2+Inputs!$C$52^2-2*(Inputs!$C$52+(Scenario_Data!B120))*Inputs!$C$52*COS(SQRT((Scenario_Data!T120)^2+Inputs!$C$6^2)/Inputs!$C$52))*1000)/Inputs!$C$21*1000000</f>
        <v/>
      </c>
      <c r="AI120">
        <f>Scenario_Data!U120</f>
        <v/>
      </c>
      <c r="AJ120">
        <f>2*(SQRT((Inputs!$C$52+(Scenario_Data!C120))^2+Inputs!$C$52^2-2*(Inputs!$C$52+(Scenario_Data!C120))*Inputs!$C$52*COS(SQRT((Scenario_Data!U120)^2+Inputs!$C$6^2)/Inputs!$C$52))*1000)/Inputs!$C$21*1000000</f>
        <v/>
      </c>
      <c r="AK120">
        <f>Scenario_Data!V120</f>
        <v/>
      </c>
      <c r="AL120">
        <f>2*(SQRT((Inputs!$C$52+(Scenario_Data!D120))^2+Inputs!$C$52^2-2*(Inputs!$C$52+(Scenario_Data!D120))*Inputs!$C$52*COS(SQRT((Scenario_Data!V120)^2+Inputs!$C$6^2)/Inputs!$C$52))*1000)/Inputs!$C$21*1000000</f>
        <v/>
      </c>
      <c r="AM120">
        <f>Scenario_Data!W120</f>
        <v/>
      </c>
      <c r="AN120">
        <f>2*(SQRT((Inputs!$C$52+(Scenario_Data!E120))^2+Inputs!$C$52^2-2*(Inputs!$C$52+(Scenario_Data!E120))*Inputs!$C$52*COS(SQRT((Scenario_Data!W120)^2+Inputs!$C$6^2)/Inputs!$C$52))*1000)/Inputs!$C$21*1000000</f>
        <v/>
      </c>
      <c r="AP120">
        <f>Scenario_Data!T120</f>
        <v/>
      </c>
      <c r="AQ120">
        <f>2*(SQRT((Inputs!$C$52+(Scenario_Data!B120))^2+(Inputs!$C$52+((IF(OR(Inputs!$C$27=TRUE,Inputs!$C$27="TRUE",Inputs!$C$27=1),1,0)*(Inputs!$C$51*(115*EXP(-(((Inputs!$C$6)-25)^2)/(4.5^2))+70*EXP(-(((Inputs!$C$6)+38)^2)/(7^2))*(0.55+0.45*SIN(2*PI()*(Scenario_Data!T120)/45))+24*SIN(2*PI()*(Inputs!$C$6)/9+(Scenario_Data!T120)/18)*EXP(-(((Inputs!$C$6)+5)^2)/(22^2))+18*SIN(2*PI()*(Scenario_Data!T120)/70))+Inputs!$C$28*EXP(-(((Scenario_Data!T120)-Inputs!$C$29)^2)/(2*Inputs!$C$31^2))*EXP(-(((Inputs!$C$6)-Inputs!$C$30)^2)/(2*Inputs!$C$32^2))+-Inputs!$C$33*EXP(-(((((Scenario_Data!T120)-Inputs!$C$34)^2)+(((Inputs!$C$6)-Inputs!$C$35)^2))/(2*Inputs!$C$36^2)))+Inputs!$C$37*(0.55*SIN(2*PI()*(Scenario_Data!T120)/Inputs!$C$39)+0.35*COS(2*PI()*(Inputs!$C$6)/Inputs!$C$40)+0.2*SIN(2*PI()*((Scenario_Data!T120)+(Inputs!$C$6))/(0.5*(Inputs!$C$39+Inputs!$C$40))))+Inputs!$C$38*SIN(2*PI()*(Scenario_Data!T120)/Inputs!$C$39)*SIN(2*PI()*(Inputs!$C$6)/Inputs!$C$40)+-Inputs!$C$41*EXP(-(((Inputs!$C$6)-Inputs!$C$43)^2)/(2*Inputs!$C$44^2))*EXP(-(((Scenario_Data!T120)-Inputs!$C$42)^2)/(2*Inputs!$C$45^2))+Inputs!$C$48*(0.7*(0.45*SIN(2*PI()*(((Scenario_Data!T120)/Inputs!$C$49)+Inputs!$C$47*0.137))+0.35*COS(2*PI()*(((Inputs!$C$6)/Inputs!$C$50)+Inputs!$C$47*0.173))+0.2*SIN(2*PI()*((((Scenario_Data!T120)+(Inputs!$C$6))/(0.5*(Inputs!$C$49+Inputs!$C$50)))+Inputs!$C$47*0.097)))+0.3*(2*((SIN(((Scenario_Data!T120)*12.9898+(Inputs!$C$6)*78.233+Inputs!$C$47*37.719))*43758.5453)-INT((SIN(((Scenario_Data!T120)*12.9898+(Inputs!$C$6)*78.233+Inputs!$C$47*37.719))*43758.5453)))-1))))/1000))^2-2*(Inputs!$C$52+(Scenario_Data!B120))*(Inputs!$C$52+((IF(OR(Inputs!$C$27=TRUE,Inputs!$C$27="TRUE",Inputs!$C$27=1),1,0)*(Inputs!$C$51*(115*EXP(-(((Inputs!$C$6)-25)^2)/(4.5^2))+70*EXP(-(((Inputs!$C$6)+38)^2)/(7^2))*(0.55+0.45*SIN(2*PI()*(Scenario_Data!T120)/45))+24*SIN(2*PI()*(Inputs!$C$6)/9+(Scenario_Data!T120)/18)*EXP(-(((Inputs!$C$6)+5)^2)/(22^2))+18*SIN(2*PI()*(Scenario_Data!T120)/70))+Inputs!$C$28*EXP(-(((Scenario_Data!T120)-Inputs!$C$29)^2)/(2*Inputs!$C$31^2))*EXP(-(((Inputs!$C$6)-Inputs!$C$30)^2)/(2*Inputs!$C$32^2))+-Inputs!$C$33*EXP(-(((((Scenario_Data!T120)-Inputs!$C$34)^2)+(((Inputs!$C$6)-Inputs!$C$35)^2))/(2*Inputs!$C$36^2)))+Inputs!$C$37*(0.55*SIN(2*PI()*(Scenario_Data!T120)/Inputs!$C$39)+0.35*COS(2*PI()*(Inputs!$C$6)/Inputs!$C$40)+0.2*SIN(2*PI()*((Scenario_Data!T120)+(Inputs!$C$6))/(0.5*(Inputs!$C$39+Inputs!$C$40))))+Inputs!$C$38*SIN(2*PI()*(Scenario_Data!T120)/Inputs!$C$39)*SIN(2*PI()*(Inputs!$C$6)/Inputs!$C$40)+-Inputs!$C$41*EXP(-(((Inputs!$C$6)-Inputs!$C$43)^2)/(2*Inputs!$C$44^2))*EXP(-(((Scenario_Data!T120)-Inputs!$C$42)^2)/(2*Inputs!$C$45^2))+Inputs!$C$48*(0.7*(0.45*SIN(2*PI()*(((Scenario_Data!T120)/Inputs!$C$49)+Inputs!$C$47*0.137))+0.35*COS(2*PI()*(((Inputs!$C$6)/Inputs!$C$50)+Inputs!$C$47*0.173))+0.2*SIN(2*PI()*((((Scenario_Data!T120)+(Inputs!$C$6))/(0.5*(Inputs!$C$49+Inputs!$C$50)))+Inputs!$C$47*0.097)))+0.3*(2*((SIN(((Scenario_Data!T120)*12.9898+(Inputs!$C$6)*78.233+Inputs!$C$47*37.719))*43758.5453)-INT((SIN(((Scenario_Data!T120)*12.9898+(Inputs!$C$6)*78.233+Inputs!$C$47*37.719))*43758.5453)))-1))))/1000))*COS(SQRT((Scenario_Data!T120)^2+Inputs!$C$6^2)/Inputs!$C$52))*1000)/Inputs!$C$21*1000000</f>
        <v/>
      </c>
      <c r="AR120">
        <f>Scenario_Data!U120</f>
        <v/>
      </c>
      <c r="AS120">
        <f>2*(SQRT((Inputs!$C$52+(Scenario_Data!C120))^2+(Inputs!$C$52+((IF(OR(Inputs!$C$27=TRUE,Inputs!$C$27="TRUE",Inputs!$C$27=1),1,0)*(Inputs!$C$51*(115*EXP(-(((Inputs!$C$6)-25)^2)/(4.5^2))+70*EXP(-(((Inputs!$C$6)+38)^2)/(7^2))*(0.55+0.45*SIN(2*PI()*(Scenario_Data!U120)/45))+24*SIN(2*PI()*(Inputs!$C$6)/9+(Scenario_Data!U120)/18)*EXP(-(((Inputs!$C$6)+5)^2)/(22^2))+18*SIN(2*PI()*(Scenario_Data!U120)/70))+Inputs!$C$28*EXP(-(((Scenario_Data!U120)-Inputs!$C$29)^2)/(2*Inputs!$C$31^2))*EXP(-(((Inputs!$C$6)-Inputs!$C$30)^2)/(2*Inputs!$C$32^2))+-Inputs!$C$33*EXP(-(((((Scenario_Data!U120)-Inputs!$C$34)^2)+(((Inputs!$C$6)-Inputs!$C$35)^2))/(2*Inputs!$C$36^2)))+Inputs!$C$37*(0.55*SIN(2*PI()*(Scenario_Data!U120)/Inputs!$C$39)+0.35*COS(2*PI()*(Inputs!$C$6)/Inputs!$C$40)+0.2*SIN(2*PI()*((Scenario_Data!U120)+(Inputs!$C$6))/(0.5*(Inputs!$C$39+Inputs!$C$40))))+Inputs!$C$38*SIN(2*PI()*(Scenario_Data!U120)/Inputs!$C$39)*SIN(2*PI()*(Inputs!$C$6)/Inputs!$C$40)+-Inputs!$C$41*EXP(-(((Inputs!$C$6)-Inputs!$C$43)^2)/(2*Inputs!$C$44^2))*EXP(-(((Scenario_Data!U120)-Inputs!$C$42)^2)/(2*Inputs!$C$45^2))+Inputs!$C$48*(0.7*(0.45*SIN(2*PI()*(((Scenario_Data!U120)/Inputs!$C$49)+Inputs!$C$47*0.137))+0.35*COS(2*PI()*(((Inputs!$C$6)/Inputs!$C$50)+Inputs!$C$47*0.173))+0.2*SIN(2*PI()*((((Scenario_Data!U120)+(Inputs!$C$6))/(0.5*(Inputs!$C$49+Inputs!$C$50)))+Inputs!$C$47*0.097)))+0.3*(2*((SIN(((Scenario_Data!U120)*12.9898+(Inputs!$C$6)*78.233+Inputs!$C$47*37.719))*43758.5453)-INT((SIN(((Scenario_Data!U120)*12.9898+(Inputs!$C$6)*78.233+Inputs!$C$47*37.719))*43758.5453)))-1))))/1000))^2-2*(Inputs!$C$52+(Scenario_Data!C120))*(Inputs!$C$52+((IF(OR(Inputs!$C$27=TRUE,Inputs!$C$27="TRUE",Inputs!$C$27=1),1,0)*(Inputs!$C$51*(115*EXP(-(((Inputs!$C$6)-25)^2)/(4.5^2))+70*EXP(-(((Inputs!$C$6)+38)^2)/(7^2))*(0.55+0.45*SIN(2*PI()*(Scenario_Data!U120)/45))+24*SIN(2*PI()*(Inputs!$C$6)/9+(Scenario_Data!U120)/18)*EXP(-(((Inputs!$C$6)+5)^2)/(22^2))+18*SIN(2*PI()*(Scenario_Data!U120)/70))+Inputs!$C$28*EXP(-(((Scenario_Data!U120)-Inputs!$C$29)^2)/(2*Inputs!$C$31^2))*EXP(-(((Inputs!$C$6)-Inputs!$C$30)^2)/(2*Inputs!$C$32^2))+-Inputs!$C$33*EXP(-(((((Scenario_Data!U120)-Inputs!$C$34)^2)+(((Inputs!$C$6)-Inputs!$C$35)^2))/(2*Inputs!$C$36^2)))+Inputs!$C$37*(0.55*SIN(2*PI()*(Scenario_Data!U120)/Inputs!$C$39)+0.35*COS(2*PI()*(Inputs!$C$6)/Inputs!$C$40)+0.2*SIN(2*PI()*((Scenario_Data!U120)+(Inputs!$C$6))/(0.5*(Inputs!$C$39+Inputs!$C$40))))+Inputs!$C$38*SIN(2*PI()*(Scenario_Data!U120)/Inputs!$C$39)*SIN(2*PI()*(Inputs!$C$6)/Inputs!$C$40)+-Inputs!$C$41*EXP(-(((Inputs!$C$6)-Inputs!$C$43)^2)/(2*Inputs!$C$44^2))*EXP(-(((Scenario_Data!U120)-Inputs!$C$42)^2)/(2*Inputs!$C$45^2))+Inputs!$C$48*(0.7*(0.45*SIN(2*PI()*(((Scenario_Data!U120)/Inputs!$C$49)+Inputs!$C$47*0.137))+0.35*COS(2*PI()*(((Inputs!$C$6)/Inputs!$C$50)+Inputs!$C$47*0.173))+0.2*SIN(2*PI()*((((Scenario_Data!U120)+(Inputs!$C$6))/(0.5*(Inputs!$C$49+Inputs!$C$50)))+Inputs!$C$47*0.097)))+0.3*(2*((SIN(((Scenario_Data!U120)*12.9898+(Inputs!$C$6)*78.233+Inputs!$C$47*37.719))*43758.5453)-INT((SIN(((Scenario_Data!U120)*12.9898+(Inputs!$C$6)*78.233+Inputs!$C$47*37.719))*43758.5453)))-1))))/1000))*COS(SQRT((Scenario_Data!U120)^2+Inputs!$C$6^2)/Inputs!$C$52))*1000)/Inputs!$C$21*1000000</f>
        <v/>
      </c>
      <c r="AT120">
        <f>Scenario_Data!V120</f>
        <v/>
      </c>
      <c r="AU120">
        <f>2*(SQRT((Inputs!$C$52+(Scenario_Data!D120))^2+(Inputs!$C$52+((IF(OR(Inputs!$C$27=TRUE,Inputs!$C$27="TRUE",Inputs!$C$27=1),1,0)*(Inputs!$C$51*(115*EXP(-(((Inputs!$C$6)-25)^2)/(4.5^2))+70*EXP(-(((Inputs!$C$6)+38)^2)/(7^2))*(0.55+0.45*SIN(2*PI()*(Scenario_Data!V120)/45))+24*SIN(2*PI()*(Inputs!$C$6)/9+(Scenario_Data!V120)/18)*EXP(-(((Inputs!$C$6)+5)^2)/(22^2))+18*SIN(2*PI()*(Scenario_Data!V120)/70))+Inputs!$C$28*EXP(-(((Scenario_Data!V120)-Inputs!$C$29)^2)/(2*Inputs!$C$31^2))*EXP(-(((Inputs!$C$6)-Inputs!$C$30)^2)/(2*Inputs!$C$32^2))+-Inputs!$C$33*EXP(-(((((Scenario_Data!V120)-Inputs!$C$34)^2)+(((Inputs!$C$6)-Inputs!$C$35)^2))/(2*Inputs!$C$36^2)))+Inputs!$C$37*(0.55*SIN(2*PI()*(Scenario_Data!V120)/Inputs!$C$39)+0.35*COS(2*PI()*(Inputs!$C$6)/Inputs!$C$40)+0.2*SIN(2*PI()*((Scenario_Data!V120)+(Inputs!$C$6))/(0.5*(Inputs!$C$39+Inputs!$C$40))))+Inputs!$C$38*SIN(2*PI()*(Scenario_Data!V120)/Inputs!$C$39)*SIN(2*PI()*(Inputs!$C$6)/Inputs!$C$40)+-Inputs!$C$41*EXP(-(((Inputs!$C$6)-Inputs!$C$43)^2)/(2*Inputs!$C$44^2))*EXP(-(((Scenario_Data!V120)-Inputs!$C$42)^2)/(2*Inputs!$C$45^2))+Inputs!$C$48*(0.7*(0.45*SIN(2*PI()*(((Scenario_Data!V120)/Inputs!$C$49)+Inputs!$C$47*0.137))+0.35*COS(2*PI()*(((Inputs!$C$6)/Inputs!$C$50)+Inputs!$C$47*0.173))+0.2*SIN(2*PI()*((((Scenario_Data!V120)+(Inputs!$C$6))/(0.5*(Inputs!$C$49+Inputs!$C$50)))+Inputs!$C$47*0.097)))+0.3*(2*((SIN(((Scenario_Data!V120)*12.9898+(Inputs!$C$6)*78.233+Inputs!$C$47*37.719))*43758.5453)-INT((SIN(((Scenario_Data!V120)*12.9898+(Inputs!$C$6)*78.233+Inputs!$C$47*37.719))*43758.5453)))-1))))/1000))^2-2*(Inputs!$C$52+(Scenario_Data!D120))*(Inputs!$C$52+((IF(OR(Inputs!$C$27=TRUE,Inputs!$C$27="TRUE",Inputs!$C$27=1),1,0)*(Inputs!$C$51*(115*EXP(-(((Inputs!$C$6)-25)^2)/(4.5^2))+70*EXP(-(((Inputs!$C$6)+38)^2)/(7^2))*(0.55+0.45*SIN(2*PI()*(Scenario_Data!V120)/45))+24*SIN(2*PI()*(Inputs!$C$6)/9+(Scenario_Data!V120)/18)*EXP(-(((Inputs!$C$6)+5)^2)/(22^2))+18*SIN(2*PI()*(Scenario_Data!V120)/70))+Inputs!$C$28*EXP(-(((Scenario_Data!V120)-Inputs!$C$29)^2)/(2*Inputs!$C$31^2))*EXP(-(((Inputs!$C$6)-Inputs!$C$30)^2)/(2*Inputs!$C$32^2))+-Inputs!$C$33*EXP(-(((((Scenario_Data!V120)-Inputs!$C$34)^2)+(((Inputs!$C$6)-Inputs!$C$35)^2))/(2*Inputs!$C$36^2)))+Inputs!$C$37*(0.55*SIN(2*PI()*(Scenario_Data!V120)/Inputs!$C$39)+0.35*COS(2*PI()*(Inputs!$C$6)/Inputs!$C$40)+0.2*SIN(2*PI()*((Scenario_Data!V120)+(Inputs!$C$6))/(0.5*(Inputs!$C$39+Inputs!$C$40))))+Inputs!$C$38*SIN(2*PI()*(Scenario_Data!V120)/Inputs!$C$39)*SIN(2*PI()*(Inputs!$C$6)/Inputs!$C$40)+-Inputs!$C$41*EXP(-(((Inputs!$C$6)-Inputs!$C$43)^2)/(2*Inputs!$C$44^2))*EXP(-(((Scenario_Data!V120)-Inputs!$C$42)^2)/(2*Inputs!$C$45^2))+Inputs!$C$48*(0.7*(0.45*SIN(2*PI()*(((Scenario_Data!V120)/Inputs!$C$49)+Inputs!$C$47*0.137))+0.35*COS(2*PI()*(((Inputs!$C$6)/Inputs!$C$50)+Inputs!$C$47*0.173))+0.2*SIN(2*PI()*((((Scenario_Data!V120)+(Inputs!$C$6))/(0.5*(Inputs!$C$49+Inputs!$C$50)))+Inputs!$C$47*0.097)))+0.3*(2*((SIN(((Scenario_Data!V120)*12.9898+(Inputs!$C$6)*78.233+Inputs!$C$47*37.719))*43758.5453)-INT((SIN(((Scenario_Data!V120)*12.9898+(Inputs!$C$6)*78.233+Inputs!$C$47*37.719))*43758.5453)))-1))))/1000))*COS(SQRT((Scenario_Data!V120)^2+Inputs!$C$6^2)/Inputs!$C$52))*1000)/Inputs!$C$21*1000000</f>
        <v/>
      </c>
      <c r="AV120">
        <f>Scenario_Data!W120</f>
        <v/>
      </c>
      <c r="AW120">
        <f>2*(SQRT((Inputs!$C$52+(Scenario_Data!E120))^2+(Inputs!$C$52+((IF(OR(Inputs!$C$27=TRUE,Inputs!$C$27="TRUE",Inputs!$C$27=1),1,0)*(Inputs!$C$51*(115*EXP(-(((Inputs!$C$6)-25)^2)/(4.5^2))+70*EXP(-(((Inputs!$C$6)+38)^2)/(7^2))*(0.55+0.45*SIN(2*PI()*(Scenario_Data!W120)/45))+24*SIN(2*PI()*(Inputs!$C$6)/9+(Scenario_Data!W120)/18)*EXP(-(((Inputs!$C$6)+5)^2)/(22^2))+18*SIN(2*PI()*(Scenario_Data!W120)/70))+Inputs!$C$28*EXP(-(((Scenario_Data!W120)-Inputs!$C$29)^2)/(2*Inputs!$C$31^2))*EXP(-(((Inputs!$C$6)-Inputs!$C$30)^2)/(2*Inputs!$C$32^2))+-Inputs!$C$33*EXP(-(((((Scenario_Data!W120)-Inputs!$C$34)^2)+(((Inputs!$C$6)-Inputs!$C$35)^2))/(2*Inputs!$C$36^2)))+Inputs!$C$37*(0.55*SIN(2*PI()*(Scenario_Data!W120)/Inputs!$C$39)+0.35*COS(2*PI()*(Inputs!$C$6)/Inputs!$C$40)+0.2*SIN(2*PI()*((Scenario_Data!W120)+(Inputs!$C$6))/(0.5*(Inputs!$C$39+Inputs!$C$40))))+Inputs!$C$38*SIN(2*PI()*(Scenario_Data!W120)/Inputs!$C$39)*SIN(2*PI()*(Inputs!$C$6)/Inputs!$C$40)+-Inputs!$C$41*EXP(-(((Inputs!$C$6)-Inputs!$C$43)^2)/(2*Inputs!$C$44^2))*EXP(-(((Scenario_Data!W120)-Inputs!$C$42)^2)/(2*Inputs!$C$45^2))+Inputs!$C$48*(0.7*(0.45*SIN(2*PI()*(((Scenario_Data!W120)/Inputs!$C$49)+Inputs!$C$47*0.137))+0.35*COS(2*PI()*(((Inputs!$C$6)/Inputs!$C$50)+Inputs!$C$47*0.173))+0.2*SIN(2*PI()*((((Scenario_Data!W120)+(Inputs!$C$6))/(0.5*(Inputs!$C$49+Inputs!$C$50)))+Inputs!$C$47*0.097)))+0.3*(2*((SIN(((Scenario_Data!W120)*12.9898+(Inputs!$C$6)*78.233+Inputs!$C$47*37.719))*43758.5453)-INT((SIN(((Scenario_Data!W120)*12.9898+(Inputs!$C$6)*78.233+Inputs!$C$47*37.719))*43758.5453)))-1))))/1000))^2-2*(Inputs!$C$52+(Scenario_Data!E120))*(Inputs!$C$52+((IF(OR(Inputs!$C$27=TRUE,Inputs!$C$27="TRUE",Inputs!$C$27=1),1,0)*(Inputs!$C$51*(115*EXP(-(((Inputs!$C$6)-25)^2)/(4.5^2))+70*EXP(-(((Inputs!$C$6)+38)^2)/(7^2))*(0.55+0.45*SIN(2*PI()*(Scenario_Data!W120)/45))+24*SIN(2*PI()*(Inputs!$C$6)/9+(Scenario_Data!W120)/18)*EXP(-(((Inputs!$C$6)+5)^2)/(22^2))+18*SIN(2*PI()*(Scenario_Data!W120)/70))+Inputs!$C$28*EXP(-(((Scenario_Data!W120)-Inputs!$C$29)^2)/(2*Inputs!$C$31^2))*EXP(-(((Inputs!$C$6)-Inputs!$C$30)^2)/(2*Inputs!$C$32^2))+-Inputs!$C$33*EXP(-(((((Scenario_Data!W120)-Inputs!$C$34)^2)+(((Inputs!$C$6)-Inputs!$C$35)^2))/(2*Inputs!$C$36^2)))+Inputs!$C$37*(0.55*SIN(2*PI()*(Scenario_Data!W120)/Inputs!$C$39)+0.35*COS(2*PI()*(Inputs!$C$6)/Inputs!$C$40)+0.2*SIN(2*PI()*((Scenario_Data!W120)+(Inputs!$C$6))/(0.5*(Inputs!$C$39+Inputs!$C$40))))+Inputs!$C$38*SIN(2*PI()*(Scenario_Data!W120)/Inputs!$C$39)*SIN(2*PI()*(Inputs!$C$6)/Inputs!$C$40)+-Inputs!$C$41*EXP(-(((Inputs!$C$6)-Inputs!$C$43)^2)/(2*Inputs!$C$44^2))*EXP(-(((Scenario_Data!W120)-Inputs!$C$42)^2)/(2*Inputs!$C$45^2))+Inputs!$C$48*(0.7*(0.45*SIN(2*PI()*(((Scenario_Data!W120)/Inputs!$C$49)+Inputs!$C$47*0.137))+0.35*COS(2*PI()*(((Inputs!$C$6)/Inputs!$C$50)+Inputs!$C$47*0.173))+0.2*SIN(2*PI()*((((Scenario_Data!W120)+(Inputs!$C$6))/(0.5*(Inputs!$C$49+Inputs!$C$50)))+Inputs!$C$47*0.097)))+0.3*(2*((SIN(((Scenario_Data!W120)*12.9898+(Inputs!$C$6)*78.233+Inputs!$C$47*37.719))*43758.5453)-INT((SIN(((Scenario_Data!W120)*12.9898+(Inputs!$C$6)*78.233+Inputs!$C$47*37.719))*43758.5453)))-1))))/1000))*COS(SQRT((Scenario_Data!W120)^2+Inputs!$C$6^2)/Inputs!$C$52))*1000)/Inputs!$C$21*1000000</f>
        <v/>
      </c>
    </row>
    <row r="121">
      <c r="A121">
        <f>Chart_Data!K121</f>
        <v/>
      </c>
      <c r="B121">
        <f>Chart_Data!N121-Chart_Data!L121</f>
        <v/>
      </c>
      <c r="D121">
        <f>Chart_Data!G121</f>
        <v/>
      </c>
      <c r="E121">
        <f>Chart_Data!H121</f>
        <v/>
      </c>
      <c r="F121">
        <f>Chart_Data!I121</f>
        <v/>
      </c>
      <c r="G121">
        <f>Chart_Data!J121</f>
        <v/>
      </c>
      <c r="I121">
        <f>Scenario_Data!A121</f>
        <v/>
      </c>
      <c r="J121">
        <f>Scenario_Data!H121-(((SQRT((Inputs!$C$52+(Inputs!$H$6))^2+Inputs!$C$52^2-2*(Inputs!$C$52+(Inputs!$H$6))*Inputs!$C$52*COS(SQRT((Scenario_Data!T121)^2+Inputs!$C$6^2)/Inputs!$C$52)))-(Inputs!$H$6))*1000/Inputs!$C$12)</f>
        <v/>
      </c>
      <c r="K121">
        <f>Scenario_Data!I121-(((SQRT((Inputs!$C$52+(Inputs!$H$7))^2+Inputs!$C$52^2-2*(Inputs!$C$52+(Inputs!$H$7))*Inputs!$C$52*COS(SQRT((Scenario_Data!U121)^2+Inputs!$C$6^2)/Inputs!$C$52)))-(Inputs!$H$7))*1000/Inputs!$C$12)</f>
        <v/>
      </c>
      <c r="L121">
        <f>Scenario_Data!J121-(((SQRT((Inputs!$C$52+(Inputs!$H$8))^2+Inputs!$C$52^2-2*(Inputs!$C$52+(Inputs!$H$8))*Inputs!$C$52*COS(SQRT((Scenario_Data!V121)^2+Inputs!$C$6^2)/Inputs!$C$52)))-(Inputs!$H$8))*1000/Inputs!$C$12)</f>
        <v/>
      </c>
      <c r="M121">
        <f>Scenario_Data!K121-(((SQRT((Inputs!$C$52+(Inputs!$H$9))^2+Inputs!$C$52^2-2*(Inputs!$C$52+(Inputs!$H$9))*Inputs!$C$52*COS(SQRT((Scenario_Data!W121)^2+Inputs!$C$6^2)/Inputs!$C$52)))-(Inputs!$H$9))*1000/Inputs!$C$12)</f>
        <v/>
      </c>
      <c r="O121">
        <f>Scenario_Data!T121</f>
        <v/>
      </c>
      <c r="P121">
        <f>2*(Scenario_Data!B121*1000)/Inputs!$C$21*1000000</f>
        <v/>
      </c>
      <c r="Q121">
        <f>Scenario_Data!U121</f>
        <v/>
      </c>
      <c r="R121">
        <f>2*(Scenario_Data!C121*1000)/Inputs!$C$21*1000000</f>
        <v/>
      </c>
      <c r="S121">
        <f>Scenario_Data!V121</f>
        <v/>
      </c>
      <c r="T121">
        <f>2*(Scenario_Data!D121*1000)/Inputs!$C$21*1000000</f>
        <v/>
      </c>
      <c r="U121">
        <f>Scenario_Data!W121</f>
        <v/>
      </c>
      <c r="V121">
        <f>2*(Scenario_Data!E121*1000)/Inputs!$C$21*1000000</f>
        <v/>
      </c>
      <c r="X121">
        <f>Scenario_Data!T121</f>
        <v/>
      </c>
      <c r="Y121">
        <f>2*((Scenario_Data!B121*1000)-(IF(OR(Inputs!$C$27=TRUE,Inputs!$C$27="TRUE",Inputs!$C$27=1),1,0)*(Inputs!$C$51*(115*EXP(-(((0)-25)^2)/(4.5^2))+70*EXP(-(((0)+38)^2)/(7^2))*(0.55+0.45*SIN(2*PI()*(Scenario_Data!T121)/45))+24*SIN(2*PI()*(0)/9+(Scenario_Data!T121)/18)*EXP(-(((0)+5)^2)/(22^2))+18*SIN(2*PI()*(Scenario_Data!T121)/70))+Inputs!$C$28*EXP(-(((Scenario_Data!T121)-Inputs!$C$29)^2)/(2*Inputs!$C$31^2))*EXP(-(((0)-Inputs!$C$30)^2)/(2*Inputs!$C$32^2))+-Inputs!$C$33*EXP(-(((((Scenario_Data!T121)-Inputs!$C$34)^2)+(((0)-Inputs!$C$35)^2))/(2*Inputs!$C$36^2)))+Inputs!$C$37*(0.55*SIN(2*PI()*(Scenario_Data!T121)/Inputs!$C$39)+0.35*COS(2*PI()*(0)/Inputs!$C$40)+0.2*SIN(2*PI()*((Scenario_Data!T121)+(0))/(0.5*(Inputs!$C$39+Inputs!$C$40))))+Inputs!$C$38*SIN(2*PI()*(Scenario_Data!T121)/Inputs!$C$39)*SIN(2*PI()*(0)/Inputs!$C$40)+-Inputs!$C$41*EXP(-(((0)-Inputs!$C$43)^2)/(2*Inputs!$C$44^2))*EXP(-(((Scenario_Data!T121)-Inputs!$C$42)^2)/(2*Inputs!$C$45^2))+Inputs!$C$48*(0.7*(0.45*SIN(2*PI()*(((Scenario_Data!T121)/Inputs!$C$49)+Inputs!$C$47*0.137))+0.35*COS(2*PI()*(((0)/Inputs!$C$50)+Inputs!$C$47*0.173))+0.2*SIN(2*PI()*((((Scenario_Data!T121)+(0))/(0.5*(Inputs!$C$49+Inputs!$C$50)))+Inputs!$C$47*0.097)))+0.3*(2*((SIN(((Scenario_Data!T121)*12.9898+(0)*78.233+Inputs!$C$47*37.719))*43758.5453)-INT((SIN(((Scenario_Data!T121)*12.9898+(0)*78.233+Inputs!$C$47*37.719))*43758.5453)))-1)))))/Inputs!$C$21*1000000</f>
        <v/>
      </c>
      <c r="Z121">
        <f>Scenario_Data!U121</f>
        <v/>
      </c>
      <c r="AA121">
        <f>2*((Scenario_Data!C121*1000)-(IF(OR(Inputs!$C$27=TRUE,Inputs!$C$27="TRUE",Inputs!$C$27=1),1,0)*(Inputs!$C$51*(115*EXP(-(((0)-25)^2)/(4.5^2))+70*EXP(-(((0)+38)^2)/(7^2))*(0.55+0.45*SIN(2*PI()*(Scenario_Data!U121)/45))+24*SIN(2*PI()*(0)/9+(Scenario_Data!U121)/18)*EXP(-(((0)+5)^2)/(22^2))+18*SIN(2*PI()*(Scenario_Data!U121)/70))+Inputs!$C$28*EXP(-(((Scenario_Data!U121)-Inputs!$C$29)^2)/(2*Inputs!$C$31^2))*EXP(-(((0)-Inputs!$C$30)^2)/(2*Inputs!$C$32^2))+-Inputs!$C$33*EXP(-(((((Scenario_Data!U121)-Inputs!$C$34)^2)+(((0)-Inputs!$C$35)^2))/(2*Inputs!$C$36^2)))+Inputs!$C$37*(0.55*SIN(2*PI()*(Scenario_Data!U121)/Inputs!$C$39)+0.35*COS(2*PI()*(0)/Inputs!$C$40)+0.2*SIN(2*PI()*((Scenario_Data!U121)+(0))/(0.5*(Inputs!$C$39+Inputs!$C$40))))+Inputs!$C$38*SIN(2*PI()*(Scenario_Data!U121)/Inputs!$C$39)*SIN(2*PI()*(0)/Inputs!$C$40)+-Inputs!$C$41*EXP(-(((0)-Inputs!$C$43)^2)/(2*Inputs!$C$44^2))*EXP(-(((Scenario_Data!U121)-Inputs!$C$42)^2)/(2*Inputs!$C$45^2))+Inputs!$C$48*(0.7*(0.45*SIN(2*PI()*(((Scenario_Data!U121)/Inputs!$C$49)+Inputs!$C$47*0.137))+0.35*COS(2*PI()*(((0)/Inputs!$C$50)+Inputs!$C$47*0.173))+0.2*SIN(2*PI()*((((Scenario_Data!U121)+(0))/(0.5*(Inputs!$C$49+Inputs!$C$50)))+Inputs!$C$47*0.097)))+0.3*(2*((SIN(((Scenario_Data!U121)*12.9898+(0)*78.233+Inputs!$C$47*37.719))*43758.5453)-INT((SIN(((Scenario_Data!U121)*12.9898+(0)*78.233+Inputs!$C$47*37.719))*43758.5453)))-1)))))/Inputs!$C$21*1000000</f>
        <v/>
      </c>
      <c r="AB121">
        <f>Scenario_Data!V121</f>
        <v/>
      </c>
      <c r="AC121">
        <f>2*((Scenario_Data!D121*1000)-(IF(OR(Inputs!$C$27=TRUE,Inputs!$C$27="TRUE",Inputs!$C$27=1),1,0)*(Inputs!$C$51*(115*EXP(-(((0)-25)^2)/(4.5^2))+70*EXP(-(((0)+38)^2)/(7^2))*(0.55+0.45*SIN(2*PI()*(Scenario_Data!V121)/45))+24*SIN(2*PI()*(0)/9+(Scenario_Data!V121)/18)*EXP(-(((0)+5)^2)/(22^2))+18*SIN(2*PI()*(Scenario_Data!V121)/70))+Inputs!$C$28*EXP(-(((Scenario_Data!V121)-Inputs!$C$29)^2)/(2*Inputs!$C$31^2))*EXP(-(((0)-Inputs!$C$30)^2)/(2*Inputs!$C$32^2))+-Inputs!$C$33*EXP(-(((((Scenario_Data!V121)-Inputs!$C$34)^2)+(((0)-Inputs!$C$35)^2))/(2*Inputs!$C$36^2)))+Inputs!$C$37*(0.55*SIN(2*PI()*(Scenario_Data!V121)/Inputs!$C$39)+0.35*COS(2*PI()*(0)/Inputs!$C$40)+0.2*SIN(2*PI()*((Scenario_Data!V121)+(0))/(0.5*(Inputs!$C$39+Inputs!$C$40))))+Inputs!$C$38*SIN(2*PI()*(Scenario_Data!V121)/Inputs!$C$39)*SIN(2*PI()*(0)/Inputs!$C$40)+-Inputs!$C$41*EXP(-(((0)-Inputs!$C$43)^2)/(2*Inputs!$C$44^2))*EXP(-(((Scenario_Data!V121)-Inputs!$C$42)^2)/(2*Inputs!$C$45^2))+Inputs!$C$48*(0.7*(0.45*SIN(2*PI()*(((Scenario_Data!V121)/Inputs!$C$49)+Inputs!$C$47*0.137))+0.35*COS(2*PI()*(((0)/Inputs!$C$50)+Inputs!$C$47*0.173))+0.2*SIN(2*PI()*((((Scenario_Data!V121)+(0))/(0.5*(Inputs!$C$49+Inputs!$C$50)))+Inputs!$C$47*0.097)))+0.3*(2*((SIN(((Scenario_Data!V121)*12.9898+(0)*78.233+Inputs!$C$47*37.719))*43758.5453)-INT((SIN(((Scenario_Data!V121)*12.9898+(0)*78.233+Inputs!$C$47*37.719))*43758.5453)))-1)))))/Inputs!$C$21*1000000</f>
        <v/>
      </c>
      <c r="AD121">
        <f>Scenario_Data!W121</f>
        <v/>
      </c>
      <c r="AE121">
        <f>2*((Scenario_Data!E121*1000)-(IF(OR(Inputs!$C$27=TRUE,Inputs!$C$27="TRUE",Inputs!$C$27=1),1,0)*(Inputs!$C$51*(115*EXP(-(((0)-25)^2)/(4.5^2))+70*EXP(-(((0)+38)^2)/(7^2))*(0.55+0.45*SIN(2*PI()*(Scenario_Data!W121)/45))+24*SIN(2*PI()*(0)/9+(Scenario_Data!W121)/18)*EXP(-(((0)+5)^2)/(22^2))+18*SIN(2*PI()*(Scenario_Data!W121)/70))+Inputs!$C$28*EXP(-(((Scenario_Data!W121)-Inputs!$C$29)^2)/(2*Inputs!$C$31^2))*EXP(-(((0)-Inputs!$C$30)^2)/(2*Inputs!$C$32^2))+-Inputs!$C$33*EXP(-(((((Scenario_Data!W121)-Inputs!$C$34)^2)+(((0)-Inputs!$C$35)^2))/(2*Inputs!$C$36^2)))+Inputs!$C$37*(0.55*SIN(2*PI()*(Scenario_Data!W121)/Inputs!$C$39)+0.35*COS(2*PI()*(0)/Inputs!$C$40)+0.2*SIN(2*PI()*((Scenario_Data!W121)+(0))/(0.5*(Inputs!$C$39+Inputs!$C$40))))+Inputs!$C$38*SIN(2*PI()*(Scenario_Data!W121)/Inputs!$C$39)*SIN(2*PI()*(0)/Inputs!$C$40)+-Inputs!$C$41*EXP(-(((0)-Inputs!$C$43)^2)/(2*Inputs!$C$44^2))*EXP(-(((Scenario_Data!W121)-Inputs!$C$42)^2)/(2*Inputs!$C$45^2))+Inputs!$C$48*(0.7*(0.45*SIN(2*PI()*(((Scenario_Data!W121)/Inputs!$C$49)+Inputs!$C$47*0.137))+0.35*COS(2*PI()*(((0)/Inputs!$C$50)+Inputs!$C$47*0.173))+0.2*SIN(2*PI()*((((Scenario_Data!W121)+(0))/(0.5*(Inputs!$C$49+Inputs!$C$50)))+Inputs!$C$47*0.097)))+0.3*(2*((SIN(((Scenario_Data!W121)*12.9898+(0)*78.233+Inputs!$C$47*37.719))*43758.5453)-INT((SIN(((Scenario_Data!W121)*12.9898+(0)*78.233+Inputs!$C$47*37.719))*43758.5453)))-1)))))/Inputs!$C$21*1000000</f>
        <v/>
      </c>
      <c r="AG121">
        <f>Scenario_Data!T121</f>
        <v/>
      </c>
      <c r="AH121">
        <f>2*(SQRT((Inputs!$C$52+(Scenario_Data!B121))^2+Inputs!$C$52^2-2*(Inputs!$C$52+(Scenario_Data!B121))*Inputs!$C$52*COS(SQRT((Scenario_Data!T121)^2+Inputs!$C$6^2)/Inputs!$C$52))*1000)/Inputs!$C$21*1000000</f>
        <v/>
      </c>
      <c r="AI121">
        <f>Scenario_Data!U121</f>
        <v/>
      </c>
      <c r="AJ121">
        <f>2*(SQRT((Inputs!$C$52+(Scenario_Data!C121))^2+Inputs!$C$52^2-2*(Inputs!$C$52+(Scenario_Data!C121))*Inputs!$C$52*COS(SQRT((Scenario_Data!U121)^2+Inputs!$C$6^2)/Inputs!$C$52))*1000)/Inputs!$C$21*1000000</f>
        <v/>
      </c>
      <c r="AK121">
        <f>Scenario_Data!V121</f>
        <v/>
      </c>
      <c r="AL121">
        <f>2*(SQRT((Inputs!$C$52+(Scenario_Data!D121))^2+Inputs!$C$52^2-2*(Inputs!$C$52+(Scenario_Data!D121))*Inputs!$C$52*COS(SQRT((Scenario_Data!V121)^2+Inputs!$C$6^2)/Inputs!$C$52))*1000)/Inputs!$C$21*1000000</f>
        <v/>
      </c>
      <c r="AM121">
        <f>Scenario_Data!W121</f>
        <v/>
      </c>
      <c r="AN121">
        <f>2*(SQRT((Inputs!$C$52+(Scenario_Data!E121))^2+Inputs!$C$52^2-2*(Inputs!$C$52+(Scenario_Data!E121))*Inputs!$C$52*COS(SQRT((Scenario_Data!W121)^2+Inputs!$C$6^2)/Inputs!$C$52))*1000)/Inputs!$C$21*1000000</f>
        <v/>
      </c>
      <c r="AP121">
        <f>Scenario_Data!T121</f>
        <v/>
      </c>
      <c r="AQ121">
        <f>2*(SQRT((Inputs!$C$52+(Scenario_Data!B121))^2+(Inputs!$C$52+((IF(OR(Inputs!$C$27=TRUE,Inputs!$C$27="TRUE",Inputs!$C$27=1),1,0)*(Inputs!$C$51*(115*EXP(-(((Inputs!$C$6)-25)^2)/(4.5^2))+70*EXP(-(((Inputs!$C$6)+38)^2)/(7^2))*(0.55+0.45*SIN(2*PI()*(Scenario_Data!T121)/45))+24*SIN(2*PI()*(Inputs!$C$6)/9+(Scenario_Data!T121)/18)*EXP(-(((Inputs!$C$6)+5)^2)/(22^2))+18*SIN(2*PI()*(Scenario_Data!T121)/70))+Inputs!$C$28*EXP(-(((Scenario_Data!T121)-Inputs!$C$29)^2)/(2*Inputs!$C$31^2))*EXP(-(((Inputs!$C$6)-Inputs!$C$30)^2)/(2*Inputs!$C$32^2))+-Inputs!$C$33*EXP(-(((((Scenario_Data!T121)-Inputs!$C$34)^2)+(((Inputs!$C$6)-Inputs!$C$35)^2))/(2*Inputs!$C$36^2)))+Inputs!$C$37*(0.55*SIN(2*PI()*(Scenario_Data!T121)/Inputs!$C$39)+0.35*COS(2*PI()*(Inputs!$C$6)/Inputs!$C$40)+0.2*SIN(2*PI()*((Scenario_Data!T121)+(Inputs!$C$6))/(0.5*(Inputs!$C$39+Inputs!$C$40))))+Inputs!$C$38*SIN(2*PI()*(Scenario_Data!T121)/Inputs!$C$39)*SIN(2*PI()*(Inputs!$C$6)/Inputs!$C$40)+-Inputs!$C$41*EXP(-(((Inputs!$C$6)-Inputs!$C$43)^2)/(2*Inputs!$C$44^2))*EXP(-(((Scenario_Data!T121)-Inputs!$C$42)^2)/(2*Inputs!$C$45^2))+Inputs!$C$48*(0.7*(0.45*SIN(2*PI()*(((Scenario_Data!T121)/Inputs!$C$49)+Inputs!$C$47*0.137))+0.35*COS(2*PI()*(((Inputs!$C$6)/Inputs!$C$50)+Inputs!$C$47*0.173))+0.2*SIN(2*PI()*((((Scenario_Data!T121)+(Inputs!$C$6))/(0.5*(Inputs!$C$49+Inputs!$C$50)))+Inputs!$C$47*0.097)))+0.3*(2*((SIN(((Scenario_Data!T121)*12.9898+(Inputs!$C$6)*78.233+Inputs!$C$47*37.719))*43758.5453)-INT((SIN(((Scenario_Data!T121)*12.9898+(Inputs!$C$6)*78.233+Inputs!$C$47*37.719))*43758.5453)))-1))))/1000))^2-2*(Inputs!$C$52+(Scenario_Data!B121))*(Inputs!$C$52+((IF(OR(Inputs!$C$27=TRUE,Inputs!$C$27="TRUE",Inputs!$C$27=1),1,0)*(Inputs!$C$51*(115*EXP(-(((Inputs!$C$6)-25)^2)/(4.5^2))+70*EXP(-(((Inputs!$C$6)+38)^2)/(7^2))*(0.55+0.45*SIN(2*PI()*(Scenario_Data!T121)/45))+24*SIN(2*PI()*(Inputs!$C$6)/9+(Scenario_Data!T121)/18)*EXP(-(((Inputs!$C$6)+5)^2)/(22^2))+18*SIN(2*PI()*(Scenario_Data!T121)/70))+Inputs!$C$28*EXP(-(((Scenario_Data!T121)-Inputs!$C$29)^2)/(2*Inputs!$C$31^2))*EXP(-(((Inputs!$C$6)-Inputs!$C$30)^2)/(2*Inputs!$C$32^2))+-Inputs!$C$33*EXP(-(((((Scenario_Data!T121)-Inputs!$C$34)^2)+(((Inputs!$C$6)-Inputs!$C$35)^2))/(2*Inputs!$C$36^2)))+Inputs!$C$37*(0.55*SIN(2*PI()*(Scenario_Data!T121)/Inputs!$C$39)+0.35*COS(2*PI()*(Inputs!$C$6)/Inputs!$C$40)+0.2*SIN(2*PI()*((Scenario_Data!T121)+(Inputs!$C$6))/(0.5*(Inputs!$C$39+Inputs!$C$40))))+Inputs!$C$38*SIN(2*PI()*(Scenario_Data!T121)/Inputs!$C$39)*SIN(2*PI()*(Inputs!$C$6)/Inputs!$C$40)+-Inputs!$C$41*EXP(-(((Inputs!$C$6)-Inputs!$C$43)^2)/(2*Inputs!$C$44^2))*EXP(-(((Scenario_Data!T121)-Inputs!$C$42)^2)/(2*Inputs!$C$45^2))+Inputs!$C$48*(0.7*(0.45*SIN(2*PI()*(((Scenario_Data!T121)/Inputs!$C$49)+Inputs!$C$47*0.137))+0.35*COS(2*PI()*(((Inputs!$C$6)/Inputs!$C$50)+Inputs!$C$47*0.173))+0.2*SIN(2*PI()*((((Scenario_Data!T121)+(Inputs!$C$6))/(0.5*(Inputs!$C$49+Inputs!$C$50)))+Inputs!$C$47*0.097)))+0.3*(2*((SIN(((Scenario_Data!T121)*12.9898+(Inputs!$C$6)*78.233+Inputs!$C$47*37.719))*43758.5453)-INT((SIN(((Scenario_Data!T121)*12.9898+(Inputs!$C$6)*78.233+Inputs!$C$47*37.719))*43758.5453)))-1))))/1000))*COS(SQRT((Scenario_Data!T121)^2+Inputs!$C$6^2)/Inputs!$C$52))*1000)/Inputs!$C$21*1000000</f>
        <v/>
      </c>
      <c r="AR121">
        <f>Scenario_Data!U121</f>
        <v/>
      </c>
      <c r="AS121">
        <f>2*(SQRT((Inputs!$C$52+(Scenario_Data!C121))^2+(Inputs!$C$52+((IF(OR(Inputs!$C$27=TRUE,Inputs!$C$27="TRUE",Inputs!$C$27=1),1,0)*(Inputs!$C$51*(115*EXP(-(((Inputs!$C$6)-25)^2)/(4.5^2))+70*EXP(-(((Inputs!$C$6)+38)^2)/(7^2))*(0.55+0.45*SIN(2*PI()*(Scenario_Data!U121)/45))+24*SIN(2*PI()*(Inputs!$C$6)/9+(Scenario_Data!U121)/18)*EXP(-(((Inputs!$C$6)+5)^2)/(22^2))+18*SIN(2*PI()*(Scenario_Data!U121)/70))+Inputs!$C$28*EXP(-(((Scenario_Data!U121)-Inputs!$C$29)^2)/(2*Inputs!$C$31^2))*EXP(-(((Inputs!$C$6)-Inputs!$C$30)^2)/(2*Inputs!$C$32^2))+-Inputs!$C$33*EXP(-(((((Scenario_Data!U121)-Inputs!$C$34)^2)+(((Inputs!$C$6)-Inputs!$C$35)^2))/(2*Inputs!$C$36^2)))+Inputs!$C$37*(0.55*SIN(2*PI()*(Scenario_Data!U121)/Inputs!$C$39)+0.35*COS(2*PI()*(Inputs!$C$6)/Inputs!$C$40)+0.2*SIN(2*PI()*((Scenario_Data!U121)+(Inputs!$C$6))/(0.5*(Inputs!$C$39+Inputs!$C$40))))+Inputs!$C$38*SIN(2*PI()*(Scenario_Data!U121)/Inputs!$C$39)*SIN(2*PI()*(Inputs!$C$6)/Inputs!$C$40)+-Inputs!$C$41*EXP(-(((Inputs!$C$6)-Inputs!$C$43)^2)/(2*Inputs!$C$44^2))*EXP(-(((Scenario_Data!U121)-Inputs!$C$42)^2)/(2*Inputs!$C$45^2))+Inputs!$C$48*(0.7*(0.45*SIN(2*PI()*(((Scenario_Data!U121)/Inputs!$C$49)+Inputs!$C$47*0.137))+0.35*COS(2*PI()*(((Inputs!$C$6)/Inputs!$C$50)+Inputs!$C$47*0.173))+0.2*SIN(2*PI()*((((Scenario_Data!U121)+(Inputs!$C$6))/(0.5*(Inputs!$C$49+Inputs!$C$50)))+Inputs!$C$47*0.097)))+0.3*(2*((SIN(((Scenario_Data!U121)*12.9898+(Inputs!$C$6)*78.233+Inputs!$C$47*37.719))*43758.5453)-INT((SIN(((Scenario_Data!U121)*12.9898+(Inputs!$C$6)*78.233+Inputs!$C$47*37.719))*43758.5453)))-1))))/1000))^2-2*(Inputs!$C$52+(Scenario_Data!C121))*(Inputs!$C$52+((IF(OR(Inputs!$C$27=TRUE,Inputs!$C$27="TRUE",Inputs!$C$27=1),1,0)*(Inputs!$C$51*(115*EXP(-(((Inputs!$C$6)-25)^2)/(4.5^2))+70*EXP(-(((Inputs!$C$6)+38)^2)/(7^2))*(0.55+0.45*SIN(2*PI()*(Scenario_Data!U121)/45))+24*SIN(2*PI()*(Inputs!$C$6)/9+(Scenario_Data!U121)/18)*EXP(-(((Inputs!$C$6)+5)^2)/(22^2))+18*SIN(2*PI()*(Scenario_Data!U121)/70))+Inputs!$C$28*EXP(-(((Scenario_Data!U121)-Inputs!$C$29)^2)/(2*Inputs!$C$31^2))*EXP(-(((Inputs!$C$6)-Inputs!$C$30)^2)/(2*Inputs!$C$32^2))+-Inputs!$C$33*EXP(-(((((Scenario_Data!U121)-Inputs!$C$34)^2)+(((Inputs!$C$6)-Inputs!$C$35)^2))/(2*Inputs!$C$36^2)))+Inputs!$C$37*(0.55*SIN(2*PI()*(Scenario_Data!U121)/Inputs!$C$39)+0.35*COS(2*PI()*(Inputs!$C$6)/Inputs!$C$40)+0.2*SIN(2*PI()*((Scenario_Data!U121)+(Inputs!$C$6))/(0.5*(Inputs!$C$39+Inputs!$C$40))))+Inputs!$C$38*SIN(2*PI()*(Scenario_Data!U121)/Inputs!$C$39)*SIN(2*PI()*(Inputs!$C$6)/Inputs!$C$40)+-Inputs!$C$41*EXP(-(((Inputs!$C$6)-Inputs!$C$43)^2)/(2*Inputs!$C$44^2))*EXP(-(((Scenario_Data!U121)-Inputs!$C$42)^2)/(2*Inputs!$C$45^2))+Inputs!$C$48*(0.7*(0.45*SIN(2*PI()*(((Scenario_Data!U121)/Inputs!$C$49)+Inputs!$C$47*0.137))+0.35*COS(2*PI()*(((Inputs!$C$6)/Inputs!$C$50)+Inputs!$C$47*0.173))+0.2*SIN(2*PI()*((((Scenario_Data!U121)+(Inputs!$C$6))/(0.5*(Inputs!$C$49+Inputs!$C$50)))+Inputs!$C$47*0.097)))+0.3*(2*((SIN(((Scenario_Data!U121)*12.9898+(Inputs!$C$6)*78.233+Inputs!$C$47*37.719))*43758.5453)-INT((SIN(((Scenario_Data!U121)*12.9898+(Inputs!$C$6)*78.233+Inputs!$C$47*37.719))*43758.5453)))-1))))/1000))*COS(SQRT((Scenario_Data!U121)^2+Inputs!$C$6^2)/Inputs!$C$52))*1000)/Inputs!$C$21*1000000</f>
        <v/>
      </c>
      <c r="AT121">
        <f>Scenario_Data!V121</f>
        <v/>
      </c>
      <c r="AU121">
        <f>2*(SQRT((Inputs!$C$52+(Scenario_Data!D121))^2+(Inputs!$C$52+((IF(OR(Inputs!$C$27=TRUE,Inputs!$C$27="TRUE",Inputs!$C$27=1),1,0)*(Inputs!$C$51*(115*EXP(-(((Inputs!$C$6)-25)^2)/(4.5^2))+70*EXP(-(((Inputs!$C$6)+38)^2)/(7^2))*(0.55+0.45*SIN(2*PI()*(Scenario_Data!V121)/45))+24*SIN(2*PI()*(Inputs!$C$6)/9+(Scenario_Data!V121)/18)*EXP(-(((Inputs!$C$6)+5)^2)/(22^2))+18*SIN(2*PI()*(Scenario_Data!V121)/70))+Inputs!$C$28*EXP(-(((Scenario_Data!V121)-Inputs!$C$29)^2)/(2*Inputs!$C$31^2))*EXP(-(((Inputs!$C$6)-Inputs!$C$30)^2)/(2*Inputs!$C$32^2))+-Inputs!$C$33*EXP(-(((((Scenario_Data!V121)-Inputs!$C$34)^2)+(((Inputs!$C$6)-Inputs!$C$35)^2))/(2*Inputs!$C$36^2)))+Inputs!$C$37*(0.55*SIN(2*PI()*(Scenario_Data!V121)/Inputs!$C$39)+0.35*COS(2*PI()*(Inputs!$C$6)/Inputs!$C$40)+0.2*SIN(2*PI()*((Scenario_Data!V121)+(Inputs!$C$6))/(0.5*(Inputs!$C$39+Inputs!$C$40))))+Inputs!$C$38*SIN(2*PI()*(Scenario_Data!V121)/Inputs!$C$39)*SIN(2*PI()*(Inputs!$C$6)/Inputs!$C$40)+-Inputs!$C$41*EXP(-(((Inputs!$C$6)-Inputs!$C$43)^2)/(2*Inputs!$C$44^2))*EXP(-(((Scenario_Data!V121)-Inputs!$C$42)^2)/(2*Inputs!$C$45^2))+Inputs!$C$48*(0.7*(0.45*SIN(2*PI()*(((Scenario_Data!V121)/Inputs!$C$49)+Inputs!$C$47*0.137))+0.35*COS(2*PI()*(((Inputs!$C$6)/Inputs!$C$50)+Inputs!$C$47*0.173))+0.2*SIN(2*PI()*((((Scenario_Data!V121)+(Inputs!$C$6))/(0.5*(Inputs!$C$49+Inputs!$C$50)))+Inputs!$C$47*0.097)))+0.3*(2*((SIN(((Scenario_Data!V121)*12.9898+(Inputs!$C$6)*78.233+Inputs!$C$47*37.719))*43758.5453)-INT((SIN(((Scenario_Data!V121)*12.9898+(Inputs!$C$6)*78.233+Inputs!$C$47*37.719))*43758.5453)))-1))))/1000))^2-2*(Inputs!$C$52+(Scenario_Data!D121))*(Inputs!$C$52+((IF(OR(Inputs!$C$27=TRUE,Inputs!$C$27="TRUE",Inputs!$C$27=1),1,0)*(Inputs!$C$51*(115*EXP(-(((Inputs!$C$6)-25)^2)/(4.5^2))+70*EXP(-(((Inputs!$C$6)+38)^2)/(7^2))*(0.55+0.45*SIN(2*PI()*(Scenario_Data!V121)/45))+24*SIN(2*PI()*(Inputs!$C$6)/9+(Scenario_Data!V121)/18)*EXP(-(((Inputs!$C$6)+5)^2)/(22^2))+18*SIN(2*PI()*(Scenario_Data!V121)/70))+Inputs!$C$28*EXP(-(((Scenario_Data!V121)-Inputs!$C$29)^2)/(2*Inputs!$C$31^2))*EXP(-(((Inputs!$C$6)-Inputs!$C$30)^2)/(2*Inputs!$C$32^2))+-Inputs!$C$33*EXP(-(((((Scenario_Data!V121)-Inputs!$C$34)^2)+(((Inputs!$C$6)-Inputs!$C$35)^2))/(2*Inputs!$C$36^2)))+Inputs!$C$37*(0.55*SIN(2*PI()*(Scenario_Data!V121)/Inputs!$C$39)+0.35*COS(2*PI()*(Inputs!$C$6)/Inputs!$C$40)+0.2*SIN(2*PI()*((Scenario_Data!V121)+(Inputs!$C$6))/(0.5*(Inputs!$C$39+Inputs!$C$40))))+Inputs!$C$38*SIN(2*PI()*(Scenario_Data!V121)/Inputs!$C$39)*SIN(2*PI()*(Inputs!$C$6)/Inputs!$C$40)+-Inputs!$C$41*EXP(-(((Inputs!$C$6)-Inputs!$C$43)^2)/(2*Inputs!$C$44^2))*EXP(-(((Scenario_Data!V121)-Inputs!$C$42)^2)/(2*Inputs!$C$45^2))+Inputs!$C$48*(0.7*(0.45*SIN(2*PI()*(((Scenario_Data!V121)/Inputs!$C$49)+Inputs!$C$47*0.137))+0.35*COS(2*PI()*(((Inputs!$C$6)/Inputs!$C$50)+Inputs!$C$47*0.173))+0.2*SIN(2*PI()*((((Scenario_Data!V121)+(Inputs!$C$6))/(0.5*(Inputs!$C$49+Inputs!$C$50)))+Inputs!$C$47*0.097)))+0.3*(2*((SIN(((Scenario_Data!V121)*12.9898+(Inputs!$C$6)*78.233+Inputs!$C$47*37.719))*43758.5453)-INT((SIN(((Scenario_Data!V121)*12.9898+(Inputs!$C$6)*78.233+Inputs!$C$47*37.719))*43758.5453)))-1))))/1000))*COS(SQRT((Scenario_Data!V121)^2+Inputs!$C$6^2)/Inputs!$C$52))*1000)/Inputs!$C$21*1000000</f>
        <v/>
      </c>
      <c r="AV121">
        <f>Scenario_Data!W121</f>
        <v/>
      </c>
      <c r="AW121">
        <f>2*(SQRT((Inputs!$C$52+(Scenario_Data!E121))^2+(Inputs!$C$52+((IF(OR(Inputs!$C$27=TRUE,Inputs!$C$27="TRUE",Inputs!$C$27=1),1,0)*(Inputs!$C$51*(115*EXP(-(((Inputs!$C$6)-25)^2)/(4.5^2))+70*EXP(-(((Inputs!$C$6)+38)^2)/(7^2))*(0.55+0.45*SIN(2*PI()*(Scenario_Data!W121)/45))+24*SIN(2*PI()*(Inputs!$C$6)/9+(Scenario_Data!W121)/18)*EXP(-(((Inputs!$C$6)+5)^2)/(22^2))+18*SIN(2*PI()*(Scenario_Data!W121)/70))+Inputs!$C$28*EXP(-(((Scenario_Data!W121)-Inputs!$C$29)^2)/(2*Inputs!$C$31^2))*EXP(-(((Inputs!$C$6)-Inputs!$C$30)^2)/(2*Inputs!$C$32^2))+-Inputs!$C$33*EXP(-(((((Scenario_Data!W121)-Inputs!$C$34)^2)+(((Inputs!$C$6)-Inputs!$C$35)^2))/(2*Inputs!$C$36^2)))+Inputs!$C$37*(0.55*SIN(2*PI()*(Scenario_Data!W121)/Inputs!$C$39)+0.35*COS(2*PI()*(Inputs!$C$6)/Inputs!$C$40)+0.2*SIN(2*PI()*((Scenario_Data!W121)+(Inputs!$C$6))/(0.5*(Inputs!$C$39+Inputs!$C$40))))+Inputs!$C$38*SIN(2*PI()*(Scenario_Data!W121)/Inputs!$C$39)*SIN(2*PI()*(Inputs!$C$6)/Inputs!$C$40)+-Inputs!$C$41*EXP(-(((Inputs!$C$6)-Inputs!$C$43)^2)/(2*Inputs!$C$44^2))*EXP(-(((Scenario_Data!W121)-Inputs!$C$42)^2)/(2*Inputs!$C$45^2))+Inputs!$C$48*(0.7*(0.45*SIN(2*PI()*(((Scenario_Data!W121)/Inputs!$C$49)+Inputs!$C$47*0.137))+0.35*COS(2*PI()*(((Inputs!$C$6)/Inputs!$C$50)+Inputs!$C$47*0.173))+0.2*SIN(2*PI()*((((Scenario_Data!W121)+(Inputs!$C$6))/(0.5*(Inputs!$C$49+Inputs!$C$50)))+Inputs!$C$47*0.097)))+0.3*(2*((SIN(((Scenario_Data!W121)*12.9898+(Inputs!$C$6)*78.233+Inputs!$C$47*37.719))*43758.5453)-INT((SIN(((Scenario_Data!W121)*12.9898+(Inputs!$C$6)*78.233+Inputs!$C$47*37.719))*43758.5453)))-1))))/1000))^2-2*(Inputs!$C$52+(Scenario_Data!E121))*(Inputs!$C$52+((IF(OR(Inputs!$C$27=TRUE,Inputs!$C$27="TRUE",Inputs!$C$27=1),1,0)*(Inputs!$C$51*(115*EXP(-(((Inputs!$C$6)-25)^2)/(4.5^2))+70*EXP(-(((Inputs!$C$6)+38)^2)/(7^2))*(0.55+0.45*SIN(2*PI()*(Scenario_Data!W121)/45))+24*SIN(2*PI()*(Inputs!$C$6)/9+(Scenario_Data!W121)/18)*EXP(-(((Inputs!$C$6)+5)^2)/(22^2))+18*SIN(2*PI()*(Scenario_Data!W121)/70))+Inputs!$C$28*EXP(-(((Scenario_Data!W121)-Inputs!$C$29)^2)/(2*Inputs!$C$31^2))*EXP(-(((Inputs!$C$6)-Inputs!$C$30)^2)/(2*Inputs!$C$32^2))+-Inputs!$C$33*EXP(-(((((Scenario_Data!W121)-Inputs!$C$34)^2)+(((Inputs!$C$6)-Inputs!$C$35)^2))/(2*Inputs!$C$36^2)))+Inputs!$C$37*(0.55*SIN(2*PI()*(Scenario_Data!W121)/Inputs!$C$39)+0.35*COS(2*PI()*(Inputs!$C$6)/Inputs!$C$40)+0.2*SIN(2*PI()*((Scenario_Data!W121)+(Inputs!$C$6))/(0.5*(Inputs!$C$39+Inputs!$C$40))))+Inputs!$C$38*SIN(2*PI()*(Scenario_Data!W121)/Inputs!$C$39)*SIN(2*PI()*(Inputs!$C$6)/Inputs!$C$40)+-Inputs!$C$41*EXP(-(((Inputs!$C$6)-Inputs!$C$43)^2)/(2*Inputs!$C$44^2))*EXP(-(((Scenario_Data!W121)-Inputs!$C$42)^2)/(2*Inputs!$C$45^2))+Inputs!$C$48*(0.7*(0.45*SIN(2*PI()*(((Scenario_Data!W121)/Inputs!$C$49)+Inputs!$C$47*0.137))+0.35*COS(2*PI()*(((Inputs!$C$6)/Inputs!$C$50)+Inputs!$C$47*0.173))+0.2*SIN(2*PI()*((((Scenario_Data!W121)+(Inputs!$C$6))/(0.5*(Inputs!$C$49+Inputs!$C$50)))+Inputs!$C$47*0.097)))+0.3*(2*((SIN(((Scenario_Data!W121)*12.9898+(Inputs!$C$6)*78.233+Inputs!$C$47*37.719))*43758.5453)-INT((SIN(((Scenario_Data!W121)*12.9898+(Inputs!$C$6)*78.233+Inputs!$C$47*37.719))*43758.5453)))-1))))/1000))*COS(SQRT((Scenario_Data!W121)^2+Inputs!$C$6^2)/Inputs!$C$52))*1000)/Inputs!$C$21*1000000</f>
        <v/>
      </c>
    </row>
    <row r="122">
      <c r="A122">
        <f>Chart_Data!K122</f>
        <v/>
      </c>
      <c r="B122">
        <f>Chart_Data!N122-Chart_Data!L122</f>
        <v/>
      </c>
      <c r="D122">
        <f>Chart_Data!G122</f>
        <v/>
      </c>
      <c r="E122">
        <f>Chart_Data!H122</f>
        <v/>
      </c>
      <c r="F122">
        <f>Chart_Data!I122</f>
        <v/>
      </c>
      <c r="G122">
        <f>Chart_Data!J122</f>
        <v/>
      </c>
      <c r="I122">
        <f>Scenario_Data!A122</f>
        <v/>
      </c>
      <c r="J122">
        <f>Scenario_Data!H122-(((SQRT((Inputs!$C$52+(Inputs!$H$6))^2+Inputs!$C$52^2-2*(Inputs!$C$52+(Inputs!$H$6))*Inputs!$C$52*COS(SQRT((Scenario_Data!T122)^2+Inputs!$C$6^2)/Inputs!$C$52)))-(Inputs!$H$6))*1000/Inputs!$C$12)</f>
        <v/>
      </c>
      <c r="K122">
        <f>Scenario_Data!I122-(((SQRT((Inputs!$C$52+(Inputs!$H$7))^2+Inputs!$C$52^2-2*(Inputs!$C$52+(Inputs!$H$7))*Inputs!$C$52*COS(SQRT((Scenario_Data!U122)^2+Inputs!$C$6^2)/Inputs!$C$52)))-(Inputs!$H$7))*1000/Inputs!$C$12)</f>
        <v/>
      </c>
      <c r="L122">
        <f>Scenario_Data!J122-(((SQRT((Inputs!$C$52+(Inputs!$H$8))^2+Inputs!$C$52^2-2*(Inputs!$C$52+(Inputs!$H$8))*Inputs!$C$52*COS(SQRT((Scenario_Data!V122)^2+Inputs!$C$6^2)/Inputs!$C$52)))-(Inputs!$H$8))*1000/Inputs!$C$12)</f>
        <v/>
      </c>
      <c r="M122">
        <f>Scenario_Data!K122-(((SQRT((Inputs!$C$52+(Inputs!$H$9))^2+Inputs!$C$52^2-2*(Inputs!$C$52+(Inputs!$H$9))*Inputs!$C$52*COS(SQRT((Scenario_Data!W122)^2+Inputs!$C$6^2)/Inputs!$C$52)))-(Inputs!$H$9))*1000/Inputs!$C$12)</f>
        <v/>
      </c>
      <c r="O122">
        <f>Scenario_Data!T122</f>
        <v/>
      </c>
      <c r="P122">
        <f>2*(Scenario_Data!B122*1000)/Inputs!$C$21*1000000</f>
        <v/>
      </c>
      <c r="Q122">
        <f>Scenario_Data!U122</f>
        <v/>
      </c>
      <c r="R122">
        <f>2*(Scenario_Data!C122*1000)/Inputs!$C$21*1000000</f>
        <v/>
      </c>
      <c r="S122">
        <f>Scenario_Data!V122</f>
        <v/>
      </c>
      <c r="T122">
        <f>2*(Scenario_Data!D122*1000)/Inputs!$C$21*1000000</f>
        <v/>
      </c>
      <c r="U122">
        <f>Scenario_Data!W122</f>
        <v/>
      </c>
      <c r="V122">
        <f>2*(Scenario_Data!E122*1000)/Inputs!$C$21*1000000</f>
        <v/>
      </c>
      <c r="X122">
        <f>Scenario_Data!T122</f>
        <v/>
      </c>
      <c r="Y122">
        <f>2*((Scenario_Data!B122*1000)-(IF(OR(Inputs!$C$27=TRUE,Inputs!$C$27="TRUE",Inputs!$C$27=1),1,0)*(Inputs!$C$51*(115*EXP(-(((0)-25)^2)/(4.5^2))+70*EXP(-(((0)+38)^2)/(7^2))*(0.55+0.45*SIN(2*PI()*(Scenario_Data!T122)/45))+24*SIN(2*PI()*(0)/9+(Scenario_Data!T122)/18)*EXP(-(((0)+5)^2)/(22^2))+18*SIN(2*PI()*(Scenario_Data!T122)/70))+Inputs!$C$28*EXP(-(((Scenario_Data!T122)-Inputs!$C$29)^2)/(2*Inputs!$C$31^2))*EXP(-(((0)-Inputs!$C$30)^2)/(2*Inputs!$C$32^2))+-Inputs!$C$33*EXP(-(((((Scenario_Data!T122)-Inputs!$C$34)^2)+(((0)-Inputs!$C$35)^2))/(2*Inputs!$C$36^2)))+Inputs!$C$37*(0.55*SIN(2*PI()*(Scenario_Data!T122)/Inputs!$C$39)+0.35*COS(2*PI()*(0)/Inputs!$C$40)+0.2*SIN(2*PI()*((Scenario_Data!T122)+(0))/(0.5*(Inputs!$C$39+Inputs!$C$40))))+Inputs!$C$38*SIN(2*PI()*(Scenario_Data!T122)/Inputs!$C$39)*SIN(2*PI()*(0)/Inputs!$C$40)+-Inputs!$C$41*EXP(-(((0)-Inputs!$C$43)^2)/(2*Inputs!$C$44^2))*EXP(-(((Scenario_Data!T122)-Inputs!$C$42)^2)/(2*Inputs!$C$45^2))+Inputs!$C$48*(0.7*(0.45*SIN(2*PI()*(((Scenario_Data!T122)/Inputs!$C$49)+Inputs!$C$47*0.137))+0.35*COS(2*PI()*(((0)/Inputs!$C$50)+Inputs!$C$47*0.173))+0.2*SIN(2*PI()*((((Scenario_Data!T122)+(0))/(0.5*(Inputs!$C$49+Inputs!$C$50)))+Inputs!$C$47*0.097)))+0.3*(2*((SIN(((Scenario_Data!T122)*12.9898+(0)*78.233+Inputs!$C$47*37.719))*43758.5453)-INT((SIN(((Scenario_Data!T122)*12.9898+(0)*78.233+Inputs!$C$47*37.719))*43758.5453)))-1)))))/Inputs!$C$21*1000000</f>
        <v/>
      </c>
      <c r="Z122">
        <f>Scenario_Data!U122</f>
        <v/>
      </c>
      <c r="AA122">
        <f>2*((Scenario_Data!C122*1000)-(IF(OR(Inputs!$C$27=TRUE,Inputs!$C$27="TRUE",Inputs!$C$27=1),1,0)*(Inputs!$C$51*(115*EXP(-(((0)-25)^2)/(4.5^2))+70*EXP(-(((0)+38)^2)/(7^2))*(0.55+0.45*SIN(2*PI()*(Scenario_Data!U122)/45))+24*SIN(2*PI()*(0)/9+(Scenario_Data!U122)/18)*EXP(-(((0)+5)^2)/(22^2))+18*SIN(2*PI()*(Scenario_Data!U122)/70))+Inputs!$C$28*EXP(-(((Scenario_Data!U122)-Inputs!$C$29)^2)/(2*Inputs!$C$31^2))*EXP(-(((0)-Inputs!$C$30)^2)/(2*Inputs!$C$32^2))+-Inputs!$C$33*EXP(-(((((Scenario_Data!U122)-Inputs!$C$34)^2)+(((0)-Inputs!$C$35)^2))/(2*Inputs!$C$36^2)))+Inputs!$C$37*(0.55*SIN(2*PI()*(Scenario_Data!U122)/Inputs!$C$39)+0.35*COS(2*PI()*(0)/Inputs!$C$40)+0.2*SIN(2*PI()*((Scenario_Data!U122)+(0))/(0.5*(Inputs!$C$39+Inputs!$C$40))))+Inputs!$C$38*SIN(2*PI()*(Scenario_Data!U122)/Inputs!$C$39)*SIN(2*PI()*(0)/Inputs!$C$40)+-Inputs!$C$41*EXP(-(((0)-Inputs!$C$43)^2)/(2*Inputs!$C$44^2))*EXP(-(((Scenario_Data!U122)-Inputs!$C$42)^2)/(2*Inputs!$C$45^2))+Inputs!$C$48*(0.7*(0.45*SIN(2*PI()*(((Scenario_Data!U122)/Inputs!$C$49)+Inputs!$C$47*0.137))+0.35*COS(2*PI()*(((0)/Inputs!$C$50)+Inputs!$C$47*0.173))+0.2*SIN(2*PI()*((((Scenario_Data!U122)+(0))/(0.5*(Inputs!$C$49+Inputs!$C$50)))+Inputs!$C$47*0.097)))+0.3*(2*((SIN(((Scenario_Data!U122)*12.9898+(0)*78.233+Inputs!$C$47*37.719))*43758.5453)-INT((SIN(((Scenario_Data!U122)*12.9898+(0)*78.233+Inputs!$C$47*37.719))*43758.5453)))-1)))))/Inputs!$C$21*1000000</f>
        <v/>
      </c>
      <c r="AB122">
        <f>Scenario_Data!V122</f>
        <v/>
      </c>
      <c r="AC122">
        <f>2*((Scenario_Data!D122*1000)-(IF(OR(Inputs!$C$27=TRUE,Inputs!$C$27="TRUE",Inputs!$C$27=1),1,0)*(Inputs!$C$51*(115*EXP(-(((0)-25)^2)/(4.5^2))+70*EXP(-(((0)+38)^2)/(7^2))*(0.55+0.45*SIN(2*PI()*(Scenario_Data!V122)/45))+24*SIN(2*PI()*(0)/9+(Scenario_Data!V122)/18)*EXP(-(((0)+5)^2)/(22^2))+18*SIN(2*PI()*(Scenario_Data!V122)/70))+Inputs!$C$28*EXP(-(((Scenario_Data!V122)-Inputs!$C$29)^2)/(2*Inputs!$C$31^2))*EXP(-(((0)-Inputs!$C$30)^2)/(2*Inputs!$C$32^2))+-Inputs!$C$33*EXP(-(((((Scenario_Data!V122)-Inputs!$C$34)^2)+(((0)-Inputs!$C$35)^2))/(2*Inputs!$C$36^2)))+Inputs!$C$37*(0.55*SIN(2*PI()*(Scenario_Data!V122)/Inputs!$C$39)+0.35*COS(2*PI()*(0)/Inputs!$C$40)+0.2*SIN(2*PI()*((Scenario_Data!V122)+(0))/(0.5*(Inputs!$C$39+Inputs!$C$40))))+Inputs!$C$38*SIN(2*PI()*(Scenario_Data!V122)/Inputs!$C$39)*SIN(2*PI()*(0)/Inputs!$C$40)+-Inputs!$C$41*EXP(-(((0)-Inputs!$C$43)^2)/(2*Inputs!$C$44^2))*EXP(-(((Scenario_Data!V122)-Inputs!$C$42)^2)/(2*Inputs!$C$45^2))+Inputs!$C$48*(0.7*(0.45*SIN(2*PI()*(((Scenario_Data!V122)/Inputs!$C$49)+Inputs!$C$47*0.137))+0.35*COS(2*PI()*(((0)/Inputs!$C$50)+Inputs!$C$47*0.173))+0.2*SIN(2*PI()*((((Scenario_Data!V122)+(0))/(0.5*(Inputs!$C$49+Inputs!$C$50)))+Inputs!$C$47*0.097)))+0.3*(2*((SIN(((Scenario_Data!V122)*12.9898+(0)*78.233+Inputs!$C$47*37.719))*43758.5453)-INT((SIN(((Scenario_Data!V122)*12.9898+(0)*78.233+Inputs!$C$47*37.719))*43758.5453)))-1)))))/Inputs!$C$21*1000000</f>
        <v/>
      </c>
      <c r="AD122">
        <f>Scenario_Data!W122</f>
        <v/>
      </c>
      <c r="AE122">
        <f>2*((Scenario_Data!E122*1000)-(IF(OR(Inputs!$C$27=TRUE,Inputs!$C$27="TRUE",Inputs!$C$27=1),1,0)*(Inputs!$C$51*(115*EXP(-(((0)-25)^2)/(4.5^2))+70*EXP(-(((0)+38)^2)/(7^2))*(0.55+0.45*SIN(2*PI()*(Scenario_Data!W122)/45))+24*SIN(2*PI()*(0)/9+(Scenario_Data!W122)/18)*EXP(-(((0)+5)^2)/(22^2))+18*SIN(2*PI()*(Scenario_Data!W122)/70))+Inputs!$C$28*EXP(-(((Scenario_Data!W122)-Inputs!$C$29)^2)/(2*Inputs!$C$31^2))*EXP(-(((0)-Inputs!$C$30)^2)/(2*Inputs!$C$32^2))+-Inputs!$C$33*EXP(-(((((Scenario_Data!W122)-Inputs!$C$34)^2)+(((0)-Inputs!$C$35)^2))/(2*Inputs!$C$36^2)))+Inputs!$C$37*(0.55*SIN(2*PI()*(Scenario_Data!W122)/Inputs!$C$39)+0.35*COS(2*PI()*(0)/Inputs!$C$40)+0.2*SIN(2*PI()*((Scenario_Data!W122)+(0))/(0.5*(Inputs!$C$39+Inputs!$C$40))))+Inputs!$C$38*SIN(2*PI()*(Scenario_Data!W122)/Inputs!$C$39)*SIN(2*PI()*(0)/Inputs!$C$40)+-Inputs!$C$41*EXP(-(((0)-Inputs!$C$43)^2)/(2*Inputs!$C$44^2))*EXP(-(((Scenario_Data!W122)-Inputs!$C$42)^2)/(2*Inputs!$C$45^2))+Inputs!$C$48*(0.7*(0.45*SIN(2*PI()*(((Scenario_Data!W122)/Inputs!$C$49)+Inputs!$C$47*0.137))+0.35*COS(2*PI()*(((0)/Inputs!$C$50)+Inputs!$C$47*0.173))+0.2*SIN(2*PI()*((((Scenario_Data!W122)+(0))/(0.5*(Inputs!$C$49+Inputs!$C$50)))+Inputs!$C$47*0.097)))+0.3*(2*((SIN(((Scenario_Data!W122)*12.9898+(0)*78.233+Inputs!$C$47*37.719))*43758.5453)-INT((SIN(((Scenario_Data!W122)*12.9898+(0)*78.233+Inputs!$C$47*37.719))*43758.5453)))-1)))))/Inputs!$C$21*1000000</f>
        <v/>
      </c>
      <c r="AG122">
        <f>Scenario_Data!T122</f>
        <v/>
      </c>
      <c r="AH122">
        <f>2*(SQRT((Inputs!$C$52+(Scenario_Data!B122))^2+Inputs!$C$52^2-2*(Inputs!$C$52+(Scenario_Data!B122))*Inputs!$C$52*COS(SQRT((Scenario_Data!T122)^2+Inputs!$C$6^2)/Inputs!$C$52))*1000)/Inputs!$C$21*1000000</f>
        <v/>
      </c>
      <c r="AI122">
        <f>Scenario_Data!U122</f>
        <v/>
      </c>
      <c r="AJ122">
        <f>2*(SQRT((Inputs!$C$52+(Scenario_Data!C122))^2+Inputs!$C$52^2-2*(Inputs!$C$52+(Scenario_Data!C122))*Inputs!$C$52*COS(SQRT((Scenario_Data!U122)^2+Inputs!$C$6^2)/Inputs!$C$52))*1000)/Inputs!$C$21*1000000</f>
        <v/>
      </c>
      <c r="AK122">
        <f>Scenario_Data!V122</f>
        <v/>
      </c>
      <c r="AL122">
        <f>2*(SQRT((Inputs!$C$52+(Scenario_Data!D122))^2+Inputs!$C$52^2-2*(Inputs!$C$52+(Scenario_Data!D122))*Inputs!$C$52*COS(SQRT((Scenario_Data!V122)^2+Inputs!$C$6^2)/Inputs!$C$52))*1000)/Inputs!$C$21*1000000</f>
        <v/>
      </c>
      <c r="AM122">
        <f>Scenario_Data!W122</f>
        <v/>
      </c>
      <c r="AN122">
        <f>2*(SQRT((Inputs!$C$52+(Scenario_Data!E122))^2+Inputs!$C$52^2-2*(Inputs!$C$52+(Scenario_Data!E122))*Inputs!$C$52*COS(SQRT((Scenario_Data!W122)^2+Inputs!$C$6^2)/Inputs!$C$52))*1000)/Inputs!$C$21*1000000</f>
        <v/>
      </c>
      <c r="AP122">
        <f>Scenario_Data!T122</f>
        <v/>
      </c>
      <c r="AQ122">
        <f>2*(SQRT((Inputs!$C$52+(Scenario_Data!B122))^2+(Inputs!$C$52+((IF(OR(Inputs!$C$27=TRUE,Inputs!$C$27="TRUE",Inputs!$C$27=1),1,0)*(Inputs!$C$51*(115*EXP(-(((Inputs!$C$6)-25)^2)/(4.5^2))+70*EXP(-(((Inputs!$C$6)+38)^2)/(7^2))*(0.55+0.45*SIN(2*PI()*(Scenario_Data!T122)/45))+24*SIN(2*PI()*(Inputs!$C$6)/9+(Scenario_Data!T122)/18)*EXP(-(((Inputs!$C$6)+5)^2)/(22^2))+18*SIN(2*PI()*(Scenario_Data!T122)/70))+Inputs!$C$28*EXP(-(((Scenario_Data!T122)-Inputs!$C$29)^2)/(2*Inputs!$C$31^2))*EXP(-(((Inputs!$C$6)-Inputs!$C$30)^2)/(2*Inputs!$C$32^2))+-Inputs!$C$33*EXP(-(((((Scenario_Data!T122)-Inputs!$C$34)^2)+(((Inputs!$C$6)-Inputs!$C$35)^2))/(2*Inputs!$C$36^2)))+Inputs!$C$37*(0.55*SIN(2*PI()*(Scenario_Data!T122)/Inputs!$C$39)+0.35*COS(2*PI()*(Inputs!$C$6)/Inputs!$C$40)+0.2*SIN(2*PI()*((Scenario_Data!T122)+(Inputs!$C$6))/(0.5*(Inputs!$C$39+Inputs!$C$40))))+Inputs!$C$38*SIN(2*PI()*(Scenario_Data!T122)/Inputs!$C$39)*SIN(2*PI()*(Inputs!$C$6)/Inputs!$C$40)+-Inputs!$C$41*EXP(-(((Inputs!$C$6)-Inputs!$C$43)^2)/(2*Inputs!$C$44^2))*EXP(-(((Scenario_Data!T122)-Inputs!$C$42)^2)/(2*Inputs!$C$45^2))+Inputs!$C$48*(0.7*(0.45*SIN(2*PI()*(((Scenario_Data!T122)/Inputs!$C$49)+Inputs!$C$47*0.137))+0.35*COS(2*PI()*(((Inputs!$C$6)/Inputs!$C$50)+Inputs!$C$47*0.173))+0.2*SIN(2*PI()*((((Scenario_Data!T122)+(Inputs!$C$6))/(0.5*(Inputs!$C$49+Inputs!$C$50)))+Inputs!$C$47*0.097)))+0.3*(2*((SIN(((Scenario_Data!T122)*12.9898+(Inputs!$C$6)*78.233+Inputs!$C$47*37.719))*43758.5453)-INT((SIN(((Scenario_Data!T122)*12.9898+(Inputs!$C$6)*78.233+Inputs!$C$47*37.719))*43758.5453)))-1))))/1000))^2-2*(Inputs!$C$52+(Scenario_Data!B122))*(Inputs!$C$52+((IF(OR(Inputs!$C$27=TRUE,Inputs!$C$27="TRUE",Inputs!$C$27=1),1,0)*(Inputs!$C$51*(115*EXP(-(((Inputs!$C$6)-25)^2)/(4.5^2))+70*EXP(-(((Inputs!$C$6)+38)^2)/(7^2))*(0.55+0.45*SIN(2*PI()*(Scenario_Data!T122)/45))+24*SIN(2*PI()*(Inputs!$C$6)/9+(Scenario_Data!T122)/18)*EXP(-(((Inputs!$C$6)+5)^2)/(22^2))+18*SIN(2*PI()*(Scenario_Data!T122)/70))+Inputs!$C$28*EXP(-(((Scenario_Data!T122)-Inputs!$C$29)^2)/(2*Inputs!$C$31^2))*EXP(-(((Inputs!$C$6)-Inputs!$C$30)^2)/(2*Inputs!$C$32^2))+-Inputs!$C$33*EXP(-(((((Scenario_Data!T122)-Inputs!$C$34)^2)+(((Inputs!$C$6)-Inputs!$C$35)^2))/(2*Inputs!$C$36^2)))+Inputs!$C$37*(0.55*SIN(2*PI()*(Scenario_Data!T122)/Inputs!$C$39)+0.35*COS(2*PI()*(Inputs!$C$6)/Inputs!$C$40)+0.2*SIN(2*PI()*((Scenario_Data!T122)+(Inputs!$C$6))/(0.5*(Inputs!$C$39+Inputs!$C$40))))+Inputs!$C$38*SIN(2*PI()*(Scenario_Data!T122)/Inputs!$C$39)*SIN(2*PI()*(Inputs!$C$6)/Inputs!$C$40)+-Inputs!$C$41*EXP(-(((Inputs!$C$6)-Inputs!$C$43)^2)/(2*Inputs!$C$44^2))*EXP(-(((Scenario_Data!T122)-Inputs!$C$42)^2)/(2*Inputs!$C$45^2))+Inputs!$C$48*(0.7*(0.45*SIN(2*PI()*(((Scenario_Data!T122)/Inputs!$C$49)+Inputs!$C$47*0.137))+0.35*COS(2*PI()*(((Inputs!$C$6)/Inputs!$C$50)+Inputs!$C$47*0.173))+0.2*SIN(2*PI()*((((Scenario_Data!T122)+(Inputs!$C$6))/(0.5*(Inputs!$C$49+Inputs!$C$50)))+Inputs!$C$47*0.097)))+0.3*(2*((SIN(((Scenario_Data!T122)*12.9898+(Inputs!$C$6)*78.233+Inputs!$C$47*37.719))*43758.5453)-INT((SIN(((Scenario_Data!T122)*12.9898+(Inputs!$C$6)*78.233+Inputs!$C$47*37.719))*43758.5453)))-1))))/1000))*COS(SQRT((Scenario_Data!T122)^2+Inputs!$C$6^2)/Inputs!$C$52))*1000)/Inputs!$C$21*1000000</f>
        <v/>
      </c>
      <c r="AR122">
        <f>Scenario_Data!U122</f>
        <v/>
      </c>
      <c r="AS122">
        <f>2*(SQRT((Inputs!$C$52+(Scenario_Data!C122))^2+(Inputs!$C$52+((IF(OR(Inputs!$C$27=TRUE,Inputs!$C$27="TRUE",Inputs!$C$27=1),1,0)*(Inputs!$C$51*(115*EXP(-(((Inputs!$C$6)-25)^2)/(4.5^2))+70*EXP(-(((Inputs!$C$6)+38)^2)/(7^2))*(0.55+0.45*SIN(2*PI()*(Scenario_Data!U122)/45))+24*SIN(2*PI()*(Inputs!$C$6)/9+(Scenario_Data!U122)/18)*EXP(-(((Inputs!$C$6)+5)^2)/(22^2))+18*SIN(2*PI()*(Scenario_Data!U122)/70))+Inputs!$C$28*EXP(-(((Scenario_Data!U122)-Inputs!$C$29)^2)/(2*Inputs!$C$31^2))*EXP(-(((Inputs!$C$6)-Inputs!$C$30)^2)/(2*Inputs!$C$32^2))+-Inputs!$C$33*EXP(-(((((Scenario_Data!U122)-Inputs!$C$34)^2)+(((Inputs!$C$6)-Inputs!$C$35)^2))/(2*Inputs!$C$36^2)))+Inputs!$C$37*(0.55*SIN(2*PI()*(Scenario_Data!U122)/Inputs!$C$39)+0.35*COS(2*PI()*(Inputs!$C$6)/Inputs!$C$40)+0.2*SIN(2*PI()*((Scenario_Data!U122)+(Inputs!$C$6))/(0.5*(Inputs!$C$39+Inputs!$C$40))))+Inputs!$C$38*SIN(2*PI()*(Scenario_Data!U122)/Inputs!$C$39)*SIN(2*PI()*(Inputs!$C$6)/Inputs!$C$40)+-Inputs!$C$41*EXP(-(((Inputs!$C$6)-Inputs!$C$43)^2)/(2*Inputs!$C$44^2))*EXP(-(((Scenario_Data!U122)-Inputs!$C$42)^2)/(2*Inputs!$C$45^2))+Inputs!$C$48*(0.7*(0.45*SIN(2*PI()*(((Scenario_Data!U122)/Inputs!$C$49)+Inputs!$C$47*0.137))+0.35*COS(2*PI()*(((Inputs!$C$6)/Inputs!$C$50)+Inputs!$C$47*0.173))+0.2*SIN(2*PI()*((((Scenario_Data!U122)+(Inputs!$C$6))/(0.5*(Inputs!$C$49+Inputs!$C$50)))+Inputs!$C$47*0.097)))+0.3*(2*((SIN(((Scenario_Data!U122)*12.9898+(Inputs!$C$6)*78.233+Inputs!$C$47*37.719))*43758.5453)-INT((SIN(((Scenario_Data!U122)*12.9898+(Inputs!$C$6)*78.233+Inputs!$C$47*37.719))*43758.5453)))-1))))/1000))^2-2*(Inputs!$C$52+(Scenario_Data!C122))*(Inputs!$C$52+((IF(OR(Inputs!$C$27=TRUE,Inputs!$C$27="TRUE",Inputs!$C$27=1),1,0)*(Inputs!$C$51*(115*EXP(-(((Inputs!$C$6)-25)^2)/(4.5^2))+70*EXP(-(((Inputs!$C$6)+38)^2)/(7^2))*(0.55+0.45*SIN(2*PI()*(Scenario_Data!U122)/45))+24*SIN(2*PI()*(Inputs!$C$6)/9+(Scenario_Data!U122)/18)*EXP(-(((Inputs!$C$6)+5)^2)/(22^2))+18*SIN(2*PI()*(Scenario_Data!U122)/70))+Inputs!$C$28*EXP(-(((Scenario_Data!U122)-Inputs!$C$29)^2)/(2*Inputs!$C$31^2))*EXP(-(((Inputs!$C$6)-Inputs!$C$30)^2)/(2*Inputs!$C$32^2))+-Inputs!$C$33*EXP(-(((((Scenario_Data!U122)-Inputs!$C$34)^2)+(((Inputs!$C$6)-Inputs!$C$35)^2))/(2*Inputs!$C$36^2)))+Inputs!$C$37*(0.55*SIN(2*PI()*(Scenario_Data!U122)/Inputs!$C$39)+0.35*COS(2*PI()*(Inputs!$C$6)/Inputs!$C$40)+0.2*SIN(2*PI()*((Scenario_Data!U122)+(Inputs!$C$6))/(0.5*(Inputs!$C$39+Inputs!$C$40))))+Inputs!$C$38*SIN(2*PI()*(Scenario_Data!U122)/Inputs!$C$39)*SIN(2*PI()*(Inputs!$C$6)/Inputs!$C$40)+-Inputs!$C$41*EXP(-(((Inputs!$C$6)-Inputs!$C$43)^2)/(2*Inputs!$C$44^2))*EXP(-(((Scenario_Data!U122)-Inputs!$C$42)^2)/(2*Inputs!$C$45^2))+Inputs!$C$48*(0.7*(0.45*SIN(2*PI()*(((Scenario_Data!U122)/Inputs!$C$49)+Inputs!$C$47*0.137))+0.35*COS(2*PI()*(((Inputs!$C$6)/Inputs!$C$50)+Inputs!$C$47*0.173))+0.2*SIN(2*PI()*((((Scenario_Data!U122)+(Inputs!$C$6))/(0.5*(Inputs!$C$49+Inputs!$C$50)))+Inputs!$C$47*0.097)))+0.3*(2*((SIN(((Scenario_Data!U122)*12.9898+(Inputs!$C$6)*78.233+Inputs!$C$47*37.719))*43758.5453)-INT((SIN(((Scenario_Data!U122)*12.9898+(Inputs!$C$6)*78.233+Inputs!$C$47*37.719))*43758.5453)))-1))))/1000))*COS(SQRT((Scenario_Data!U122)^2+Inputs!$C$6^2)/Inputs!$C$52))*1000)/Inputs!$C$21*1000000</f>
        <v/>
      </c>
      <c r="AT122">
        <f>Scenario_Data!V122</f>
        <v/>
      </c>
      <c r="AU122">
        <f>2*(SQRT((Inputs!$C$52+(Scenario_Data!D122))^2+(Inputs!$C$52+((IF(OR(Inputs!$C$27=TRUE,Inputs!$C$27="TRUE",Inputs!$C$27=1),1,0)*(Inputs!$C$51*(115*EXP(-(((Inputs!$C$6)-25)^2)/(4.5^2))+70*EXP(-(((Inputs!$C$6)+38)^2)/(7^2))*(0.55+0.45*SIN(2*PI()*(Scenario_Data!V122)/45))+24*SIN(2*PI()*(Inputs!$C$6)/9+(Scenario_Data!V122)/18)*EXP(-(((Inputs!$C$6)+5)^2)/(22^2))+18*SIN(2*PI()*(Scenario_Data!V122)/70))+Inputs!$C$28*EXP(-(((Scenario_Data!V122)-Inputs!$C$29)^2)/(2*Inputs!$C$31^2))*EXP(-(((Inputs!$C$6)-Inputs!$C$30)^2)/(2*Inputs!$C$32^2))+-Inputs!$C$33*EXP(-(((((Scenario_Data!V122)-Inputs!$C$34)^2)+(((Inputs!$C$6)-Inputs!$C$35)^2))/(2*Inputs!$C$36^2)))+Inputs!$C$37*(0.55*SIN(2*PI()*(Scenario_Data!V122)/Inputs!$C$39)+0.35*COS(2*PI()*(Inputs!$C$6)/Inputs!$C$40)+0.2*SIN(2*PI()*((Scenario_Data!V122)+(Inputs!$C$6))/(0.5*(Inputs!$C$39+Inputs!$C$40))))+Inputs!$C$38*SIN(2*PI()*(Scenario_Data!V122)/Inputs!$C$39)*SIN(2*PI()*(Inputs!$C$6)/Inputs!$C$40)+-Inputs!$C$41*EXP(-(((Inputs!$C$6)-Inputs!$C$43)^2)/(2*Inputs!$C$44^2))*EXP(-(((Scenario_Data!V122)-Inputs!$C$42)^2)/(2*Inputs!$C$45^2))+Inputs!$C$48*(0.7*(0.45*SIN(2*PI()*(((Scenario_Data!V122)/Inputs!$C$49)+Inputs!$C$47*0.137))+0.35*COS(2*PI()*(((Inputs!$C$6)/Inputs!$C$50)+Inputs!$C$47*0.173))+0.2*SIN(2*PI()*((((Scenario_Data!V122)+(Inputs!$C$6))/(0.5*(Inputs!$C$49+Inputs!$C$50)))+Inputs!$C$47*0.097)))+0.3*(2*((SIN(((Scenario_Data!V122)*12.9898+(Inputs!$C$6)*78.233+Inputs!$C$47*37.719))*43758.5453)-INT((SIN(((Scenario_Data!V122)*12.9898+(Inputs!$C$6)*78.233+Inputs!$C$47*37.719))*43758.5453)))-1))))/1000))^2-2*(Inputs!$C$52+(Scenario_Data!D122))*(Inputs!$C$52+((IF(OR(Inputs!$C$27=TRUE,Inputs!$C$27="TRUE",Inputs!$C$27=1),1,0)*(Inputs!$C$51*(115*EXP(-(((Inputs!$C$6)-25)^2)/(4.5^2))+70*EXP(-(((Inputs!$C$6)+38)^2)/(7^2))*(0.55+0.45*SIN(2*PI()*(Scenario_Data!V122)/45))+24*SIN(2*PI()*(Inputs!$C$6)/9+(Scenario_Data!V122)/18)*EXP(-(((Inputs!$C$6)+5)^2)/(22^2))+18*SIN(2*PI()*(Scenario_Data!V122)/70))+Inputs!$C$28*EXP(-(((Scenario_Data!V122)-Inputs!$C$29)^2)/(2*Inputs!$C$31^2))*EXP(-(((Inputs!$C$6)-Inputs!$C$30)^2)/(2*Inputs!$C$32^2))+-Inputs!$C$33*EXP(-(((((Scenario_Data!V122)-Inputs!$C$34)^2)+(((Inputs!$C$6)-Inputs!$C$35)^2))/(2*Inputs!$C$36^2)))+Inputs!$C$37*(0.55*SIN(2*PI()*(Scenario_Data!V122)/Inputs!$C$39)+0.35*COS(2*PI()*(Inputs!$C$6)/Inputs!$C$40)+0.2*SIN(2*PI()*((Scenario_Data!V122)+(Inputs!$C$6))/(0.5*(Inputs!$C$39+Inputs!$C$40))))+Inputs!$C$38*SIN(2*PI()*(Scenario_Data!V122)/Inputs!$C$39)*SIN(2*PI()*(Inputs!$C$6)/Inputs!$C$40)+-Inputs!$C$41*EXP(-(((Inputs!$C$6)-Inputs!$C$43)^2)/(2*Inputs!$C$44^2))*EXP(-(((Scenario_Data!V122)-Inputs!$C$42)^2)/(2*Inputs!$C$45^2))+Inputs!$C$48*(0.7*(0.45*SIN(2*PI()*(((Scenario_Data!V122)/Inputs!$C$49)+Inputs!$C$47*0.137))+0.35*COS(2*PI()*(((Inputs!$C$6)/Inputs!$C$50)+Inputs!$C$47*0.173))+0.2*SIN(2*PI()*((((Scenario_Data!V122)+(Inputs!$C$6))/(0.5*(Inputs!$C$49+Inputs!$C$50)))+Inputs!$C$47*0.097)))+0.3*(2*((SIN(((Scenario_Data!V122)*12.9898+(Inputs!$C$6)*78.233+Inputs!$C$47*37.719))*43758.5453)-INT((SIN(((Scenario_Data!V122)*12.9898+(Inputs!$C$6)*78.233+Inputs!$C$47*37.719))*43758.5453)))-1))))/1000))*COS(SQRT((Scenario_Data!V122)^2+Inputs!$C$6^2)/Inputs!$C$52))*1000)/Inputs!$C$21*1000000</f>
        <v/>
      </c>
      <c r="AV122">
        <f>Scenario_Data!W122</f>
        <v/>
      </c>
      <c r="AW122">
        <f>2*(SQRT((Inputs!$C$52+(Scenario_Data!E122))^2+(Inputs!$C$52+((IF(OR(Inputs!$C$27=TRUE,Inputs!$C$27="TRUE",Inputs!$C$27=1),1,0)*(Inputs!$C$51*(115*EXP(-(((Inputs!$C$6)-25)^2)/(4.5^2))+70*EXP(-(((Inputs!$C$6)+38)^2)/(7^2))*(0.55+0.45*SIN(2*PI()*(Scenario_Data!W122)/45))+24*SIN(2*PI()*(Inputs!$C$6)/9+(Scenario_Data!W122)/18)*EXP(-(((Inputs!$C$6)+5)^2)/(22^2))+18*SIN(2*PI()*(Scenario_Data!W122)/70))+Inputs!$C$28*EXP(-(((Scenario_Data!W122)-Inputs!$C$29)^2)/(2*Inputs!$C$31^2))*EXP(-(((Inputs!$C$6)-Inputs!$C$30)^2)/(2*Inputs!$C$32^2))+-Inputs!$C$33*EXP(-(((((Scenario_Data!W122)-Inputs!$C$34)^2)+(((Inputs!$C$6)-Inputs!$C$35)^2))/(2*Inputs!$C$36^2)))+Inputs!$C$37*(0.55*SIN(2*PI()*(Scenario_Data!W122)/Inputs!$C$39)+0.35*COS(2*PI()*(Inputs!$C$6)/Inputs!$C$40)+0.2*SIN(2*PI()*((Scenario_Data!W122)+(Inputs!$C$6))/(0.5*(Inputs!$C$39+Inputs!$C$40))))+Inputs!$C$38*SIN(2*PI()*(Scenario_Data!W122)/Inputs!$C$39)*SIN(2*PI()*(Inputs!$C$6)/Inputs!$C$40)+-Inputs!$C$41*EXP(-(((Inputs!$C$6)-Inputs!$C$43)^2)/(2*Inputs!$C$44^2))*EXP(-(((Scenario_Data!W122)-Inputs!$C$42)^2)/(2*Inputs!$C$45^2))+Inputs!$C$48*(0.7*(0.45*SIN(2*PI()*(((Scenario_Data!W122)/Inputs!$C$49)+Inputs!$C$47*0.137))+0.35*COS(2*PI()*(((Inputs!$C$6)/Inputs!$C$50)+Inputs!$C$47*0.173))+0.2*SIN(2*PI()*((((Scenario_Data!W122)+(Inputs!$C$6))/(0.5*(Inputs!$C$49+Inputs!$C$50)))+Inputs!$C$47*0.097)))+0.3*(2*((SIN(((Scenario_Data!W122)*12.9898+(Inputs!$C$6)*78.233+Inputs!$C$47*37.719))*43758.5453)-INT((SIN(((Scenario_Data!W122)*12.9898+(Inputs!$C$6)*78.233+Inputs!$C$47*37.719))*43758.5453)))-1))))/1000))^2-2*(Inputs!$C$52+(Scenario_Data!E122))*(Inputs!$C$52+((IF(OR(Inputs!$C$27=TRUE,Inputs!$C$27="TRUE",Inputs!$C$27=1),1,0)*(Inputs!$C$51*(115*EXP(-(((Inputs!$C$6)-25)^2)/(4.5^2))+70*EXP(-(((Inputs!$C$6)+38)^2)/(7^2))*(0.55+0.45*SIN(2*PI()*(Scenario_Data!W122)/45))+24*SIN(2*PI()*(Inputs!$C$6)/9+(Scenario_Data!W122)/18)*EXP(-(((Inputs!$C$6)+5)^2)/(22^2))+18*SIN(2*PI()*(Scenario_Data!W122)/70))+Inputs!$C$28*EXP(-(((Scenario_Data!W122)-Inputs!$C$29)^2)/(2*Inputs!$C$31^2))*EXP(-(((Inputs!$C$6)-Inputs!$C$30)^2)/(2*Inputs!$C$32^2))+-Inputs!$C$33*EXP(-(((((Scenario_Data!W122)-Inputs!$C$34)^2)+(((Inputs!$C$6)-Inputs!$C$35)^2))/(2*Inputs!$C$36^2)))+Inputs!$C$37*(0.55*SIN(2*PI()*(Scenario_Data!W122)/Inputs!$C$39)+0.35*COS(2*PI()*(Inputs!$C$6)/Inputs!$C$40)+0.2*SIN(2*PI()*((Scenario_Data!W122)+(Inputs!$C$6))/(0.5*(Inputs!$C$39+Inputs!$C$40))))+Inputs!$C$38*SIN(2*PI()*(Scenario_Data!W122)/Inputs!$C$39)*SIN(2*PI()*(Inputs!$C$6)/Inputs!$C$40)+-Inputs!$C$41*EXP(-(((Inputs!$C$6)-Inputs!$C$43)^2)/(2*Inputs!$C$44^2))*EXP(-(((Scenario_Data!W122)-Inputs!$C$42)^2)/(2*Inputs!$C$45^2))+Inputs!$C$48*(0.7*(0.45*SIN(2*PI()*(((Scenario_Data!W122)/Inputs!$C$49)+Inputs!$C$47*0.137))+0.35*COS(2*PI()*(((Inputs!$C$6)/Inputs!$C$50)+Inputs!$C$47*0.173))+0.2*SIN(2*PI()*((((Scenario_Data!W122)+(Inputs!$C$6))/(0.5*(Inputs!$C$49+Inputs!$C$50)))+Inputs!$C$47*0.097)))+0.3*(2*((SIN(((Scenario_Data!W122)*12.9898+(Inputs!$C$6)*78.233+Inputs!$C$47*37.719))*43758.5453)-INT((SIN(((Scenario_Data!W122)*12.9898+(Inputs!$C$6)*78.233+Inputs!$C$47*37.719))*43758.5453)))-1))))/1000))*COS(SQRT((Scenario_Data!W122)^2+Inputs!$C$6^2)/Inputs!$C$52))*1000)/Inputs!$C$21*1000000</f>
        <v/>
      </c>
    </row>
    <row r="123">
      <c r="A123">
        <f>Chart_Data!K123</f>
        <v/>
      </c>
      <c r="B123">
        <f>Chart_Data!N123-Chart_Data!L123</f>
        <v/>
      </c>
      <c r="D123">
        <f>Chart_Data!G123</f>
        <v/>
      </c>
      <c r="E123">
        <f>Chart_Data!H123</f>
        <v/>
      </c>
      <c r="F123">
        <f>Chart_Data!I123</f>
        <v/>
      </c>
      <c r="G123">
        <f>Chart_Data!J123</f>
        <v/>
      </c>
      <c r="I123">
        <f>Scenario_Data!A123</f>
        <v/>
      </c>
      <c r="J123">
        <f>Scenario_Data!H123-(((SQRT((Inputs!$C$52+(Inputs!$H$6))^2+Inputs!$C$52^2-2*(Inputs!$C$52+(Inputs!$H$6))*Inputs!$C$52*COS(SQRT((Scenario_Data!T123)^2+Inputs!$C$6^2)/Inputs!$C$52)))-(Inputs!$H$6))*1000/Inputs!$C$12)</f>
        <v/>
      </c>
      <c r="K123">
        <f>Scenario_Data!I123-(((SQRT((Inputs!$C$52+(Inputs!$H$7))^2+Inputs!$C$52^2-2*(Inputs!$C$52+(Inputs!$H$7))*Inputs!$C$52*COS(SQRT((Scenario_Data!U123)^2+Inputs!$C$6^2)/Inputs!$C$52)))-(Inputs!$H$7))*1000/Inputs!$C$12)</f>
        <v/>
      </c>
      <c r="L123">
        <f>Scenario_Data!J123-(((SQRT((Inputs!$C$52+(Inputs!$H$8))^2+Inputs!$C$52^2-2*(Inputs!$C$52+(Inputs!$H$8))*Inputs!$C$52*COS(SQRT((Scenario_Data!V123)^2+Inputs!$C$6^2)/Inputs!$C$52)))-(Inputs!$H$8))*1000/Inputs!$C$12)</f>
        <v/>
      </c>
      <c r="M123">
        <f>Scenario_Data!K123-(((SQRT((Inputs!$C$52+(Inputs!$H$9))^2+Inputs!$C$52^2-2*(Inputs!$C$52+(Inputs!$H$9))*Inputs!$C$52*COS(SQRT((Scenario_Data!W123)^2+Inputs!$C$6^2)/Inputs!$C$52)))-(Inputs!$H$9))*1000/Inputs!$C$12)</f>
        <v/>
      </c>
      <c r="O123">
        <f>Scenario_Data!T123</f>
        <v/>
      </c>
      <c r="P123">
        <f>2*(Scenario_Data!B123*1000)/Inputs!$C$21*1000000</f>
        <v/>
      </c>
      <c r="Q123">
        <f>Scenario_Data!U123</f>
        <v/>
      </c>
      <c r="R123">
        <f>2*(Scenario_Data!C123*1000)/Inputs!$C$21*1000000</f>
        <v/>
      </c>
      <c r="S123">
        <f>Scenario_Data!V123</f>
        <v/>
      </c>
      <c r="T123">
        <f>2*(Scenario_Data!D123*1000)/Inputs!$C$21*1000000</f>
        <v/>
      </c>
      <c r="U123">
        <f>Scenario_Data!W123</f>
        <v/>
      </c>
      <c r="V123">
        <f>2*(Scenario_Data!E123*1000)/Inputs!$C$21*1000000</f>
        <v/>
      </c>
      <c r="X123">
        <f>Scenario_Data!T123</f>
        <v/>
      </c>
      <c r="Y123">
        <f>2*((Scenario_Data!B123*1000)-(IF(OR(Inputs!$C$27=TRUE,Inputs!$C$27="TRUE",Inputs!$C$27=1),1,0)*(Inputs!$C$51*(115*EXP(-(((0)-25)^2)/(4.5^2))+70*EXP(-(((0)+38)^2)/(7^2))*(0.55+0.45*SIN(2*PI()*(Scenario_Data!T123)/45))+24*SIN(2*PI()*(0)/9+(Scenario_Data!T123)/18)*EXP(-(((0)+5)^2)/(22^2))+18*SIN(2*PI()*(Scenario_Data!T123)/70))+Inputs!$C$28*EXP(-(((Scenario_Data!T123)-Inputs!$C$29)^2)/(2*Inputs!$C$31^2))*EXP(-(((0)-Inputs!$C$30)^2)/(2*Inputs!$C$32^2))+-Inputs!$C$33*EXP(-(((((Scenario_Data!T123)-Inputs!$C$34)^2)+(((0)-Inputs!$C$35)^2))/(2*Inputs!$C$36^2)))+Inputs!$C$37*(0.55*SIN(2*PI()*(Scenario_Data!T123)/Inputs!$C$39)+0.35*COS(2*PI()*(0)/Inputs!$C$40)+0.2*SIN(2*PI()*((Scenario_Data!T123)+(0))/(0.5*(Inputs!$C$39+Inputs!$C$40))))+Inputs!$C$38*SIN(2*PI()*(Scenario_Data!T123)/Inputs!$C$39)*SIN(2*PI()*(0)/Inputs!$C$40)+-Inputs!$C$41*EXP(-(((0)-Inputs!$C$43)^2)/(2*Inputs!$C$44^2))*EXP(-(((Scenario_Data!T123)-Inputs!$C$42)^2)/(2*Inputs!$C$45^2))+Inputs!$C$48*(0.7*(0.45*SIN(2*PI()*(((Scenario_Data!T123)/Inputs!$C$49)+Inputs!$C$47*0.137))+0.35*COS(2*PI()*(((0)/Inputs!$C$50)+Inputs!$C$47*0.173))+0.2*SIN(2*PI()*((((Scenario_Data!T123)+(0))/(0.5*(Inputs!$C$49+Inputs!$C$50)))+Inputs!$C$47*0.097)))+0.3*(2*((SIN(((Scenario_Data!T123)*12.9898+(0)*78.233+Inputs!$C$47*37.719))*43758.5453)-INT((SIN(((Scenario_Data!T123)*12.9898+(0)*78.233+Inputs!$C$47*37.719))*43758.5453)))-1)))))/Inputs!$C$21*1000000</f>
        <v/>
      </c>
      <c r="Z123">
        <f>Scenario_Data!U123</f>
        <v/>
      </c>
      <c r="AA123">
        <f>2*((Scenario_Data!C123*1000)-(IF(OR(Inputs!$C$27=TRUE,Inputs!$C$27="TRUE",Inputs!$C$27=1),1,0)*(Inputs!$C$51*(115*EXP(-(((0)-25)^2)/(4.5^2))+70*EXP(-(((0)+38)^2)/(7^2))*(0.55+0.45*SIN(2*PI()*(Scenario_Data!U123)/45))+24*SIN(2*PI()*(0)/9+(Scenario_Data!U123)/18)*EXP(-(((0)+5)^2)/(22^2))+18*SIN(2*PI()*(Scenario_Data!U123)/70))+Inputs!$C$28*EXP(-(((Scenario_Data!U123)-Inputs!$C$29)^2)/(2*Inputs!$C$31^2))*EXP(-(((0)-Inputs!$C$30)^2)/(2*Inputs!$C$32^2))+-Inputs!$C$33*EXP(-(((((Scenario_Data!U123)-Inputs!$C$34)^2)+(((0)-Inputs!$C$35)^2))/(2*Inputs!$C$36^2)))+Inputs!$C$37*(0.55*SIN(2*PI()*(Scenario_Data!U123)/Inputs!$C$39)+0.35*COS(2*PI()*(0)/Inputs!$C$40)+0.2*SIN(2*PI()*((Scenario_Data!U123)+(0))/(0.5*(Inputs!$C$39+Inputs!$C$40))))+Inputs!$C$38*SIN(2*PI()*(Scenario_Data!U123)/Inputs!$C$39)*SIN(2*PI()*(0)/Inputs!$C$40)+-Inputs!$C$41*EXP(-(((0)-Inputs!$C$43)^2)/(2*Inputs!$C$44^2))*EXP(-(((Scenario_Data!U123)-Inputs!$C$42)^2)/(2*Inputs!$C$45^2))+Inputs!$C$48*(0.7*(0.45*SIN(2*PI()*(((Scenario_Data!U123)/Inputs!$C$49)+Inputs!$C$47*0.137))+0.35*COS(2*PI()*(((0)/Inputs!$C$50)+Inputs!$C$47*0.173))+0.2*SIN(2*PI()*((((Scenario_Data!U123)+(0))/(0.5*(Inputs!$C$49+Inputs!$C$50)))+Inputs!$C$47*0.097)))+0.3*(2*((SIN(((Scenario_Data!U123)*12.9898+(0)*78.233+Inputs!$C$47*37.719))*43758.5453)-INT((SIN(((Scenario_Data!U123)*12.9898+(0)*78.233+Inputs!$C$47*37.719))*43758.5453)))-1)))))/Inputs!$C$21*1000000</f>
        <v/>
      </c>
      <c r="AB123">
        <f>Scenario_Data!V123</f>
        <v/>
      </c>
      <c r="AC123">
        <f>2*((Scenario_Data!D123*1000)-(IF(OR(Inputs!$C$27=TRUE,Inputs!$C$27="TRUE",Inputs!$C$27=1),1,0)*(Inputs!$C$51*(115*EXP(-(((0)-25)^2)/(4.5^2))+70*EXP(-(((0)+38)^2)/(7^2))*(0.55+0.45*SIN(2*PI()*(Scenario_Data!V123)/45))+24*SIN(2*PI()*(0)/9+(Scenario_Data!V123)/18)*EXP(-(((0)+5)^2)/(22^2))+18*SIN(2*PI()*(Scenario_Data!V123)/70))+Inputs!$C$28*EXP(-(((Scenario_Data!V123)-Inputs!$C$29)^2)/(2*Inputs!$C$31^2))*EXP(-(((0)-Inputs!$C$30)^2)/(2*Inputs!$C$32^2))+-Inputs!$C$33*EXP(-(((((Scenario_Data!V123)-Inputs!$C$34)^2)+(((0)-Inputs!$C$35)^2))/(2*Inputs!$C$36^2)))+Inputs!$C$37*(0.55*SIN(2*PI()*(Scenario_Data!V123)/Inputs!$C$39)+0.35*COS(2*PI()*(0)/Inputs!$C$40)+0.2*SIN(2*PI()*((Scenario_Data!V123)+(0))/(0.5*(Inputs!$C$39+Inputs!$C$40))))+Inputs!$C$38*SIN(2*PI()*(Scenario_Data!V123)/Inputs!$C$39)*SIN(2*PI()*(0)/Inputs!$C$40)+-Inputs!$C$41*EXP(-(((0)-Inputs!$C$43)^2)/(2*Inputs!$C$44^2))*EXP(-(((Scenario_Data!V123)-Inputs!$C$42)^2)/(2*Inputs!$C$45^2))+Inputs!$C$48*(0.7*(0.45*SIN(2*PI()*(((Scenario_Data!V123)/Inputs!$C$49)+Inputs!$C$47*0.137))+0.35*COS(2*PI()*(((0)/Inputs!$C$50)+Inputs!$C$47*0.173))+0.2*SIN(2*PI()*((((Scenario_Data!V123)+(0))/(0.5*(Inputs!$C$49+Inputs!$C$50)))+Inputs!$C$47*0.097)))+0.3*(2*((SIN(((Scenario_Data!V123)*12.9898+(0)*78.233+Inputs!$C$47*37.719))*43758.5453)-INT((SIN(((Scenario_Data!V123)*12.9898+(0)*78.233+Inputs!$C$47*37.719))*43758.5453)))-1)))))/Inputs!$C$21*1000000</f>
        <v/>
      </c>
      <c r="AD123">
        <f>Scenario_Data!W123</f>
        <v/>
      </c>
      <c r="AE123">
        <f>2*((Scenario_Data!E123*1000)-(IF(OR(Inputs!$C$27=TRUE,Inputs!$C$27="TRUE",Inputs!$C$27=1),1,0)*(Inputs!$C$51*(115*EXP(-(((0)-25)^2)/(4.5^2))+70*EXP(-(((0)+38)^2)/(7^2))*(0.55+0.45*SIN(2*PI()*(Scenario_Data!W123)/45))+24*SIN(2*PI()*(0)/9+(Scenario_Data!W123)/18)*EXP(-(((0)+5)^2)/(22^2))+18*SIN(2*PI()*(Scenario_Data!W123)/70))+Inputs!$C$28*EXP(-(((Scenario_Data!W123)-Inputs!$C$29)^2)/(2*Inputs!$C$31^2))*EXP(-(((0)-Inputs!$C$30)^2)/(2*Inputs!$C$32^2))+-Inputs!$C$33*EXP(-(((((Scenario_Data!W123)-Inputs!$C$34)^2)+(((0)-Inputs!$C$35)^2))/(2*Inputs!$C$36^2)))+Inputs!$C$37*(0.55*SIN(2*PI()*(Scenario_Data!W123)/Inputs!$C$39)+0.35*COS(2*PI()*(0)/Inputs!$C$40)+0.2*SIN(2*PI()*((Scenario_Data!W123)+(0))/(0.5*(Inputs!$C$39+Inputs!$C$40))))+Inputs!$C$38*SIN(2*PI()*(Scenario_Data!W123)/Inputs!$C$39)*SIN(2*PI()*(0)/Inputs!$C$40)+-Inputs!$C$41*EXP(-(((0)-Inputs!$C$43)^2)/(2*Inputs!$C$44^2))*EXP(-(((Scenario_Data!W123)-Inputs!$C$42)^2)/(2*Inputs!$C$45^2))+Inputs!$C$48*(0.7*(0.45*SIN(2*PI()*(((Scenario_Data!W123)/Inputs!$C$49)+Inputs!$C$47*0.137))+0.35*COS(2*PI()*(((0)/Inputs!$C$50)+Inputs!$C$47*0.173))+0.2*SIN(2*PI()*((((Scenario_Data!W123)+(0))/(0.5*(Inputs!$C$49+Inputs!$C$50)))+Inputs!$C$47*0.097)))+0.3*(2*((SIN(((Scenario_Data!W123)*12.9898+(0)*78.233+Inputs!$C$47*37.719))*43758.5453)-INT((SIN(((Scenario_Data!W123)*12.9898+(0)*78.233+Inputs!$C$47*37.719))*43758.5453)))-1)))))/Inputs!$C$21*1000000</f>
        <v/>
      </c>
      <c r="AG123">
        <f>Scenario_Data!T123</f>
        <v/>
      </c>
      <c r="AH123">
        <f>2*(SQRT((Inputs!$C$52+(Scenario_Data!B123))^2+Inputs!$C$52^2-2*(Inputs!$C$52+(Scenario_Data!B123))*Inputs!$C$52*COS(SQRT((Scenario_Data!T123)^2+Inputs!$C$6^2)/Inputs!$C$52))*1000)/Inputs!$C$21*1000000</f>
        <v/>
      </c>
      <c r="AI123">
        <f>Scenario_Data!U123</f>
        <v/>
      </c>
      <c r="AJ123">
        <f>2*(SQRT((Inputs!$C$52+(Scenario_Data!C123))^2+Inputs!$C$52^2-2*(Inputs!$C$52+(Scenario_Data!C123))*Inputs!$C$52*COS(SQRT((Scenario_Data!U123)^2+Inputs!$C$6^2)/Inputs!$C$52))*1000)/Inputs!$C$21*1000000</f>
        <v/>
      </c>
      <c r="AK123">
        <f>Scenario_Data!V123</f>
        <v/>
      </c>
      <c r="AL123">
        <f>2*(SQRT((Inputs!$C$52+(Scenario_Data!D123))^2+Inputs!$C$52^2-2*(Inputs!$C$52+(Scenario_Data!D123))*Inputs!$C$52*COS(SQRT((Scenario_Data!V123)^2+Inputs!$C$6^2)/Inputs!$C$52))*1000)/Inputs!$C$21*1000000</f>
        <v/>
      </c>
      <c r="AM123">
        <f>Scenario_Data!W123</f>
        <v/>
      </c>
      <c r="AN123">
        <f>2*(SQRT((Inputs!$C$52+(Scenario_Data!E123))^2+Inputs!$C$52^2-2*(Inputs!$C$52+(Scenario_Data!E123))*Inputs!$C$52*COS(SQRT((Scenario_Data!W123)^2+Inputs!$C$6^2)/Inputs!$C$52))*1000)/Inputs!$C$21*1000000</f>
        <v/>
      </c>
      <c r="AP123">
        <f>Scenario_Data!T123</f>
        <v/>
      </c>
      <c r="AQ123">
        <f>2*(SQRT((Inputs!$C$52+(Scenario_Data!B123))^2+(Inputs!$C$52+((IF(OR(Inputs!$C$27=TRUE,Inputs!$C$27="TRUE",Inputs!$C$27=1),1,0)*(Inputs!$C$51*(115*EXP(-(((Inputs!$C$6)-25)^2)/(4.5^2))+70*EXP(-(((Inputs!$C$6)+38)^2)/(7^2))*(0.55+0.45*SIN(2*PI()*(Scenario_Data!T123)/45))+24*SIN(2*PI()*(Inputs!$C$6)/9+(Scenario_Data!T123)/18)*EXP(-(((Inputs!$C$6)+5)^2)/(22^2))+18*SIN(2*PI()*(Scenario_Data!T123)/70))+Inputs!$C$28*EXP(-(((Scenario_Data!T123)-Inputs!$C$29)^2)/(2*Inputs!$C$31^2))*EXP(-(((Inputs!$C$6)-Inputs!$C$30)^2)/(2*Inputs!$C$32^2))+-Inputs!$C$33*EXP(-(((((Scenario_Data!T123)-Inputs!$C$34)^2)+(((Inputs!$C$6)-Inputs!$C$35)^2))/(2*Inputs!$C$36^2)))+Inputs!$C$37*(0.55*SIN(2*PI()*(Scenario_Data!T123)/Inputs!$C$39)+0.35*COS(2*PI()*(Inputs!$C$6)/Inputs!$C$40)+0.2*SIN(2*PI()*((Scenario_Data!T123)+(Inputs!$C$6))/(0.5*(Inputs!$C$39+Inputs!$C$40))))+Inputs!$C$38*SIN(2*PI()*(Scenario_Data!T123)/Inputs!$C$39)*SIN(2*PI()*(Inputs!$C$6)/Inputs!$C$40)+-Inputs!$C$41*EXP(-(((Inputs!$C$6)-Inputs!$C$43)^2)/(2*Inputs!$C$44^2))*EXP(-(((Scenario_Data!T123)-Inputs!$C$42)^2)/(2*Inputs!$C$45^2))+Inputs!$C$48*(0.7*(0.45*SIN(2*PI()*(((Scenario_Data!T123)/Inputs!$C$49)+Inputs!$C$47*0.137))+0.35*COS(2*PI()*(((Inputs!$C$6)/Inputs!$C$50)+Inputs!$C$47*0.173))+0.2*SIN(2*PI()*((((Scenario_Data!T123)+(Inputs!$C$6))/(0.5*(Inputs!$C$49+Inputs!$C$50)))+Inputs!$C$47*0.097)))+0.3*(2*((SIN(((Scenario_Data!T123)*12.9898+(Inputs!$C$6)*78.233+Inputs!$C$47*37.719))*43758.5453)-INT((SIN(((Scenario_Data!T123)*12.9898+(Inputs!$C$6)*78.233+Inputs!$C$47*37.719))*43758.5453)))-1))))/1000))^2-2*(Inputs!$C$52+(Scenario_Data!B123))*(Inputs!$C$52+((IF(OR(Inputs!$C$27=TRUE,Inputs!$C$27="TRUE",Inputs!$C$27=1),1,0)*(Inputs!$C$51*(115*EXP(-(((Inputs!$C$6)-25)^2)/(4.5^2))+70*EXP(-(((Inputs!$C$6)+38)^2)/(7^2))*(0.55+0.45*SIN(2*PI()*(Scenario_Data!T123)/45))+24*SIN(2*PI()*(Inputs!$C$6)/9+(Scenario_Data!T123)/18)*EXP(-(((Inputs!$C$6)+5)^2)/(22^2))+18*SIN(2*PI()*(Scenario_Data!T123)/70))+Inputs!$C$28*EXP(-(((Scenario_Data!T123)-Inputs!$C$29)^2)/(2*Inputs!$C$31^2))*EXP(-(((Inputs!$C$6)-Inputs!$C$30)^2)/(2*Inputs!$C$32^2))+-Inputs!$C$33*EXP(-(((((Scenario_Data!T123)-Inputs!$C$34)^2)+(((Inputs!$C$6)-Inputs!$C$35)^2))/(2*Inputs!$C$36^2)))+Inputs!$C$37*(0.55*SIN(2*PI()*(Scenario_Data!T123)/Inputs!$C$39)+0.35*COS(2*PI()*(Inputs!$C$6)/Inputs!$C$40)+0.2*SIN(2*PI()*((Scenario_Data!T123)+(Inputs!$C$6))/(0.5*(Inputs!$C$39+Inputs!$C$40))))+Inputs!$C$38*SIN(2*PI()*(Scenario_Data!T123)/Inputs!$C$39)*SIN(2*PI()*(Inputs!$C$6)/Inputs!$C$40)+-Inputs!$C$41*EXP(-(((Inputs!$C$6)-Inputs!$C$43)^2)/(2*Inputs!$C$44^2))*EXP(-(((Scenario_Data!T123)-Inputs!$C$42)^2)/(2*Inputs!$C$45^2))+Inputs!$C$48*(0.7*(0.45*SIN(2*PI()*(((Scenario_Data!T123)/Inputs!$C$49)+Inputs!$C$47*0.137))+0.35*COS(2*PI()*(((Inputs!$C$6)/Inputs!$C$50)+Inputs!$C$47*0.173))+0.2*SIN(2*PI()*((((Scenario_Data!T123)+(Inputs!$C$6))/(0.5*(Inputs!$C$49+Inputs!$C$50)))+Inputs!$C$47*0.097)))+0.3*(2*((SIN(((Scenario_Data!T123)*12.9898+(Inputs!$C$6)*78.233+Inputs!$C$47*37.719))*43758.5453)-INT((SIN(((Scenario_Data!T123)*12.9898+(Inputs!$C$6)*78.233+Inputs!$C$47*37.719))*43758.5453)))-1))))/1000))*COS(SQRT((Scenario_Data!T123)^2+Inputs!$C$6^2)/Inputs!$C$52))*1000)/Inputs!$C$21*1000000</f>
        <v/>
      </c>
      <c r="AR123">
        <f>Scenario_Data!U123</f>
        <v/>
      </c>
      <c r="AS123">
        <f>2*(SQRT((Inputs!$C$52+(Scenario_Data!C123))^2+(Inputs!$C$52+((IF(OR(Inputs!$C$27=TRUE,Inputs!$C$27="TRUE",Inputs!$C$27=1),1,0)*(Inputs!$C$51*(115*EXP(-(((Inputs!$C$6)-25)^2)/(4.5^2))+70*EXP(-(((Inputs!$C$6)+38)^2)/(7^2))*(0.55+0.45*SIN(2*PI()*(Scenario_Data!U123)/45))+24*SIN(2*PI()*(Inputs!$C$6)/9+(Scenario_Data!U123)/18)*EXP(-(((Inputs!$C$6)+5)^2)/(22^2))+18*SIN(2*PI()*(Scenario_Data!U123)/70))+Inputs!$C$28*EXP(-(((Scenario_Data!U123)-Inputs!$C$29)^2)/(2*Inputs!$C$31^2))*EXP(-(((Inputs!$C$6)-Inputs!$C$30)^2)/(2*Inputs!$C$32^2))+-Inputs!$C$33*EXP(-(((((Scenario_Data!U123)-Inputs!$C$34)^2)+(((Inputs!$C$6)-Inputs!$C$35)^2))/(2*Inputs!$C$36^2)))+Inputs!$C$37*(0.55*SIN(2*PI()*(Scenario_Data!U123)/Inputs!$C$39)+0.35*COS(2*PI()*(Inputs!$C$6)/Inputs!$C$40)+0.2*SIN(2*PI()*((Scenario_Data!U123)+(Inputs!$C$6))/(0.5*(Inputs!$C$39+Inputs!$C$40))))+Inputs!$C$38*SIN(2*PI()*(Scenario_Data!U123)/Inputs!$C$39)*SIN(2*PI()*(Inputs!$C$6)/Inputs!$C$40)+-Inputs!$C$41*EXP(-(((Inputs!$C$6)-Inputs!$C$43)^2)/(2*Inputs!$C$44^2))*EXP(-(((Scenario_Data!U123)-Inputs!$C$42)^2)/(2*Inputs!$C$45^2))+Inputs!$C$48*(0.7*(0.45*SIN(2*PI()*(((Scenario_Data!U123)/Inputs!$C$49)+Inputs!$C$47*0.137))+0.35*COS(2*PI()*(((Inputs!$C$6)/Inputs!$C$50)+Inputs!$C$47*0.173))+0.2*SIN(2*PI()*((((Scenario_Data!U123)+(Inputs!$C$6))/(0.5*(Inputs!$C$49+Inputs!$C$50)))+Inputs!$C$47*0.097)))+0.3*(2*((SIN(((Scenario_Data!U123)*12.9898+(Inputs!$C$6)*78.233+Inputs!$C$47*37.719))*43758.5453)-INT((SIN(((Scenario_Data!U123)*12.9898+(Inputs!$C$6)*78.233+Inputs!$C$47*37.719))*43758.5453)))-1))))/1000))^2-2*(Inputs!$C$52+(Scenario_Data!C123))*(Inputs!$C$52+((IF(OR(Inputs!$C$27=TRUE,Inputs!$C$27="TRUE",Inputs!$C$27=1),1,0)*(Inputs!$C$51*(115*EXP(-(((Inputs!$C$6)-25)^2)/(4.5^2))+70*EXP(-(((Inputs!$C$6)+38)^2)/(7^2))*(0.55+0.45*SIN(2*PI()*(Scenario_Data!U123)/45))+24*SIN(2*PI()*(Inputs!$C$6)/9+(Scenario_Data!U123)/18)*EXP(-(((Inputs!$C$6)+5)^2)/(22^2))+18*SIN(2*PI()*(Scenario_Data!U123)/70))+Inputs!$C$28*EXP(-(((Scenario_Data!U123)-Inputs!$C$29)^2)/(2*Inputs!$C$31^2))*EXP(-(((Inputs!$C$6)-Inputs!$C$30)^2)/(2*Inputs!$C$32^2))+-Inputs!$C$33*EXP(-(((((Scenario_Data!U123)-Inputs!$C$34)^2)+(((Inputs!$C$6)-Inputs!$C$35)^2))/(2*Inputs!$C$36^2)))+Inputs!$C$37*(0.55*SIN(2*PI()*(Scenario_Data!U123)/Inputs!$C$39)+0.35*COS(2*PI()*(Inputs!$C$6)/Inputs!$C$40)+0.2*SIN(2*PI()*((Scenario_Data!U123)+(Inputs!$C$6))/(0.5*(Inputs!$C$39+Inputs!$C$40))))+Inputs!$C$38*SIN(2*PI()*(Scenario_Data!U123)/Inputs!$C$39)*SIN(2*PI()*(Inputs!$C$6)/Inputs!$C$40)+-Inputs!$C$41*EXP(-(((Inputs!$C$6)-Inputs!$C$43)^2)/(2*Inputs!$C$44^2))*EXP(-(((Scenario_Data!U123)-Inputs!$C$42)^2)/(2*Inputs!$C$45^2))+Inputs!$C$48*(0.7*(0.45*SIN(2*PI()*(((Scenario_Data!U123)/Inputs!$C$49)+Inputs!$C$47*0.137))+0.35*COS(2*PI()*(((Inputs!$C$6)/Inputs!$C$50)+Inputs!$C$47*0.173))+0.2*SIN(2*PI()*((((Scenario_Data!U123)+(Inputs!$C$6))/(0.5*(Inputs!$C$49+Inputs!$C$50)))+Inputs!$C$47*0.097)))+0.3*(2*((SIN(((Scenario_Data!U123)*12.9898+(Inputs!$C$6)*78.233+Inputs!$C$47*37.719))*43758.5453)-INT((SIN(((Scenario_Data!U123)*12.9898+(Inputs!$C$6)*78.233+Inputs!$C$47*37.719))*43758.5453)))-1))))/1000))*COS(SQRT((Scenario_Data!U123)^2+Inputs!$C$6^2)/Inputs!$C$52))*1000)/Inputs!$C$21*1000000</f>
        <v/>
      </c>
      <c r="AT123">
        <f>Scenario_Data!V123</f>
        <v/>
      </c>
      <c r="AU123">
        <f>2*(SQRT((Inputs!$C$52+(Scenario_Data!D123))^2+(Inputs!$C$52+((IF(OR(Inputs!$C$27=TRUE,Inputs!$C$27="TRUE",Inputs!$C$27=1),1,0)*(Inputs!$C$51*(115*EXP(-(((Inputs!$C$6)-25)^2)/(4.5^2))+70*EXP(-(((Inputs!$C$6)+38)^2)/(7^2))*(0.55+0.45*SIN(2*PI()*(Scenario_Data!V123)/45))+24*SIN(2*PI()*(Inputs!$C$6)/9+(Scenario_Data!V123)/18)*EXP(-(((Inputs!$C$6)+5)^2)/(22^2))+18*SIN(2*PI()*(Scenario_Data!V123)/70))+Inputs!$C$28*EXP(-(((Scenario_Data!V123)-Inputs!$C$29)^2)/(2*Inputs!$C$31^2))*EXP(-(((Inputs!$C$6)-Inputs!$C$30)^2)/(2*Inputs!$C$32^2))+-Inputs!$C$33*EXP(-(((((Scenario_Data!V123)-Inputs!$C$34)^2)+(((Inputs!$C$6)-Inputs!$C$35)^2))/(2*Inputs!$C$36^2)))+Inputs!$C$37*(0.55*SIN(2*PI()*(Scenario_Data!V123)/Inputs!$C$39)+0.35*COS(2*PI()*(Inputs!$C$6)/Inputs!$C$40)+0.2*SIN(2*PI()*((Scenario_Data!V123)+(Inputs!$C$6))/(0.5*(Inputs!$C$39+Inputs!$C$40))))+Inputs!$C$38*SIN(2*PI()*(Scenario_Data!V123)/Inputs!$C$39)*SIN(2*PI()*(Inputs!$C$6)/Inputs!$C$40)+-Inputs!$C$41*EXP(-(((Inputs!$C$6)-Inputs!$C$43)^2)/(2*Inputs!$C$44^2))*EXP(-(((Scenario_Data!V123)-Inputs!$C$42)^2)/(2*Inputs!$C$45^2))+Inputs!$C$48*(0.7*(0.45*SIN(2*PI()*(((Scenario_Data!V123)/Inputs!$C$49)+Inputs!$C$47*0.137))+0.35*COS(2*PI()*(((Inputs!$C$6)/Inputs!$C$50)+Inputs!$C$47*0.173))+0.2*SIN(2*PI()*((((Scenario_Data!V123)+(Inputs!$C$6))/(0.5*(Inputs!$C$49+Inputs!$C$50)))+Inputs!$C$47*0.097)))+0.3*(2*((SIN(((Scenario_Data!V123)*12.9898+(Inputs!$C$6)*78.233+Inputs!$C$47*37.719))*43758.5453)-INT((SIN(((Scenario_Data!V123)*12.9898+(Inputs!$C$6)*78.233+Inputs!$C$47*37.719))*43758.5453)))-1))))/1000))^2-2*(Inputs!$C$52+(Scenario_Data!D123))*(Inputs!$C$52+((IF(OR(Inputs!$C$27=TRUE,Inputs!$C$27="TRUE",Inputs!$C$27=1),1,0)*(Inputs!$C$51*(115*EXP(-(((Inputs!$C$6)-25)^2)/(4.5^2))+70*EXP(-(((Inputs!$C$6)+38)^2)/(7^2))*(0.55+0.45*SIN(2*PI()*(Scenario_Data!V123)/45))+24*SIN(2*PI()*(Inputs!$C$6)/9+(Scenario_Data!V123)/18)*EXP(-(((Inputs!$C$6)+5)^2)/(22^2))+18*SIN(2*PI()*(Scenario_Data!V123)/70))+Inputs!$C$28*EXP(-(((Scenario_Data!V123)-Inputs!$C$29)^2)/(2*Inputs!$C$31^2))*EXP(-(((Inputs!$C$6)-Inputs!$C$30)^2)/(2*Inputs!$C$32^2))+-Inputs!$C$33*EXP(-(((((Scenario_Data!V123)-Inputs!$C$34)^2)+(((Inputs!$C$6)-Inputs!$C$35)^2))/(2*Inputs!$C$36^2)))+Inputs!$C$37*(0.55*SIN(2*PI()*(Scenario_Data!V123)/Inputs!$C$39)+0.35*COS(2*PI()*(Inputs!$C$6)/Inputs!$C$40)+0.2*SIN(2*PI()*((Scenario_Data!V123)+(Inputs!$C$6))/(0.5*(Inputs!$C$39+Inputs!$C$40))))+Inputs!$C$38*SIN(2*PI()*(Scenario_Data!V123)/Inputs!$C$39)*SIN(2*PI()*(Inputs!$C$6)/Inputs!$C$40)+-Inputs!$C$41*EXP(-(((Inputs!$C$6)-Inputs!$C$43)^2)/(2*Inputs!$C$44^2))*EXP(-(((Scenario_Data!V123)-Inputs!$C$42)^2)/(2*Inputs!$C$45^2))+Inputs!$C$48*(0.7*(0.45*SIN(2*PI()*(((Scenario_Data!V123)/Inputs!$C$49)+Inputs!$C$47*0.137))+0.35*COS(2*PI()*(((Inputs!$C$6)/Inputs!$C$50)+Inputs!$C$47*0.173))+0.2*SIN(2*PI()*((((Scenario_Data!V123)+(Inputs!$C$6))/(0.5*(Inputs!$C$49+Inputs!$C$50)))+Inputs!$C$47*0.097)))+0.3*(2*((SIN(((Scenario_Data!V123)*12.9898+(Inputs!$C$6)*78.233+Inputs!$C$47*37.719))*43758.5453)-INT((SIN(((Scenario_Data!V123)*12.9898+(Inputs!$C$6)*78.233+Inputs!$C$47*37.719))*43758.5453)))-1))))/1000))*COS(SQRT((Scenario_Data!V123)^2+Inputs!$C$6^2)/Inputs!$C$52))*1000)/Inputs!$C$21*1000000</f>
        <v/>
      </c>
      <c r="AV123">
        <f>Scenario_Data!W123</f>
        <v/>
      </c>
      <c r="AW123">
        <f>2*(SQRT((Inputs!$C$52+(Scenario_Data!E123))^2+(Inputs!$C$52+((IF(OR(Inputs!$C$27=TRUE,Inputs!$C$27="TRUE",Inputs!$C$27=1),1,0)*(Inputs!$C$51*(115*EXP(-(((Inputs!$C$6)-25)^2)/(4.5^2))+70*EXP(-(((Inputs!$C$6)+38)^2)/(7^2))*(0.55+0.45*SIN(2*PI()*(Scenario_Data!W123)/45))+24*SIN(2*PI()*(Inputs!$C$6)/9+(Scenario_Data!W123)/18)*EXP(-(((Inputs!$C$6)+5)^2)/(22^2))+18*SIN(2*PI()*(Scenario_Data!W123)/70))+Inputs!$C$28*EXP(-(((Scenario_Data!W123)-Inputs!$C$29)^2)/(2*Inputs!$C$31^2))*EXP(-(((Inputs!$C$6)-Inputs!$C$30)^2)/(2*Inputs!$C$32^2))+-Inputs!$C$33*EXP(-(((((Scenario_Data!W123)-Inputs!$C$34)^2)+(((Inputs!$C$6)-Inputs!$C$35)^2))/(2*Inputs!$C$36^2)))+Inputs!$C$37*(0.55*SIN(2*PI()*(Scenario_Data!W123)/Inputs!$C$39)+0.35*COS(2*PI()*(Inputs!$C$6)/Inputs!$C$40)+0.2*SIN(2*PI()*((Scenario_Data!W123)+(Inputs!$C$6))/(0.5*(Inputs!$C$39+Inputs!$C$40))))+Inputs!$C$38*SIN(2*PI()*(Scenario_Data!W123)/Inputs!$C$39)*SIN(2*PI()*(Inputs!$C$6)/Inputs!$C$40)+-Inputs!$C$41*EXP(-(((Inputs!$C$6)-Inputs!$C$43)^2)/(2*Inputs!$C$44^2))*EXP(-(((Scenario_Data!W123)-Inputs!$C$42)^2)/(2*Inputs!$C$45^2))+Inputs!$C$48*(0.7*(0.45*SIN(2*PI()*(((Scenario_Data!W123)/Inputs!$C$49)+Inputs!$C$47*0.137))+0.35*COS(2*PI()*(((Inputs!$C$6)/Inputs!$C$50)+Inputs!$C$47*0.173))+0.2*SIN(2*PI()*((((Scenario_Data!W123)+(Inputs!$C$6))/(0.5*(Inputs!$C$49+Inputs!$C$50)))+Inputs!$C$47*0.097)))+0.3*(2*((SIN(((Scenario_Data!W123)*12.9898+(Inputs!$C$6)*78.233+Inputs!$C$47*37.719))*43758.5453)-INT((SIN(((Scenario_Data!W123)*12.9898+(Inputs!$C$6)*78.233+Inputs!$C$47*37.719))*43758.5453)))-1))))/1000))^2-2*(Inputs!$C$52+(Scenario_Data!E123))*(Inputs!$C$52+((IF(OR(Inputs!$C$27=TRUE,Inputs!$C$27="TRUE",Inputs!$C$27=1),1,0)*(Inputs!$C$51*(115*EXP(-(((Inputs!$C$6)-25)^2)/(4.5^2))+70*EXP(-(((Inputs!$C$6)+38)^2)/(7^2))*(0.55+0.45*SIN(2*PI()*(Scenario_Data!W123)/45))+24*SIN(2*PI()*(Inputs!$C$6)/9+(Scenario_Data!W123)/18)*EXP(-(((Inputs!$C$6)+5)^2)/(22^2))+18*SIN(2*PI()*(Scenario_Data!W123)/70))+Inputs!$C$28*EXP(-(((Scenario_Data!W123)-Inputs!$C$29)^2)/(2*Inputs!$C$31^2))*EXP(-(((Inputs!$C$6)-Inputs!$C$30)^2)/(2*Inputs!$C$32^2))+-Inputs!$C$33*EXP(-(((((Scenario_Data!W123)-Inputs!$C$34)^2)+(((Inputs!$C$6)-Inputs!$C$35)^2))/(2*Inputs!$C$36^2)))+Inputs!$C$37*(0.55*SIN(2*PI()*(Scenario_Data!W123)/Inputs!$C$39)+0.35*COS(2*PI()*(Inputs!$C$6)/Inputs!$C$40)+0.2*SIN(2*PI()*((Scenario_Data!W123)+(Inputs!$C$6))/(0.5*(Inputs!$C$39+Inputs!$C$40))))+Inputs!$C$38*SIN(2*PI()*(Scenario_Data!W123)/Inputs!$C$39)*SIN(2*PI()*(Inputs!$C$6)/Inputs!$C$40)+-Inputs!$C$41*EXP(-(((Inputs!$C$6)-Inputs!$C$43)^2)/(2*Inputs!$C$44^2))*EXP(-(((Scenario_Data!W123)-Inputs!$C$42)^2)/(2*Inputs!$C$45^2))+Inputs!$C$48*(0.7*(0.45*SIN(2*PI()*(((Scenario_Data!W123)/Inputs!$C$49)+Inputs!$C$47*0.137))+0.35*COS(2*PI()*(((Inputs!$C$6)/Inputs!$C$50)+Inputs!$C$47*0.173))+0.2*SIN(2*PI()*((((Scenario_Data!W123)+(Inputs!$C$6))/(0.5*(Inputs!$C$49+Inputs!$C$50)))+Inputs!$C$47*0.097)))+0.3*(2*((SIN(((Scenario_Data!W123)*12.9898+(Inputs!$C$6)*78.233+Inputs!$C$47*37.719))*43758.5453)-INT((SIN(((Scenario_Data!W123)*12.9898+(Inputs!$C$6)*78.233+Inputs!$C$47*37.719))*43758.5453)))-1))))/1000))*COS(SQRT((Scenario_Data!W123)^2+Inputs!$C$6^2)/Inputs!$C$52))*1000)/Inputs!$C$21*1000000</f>
        <v/>
      </c>
    </row>
    <row r="124">
      <c r="A124">
        <f>Chart_Data!K124</f>
        <v/>
      </c>
      <c r="B124">
        <f>Chart_Data!N124-Chart_Data!L124</f>
        <v/>
      </c>
      <c r="D124">
        <f>Chart_Data!G124</f>
        <v/>
      </c>
      <c r="E124">
        <f>Chart_Data!H124</f>
        <v/>
      </c>
      <c r="F124">
        <f>Chart_Data!I124</f>
        <v/>
      </c>
      <c r="G124">
        <f>Chart_Data!J124</f>
        <v/>
      </c>
      <c r="I124">
        <f>Scenario_Data!A124</f>
        <v/>
      </c>
      <c r="J124">
        <f>Scenario_Data!H124-(((SQRT((Inputs!$C$52+(Inputs!$H$6))^2+Inputs!$C$52^2-2*(Inputs!$C$52+(Inputs!$H$6))*Inputs!$C$52*COS(SQRT((Scenario_Data!T124)^2+Inputs!$C$6^2)/Inputs!$C$52)))-(Inputs!$H$6))*1000/Inputs!$C$12)</f>
        <v/>
      </c>
      <c r="K124">
        <f>Scenario_Data!I124-(((SQRT((Inputs!$C$52+(Inputs!$H$7))^2+Inputs!$C$52^2-2*(Inputs!$C$52+(Inputs!$H$7))*Inputs!$C$52*COS(SQRT((Scenario_Data!U124)^2+Inputs!$C$6^2)/Inputs!$C$52)))-(Inputs!$H$7))*1000/Inputs!$C$12)</f>
        <v/>
      </c>
      <c r="L124">
        <f>Scenario_Data!J124-(((SQRT((Inputs!$C$52+(Inputs!$H$8))^2+Inputs!$C$52^2-2*(Inputs!$C$52+(Inputs!$H$8))*Inputs!$C$52*COS(SQRT((Scenario_Data!V124)^2+Inputs!$C$6^2)/Inputs!$C$52)))-(Inputs!$H$8))*1000/Inputs!$C$12)</f>
        <v/>
      </c>
      <c r="M124">
        <f>Scenario_Data!K124-(((SQRT((Inputs!$C$52+(Inputs!$H$9))^2+Inputs!$C$52^2-2*(Inputs!$C$52+(Inputs!$H$9))*Inputs!$C$52*COS(SQRT((Scenario_Data!W124)^2+Inputs!$C$6^2)/Inputs!$C$52)))-(Inputs!$H$9))*1000/Inputs!$C$12)</f>
        <v/>
      </c>
      <c r="O124">
        <f>Scenario_Data!T124</f>
        <v/>
      </c>
      <c r="P124">
        <f>2*(Scenario_Data!B124*1000)/Inputs!$C$21*1000000</f>
        <v/>
      </c>
      <c r="Q124">
        <f>Scenario_Data!U124</f>
        <v/>
      </c>
      <c r="R124">
        <f>2*(Scenario_Data!C124*1000)/Inputs!$C$21*1000000</f>
        <v/>
      </c>
      <c r="S124">
        <f>Scenario_Data!V124</f>
        <v/>
      </c>
      <c r="T124">
        <f>2*(Scenario_Data!D124*1000)/Inputs!$C$21*1000000</f>
        <v/>
      </c>
      <c r="U124">
        <f>Scenario_Data!W124</f>
        <v/>
      </c>
      <c r="V124">
        <f>2*(Scenario_Data!E124*1000)/Inputs!$C$21*1000000</f>
        <v/>
      </c>
      <c r="X124">
        <f>Scenario_Data!T124</f>
        <v/>
      </c>
      <c r="Y124">
        <f>2*((Scenario_Data!B124*1000)-(IF(OR(Inputs!$C$27=TRUE,Inputs!$C$27="TRUE",Inputs!$C$27=1),1,0)*(Inputs!$C$51*(115*EXP(-(((0)-25)^2)/(4.5^2))+70*EXP(-(((0)+38)^2)/(7^2))*(0.55+0.45*SIN(2*PI()*(Scenario_Data!T124)/45))+24*SIN(2*PI()*(0)/9+(Scenario_Data!T124)/18)*EXP(-(((0)+5)^2)/(22^2))+18*SIN(2*PI()*(Scenario_Data!T124)/70))+Inputs!$C$28*EXP(-(((Scenario_Data!T124)-Inputs!$C$29)^2)/(2*Inputs!$C$31^2))*EXP(-(((0)-Inputs!$C$30)^2)/(2*Inputs!$C$32^2))+-Inputs!$C$33*EXP(-(((((Scenario_Data!T124)-Inputs!$C$34)^2)+(((0)-Inputs!$C$35)^2))/(2*Inputs!$C$36^2)))+Inputs!$C$37*(0.55*SIN(2*PI()*(Scenario_Data!T124)/Inputs!$C$39)+0.35*COS(2*PI()*(0)/Inputs!$C$40)+0.2*SIN(2*PI()*((Scenario_Data!T124)+(0))/(0.5*(Inputs!$C$39+Inputs!$C$40))))+Inputs!$C$38*SIN(2*PI()*(Scenario_Data!T124)/Inputs!$C$39)*SIN(2*PI()*(0)/Inputs!$C$40)+-Inputs!$C$41*EXP(-(((0)-Inputs!$C$43)^2)/(2*Inputs!$C$44^2))*EXP(-(((Scenario_Data!T124)-Inputs!$C$42)^2)/(2*Inputs!$C$45^2))+Inputs!$C$48*(0.7*(0.45*SIN(2*PI()*(((Scenario_Data!T124)/Inputs!$C$49)+Inputs!$C$47*0.137))+0.35*COS(2*PI()*(((0)/Inputs!$C$50)+Inputs!$C$47*0.173))+0.2*SIN(2*PI()*((((Scenario_Data!T124)+(0))/(0.5*(Inputs!$C$49+Inputs!$C$50)))+Inputs!$C$47*0.097)))+0.3*(2*((SIN(((Scenario_Data!T124)*12.9898+(0)*78.233+Inputs!$C$47*37.719))*43758.5453)-INT((SIN(((Scenario_Data!T124)*12.9898+(0)*78.233+Inputs!$C$47*37.719))*43758.5453)))-1)))))/Inputs!$C$21*1000000</f>
        <v/>
      </c>
      <c r="Z124">
        <f>Scenario_Data!U124</f>
        <v/>
      </c>
      <c r="AA124">
        <f>2*((Scenario_Data!C124*1000)-(IF(OR(Inputs!$C$27=TRUE,Inputs!$C$27="TRUE",Inputs!$C$27=1),1,0)*(Inputs!$C$51*(115*EXP(-(((0)-25)^2)/(4.5^2))+70*EXP(-(((0)+38)^2)/(7^2))*(0.55+0.45*SIN(2*PI()*(Scenario_Data!U124)/45))+24*SIN(2*PI()*(0)/9+(Scenario_Data!U124)/18)*EXP(-(((0)+5)^2)/(22^2))+18*SIN(2*PI()*(Scenario_Data!U124)/70))+Inputs!$C$28*EXP(-(((Scenario_Data!U124)-Inputs!$C$29)^2)/(2*Inputs!$C$31^2))*EXP(-(((0)-Inputs!$C$30)^2)/(2*Inputs!$C$32^2))+-Inputs!$C$33*EXP(-(((((Scenario_Data!U124)-Inputs!$C$34)^2)+(((0)-Inputs!$C$35)^2))/(2*Inputs!$C$36^2)))+Inputs!$C$37*(0.55*SIN(2*PI()*(Scenario_Data!U124)/Inputs!$C$39)+0.35*COS(2*PI()*(0)/Inputs!$C$40)+0.2*SIN(2*PI()*((Scenario_Data!U124)+(0))/(0.5*(Inputs!$C$39+Inputs!$C$40))))+Inputs!$C$38*SIN(2*PI()*(Scenario_Data!U124)/Inputs!$C$39)*SIN(2*PI()*(0)/Inputs!$C$40)+-Inputs!$C$41*EXP(-(((0)-Inputs!$C$43)^2)/(2*Inputs!$C$44^2))*EXP(-(((Scenario_Data!U124)-Inputs!$C$42)^2)/(2*Inputs!$C$45^2))+Inputs!$C$48*(0.7*(0.45*SIN(2*PI()*(((Scenario_Data!U124)/Inputs!$C$49)+Inputs!$C$47*0.137))+0.35*COS(2*PI()*(((0)/Inputs!$C$50)+Inputs!$C$47*0.173))+0.2*SIN(2*PI()*((((Scenario_Data!U124)+(0))/(0.5*(Inputs!$C$49+Inputs!$C$50)))+Inputs!$C$47*0.097)))+0.3*(2*((SIN(((Scenario_Data!U124)*12.9898+(0)*78.233+Inputs!$C$47*37.719))*43758.5453)-INT((SIN(((Scenario_Data!U124)*12.9898+(0)*78.233+Inputs!$C$47*37.719))*43758.5453)))-1)))))/Inputs!$C$21*1000000</f>
        <v/>
      </c>
      <c r="AB124">
        <f>Scenario_Data!V124</f>
        <v/>
      </c>
      <c r="AC124">
        <f>2*((Scenario_Data!D124*1000)-(IF(OR(Inputs!$C$27=TRUE,Inputs!$C$27="TRUE",Inputs!$C$27=1),1,0)*(Inputs!$C$51*(115*EXP(-(((0)-25)^2)/(4.5^2))+70*EXP(-(((0)+38)^2)/(7^2))*(0.55+0.45*SIN(2*PI()*(Scenario_Data!V124)/45))+24*SIN(2*PI()*(0)/9+(Scenario_Data!V124)/18)*EXP(-(((0)+5)^2)/(22^2))+18*SIN(2*PI()*(Scenario_Data!V124)/70))+Inputs!$C$28*EXP(-(((Scenario_Data!V124)-Inputs!$C$29)^2)/(2*Inputs!$C$31^2))*EXP(-(((0)-Inputs!$C$30)^2)/(2*Inputs!$C$32^2))+-Inputs!$C$33*EXP(-(((((Scenario_Data!V124)-Inputs!$C$34)^2)+(((0)-Inputs!$C$35)^2))/(2*Inputs!$C$36^2)))+Inputs!$C$37*(0.55*SIN(2*PI()*(Scenario_Data!V124)/Inputs!$C$39)+0.35*COS(2*PI()*(0)/Inputs!$C$40)+0.2*SIN(2*PI()*((Scenario_Data!V124)+(0))/(0.5*(Inputs!$C$39+Inputs!$C$40))))+Inputs!$C$38*SIN(2*PI()*(Scenario_Data!V124)/Inputs!$C$39)*SIN(2*PI()*(0)/Inputs!$C$40)+-Inputs!$C$41*EXP(-(((0)-Inputs!$C$43)^2)/(2*Inputs!$C$44^2))*EXP(-(((Scenario_Data!V124)-Inputs!$C$42)^2)/(2*Inputs!$C$45^2))+Inputs!$C$48*(0.7*(0.45*SIN(2*PI()*(((Scenario_Data!V124)/Inputs!$C$49)+Inputs!$C$47*0.137))+0.35*COS(2*PI()*(((0)/Inputs!$C$50)+Inputs!$C$47*0.173))+0.2*SIN(2*PI()*((((Scenario_Data!V124)+(0))/(0.5*(Inputs!$C$49+Inputs!$C$50)))+Inputs!$C$47*0.097)))+0.3*(2*((SIN(((Scenario_Data!V124)*12.9898+(0)*78.233+Inputs!$C$47*37.719))*43758.5453)-INT((SIN(((Scenario_Data!V124)*12.9898+(0)*78.233+Inputs!$C$47*37.719))*43758.5453)))-1)))))/Inputs!$C$21*1000000</f>
        <v/>
      </c>
      <c r="AD124">
        <f>Scenario_Data!W124</f>
        <v/>
      </c>
      <c r="AE124">
        <f>2*((Scenario_Data!E124*1000)-(IF(OR(Inputs!$C$27=TRUE,Inputs!$C$27="TRUE",Inputs!$C$27=1),1,0)*(Inputs!$C$51*(115*EXP(-(((0)-25)^2)/(4.5^2))+70*EXP(-(((0)+38)^2)/(7^2))*(0.55+0.45*SIN(2*PI()*(Scenario_Data!W124)/45))+24*SIN(2*PI()*(0)/9+(Scenario_Data!W124)/18)*EXP(-(((0)+5)^2)/(22^2))+18*SIN(2*PI()*(Scenario_Data!W124)/70))+Inputs!$C$28*EXP(-(((Scenario_Data!W124)-Inputs!$C$29)^2)/(2*Inputs!$C$31^2))*EXP(-(((0)-Inputs!$C$30)^2)/(2*Inputs!$C$32^2))+-Inputs!$C$33*EXP(-(((((Scenario_Data!W124)-Inputs!$C$34)^2)+(((0)-Inputs!$C$35)^2))/(2*Inputs!$C$36^2)))+Inputs!$C$37*(0.55*SIN(2*PI()*(Scenario_Data!W124)/Inputs!$C$39)+0.35*COS(2*PI()*(0)/Inputs!$C$40)+0.2*SIN(2*PI()*((Scenario_Data!W124)+(0))/(0.5*(Inputs!$C$39+Inputs!$C$40))))+Inputs!$C$38*SIN(2*PI()*(Scenario_Data!W124)/Inputs!$C$39)*SIN(2*PI()*(0)/Inputs!$C$40)+-Inputs!$C$41*EXP(-(((0)-Inputs!$C$43)^2)/(2*Inputs!$C$44^2))*EXP(-(((Scenario_Data!W124)-Inputs!$C$42)^2)/(2*Inputs!$C$45^2))+Inputs!$C$48*(0.7*(0.45*SIN(2*PI()*(((Scenario_Data!W124)/Inputs!$C$49)+Inputs!$C$47*0.137))+0.35*COS(2*PI()*(((0)/Inputs!$C$50)+Inputs!$C$47*0.173))+0.2*SIN(2*PI()*((((Scenario_Data!W124)+(0))/(0.5*(Inputs!$C$49+Inputs!$C$50)))+Inputs!$C$47*0.097)))+0.3*(2*((SIN(((Scenario_Data!W124)*12.9898+(0)*78.233+Inputs!$C$47*37.719))*43758.5453)-INT((SIN(((Scenario_Data!W124)*12.9898+(0)*78.233+Inputs!$C$47*37.719))*43758.5453)))-1)))))/Inputs!$C$21*1000000</f>
        <v/>
      </c>
      <c r="AG124">
        <f>Scenario_Data!T124</f>
        <v/>
      </c>
      <c r="AH124">
        <f>2*(SQRT((Inputs!$C$52+(Scenario_Data!B124))^2+Inputs!$C$52^2-2*(Inputs!$C$52+(Scenario_Data!B124))*Inputs!$C$52*COS(SQRT((Scenario_Data!T124)^2+Inputs!$C$6^2)/Inputs!$C$52))*1000)/Inputs!$C$21*1000000</f>
        <v/>
      </c>
      <c r="AI124">
        <f>Scenario_Data!U124</f>
        <v/>
      </c>
      <c r="AJ124">
        <f>2*(SQRT((Inputs!$C$52+(Scenario_Data!C124))^2+Inputs!$C$52^2-2*(Inputs!$C$52+(Scenario_Data!C124))*Inputs!$C$52*COS(SQRT((Scenario_Data!U124)^2+Inputs!$C$6^2)/Inputs!$C$52))*1000)/Inputs!$C$21*1000000</f>
        <v/>
      </c>
      <c r="AK124">
        <f>Scenario_Data!V124</f>
        <v/>
      </c>
      <c r="AL124">
        <f>2*(SQRT((Inputs!$C$52+(Scenario_Data!D124))^2+Inputs!$C$52^2-2*(Inputs!$C$52+(Scenario_Data!D124))*Inputs!$C$52*COS(SQRT((Scenario_Data!V124)^2+Inputs!$C$6^2)/Inputs!$C$52))*1000)/Inputs!$C$21*1000000</f>
        <v/>
      </c>
      <c r="AM124">
        <f>Scenario_Data!W124</f>
        <v/>
      </c>
      <c r="AN124">
        <f>2*(SQRT((Inputs!$C$52+(Scenario_Data!E124))^2+Inputs!$C$52^2-2*(Inputs!$C$52+(Scenario_Data!E124))*Inputs!$C$52*COS(SQRT((Scenario_Data!W124)^2+Inputs!$C$6^2)/Inputs!$C$52))*1000)/Inputs!$C$21*1000000</f>
        <v/>
      </c>
      <c r="AP124">
        <f>Scenario_Data!T124</f>
        <v/>
      </c>
      <c r="AQ124">
        <f>2*(SQRT((Inputs!$C$52+(Scenario_Data!B124))^2+(Inputs!$C$52+((IF(OR(Inputs!$C$27=TRUE,Inputs!$C$27="TRUE",Inputs!$C$27=1),1,0)*(Inputs!$C$51*(115*EXP(-(((Inputs!$C$6)-25)^2)/(4.5^2))+70*EXP(-(((Inputs!$C$6)+38)^2)/(7^2))*(0.55+0.45*SIN(2*PI()*(Scenario_Data!T124)/45))+24*SIN(2*PI()*(Inputs!$C$6)/9+(Scenario_Data!T124)/18)*EXP(-(((Inputs!$C$6)+5)^2)/(22^2))+18*SIN(2*PI()*(Scenario_Data!T124)/70))+Inputs!$C$28*EXP(-(((Scenario_Data!T124)-Inputs!$C$29)^2)/(2*Inputs!$C$31^2))*EXP(-(((Inputs!$C$6)-Inputs!$C$30)^2)/(2*Inputs!$C$32^2))+-Inputs!$C$33*EXP(-(((((Scenario_Data!T124)-Inputs!$C$34)^2)+(((Inputs!$C$6)-Inputs!$C$35)^2))/(2*Inputs!$C$36^2)))+Inputs!$C$37*(0.55*SIN(2*PI()*(Scenario_Data!T124)/Inputs!$C$39)+0.35*COS(2*PI()*(Inputs!$C$6)/Inputs!$C$40)+0.2*SIN(2*PI()*((Scenario_Data!T124)+(Inputs!$C$6))/(0.5*(Inputs!$C$39+Inputs!$C$40))))+Inputs!$C$38*SIN(2*PI()*(Scenario_Data!T124)/Inputs!$C$39)*SIN(2*PI()*(Inputs!$C$6)/Inputs!$C$40)+-Inputs!$C$41*EXP(-(((Inputs!$C$6)-Inputs!$C$43)^2)/(2*Inputs!$C$44^2))*EXP(-(((Scenario_Data!T124)-Inputs!$C$42)^2)/(2*Inputs!$C$45^2))+Inputs!$C$48*(0.7*(0.45*SIN(2*PI()*(((Scenario_Data!T124)/Inputs!$C$49)+Inputs!$C$47*0.137))+0.35*COS(2*PI()*(((Inputs!$C$6)/Inputs!$C$50)+Inputs!$C$47*0.173))+0.2*SIN(2*PI()*((((Scenario_Data!T124)+(Inputs!$C$6))/(0.5*(Inputs!$C$49+Inputs!$C$50)))+Inputs!$C$47*0.097)))+0.3*(2*((SIN(((Scenario_Data!T124)*12.9898+(Inputs!$C$6)*78.233+Inputs!$C$47*37.719))*43758.5453)-INT((SIN(((Scenario_Data!T124)*12.9898+(Inputs!$C$6)*78.233+Inputs!$C$47*37.719))*43758.5453)))-1))))/1000))^2-2*(Inputs!$C$52+(Scenario_Data!B124))*(Inputs!$C$52+((IF(OR(Inputs!$C$27=TRUE,Inputs!$C$27="TRUE",Inputs!$C$27=1),1,0)*(Inputs!$C$51*(115*EXP(-(((Inputs!$C$6)-25)^2)/(4.5^2))+70*EXP(-(((Inputs!$C$6)+38)^2)/(7^2))*(0.55+0.45*SIN(2*PI()*(Scenario_Data!T124)/45))+24*SIN(2*PI()*(Inputs!$C$6)/9+(Scenario_Data!T124)/18)*EXP(-(((Inputs!$C$6)+5)^2)/(22^2))+18*SIN(2*PI()*(Scenario_Data!T124)/70))+Inputs!$C$28*EXP(-(((Scenario_Data!T124)-Inputs!$C$29)^2)/(2*Inputs!$C$31^2))*EXP(-(((Inputs!$C$6)-Inputs!$C$30)^2)/(2*Inputs!$C$32^2))+-Inputs!$C$33*EXP(-(((((Scenario_Data!T124)-Inputs!$C$34)^2)+(((Inputs!$C$6)-Inputs!$C$35)^2))/(2*Inputs!$C$36^2)))+Inputs!$C$37*(0.55*SIN(2*PI()*(Scenario_Data!T124)/Inputs!$C$39)+0.35*COS(2*PI()*(Inputs!$C$6)/Inputs!$C$40)+0.2*SIN(2*PI()*((Scenario_Data!T124)+(Inputs!$C$6))/(0.5*(Inputs!$C$39+Inputs!$C$40))))+Inputs!$C$38*SIN(2*PI()*(Scenario_Data!T124)/Inputs!$C$39)*SIN(2*PI()*(Inputs!$C$6)/Inputs!$C$40)+-Inputs!$C$41*EXP(-(((Inputs!$C$6)-Inputs!$C$43)^2)/(2*Inputs!$C$44^2))*EXP(-(((Scenario_Data!T124)-Inputs!$C$42)^2)/(2*Inputs!$C$45^2))+Inputs!$C$48*(0.7*(0.45*SIN(2*PI()*(((Scenario_Data!T124)/Inputs!$C$49)+Inputs!$C$47*0.137))+0.35*COS(2*PI()*(((Inputs!$C$6)/Inputs!$C$50)+Inputs!$C$47*0.173))+0.2*SIN(2*PI()*((((Scenario_Data!T124)+(Inputs!$C$6))/(0.5*(Inputs!$C$49+Inputs!$C$50)))+Inputs!$C$47*0.097)))+0.3*(2*((SIN(((Scenario_Data!T124)*12.9898+(Inputs!$C$6)*78.233+Inputs!$C$47*37.719))*43758.5453)-INT((SIN(((Scenario_Data!T124)*12.9898+(Inputs!$C$6)*78.233+Inputs!$C$47*37.719))*43758.5453)))-1))))/1000))*COS(SQRT((Scenario_Data!T124)^2+Inputs!$C$6^2)/Inputs!$C$52))*1000)/Inputs!$C$21*1000000</f>
        <v/>
      </c>
      <c r="AR124">
        <f>Scenario_Data!U124</f>
        <v/>
      </c>
      <c r="AS124">
        <f>2*(SQRT((Inputs!$C$52+(Scenario_Data!C124))^2+(Inputs!$C$52+((IF(OR(Inputs!$C$27=TRUE,Inputs!$C$27="TRUE",Inputs!$C$27=1),1,0)*(Inputs!$C$51*(115*EXP(-(((Inputs!$C$6)-25)^2)/(4.5^2))+70*EXP(-(((Inputs!$C$6)+38)^2)/(7^2))*(0.55+0.45*SIN(2*PI()*(Scenario_Data!U124)/45))+24*SIN(2*PI()*(Inputs!$C$6)/9+(Scenario_Data!U124)/18)*EXP(-(((Inputs!$C$6)+5)^2)/(22^2))+18*SIN(2*PI()*(Scenario_Data!U124)/70))+Inputs!$C$28*EXP(-(((Scenario_Data!U124)-Inputs!$C$29)^2)/(2*Inputs!$C$31^2))*EXP(-(((Inputs!$C$6)-Inputs!$C$30)^2)/(2*Inputs!$C$32^2))+-Inputs!$C$33*EXP(-(((((Scenario_Data!U124)-Inputs!$C$34)^2)+(((Inputs!$C$6)-Inputs!$C$35)^2))/(2*Inputs!$C$36^2)))+Inputs!$C$37*(0.55*SIN(2*PI()*(Scenario_Data!U124)/Inputs!$C$39)+0.35*COS(2*PI()*(Inputs!$C$6)/Inputs!$C$40)+0.2*SIN(2*PI()*((Scenario_Data!U124)+(Inputs!$C$6))/(0.5*(Inputs!$C$39+Inputs!$C$40))))+Inputs!$C$38*SIN(2*PI()*(Scenario_Data!U124)/Inputs!$C$39)*SIN(2*PI()*(Inputs!$C$6)/Inputs!$C$40)+-Inputs!$C$41*EXP(-(((Inputs!$C$6)-Inputs!$C$43)^2)/(2*Inputs!$C$44^2))*EXP(-(((Scenario_Data!U124)-Inputs!$C$42)^2)/(2*Inputs!$C$45^2))+Inputs!$C$48*(0.7*(0.45*SIN(2*PI()*(((Scenario_Data!U124)/Inputs!$C$49)+Inputs!$C$47*0.137))+0.35*COS(2*PI()*(((Inputs!$C$6)/Inputs!$C$50)+Inputs!$C$47*0.173))+0.2*SIN(2*PI()*((((Scenario_Data!U124)+(Inputs!$C$6))/(0.5*(Inputs!$C$49+Inputs!$C$50)))+Inputs!$C$47*0.097)))+0.3*(2*((SIN(((Scenario_Data!U124)*12.9898+(Inputs!$C$6)*78.233+Inputs!$C$47*37.719))*43758.5453)-INT((SIN(((Scenario_Data!U124)*12.9898+(Inputs!$C$6)*78.233+Inputs!$C$47*37.719))*43758.5453)))-1))))/1000))^2-2*(Inputs!$C$52+(Scenario_Data!C124))*(Inputs!$C$52+((IF(OR(Inputs!$C$27=TRUE,Inputs!$C$27="TRUE",Inputs!$C$27=1),1,0)*(Inputs!$C$51*(115*EXP(-(((Inputs!$C$6)-25)^2)/(4.5^2))+70*EXP(-(((Inputs!$C$6)+38)^2)/(7^2))*(0.55+0.45*SIN(2*PI()*(Scenario_Data!U124)/45))+24*SIN(2*PI()*(Inputs!$C$6)/9+(Scenario_Data!U124)/18)*EXP(-(((Inputs!$C$6)+5)^2)/(22^2))+18*SIN(2*PI()*(Scenario_Data!U124)/70))+Inputs!$C$28*EXP(-(((Scenario_Data!U124)-Inputs!$C$29)^2)/(2*Inputs!$C$31^2))*EXP(-(((Inputs!$C$6)-Inputs!$C$30)^2)/(2*Inputs!$C$32^2))+-Inputs!$C$33*EXP(-(((((Scenario_Data!U124)-Inputs!$C$34)^2)+(((Inputs!$C$6)-Inputs!$C$35)^2))/(2*Inputs!$C$36^2)))+Inputs!$C$37*(0.55*SIN(2*PI()*(Scenario_Data!U124)/Inputs!$C$39)+0.35*COS(2*PI()*(Inputs!$C$6)/Inputs!$C$40)+0.2*SIN(2*PI()*((Scenario_Data!U124)+(Inputs!$C$6))/(0.5*(Inputs!$C$39+Inputs!$C$40))))+Inputs!$C$38*SIN(2*PI()*(Scenario_Data!U124)/Inputs!$C$39)*SIN(2*PI()*(Inputs!$C$6)/Inputs!$C$40)+-Inputs!$C$41*EXP(-(((Inputs!$C$6)-Inputs!$C$43)^2)/(2*Inputs!$C$44^2))*EXP(-(((Scenario_Data!U124)-Inputs!$C$42)^2)/(2*Inputs!$C$45^2))+Inputs!$C$48*(0.7*(0.45*SIN(2*PI()*(((Scenario_Data!U124)/Inputs!$C$49)+Inputs!$C$47*0.137))+0.35*COS(2*PI()*(((Inputs!$C$6)/Inputs!$C$50)+Inputs!$C$47*0.173))+0.2*SIN(2*PI()*((((Scenario_Data!U124)+(Inputs!$C$6))/(0.5*(Inputs!$C$49+Inputs!$C$50)))+Inputs!$C$47*0.097)))+0.3*(2*((SIN(((Scenario_Data!U124)*12.9898+(Inputs!$C$6)*78.233+Inputs!$C$47*37.719))*43758.5453)-INT((SIN(((Scenario_Data!U124)*12.9898+(Inputs!$C$6)*78.233+Inputs!$C$47*37.719))*43758.5453)))-1))))/1000))*COS(SQRT((Scenario_Data!U124)^2+Inputs!$C$6^2)/Inputs!$C$52))*1000)/Inputs!$C$21*1000000</f>
        <v/>
      </c>
      <c r="AT124">
        <f>Scenario_Data!V124</f>
        <v/>
      </c>
      <c r="AU124">
        <f>2*(SQRT((Inputs!$C$52+(Scenario_Data!D124))^2+(Inputs!$C$52+((IF(OR(Inputs!$C$27=TRUE,Inputs!$C$27="TRUE",Inputs!$C$27=1),1,0)*(Inputs!$C$51*(115*EXP(-(((Inputs!$C$6)-25)^2)/(4.5^2))+70*EXP(-(((Inputs!$C$6)+38)^2)/(7^2))*(0.55+0.45*SIN(2*PI()*(Scenario_Data!V124)/45))+24*SIN(2*PI()*(Inputs!$C$6)/9+(Scenario_Data!V124)/18)*EXP(-(((Inputs!$C$6)+5)^2)/(22^2))+18*SIN(2*PI()*(Scenario_Data!V124)/70))+Inputs!$C$28*EXP(-(((Scenario_Data!V124)-Inputs!$C$29)^2)/(2*Inputs!$C$31^2))*EXP(-(((Inputs!$C$6)-Inputs!$C$30)^2)/(2*Inputs!$C$32^2))+-Inputs!$C$33*EXP(-(((((Scenario_Data!V124)-Inputs!$C$34)^2)+(((Inputs!$C$6)-Inputs!$C$35)^2))/(2*Inputs!$C$36^2)))+Inputs!$C$37*(0.55*SIN(2*PI()*(Scenario_Data!V124)/Inputs!$C$39)+0.35*COS(2*PI()*(Inputs!$C$6)/Inputs!$C$40)+0.2*SIN(2*PI()*((Scenario_Data!V124)+(Inputs!$C$6))/(0.5*(Inputs!$C$39+Inputs!$C$40))))+Inputs!$C$38*SIN(2*PI()*(Scenario_Data!V124)/Inputs!$C$39)*SIN(2*PI()*(Inputs!$C$6)/Inputs!$C$40)+-Inputs!$C$41*EXP(-(((Inputs!$C$6)-Inputs!$C$43)^2)/(2*Inputs!$C$44^2))*EXP(-(((Scenario_Data!V124)-Inputs!$C$42)^2)/(2*Inputs!$C$45^2))+Inputs!$C$48*(0.7*(0.45*SIN(2*PI()*(((Scenario_Data!V124)/Inputs!$C$49)+Inputs!$C$47*0.137))+0.35*COS(2*PI()*(((Inputs!$C$6)/Inputs!$C$50)+Inputs!$C$47*0.173))+0.2*SIN(2*PI()*((((Scenario_Data!V124)+(Inputs!$C$6))/(0.5*(Inputs!$C$49+Inputs!$C$50)))+Inputs!$C$47*0.097)))+0.3*(2*((SIN(((Scenario_Data!V124)*12.9898+(Inputs!$C$6)*78.233+Inputs!$C$47*37.719))*43758.5453)-INT((SIN(((Scenario_Data!V124)*12.9898+(Inputs!$C$6)*78.233+Inputs!$C$47*37.719))*43758.5453)))-1))))/1000))^2-2*(Inputs!$C$52+(Scenario_Data!D124))*(Inputs!$C$52+((IF(OR(Inputs!$C$27=TRUE,Inputs!$C$27="TRUE",Inputs!$C$27=1),1,0)*(Inputs!$C$51*(115*EXP(-(((Inputs!$C$6)-25)^2)/(4.5^2))+70*EXP(-(((Inputs!$C$6)+38)^2)/(7^2))*(0.55+0.45*SIN(2*PI()*(Scenario_Data!V124)/45))+24*SIN(2*PI()*(Inputs!$C$6)/9+(Scenario_Data!V124)/18)*EXP(-(((Inputs!$C$6)+5)^2)/(22^2))+18*SIN(2*PI()*(Scenario_Data!V124)/70))+Inputs!$C$28*EXP(-(((Scenario_Data!V124)-Inputs!$C$29)^2)/(2*Inputs!$C$31^2))*EXP(-(((Inputs!$C$6)-Inputs!$C$30)^2)/(2*Inputs!$C$32^2))+-Inputs!$C$33*EXP(-(((((Scenario_Data!V124)-Inputs!$C$34)^2)+(((Inputs!$C$6)-Inputs!$C$35)^2))/(2*Inputs!$C$36^2)))+Inputs!$C$37*(0.55*SIN(2*PI()*(Scenario_Data!V124)/Inputs!$C$39)+0.35*COS(2*PI()*(Inputs!$C$6)/Inputs!$C$40)+0.2*SIN(2*PI()*((Scenario_Data!V124)+(Inputs!$C$6))/(0.5*(Inputs!$C$39+Inputs!$C$40))))+Inputs!$C$38*SIN(2*PI()*(Scenario_Data!V124)/Inputs!$C$39)*SIN(2*PI()*(Inputs!$C$6)/Inputs!$C$40)+-Inputs!$C$41*EXP(-(((Inputs!$C$6)-Inputs!$C$43)^2)/(2*Inputs!$C$44^2))*EXP(-(((Scenario_Data!V124)-Inputs!$C$42)^2)/(2*Inputs!$C$45^2))+Inputs!$C$48*(0.7*(0.45*SIN(2*PI()*(((Scenario_Data!V124)/Inputs!$C$49)+Inputs!$C$47*0.137))+0.35*COS(2*PI()*(((Inputs!$C$6)/Inputs!$C$50)+Inputs!$C$47*0.173))+0.2*SIN(2*PI()*((((Scenario_Data!V124)+(Inputs!$C$6))/(0.5*(Inputs!$C$49+Inputs!$C$50)))+Inputs!$C$47*0.097)))+0.3*(2*((SIN(((Scenario_Data!V124)*12.9898+(Inputs!$C$6)*78.233+Inputs!$C$47*37.719))*43758.5453)-INT((SIN(((Scenario_Data!V124)*12.9898+(Inputs!$C$6)*78.233+Inputs!$C$47*37.719))*43758.5453)))-1))))/1000))*COS(SQRT((Scenario_Data!V124)^2+Inputs!$C$6^2)/Inputs!$C$52))*1000)/Inputs!$C$21*1000000</f>
        <v/>
      </c>
      <c r="AV124">
        <f>Scenario_Data!W124</f>
        <v/>
      </c>
      <c r="AW124">
        <f>2*(SQRT((Inputs!$C$52+(Scenario_Data!E124))^2+(Inputs!$C$52+((IF(OR(Inputs!$C$27=TRUE,Inputs!$C$27="TRUE",Inputs!$C$27=1),1,0)*(Inputs!$C$51*(115*EXP(-(((Inputs!$C$6)-25)^2)/(4.5^2))+70*EXP(-(((Inputs!$C$6)+38)^2)/(7^2))*(0.55+0.45*SIN(2*PI()*(Scenario_Data!W124)/45))+24*SIN(2*PI()*(Inputs!$C$6)/9+(Scenario_Data!W124)/18)*EXP(-(((Inputs!$C$6)+5)^2)/(22^2))+18*SIN(2*PI()*(Scenario_Data!W124)/70))+Inputs!$C$28*EXP(-(((Scenario_Data!W124)-Inputs!$C$29)^2)/(2*Inputs!$C$31^2))*EXP(-(((Inputs!$C$6)-Inputs!$C$30)^2)/(2*Inputs!$C$32^2))+-Inputs!$C$33*EXP(-(((((Scenario_Data!W124)-Inputs!$C$34)^2)+(((Inputs!$C$6)-Inputs!$C$35)^2))/(2*Inputs!$C$36^2)))+Inputs!$C$37*(0.55*SIN(2*PI()*(Scenario_Data!W124)/Inputs!$C$39)+0.35*COS(2*PI()*(Inputs!$C$6)/Inputs!$C$40)+0.2*SIN(2*PI()*((Scenario_Data!W124)+(Inputs!$C$6))/(0.5*(Inputs!$C$39+Inputs!$C$40))))+Inputs!$C$38*SIN(2*PI()*(Scenario_Data!W124)/Inputs!$C$39)*SIN(2*PI()*(Inputs!$C$6)/Inputs!$C$40)+-Inputs!$C$41*EXP(-(((Inputs!$C$6)-Inputs!$C$43)^2)/(2*Inputs!$C$44^2))*EXP(-(((Scenario_Data!W124)-Inputs!$C$42)^2)/(2*Inputs!$C$45^2))+Inputs!$C$48*(0.7*(0.45*SIN(2*PI()*(((Scenario_Data!W124)/Inputs!$C$49)+Inputs!$C$47*0.137))+0.35*COS(2*PI()*(((Inputs!$C$6)/Inputs!$C$50)+Inputs!$C$47*0.173))+0.2*SIN(2*PI()*((((Scenario_Data!W124)+(Inputs!$C$6))/(0.5*(Inputs!$C$49+Inputs!$C$50)))+Inputs!$C$47*0.097)))+0.3*(2*((SIN(((Scenario_Data!W124)*12.9898+(Inputs!$C$6)*78.233+Inputs!$C$47*37.719))*43758.5453)-INT((SIN(((Scenario_Data!W124)*12.9898+(Inputs!$C$6)*78.233+Inputs!$C$47*37.719))*43758.5453)))-1))))/1000))^2-2*(Inputs!$C$52+(Scenario_Data!E124))*(Inputs!$C$52+((IF(OR(Inputs!$C$27=TRUE,Inputs!$C$27="TRUE",Inputs!$C$27=1),1,0)*(Inputs!$C$51*(115*EXP(-(((Inputs!$C$6)-25)^2)/(4.5^2))+70*EXP(-(((Inputs!$C$6)+38)^2)/(7^2))*(0.55+0.45*SIN(2*PI()*(Scenario_Data!W124)/45))+24*SIN(2*PI()*(Inputs!$C$6)/9+(Scenario_Data!W124)/18)*EXP(-(((Inputs!$C$6)+5)^2)/(22^2))+18*SIN(2*PI()*(Scenario_Data!W124)/70))+Inputs!$C$28*EXP(-(((Scenario_Data!W124)-Inputs!$C$29)^2)/(2*Inputs!$C$31^2))*EXP(-(((Inputs!$C$6)-Inputs!$C$30)^2)/(2*Inputs!$C$32^2))+-Inputs!$C$33*EXP(-(((((Scenario_Data!W124)-Inputs!$C$34)^2)+(((Inputs!$C$6)-Inputs!$C$35)^2))/(2*Inputs!$C$36^2)))+Inputs!$C$37*(0.55*SIN(2*PI()*(Scenario_Data!W124)/Inputs!$C$39)+0.35*COS(2*PI()*(Inputs!$C$6)/Inputs!$C$40)+0.2*SIN(2*PI()*((Scenario_Data!W124)+(Inputs!$C$6))/(0.5*(Inputs!$C$39+Inputs!$C$40))))+Inputs!$C$38*SIN(2*PI()*(Scenario_Data!W124)/Inputs!$C$39)*SIN(2*PI()*(Inputs!$C$6)/Inputs!$C$40)+-Inputs!$C$41*EXP(-(((Inputs!$C$6)-Inputs!$C$43)^2)/(2*Inputs!$C$44^2))*EXP(-(((Scenario_Data!W124)-Inputs!$C$42)^2)/(2*Inputs!$C$45^2))+Inputs!$C$48*(0.7*(0.45*SIN(2*PI()*(((Scenario_Data!W124)/Inputs!$C$49)+Inputs!$C$47*0.137))+0.35*COS(2*PI()*(((Inputs!$C$6)/Inputs!$C$50)+Inputs!$C$47*0.173))+0.2*SIN(2*PI()*((((Scenario_Data!W124)+(Inputs!$C$6))/(0.5*(Inputs!$C$49+Inputs!$C$50)))+Inputs!$C$47*0.097)))+0.3*(2*((SIN(((Scenario_Data!W124)*12.9898+(Inputs!$C$6)*78.233+Inputs!$C$47*37.719))*43758.5453)-INT((SIN(((Scenario_Data!W124)*12.9898+(Inputs!$C$6)*78.233+Inputs!$C$47*37.719))*43758.5453)))-1))))/1000))*COS(SQRT((Scenario_Data!W124)^2+Inputs!$C$6^2)/Inputs!$C$52))*1000)/Inputs!$C$21*1000000</f>
        <v/>
      </c>
    </row>
    <row r="125">
      <c r="A125">
        <f>Chart_Data!K125</f>
        <v/>
      </c>
      <c r="B125">
        <f>Chart_Data!N125-Chart_Data!L125</f>
        <v/>
      </c>
      <c r="D125">
        <f>Chart_Data!G125</f>
        <v/>
      </c>
      <c r="E125">
        <f>Chart_Data!H125</f>
        <v/>
      </c>
      <c r="F125">
        <f>Chart_Data!I125</f>
        <v/>
      </c>
      <c r="G125">
        <f>Chart_Data!J125</f>
        <v/>
      </c>
      <c r="I125">
        <f>Scenario_Data!A125</f>
        <v/>
      </c>
      <c r="J125">
        <f>Scenario_Data!H125-(((SQRT((Inputs!$C$52+(Inputs!$H$6))^2+Inputs!$C$52^2-2*(Inputs!$C$52+(Inputs!$H$6))*Inputs!$C$52*COS(SQRT((Scenario_Data!T125)^2+Inputs!$C$6^2)/Inputs!$C$52)))-(Inputs!$H$6))*1000/Inputs!$C$12)</f>
        <v/>
      </c>
      <c r="K125">
        <f>Scenario_Data!I125-(((SQRT((Inputs!$C$52+(Inputs!$H$7))^2+Inputs!$C$52^2-2*(Inputs!$C$52+(Inputs!$H$7))*Inputs!$C$52*COS(SQRT((Scenario_Data!U125)^2+Inputs!$C$6^2)/Inputs!$C$52)))-(Inputs!$H$7))*1000/Inputs!$C$12)</f>
        <v/>
      </c>
      <c r="L125">
        <f>Scenario_Data!J125-(((SQRT((Inputs!$C$52+(Inputs!$H$8))^2+Inputs!$C$52^2-2*(Inputs!$C$52+(Inputs!$H$8))*Inputs!$C$52*COS(SQRT((Scenario_Data!V125)^2+Inputs!$C$6^2)/Inputs!$C$52)))-(Inputs!$H$8))*1000/Inputs!$C$12)</f>
        <v/>
      </c>
      <c r="M125">
        <f>Scenario_Data!K125-(((SQRT((Inputs!$C$52+(Inputs!$H$9))^2+Inputs!$C$52^2-2*(Inputs!$C$52+(Inputs!$H$9))*Inputs!$C$52*COS(SQRT((Scenario_Data!W125)^2+Inputs!$C$6^2)/Inputs!$C$52)))-(Inputs!$H$9))*1000/Inputs!$C$12)</f>
        <v/>
      </c>
      <c r="O125">
        <f>Scenario_Data!T125</f>
        <v/>
      </c>
      <c r="P125">
        <f>2*(Scenario_Data!B125*1000)/Inputs!$C$21*1000000</f>
        <v/>
      </c>
      <c r="Q125">
        <f>Scenario_Data!U125</f>
        <v/>
      </c>
      <c r="R125">
        <f>2*(Scenario_Data!C125*1000)/Inputs!$C$21*1000000</f>
        <v/>
      </c>
      <c r="S125">
        <f>Scenario_Data!V125</f>
        <v/>
      </c>
      <c r="T125">
        <f>2*(Scenario_Data!D125*1000)/Inputs!$C$21*1000000</f>
        <v/>
      </c>
      <c r="U125">
        <f>Scenario_Data!W125</f>
        <v/>
      </c>
      <c r="V125">
        <f>2*(Scenario_Data!E125*1000)/Inputs!$C$21*1000000</f>
        <v/>
      </c>
      <c r="X125">
        <f>Scenario_Data!T125</f>
        <v/>
      </c>
      <c r="Y125">
        <f>2*((Scenario_Data!B125*1000)-(IF(OR(Inputs!$C$27=TRUE,Inputs!$C$27="TRUE",Inputs!$C$27=1),1,0)*(Inputs!$C$51*(115*EXP(-(((0)-25)^2)/(4.5^2))+70*EXP(-(((0)+38)^2)/(7^2))*(0.55+0.45*SIN(2*PI()*(Scenario_Data!T125)/45))+24*SIN(2*PI()*(0)/9+(Scenario_Data!T125)/18)*EXP(-(((0)+5)^2)/(22^2))+18*SIN(2*PI()*(Scenario_Data!T125)/70))+Inputs!$C$28*EXP(-(((Scenario_Data!T125)-Inputs!$C$29)^2)/(2*Inputs!$C$31^2))*EXP(-(((0)-Inputs!$C$30)^2)/(2*Inputs!$C$32^2))+-Inputs!$C$33*EXP(-(((((Scenario_Data!T125)-Inputs!$C$34)^2)+(((0)-Inputs!$C$35)^2))/(2*Inputs!$C$36^2)))+Inputs!$C$37*(0.55*SIN(2*PI()*(Scenario_Data!T125)/Inputs!$C$39)+0.35*COS(2*PI()*(0)/Inputs!$C$40)+0.2*SIN(2*PI()*((Scenario_Data!T125)+(0))/(0.5*(Inputs!$C$39+Inputs!$C$40))))+Inputs!$C$38*SIN(2*PI()*(Scenario_Data!T125)/Inputs!$C$39)*SIN(2*PI()*(0)/Inputs!$C$40)+-Inputs!$C$41*EXP(-(((0)-Inputs!$C$43)^2)/(2*Inputs!$C$44^2))*EXP(-(((Scenario_Data!T125)-Inputs!$C$42)^2)/(2*Inputs!$C$45^2))+Inputs!$C$48*(0.7*(0.45*SIN(2*PI()*(((Scenario_Data!T125)/Inputs!$C$49)+Inputs!$C$47*0.137))+0.35*COS(2*PI()*(((0)/Inputs!$C$50)+Inputs!$C$47*0.173))+0.2*SIN(2*PI()*((((Scenario_Data!T125)+(0))/(0.5*(Inputs!$C$49+Inputs!$C$50)))+Inputs!$C$47*0.097)))+0.3*(2*((SIN(((Scenario_Data!T125)*12.9898+(0)*78.233+Inputs!$C$47*37.719))*43758.5453)-INT((SIN(((Scenario_Data!T125)*12.9898+(0)*78.233+Inputs!$C$47*37.719))*43758.5453)))-1)))))/Inputs!$C$21*1000000</f>
        <v/>
      </c>
      <c r="Z125">
        <f>Scenario_Data!U125</f>
        <v/>
      </c>
      <c r="AA125">
        <f>2*((Scenario_Data!C125*1000)-(IF(OR(Inputs!$C$27=TRUE,Inputs!$C$27="TRUE",Inputs!$C$27=1),1,0)*(Inputs!$C$51*(115*EXP(-(((0)-25)^2)/(4.5^2))+70*EXP(-(((0)+38)^2)/(7^2))*(0.55+0.45*SIN(2*PI()*(Scenario_Data!U125)/45))+24*SIN(2*PI()*(0)/9+(Scenario_Data!U125)/18)*EXP(-(((0)+5)^2)/(22^2))+18*SIN(2*PI()*(Scenario_Data!U125)/70))+Inputs!$C$28*EXP(-(((Scenario_Data!U125)-Inputs!$C$29)^2)/(2*Inputs!$C$31^2))*EXP(-(((0)-Inputs!$C$30)^2)/(2*Inputs!$C$32^2))+-Inputs!$C$33*EXP(-(((((Scenario_Data!U125)-Inputs!$C$34)^2)+(((0)-Inputs!$C$35)^2))/(2*Inputs!$C$36^2)))+Inputs!$C$37*(0.55*SIN(2*PI()*(Scenario_Data!U125)/Inputs!$C$39)+0.35*COS(2*PI()*(0)/Inputs!$C$40)+0.2*SIN(2*PI()*((Scenario_Data!U125)+(0))/(0.5*(Inputs!$C$39+Inputs!$C$40))))+Inputs!$C$38*SIN(2*PI()*(Scenario_Data!U125)/Inputs!$C$39)*SIN(2*PI()*(0)/Inputs!$C$40)+-Inputs!$C$41*EXP(-(((0)-Inputs!$C$43)^2)/(2*Inputs!$C$44^2))*EXP(-(((Scenario_Data!U125)-Inputs!$C$42)^2)/(2*Inputs!$C$45^2))+Inputs!$C$48*(0.7*(0.45*SIN(2*PI()*(((Scenario_Data!U125)/Inputs!$C$49)+Inputs!$C$47*0.137))+0.35*COS(2*PI()*(((0)/Inputs!$C$50)+Inputs!$C$47*0.173))+0.2*SIN(2*PI()*((((Scenario_Data!U125)+(0))/(0.5*(Inputs!$C$49+Inputs!$C$50)))+Inputs!$C$47*0.097)))+0.3*(2*((SIN(((Scenario_Data!U125)*12.9898+(0)*78.233+Inputs!$C$47*37.719))*43758.5453)-INT((SIN(((Scenario_Data!U125)*12.9898+(0)*78.233+Inputs!$C$47*37.719))*43758.5453)))-1)))))/Inputs!$C$21*1000000</f>
        <v/>
      </c>
      <c r="AB125">
        <f>Scenario_Data!V125</f>
        <v/>
      </c>
      <c r="AC125">
        <f>2*((Scenario_Data!D125*1000)-(IF(OR(Inputs!$C$27=TRUE,Inputs!$C$27="TRUE",Inputs!$C$27=1),1,0)*(Inputs!$C$51*(115*EXP(-(((0)-25)^2)/(4.5^2))+70*EXP(-(((0)+38)^2)/(7^2))*(0.55+0.45*SIN(2*PI()*(Scenario_Data!V125)/45))+24*SIN(2*PI()*(0)/9+(Scenario_Data!V125)/18)*EXP(-(((0)+5)^2)/(22^2))+18*SIN(2*PI()*(Scenario_Data!V125)/70))+Inputs!$C$28*EXP(-(((Scenario_Data!V125)-Inputs!$C$29)^2)/(2*Inputs!$C$31^2))*EXP(-(((0)-Inputs!$C$30)^2)/(2*Inputs!$C$32^2))+-Inputs!$C$33*EXP(-(((((Scenario_Data!V125)-Inputs!$C$34)^2)+(((0)-Inputs!$C$35)^2))/(2*Inputs!$C$36^2)))+Inputs!$C$37*(0.55*SIN(2*PI()*(Scenario_Data!V125)/Inputs!$C$39)+0.35*COS(2*PI()*(0)/Inputs!$C$40)+0.2*SIN(2*PI()*((Scenario_Data!V125)+(0))/(0.5*(Inputs!$C$39+Inputs!$C$40))))+Inputs!$C$38*SIN(2*PI()*(Scenario_Data!V125)/Inputs!$C$39)*SIN(2*PI()*(0)/Inputs!$C$40)+-Inputs!$C$41*EXP(-(((0)-Inputs!$C$43)^2)/(2*Inputs!$C$44^2))*EXP(-(((Scenario_Data!V125)-Inputs!$C$42)^2)/(2*Inputs!$C$45^2))+Inputs!$C$48*(0.7*(0.45*SIN(2*PI()*(((Scenario_Data!V125)/Inputs!$C$49)+Inputs!$C$47*0.137))+0.35*COS(2*PI()*(((0)/Inputs!$C$50)+Inputs!$C$47*0.173))+0.2*SIN(2*PI()*((((Scenario_Data!V125)+(0))/(0.5*(Inputs!$C$49+Inputs!$C$50)))+Inputs!$C$47*0.097)))+0.3*(2*((SIN(((Scenario_Data!V125)*12.9898+(0)*78.233+Inputs!$C$47*37.719))*43758.5453)-INT((SIN(((Scenario_Data!V125)*12.9898+(0)*78.233+Inputs!$C$47*37.719))*43758.5453)))-1)))))/Inputs!$C$21*1000000</f>
        <v/>
      </c>
      <c r="AD125">
        <f>Scenario_Data!W125</f>
        <v/>
      </c>
      <c r="AE125">
        <f>2*((Scenario_Data!E125*1000)-(IF(OR(Inputs!$C$27=TRUE,Inputs!$C$27="TRUE",Inputs!$C$27=1),1,0)*(Inputs!$C$51*(115*EXP(-(((0)-25)^2)/(4.5^2))+70*EXP(-(((0)+38)^2)/(7^2))*(0.55+0.45*SIN(2*PI()*(Scenario_Data!W125)/45))+24*SIN(2*PI()*(0)/9+(Scenario_Data!W125)/18)*EXP(-(((0)+5)^2)/(22^2))+18*SIN(2*PI()*(Scenario_Data!W125)/70))+Inputs!$C$28*EXP(-(((Scenario_Data!W125)-Inputs!$C$29)^2)/(2*Inputs!$C$31^2))*EXP(-(((0)-Inputs!$C$30)^2)/(2*Inputs!$C$32^2))+-Inputs!$C$33*EXP(-(((((Scenario_Data!W125)-Inputs!$C$34)^2)+(((0)-Inputs!$C$35)^2))/(2*Inputs!$C$36^2)))+Inputs!$C$37*(0.55*SIN(2*PI()*(Scenario_Data!W125)/Inputs!$C$39)+0.35*COS(2*PI()*(0)/Inputs!$C$40)+0.2*SIN(2*PI()*((Scenario_Data!W125)+(0))/(0.5*(Inputs!$C$39+Inputs!$C$40))))+Inputs!$C$38*SIN(2*PI()*(Scenario_Data!W125)/Inputs!$C$39)*SIN(2*PI()*(0)/Inputs!$C$40)+-Inputs!$C$41*EXP(-(((0)-Inputs!$C$43)^2)/(2*Inputs!$C$44^2))*EXP(-(((Scenario_Data!W125)-Inputs!$C$42)^2)/(2*Inputs!$C$45^2))+Inputs!$C$48*(0.7*(0.45*SIN(2*PI()*(((Scenario_Data!W125)/Inputs!$C$49)+Inputs!$C$47*0.137))+0.35*COS(2*PI()*(((0)/Inputs!$C$50)+Inputs!$C$47*0.173))+0.2*SIN(2*PI()*((((Scenario_Data!W125)+(0))/(0.5*(Inputs!$C$49+Inputs!$C$50)))+Inputs!$C$47*0.097)))+0.3*(2*((SIN(((Scenario_Data!W125)*12.9898+(0)*78.233+Inputs!$C$47*37.719))*43758.5453)-INT((SIN(((Scenario_Data!W125)*12.9898+(0)*78.233+Inputs!$C$47*37.719))*43758.5453)))-1)))))/Inputs!$C$21*1000000</f>
        <v/>
      </c>
      <c r="AG125">
        <f>Scenario_Data!T125</f>
        <v/>
      </c>
      <c r="AH125">
        <f>2*(SQRT((Inputs!$C$52+(Scenario_Data!B125))^2+Inputs!$C$52^2-2*(Inputs!$C$52+(Scenario_Data!B125))*Inputs!$C$52*COS(SQRT((Scenario_Data!T125)^2+Inputs!$C$6^2)/Inputs!$C$52))*1000)/Inputs!$C$21*1000000</f>
        <v/>
      </c>
      <c r="AI125">
        <f>Scenario_Data!U125</f>
        <v/>
      </c>
      <c r="AJ125">
        <f>2*(SQRT((Inputs!$C$52+(Scenario_Data!C125))^2+Inputs!$C$52^2-2*(Inputs!$C$52+(Scenario_Data!C125))*Inputs!$C$52*COS(SQRT((Scenario_Data!U125)^2+Inputs!$C$6^2)/Inputs!$C$52))*1000)/Inputs!$C$21*1000000</f>
        <v/>
      </c>
      <c r="AK125">
        <f>Scenario_Data!V125</f>
        <v/>
      </c>
      <c r="AL125">
        <f>2*(SQRT((Inputs!$C$52+(Scenario_Data!D125))^2+Inputs!$C$52^2-2*(Inputs!$C$52+(Scenario_Data!D125))*Inputs!$C$52*COS(SQRT((Scenario_Data!V125)^2+Inputs!$C$6^2)/Inputs!$C$52))*1000)/Inputs!$C$21*1000000</f>
        <v/>
      </c>
      <c r="AM125">
        <f>Scenario_Data!W125</f>
        <v/>
      </c>
      <c r="AN125">
        <f>2*(SQRT((Inputs!$C$52+(Scenario_Data!E125))^2+Inputs!$C$52^2-2*(Inputs!$C$52+(Scenario_Data!E125))*Inputs!$C$52*COS(SQRT((Scenario_Data!W125)^2+Inputs!$C$6^2)/Inputs!$C$52))*1000)/Inputs!$C$21*1000000</f>
        <v/>
      </c>
      <c r="AP125">
        <f>Scenario_Data!T125</f>
        <v/>
      </c>
      <c r="AQ125">
        <f>2*(SQRT((Inputs!$C$52+(Scenario_Data!B125))^2+(Inputs!$C$52+((IF(OR(Inputs!$C$27=TRUE,Inputs!$C$27="TRUE",Inputs!$C$27=1),1,0)*(Inputs!$C$51*(115*EXP(-(((Inputs!$C$6)-25)^2)/(4.5^2))+70*EXP(-(((Inputs!$C$6)+38)^2)/(7^2))*(0.55+0.45*SIN(2*PI()*(Scenario_Data!T125)/45))+24*SIN(2*PI()*(Inputs!$C$6)/9+(Scenario_Data!T125)/18)*EXP(-(((Inputs!$C$6)+5)^2)/(22^2))+18*SIN(2*PI()*(Scenario_Data!T125)/70))+Inputs!$C$28*EXP(-(((Scenario_Data!T125)-Inputs!$C$29)^2)/(2*Inputs!$C$31^2))*EXP(-(((Inputs!$C$6)-Inputs!$C$30)^2)/(2*Inputs!$C$32^2))+-Inputs!$C$33*EXP(-(((((Scenario_Data!T125)-Inputs!$C$34)^2)+(((Inputs!$C$6)-Inputs!$C$35)^2))/(2*Inputs!$C$36^2)))+Inputs!$C$37*(0.55*SIN(2*PI()*(Scenario_Data!T125)/Inputs!$C$39)+0.35*COS(2*PI()*(Inputs!$C$6)/Inputs!$C$40)+0.2*SIN(2*PI()*((Scenario_Data!T125)+(Inputs!$C$6))/(0.5*(Inputs!$C$39+Inputs!$C$40))))+Inputs!$C$38*SIN(2*PI()*(Scenario_Data!T125)/Inputs!$C$39)*SIN(2*PI()*(Inputs!$C$6)/Inputs!$C$40)+-Inputs!$C$41*EXP(-(((Inputs!$C$6)-Inputs!$C$43)^2)/(2*Inputs!$C$44^2))*EXP(-(((Scenario_Data!T125)-Inputs!$C$42)^2)/(2*Inputs!$C$45^2))+Inputs!$C$48*(0.7*(0.45*SIN(2*PI()*(((Scenario_Data!T125)/Inputs!$C$49)+Inputs!$C$47*0.137))+0.35*COS(2*PI()*(((Inputs!$C$6)/Inputs!$C$50)+Inputs!$C$47*0.173))+0.2*SIN(2*PI()*((((Scenario_Data!T125)+(Inputs!$C$6))/(0.5*(Inputs!$C$49+Inputs!$C$50)))+Inputs!$C$47*0.097)))+0.3*(2*((SIN(((Scenario_Data!T125)*12.9898+(Inputs!$C$6)*78.233+Inputs!$C$47*37.719))*43758.5453)-INT((SIN(((Scenario_Data!T125)*12.9898+(Inputs!$C$6)*78.233+Inputs!$C$47*37.719))*43758.5453)))-1))))/1000))^2-2*(Inputs!$C$52+(Scenario_Data!B125))*(Inputs!$C$52+((IF(OR(Inputs!$C$27=TRUE,Inputs!$C$27="TRUE",Inputs!$C$27=1),1,0)*(Inputs!$C$51*(115*EXP(-(((Inputs!$C$6)-25)^2)/(4.5^2))+70*EXP(-(((Inputs!$C$6)+38)^2)/(7^2))*(0.55+0.45*SIN(2*PI()*(Scenario_Data!T125)/45))+24*SIN(2*PI()*(Inputs!$C$6)/9+(Scenario_Data!T125)/18)*EXP(-(((Inputs!$C$6)+5)^2)/(22^2))+18*SIN(2*PI()*(Scenario_Data!T125)/70))+Inputs!$C$28*EXP(-(((Scenario_Data!T125)-Inputs!$C$29)^2)/(2*Inputs!$C$31^2))*EXP(-(((Inputs!$C$6)-Inputs!$C$30)^2)/(2*Inputs!$C$32^2))+-Inputs!$C$33*EXP(-(((((Scenario_Data!T125)-Inputs!$C$34)^2)+(((Inputs!$C$6)-Inputs!$C$35)^2))/(2*Inputs!$C$36^2)))+Inputs!$C$37*(0.55*SIN(2*PI()*(Scenario_Data!T125)/Inputs!$C$39)+0.35*COS(2*PI()*(Inputs!$C$6)/Inputs!$C$40)+0.2*SIN(2*PI()*((Scenario_Data!T125)+(Inputs!$C$6))/(0.5*(Inputs!$C$39+Inputs!$C$40))))+Inputs!$C$38*SIN(2*PI()*(Scenario_Data!T125)/Inputs!$C$39)*SIN(2*PI()*(Inputs!$C$6)/Inputs!$C$40)+-Inputs!$C$41*EXP(-(((Inputs!$C$6)-Inputs!$C$43)^2)/(2*Inputs!$C$44^2))*EXP(-(((Scenario_Data!T125)-Inputs!$C$42)^2)/(2*Inputs!$C$45^2))+Inputs!$C$48*(0.7*(0.45*SIN(2*PI()*(((Scenario_Data!T125)/Inputs!$C$49)+Inputs!$C$47*0.137))+0.35*COS(2*PI()*(((Inputs!$C$6)/Inputs!$C$50)+Inputs!$C$47*0.173))+0.2*SIN(2*PI()*((((Scenario_Data!T125)+(Inputs!$C$6))/(0.5*(Inputs!$C$49+Inputs!$C$50)))+Inputs!$C$47*0.097)))+0.3*(2*((SIN(((Scenario_Data!T125)*12.9898+(Inputs!$C$6)*78.233+Inputs!$C$47*37.719))*43758.5453)-INT((SIN(((Scenario_Data!T125)*12.9898+(Inputs!$C$6)*78.233+Inputs!$C$47*37.719))*43758.5453)))-1))))/1000))*COS(SQRT((Scenario_Data!T125)^2+Inputs!$C$6^2)/Inputs!$C$52))*1000)/Inputs!$C$21*1000000</f>
        <v/>
      </c>
      <c r="AR125">
        <f>Scenario_Data!U125</f>
        <v/>
      </c>
      <c r="AS125">
        <f>2*(SQRT((Inputs!$C$52+(Scenario_Data!C125))^2+(Inputs!$C$52+((IF(OR(Inputs!$C$27=TRUE,Inputs!$C$27="TRUE",Inputs!$C$27=1),1,0)*(Inputs!$C$51*(115*EXP(-(((Inputs!$C$6)-25)^2)/(4.5^2))+70*EXP(-(((Inputs!$C$6)+38)^2)/(7^2))*(0.55+0.45*SIN(2*PI()*(Scenario_Data!U125)/45))+24*SIN(2*PI()*(Inputs!$C$6)/9+(Scenario_Data!U125)/18)*EXP(-(((Inputs!$C$6)+5)^2)/(22^2))+18*SIN(2*PI()*(Scenario_Data!U125)/70))+Inputs!$C$28*EXP(-(((Scenario_Data!U125)-Inputs!$C$29)^2)/(2*Inputs!$C$31^2))*EXP(-(((Inputs!$C$6)-Inputs!$C$30)^2)/(2*Inputs!$C$32^2))+-Inputs!$C$33*EXP(-(((((Scenario_Data!U125)-Inputs!$C$34)^2)+(((Inputs!$C$6)-Inputs!$C$35)^2))/(2*Inputs!$C$36^2)))+Inputs!$C$37*(0.55*SIN(2*PI()*(Scenario_Data!U125)/Inputs!$C$39)+0.35*COS(2*PI()*(Inputs!$C$6)/Inputs!$C$40)+0.2*SIN(2*PI()*((Scenario_Data!U125)+(Inputs!$C$6))/(0.5*(Inputs!$C$39+Inputs!$C$40))))+Inputs!$C$38*SIN(2*PI()*(Scenario_Data!U125)/Inputs!$C$39)*SIN(2*PI()*(Inputs!$C$6)/Inputs!$C$40)+-Inputs!$C$41*EXP(-(((Inputs!$C$6)-Inputs!$C$43)^2)/(2*Inputs!$C$44^2))*EXP(-(((Scenario_Data!U125)-Inputs!$C$42)^2)/(2*Inputs!$C$45^2))+Inputs!$C$48*(0.7*(0.45*SIN(2*PI()*(((Scenario_Data!U125)/Inputs!$C$49)+Inputs!$C$47*0.137))+0.35*COS(2*PI()*(((Inputs!$C$6)/Inputs!$C$50)+Inputs!$C$47*0.173))+0.2*SIN(2*PI()*((((Scenario_Data!U125)+(Inputs!$C$6))/(0.5*(Inputs!$C$49+Inputs!$C$50)))+Inputs!$C$47*0.097)))+0.3*(2*((SIN(((Scenario_Data!U125)*12.9898+(Inputs!$C$6)*78.233+Inputs!$C$47*37.719))*43758.5453)-INT((SIN(((Scenario_Data!U125)*12.9898+(Inputs!$C$6)*78.233+Inputs!$C$47*37.719))*43758.5453)))-1))))/1000))^2-2*(Inputs!$C$52+(Scenario_Data!C125))*(Inputs!$C$52+((IF(OR(Inputs!$C$27=TRUE,Inputs!$C$27="TRUE",Inputs!$C$27=1),1,0)*(Inputs!$C$51*(115*EXP(-(((Inputs!$C$6)-25)^2)/(4.5^2))+70*EXP(-(((Inputs!$C$6)+38)^2)/(7^2))*(0.55+0.45*SIN(2*PI()*(Scenario_Data!U125)/45))+24*SIN(2*PI()*(Inputs!$C$6)/9+(Scenario_Data!U125)/18)*EXP(-(((Inputs!$C$6)+5)^2)/(22^2))+18*SIN(2*PI()*(Scenario_Data!U125)/70))+Inputs!$C$28*EXP(-(((Scenario_Data!U125)-Inputs!$C$29)^2)/(2*Inputs!$C$31^2))*EXP(-(((Inputs!$C$6)-Inputs!$C$30)^2)/(2*Inputs!$C$32^2))+-Inputs!$C$33*EXP(-(((((Scenario_Data!U125)-Inputs!$C$34)^2)+(((Inputs!$C$6)-Inputs!$C$35)^2))/(2*Inputs!$C$36^2)))+Inputs!$C$37*(0.55*SIN(2*PI()*(Scenario_Data!U125)/Inputs!$C$39)+0.35*COS(2*PI()*(Inputs!$C$6)/Inputs!$C$40)+0.2*SIN(2*PI()*((Scenario_Data!U125)+(Inputs!$C$6))/(0.5*(Inputs!$C$39+Inputs!$C$40))))+Inputs!$C$38*SIN(2*PI()*(Scenario_Data!U125)/Inputs!$C$39)*SIN(2*PI()*(Inputs!$C$6)/Inputs!$C$40)+-Inputs!$C$41*EXP(-(((Inputs!$C$6)-Inputs!$C$43)^2)/(2*Inputs!$C$44^2))*EXP(-(((Scenario_Data!U125)-Inputs!$C$42)^2)/(2*Inputs!$C$45^2))+Inputs!$C$48*(0.7*(0.45*SIN(2*PI()*(((Scenario_Data!U125)/Inputs!$C$49)+Inputs!$C$47*0.137))+0.35*COS(2*PI()*(((Inputs!$C$6)/Inputs!$C$50)+Inputs!$C$47*0.173))+0.2*SIN(2*PI()*((((Scenario_Data!U125)+(Inputs!$C$6))/(0.5*(Inputs!$C$49+Inputs!$C$50)))+Inputs!$C$47*0.097)))+0.3*(2*((SIN(((Scenario_Data!U125)*12.9898+(Inputs!$C$6)*78.233+Inputs!$C$47*37.719))*43758.5453)-INT((SIN(((Scenario_Data!U125)*12.9898+(Inputs!$C$6)*78.233+Inputs!$C$47*37.719))*43758.5453)))-1))))/1000))*COS(SQRT((Scenario_Data!U125)^2+Inputs!$C$6^2)/Inputs!$C$52))*1000)/Inputs!$C$21*1000000</f>
        <v/>
      </c>
      <c r="AT125">
        <f>Scenario_Data!V125</f>
        <v/>
      </c>
      <c r="AU125">
        <f>2*(SQRT((Inputs!$C$52+(Scenario_Data!D125))^2+(Inputs!$C$52+((IF(OR(Inputs!$C$27=TRUE,Inputs!$C$27="TRUE",Inputs!$C$27=1),1,0)*(Inputs!$C$51*(115*EXP(-(((Inputs!$C$6)-25)^2)/(4.5^2))+70*EXP(-(((Inputs!$C$6)+38)^2)/(7^2))*(0.55+0.45*SIN(2*PI()*(Scenario_Data!V125)/45))+24*SIN(2*PI()*(Inputs!$C$6)/9+(Scenario_Data!V125)/18)*EXP(-(((Inputs!$C$6)+5)^2)/(22^2))+18*SIN(2*PI()*(Scenario_Data!V125)/70))+Inputs!$C$28*EXP(-(((Scenario_Data!V125)-Inputs!$C$29)^2)/(2*Inputs!$C$31^2))*EXP(-(((Inputs!$C$6)-Inputs!$C$30)^2)/(2*Inputs!$C$32^2))+-Inputs!$C$33*EXP(-(((((Scenario_Data!V125)-Inputs!$C$34)^2)+(((Inputs!$C$6)-Inputs!$C$35)^2))/(2*Inputs!$C$36^2)))+Inputs!$C$37*(0.55*SIN(2*PI()*(Scenario_Data!V125)/Inputs!$C$39)+0.35*COS(2*PI()*(Inputs!$C$6)/Inputs!$C$40)+0.2*SIN(2*PI()*((Scenario_Data!V125)+(Inputs!$C$6))/(0.5*(Inputs!$C$39+Inputs!$C$40))))+Inputs!$C$38*SIN(2*PI()*(Scenario_Data!V125)/Inputs!$C$39)*SIN(2*PI()*(Inputs!$C$6)/Inputs!$C$40)+-Inputs!$C$41*EXP(-(((Inputs!$C$6)-Inputs!$C$43)^2)/(2*Inputs!$C$44^2))*EXP(-(((Scenario_Data!V125)-Inputs!$C$42)^2)/(2*Inputs!$C$45^2))+Inputs!$C$48*(0.7*(0.45*SIN(2*PI()*(((Scenario_Data!V125)/Inputs!$C$49)+Inputs!$C$47*0.137))+0.35*COS(2*PI()*(((Inputs!$C$6)/Inputs!$C$50)+Inputs!$C$47*0.173))+0.2*SIN(2*PI()*((((Scenario_Data!V125)+(Inputs!$C$6))/(0.5*(Inputs!$C$49+Inputs!$C$50)))+Inputs!$C$47*0.097)))+0.3*(2*((SIN(((Scenario_Data!V125)*12.9898+(Inputs!$C$6)*78.233+Inputs!$C$47*37.719))*43758.5453)-INT((SIN(((Scenario_Data!V125)*12.9898+(Inputs!$C$6)*78.233+Inputs!$C$47*37.719))*43758.5453)))-1))))/1000))^2-2*(Inputs!$C$52+(Scenario_Data!D125))*(Inputs!$C$52+((IF(OR(Inputs!$C$27=TRUE,Inputs!$C$27="TRUE",Inputs!$C$27=1),1,0)*(Inputs!$C$51*(115*EXP(-(((Inputs!$C$6)-25)^2)/(4.5^2))+70*EXP(-(((Inputs!$C$6)+38)^2)/(7^2))*(0.55+0.45*SIN(2*PI()*(Scenario_Data!V125)/45))+24*SIN(2*PI()*(Inputs!$C$6)/9+(Scenario_Data!V125)/18)*EXP(-(((Inputs!$C$6)+5)^2)/(22^2))+18*SIN(2*PI()*(Scenario_Data!V125)/70))+Inputs!$C$28*EXP(-(((Scenario_Data!V125)-Inputs!$C$29)^2)/(2*Inputs!$C$31^2))*EXP(-(((Inputs!$C$6)-Inputs!$C$30)^2)/(2*Inputs!$C$32^2))+-Inputs!$C$33*EXP(-(((((Scenario_Data!V125)-Inputs!$C$34)^2)+(((Inputs!$C$6)-Inputs!$C$35)^2))/(2*Inputs!$C$36^2)))+Inputs!$C$37*(0.55*SIN(2*PI()*(Scenario_Data!V125)/Inputs!$C$39)+0.35*COS(2*PI()*(Inputs!$C$6)/Inputs!$C$40)+0.2*SIN(2*PI()*((Scenario_Data!V125)+(Inputs!$C$6))/(0.5*(Inputs!$C$39+Inputs!$C$40))))+Inputs!$C$38*SIN(2*PI()*(Scenario_Data!V125)/Inputs!$C$39)*SIN(2*PI()*(Inputs!$C$6)/Inputs!$C$40)+-Inputs!$C$41*EXP(-(((Inputs!$C$6)-Inputs!$C$43)^2)/(2*Inputs!$C$44^2))*EXP(-(((Scenario_Data!V125)-Inputs!$C$42)^2)/(2*Inputs!$C$45^2))+Inputs!$C$48*(0.7*(0.45*SIN(2*PI()*(((Scenario_Data!V125)/Inputs!$C$49)+Inputs!$C$47*0.137))+0.35*COS(2*PI()*(((Inputs!$C$6)/Inputs!$C$50)+Inputs!$C$47*0.173))+0.2*SIN(2*PI()*((((Scenario_Data!V125)+(Inputs!$C$6))/(0.5*(Inputs!$C$49+Inputs!$C$50)))+Inputs!$C$47*0.097)))+0.3*(2*((SIN(((Scenario_Data!V125)*12.9898+(Inputs!$C$6)*78.233+Inputs!$C$47*37.719))*43758.5453)-INT((SIN(((Scenario_Data!V125)*12.9898+(Inputs!$C$6)*78.233+Inputs!$C$47*37.719))*43758.5453)))-1))))/1000))*COS(SQRT((Scenario_Data!V125)^2+Inputs!$C$6^2)/Inputs!$C$52))*1000)/Inputs!$C$21*1000000</f>
        <v/>
      </c>
      <c r="AV125">
        <f>Scenario_Data!W125</f>
        <v/>
      </c>
      <c r="AW125">
        <f>2*(SQRT((Inputs!$C$52+(Scenario_Data!E125))^2+(Inputs!$C$52+((IF(OR(Inputs!$C$27=TRUE,Inputs!$C$27="TRUE",Inputs!$C$27=1),1,0)*(Inputs!$C$51*(115*EXP(-(((Inputs!$C$6)-25)^2)/(4.5^2))+70*EXP(-(((Inputs!$C$6)+38)^2)/(7^2))*(0.55+0.45*SIN(2*PI()*(Scenario_Data!W125)/45))+24*SIN(2*PI()*(Inputs!$C$6)/9+(Scenario_Data!W125)/18)*EXP(-(((Inputs!$C$6)+5)^2)/(22^2))+18*SIN(2*PI()*(Scenario_Data!W125)/70))+Inputs!$C$28*EXP(-(((Scenario_Data!W125)-Inputs!$C$29)^2)/(2*Inputs!$C$31^2))*EXP(-(((Inputs!$C$6)-Inputs!$C$30)^2)/(2*Inputs!$C$32^2))+-Inputs!$C$33*EXP(-(((((Scenario_Data!W125)-Inputs!$C$34)^2)+(((Inputs!$C$6)-Inputs!$C$35)^2))/(2*Inputs!$C$36^2)))+Inputs!$C$37*(0.55*SIN(2*PI()*(Scenario_Data!W125)/Inputs!$C$39)+0.35*COS(2*PI()*(Inputs!$C$6)/Inputs!$C$40)+0.2*SIN(2*PI()*((Scenario_Data!W125)+(Inputs!$C$6))/(0.5*(Inputs!$C$39+Inputs!$C$40))))+Inputs!$C$38*SIN(2*PI()*(Scenario_Data!W125)/Inputs!$C$39)*SIN(2*PI()*(Inputs!$C$6)/Inputs!$C$40)+-Inputs!$C$41*EXP(-(((Inputs!$C$6)-Inputs!$C$43)^2)/(2*Inputs!$C$44^2))*EXP(-(((Scenario_Data!W125)-Inputs!$C$42)^2)/(2*Inputs!$C$45^2))+Inputs!$C$48*(0.7*(0.45*SIN(2*PI()*(((Scenario_Data!W125)/Inputs!$C$49)+Inputs!$C$47*0.137))+0.35*COS(2*PI()*(((Inputs!$C$6)/Inputs!$C$50)+Inputs!$C$47*0.173))+0.2*SIN(2*PI()*((((Scenario_Data!W125)+(Inputs!$C$6))/(0.5*(Inputs!$C$49+Inputs!$C$50)))+Inputs!$C$47*0.097)))+0.3*(2*((SIN(((Scenario_Data!W125)*12.9898+(Inputs!$C$6)*78.233+Inputs!$C$47*37.719))*43758.5453)-INT((SIN(((Scenario_Data!W125)*12.9898+(Inputs!$C$6)*78.233+Inputs!$C$47*37.719))*43758.5453)))-1))))/1000))^2-2*(Inputs!$C$52+(Scenario_Data!E125))*(Inputs!$C$52+((IF(OR(Inputs!$C$27=TRUE,Inputs!$C$27="TRUE",Inputs!$C$27=1),1,0)*(Inputs!$C$51*(115*EXP(-(((Inputs!$C$6)-25)^2)/(4.5^2))+70*EXP(-(((Inputs!$C$6)+38)^2)/(7^2))*(0.55+0.45*SIN(2*PI()*(Scenario_Data!W125)/45))+24*SIN(2*PI()*(Inputs!$C$6)/9+(Scenario_Data!W125)/18)*EXP(-(((Inputs!$C$6)+5)^2)/(22^2))+18*SIN(2*PI()*(Scenario_Data!W125)/70))+Inputs!$C$28*EXP(-(((Scenario_Data!W125)-Inputs!$C$29)^2)/(2*Inputs!$C$31^2))*EXP(-(((Inputs!$C$6)-Inputs!$C$30)^2)/(2*Inputs!$C$32^2))+-Inputs!$C$33*EXP(-(((((Scenario_Data!W125)-Inputs!$C$34)^2)+(((Inputs!$C$6)-Inputs!$C$35)^2))/(2*Inputs!$C$36^2)))+Inputs!$C$37*(0.55*SIN(2*PI()*(Scenario_Data!W125)/Inputs!$C$39)+0.35*COS(2*PI()*(Inputs!$C$6)/Inputs!$C$40)+0.2*SIN(2*PI()*((Scenario_Data!W125)+(Inputs!$C$6))/(0.5*(Inputs!$C$39+Inputs!$C$40))))+Inputs!$C$38*SIN(2*PI()*(Scenario_Data!W125)/Inputs!$C$39)*SIN(2*PI()*(Inputs!$C$6)/Inputs!$C$40)+-Inputs!$C$41*EXP(-(((Inputs!$C$6)-Inputs!$C$43)^2)/(2*Inputs!$C$44^2))*EXP(-(((Scenario_Data!W125)-Inputs!$C$42)^2)/(2*Inputs!$C$45^2))+Inputs!$C$48*(0.7*(0.45*SIN(2*PI()*(((Scenario_Data!W125)/Inputs!$C$49)+Inputs!$C$47*0.137))+0.35*COS(2*PI()*(((Inputs!$C$6)/Inputs!$C$50)+Inputs!$C$47*0.173))+0.2*SIN(2*PI()*((((Scenario_Data!W125)+(Inputs!$C$6))/(0.5*(Inputs!$C$49+Inputs!$C$50)))+Inputs!$C$47*0.097)))+0.3*(2*((SIN(((Scenario_Data!W125)*12.9898+(Inputs!$C$6)*78.233+Inputs!$C$47*37.719))*43758.5453)-INT((SIN(((Scenario_Data!W125)*12.9898+(Inputs!$C$6)*78.233+Inputs!$C$47*37.719))*43758.5453)))-1))))/1000))*COS(SQRT((Scenario_Data!W125)^2+Inputs!$C$6^2)/Inputs!$C$52))*1000)/Inputs!$C$21*1000000</f>
        <v/>
      </c>
    </row>
    <row r="126">
      <c r="A126">
        <f>Chart_Data!K126</f>
        <v/>
      </c>
      <c r="B126">
        <f>Chart_Data!N126-Chart_Data!L126</f>
        <v/>
      </c>
      <c r="D126">
        <f>Chart_Data!G126</f>
        <v/>
      </c>
      <c r="E126">
        <f>Chart_Data!H126</f>
        <v/>
      </c>
      <c r="F126">
        <f>Chart_Data!I126</f>
        <v/>
      </c>
      <c r="G126">
        <f>Chart_Data!J126</f>
        <v/>
      </c>
      <c r="I126">
        <f>Scenario_Data!A126</f>
        <v/>
      </c>
      <c r="J126">
        <f>Scenario_Data!H126-(((SQRT((Inputs!$C$52+(Inputs!$H$6))^2+Inputs!$C$52^2-2*(Inputs!$C$52+(Inputs!$H$6))*Inputs!$C$52*COS(SQRT((Scenario_Data!T126)^2+Inputs!$C$6^2)/Inputs!$C$52)))-(Inputs!$H$6))*1000/Inputs!$C$12)</f>
        <v/>
      </c>
      <c r="K126">
        <f>Scenario_Data!I126-(((SQRT((Inputs!$C$52+(Inputs!$H$7))^2+Inputs!$C$52^2-2*(Inputs!$C$52+(Inputs!$H$7))*Inputs!$C$52*COS(SQRT((Scenario_Data!U126)^2+Inputs!$C$6^2)/Inputs!$C$52)))-(Inputs!$H$7))*1000/Inputs!$C$12)</f>
        <v/>
      </c>
      <c r="L126">
        <f>Scenario_Data!J126-(((SQRT((Inputs!$C$52+(Inputs!$H$8))^2+Inputs!$C$52^2-2*(Inputs!$C$52+(Inputs!$H$8))*Inputs!$C$52*COS(SQRT((Scenario_Data!V126)^2+Inputs!$C$6^2)/Inputs!$C$52)))-(Inputs!$H$8))*1000/Inputs!$C$12)</f>
        <v/>
      </c>
      <c r="M126">
        <f>Scenario_Data!K126-(((SQRT((Inputs!$C$52+(Inputs!$H$9))^2+Inputs!$C$52^2-2*(Inputs!$C$52+(Inputs!$H$9))*Inputs!$C$52*COS(SQRT((Scenario_Data!W126)^2+Inputs!$C$6^2)/Inputs!$C$52)))-(Inputs!$H$9))*1000/Inputs!$C$12)</f>
        <v/>
      </c>
      <c r="O126">
        <f>Scenario_Data!T126</f>
        <v/>
      </c>
      <c r="P126">
        <f>2*(Scenario_Data!B126*1000)/Inputs!$C$21*1000000</f>
        <v/>
      </c>
      <c r="Q126">
        <f>Scenario_Data!U126</f>
        <v/>
      </c>
      <c r="R126">
        <f>2*(Scenario_Data!C126*1000)/Inputs!$C$21*1000000</f>
        <v/>
      </c>
      <c r="S126">
        <f>Scenario_Data!V126</f>
        <v/>
      </c>
      <c r="T126">
        <f>2*(Scenario_Data!D126*1000)/Inputs!$C$21*1000000</f>
        <v/>
      </c>
      <c r="U126">
        <f>Scenario_Data!W126</f>
        <v/>
      </c>
      <c r="V126">
        <f>2*(Scenario_Data!E126*1000)/Inputs!$C$21*1000000</f>
        <v/>
      </c>
      <c r="X126">
        <f>Scenario_Data!T126</f>
        <v/>
      </c>
      <c r="Y126">
        <f>2*((Scenario_Data!B126*1000)-(IF(OR(Inputs!$C$27=TRUE,Inputs!$C$27="TRUE",Inputs!$C$27=1),1,0)*(Inputs!$C$51*(115*EXP(-(((0)-25)^2)/(4.5^2))+70*EXP(-(((0)+38)^2)/(7^2))*(0.55+0.45*SIN(2*PI()*(Scenario_Data!T126)/45))+24*SIN(2*PI()*(0)/9+(Scenario_Data!T126)/18)*EXP(-(((0)+5)^2)/(22^2))+18*SIN(2*PI()*(Scenario_Data!T126)/70))+Inputs!$C$28*EXP(-(((Scenario_Data!T126)-Inputs!$C$29)^2)/(2*Inputs!$C$31^2))*EXP(-(((0)-Inputs!$C$30)^2)/(2*Inputs!$C$32^2))+-Inputs!$C$33*EXP(-(((((Scenario_Data!T126)-Inputs!$C$34)^2)+(((0)-Inputs!$C$35)^2))/(2*Inputs!$C$36^2)))+Inputs!$C$37*(0.55*SIN(2*PI()*(Scenario_Data!T126)/Inputs!$C$39)+0.35*COS(2*PI()*(0)/Inputs!$C$40)+0.2*SIN(2*PI()*((Scenario_Data!T126)+(0))/(0.5*(Inputs!$C$39+Inputs!$C$40))))+Inputs!$C$38*SIN(2*PI()*(Scenario_Data!T126)/Inputs!$C$39)*SIN(2*PI()*(0)/Inputs!$C$40)+-Inputs!$C$41*EXP(-(((0)-Inputs!$C$43)^2)/(2*Inputs!$C$44^2))*EXP(-(((Scenario_Data!T126)-Inputs!$C$42)^2)/(2*Inputs!$C$45^2))+Inputs!$C$48*(0.7*(0.45*SIN(2*PI()*(((Scenario_Data!T126)/Inputs!$C$49)+Inputs!$C$47*0.137))+0.35*COS(2*PI()*(((0)/Inputs!$C$50)+Inputs!$C$47*0.173))+0.2*SIN(2*PI()*((((Scenario_Data!T126)+(0))/(0.5*(Inputs!$C$49+Inputs!$C$50)))+Inputs!$C$47*0.097)))+0.3*(2*((SIN(((Scenario_Data!T126)*12.9898+(0)*78.233+Inputs!$C$47*37.719))*43758.5453)-INT((SIN(((Scenario_Data!T126)*12.9898+(0)*78.233+Inputs!$C$47*37.719))*43758.5453)))-1)))))/Inputs!$C$21*1000000</f>
        <v/>
      </c>
      <c r="Z126">
        <f>Scenario_Data!U126</f>
        <v/>
      </c>
      <c r="AA126">
        <f>2*((Scenario_Data!C126*1000)-(IF(OR(Inputs!$C$27=TRUE,Inputs!$C$27="TRUE",Inputs!$C$27=1),1,0)*(Inputs!$C$51*(115*EXP(-(((0)-25)^2)/(4.5^2))+70*EXP(-(((0)+38)^2)/(7^2))*(0.55+0.45*SIN(2*PI()*(Scenario_Data!U126)/45))+24*SIN(2*PI()*(0)/9+(Scenario_Data!U126)/18)*EXP(-(((0)+5)^2)/(22^2))+18*SIN(2*PI()*(Scenario_Data!U126)/70))+Inputs!$C$28*EXP(-(((Scenario_Data!U126)-Inputs!$C$29)^2)/(2*Inputs!$C$31^2))*EXP(-(((0)-Inputs!$C$30)^2)/(2*Inputs!$C$32^2))+-Inputs!$C$33*EXP(-(((((Scenario_Data!U126)-Inputs!$C$34)^2)+(((0)-Inputs!$C$35)^2))/(2*Inputs!$C$36^2)))+Inputs!$C$37*(0.55*SIN(2*PI()*(Scenario_Data!U126)/Inputs!$C$39)+0.35*COS(2*PI()*(0)/Inputs!$C$40)+0.2*SIN(2*PI()*((Scenario_Data!U126)+(0))/(0.5*(Inputs!$C$39+Inputs!$C$40))))+Inputs!$C$38*SIN(2*PI()*(Scenario_Data!U126)/Inputs!$C$39)*SIN(2*PI()*(0)/Inputs!$C$40)+-Inputs!$C$41*EXP(-(((0)-Inputs!$C$43)^2)/(2*Inputs!$C$44^2))*EXP(-(((Scenario_Data!U126)-Inputs!$C$42)^2)/(2*Inputs!$C$45^2))+Inputs!$C$48*(0.7*(0.45*SIN(2*PI()*(((Scenario_Data!U126)/Inputs!$C$49)+Inputs!$C$47*0.137))+0.35*COS(2*PI()*(((0)/Inputs!$C$50)+Inputs!$C$47*0.173))+0.2*SIN(2*PI()*((((Scenario_Data!U126)+(0))/(0.5*(Inputs!$C$49+Inputs!$C$50)))+Inputs!$C$47*0.097)))+0.3*(2*((SIN(((Scenario_Data!U126)*12.9898+(0)*78.233+Inputs!$C$47*37.719))*43758.5453)-INT((SIN(((Scenario_Data!U126)*12.9898+(0)*78.233+Inputs!$C$47*37.719))*43758.5453)))-1)))))/Inputs!$C$21*1000000</f>
        <v/>
      </c>
      <c r="AB126">
        <f>Scenario_Data!V126</f>
        <v/>
      </c>
      <c r="AC126">
        <f>2*((Scenario_Data!D126*1000)-(IF(OR(Inputs!$C$27=TRUE,Inputs!$C$27="TRUE",Inputs!$C$27=1),1,0)*(Inputs!$C$51*(115*EXP(-(((0)-25)^2)/(4.5^2))+70*EXP(-(((0)+38)^2)/(7^2))*(0.55+0.45*SIN(2*PI()*(Scenario_Data!V126)/45))+24*SIN(2*PI()*(0)/9+(Scenario_Data!V126)/18)*EXP(-(((0)+5)^2)/(22^2))+18*SIN(2*PI()*(Scenario_Data!V126)/70))+Inputs!$C$28*EXP(-(((Scenario_Data!V126)-Inputs!$C$29)^2)/(2*Inputs!$C$31^2))*EXP(-(((0)-Inputs!$C$30)^2)/(2*Inputs!$C$32^2))+-Inputs!$C$33*EXP(-(((((Scenario_Data!V126)-Inputs!$C$34)^2)+(((0)-Inputs!$C$35)^2))/(2*Inputs!$C$36^2)))+Inputs!$C$37*(0.55*SIN(2*PI()*(Scenario_Data!V126)/Inputs!$C$39)+0.35*COS(2*PI()*(0)/Inputs!$C$40)+0.2*SIN(2*PI()*((Scenario_Data!V126)+(0))/(0.5*(Inputs!$C$39+Inputs!$C$40))))+Inputs!$C$38*SIN(2*PI()*(Scenario_Data!V126)/Inputs!$C$39)*SIN(2*PI()*(0)/Inputs!$C$40)+-Inputs!$C$41*EXP(-(((0)-Inputs!$C$43)^2)/(2*Inputs!$C$44^2))*EXP(-(((Scenario_Data!V126)-Inputs!$C$42)^2)/(2*Inputs!$C$45^2))+Inputs!$C$48*(0.7*(0.45*SIN(2*PI()*(((Scenario_Data!V126)/Inputs!$C$49)+Inputs!$C$47*0.137))+0.35*COS(2*PI()*(((0)/Inputs!$C$50)+Inputs!$C$47*0.173))+0.2*SIN(2*PI()*((((Scenario_Data!V126)+(0))/(0.5*(Inputs!$C$49+Inputs!$C$50)))+Inputs!$C$47*0.097)))+0.3*(2*((SIN(((Scenario_Data!V126)*12.9898+(0)*78.233+Inputs!$C$47*37.719))*43758.5453)-INT((SIN(((Scenario_Data!V126)*12.9898+(0)*78.233+Inputs!$C$47*37.719))*43758.5453)))-1)))))/Inputs!$C$21*1000000</f>
        <v/>
      </c>
      <c r="AD126">
        <f>Scenario_Data!W126</f>
        <v/>
      </c>
      <c r="AE126">
        <f>2*((Scenario_Data!E126*1000)-(IF(OR(Inputs!$C$27=TRUE,Inputs!$C$27="TRUE",Inputs!$C$27=1),1,0)*(Inputs!$C$51*(115*EXP(-(((0)-25)^2)/(4.5^2))+70*EXP(-(((0)+38)^2)/(7^2))*(0.55+0.45*SIN(2*PI()*(Scenario_Data!W126)/45))+24*SIN(2*PI()*(0)/9+(Scenario_Data!W126)/18)*EXP(-(((0)+5)^2)/(22^2))+18*SIN(2*PI()*(Scenario_Data!W126)/70))+Inputs!$C$28*EXP(-(((Scenario_Data!W126)-Inputs!$C$29)^2)/(2*Inputs!$C$31^2))*EXP(-(((0)-Inputs!$C$30)^2)/(2*Inputs!$C$32^2))+-Inputs!$C$33*EXP(-(((((Scenario_Data!W126)-Inputs!$C$34)^2)+(((0)-Inputs!$C$35)^2))/(2*Inputs!$C$36^2)))+Inputs!$C$37*(0.55*SIN(2*PI()*(Scenario_Data!W126)/Inputs!$C$39)+0.35*COS(2*PI()*(0)/Inputs!$C$40)+0.2*SIN(2*PI()*((Scenario_Data!W126)+(0))/(0.5*(Inputs!$C$39+Inputs!$C$40))))+Inputs!$C$38*SIN(2*PI()*(Scenario_Data!W126)/Inputs!$C$39)*SIN(2*PI()*(0)/Inputs!$C$40)+-Inputs!$C$41*EXP(-(((0)-Inputs!$C$43)^2)/(2*Inputs!$C$44^2))*EXP(-(((Scenario_Data!W126)-Inputs!$C$42)^2)/(2*Inputs!$C$45^2))+Inputs!$C$48*(0.7*(0.45*SIN(2*PI()*(((Scenario_Data!W126)/Inputs!$C$49)+Inputs!$C$47*0.137))+0.35*COS(2*PI()*(((0)/Inputs!$C$50)+Inputs!$C$47*0.173))+0.2*SIN(2*PI()*((((Scenario_Data!W126)+(0))/(0.5*(Inputs!$C$49+Inputs!$C$50)))+Inputs!$C$47*0.097)))+0.3*(2*((SIN(((Scenario_Data!W126)*12.9898+(0)*78.233+Inputs!$C$47*37.719))*43758.5453)-INT((SIN(((Scenario_Data!W126)*12.9898+(0)*78.233+Inputs!$C$47*37.719))*43758.5453)))-1)))))/Inputs!$C$21*1000000</f>
        <v/>
      </c>
      <c r="AG126">
        <f>Scenario_Data!T126</f>
        <v/>
      </c>
      <c r="AH126">
        <f>2*(SQRT((Inputs!$C$52+(Scenario_Data!B126))^2+Inputs!$C$52^2-2*(Inputs!$C$52+(Scenario_Data!B126))*Inputs!$C$52*COS(SQRT((Scenario_Data!T126)^2+Inputs!$C$6^2)/Inputs!$C$52))*1000)/Inputs!$C$21*1000000</f>
        <v/>
      </c>
      <c r="AI126">
        <f>Scenario_Data!U126</f>
        <v/>
      </c>
      <c r="AJ126">
        <f>2*(SQRT((Inputs!$C$52+(Scenario_Data!C126))^2+Inputs!$C$52^2-2*(Inputs!$C$52+(Scenario_Data!C126))*Inputs!$C$52*COS(SQRT((Scenario_Data!U126)^2+Inputs!$C$6^2)/Inputs!$C$52))*1000)/Inputs!$C$21*1000000</f>
        <v/>
      </c>
      <c r="AK126">
        <f>Scenario_Data!V126</f>
        <v/>
      </c>
      <c r="AL126">
        <f>2*(SQRT((Inputs!$C$52+(Scenario_Data!D126))^2+Inputs!$C$52^2-2*(Inputs!$C$52+(Scenario_Data!D126))*Inputs!$C$52*COS(SQRT((Scenario_Data!V126)^2+Inputs!$C$6^2)/Inputs!$C$52))*1000)/Inputs!$C$21*1000000</f>
        <v/>
      </c>
      <c r="AM126">
        <f>Scenario_Data!W126</f>
        <v/>
      </c>
      <c r="AN126">
        <f>2*(SQRT((Inputs!$C$52+(Scenario_Data!E126))^2+Inputs!$C$52^2-2*(Inputs!$C$52+(Scenario_Data!E126))*Inputs!$C$52*COS(SQRT((Scenario_Data!W126)^2+Inputs!$C$6^2)/Inputs!$C$52))*1000)/Inputs!$C$21*1000000</f>
        <v/>
      </c>
      <c r="AP126">
        <f>Scenario_Data!T126</f>
        <v/>
      </c>
      <c r="AQ126">
        <f>2*(SQRT((Inputs!$C$52+(Scenario_Data!B126))^2+(Inputs!$C$52+((IF(OR(Inputs!$C$27=TRUE,Inputs!$C$27="TRUE",Inputs!$C$27=1),1,0)*(Inputs!$C$51*(115*EXP(-(((Inputs!$C$6)-25)^2)/(4.5^2))+70*EXP(-(((Inputs!$C$6)+38)^2)/(7^2))*(0.55+0.45*SIN(2*PI()*(Scenario_Data!T126)/45))+24*SIN(2*PI()*(Inputs!$C$6)/9+(Scenario_Data!T126)/18)*EXP(-(((Inputs!$C$6)+5)^2)/(22^2))+18*SIN(2*PI()*(Scenario_Data!T126)/70))+Inputs!$C$28*EXP(-(((Scenario_Data!T126)-Inputs!$C$29)^2)/(2*Inputs!$C$31^2))*EXP(-(((Inputs!$C$6)-Inputs!$C$30)^2)/(2*Inputs!$C$32^2))+-Inputs!$C$33*EXP(-(((((Scenario_Data!T126)-Inputs!$C$34)^2)+(((Inputs!$C$6)-Inputs!$C$35)^2))/(2*Inputs!$C$36^2)))+Inputs!$C$37*(0.55*SIN(2*PI()*(Scenario_Data!T126)/Inputs!$C$39)+0.35*COS(2*PI()*(Inputs!$C$6)/Inputs!$C$40)+0.2*SIN(2*PI()*((Scenario_Data!T126)+(Inputs!$C$6))/(0.5*(Inputs!$C$39+Inputs!$C$40))))+Inputs!$C$38*SIN(2*PI()*(Scenario_Data!T126)/Inputs!$C$39)*SIN(2*PI()*(Inputs!$C$6)/Inputs!$C$40)+-Inputs!$C$41*EXP(-(((Inputs!$C$6)-Inputs!$C$43)^2)/(2*Inputs!$C$44^2))*EXP(-(((Scenario_Data!T126)-Inputs!$C$42)^2)/(2*Inputs!$C$45^2))+Inputs!$C$48*(0.7*(0.45*SIN(2*PI()*(((Scenario_Data!T126)/Inputs!$C$49)+Inputs!$C$47*0.137))+0.35*COS(2*PI()*(((Inputs!$C$6)/Inputs!$C$50)+Inputs!$C$47*0.173))+0.2*SIN(2*PI()*((((Scenario_Data!T126)+(Inputs!$C$6))/(0.5*(Inputs!$C$49+Inputs!$C$50)))+Inputs!$C$47*0.097)))+0.3*(2*((SIN(((Scenario_Data!T126)*12.9898+(Inputs!$C$6)*78.233+Inputs!$C$47*37.719))*43758.5453)-INT((SIN(((Scenario_Data!T126)*12.9898+(Inputs!$C$6)*78.233+Inputs!$C$47*37.719))*43758.5453)))-1))))/1000))^2-2*(Inputs!$C$52+(Scenario_Data!B126))*(Inputs!$C$52+((IF(OR(Inputs!$C$27=TRUE,Inputs!$C$27="TRUE",Inputs!$C$27=1),1,0)*(Inputs!$C$51*(115*EXP(-(((Inputs!$C$6)-25)^2)/(4.5^2))+70*EXP(-(((Inputs!$C$6)+38)^2)/(7^2))*(0.55+0.45*SIN(2*PI()*(Scenario_Data!T126)/45))+24*SIN(2*PI()*(Inputs!$C$6)/9+(Scenario_Data!T126)/18)*EXP(-(((Inputs!$C$6)+5)^2)/(22^2))+18*SIN(2*PI()*(Scenario_Data!T126)/70))+Inputs!$C$28*EXP(-(((Scenario_Data!T126)-Inputs!$C$29)^2)/(2*Inputs!$C$31^2))*EXP(-(((Inputs!$C$6)-Inputs!$C$30)^2)/(2*Inputs!$C$32^2))+-Inputs!$C$33*EXP(-(((((Scenario_Data!T126)-Inputs!$C$34)^2)+(((Inputs!$C$6)-Inputs!$C$35)^2))/(2*Inputs!$C$36^2)))+Inputs!$C$37*(0.55*SIN(2*PI()*(Scenario_Data!T126)/Inputs!$C$39)+0.35*COS(2*PI()*(Inputs!$C$6)/Inputs!$C$40)+0.2*SIN(2*PI()*((Scenario_Data!T126)+(Inputs!$C$6))/(0.5*(Inputs!$C$39+Inputs!$C$40))))+Inputs!$C$38*SIN(2*PI()*(Scenario_Data!T126)/Inputs!$C$39)*SIN(2*PI()*(Inputs!$C$6)/Inputs!$C$40)+-Inputs!$C$41*EXP(-(((Inputs!$C$6)-Inputs!$C$43)^2)/(2*Inputs!$C$44^2))*EXP(-(((Scenario_Data!T126)-Inputs!$C$42)^2)/(2*Inputs!$C$45^2))+Inputs!$C$48*(0.7*(0.45*SIN(2*PI()*(((Scenario_Data!T126)/Inputs!$C$49)+Inputs!$C$47*0.137))+0.35*COS(2*PI()*(((Inputs!$C$6)/Inputs!$C$50)+Inputs!$C$47*0.173))+0.2*SIN(2*PI()*((((Scenario_Data!T126)+(Inputs!$C$6))/(0.5*(Inputs!$C$49+Inputs!$C$50)))+Inputs!$C$47*0.097)))+0.3*(2*((SIN(((Scenario_Data!T126)*12.9898+(Inputs!$C$6)*78.233+Inputs!$C$47*37.719))*43758.5453)-INT((SIN(((Scenario_Data!T126)*12.9898+(Inputs!$C$6)*78.233+Inputs!$C$47*37.719))*43758.5453)))-1))))/1000))*COS(SQRT((Scenario_Data!T126)^2+Inputs!$C$6^2)/Inputs!$C$52))*1000)/Inputs!$C$21*1000000</f>
        <v/>
      </c>
      <c r="AR126">
        <f>Scenario_Data!U126</f>
        <v/>
      </c>
      <c r="AS126">
        <f>2*(SQRT((Inputs!$C$52+(Scenario_Data!C126))^2+(Inputs!$C$52+((IF(OR(Inputs!$C$27=TRUE,Inputs!$C$27="TRUE",Inputs!$C$27=1),1,0)*(Inputs!$C$51*(115*EXP(-(((Inputs!$C$6)-25)^2)/(4.5^2))+70*EXP(-(((Inputs!$C$6)+38)^2)/(7^2))*(0.55+0.45*SIN(2*PI()*(Scenario_Data!U126)/45))+24*SIN(2*PI()*(Inputs!$C$6)/9+(Scenario_Data!U126)/18)*EXP(-(((Inputs!$C$6)+5)^2)/(22^2))+18*SIN(2*PI()*(Scenario_Data!U126)/70))+Inputs!$C$28*EXP(-(((Scenario_Data!U126)-Inputs!$C$29)^2)/(2*Inputs!$C$31^2))*EXP(-(((Inputs!$C$6)-Inputs!$C$30)^2)/(2*Inputs!$C$32^2))+-Inputs!$C$33*EXP(-(((((Scenario_Data!U126)-Inputs!$C$34)^2)+(((Inputs!$C$6)-Inputs!$C$35)^2))/(2*Inputs!$C$36^2)))+Inputs!$C$37*(0.55*SIN(2*PI()*(Scenario_Data!U126)/Inputs!$C$39)+0.35*COS(2*PI()*(Inputs!$C$6)/Inputs!$C$40)+0.2*SIN(2*PI()*((Scenario_Data!U126)+(Inputs!$C$6))/(0.5*(Inputs!$C$39+Inputs!$C$40))))+Inputs!$C$38*SIN(2*PI()*(Scenario_Data!U126)/Inputs!$C$39)*SIN(2*PI()*(Inputs!$C$6)/Inputs!$C$40)+-Inputs!$C$41*EXP(-(((Inputs!$C$6)-Inputs!$C$43)^2)/(2*Inputs!$C$44^2))*EXP(-(((Scenario_Data!U126)-Inputs!$C$42)^2)/(2*Inputs!$C$45^2))+Inputs!$C$48*(0.7*(0.45*SIN(2*PI()*(((Scenario_Data!U126)/Inputs!$C$49)+Inputs!$C$47*0.137))+0.35*COS(2*PI()*(((Inputs!$C$6)/Inputs!$C$50)+Inputs!$C$47*0.173))+0.2*SIN(2*PI()*((((Scenario_Data!U126)+(Inputs!$C$6))/(0.5*(Inputs!$C$49+Inputs!$C$50)))+Inputs!$C$47*0.097)))+0.3*(2*((SIN(((Scenario_Data!U126)*12.9898+(Inputs!$C$6)*78.233+Inputs!$C$47*37.719))*43758.5453)-INT((SIN(((Scenario_Data!U126)*12.9898+(Inputs!$C$6)*78.233+Inputs!$C$47*37.719))*43758.5453)))-1))))/1000))^2-2*(Inputs!$C$52+(Scenario_Data!C126))*(Inputs!$C$52+((IF(OR(Inputs!$C$27=TRUE,Inputs!$C$27="TRUE",Inputs!$C$27=1),1,0)*(Inputs!$C$51*(115*EXP(-(((Inputs!$C$6)-25)^2)/(4.5^2))+70*EXP(-(((Inputs!$C$6)+38)^2)/(7^2))*(0.55+0.45*SIN(2*PI()*(Scenario_Data!U126)/45))+24*SIN(2*PI()*(Inputs!$C$6)/9+(Scenario_Data!U126)/18)*EXP(-(((Inputs!$C$6)+5)^2)/(22^2))+18*SIN(2*PI()*(Scenario_Data!U126)/70))+Inputs!$C$28*EXP(-(((Scenario_Data!U126)-Inputs!$C$29)^2)/(2*Inputs!$C$31^2))*EXP(-(((Inputs!$C$6)-Inputs!$C$30)^2)/(2*Inputs!$C$32^2))+-Inputs!$C$33*EXP(-(((((Scenario_Data!U126)-Inputs!$C$34)^2)+(((Inputs!$C$6)-Inputs!$C$35)^2))/(2*Inputs!$C$36^2)))+Inputs!$C$37*(0.55*SIN(2*PI()*(Scenario_Data!U126)/Inputs!$C$39)+0.35*COS(2*PI()*(Inputs!$C$6)/Inputs!$C$40)+0.2*SIN(2*PI()*((Scenario_Data!U126)+(Inputs!$C$6))/(0.5*(Inputs!$C$39+Inputs!$C$40))))+Inputs!$C$38*SIN(2*PI()*(Scenario_Data!U126)/Inputs!$C$39)*SIN(2*PI()*(Inputs!$C$6)/Inputs!$C$40)+-Inputs!$C$41*EXP(-(((Inputs!$C$6)-Inputs!$C$43)^2)/(2*Inputs!$C$44^2))*EXP(-(((Scenario_Data!U126)-Inputs!$C$42)^2)/(2*Inputs!$C$45^2))+Inputs!$C$48*(0.7*(0.45*SIN(2*PI()*(((Scenario_Data!U126)/Inputs!$C$49)+Inputs!$C$47*0.137))+0.35*COS(2*PI()*(((Inputs!$C$6)/Inputs!$C$50)+Inputs!$C$47*0.173))+0.2*SIN(2*PI()*((((Scenario_Data!U126)+(Inputs!$C$6))/(0.5*(Inputs!$C$49+Inputs!$C$50)))+Inputs!$C$47*0.097)))+0.3*(2*((SIN(((Scenario_Data!U126)*12.9898+(Inputs!$C$6)*78.233+Inputs!$C$47*37.719))*43758.5453)-INT((SIN(((Scenario_Data!U126)*12.9898+(Inputs!$C$6)*78.233+Inputs!$C$47*37.719))*43758.5453)))-1))))/1000))*COS(SQRT((Scenario_Data!U126)^2+Inputs!$C$6^2)/Inputs!$C$52))*1000)/Inputs!$C$21*1000000</f>
        <v/>
      </c>
      <c r="AT126">
        <f>Scenario_Data!V126</f>
        <v/>
      </c>
      <c r="AU126">
        <f>2*(SQRT((Inputs!$C$52+(Scenario_Data!D126))^2+(Inputs!$C$52+((IF(OR(Inputs!$C$27=TRUE,Inputs!$C$27="TRUE",Inputs!$C$27=1),1,0)*(Inputs!$C$51*(115*EXP(-(((Inputs!$C$6)-25)^2)/(4.5^2))+70*EXP(-(((Inputs!$C$6)+38)^2)/(7^2))*(0.55+0.45*SIN(2*PI()*(Scenario_Data!V126)/45))+24*SIN(2*PI()*(Inputs!$C$6)/9+(Scenario_Data!V126)/18)*EXP(-(((Inputs!$C$6)+5)^2)/(22^2))+18*SIN(2*PI()*(Scenario_Data!V126)/70))+Inputs!$C$28*EXP(-(((Scenario_Data!V126)-Inputs!$C$29)^2)/(2*Inputs!$C$31^2))*EXP(-(((Inputs!$C$6)-Inputs!$C$30)^2)/(2*Inputs!$C$32^2))+-Inputs!$C$33*EXP(-(((((Scenario_Data!V126)-Inputs!$C$34)^2)+(((Inputs!$C$6)-Inputs!$C$35)^2))/(2*Inputs!$C$36^2)))+Inputs!$C$37*(0.55*SIN(2*PI()*(Scenario_Data!V126)/Inputs!$C$39)+0.35*COS(2*PI()*(Inputs!$C$6)/Inputs!$C$40)+0.2*SIN(2*PI()*((Scenario_Data!V126)+(Inputs!$C$6))/(0.5*(Inputs!$C$39+Inputs!$C$40))))+Inputs!$C$38*SIN(2*PI()*(Scenario_Data!V126)/Inputs!$C$39)*SIN(2*PI()*(Inputs!$C$6)/Inputs!$C$40)+-Inputs!$C$41*EXP(-(((Inputs!$C$6)-Inputs!$C$43)^2)/(2*Inputs!$C$44^2))*EXP(-(((Scenario_Data!V126)-Inputs!$C$42)^2)/(2*Inputs!$C$45^2))+Inputs!$C$48*(0.7*(0.45*SIN(2*PI()*(((Scenario_Data!V126)/Inputs!$C$49)+Inputs!$C$47*0.137))+0.35*COS(2*PI()*(((Inputs!$C$6)/Inputs!$C$50)+Inputs!$C$47*0.173))+0.2*SIN(2*PI()*((((Scenario_Data!V126)+(Inputs!$C$6))/(0.5*(Inputs!$C$49+Inputs!$C$50)))+Inputs!$C$47*0.097)))+0.3*(2*((SIN(((Scenario_Data!V126)*12.9898+(Inputs!$C$6)*78.233+Inputs!$C$47*37.719))*43758.5453)-INT((SIN(((Scenario_Data!V126)*12.9898+(Inputs!$C$6)*78.233+Inputs!$C$47*37.719))*43758.5453)))-1))))/1000))^2-2*(Inputs!$C$52+(Scenario_Data!D126))*(Inputs!$C$52+((IF(OR(Inputs!$C$27=TRUE,Inputs!$C$27="TRUE",Inputs!$C$27=1),1,0)*(Inputs!$C$51*(115*EXP(-(((Inputs!$C$6)-25)^2)/(4.5^2))+70*EXP(-(((Inputs!$C$6)+38)^2)/(7^2))*(0.55+0.45*SIN(2*PI()*(Scenario_Data!V126)/45))+24*SIN(2*PI()*(Inputs!$C$6)/9+(Scenario_Data!V126)/18)*EXP(-(((Inputs!$C$6)+5)^2)/(22^2))+18*SIN(2*PI()*(Scenario_Data!V126)/70))+Inputs!$C$28*EXP(-(((Scenario_Data!V126)-Inputs!$C$29)^2)/(2*Inputs!$C$31^2))*EXP(-(((Inputs!$C$6)-Inputs!$C$30)^2)/(2*Inputs!$C$32^2))+-Inputs!$C$33*EXP(-(((((Scenario_Data!V126)-Inputs!$C$34)^2)+(((Inputs!$C$6)-Inputs!$C$35)^2))/(2*Inputs!$C$36^2)))+Inputs!$C$37*(0.55*SIN(2*PI()*(Scenario_Data!V126)/Inputs!$C$39)+0.35*COS(2*PI()*(Inputs!$C$6)/Inputs!$C$40)+0.2*SIN(2*PI()*((Scenario_Data!V126)+(Inputs!$C$6))/(0.5*(Inputs!$C$39+Inputs!$C$40))))+Inputs!$C$38*SIN(2*PI()*(Scenario_Data!V126)/Inputs!$C$39)*SIN(2*PI()*(Inputs!$C$6)/Inputs!$C$40)+-Inputs!$C$41*EXP(-(((Inputs!$C$6)-Inputs!$C$43)^2)/(2*Inputs!$C$44^2))*EXP(-(((Scenario_Data!V126)-Inputs!$C$42)^2)/(2*Inputs!$C$45^2))+Inputs!$C$48*(0.7*(0.45*SIN(2*PI()*(((Scenario_Data!V126)/Inputs!$C$49)+Inputs!$C$47*0.137))+0.35*COS(2*PI()*(((Inputs!$C$6)/Inputs!$C$50)+Inputs!$C$47*0.173))+0.2*SIN(2*PI()*((((Scenario_Data!V126)+(Inputs!$C$6))/(0.5*(Inputs!$C$49+Inputs!$C$50)))+Inputs!$C$47*0.097)))+0.3*(2*((SIN(((Scenario_Data!V126)*12.9898+(Inputs!$C$6)*78.233+Inputs!$C$47*37.719))*43758.5453)-INT((SIN(((Scenario_Data!V126)*12.9898+(Inputs!$C$6)*78.233+Inputs!$C$47*37.719))*43758.5453)))-1))))/1000))*COS(SQRT((Scenario_Data!V126)^2+Inputs!$C$6^2)/Inputs!$C$52))*1000)/Inputs!$C$21*1000000</f>
        <v/>
      </c>
      <c r="AV126">
        <f>Scenario_Data!W126</f>
        <v/>
      </c>
      <c r="AW126">
        <f>2*(SQRT((Inputs!$C$52+(Scenario_Data!E126))^2+(Inputs!$C$52+((IF(OR(Inputs!$C$27=TRUE,Inputs!$C$27="TRUE",Inputs!$C$27=1),1,0)*(Inputs!$C$51*(115*EXP(-(((Inputs!$C$6)-25)^2)/(4.5^2))+70*EXP(-(((Inputs!$C$6)+38)^2)/(7^2))*(0.55+0.45*SIN(2*PI()*(Scenario_Data!W126)/45))+24*SIN(2*PI()*(Inputs!$C$6)/9+(Scenario_Data!W126)/18)*EXP(-(((Inputs!$C$6)+5)^2)/(22^2))+18*SIN(2*PI()*(Scenario_Data!W126)/70))+Inputs!$C$28*EXP(-(((Scenario_Data!W126)-Inputs!$C$29)^2)/(2*Inputs!$C$31^2))*EXP(-(((Inputs!$C$6)-Inputs!$C$30)^2)/(2*Inputs!$C$32^2))+-Inputs!$C$33*EXP(-(((((Scenario_Data!W126)-Inputs!$C$34)^2)+(((Inputs!$C$6)-Inputs!$C$35)^2))/(2*Inputs!$C$36^2)))+Inputs!$C$37*(0.55*SIN(2*PI()*(Scenario_Data!W126)/Inputs!$C$39)+0.35*COS(2*PI()*(Inputs!$C$6)/Inputs!$C$40)+0.2*SIN(2*PI()*((Scenario_Data!W126)+(Inputs!$C$6))/(0.5*(Inputs!$C$39+Inputs!$C$40))))+Inputs!$C$38*SIN(2*PI()*(Scenario_Data!W126)/Inputs!$C$39)*SIN(2*PI()*(Inputs!$C$6)/Inputs!$C$40)+-Inputs!$C$41*EXP(-(((Inputs!$C$6)-Inputs!$C$43)^2)/(2*Inputs!$C$44^2))*EXP(-(((Scenario_Data!W126)-Inputs!$C$42)^2)/(2*Inputs!$C$45^2))+Inputs!$C$48*(0.7*(0.45*SIN(2*PI()*(((Scenario_Data!W126)/Inputs!$C$49)+Inputs!$C$47*0.137))+0.35*COS(2*PI()*(((Inputs!$C$6)/Inputs!$C$50)+Inputs!$C$47*0.173))+0.2*SIN(2*PI()*((((Scenario_Data!W126)+(Inputs!$C$6))/(0.5*(Inputs!$C$49+Inputs!$C$50)))+Inputs!$C$47*0.097)))+0.3*(2*((SIN(((Scenario_Data!W126)*12.9898+(Inputs!$C$6)*78.233+Inputs!$C$47*37.719))*43758.5453)-INT((SIN(((Scenario_Data!W126)*12.9898+(Inputs!$C$6)*78.233+Inputs!$C$47*37.719))*43758.5453)))-1))))/1000))^2-2*(Inputs!$C$52+(Scenario_Data!E126))*(Inputs!$C$52+((IF(OR(Inputs!$C$27=TRUE,Inputs!$C$27="TRUE",Inputs!$C$27=1),1,0)*(Inputs!$C$51*(115*EXP(-(((Inputs!$C$6)-25)^2)/(4.5^2))+70*EXP(-(((Inputs!$C$6)+38)^2)/(7^2))*(0.55+0.45*SIN(2*PI()*(Scenario_Data!W126)/45))+24*SIN(2*PI()*(Inputs!$C$6)/9+(Scenario_Data!W126)/18)*EXP(-(((Inputs!$C$6)+5)^2)/(22^2))+18*SIN(2*PI()*(Scenario_Data!W126)/70))+Inputs!$C$28*EXP(-(((Scenario_Data!W126)-Inputs!$C$29)^2)/(2*Inputs!$C$31^2))*EXP(-(((Inputs!$C$6)-Inputs!$C$30)^2)/(2*Inputs!$C$32^2))+-Inputs!$C$33*EXP(-(((((Scenario_Data!W126)-Inputs!$C$34)^2)+(((Inputs!$C$6)-Inputs!$C$35)^2))/(2*Inputs!$C$36^2)))+Inputs!$C$37*(0.55*SIN(2*PI()*(Scenario_Data!W126)/Inputs!$C$39)+0.35*COS(2*PI()*(Inputs!$C$6)/Inputs!$C$40)+0.2*SIN(2*PI()*((Scenario_Data!W126)+(Inputs!$C$6))/(0.5*(Inputs!$C$39+Inputs!$C$40))))+Inputs!$C$38*SIN(2*PI()*(Scenario_Data!W126)/Inputs!$C$39)*SIN(2*PI()*(Inputs!$C$6)/Inputs!$C$40)+-Inputs!$C$41*EXP(-(((Inputs!$C$6)-Inputs!$C$43)^2)/(2*Inputs!$C$44^2))*EXP(-(((Scenario_Data!W126)-Inputs!$C$42)^2)/(2*Inputs!$C$45^2))+Inputs!$C$48*(0.7*(0.45*SIN(2*PI()*(((Scenario_Data!W126)/Inputs!$C$49)+Inputs!$C$47*0.137))+0.35*COS(2*PI()*(((Inputs!$C$6)/Inputs!$C$50)+Inputs!$C$47*0.173))+0.2*SIN(2*PI()*((((Scenario_Data!W126)+(Inputs!$C$6))/(0.5*(Inputs!$C$49+Inputs!$C$50)))+Inputs!$C$47*0.097)))+0.3*(2*((SIN(((Scenario_Data!W126)*12.9898+(Inputs!$C$6)*78.233+Inputs!$C$47*37.719))*43758.5453)-INT((SIN(((Scenario_Data!W126)*12.9898+(Inputs!$C$6)*78.233+Inputs!$C$47*37.719))*43758.5453)))-1))))/1000))*COS(SQRT((Scenario_Data!W126)^2+Inputs!$C$6^2)/Inputs!$C$52))*1000)/Inputs!$C$21*1000000</f>
        <v/>
      </c>
    </row>
    <row r="127">
      <c r="A127">
        <f>Chart_Data!K127</f>
        <v/>
      </c>
      <c r="B127">
        <f>Chart_Data!N127-Chart_Data!L127</f>
        <v/>
      </c>
      <c r="D127">
        <f>Chart_Data!G127</f>
        <v/>
      </c>
      <c r="E127">
        <f>Chart_Data!H127</f>
        <v/>
      </c>
      <c r="F127">
        <f>Chart_Data!I127</f>
        <v/>
      </c>
      <c r="G127">
        <f>Chart_Data!J127</f>
        <v/>
      </c>
      <c r="I127">
        <f>Scenario_Data!A127</f>
        <v/>
      </c>
      <c r="J127">
        <f>Scenario_Data!H127-(((SQRT((Inputs!$C$52+(Inputs!$H$6))^2+Inputs!$C$52^2-2*(Inputs!$C$52+(Inputs!$H$6))*Inputs!$C$52*COS(SQRT((Scenario_Data!T127)^2+Inputs!$C$6^2)/Inputs!$C$52)))-(Inputs!$H$6))*1000/Inputs!$C$12)</f>
        <v/>
      </c>
      <c r="K127">
        <f>Scenario_Data!I127-(((SQRT((Inputs!$C$52+(Inputs!$H$7))^2+Inputs!$C$52^2-2*(Inputs!$C$52+(Inputs!$H$7))*Inputs!$C$52*COS(SQRT((Scenario_Data!U127)^2+Inputs!$C$6^2)/Inputs!$C$52)))-(Inputs!$H$7))*1000/Inputs!$C$12)</f>
        <v/>
      </c>
      <c r="L127">
        <f>Scenario_Data!J127-(((SQRT((Inputs!$C$52+(Inputs!$H$8))^2+Inputs!$C$52^2-2*(Inputs!$C$52+(Inputs!$H$8))*Inputs!$C$52*COS(SQRT((Scenario_Data!V127)^2+Inputs!$C$6^2)/Inputs!$C$52)))-(Inputs!$H$8))*1000/Inputs!$C$12)</f>
        <v/>
      </c>
      <c r="M127">
        <f>Scenario_Data!K127-(((SQRT((Inputs!$C$52+(Inputs!$H$9))^2+Inputs!$C$52^2-2*(Inputs!$C$52+(Inputs!$H$9))*Inputs!$C$52*COS(SQRT((Scenario_Data!W127)^2+Inputs!$C$6^2)/Inputs!$C$52)))-(Inputs!$H$9))*1000/Inputs!$C$12)</f>
        <v/>
      </c>
      <c r="O127">
        <f>Scenario_Data!T127</f>
        <v/>
      </c>
      <c r="P127">
        <f>2*(Scenario_Data!B127*1000)/Inputs!$C$21*1000000</f>
        <v/>
      </c>
      <c r="Q127">
        <f>Scenario_Data!U127</f>
        <v/>
      </c>
      <c r="R127">
        <f>2*(Scenario_Data!C127*1000)/Inputs!$C$21*1000000</f>
        <v/>
      </c>
      <c r="S127">
        <f>Scenario_Data!V127</f>
        <v/>
      </c>
      <c r="T127">
        <f>2*(Scenario_Data!D127*1000)/Inputs!$C$21*1000000</f>
        <v/>
      </c>
      <c r="U127">
        <f>Scenario_Data!W127</f>
        <v/>
      </c>
      <c r="V127">
        <f>2*(Scenario_Data!E127*1000)/Inputs!$C$21*1000000</f>
        <v/>
      </c>
      <c r="X127">
        <f>Scenario_Data!T127</f>
        <v/>
      </c>
      <c r="Y127">
        <f>2*((Scenario_Data!B127*1000)-(IF(OR(Inputs!$C$27=TRUE,Inputs!$C$27="TRUE",Inputs!$C$27=1),1,0)*(Inputs!$C$51*(115*EXP(-(((0)-25)^2)/(4.5^2))+70*EXP(-(((0)+38)^2)/(7^2))*(0.55+0.45*SIN(2*PI()*(Scenario_Data!T127)/45))+24*SIN(2*PI()*(0)/9+(Scenario_Data!T127)/18)*EXP(-(((0)+5)^2)/(22^2))+18*SIN(2*PI()*(Scenario_Data!T127)/70))+Inputs!$C$28*EXP(-(((Scenario_Data!T127)-Inputs!$C$29)^2)/(2*Inputs!$C$31^2))*EXP(-(((0)-Inputs!$C$30)^2)/(2*Inputs!$C$32^2))+-Inputs!$C$33*EXP(-(((((Scenario_Data!T127)-Inputs!$C$34)^2)+(((0)-Inputs!$C$35)^2))/(2*Inputs!$C$36^2)))+Inputs!$C$37*(0.55*SIN(2*PI()*(Scenario_Data!T127)/Inputs!$C$39)+0.35*COS(2*PI()*(0)/Inputs!$C$40)+0.2*SIN(2*PI()*((Scenario_Data!T127)+(0))/(0.5*(Inputs!$C$39+Inputs!$C$40))))+Inputs!$C$38*SIN(2*PI()*(Scenario_Data!T127)/Inputs!$C$39)*SIN(2*PI()*(0)/Inputs!$C$40)+-Inputs!$C$41*EXP(-(((0)-Inputs!$C$43)^2)/(2*Inputs!$C$44^2))*EXP(-(((Scenario_Data!T127)-Inputs!$C$42)^2)/(2*Inputs!$C$45^2))+Inputs!$C$48*(0.7*(0.45*SIN(2*PI()*(((Scenario_Data!T127)/Inputs!$C$49)+Inputs!$C$47*0.137))+0.35*COS(2*PI()*(((0)/Inputs!$C$50)+Inputs!$C$47*0.173))+0.2*SIN(2*PI()*((((Scenario_Data!T127)+(0))/(0.5*(Inputs!$C$49+Inputs!$C$50)))+Inputs!$C$47*0.097)))+0.3*(2*((SIN(((Scenario_Data!T127)*12.9898+(0)*78.233+Inputs!$C$47*37.719))*43758.5453)-INT((SIN(((Scenario_Data!T127)*12.9898+(0)*78.233+Inputs!$C$47*37.719))*43758.5453)))-1)))))/Inputs!$C$21*1000000</f>
        <v/>
      </c>
      <c r="Z127">
        <f>Scenario_Data!U127</f>
        <v/>
      </c>
      <c r="AA127">
        <f>2*((Scenario_Data!C127*1000)-(IF(OR(Inputs!$C$27=TRUE,Inputs!$C$27="TRUE",Inputs!$C$27=1),1,0)*(Inputs!$C$51*(115*EXP(-(((0)-25)^2)/(4.5^2))+70*EXP(-(((0)+38)^2)/(7^2))*(0.55+0.45*SIN(2*PI()*(Scenario_Data!U127)/45))+24*SIN(2*PI()*(0)/9+(Scenario_Data!U127)/18)*EXP(-(((0)+5)^2)/(22^2))+18*SIN(2*PI()*(Scenario_Data!U127)/70))+Inputs!$C$28*EXP(-(((Scenario_Data!U127)-Inputs!$C$29)^2)/(2*Inputs!$C$31^2))*EXP(-(((0)-Inputs!$C$30)^2)/(2*Inputs!$C$32^2))+-Inputs!$C$33*EXP(-(((((Scenario_Data!U127)-Inputs!$C$34)^2)+(((0)-Inputs!$C$35)^2))/(2*Inputs!$C$36^2)))+Inputs!$C$37*(0.55*SIN(2*PI()*(Scenario_Data!U127)/Inputs!$C$39)+0.35*COS(2*PI()*(0)/Inputs!$C$40)+0.2*SIN(2*PI()*((Scenario_Data!U127)+(0))/(0.5*(Inputs!$C$39+Inputs!$C$40))))+Inputs!$C$38*SIN(2*PI()*(Scenario_Data!U127)/Inputs!$C$39)*SIN(2*PI()*(0)/Inputs!$C$40)+-Inputs!$C$41*EXP(-(((0)-Inputs!$C$43)^2)/(2*Inputs!$C$44^2))*EXP(-(((Scenario_Data!U127)-Inputs!$C$42)^2)/(2*Inputs!$C$45^2))+Inputs!$C$48*(0.7*(0.45*SIN(2*PI()*(((Scenario_Data!U127)/Inputs!$C$49)+Inputs!$C$47*0.137))+0.35*COS(2*PI()*(((0)/Inputs!$C$50)+Inputs!$C$47*0.173))+0.2*SIN(2*PI()*((((Scenario_Data!U127)+(0))/(0.5*(Inputs!$C$49+Inputs!$C$50)))+Inputs!$C$47*0.097)))+0.3*(2*((SIN(((Scenario_Data!U127)*12.9898+(0)*78.233+Inputs!$C$47*37.719))*43758.5453)-INT((SIN(((Scenario_Data!U127)*12.9898+(0)*78.233+Inputs!$C$47*37.719))*43758.5453)))-1)))))/Inputs!$C$21*1000000</f>
        <v/>
      </c>
      <c r="AB127">
        <f>Scenario_Data!V127</f>
        <v/>
      </c>
      <c r="AC127">
        <f>2*((Scenario_Data!D127*1000)-(IF(OR(Inputs!$C$27=TRUE,Inputs!$C$27="TRUE",Inputs!$C$27=1),1,0)*(Inputs!$C$51*(115*EXP(-(((0)-25)^2)/(4.5^2))+70*EXP(-(((0)+38)^2)/(7^2))*(0.55+0.45*SIN(2*PI()*(Scenario_Data!V127)/45))+24*SIN(2*PI()*(0)/9+(Scenario_Data!V127)/18)*EXP(-(((0)+5)^2)/(22^2))+18*SIN(2*PI()*(Scenario_Data!V127)/70))+Inputs!$C$28*EXP(-(((Scenario_Data!V127)-Inputs!$C$29)^2)/(2*Inputs!$C$31^2))*EXP(-(((0)-Inputs!$C$30)^2)/(2*Inputs!$C$32^2))+-Inputs!$C$33*EXP(-(((((Scenario_Data!V127)-Inputs!$C$34)^2)+(((0)-Inputs!$C$35)^2))/(2*Inputs!$C$36^2)))+Inputs!$C$37*(0.55*SIN(2*PI()*(Scenario_Data!V127)/Inputs!$C$39)+0.35*COS(2*PI()*(0)/Inputs!$C$40)+0.2*SIN(2*PI()*((Scenario_Data!V127)+(0))/(0.5*(Inputs!$C$39+Inputs!$C$40))))+Inputs!$C$38*SIN(2*PI()*(Scenario_Data!V127)/Inputs!$C$39)*SIN(2*PI()*(0)/Inputs!$C$40)+-Inputs!$C$41*EXP(-(((0)-Inputs!$C$43)^2)/(2*Inputs!$C$44^2))*EXP(-(((Scenario_Data!V127)-Inputs!$C$42)^2)/(2*Inputs!$C$45^2))+Inputs!$C$48*(0.7*(0.45*SIN(2*PI()*(((Scenario_Data!V127)/Inputs!$C$49)+Inputs!$C$47*0.137))+0.35*COS(2*PI()*(((0)/Inputs!$C$50)+Inputs!$C$47*0.173))+0.2*SIN(2*PI()*((((Scenario_Data!V127)+(0))/(0.5*(Inputs!$C$49+Inputs!$C$50)))+Inputs!$C$47*0.097)))+0.3*(2*((SIN(((Scenario_Data!V127)*12.9898+(0)*78.233+Inputs!$C$47*37.719))*43758.5453)-INT((SIN(((Scenario_Data!V127)*12.9898+(0)*78.233+Inputs!$C$47*37.719))*43758.5453)))-1)))))/Inputs!$C$21*1000000</f>
        <v/>
      </c>
      <c r="AD127">
        <f>Scenario_Data!W127</f>
        <v/>
      </c>
      <c r="AE127">
        <f>2*((Scenario_Data!E127*1000)-(IF(OR(Inputs!$C$27=TRUE,Inputs!$C$27="TRUE",Inputs!$C$27=1),1,0)*(Inputs!$C$51*(115*EXP(-(((0)-25)^2)/(4.5^2))+70*EXP(-(((0)+38)^2)/(7^2))*(0.55+0.45*SIN(2*PI()*(Scenario_Data!W127)/45))+24*SIN(2*PI()*(0)/9+(Scenario_Data!W127)/18)*EXP(-(((0)+5)^2)/(22^2))+18*SIN(2*PI()*(Scenario_Data!W127)/70))+Inputs!$C$28*EXP(-(((Scenario_Data!W127)-Inputs!$C$29)^2)/(2*Inputs!$C$31^2))*EXP(-(((0)-Inputs!$C$30)^2)/(2*Inputs!$C$32^2))+-Inputs!$C$33*EXP(-(((((Scenario_Data!W127)-Inputs!$C$34)^2)+(((0)-Inputs!$C$35)^2))/(2*Inputs!$C$36^2)))+Inputs!$C$37*(0.55*SIN(2*PI()*(Scenario_Data!W127)/Inputs!$C$39)+0.35*COS(2*PI()*(0)/Inputs!$C$40)+0.2*SIN(2*PI()*((Scenario_Data!W127)+(0))/(0.5*(Inputs!$C$39+Inputs!$C$40))))+Inputs!$C$38*SIN(2*PI()*(Scenario_Data!W127)/Inputs!$C$39)*SIN(2*PI()*(0)/Inputs!$C$40)+-Inputs!$C$41*EXP(-(((0)-Inputs!$C$43)^2)/(2*Inputs!$C$44^2))*EXP(-(((Scenario_Data!W127)-Inputs!$C$42)^2)/(2*Inputs!$C$45^2))+Inputs!$C$48*(0.7*(0.45*SIN(2*PI()*(((Scenario_Data!W127)/Inputs!$C$49)+Inputs!$C$47*0.137))+0.35*COS(2*PI()*(((0)/Inputs!$C$50)+Inputs!$C$47*0.173))+0.2*SIN(2*PI()*((((Scenario_Data!W127)+(0))/(0.5*(Inputs!$C$49+Inputs!$C$50)))+Inputs!$C$47*0.097)))+0.3*(2*((SIN(((Scenario_Data!W127)*12.9898+(0)*78.233+Inputs!$C$47*37.719))*43758.5453)-INT((SIN(((Scenario_Data!W127)*12.9898+(0)*78.233+Inputs!$C$47*37.719))*43758.5453)))-1)))))/Inputs!$C$21*1000000</f>
        <v/>
      </c>
      <c r="AG127">
        <f>Scenario_Data!T127</f>
        <v/>
      </c>
      <c r="AH127">
        <f>2*(SQRT((Inputs!$C$52+(Scenario_Data!B127))^2+Inputs!$C$52^2-2*(Inputs!$C$52+(Scenario_Data!B127))*Inputs!$C$52*COS(SQRT((Scenario_Data!T127)^2+Inputs!$C$6^2)/Inputs!$C$52))*1000)/Inputs!$C$21*1000000</f>
        <v/>
      </c>
      <c r="AI127">
        <f>Scenario_Data!U127</f>
        <v/>
      </c>
      <c r="AJ127">
        <f>2*(SQRT((Inputs!$C$52+(Scenario_Data!C127))^2+Inputs!$C$52^2-2*(Inputs!$C$52+(Scenario_Data!C127))*Inputs!$C$52*COS(SQRT((Scenario_Data!U127)^2+Inputs!$C$6^2)/Inputs!$C$52))*1000)/Inputs!$C$21*1000000</f>
        <v/>
      </c>
      <c r="AK127">
        <f>Scenario_Data!V127</f>
        <v/>
      </c>
      <c r="AL127">
        <f>2*(SQRT((Inputs!$C$52+(Scenario_Data!D127))^2+Inputs!$C$52^2-2*(Inputs!$C$52+(Scenario_Data!D127))*Inputs!$C$52*COS(SQRT((Scenario_Data!V127)^2+Inputs!$C$6^2)/Inputs!$C$52))*1000)/Inputs!$C$21*1000000</f>
        <v/>
      </c>
      <c r="AM127">
        <f>Scenario_Data!W127</f>
        <v/>
      </c>
      <c r="AN127">
        <f>2*(SQRT((Inputs!$C$52+(Scenario_Data!E127))^2+Inputs!$C$52^2-2*(Inputs!$C$52+(Scenario_Data!E127))*Inputs!$C$52*COS(SQRT((Scenario_Data!W127)^2+Inputs!$C$6^2)/Inputs!$C$52))*1000)/Inputs!$C$21*1000000</f>
        <v/>
      </c>
      <c r="AP127">
        <f>Scenario_Data!T127</f>
        <v/>
      </c>
      <c r="AQ127">
        <f>2*(SQRT((Inputs!$C$52+(Scenario_Data!B127))^2+(Inputs!$C$52+((IF(OR(Inputs!$C$27=TRUE,Inputs!$C$27="TRUE",Inputs!$C$27=1),1,0)*(Inputs!$C$51*(115*EXP(-(((Inputs!$C$6)-25)^2)/(4.5^2))+70*EXP(-(((Inputs!$C$6)+38)^2)/(7^2))*(0.55+0.45*SIN(2*PI()*(Scenario_Data!T127)/45))+24*SIN(2*PI()*(Inputs!$C$6)/9+(Scenario_Data!T127)/18)*EXP(-(((Inputs!$C$6)+5)^2)/(22^2))+18*SIN(2*PI()*(Scenario_Data!T127)/70))+Inputs!$C$28*EXP(-(((Scenario_Data!T127)-Inputs!$C$29)^2)/(2*Inputs!$C$31^2))*EXP(-(((Inputs!$C$6)-Inputs!$C$30)^2)/(2*Inputs!$C$32^2))+-Inputs!$C$33*EXP(-(((((Scenario_Data!T127)-Inputs!$C$34)^2)+(((Inputs!$C$6)-Inputs!$C$35)^2))/(2*Inputs!$C$36^2)))+Inputs!$C$37*(0.55*SIN(2*PI()*(Scenario_Data!T127)/Inputs!$C$39)+0.35*COS(2*PI()*(Inputs!$C$6)/Inputs!$C$40)+0.2*SIN(2*PI()*((Scenario_Data!T127)+(Inputs!$C$6))/(0.5*(Inputs!$C$39+Inputs!$C$40))))+Inputs!$C$38*SIN(2*PI()*(Scenario_Data!T127)/Inputs!$C$39)*SIN(2*PI()*(Inputs!$C$6)/Inputs!$C$40)+-Inputs!$C$41*EXP(-(((Inputs!$C$6)-Inputs!$C$43)^2)/(2*Inputs!$C$44^2))*EXP(-(((Scenario_Data!T127)-Inputs!$C$42)^2)/(2*Inputs!$C$45^2))+Inputs!$C$48*(0.7*(0.45*SIN(2*PI()*(((Scenario_Data!T127)/Inputs!$C$49)+Inputs!$C$47*0.137))+0.35*COS(2*PI()*(((Inputs!$C$6)/Inputs!$C$50)+Inputs!$C$47*0.173))+0.2*SIN(2*PI()*((((Scenario_Data!T127)+(Inputs!$C$6))/(0.5*(Inputs!$C$49+Inputs!$C$50)))+Inputs!$C$47*0.097)))+0.3*(2*((SIN(((Scenario_Data!T127)*12.9898+(Inputs!$C$6)*78.233+Inputs!$C$47*37.719))*43758.5453)-INT((SIN(((Scenario_Data!T127)*12.9898+(Inputs!$C$6)*78.233+Inputs!$C$47*37.719))*43758.5453)))-1))))/1000))^2-2*(Inputs!$C$52+(Scenario_Data!B127))*(Inputs!$C$52+((IF(OR(Inputs!$C$27=TRUE,Inputs!$C$27="TRUE",Inputs!$C$27=1),1,0)*(Inputs!$C$51*(115*EXP(-(((Inputs!$C$6)-25)^2)/(4.5^2))+70*EXP(-(((Inputs!$C$6)+38)^2)/(7^2))*(0.55+0.45*SIN(2*PI()*(Scenario_Data!T127)/45))+24*SIN(2*PI()*(Inputs!$C$6)/9+(Scenario_Data!T127)/18)*EXP(-(((Inputs!$C$6)+5)^2)/(22^2))+18*SIN(2*PI()*(Scenario_Data!T127)/70))+Inputs!$C$28*EXP(-(((Scenario_Data!T127)-Inputs!$C$29)^2)/(2*Inputs!$C$31^2))*EXP(-(((Inputs!$C$6)-Inputs!$C$30)^2)/(2*Inputs!$C$32^2))+-Inputs!$C$33*EXP(-(((((Scenario_Data!T127)-Inputs!$C$34)^2)+(((Inputs!$C$6)-Inputs!$C$35)^2))/(2*Inputs!$C$36^2)))+Inputs!$C$37*(0.55*SIN(2*PI()*(Scenario_Data!T127)/Inputs!$C$39)+0.35*COS(2*PI()*(Inputs!$C$6)/Inputs!$C$40)+0.2*SIN(2*PI()*((Scenario_Data!T127)+(Inputs!$C$6))/(0.5*(Inputs!$C$39+Inputs!$C$40))))+Inputs!$C$38*SIN(2*PI()*(Scenario_Data!T127)/Inputs!$C$39)*SIN(2*PI()*(Inputs!$C$6)/Inputs!$C$40)+-Inputs!$C$41*EXP(-(((Inputs!$C$6)-Inputs!$C$43)^2)/(2*Inputs!$C$44^2))*EXP(-(((Scenario_Data!T127)-Inputs!$C$42)^2)/(2*Inputs!$C$45^2))+Inputs!$C$48*(0.7*(0.45*SIN(2*PI()*(((Scenario_Data!T127)/Inputs!$C$49)+Inputs!$C$47*0.137))+0.35*COS(2*PI()*(((Inputs!$C$6)/Inputs!$C$50)+Inputs!$C$47*0.173))+0.2*SIN(2*PI()*((((Scenario_Data!T127)+(Inputs!$C$6))/(0.5*(Inputs!$C$49+Inputs!$C$50)))+Inputs!$C$47*0.097)))+0.3*(2*((SIN(((Scenario_Data!T127)*12.9898+(Inputs!$C$6)*78.233+Inputs!$C$47*37.719))*43758.5453)-INT((SIN(((Scenario_Data!T127)*12.9898+(Inputs!$C$6)*78.233+Inputs!$C$47*37.719))*43758.5453)))-1))))/1000))*COS(SQRT((Scenario_Data!T127)^2+Inputs!$C$6^2)/Inputs!$C$52))*1000)/Inputs!$C$21*1000000</f>
        <v/>
      </c>
      <c r="AR127">
        <f>Scenario_Data!U127</f>
        <v/>
      </c>
      <c r="AS127">
        <f>2*(SQRT((Inputs!$C$52+(Scenario_Data!C127))^2+(Inputs!$C$52+((IF(OR(Inputs!$C$27=TRUE,Inputs!$C$27="TRUE",Inputs!$C$27=1),1,0)*(Inputs!$C$51*(115*EXP(-(((Inputs!$C$6)-25)^2)/(4.5^2))+70*EXP(-(((Inputs!$C$6)+38)^2)/(7^2))*(0.55+0.45*SIN(2*PI()*(Scenario_Data!U127)/45))+24*SIN(2*PI()*(Inputs!$C$6)/9+(Scenario_Data!U127)/18)*EXP(-(((Inputs!$C$6)+5)^2)/(22^2))+18*SIN(2*PI()*(Scenario_Data!U127)/70))+Inputs!$C$28*EXP(-(((Scenario_Data!U127)-Inputs!$C$29)^2)/(2*Inputs!$C$31^2))*EXP(-(((Inputs!$C$6)-Inputs!$C$30)^2)/(2*Inputs!$C$32^2))+-Inputs!$C$33*EXP(-(((((Scenario_Data!U127)-Inputs!$C$34)^2)+(((Inputs!$C$6)-Inputs!$C$35)^2))/(2*Inputs!$C$36^2)))+Inputs!$C$37*(0.55*SIN(2*PI()*(Scenario_Data!U127)/Inputs!$C$39)+0.35*COS(2*PI()*(Inputs!$C$6)/Inputs!$C$40)+0.2*SIN(2*PI()*((Scenario_Data!U127)+(Inputs!$C$6))/(0.5*(Inputs!$C$39+Inputs!$C$40))))+Inputs!$C$38*SIN(2*PI()*(Scenario_Data!U127)/Inputs!$C$39)*SIN(2*PI()*(Inputs!$C$6)/Inputs!$C$40)+-Inputs!$C$41*EXP(-(((Inputs!$C$6)-Inputs!$C$43)^2)/(2*Inputs!$C$44^2))*EXP(-(((Scenario_Data!U127)-Inputs!$C$42)^2)/(2*Inputs!$C$45^2))+Inputs!$C$48*(0.7*(0.45*SIN(2*PI()*(((Scenario_Data!U127)/Inputs!$C$49)+Inputs!$C$47*0.137))+0.35*COS(2*PI()*(((Inputs!$C$6)/Inputs!$C$50)+Inputs!$C$47*0.173))+0.2*SIN(2*PI()*((((Scenario_Data!U127)+(Inputs!$C$6))/(0.5*(Inputs!$C$49+Inputs!$C$50)))+Inputs!$C$47*0.097)))+0.3*(2*((SIN(((Scenario_Data!U127)*12.9898+(Inputs!$C$6)*78.233+Inputs!$C$47*37.719))*43758.5453)-INT((SIN(((Scenario_Data!U127)*12.9898+(Inputs!$C$6)*78.233+Inputs!$C$47*37.719))*43758.5453)))-1))))/1000))^2-2*(Inputs!$C$52+(Scenario_Data!C127))*(Inputs!$C$52+((IF(OR(Inputs!$C$27=TRUE,Inputs!$C$27="TRUE",Inputs!$C$27=1),1,0)*(Inputs!$C$51*(115*EXP(-(((Inputs!$C$6)-25)^2)/(4.5^2))+70*EXP(-(((Inputs!$C$6)+38)^2)/(7^2))*(0.55+0.45*SIN(2*PI()*(Scenario_Data!U127)/45))+24*SIN(2*PI()*(Inputs!$C$6)/9+(Scenario_Data!U127)/18)*EXP(-(((Inputs!$C$6)+5)^2)/(22^2))+18*SIN(2*PI()*(Scenario_Data!U127)/70))+Inputs!$C$28*EXP(-(((Scenario_Data!U127)-Inputs!$C$29)^2)/(2*Inputs!$C$31^2))*EXP(-(((Inputs!$C$6)-Inputs!$C$30)^2)/(2*Inputs!$C$32^2))+-Inputs!$C$33*EXP(-(((((Scenario_Data!U127)-Inputs!$C$34)^2)+(((Inputs!$C$6)-Inputs!$C$35)^2))/(2*Inputs!$C$36^2)))+Inputs!$C$37*(0.55*SIN(2*PI()*(Scenario_Data!U127)/Inputs!$C$39)+0.35*COS(2*PI()*(Inputs!$C$6)/Inputs!$C$40)+0.2*SIN(2*PI()*((Scenario_Data!U127)+(Inputs!$C$6))/(0.5*(Inputs!$C$39+Inputs!$C$40))))+Inputs!$C$38*SIN(2*PI()*(Scenario_Data!U127)/Inputs!$C$39)*SIN(2*PI()*(Inputs!$C$6)/Inputs!$C$40)+-Inputs!$C$41*EXP(-(((Inputs!$C$6)-Inputs!$C$43)^2)/(2*Inputs!$C$44^2))*EXP(-(((Scenario_Data!U127)-Inputs!$C$42)^2)/(2*Inputs!$C$45^2))+Inputs!$C$48*(0.7*(0.45*SIN(2*PI()*(((Scenario_Data!U127)/Inputs!$C$49)+Inputs!$C$47*0.137))+0.35*COS(2*PI()*(((Inputs!$C$6)/Inputs!$C$50)+Inputs!$C$47*0.173))+0.2*SIN(2*PI()*((((Scenario_Data!U127)+(Inputs!$C$6))/(0.5*(Inputs!$C$49+Inputs!$C$50)))+Inputs!$C$47*0.097)))+0.3*(2*((SIN(((Scenario_Data!U127)*12.9898+(Inputs!$C$6)*78.233+Inputs!$C$47*37.719))*43758.5453)-INT((SIN(((Scenario_Data!U127)*12.9898+(Inputs!$C$6)*78.233+Inputs!$C$47*37.719))*43758.5453)))-1))))/1000))*COS(SQRT((Scenario_Data!U127)^2+Inputs!$C$6^2)/Inputs!$C$52))*1000)/Inputs!$C$21*1000000</f>
        <v/>
      </c>
      <c r="AT127">
        <f>Scenario_Data!V127</f>
        <v/>
      </c>
      <c r="AU127">
        <f>2*(SQRT((Inputs!$C$52+(Scenario_Data!D127))^2+(Inputs!$C$52+((IF(OR(Inputs!$C$27=TRUE,Inputs!$C$27="TRUE",Inputs!$C$27=1),1,0)*(Inputs!$C$51*(115*EXP(-(((Inputs!$C$6)-25)^2)/(4.5^2))+70*EXP(-(((Inputs!$C$6)+38)^2)/(7^2))*(0.55+0.45*SIN(2*PI()*(Scenario_Data!V127)/45))+24*SIN(2*PI()*(Inputs!$C$6)/9+(Scenario_Data!V127)/18)*EXP(-(((Inputs!$C$6)+5)^2)/(22^2))+18*SIN(2*PI()*(Scenario_Data!V127)/70))+Inputs!$C$28*EXP(-(((Scenario_Data!V127)-Inputs!$C$29)^2)/(2*Inputs!$C$31^2))*EXP(-(((Inputs!$C$6)-Inputs!$C$30)^2)/(2*Inputs!$C$32^2))+-Inputs!$C$33*EXP(-(((((Scenario_Data!V127)-Inputs!$C$34)^2)+(((Inputs!$C$6)-Inputs!$C$35)^2))/(2*Inputs!$C$36^2)))+Inputs!$C$37*(0.55*SIN(2*PI()*(Scenario_Data!V127)/Inputs!$C$39)+0.35*COS(2*PI()*(Inputs!$C$6)/Inputs!$C$40)+0.2*SIN(2*PI()*((Scenario_Data!V127)+(Inputs!$C$6))/(0.5*(Inputs!$C$39+Inputs!$C$40))))+Inputs!$C$38*SIN(2*PI()*(Scenario_Data!V127)/Inputs!$C$39)*SIN(2*PI()*(Inputs!$C$6)/Inputs!$C$40)+-Inputs!$C$41*EXP(-(((Inputs!$C$6)-Inputs!$C$43)^2)/(2*Inputs!$C$44^2))*EXP(-(((Scenario_Data!V127)-Inputs!$C$42)^2)/(2*Inputs!$C$45^2))+Inputs!$C$48*(0.7*(0.45*SIN(2*PI()*(((Scenario_Data!V127)/Inputs!$C$49)+Inputs!$C$47*0.137))+0.35*COS(2*PI()*(((Inputs!$C$6)/Inputs!$C$50)+Inputs!$C$47*0.173))+0.2*SIN(2*PI()*((((Scenario_Data!V127)+(Inputs!$C$6))/(0.5*(Inputs!$C$49+Inputs!$C$50)))+Inputs!$C$47*0.097)))+0.3*(2*((SIN(((Scenario_Data!V127)*12.9898+(Inputs!$C$6)*78.233+Inputs!$C$47*37.719))*43758.5453)-INT((SIN(((Scenario_Data!V127)*12.9898+(Inputs!$C$6)*78.233+Inputs!$C$47*37.719))*43758.5453)))-1))))/1000))^2-2*(Inputs!$C$52+(Scenario_Data!D127))*(Inputs!$C$52+((IF(OR(Inputs!$C$27=TRUE,Inputs!$C$27="TRUE",Inputs!$C$27=1),1,0)*(Inputs!$C$51*(115*EXP(-(((Inputs!$C$6)-25)^2)/(4.5^2))+70*EXP(-(((Inputs!$C$6)+38)^2)/(7^2))*(0.55+0.45*SIN(2*PI()*(Scenario_Data!V127)/45))+24*SIN(2*PI()*(Inputs!$C$6)/9+(Scenario_Data!V127)/18)*EXP(-(((Inputs!$C$6)+5)^2)/(22^2))+18*SIN(2*PI()*(Scenario_Data!V127)/70))+Inputs!$C$28*EXP(-(((Scenario_Data!V127)-Inputs!$C$29)^2)/(2*Inputs!$C$31^2))*EXP(-(((Inputs!$C$6)-Inputs!$C$30)^2)/(2*Inputs!$C$32^2))+-Inputs!$C$33*EXP(-(((((Scenario_Data!V127)-Inputs!$C$34)^2)+(((Inputs!$C$6)-Inputs!$C$35)^2))/(2*Inputs!$C$36^2)))+Inputs!$C$37*(0.55*SIN(2*PI()*(Scenario_Data!V127)/Inputs!$C$39)+0.35*COS(2*PI()*(Inputs!$C$6)/Inputs!$C$40)+0.2*SIN(2*PI()*((Scenario_Data!V127)+(Inputs!$C$6))/(0.5*(Inputs!$C$39+Inputs!$C$40))))+Inputs!$C$38*SIN(2*PI()*(Scenario_Data!V127)/Inputs!$C$39)*SIN(2*PI()*(Inputs!$C$6)/Inputs!$C$40)+-Inputs!$C$41*EXP(-(((Inputs!$C$6)-Inputs!$C$43)^2)/(2*Inputs!$C$44^2))*EXP(-(((Scenario_Data!V127)-Inputs!$C$42)^2)/(2*Inputs!$C$45^2))+Inputs!$C$48*(0.7*(0.45*SIN(2*PI()*(((Scenario_Data!V127)/Inputs!$C$49)+Inputs!$C$47*0.137))+0.35*COS(2*PI()*(((Inputs!$C$6)/Inputs!$C$50)+Inputs!$C$47*0.173))+0.2*SIN(2*PI()*((((Scenario_Data!V127)+(Inputs!$C$6))/(0.5*(Inputs!$C$49+Inputs!$C$50)))+Inputs!$C$47*0.097)))+0.3*(2*((SIN(((Scenario_Data!V127)*12.9898+(Inputs!$C$6)*78.233+Inputs!$C$47*37.719))*43758.5453)-INT((SIN(((Scenario_Data!V127)*12.9898+(Inputs!$C$6)*78.233+Inputs!$C$47*37.719))*43758.5453)))-1))))/1000))*COS(SQRT((Scenario_Data!V127)^2+Inputs!$C$6^2)/Inputs!$C$52))*1000)/Inputs!$C$21*1000000</f>
        <v/>
      </c>
      <c r="AV127">
        <f>Scenario_Data!W127</f>
        <v/>
      </c>
      <c r="AW127">
        <f>2*(SQRT((Inputs!$C$52+(Scenario_Data!E127))^2+(Inputs!$C$52+((IF(OR(Inputs!$C$27=TRUE,Inputs!$C$27="TRUE",Inputs!$C$27=1),1,0)*(Inputs!$C$51*(115*EXP(-(((Inputs!$C$6)-25)^2)/(4.5^2))+70*EXP(-(((Inputs!$C$6)+38)^2)/(7^2))*(0.55+0.45*SIN(2*PI()*(Scenario_Data!W127)/45))+24*SIN(2*PI()*(Inputs!$C$6)/9+(Scenario_Data!W127)/18)*EXP(-(((Inputs!$C$6)+5)^2)/(22^2))+18*SIN(2*PI()*(Scenario_Data!W127)/70))+Inputs!$C$28*EXP(-(((Scenario_Data!W127)-Inputs!$C$29)^2)/(2*Inputs!$C$31^2))*EXP(-(((Inputs!$C$6)-Inputs!$C$30)^2)/(2*Inputs!$C$32^2))+-Inputs!$C$33*EXP(-(((((Scenario_Data!W127)-Inputs!$C$34)^2)+(((Inputs!$C$6)-Inputs!$C$35)^2))/(2*Inputs!$C$36^2)))+Inputs!$C$37*(0.55*SIN(2*PI()*(Scenario_Data!W127)/Inputs!$C$39)+0.35*COS(2*PI()*(Inputs!$C$6)/Inputs!$C$40)+0.2*SIN(2*PI()*((Scenario_Data!W127)+(Inputs!$C$6))/(0.5*(Inputs!$C$39+Inputs!$C$40))))+Inputs!$C$38*SIN(2*PI()*(Scenario_Data!W127)/Inputs!$C$39)*SIN(2*PI()*(Inputs!$C$6)/Inputs!$C$40)+-Inputs!$C$41*EXP(-(((Inputs!$C$6)-Inputs!$C$43)^2)/(2*Inputs!$C$44^2))*EXP(-(((Scenario_Data!W127)-Inputs!$C$42)^2)/(2*Inputs!$C$45^2))+Inputs!$C$48*(0.7*(0.45*SIN(2*PI()*(((Scenario_Data!W127)/Inputs!$C$49)+Inputs!$C$47*0.137))+0.35*COS(2*PI()*(((Inputs!$C$6)/Inputs!$C$50)+Inputs!$C$47*0.173))+0.2*SIN(2*PI()*((((Scenario_Data!W127)+(Inputs!$C$6))/(0.5*(Inputs!$C$49+Inputs!$C$50)))+Inputs!$C$47*0.097)))+0.3*(2*((SIN(((Scenario_Data!W127)*12.9898+(Inputs!$C$6)*78.233+Inputs!$C$47*37.719))*43758.5453)-INT((SIN(((Scenario_Data!W127)*12.9898+(Inputs!$C$6)*78.233+Inputs!$C$47*37.719))*43758.5453)))-1))))/1000))^2-2*(Inputs!$C$52+(Scenario_Data!E127))*(Inputs!$C$52+((IF(OR(Inputs!$C$27=TRUE,Inputs!$C$27="TRUE",Inputs!$C$27=1),1,0)*(Inputs!$C$51*(115*EXP(-(((Inputs!$C$6)-25)^2)/(4.5^2))+70*EXP(-(((Inputs!$C$6)+38)^2)/(7^2))*(0.55+0.45*SIN(2*PI()*(Scenario_Data!W127)/45))+24*SIN(2*PI()*(Inputs!$C$6)/9+(Scenario_Data!W127)/18)*EXP(-(((Inputs!$C$6)+5)^2)/(22^2))+18*SIN(2*PI()*(Scenario_Data!W127)/70))+Inputs!$C$28*EXP(-(((Scenario_Data!W127)-Inputs!$C$29)^2)/(2*Inputs!$C$31^2))*EXP(-(((Inputs!$C$6)-Inputs!$C$30)^2)/(2*Inputs!$C$32^2))+-Inputs!$C$33*EXP(-(((((Scenario_Data!W127)-Inputs!$C$34)^2)+(((Inputs!$C$6)-Inputs!$C$35)^2))/(2*Inputs!$C$36^2)))+Inputs!$C$37*(0.55*SIN(2*PI()*(Scenario_Data!W127)/Inputs!$C$39)+0.35*COS(2*PI()*(Inputs!$C$6)/Inputs!$C$40)+0.2*SIN(2*PI()*((Scenario_Data!W127)+(Inputs!$C$6))/(0.5*(Inputs!$C$39+Inputs!$C$40))))+Inputs!$C$38*SIN(2*PI()*(Scenario_Data!W127)/Inputs!$C$39)*SIN(2*PI()*(Inputs!$C$6)/Inputs!$C$40)+-Inputs!$C$41*EXP(-(((Inputs!$C$6)-Inputs!$C$43)^2)/(2*Inputs!$C$44^2))*EXP(-(((Scenario_Data!W127)-Inputs!$C$42)^2)/(2*Inputs!$C$45^2))+Inputs!$C$48*(0.7*(0.45*SIN(2*PI()*(((Scenario_Data!W127)/Inputs!$C$49)+Inputs!$C$47*0.137))+0.35*COS(2*PI()*(((Inputs!$C$6)/Inputs!$C$50)+Inputs!$C$47*0.173))+0.2*SIN(2*PI()*((((Scenario_Data!W127)+(Inputs!$C$6))/(0.5*(Inputs!$C$49+Inputs!$C$50)))+Inputs!$C$47*0.097)))+0.3*(2*((SIN(((Scenario_Data!W127)*12.9898+(Inputs!$C$6)*78.233+Inputs!$C$47*37.719))*43758.5453)-INT((SIN(((Scenario_Data!W127)*12.9898+(Inputs!$C$6)*78.233+Inputs!$C$47*37.719))*43758.5453)))-1))))/1000))*COS(SQRT((Scenario_Data!W127)^2+Inputs!$C$6^2)/Inputs!$C$52))*1000)/Inputs!$C$21*1000000</f>
        <v/>
      </c>
    </row>
    <row r="128">
      <c r="A128">
        <f>Chart_Data!K128</f>
        <v/>
      </c>
      <c r="B128">
        <f>Chart_Data!N128-Chart_Data!L128</f>
        <v/>
      </c>
      <c r="D128">
        <f>Chart_Data!G128</f>
        <v/>
      </c>
      <c r="E128">
        <f>Chart_Data!H128</f>
        <v/>
      </c>
      <c r="F128">
        <f>Chart_Data!I128</f>
        <v/>
      </c>
      <c r="G128">
        <f>Chart_Data!J128</f>
        <v/>
      </c>
      <c r="I128">
        <f>Scenario_Data!A128</f>
        <v/>
      </c>
      <c r="J128">
        <f>Scenario_Data!H128-(((SQRT((Inputs!$C$52+(Inputs!$H$6))^2+Inputs!$C$52^2-2*(Inputs!$C$52+(Inputs!$H$6))*Inputs!$C$52*COS(SQRT((Scenario_Data!T128)^2+Inputs!$C$6^2)/Inputs!$C$52)))-(Inputs!$H$6))*1000/Inputs!$C$12)</f>
        <v/>
      </c>
      <c r="K128">
        <f>Scenario_Data!I128-(((SQRT((Inputs!$C$52+(Inputs!$H$7))^2+Inputs!$C$52^2-2*(Inputs!$C$52+(Inputs!$H$7))*Inputs!$C$52*COS(SQRT((Scenario_Data!U128)^2+Inputs!$C$6^2)/Inputs!$C$52)))-(Inputs!$H$7))*1000/Inputs!$C$12)</f>
        <v/>
      </c>
      <c r="L128">
        <f>Scenario_Data!J128-(((SQRT((Inputs!$C$52+(Inputs!$H$8))^2+Inputs!$C$52^2-2*(Inputs!$C$52+(Inputs!$H$8))*Inputs!$C$52*COS(SQRT((Scenario_Data!V128)^2+Inputs!$C$6^2)/Inputs!$C$52)))-(Inputs!$H$8))*1000/Inputs!$C$12)</f>
        <v/>
      </c>
      <c r="M128">
        <f>Scenario_Data!K128-(((SQRT((Inputs!$C$52+(Inputs!$H$9))^2+Inputs!$C$52^2-2*(Inputs!$C$52+(Inputs!$H$9))*Inputs!$C$52*COS(SQRT((Scenario_Data!W128)^2+Inputs!$C$6^2)/Inputs!$C$52)))-(Inputs!$H$9))*1000/Inputs!$C$12)</f>
        <v/>
      </c>
      <c r="O128">
        <f>Scenario_Data!T128</f>
        <v/>
      </c>
      <c r="P128">
        <f>2*(Scenario_Data!B128*1000)/Inputs!$C$21*1000000</f>
        <v/>
      </c>
      <c r="Q128">
        <f>Scenario_Data!U128</f>
        <v/>
      </c>
      <c r="R128">
        <f>2*(Scenario_Data!C128*1000)/Inputs!$C$21*1000000</f>
        <v/>
      </c>
      <c r="S128">
        <f>Scenario_Data!V128</f>
        <v/>
      </c>
      <c r="T128">
        <f>2*(Scenario_Data!D128*1000)/Inputs!$C$21*1000000</f>
        <v/>
      </c>
      <c r="U128">
        <f>Scenario_Data!W128</f>
        <v/>
      </c>
      <c r="V128">
        <f>2*(Scenario_Data!E128*1000)/Inputs!$C$21*1000000</f>
        <v/>
      </c>
      <c r="X128">
        <f>Scenario_Data!T128</f>
        <v/>
      </c>
      <c r="Y128">
        <f>2*((Scenario_Data!B128*1000)-(IF(OR(Inputs!$C$27=TRUE,Inputs!$C$27="TRUE",Inputs!$C$27=1),1,0)*(Inputs!$C$51*(115*EXP(-(((0)-25)^2)/(4.5^2))+70*EXP(-(((0)+38)^2)/(7^2))*(0.55+0.45*SIN(2*PI()*(Scenario_Data!T128)/45))+24*SIN(2*PI()*(0)/9+(Scenario_Data!T128)/18)*EXP(-(((0)+5)^2)/(22^2))+18*SIN(2*PI()*(Scenario_Data!T128)/70))+Inputs!$C$28*EXP(-(((Scenario_Data!T128)-Inputs!$C$29)^2)/(2*Inputs!$C$31^2))*EXP(-(((0)-Inputs!$C$30)^2)/(2*Inputs!$C$32^2))+-Inputs!$C$33*EXP(-(((((Scenario_Data!T128)-Inputs!$C$34)^2)+(((0)-Inputs!$C$35)^2))/(2*Inputs!$C$36^2)))+Inputs!$C$37*(0.55*SIN(2*PI()*(Scenario_Data!T128)/Inputs!$C$39)+0.35*COS(2*PI()*(0)/Inputs!$C$40)+0.2*SIN(2*PI()*((Scenario_Data!T128)+(0))/(0.5*(Inputs!$C$39+Inputs!$C$40))))+Inputs!$C$38*SIN(2*PI()*(Scenario_Data!T128)/Inputs!$C$39)*SIN(2*PI()*(0)/Inputs!$C$40)+-Inputs!$C$41*EXP(-(((0)-Inputs!$C$43)^2)/(2*Inputs!$C$44^2))*EXP(-(((Scenario_Data!T128)-Inputs!$C$42)^2)/(2*Inputs!$C$45^2))+Inputs!$C$48*(0.7*(0.45*SIN(2*PI()*(((Scenario_Data!T128)/Inputs!$C$49)+Inputs!$C$47*0.137))+0.35*COS(2*PI()*(((0)/Inputs!$C$50)+Inputs!$C$47*0.173))+0.2*SIN(2*PI()*((((Scenario_Data!T128)+(0))/(0.5*(Inputs!$C$49+Inputs!$C$50)))+Inputs!$C$47*0.097)))+0.3*(2*((SIN(((Scenario_Data!T128)*12.9898+(0)*78.233+Inputs!$C$47*37.719))*43758.5453)-INT((SIN(((Scenario_Data!T128)*12.9898+(0)*78.233+Inputs!$C$47*37.719))*43758.5453)))-1)))))/Inputs!$C$21*1000000</f>
        <v/>
      </c>
      <c r="Z128">
        <f>Scenario_Data!U128</f>
        <v/>
      </c>
      <c r="AA128">
        <f>2*((Scenario_Data!C128*1000)-(IF(OR(Inputs!$C$27=TRUE,Inputs!$C$27="TRUE",Inputs!$C$27=1),1,0)*(Inputs!$C$51*(115*EXP(-(((0)-25)^2)/(4.5^2))+70*EXP(-(((0)+38)^2)/(7^2))*(0.55+0.45*SIN(2*PI()*(Scenario_Data!U128)/45))+24*SIN(2*PI()*(0)/9+(Scenario_Data!U128)/18)*EXP(-(((0)+5)^2)/(22^2))+18*SIN(2*PI()*(Scenario_Data!U128)/70))+Inputs!$C$28*EXP(-(((Scenario_Data!U128)-Inputs!$C$29)^2)/(2*Inputs!$C$31^2))*EXP(-(((0)-Inputs!$C$30)^2)/(2*Inputs!$C$32^2))+-Inputs!$C$33*EXP(-(((((Scenario_Data!U128)-Inputs!$C$34)^2)+(((0)-Inputs!$C$35)^2))/(2*Inputs!$C$36^2)))+Inputs!$C$37*(0.55*SIN(2*PI()*(Scenario_Data!U128)/Inputs!$C$39)+0.35*COS(2*PI()*(0)/Inputs!$C$40)+0.2*SIN(2*PI()*((Scenario_Data!U128)+(0))/(0.5*(Inputs!$C$39+Inputs!$C$40))))+Inputs!$C$38*SIN(2*PI()*(Scenario_Data!U128)/Inputs!$C$39)*SIN(2*PI()*(0)/Inputs!$C$40)+-Inputs!$C$41*EXP(-(((0)-Inputs!$C$43)^2)/(2*Inputs!$C$44^2))*EXP(-(((Scenario_Data!U128)-Inputs!$C$42)^2)/(2*Inputs!$C$45^2))+Inputs!$C$48*(0.7*(0.45*SIN(2*PI()*(((Scenario_Data!U128)/Inputs!$C$49)+Inputs!$C$47*0.137))+0.35*COS(2*PI()*(((0)/Inputs!$C$50)+Inputs!$C$47*0.173))+0.2*SIN(2*PI()*((((Scenario_Data!U128)+(0))/(0.5*(Inputs!$C$49+Inputs!$C$50)))+Inputs!$C$47*0.097)))+0.3*(2*((SIN(((Scenario_Data!U128)*12.9898+(0)*78.233+Inputs!$C$47*37.719))*43758.5453)-INT((SIN(((Scenario_Data!U128)*12.9898+(0)*78.233+Inputs!$C$47*37.719))*43758.5453)))-1)))))/Inputs!$C$21*1000000</f>
        <v/>
      </c>
      <c r="AB128">
        <f>Scenario_Data!V128</f>
        <v/>
      </c>
      <c r="AC128">
        <f>2*((Scenario_Data!D128*1000)-(IF(OR(Inputs!$C$27=TRUE,Inputs!$C$27="TRUE",Inputs!$C$27=1),1,0)*(Inputs!$C$51*(115*EXP(-(((0)-25)^2)/(4.5^2))+70*EXP(-(((0)+38)^2)/(7^2))*(0.55+0.45*SIN(2*PI()*(Scenario_Data!V128)/45))+24*SIN(2*PI()*(0)/9+(Scenario_Data!V128)/18)*EXP(-(((0)+5)^2)/(22^2))+18*SIN(2*PI()*(Scenario_Data!V128)/70))+Inputs!$C$28*EXP(-(((Scenario_Data!V128)-Inputs!$C$29)^2)/(2*Inputs!$C$31^2))*EXP(-(((0)-Inputs!$C$30)^2)/(2*Inputs!$C$32^2))+-Inputs!$C$33*EXP(-(((((Scenario_Data!V128)-Inputs!$C$34)^2)+(((0)-Inputs!$C$35)^2))/(2*Inputs!$C$36^2)))+Inputs!$C$37*(0.55*SIN(2*PI()*(Scenario_Data!V128)/Inputs!$C$39)+0.35*COS(2*PI()*(0)/Inputs!$C$40)+0.2*SIN(2*PI()*((Scenario_Data!V128)+(0))/(0.5*(Inputs!$C$39+Inputs!$C$40))))+Inputs!$C$38*SIN(2*PI()*(Scenario_Data!V128)/Inputs!$C$39)*SIN(2*PI()*(0)/Inputs!$C$40)+-Inputs!$C$41*EXP(-(((0)-Inputs!$C$43)^2)/(2*Inputs!$C$44^2))*EXP(-(((Scenario_Data!V128)-Inputs!$C$42)^2)/(2*Inputs!$C$45^2))+Inputs!$C$48*(0.7*(0.45*SIN(2*PI()*(((Scenario_Data!V128)/Inputs!$C$49)+Inputs!$C$47*0.137))+0.35*COS(2*PI()*(((0)/Inputs!$C$50)+Inputs!$C$47*0.173))+0.2*SIN(2*PI()*((((Scenario_Data!V128)+(0))/(0.5*(Inputs!$C$49+Inputs!$C$50)))+Inputs!$C$47*0.097)))+0.3*(2*((SIN(((Scenario_Data!V128)*12.9898+(0)*78.233+Inputs!$C$47*37.719))*43758.5453)-INT((SIN(((Scenario_Data!V128)*12.9898+(0)*78.233+Inputs!$C$47*37.719))*43758.5453)))-1)))))/Inputs!$C$21*1000000</f>
        <v/>
      </c>
      <c r="AD128">
        <f>Scenario_Data!W128</f>
        <v/>
      </c>
      <c r="AE128">
        <f>2*((Scenario_Data!E128*1000)-(IF(OR(Inputs!$C$27=TRUE,Inputs!$C$27="TRUE",Inputs!$C$27=1),1,0)*(Inputs!$C$51*(115*EXP(-(((0)-25)^2)/(4.5^2))+70*EXP(-(((0)+38)^2)/(7^2))*(0.55+0.45*SIN(2*PI()*(Scenario_Data!W128)/45))+24*SIN(2*PI()*(0)/9+(Scenario_Data!W128)/18)*EXP(-(((0)+5)^2)/(22^2))+18*SIN(2*PI()*(Scenario_Data!W128)/70))+Inputs!$C$28*EXP(-(((Scenario_Data!W128)-Inputs!$C$29)^2)/(2*Inputs!$C$31^2))*EXP(-(((0)-Inputs!$C$30)^2)/(2*Inputs!$C$32^2))+-Inputs!$C$33*EXP(-(((((Scenario_Data!W128)-Inputs!$C$34)^2)+(((0)-Inputs!$C$35)^2))/(2*Inputs!$C$36^2)))+Inputs!$C$37*(0.55*SIN(2*PI()*(Scenario_Data!W128)/Inputs!$C$39)+0.35*COS(2*PI()*(0)/Inputs!$C$40)+0.2*SIN(2*PI()*((Scenario_Data!W128)+(0))/(0.5*(Inputs!$C$39+Inputs!$C$40))))+Inputs!$C$38*SIN(2*PI()*(Scenario_Data!W128)/Inputs!$C$39)*SIN(2*PI()*(0)/Inputs!$C$40)+-Inputs!$C$41*EXP(-(((0)-Inputs!$C$43)^2)/(2*Inputs!$C$44^2))*EXP(-(((Scenario_Data!W128)-Inputs!$C$42)^2)/(2*Inputs!$C$45^2))+Inputs!$C$48*(0.7*(0.45*SIN(2*PI()*(((Scenario_Data!W128)/Inputs!$C$49)+Inputs!$C$47*0.137))+0.35*COS(2*PI()*(((0)/Inputs!$C$50)+Inputs!$C$47*0.173))+0.2*SIN(2*PI()*((((Scenario_Data!W128)+(0))/(0.5*(Inputs!$C$49+Inputs!$C$50)))+Inputs!$C$47*0.097)))+0.3*(2*((SIN(((Scenario_Data!W128)*12.9898+(0)*78.233+Inputs!$C$47*37.719))*43758.5453)-INT((SIN(((Scenario_Data!W128)*12.9898+(0)*78.233+Inputs!$C$47*37.719))*43758.5453)))-1)))))/Inputs!$C$21*1000000</f>
        <v/>
      </c>
      <c r="AG128">
        <f>Scenario_Data!T128</f>
        <v/>
      </c>
      <c r="AH128">
        <f>2*(SQRT((Inputs!$C$52+(Scenario_Data!B128))^2+Inputs!$C$52^2-2*(Inputs!$C$52+(Scenario_Data!B128))*Inputs!$C$52*COS(SQRT((Scenario_Data!T128)^2+Inputs!$C$6^2)/Inputs!$C$52))*1000)/Inputs!$C$21*1000000</f>
        <v/>
      </c>
      <c r="AI128">
        <f>Scenario_Data!U128</f>
        <v/>
      </c>
      <c r="AJ128">
        <f>2*(SQRT((Inputs!$C$52+(Scenario_Data!C128))^2+Inputs!$C$52^2-2*(Inputs!$C$52+(Scenario_Data!C128))*Inputs!$C$52*COS(SQRT((Scenario_Data!U128)^2+Inputs!$C$6^2)/Inputs!$C$52))*1000)/Inputs!$C$21*1000000</f>
        <v/>
      </c>
      <c r="AK128">
        <f>Scenario_Data!V128</f>
        <v/>
      </c>
      <c r="AL128">
        <f>2*(SQRT((Inputs!$C$52+(Scenario_Data!D128))^2+Inputs!$C$52^2-2*(Inputs!$C$52+(Scenario_Data!D128))*Inputs!$C$52*COS(SQRT((Scenario_Data!V128)^2+Inputs!$C$6^2)/Inputs!$C$52))*1000)/Inputs!$C$21*1000000</f>
        <v/>
      </c>
      <c r="AM128">
        <f>Scenario_Data!W128</f>
        <v/>
      </c>
      <c r="AN128">
        <f>2*(SQRT((Inputs!$C$52+(Scenario_Data!E128))^2+Inputs!$C$52^2-2*(Inputs!$C$52+(Scenario_Data!E128))*Inputs!$C$52*COS(SQRT((Scenario_Data!W128)^2+Inputs!$C$6^2)/Inputs!$C$52))*1000)/Inputs!$C$21*1000000</f>
        <v/>
      </c>
      <c r="AP128">
        <f>Scenario_Data!T128</f>
        <v/>
      </c>
      <c r="AQ128">
        <f>2*(SQRT((Inputs!$C$52+(Scenario_Data!B128))^2+(Inputs!$C$52+((IF(OR(Inputs!$C$27=TRUE,Inputs!$C$27="TRUE",Inputs!$C$27=1),1,0)*(Inputs!$C$51*(115*EXP(-(((Inputs!$C$6)-25)^2)/(4.5^2))+70*EXP(-(((Inputs!$C$6)+38)^2)/(7^2))*(0.55+0.45*SIN(2*PI()*(Scenario_Data!T128)/45))+24*SIN(2*PI()*(Inputs!$C$6)/9+(Scenario_Data!T128)/18)*EXP(-(((Inputs!$C$6)+5)^2)/(22^2))+18*SIN(2*PI()*(Scenario_Data!T128)/70))+Inputs!$C$28*EXP(-(((Scenario_Data!T128)-Inputs!$C$29)^2)/(2*Inputs!$C$31^2))*EXP(-(((Inputs!$C$6)-Inputs!$C$30)^2)/(2*Inputs!$C$32^2))+-Inputs!$C$33*EXP(-(((((Scenario_Data!T128)-Inputs!$C$34)^2)+(((Inputs!$C$6)-Inputs!$C$35)^2))/(2*Inputs!$C$36^2)))+Inputs!$C$37*(0.55*SIN(2*PI()*(Scenario_Data!T128)/Inputs!$C$39)+0.35*COS(2*PI()*(Inputs!$C$6)/Inputs!$C$40)+0.2*SIN(2*PI()*((Scenario_Data!T128)+(Inputs!$C$6))/(0.5*(Inputs!$C$39+Inputs!$C$40))))+Inputs!$C$38*SIN(2*PI()*(Scenario_Data!T128)/Inputs!$C$39)*SIN(2*PI()*(Inputs!$C$6)/Inputs!$C$40)+-Inputs!$C$41*EXP(-(((Inputs!$C$6)-Inputs!$C$43)^2)/(2*Inputs!$C$44^2))*EXP(-(((Scenario_Data!T128)-Inputs!$C$42)^2)/(2*Inputs!$C$45^2))+Inputs!$C$48*(0.7*(0.45*SIN(2*PI()*(((Scenario_Data!T128)/Inputs!$C$49)+Inputs!$C$47*0.137))+0.35*COS(2*PI()*(((Inputs!$C$6)/Inputs!$C$50)+Inputs!$C$47*0.173))+0.2*SIN(2*PI()*((((Scenario_Data!T128)+(Inputs!$C$6))/(0.5*(Inputs!$C$49+Inputs!$C$50)))+Inputs!$C$47*0.097)))+0.3*(2*((SIN(((Scenario_Data!T128)*12.9898+(Inputs!$C$6)*78.233+Inputs!$C$47*37.719))*43758.5453)-INT((SIN(((Scenario_Data!T128)*12.9898+(Inputs!$C$6)*78.233+Inputs!$C$47*37.719))*43758.5453)))-1))))/1000))^2-2*(Inputs!$C$52+(Scenario_Data!B128))*(Inputs!$C$52+((IF(OR(Inputs!$C$27=TRUE,Inputs!$C$27="TRUE",Inputs!$C$27=1),1,0)*(Inputs!$C$51*(115*EXP(-(((Inputs!$C$6)-25)^2)/(4.5^2))+70*EXP(-(((Inputs!$C$6)+38)^2)/(7^2))*(0.55+0.45*SIN(2*PI()*(Scenario_Data!T128)/45))+24*SIN(2*PI()*(Inputs!$C$6)/9+(Scenario_Data!T128)/18)*EXP(-(((Inputs!$C$6)+5)^2)/(22^2))+18*SIN(2*PI()*(Scenario_Data!T128)/70))+Inputs!$C$28*EXP(-(((Scenario_Data!T128)-Inputs!$C$29)^2)/(2*Inputs!$C$31^2))*EXP(-(((Inputs!$C$6)-Inputs!$C$30)^2)/(2*Inputs!$C$32^2))+-Inputs!$C$33*EXP(-(((((Scenario_Data!T128)-Inputs!$C$34)^2)+(((Inputs!$C$6)-Inputs!$C$35)^2))/(2*Inputs!$C$36^2)))+Inputs!$C$37*(0.55*SIN(2*PI()*(Scenario_Data!T128)/Inputs!$C$39)+0.35*COS(2*PI()*(Inputs!$C$6)/Inputs!$C$40)+0.2*SIN(2*PI()*((Scenario_Data!T128)+(Inputs!$C$6))/(0.5*(Inputs!$C$39+Inputs!$C$40))))+Inputs!$C$38*SIN(2*PI()*(Scenario_Data!T128)/Inputs!$C$39)*SIN(2*PI()*(Inputs!$C$6)/Inputs!$C$40)+-Inputs!$C$41*EXP(-(((Inputs!$C$6)-Inputs!$C$43)^2)/(2*Inputs!$C$44^2))*EXP(-(((Scenario_Data!T128)-Inputs!$C$42)^2)/(2*Inputs!$C$45^2))+Inputs!$C$48*(0.7*(0.45*SIN(2*PI()*(((Scenario_Data!T128)/Inputs!$C$49)+Inputs!$C$47*0.137))+0.35*COS(2*PI()*(((Inputs!$C$6)/Inputs!$C$50)+Inputs!$C$47*0.173))+0.2*SIN(2*PI()*((((Scenario_Data!T128)+(Inputs!$C$6))/(0.5*(Inputs!$C$49+Inputs!$C$50)))+Inputs!$C$47*0.097)))+0.3*(2*((SIN(((Scenario_Data!T128)*12.9898+(Inputs!$C$6)*78.233+Inputs!$C$47*37.719))*43758.5453)-INT((SIN(((Scenario_Data!T128)*12.9898+(Inputs!$C$6)*78.233+Inputs!$C$47*37.719))*43758.5453)))-1))))/1000))*COS(SQRT((Scenario_Data!T128)^2+Inputs!$C$6^2)/Inputs!$C$52))*1000)/Inputs!$C$21*1000000</f>
        <v/>
      </c>
      <c r="AR128">
        <f>Scenario_Data!U128</f>
        <v/>
      </c>
      <c r="AS128">
        <f>2*(SQRT((Inputs!$C$52+(Scenario_Data!C128))^2+(Inputs!$C$52+((IF(OR(Inputs!$C$27=TRUE,Inputs!$C$27="TRUE",Inputs!$C$27=1),1,0)*(Inputs!$C$51*(115*EXP(-(((Inputs!$C$6)-25)^2)/(4.5^2))+70*EXP(-(((Inputs!$C$6)+38)^2)/(7^2))*(0.55+0.45*SIN(2*PI()*(Scenario_Data!U128)/45))+24*SIN(2*PI()*(Inputs!$C$6)/9+(Scenario_Data!U128)/18)*EXP(-(((Inputs!$C$6)+5)^2)/(22^2))+18*SIN(2*PI()*(Scenario_Data!U128)/70))+Inputs!$C$28*EXP(-(((Scenario_Data!U128)-Inputs!$C$29)^2)/(2*Inputs!$C$31^2))*EXP(-(((Inputs!$C$6)-Inputs!$C$30)^2)/(2*Inputs!$C$32^2))+-Inputs!$C$33*EXP(-(((((Scenario_Data!U128)-Inputs!$C$34)^2)+(((Inputs!$C$6)-Inputs!$C$35)^2))/(2*Inputs!$C$36^2)))+Inputs!$C$37*(0.55*SIN(2*PI()*(Scenario_Data!U128)/Inputs!$C$39)+0.35*COS(2*PI()*(Inputs!$C$6)/Inputs!$C$40)+0.2*SIN(2*PI()*((Scenario_Data!U128)+(Inputs!$C$6))/(0.5*(Inputs!$C$39+Inputs!$C$40))))+Inputs!$C$38*SIN(2*PI()*(Scenario_Data!U128)/Inputs!$C$39)*SIN(2*PI()*(Inputs!$C$6)/Inputs!$C$40)+-Inputs!$C$41*EXP(-(((Inputs!$C$6)-Inputs!$C$43)^2)/(2*Inputs!$C$44^2))*EXP(-(((Scenario_Data!U128)-Inputs!$C$42)^2)/(2*Inputs!$C$45^2))+Inputs!$C$48*(0.7*(0.45*SIN(2*PI()*(((Scenario_Data!U128)/Inputs!$C$49)+Inputs!$C$47*0.137))+0.35*COS(2*PI()*(((Inputs!$C$6)/Inputs!$C$50)+Inputs!$C$47*0.173))+0.2*SIN(2*PI()*((((Scenario_Data!U128)+(Inputs!$C$6))/(0.5*(Inputs!$C$49+Inputs!$C$50)))+Inputs!$C$47*0.097)))+0.3*(2*((SIN(((Scenario_Data!U128)*12.9898+(Inputs!$C$6)*78.233+Inputs!$C$47*37.719))*43758.5453)-INT((SIN(((Scenario_Data!U128)*12.9898+(Inputs!$C$6)*78.233+Inputs!$C$47*37.719))*43758.5453)))-1))))/1000))^2-2*(Inputs!$C$52+(Scenario_Data!C128))*(Inputs!$C$52+((IF(OR(Inputs!$C$27=TRUE,Inputs!$C$27="TRUE",Inputs!$C$27=1),1,0)*(Inputs!$C$51*(115*EXP(-(((Inputs!$C$6)-25)^2)/(4.5^2))+70*EXP(-(((Inputs!$C$6)+38)^2)/(7^2))*(0.55+0.45*SIN(2*PI()*(Scenario_Data!U128)/45))+24*SIN(2*PI()*(Inputs!$C$6)/9+(Scenario_Data!U128)/18)*EXP(-(((Inputs!$C$6)+5)^2)/(22^2))+18*SIN(2*PI()*(Scenario_Data!U128)/70))+Inputs!$C$28*EXP(-(((Scenario_Data!U128)-Inputs!$C$29)^2)/(2*Inputs!$C$31^2))*EXP(-(((Inputs!$C$6)-Inputs!$C$30)^2)/(2*Inputs!$C$32^2))+-Inputs!$C$33*EXP(-(((((Scenario_Data!U128)-Inputs!$C$34)^2)+(((Inputs!$C$6)-Inputs!$C$35)^2))/(2*Inputs!$C$36^2)))+Inputs!$C$37*(0.55*SIN(2*PI()*(Scenario_Data!U128)/Inputs!$C$39)+0.35*COS(2*PI()*(Inputs!$C$6)/Inputs!$C$40)+0.2*SIN(2*PI()*((Scenario_Data!U128)+(Inputs!$C$6))/(0.5*(Inputs!$C$39+Inputs!$C$40))))+Inputs!$C$38*SIN(2*PI()*(Scenario_Data!U128)/Inputs!$C$39)*SIN(2*PI()*(Inputs!$C$6)/Inputs!$C$40)+-Inputs!$C$41*EXP(-(((Inputs!$C$6)-Inputs!$C$43)^2)/(2*Inputs!$C$44^2))*EXP(-(((Scenario_Data!U128)-Inputs!$C$42)^2)/(2*Inputs!$C$45^2))+Inputs!$C$48*(0.7*(0.45*SIN(2*PI()*(((Scenario_Data!U128)/Inputs!$C$49)+Inputs!$C$47*0.137))+0.35*COS(2*PI()*(((Inputs!$C$6)/Inputs!$C$50)+Inputs!$C$47*0.173))+0.2*SIN(2*PI()*((((Scenario_Data!U128)+(Inputs!$C$6))/(0.5*(Inputs!$C$49+Inputs!$C$50)))+Inputs!$C$47*0.097)))+0.3*(2*((SIN(((Scenario_Data!U128)*12.9898+(Inputs!$C$6)*78.233+Inputs!$C$47*37.719))*43758.5453)-INT((SIN(((Scenario_Data!U128)*12.9898+(Inputs!$C$6)*78.233+Inputs!$C$47*37.719))*43758.5453)))-1))))/1000))*COS(SQRT((Scenario_Data!U128)^2+Inputs!$C$6^2)/Inputs!$C$52))*1000)/Inputs!$C$21*1000000</f>
        <v/>
      </c>
      <c r="AT128">
        <f>Scenario_Data!V128</f>
        <v/>
      </c>
      <c r="AU128">
        <f>2*(SQRT((Inputs!$C$52+(Scenario_Data!D128))^2+(Inputs!$C$52+((IF(OR(Inputs!$C$27=TRUE,Inputs!$C$27="TRUE",Inputs!$C$27=1),1,0)*(Inputs!$C$51*(115*EXP(-(((Inputs!$C$6)-25)^2)/(4.5^2))+70*EXP(-(((Inputs!$C$6)+38)^2)/(7^2))*(0.55+0.45*SIN(2*PI()*(Scenario_Data!V128)/45))+24*SIN(2*PI()*(Inputs!$C$6)/9+(Scenario_Data!V128)/18)*EXP(-(((Inputs!$C$6)+5)^2)/(22^2))+18*SIN(2*PI()*(Scenario_Data!V128)/70))+Inputs!$C$28*EXP(-(((Scenario_Data!V128)-Inputs!$C$29)^2)/(2*Inputs!$C$31^2))*EXP(-(((Inputs!$C$6)-Inputs!$C$30)^2)/(2*Inputs!$C$32^2))+-Inputs!$C$33*EXP(-(((((Scenario_Data!V128)-Inputs!$C$34)^2)+(((Inputs!$C$6)-Inputs!$C$35)^2))/(2*Inputs!$C$36^2)))+Inputs!$C$37*(0.55*SIN(2*PI()*(Scenario_Data!V128)/Inputs!$C$39)+0.35*COS(2*PI()*(Inputs!$C$6)/Inputs!$C$40)+0.2*SIN(2*PI()*((Scenario_Data!V128)+(Inputs!$C$6))/(0.5*(Inputs!$C$39+Inputs!$C$40))))+Inputs!$C$38*SIN(2*PI()*(Scenario_Data!V128)/Inputs!$C$39)*SIN(2*PI()*(Inputs!$C$6)/Inputs!$C$40)+-Inputs!$C$41*EXP(-(((Inputs!$C$6)-Inputs!$C$43)^2)/(2*Inputs!$C$44^2))*EXP(-(((Scenario_Data!V128)-Inputs!$C$42)^2)/(2*Inputs!$C$45^2))+Inputs!$C$48*(0.7*(0.45*SIN(2*PI()*(((Scenario_Data!V128)/Inputs!$C$49)+Inputs!$C$47*0.137))+0.35*COS(2*PI()*(((Inputs!$C$6)/Inputs!$C$50)+Inputs!$C$47*0.173))+0.2*SIN(2*PI()*((((Scenario_Data!V128)+(Inputs!$C$6))/(0.5*(Inputs!$C$49+Inputs!$C$50)))+Inputs!$C$47*0.097)))+0.3*(2*((SIN(((Scenario_Data!V128)*12.9898+(Inputs!$C$6)*78.233+Inputs!$C$47*37.719))*43758.5453)-INT((SIN(((Scenario_Data!V128)*12.9898+(Inputs!$C$6)*78.233+Inputs!$C$47*37.719))*43758.5453)))-1))))/1000))^2-2*(Inputs!$C$52+(Scenario_Data!D128))*(Inputs!$C$52+((IF(OR(Inputs!$C$27=TRUE,Inputs!$C$27="TRUE",Inputs!$C$27=1),1,0)*(Inputs!$C$51*(115*EXP(-(((Inputs!$C$6)-25)^2)/(4.5^2))+70*EXP(-(((Inputs!$C$6)+38)^2)/(7^2))*(0.55+0.45*SIN(2*PI()*(Scenario_Data!V128)/45))+24*SIN(2*PI()*(Inputs!$C$6)/9+(Scenario_Data!V128)/18)*EXP(-(((Inputs!$C$6)+5)^2)/(22^2))+18*SIN(2*PI()*(Scenario_Data!V128)/70))+Inputs!$C$28*EXP(-(((Scenario_Data!V128)-Inputs!$C$29)^2)/(2*Inputs!$C$31^2))*EXP(-(((Inputs!$C$6)-Inputs!$C$30)^2)/(2*Inputs!$C$32^2))+-Inputs!$C$33*EXP(-(((((Scenario_Data!V128)-Inputs!$C$34)^2)+(((Inputs!$C$6)-Inputs!$C$35)^2))/(2*Inputs!$C$36^2)))+Inputs!$C$37*(0.55*SIN(2*PI()*(Scenario_Data!V128)/Inputs!$C$39)+0.35*COS(2*PI()*(Inputs!$C$6)/Inputs!$C$40)+0.2*SIN(2*PI()*((Scenario_Data!V128)+(Inputs!$C$6))/(0.5*(Inputs!$C$39+Inputs!$C$40))))+Inputs!$C$38*SIN(2*PI()*(Scenario_Data!V128)/Inputs!$C$39)*SIN(2*PI()*(Inputs!$C$6)/Inputs!$C$40)+-Inputs!$C$41*EXP(-(((Inputs!$C$6)-Inputs!$C$43)^2)/(2*Inputs!$C$44^2))*EXP(-(((Scenario_Data!V128)-Inputs!$C$42)^2)/(2*Inputs!$C$45^2))+Inputs!$C$48*(0.7*(0.45*SIN(2*PI()*(((Scenario_Data!V128)/Inputs!$C$49)+Inputs!$C$47*0.137))+0.35*COS(2*PI()*(((Inputs!$C$6)/Inputs!$C$50)+Inputs!$C$47*0.173))+0.2*SIN(2*PI()*((((Scenario_Data!V128)+(Inputs!$C$6))/(0.5*(Inputs!$C$49+Inputs!$C$50)))+Inputs!$C$47*0.097)))+0.3*(2*((SIN(((Scenario_Data!V128)*12.9898+(Inputs!$C$6)*78.233+Inputs!$C$47*37.719))*43758.5453)-INT((SIN(((Scenario_Data!V128)*12.9898+(Inputs!$C$6)*78.233+Inputs!$C$47*37.719))*43758.5453)))-1))))/1000))*COS(SQRT((Scenario_Data!V128)^2+Inputs!$C$6^2)/Inputs!$C$52))*1000)/Inputs!$C$21*1000000</f>
        <v/>
      </c>
      <c r="AV128">
        <f>Scenario_Data!W128</f>
        <v/>
      </c>
      <c r="AW128">
        <f>2*(SQRT((Inputs!$C$52+(Scenario_Data!E128))^2+(Inputs!$C$52+((IF(OR(Inputs!$C$27=TRUE,Inputs!$C$27="TRUE",Inputs!$C$27=1),1,0)*(Inputs!$C$51*(115*EXP(-(((Inputs!$C$6)-25)^2)/(4.5^2))+70*EXP(-(((Inputs!$C$6)+38)^2)/(7^2))*(0.55+0.45*SIN(2*PI()*(Scenario_Data!W128)/45))+24*SIN(2*PI()*(Inputs!$C$6)/9+(Scenario_Data!W128)/18)*EXP(-(((Inputs!$C$6)+5)^2)/(22^2))+18*SIN(2*PI()*(Scenario_Data!W128)/70))+Inputs!$C$28*EXP(-(((Scenario_Data!W128)-Inputs!$C$29)^2)/(2*Inputs!$C$31^2))*EXP(-(((Inputs!$C$6)-Inputs!$C$30)^2)/(2*Inputs!$C$32^2))+-Inputs!$C$33*EXP(-(((((Scenario_Data!W128)-Inputs!$C$34)^2)+(((Inputs!$C$6)-Inputs!$C$35)^2))/(2*Inputs!$C$36^2)))+Inputs!$C$37*(0.55*SIN(2*PI()*(Scenario_Data!W128)/Inputs!$C$39)+0.35*COS(2*PI()*(Inputs!$C$6)/Inputs!$C$40)+0.2*SIN(2*PI()*((Scenario_Data!W128)+(Inputs!$C$6))/(0.5*(Inputs!$C$39+Inputs!$C$40))))+Inputs!$C$38*SIN(2*PI()*(Scenario_Data!W128)/Inputs!$C$39)*SIN(2*PI()*(Inputs!$C$6)/Inputs!$C$40)+-Inputs!$C$41*EXP(-(((Inputs!$C$6)-Inputs!$C$43)^2)/(2*Inputs!$C$44^2))*EXP(-(((Scenario_Data!W128)-Inputs!$C$42)^2)/(2*Inputs!$C$45^2))+Inputs!$C$48*(0.7*(0.45*SIN(2*PI()*(((Scenario_Data!W128)/Inputs!$C$49)+Inputs!$C$47*0.137))+0.35*COS(2*PI()*(((Inputs!$C$6)/Inputs!$C$50)+Inputs!$C$47*0.173))+0.2*SIN(2*PI()*((((Scenario_Data!W128)+(Inputs!$C$6))/(0.5*(Inputs!$C$49+Inputs!$C$50)))+Inputs!$C$47*0.097)))+0.3*(2*((SIN(((Scenario_Data!W128)*12.9898+(Inputs!$C$6)*78.233+Inputs!$C$47*37.719))*43758.5453)-INT((SIN(((Scenario_Data!W128)*12.9898+(Inputs!$C$6)*78.233+Inputs!$C$47*37.719))*43758.5453)))-1))))/1000))^2-2*(Inputs!$C$52+(Scenario_Data!E128))*(Inputs!$C$52+((IF(OR(Inputs!$C$27=TRUE,Inputs!$C$27="TRUE",Inputs!$C$27=1),1,0)*(Inputs!$C$51*(115*EXP(-(((Inputs!$C$6)-25)^2)/(4.5^2))+70*EXP(-(((Inputs!$C$6)+38)^2)/(7^2))*(0.55+0.45*SIN(2*PI()*(Scenario_Data!W128)/45))+24*SIN(2*PI()*(Inputs!$C$6)/9+(Scenario_Data!W128)/18)*EXP(-(((Inputs!$C$6)+5)^2)/(22^2))+18*SIN(2*PI()*(Scenario_Data!W128)/70))+Inputs!$C$28*EXP(-(((Scenario_Data!W128)-Inputs!$C$29)^2)/(2*Inputs!$C$31^2))*EXP(-(((Inputs!$C$6)-Inputs!$C$30)^2)/(2*Inputs!$C$32^2))+-Inputs!$C$33*EXP(-(((((Scenario_Data!W128)-Inputs!$C$34)^2)+(((Inputs!$C$6)-Inputs!$C$35)^2))/(2*Inputs!$C$36^2)))+Inputs!$C$37*(0.55*SIN(2*PI()*(Scenario_Data!W128)/Inputs!$C$39)+0.35*COS(2*PI()*(Inputs!$C$6)/Inputs!$C$40)+0.2*SIN(2*PI()*((Scenario_Data!W128)+(Inputs!$C$6))/(0.5*(Inputs!$C$39+Inputs!$C$40))))+Inputs!$C$38*SIN(2*PI()*(Scenario_Data!W128)/Inputs!$C$39)*SIN(2*PI()*(Inputs!$C$6)/Inputs!$C$40)+-Inputs!$C$41*EXP(-(((Inputs!$C$6)-Inputs!$C$43)^2)/(2*Inputs!$C$44^2))*EXP(-(((Scenario_Data!W128)-Inputs!$C$42)^2)/(2*Inputs!$C$45^2))+Inputs!$C$48*(0.7*(0.45*SIN(2*PI()*(((Scenario_Data!W128)/Inputs!$C$49)+Inputs!$C$47*0.137))+0.35*COS(2*PI()*(((Inputs!$C$6)/Inputs!$C$50)+Inputs!$C$47*0.173))+0.2*SIN(2*PI()*((((Scenario_Data!W128)+(Inputs!$C$6))/(0.5*(Inputs!$C$49+Inputs!$C$50)))+Inputs!$C$47*0.097)))+0.3*(2*((SIN(((Scenario_Data!W128)*12.9898+(Inputs!$C$6)*78.233+Inputs!$C$47*37.719))*43758.5453)-INT((SIN(((Scenario_Data!W128)*12.9898+(Inputs!$C$6)*78.233+Inputs!$C$47*37.719))*43758.5453)))-1))))/1000))*COS(SQRT((Scenario_Data!W128)^2+Inputs!$C$6^2)/Inputs!$C$52))*1000)/Inputs!$C$21*1000000</f>
        <v/>
      </c>
    </row>
    <row r="129">
      <c r="A129">
        <f>Chart_Data!K129</f>
        <v/>
      </c>
      <c r="B129">
        <f>Chart_Data!N129-Chart_Data!L129</f>
        <v/>
      </c>
      <c r="D129">
        <f>Chart_Data!G129</f>
        <v/>
      </c>
      <c r="E129">
        <f>Chart_Data!H129</f>
        <v/>
      </c>
      <c r="F129">
        <f>Chart_Data!I129</f>
        <v/>
      </c>
      <c r="G129">
        <f>Chart_Data!J129</f>
        <v/>
      </c>
      <c r="I129">
        <f>Scenario_Data!A129</f>
        <v/>
      </c>
      <c r="J129">
        <f>Scenario_Data!H129-(((SQRT((Inputs!$C$52+(Inputs!$H$6))^2+Inputs!$C$52^2-2*(Inputs!$C$52+(Inputs!$H$6))*Inputs!$C$52*COS(SQRT((Scenario_Data!T129)^2+Inputs!$C$6^2)/Inputs!$C$52)))-(Inputs!$H$6))*1000/Inputs!$C$12)</f>
        <v/>
      </c>
      <c r="K129">
        <f>Scenario_Data!I129-(((SQRT((Inputs!$C$52+(Inputs!$H$7))^2+Inputs!$C$52^2-2*(Inputs!$C$52+(Inputs!$H$7))*Inputs!$C$52*COS(SQRT((Scenario_Data!U129)^2+Inputs!$C$6^2)/Inputs!$C$52)))-(Inputs!$H$7))*1000/Inputs!$C$12)</f>
        <v/>
      </c>
      <c r="L129">
        <f>Scenario_Data!J129-(((SQRT((Inputs!$C$52+(Inputs!$H$8))^2+Inputs!$C$52^2-2*(Inputs!$C$52+(Inputs!$H$8))*Inputs!$C$52*COS(SQRT((Scenario_Data!V129)^2+Inputs!$C$6^2)/Inputs!$C$52)))-(Inputs!$H$8))*1000/Inputs!$C$12)</f>
        <v/>
      </c>
      <c r="M129">
        <f>Scenario_Data!K129-(((SQRT((Inputs!$C$52+(Inputs!$H$9))^2+Inputs!$C$52^2-2*(Inputs!$C$52+(Inputs!$H$9))*Inputs!$C$52*COS(SQRT((Scenario_Data!W129)^2+Inputs!$C$6^2)/Inputs!$C$52)))-(Inputs!$H$9))*1000/Inputs!$C$12)</f>
        <v/>
      </c>
      <c r="O129">
        <f>Scenario_Data!T129</f>
        <v/>
      </c>
      <c r="P129">
        <f>2*(Scenario_Data!B129*1000)/Inputs!$C$21*1000000</f>
        <v/>
      </c>
      <c r="Q129">
        <f>Scenario_Data!U129</f>
        <v/>
      </c>
      <c r="R129">
        <f>2*(Scenario_Data!C129*1000)/Inputs!$C$21*1000000</f>
        <v/>
      </c>
      <c r="S129">
        <f>Scenario_Data!V129</f>
        <v/>
      </c>
      <c r="T129">
        <f>2*(Scenario_Data!D129*1000)/Inputs!$C$21*1000000</f>
        <v/>
      </c>
      <c r="U129">
        <f>Scenario_Data!W129</f>
        <v/>
      </c>
      <c r="V129">
        <f>2*(Scenario_Data!E129*1000)/Inputs!$C$21*1000000</f>
        <v/>
      </c>
      <c r="X129">
        <f>Scenario_Data!T129</f>
        <v/>
      </c>
      <c r="Y129">
        <f>2*((Scenario_Data!B129*1000)-(IF(OR(Inputs!$C$27=TRUE,Inputs!$C$27="TRUE",Inputs!$C$27=1),1,0)*(Inputs!$C$51*(115*EXP(-(((0)-25)^2)/(4.5^2))+70*EXP(-(((0)+38)^2)/(7^2))*(0.55+0.45*SIN(2*PI()*(Scenario_Data!T129)/45))+24*SIN(2*PI()*(0)/9+(Scenario_Data!T129)/18)*EXP(-(((0)+5)^2)/(22^2))+18*SIN(2*PI()*(Scenario_Data!T129)/70))+Inputs!$C$28*EXP(-(((Scenario_Data!T129)-Inputs!$C$29)^2)/(2*Inputs!$C$31^2))*EXP(-(((0)-Inputs!$C$30)^2)/(2*Inputs!$C$32^2))+-Inputs!$C$33*EXP(-(((((Scenario_Data!T129)-Inputs!$C$34)^2)+(((0)-Inputs!$C$35)^2))/(2*Inputs!$C$36^2)))+Inputs!$C$37*(0.55*SIN(2*PI()*(Scenario_Data!T129)/Inputs!$C$39)+0.35*COS(2*PI()*(0)/Inputs!$C$40)+0.2*SIN(2*PI()*((Scenario_Data!T129)+(0))/(0.5*(Inputs!$C$39+Inputs!$C$40))))+Inputs!$C$38*SIN(2*PI()*(Scenario_Data!T129)/Inputs!$C$39)*SIN(2*PI()*(0)/Inputs!$C$40)+-Inputs!$C$41*EXP(-(((0)-Inputs!$C$43)^2)/(2*Inputs!$C$44^2))*EXP(-(((Scenario_Data!T129)-Inputs!$C$42)^2)/(2*Inputs!$C$45^2))+Inputs!$C$48*(0.7*(0.45*SIN(2*PI()*(((Scenario_Data!T129)/Inputs!$C$49)+Inputs!$C$47*0.137))+0.35*COS(2*PI()*(((0)/Inputs!$C$50)+Inputs!$C$47*0.173))+0.2*SIN(2*PI()*((((Scenario_Data!T129)+(0))/(0.5*(Inputs!$C$49+Inputs!$C$50)))+Inputs!$C$47*0.097)))+0.3*(2*((SIN(((Scenario_Data!T129)*12.9898+(0)*78.233+Inputs!$C$47*37.719))*43758.5453)-INT((SIN(((Scenario_Data!T129)*12.9898+(0)*78.233+Inputs!$C$47*37.719))*43758.5453)))-1)))))/Inputs!$C$21*1000000</f>
        <v/>
      </c>
      <c r="Z129">
        <f>Scenario_Data!U129</f>
        <v/>
      </c>
      <c r="AA129">
        <f>2*((Scenario_Data!C129*1000)-(IF(OR(Inputs!$C$27=TRUE,Inputs!$C$27="TRUE",Inputs!$C$27=1),1,0)*(Inputs!$C$51*(115*EXP(-(((0)-25)^2)/(4.5^2))+70*EXP(-(((0)+38)^2)/(7^2))*(0.55+0.45*SIN(2*PI()*(Scenario_Data!U129)/45))+24*SIN(2*PI()*(0)/9+(Scenario_Data!U129)/18)*EXP(-(((0)+5)^2)/(22^2))+18*SIN(2*PI()*(Scenario_Data!U129)/70))+Inputs!$C$28*EXP(-(((Scenario_Data!U129)-Inputs!$C$29)^2)/(2*Inputs!$C$31^2))*EXP(-(((0)-Inputs!$C$30)^2)/(2*Inputs!$C$32^2))+-Inputs!$C$33*EXP(-(((((Scenario_Data!U129)-Inputs!$C$34)^2)+(((0)-Inputs!$C$35)^2))/(2*Inputs!$C$36^2)))+Inputs!$C$37*(0.55*SIN(2*PI()*(Scenario_Data!U129)/Inputs!$C$39)+0.35*COS(2*PI()*(0)/Inputs!$C$40)+0.2*SIN(2*PI()*((Scenario_Data!U129)+(0))/(0.5*(Inputs!$C$39+Inputs!$C$40))))+Inputs!$C$38*SIN(2*PI()*(Scenario_Data!U129)/Inputs!$C$39)*SIN(2*PI()*(0)/Inputs!$C$40)+-Inputs!$C$41*EXP(-(((0)-Inputs!$C$43)^2)/(2*Inputs!$C$44^2))*EXP(-(((Scenario_Data!U129)-Inputs!$C$42)^2)/(2*Inputs!$C$45^2))+Inputs!$C$48*(0.7*(0.45*SIN(2*PI()*(((Scenario_Data!U129)/Inputs!$C$49)+Inputs!$C$47*0.137))+0.35*COS(2*PI()*(((0)/Inputs!$C$50)+Inputs!$C$47*0.173))+0.2*SIN(2*PI()*((((Scenario_Data!U129)+(0))/(0.5*(Inputs!$C$49+Inputs!$C$50)))+Inputs!$C$47*0.097)))+0.3*(2*((SIN(((Scenario_Data!U129)*12.9898+(0)*78.233+Inputs!$C$47*37.719))*43758.5453)-INT((SIN(((Scenario_Data!U129)*12.9898+(0)*78.233+Inputs!$C$47*37.719))*43758.5453)))-1)))))/Inputs!$C$21*1000000</f>
        <v/>
      </c>
      <c r="AB129">
        <f>Scenario_Data!V129</f>
        <v/>
      </c>
      <c r="AC129">
        <f>2*((Scenario_Data!D129*1000)-(IF(OR(Inputs!$C$27=TRUE,Inputs!$C$27="TRUE",Inputs!$C$27=1),1,0)*(Inputs!$C$51*(115*EXP(-(((0)-25)^2)/(4.5^2))+70*EXP(-(((0)+38)^2)/(7^2))*(0.55+0.45*SIN(2*PI()*(Scenario_Data!V129)/45))+24*SIN(2*PI()*(0)/9+(Scenario_Data!V129)/18)*EXP(-(((0)+5)^2)/(22^2))+18*SIN(2*PI()*(Scenario_Data!V129)/70))+Inputs!$C$28*EXP(-(((Scenario_Data!V129)-Inputs!$C$29)^2)/(2*Inputs!$C$31^2))*EXP(-(((0)-Inputs!$C$30)^2)/(2*Inputs!$C$32^2))+-Inputs!$C$33*EXP(-(((((Scenario_Data!V129)-Inputs!$C$34)^2)+(((0)-Inputs!$C$35)^2))/(2*Inputs!$C$36^2)))+Inputs!$C$37*(0.55*SIN(2*PI()*(Scenario_Data!V129)/Inputs!$C$39)+0.35*COS(2*PI()*(0)/Inputs!$C$40)+0.2*SIN(2*PI()*((Scenario_Data!V129)+(0))/(0.5*(Inputs!$C$39+Inputs!$C$40))))+Inputs!$C$38*SIN(2*PI()*(Scenario_Data!V129)/Inputs!$C$39)*SIN(2*PI()*(0)/Inputs!$C$40)+-Inputs!$C$41*EXP(-(((0)-Inputs!$C$43)^2)/(2*Inputs!$C$44^2))*EXP(-(((Scenario_Data!V129)-Inputs!$C$42)^2)/(2*Inputs!$C$45^2))+Inputs!$C$48*(0.7*(0.45*SIN(2*PI()*(((Scenario_Data!V129)/Inputs!$C$49)+Inputs!$C$47*0.137))+0.35*COS(2*PI()*(((0)/Inputs!$C$50)+Inputs!$C$47*0.173))+0.2*SIN(2*PI()*((((Scenario_Data!V129)+(0))/(0.5*(Inputs!$C$49+Inputs!$C$50)))+Inputs!$C$47*0.097)))+0.3*(2*((SIN(((Scenario_Data!V129)*12.9898+(0)*78.233+Inputs!$C$47*37.719))*43758.5453)-INT((SIN(((Scenario_Data!V129)*12.9898+(0)*78.233+Inputs!$C$47*37.719))*43758.5453)))-1)))))/Inputs!$C$21*1000000</f>
        <v/>
      </c>
      <c r="AD129">
        <f>Scenario_Data!W129</f>
        <v/>
      </c>
      <c r="AE129">
        <f>2*((Scenario_Data!E129*1000)-(IF(OR(Inputs!$C$27=TRUE,Inputs!$C$27="TRUE",Inputs!$C$27=1),1,0)*(Inputs!$C$51*(115*EXP(-(((0)-25)^2)/(4.5^2))+70*EXP(-(((0)+38)^2)/(7^2))*(0.55+0.45*SIN(2*PI()*(Scenario_Data!W129)/45))+24*SIN(2*PI()*(0)/9+(Scenario_Data!W129)/18)*EXP(-(((0)+5)^2)/(22^2))+18*SIN(2*PI()*(Scenario_Data!W129)/70))+Inputs!$C$28*EXP(-(((Scenario_Data!W129)-Inputs!$C$29)^2)/(2*Inputs!$C$31^2))*EXP(-(((0)-Inputs!$C$30)^2)/(2*Inputs!$C$32^2))+-Inputs!$C$33*EXP(-(((((Scenario_Data!W129)-Inputs!$C$34)^2)+(((0)-Inputs!$C$35)^2))/(2*Inputs!$C$36^2)))+Inputs!$C$37*(0.55*SIN(2*PI()*(Scenario_Data!W129)/Inputs!$C$39)+0.35*COS(2*PI()*(0)/Inputs!$C$40)+0.2*SIN(2*PI()*((Scenario_Data!W129)+(0))/(0.5*(Inputs!$C$39+Inputs!$C$40))))+Inputs!$C$38*SIN(2*PI()*(Scenario_Data!W129)/Inputs!$C$39)*SIN(2*PI()*(0)/Inputs!$C$40)+-Inputs!$C$41*EXP(-(((0)-Inputs!$C$43)^2)/(2*Inputs!$C$44^2))*EXP(-(((Scenario_Data!W129)-Inputs!$C$42)^2)/(2*Inputs!$C$45^2))+Inputs!$C$48*(0.7*(0.45*SIN(2*PI()*(((Scenario_Data!W129)/Inputs!$C$49)+Inputs!$C$47*0.137))+0.35*COS(2*PI()*(((0)/Inputs!$C$50)+Inputs!$C$47*0.173))+0.2*SIN(2*PI()*((((Scenario_Data!W129)+(0))/(0.5*(Inputs!$C$49+Inputs!$C$50)))+Inputs!$C$47*0.097)))+0.3*(2*((SIN(((Scenario_Data!W129)*12.9898+(0)*78.233+Inputs!$C$47*37.719))*43758.5453)-INT((SIN(((Scenario_Data!W129)*12.9898+(0)*78.233+Inputs!$C$47*37.719))*43758.5453)))-1)))))/Inputs!$C$21*1000000</f>
        <v/>
      </c>
      <c r="AG129">
        <f>Scenario_Data!T129</f>
        <v/>
      </c>
      <c r="AH129">
        <f>2*(SQRT((Inputs!$C$52+(Scenario_Data!B129))^2+Inputs!$C$52^2-2*(Inputs!$C$52+(Scenario_Data!B129))*Inputs!$C$52*COS(SQRT((Scenario_Data!T129)^2+Inputs!$C$6^2)/Inputs!$C$52))*1000)/Inputs!$C$21*1000000</f>
        <v/>
      </c>
      <c r="AI129">
        <f>Scenario_Data!U129</f>
        <v/>
      </c>
      <c r="AJ129">
        <f>2*(SQRT((Inputs!$C$52+(Scenario_Data!C129))^2+Inputs!$C$52^2-2*(Inputs!$C$52+(Scenario_Data!C129))*Inputs!$C$52*COS(SQRT((Scenario_Data!U129)^2+Inputs!$C$6^2)/Inputs!$C$52))*1000)/Inputs!$C$21*1000000</f>
        <v/>
      </c>
      <c r="AK129">
        <f>Scenario_Data!V129</f>
        <v/>
      </c>
      <c r="AL129">
        <f>2*(SQRT((Inputs!$C$52+(Scenario_Data!D129))^2+Inputs!$C$52^2-2*(Inputs!$C$52+(Scenario_Data!D129))*Inputs!$C$52*COS(SQRT((Scenario_Data!V129)^2+Inputs!$C$6^2)/Inputs!$C$52))*1000)/Inputs!$C$21*1000000</f>
        <v/>
      </c>
      <c r="AM129">
        <f>Scenario_Data!W129</f>
        <v/>
      </c>
      <c r="AN129">
        <f>2*(SQRT((Inputs!$C$52+(Scenario_Data!E129))^2+Inputs!$C$52^2-2*(Inputs!$C$52+(Scenario_Data!E129))*Inputs!$C$52*COS(SQRT((Scenario_Data!W129)^2+Inputs!$C$6^2)/Inputs!$C$52))*1000)/Inputs!$C$21*1000000</f>
        <v/>
      </c>
      <c r="AP129">
        <f>Scenario_Data!T129</f>
        <v/>
      </c>
      <c r="AQ129">
        <f>2*(SQRT((Inputs!$C$52+(Scenario_Data!B129))^2+(Inputs!$C$52+((IF(OR(Inputs!$C$27=TRUE,Inputs!$C$27="TRUE",Inputs!$C$27=1),1,0)*(Inputs!$C$51*(115*EXP(-(((Inputs!$C$6)-25)^2)/(4.5^2))+70*EXP(-(((Inputs!$C$6)+38)^2)/(7^2))*(0.55+0.45*SIN(2*PI()*(Scenario_Data!T129)/45))+24*SIN(2*PI()*(Inputs!$C$6)/9+(Scenario_Data!T129)/18)*EXP(-(((Inputs!$C$6)+5)^2)/(22^2))+18*SIN(2*PI()*(Scenario_Data!T129)/70))+Inputs!$C$28*EXP(-(((Scenario_Data!T129)-Inputs!$C$29)^2)/(2*Inputs!$C$31^2))*EXP(-(((Inputs!$C$6)-Inputs!$C$30)^2)/(2*Inputs!$C$32^2))+-Inputs!$C$33*EXP(-(((((Scenario_Data!T129)-Inputs!$C$34)^2)+(((Inputs!$C$6)-Inputs!$C$35)^2))/(2*Inputs!$C$36^2)))+Inputs!$C$37*(0.55*SIN(2*PI()*(Scenario_Data!T129)/Inputs!$C$39)+0.35*COS(2*PI()*(Inputs!$C$6)/Inputs!$C$40)+0.2*SIN(2*PI()*((Scenario_Data!T129)+(Inputs!$C$6))/(0.5*(Inputs!$C$39+Inputs!$C$40))))+Inputs!$C$38*SIN(2*PI()*(Scenario_Data!T129)/Inputs!$C$39)*SIN(2*PI()*(Inputs!$C$6)/Inputs!$C$40)+-Inputs!$C$41*EXP(-(((Inputs!$C$6)-Inputs!$C$43)^2)/(2*Inputs!$C$44^2))*EXP(-(((Scenario_Data!T129)-Inputs!$C$42)^2)/(2*Inputs!$C$45^2))+Inputs!$C$48*(0.7*(0.45*SIN(2*PI()*(((Scenario_Data!T129)/Inputs!$C$49)+Inputs!$C$47*0.137))+0.35*COS(2*PI()*(((Inputs!$C$6)/Inputs!$C$50)+Inputs!$C$47*0.173))+0.2*SIN(2*PI()*((((Scenario_Data!T129)+(Inputs!$C$6))/(0.5*(Inputs!$C$49+Inputs!$C$50)))+Inputs!$C$47*0.097)))+0.3*(2*((SIN(((Scenario_Data!T129)*12.9898+(Inputs!$C$6)*78.233+Inputs!$C$47*37.719))*43758.5453)-INT((SIN(((Scenario_Data!T129)*12.9898+(Inputs!$C$6)*78.233+Inputs!$C$47*37.719))*43758.5453)))-1))))/1000))^2-2*(Inputs!$C$52+(Scenario_Data!B129))*(Inputs!$C$52+((IF(OR(Inputs!$C$27=TRUE,Inputs!$C$27="TRUE",Inputs!$C$27=1),1,0)*(Inputs!$C$51*(115*EXP(-(((Inputs!$C$6)-25)^2)/(4.5^2))+70*EXP(-(((Inputs!$C$6)+38)^2)/(7^2))*(0.55+0.45*SIN(2*PI()*(Scenario_Data!T129)/45))+24*SIN(2*PI()*(Inputs!$C$6)/9+(Scenario_Data!T129)/18)*EXP(-(((Inputs!$C$6)+5)^2)/(22^2))+18*SIN(2*PI()*(Scenario_Data!T129)/70))+Inputs!$C$28*EXP(-(((Scenario_Data!T129)-Inputs!$C$29)^2)/(2*Inputs!$C$31^2))*EXP(-(((Inputs!$C$6)-Inputs!$C$30)^2)/(2*Inputs!$C$32^2))+-Inputs!$C$33*EXP(-(((((Scenario_Data!T129)-Inputs!$C$34)^2)+(((Inputs!$C$6)-Inputs!$C$35)^2))/(2*Inputs!$C$36^2)))+Inputs!$C$37*(0.55*SIN(2*PI()*(Scenario_Data!T129)/Inputs!$C$39)+0.35*COS(2*PI()*(Inputs!$C$6)/Inputs!$C$40)+0.2*SIN(2*PI()*((Scenario_Data!T129)+(Inputs!$C$6))/(0.5*(Inputs!$C$39+Inputs!$C$40))))+Inputs!$C$38*SIN(2*PI()*(Scenario_Data!T129)/Inputs!$C$39)*SIN(2*PI()*(Inputs!$C$6)/Inputs!$C$40)+-Inputs!$C$41*EXP(-(((Inputs!$C$6)-Inputs!$C$43)^2)/(2*Inputs!$C$44^2))*EXP(-(((Scenario_Data!T129)-Inputs!$C$42)^2)/(2*Inputs!$C$45^2))+Inputs!$C$48*(0.7*(0.45*SIN(2*PI()*(((Scenario_Data!T129)/Inputs!$C$49)+Inputs!$C$47*0.137))+0.35*COS(2*PI()*(((Inputs!$C$6)/Inputs!$C$50)+Inputs!$C$47*0.173))+0.2*SIN(2*PI()*((((Scenario_Data!T129)+(Inputs!$C$6))/(0.5*(Inputs!$C$49+Inputs!$C$50)))+Inputs!$C$47*0.097)))+0.3*(2*((SIN(((Scenario_Data!T129)*12.9898+(Inputs!$C$6)*78.233+Inputs!$C$47*37.719))*43758.5453)-INT((SIN(((Scenario_Data!T129)*12.9898+(Inputs!$C$6)*78.233+Inputs!$C$47*37.719))*43758.5453)))-1))))/1000))*COS(SQRT((Scenario_Data!T129)^2+Inputs!$C$6^2)/Inputs!$C$52))*1000)/Inputs!$C$21*1000000</f>
        <v/>
      </c>
      <c r="AR129">
        <f>Scenario_Data!U129</f>
        <v/>
      </c>
      <c r="AS129">
        <f>2*(SQRT((Inputs!$C$52+(Scenario_Data!C129))^2+(Inputs!$C$52+((IF(OR(Inputs!$C$27=TRUE,Inputs!$C$27="TRUE",Inputs!$C$27=1),1,0)*(Inputs!$C$51*(115*EXP(-(((Inputs!$C$6)-25)^2)/(4.5^2))+70*EXP(-(((Inputs!$C$6)+38)^2)/(7^2))*(0.55+0.45*SIN(2*PI()*(Scenario_Data!U129)/45))+24*SIN(2*PI()*(Inputs!$C$6)/9+(Scenario_Data!U129)/18)*EXP(-(((Inputs!$C$6)+5)^2)/(22^2))+18*SIN(2*PI()*(Scenario_Data!U129)/70))+Inputs!$C$28*EXP(-(((Scenario_Data!U129)-Inputs!$C$29)^2)/(2*Inputs!$C$31^2))*EXP(-(((Inputs!$C$6)-Inputs!$C$30)^2)/(2*Inputs!$C$32^2))+-Inputs!$C$33*EXP(-(((((Scenario_Data!U129)-Inputs!$C$34)^2)+(((Inputs!$C$6)-Inputs!$C$35)^2))/(2*Inputs!$C$36^2)))+Inputs!$C$37*(0.55*SIN(2*PI()*(Scenario_Data!U129)/Inputs!$C$39)+0.35*COS(2*PI()*(Inputs!$C$6)/Inputs!$C$40)+0.2*SIN(2*PI()*((Scenario_Data!U129)+(Inputs!$C$6))/(0.5*(Inputs!$C$39+Inputs!$C$40))))+Inputs!$C$38*SIN(2*PI()*(Scenario_Data!U129)/Inputs!$C$39)*SIN(2*PI()*(Inputs!$C$6)/Inputs!$C$40)+-Inputs!$C$41*EXP(-(((Inputs!$C$6)-Inputs!$C$43)^2)/(2*Inputs!$C$44^2))*EXP(-(((Scenario_Data!U129)-Inputs!$C$42)^2)/(2*Inputs!$C$45^2))+Inputs!$C$48*(0.7*(0.45*SIN(2*PI()*(((Scenario_Data!U129)/Inputs!$C$49)+Inputs!$C$47*0.137))+0.35*COS(2*PI()*(((Inputs!$C$6)/Inputs!$C$50)+Inputs!$C$47*0.173))+0.2*SIN(2*PI()*((((Scenario_Data!U129)+(Inputs!$C$6))/(0.5*(Inputs!$C$49+Inputs!$C$50)))+Inputs!$C$47*0.097)))+0.3*(2*((SIN(((Scenario_Data!U129)*12.9898+(Inputs!$C$6)*78.233+Inputs!$C$47*37.719))*43758.5453)-INT((SIN(((Scenario_Data!U129)*12.9898+(Inputs!$C$6)*78.233+Inputs!$C$47*37.719))*43758.5453)))-1))))/1000))^2-2*(Inputs!$C$52+(Scenario_Data!C129))*(Inputs!$C$52+((IF(OR(Inputs!$C$27=TRUE,Inputs!$C$27="TRUE",Inputs!$C$27=1),1,0)*(Inputs!$C$51*(115*EXP(-(((Inputs!$C$6)-25)^2)/(4.5^2))+70*EXP(-(((Inputs!$C$6)+38)^2)/(7^2))*(0.55+0.45*SIN(2*PI()*(Scenario_Data!U129)/45))+24*SIN(2*PI()*(Inputs!$C$6)/9+(Scenario_Data!U129)/18)*EXP(-(((Inputs!$C$6)+5)^2)/(22^2))+18*SIN(2*PI()*(Scenario_Data!U129)/70))+Inputs!$C$28*EXP(-(((Scenario_Data!U129)-Inputs!$C$29)^2)/(2*Inputs!$C$31^2))*EXP(-(((Inputs!$C$6)-Inputs!$C$30)^2)/(2*Inputs!$C$32^2))+-Inputs!$C$33*EXP(-(((((Scenario_Data!U129)-Inputs!$C$34)^2)+(((Inputs!$C$6)-Inputs!$C$35)^2))/(2*Inputs!$C$36^2)))+Inputs!$C$37*(0.55*SIN(2*PI()*(Scenario_Data!U129)/Inputs!$C$39)+0.35*COS(2*PI()*(Inputs!$C$6)/Inputs!$C$40)+0.2*SIN(2*PI()*((Scenario_Data!U129)+(Inputs!$C$6))/(0.5*(Inputs!$C$39+Inputs!$C$40))))+Inputs!$C$38*SIN(2*PI()*(Scenario_Data!U129)/Inputs!$C$39)*SIN(2*PI()*(Inputs!$C$6)/Inputs!$C$40)+-Inputs!$C$41*EXP(-(((Inputs!$C$6)-Inputs!$C$43)^2)/(2*Inputs!$C$44^2))*EXP(-(((Scenario_Data!U129)-Inputs!$C$42)^2)/(2*Inputs!$C$45^2))+Inputs!$C$48*(0.7*(0.45*SIN(2*PI()*(((Scenario_Data!U129)/Inputs!$C$49)+Inputs!$C$47*0.137))+0.35*COS(2*PI()*(((Inputs!$C$6)/Inputs!$C$50)+Inputs!$C$47*0.173))+0.2*SIN(2*PI()*((((Scenario_Data!U129)+(Inputs!$C$6))/(0.5*(Inputs!$C$49+Inputs!$C$50)))+Inputs!$C$47*0.097)))+0.3*(2*((SIN(((Scenario_Data!U129)*12.9898+(Inputs!$C$6)*78.233+Inputs!$C$47*37.719))*43758.5453)-INT((SIN(((Scenario_Data!U129)*12.9898+(Inputs!$C$6)*78.233+Inputs!$C$47*37.719))*43758.5453)))-1))))/1000))*COS(SQRT((Scenario_Data!U129)^2+Inputs!$C$6^2)/Inputs!$C$52))*1000)/Inputs!$C$21*1000000</f>
        <v/>
      </c>
      <c r="AT129">
        <f>Scenario_Data!V129</f>
        <v/>
      </c>
      <c r="AU129">
        <f>2*(SQRT((Inputs!$C$52+(Scenario_Data!D129))^2+(Inputs!$C$52+((IF(OR(Inputs!$C$27=TRUE,Inputs!$C$27="TRUE",Inputs!$C$27=1),1,0)*(Inputs!$C$51*(115*EXP(-(((Inputs!$C$6)-25)^2)/(4.5^2))+70*EXP(-(((Inputs!$C$6)+38)^2)/(7^2))*(0.55+0.45*SIN(2*PI()*(Scenario_Data!V129)/45))+24*SIN(2*PI()*(Inputs!$C$6)/9+(Scenario_Data!V129)/18)*EXP(-(((Inputs!$C$6)+5)^2)/(22^2))+18*SIN(2*PI()*(Scenario_Data!V129)/70))+Inputs!$C$28*EXP(-(((Scenario_Data!V129)-Inputs!$C$29)^2)/(2*Inputs!$C$31^2))*EXP(-(((Inputs!$C$6)-Inputs!$C$30)^2)/(2*Inputs!$C$32^2))+-Inputs!$C$33*EXP(-(((((Scenario_Data!V129)-Inputs!$C$34)^2)+(((Inputs!$C$6)-Inputs!$C$35)^2))/(2*Inputs!$C$36^2)))+Inputs!$C$37*(0.55*SIN(2*PI()*(Scenario_Data!V129)/Inputs!$C$39)+0.35*COS(2*PI()*(Inputs!$C$6)/Inputs!$C$40)+0.2*SIN(2*PI()*((Scenario_Data!V129)+(Inputs!$C$6))/(0.5*(Inputs!$C$39+Inputs!$C$40))))+Inputs!$C$38*SIN(2*PI()*(Scenario_Data!V129)/Inputs!$C$39)*SIN(2*PI()*(Inputs!$C$6)/Inputs!$C$40)+-Inputs!$C$41*EXP(-(((Inputs!$C$6)-Inputs!$C$43)^2)/(2*Inputs!$C$44^2))*EXP(-(((Scenario_Data!V129)-Inputs!$C$42)^2)/(2*Inputs!$C$45^2))+Inputs!$C$48*(0.7*(0.45*SIN(2*PI()*(((Scenario_Data!V129)/Inputs!$C$49)+Inputs!$C$47*0.137))+0.35*COS(2*PI()*(((Inputs!$C$6)/Inputs!$C$50)+Inputs!$C$47*0.173))+0.2*SIN(2*PI()*((((Scenario_Data!V129)+(Inputs!$C$6))/(0.5*(Inputs!$C$49+Inputs!$C$50)))+Inputs!$C$47*0.097)))+0.3*(2*((SIN(((Scenario_Data!V129)*12.9898+(Inputs!$C$6)*78.233+Inputs!$C$47*37.719))*43758.5453)-INT((SIN(((Scenario_Data!V129)*12.9898+(Inputs!$C$6)*78.233+Inputs!$C$47*37.719))*43758.5453)))-1))))/1000))^2-2*(Inputs!$C$52+(Scenario_Data!D129))*(Inputs!$C$52+((IF(OR(Inputs!$C$27=TRUE,Inputs!$C$27="TRUE",Inputs!$C$27=1),1,0)*(Inputs!$C$51*(115*EXP(-(((Inputs!$C$6)-25)^2)/(4.5^2))+70*EXP(-(((Inputs!$C$6)+38)^2)/(7^2))*(0.55+0.45*SIN(2*PI()*(Scenario_Data!V129)/45))+24*SIN(2*PI()*(Inputs!$C$6)/9+(Scenario_Data!V129)/18)*EXP(-(((Inputs!$C$6)+5)^2)/(22^2))+18*SIN(2*PI()*(Scenario_Data!V129)/70))+Inputs!$C$28*EXP(-(((Scenario_Data!V129)-Inputs!$C$29)^2)/(2*Inputs!$C$31^2))*EXP(-(((Inputs!$C$6)-Inputs!$C$30)^2)/(2*Inputs!$C$32^2))+-Inputs!$C$33*EXP(-(((((Scenario_Data!V129)-Inputs!$C$34)^2)+(((Inputs!$C$6)-Inputs!$C$35)^2))/(2*Inputs!$C$36^2)))+Inputs!$C$37*(0.55*SIN(2*PI()*(Scenario_Data!V129)/Inputs!$C$39)+0.35*COS(2*PI()*(Inputs!$C$6)/Inputs!$C$40)+0.2*SIN(2*PI()*((Scenario_Data!V129)+(Inputs!$C$6))/(0.5*(Inputs!$C$39+Inputs!$C$40))))+Inputs!$C$38*SIN(2*PI()*(Scenario_Data!V129)/Inputs!$C$39)*SIN(2*PI()*(Inputs!$C$6)/Inputs!$C$40)+-Inputs!$C$41*EXP(-(((Inputs!$C$6)-Inputs!$C$43)^2)/(2*Inputs!$C$44^2))*EXP(-(((Scenario_Data!V129)-Inputs!$C$42)^2)/(2*Inputs!$C$45^2))+Inputs!$C$48*(0.7*(0.45*SIN(2*PI()*(((Scenario_Data!V129)/Inputs!$C$49)+Inputs!$C$47*0.137))+0.35*COS(2*PI()*(((Inputs!$C$6)/Inputs!$C$50)+Inputs!$C$47*0.173))+0.2*SIN(2*PI()*((((Scenario_Data!V129)+(Inputs!$C$6))/(0.5*(Inputs!$C$49+Inputs!$C$50)))+Inputs!$C$47*0.097)))+0.3*(2*((SIN(((Scenario_Data!V129)*12.9898+(Inputs!$C$6)*78.233+Inputs!$C$47*37.719))*43758.5453)-INT((SIN(((Scenario_Data!V129)*12.9898+(Inputs!$C$6)*78.233+Inputs!$C$47*37.719))*43758.5453)))-1))))/1000))*COS(SQRT((Scenario_Data!V129)^2+Inputs!$C$6^2)/Inputs!$C$52))*1000)/Inputs!$C$21*1000000</f>
        <v/>
      </c>
      <c r="AV129">
        <f>Scenario_Data!W129</f>
        <v/>
      </c>
      <c r="AW129">
        <f>2*(SQRT((Inputs!$C$52+(Scenario_Data!E129))^2+(Inputs!$C$52+((IF(OR(Inputs!$C$27=TRUE,Inputs!$C$27="TRUE",Inputs!$C$27=1),1,0)*(Inputs!$C$51*(115*EXP(-(((Inputs!$C$6)-25)^2)/(4.5^2))+70*EXP(-(((Inputs!$C$6)+38)^2)/(7^2))*(0.55+0.45*SIN(2*PI()*(Scenario_Data!W129)/45))+24*SIN(2*PI()*(Inputs!$C$6)/9+(Scenario_Data!W129)/18)*EXP(-(((Inputs!$C$6)+5)^2)/(22^2))+18*SIN(2*PI()*(Scenario_Data!W129)/70))+Inputs!$C$28*EXP(-(((Scenario_Data!W129)-Inputs!$C$29)^2)/(2*Inputs!$C$31^2))*EXP(-(((Inputs!$C$6)-Inputs!$C$30)^2)/(2*Inputs!$C$32^2))+-Inputs!$C$33*EXP(-(((((Scenario_Data!W129)-Inputs!$C$34)^2)+(((Inputs!$C$6)-Inputs!$C$35)^2))/(2*Inputs!$C$36^2)))+Inputs!$C$37*(0.55*SIN(2*PI()*(Scenario_Data!W129)/Inputs!$C$39)+0.35*COS(2*PI()*(Inputs!$C$6)/Inputs!$C$40)+0.2*SIN(2*PI()*((Scenario_Data!W129)+(Inputs!$C$6))/(0.5*(Inputs!$C$39+Inputs!$C$40))))+Inputs!$C$38*SIN(2*PI()*(Scenario_Data!W129)/Inputs!$C$39)*SIN(2*PI()*(Inputs!$C$6)/Inputs!$C$40)+-Inputs!$C$41*EXP(-(((Inputs!$C$6)-Inputs!$C$43)^2)/(2*Inputs!$C$44^2))*EXP(-(((Scenario_Data!W129)-Inputs!$C$42)^2)/(2*Inputs!$C$45^2))+Inputs!$C$48*(0.7*(0.45*SIN(2*PI()*(((Scenario_Data!W129)/Inputs!$C$49)+Inputs!$C$47*0.137))+0.35*COS(2*PI()*(((Inputs!$C$6)/Inputs!$C$50)+Inputs!$C$47*0.173))+0.2*SIN(2*PI()*((((Scenario_Data!W129)+(Inputs!$C$6))/(0.5*(Inputs!$C$49+Inputs!$C$50)))+Inputs!$C$47*0.097)))+0.3*(2*((SIN(((Scenario_Data!W129)*12.9898+(Inputs!$C$6)*78.233+Inputs!$C$47*37.719))*43758.5453)-INT((SIN(((Scenario_Data!W129)*12.9898+(Inputs!$C$6)*78.233+Inputs!$C$47*37.719))*43758.5453)))-1))))/1000))^2-2*(Inputs!$C$52+(Scenario_Data!E129))*(Inputs!$C$52+((IF(OR(Inputs!$C$27=TRUE,Inputs!$C$27="TRUE",Inputs!$C$27=1),1,0)*(Inputs!$C$51*(115*EXP(-(((Inputs!$C$6)-25)^2)/(4.5^2))+70*EXP(-(((Inputs!$C$6)+38)^2)/(7^2))*(0.55+0.45*SIN(2*PI()*(Scenario_Data!W129)/45))+24*SIN(2*PI()*(Inputs!$C$6)/9+(Scenario_Data!W129)/18)*EXP(-(((Inputs!$C$6)+5)^2)/(22^2))+18*SIN(2*PI()*(Scenario_Data!W129)/70))+Inputs!$C$28*EXP(-(((Scenario_Data!W129)-Inputs!$C$29)^2)/(2*Inputs!$C$31^2))*EXP(-(((Inputs!$C$6)-Inputs!$C$30)^2)/(2*Inputs!$C$32^2))+-Inputs!$C$33*EXP(-(((((Scenario_Data!W129)-Inputs!$C$34)^2)+(((Inputs!$C$6)-Inputs!$C$35)^2))/(2*Inputs!$C$36^2)))+Inputs!$C$37*(0.55*SIN(2*PI()*(Scenario_Data!W129)/Inputs!$C$39)+0.35*COS(2*PI()*(Inputs!$C$6)/Inputs!$C$40)+0.2*SIN(2*PI()*((Scenario_Data!W129)+(Inputs!$C$6))/(0.5*(Inputs!$C$39+Inputs!$C$40))))+Inputs!$C$38*SIN(2*PI()*(Scenario_Data!W129)/Inputs!$C$39)*SIN(2*PI()*(Inputs!$C$6)/Inputs!$C$40)+-Inputs!$C$41*EXP(-(((Inputs!$C$6)-Inputs!$C$43)^2)/(2*Inputs!$C$44^2))*EXP(-(((Scenario_Data!W129)-Inputs!$C$42)^2)/(2*Inputs!$C$45^2))+Inputs!$C$48*(0.7*(0.45*SIN(2*PI()*(((Scenario_Data!W129)/Inputs!$C$49)+Inputs!$C$47*0.137))+0.35*COS(2*PI()*(((Inputs!$C$6)/Inputs!$C$50)+Inputs!$C$47*0.173))+0.2*SIN(2*PI()*((((Scenario_Data!W129)+(Inputs!$C$6))/(0.5*(Inputs!$C$49+Inputs!$C$50)))+Inputs!$C$47*0.097)))+0.3*(2*((SIN(((Scenario_Data!W129)*12.9898+(Inputs!$C$6)*78.233+Inputs!$C$47*37.719))*43758.5453)-INT((SIN(((Scenario_Data!W129)*12.9898+(Inputs!$C$6)*78.233+Inputs!$C$47*37.719))*43758.5453)))-1))))/1000))*COS(SQRT((Scenario_Data!W129)^2+Inputs!$C$6^2)/Inputs!$C$52))*1000)/Inputs!$C$21*1000000</f>
        <v/>
      </c>
    </row>
    <row r="130">
      <c r="A130">
        <f>Chart_Data!K130</f>
        <v/>
      </c>
      <c r="B130">
        <f>Chart_Data!N130-Chart_Data!L130</f>
        <v/>
      </c>
      <c r="D130">
        <f>Chart_Data!G130</f>
        <v/>
      </c>
      <c r="E130">
        <f>Chart_Data!H130</f>
        <v/>
      </c>
      <c r="F130">
        <f>Chart_Data!I130</f>
        <v/>
      </c>
      <c r="G130">
        <f>Chart_Data!J130</f>
        <v/>
      </c>
      <c r="I130">
        <f>Scenario_Data!A130</f>
        <v/>
      </c>
      <c r="J130">
        <f>Scenario_Data!H130-(((SQRT((Inputs!$C$52+(Inputs!$H$6))^2+Inputs!$C$52^2-2*(Inputs!$C$52+(Inputs!$H$6))*Inputs!$C$52*COS(SQRT((Scenario_Data!T130)^2+Inputs!$C$6^2)/Inputs!$C$52)))-(Inputs!$H$6))*1000/Inputs!$C$12)</f>
        <v/>
      </c>
      <c r="K130">
        <f>Scenario_Data!I130-(((SQRT((Inputs!$C$52+(Inputs!$H$7))^2+Inputs!$C$52^2-2*(Inputs!$C$52+(Inputs!$H$7))*Inputs!$C$52*COS(SQRT((Scenario_Data!U130)^2+Inputs!$C$6^2)/Inputs!$C$52)))-(Inputs!$H$7))*1000/Inputs!$C$12)</f>
        <v/>
      </c>
      <c r="L130">
        <f>Scenario_Data!J130-(((SQRT((Inputs!$C$52+(Inputs!$H$8))^2+Inputs!$C$52^2-2*(Inputs!$C$52+(Inputs!$H$8))*Inputs!$C$52*COS(SQRT((Scenario_Data!V130)^2+Inputs!$C$6^2)/Inputs!$C$52)))-(Inputs!$H$8))*1000/Inputs!$C$12)</f>
        <v/>
      </c>
      <c r="M130">
        <f>Scenario_Data!K130-(((SQRT((Inputs!$C$52+(Inputs!$H$9))^2+Inputs!$C$52^2-2*(Inputs!$C$52+(Inputs!$H$9))*Inputs!$C$52*COS(SQRT((Scenario_Data!W130)^2+Inputs!$C$6^2)/Inputs!$C$52)))-(Inputs!$H$9))*1000/Inputs!$C$12)</f>
        <v/>
      </c>
      <c r="O130">
        <f>Scenario_Data!T130</f>
        <v/>
      </c>
      <c r="P130">
        <f>2*(Scenario_Data!B130*1000)/Inputs!$C$21*1000000</f>
        <v/>
      </c>
      <c r="Q130">
        <f>Scenario_Data!U130</f>
        <v/>
      </c>
      <c r="R130">
        <f>2*(Scenario_Data!C130*1000)/Inputs!$C$21*1000000</f>
        <v/>
      </c>
      <c r="S130">
        <f>Scenario_Data!V130</f>
        <v/>
      </c>
      <c r="T130">
        <f>2*(Scenario_Data!D130*1000)/Inputs!$C$21*1000000</f>
        <v/>
      </c>
      <c r="U130">
        <f>Scenario_Data!W130</f>
        <v/>
      </c>
      <c r="V130">
        <f>2*(Scenario_Data!E130*1000)/Inputs!$C$21*1000000</f>
        <v/>
      </c>
      <c r="X130">
        <f>Scenario_Data!T130</f>
        <v/>
      </c>
      <c r="Y130">
        <f>2*((Scenario_Data!B130*1000)-(IF(OR(Inputs!$C$27=TRUE,Inputs!$C$27="TRUE",Inputs!$C$27=1),1,0)*(Inputs!$C$51*(115*EXP(-(((0)-25)^2)/(4.5^2))+70*EXP(-(((0)+38)^2)/(7^2))*(0.55+0.45*SIN(2*PI()*(Scenario_Data!T130)/45))+24*SIN(2*PI()*(0)/9+(Scenario_Data!T130)/18)*EXP(-(((0)+5)^2)/(22^2))+18*SIN(2*PI()*(Scenario_Data!T130)/70))+Inputs!$C$28*EXP(-(((Scenario_Data!T130)-Inputs!$C$29)^2)/(2*Inputs!$C$31^2))*EXP(-(((0)-Inputs!$C$30)^2)/(2*Inputs!$C$32^2))+-Inputs!$C$33*EXP(-(((((Scenario_Data!T130)-Inputs!$C$34)^2)+(((0)-Inputs!$C$35)^2))/(2*Inputs!$C$36^2)))+Inputs!$C$37*(0.55*SIN(2*PI()*(Scenario_Data!T130)/Inputs!$C$39)+0.35*COS(2*PI()*(0)/Inputs!$C$40)+0.2*SIN(2*PI()*((Scenario_Data!T130)+(0))/(0.5*(Inputs!$C$39+Inputs!$C$40))))+Inputs!$C$38*SIN(2*PI()*(Scenario_Data!T130)/Inputs!$C$39)*SIN(2*PI()*(0)/Inputs!$C$40)+-Inputs!$C$41*EXP(-(((0)-Inputs!$C$43)^2)/(2*Inputs!$C$44^2))*EXP(-(((Scenario_Data!T130)-Inputs!$C$42)^2)/(2*Inputs!$C$45^2))+Inputs!$C$48*(0.7*(0.45*SIN(2*PI()*(((Scenario_Data!T130)/Inputs!$C$49)+Inputs!$C$47*0.137))+0.35*COS(2*PI()*(((0)/Inputs!$C$50)+Inputs!$C$47*0.173))+0.2*SIN(2*PI()*((((Scenario_Data!T130)+(0))/(0.5*(Inputs!$C$49+Inputs!$C$50)))+Inputs!$C$47*0.097)))+0.3*(2*((SIN(((Scenario_Data!T130)*12.9898+(0)*78.233+Inputs!$C$47*37.719))*43758.5453)-INT((SIN(((Scenario_Data!T130)*12.9898+(0)*78.233+Inputs!$C$47*37.719))*43758.5453)))-1)))))/Inputs!$C$21*1000000</f>
        <v/>
      </c>
      <c r="Z130">
        <f>Scenario_Data!U130</f>
        <v/>
      </c>
      <c r="AA130">
        <f>2*((Scenario_Data!C130*1000)-(IF(OR(Inputs!$C$27=TRUE,Inputs!$C$27="TRUE",Inputs!$C$27=1),1,0)*(Inputs!$C$51*(115*EXP(-(((0)-25)^2)/(4.5^2))+70*EXP(-(((0)+38)^2)/(7^2))*(0.55+0.45*SIN(2*PI()*(Scenario_Data!U130)/45))+24*SIN(2*PI()*(0)/9+(Scenario_Data!U130)/18)*EXP(-(((0)+5)^2)/(22^2))+18*SIN(2*PI()*(Scenario_Data!U130)/70))+Inputs!$C$28*EXP(-(((Scenario_Data!U130)-Inputs!$C$29)^2)/(2*Inputs!$C$31^2))*EXP(-(((0)-Inputs!$C$30)^2)/(2*Inputs!$C$32^2))+-Inputs!$C$33*EXP(-(((((Scenario_Data!U130)-Inputs!$C$34)^2)+(((0)-Inputs!$C$35)^2))/(2*Inputs!$C$36^2)))+Inputs!$C$37*(0.55*SIN(2*PI()*(Scenario_Data!U130)/Inputs!$C$39)+0.35*COS(2*PI()*(0)/Inputs!$C$40)+0.2*SIN(2*PI()*((Scenario_Data!U130)+(0))/(0.5*(Inputs!$C$39+Inputs!$C$40))))+Inputs!$C$38*SIN(2*PI()*(Scenario_Data!U130)/Inputs!$C$39)*SIN(2*PI()*(0)/Inputs!$C$40)+-Inputs!$C$41*EXP(-(((0)-Inputs!$C$43)^2)/(2*Inputs!$C$44^2))*EXP(-(((Scenario_Data!U130)-Inputs!$C$42)^2)/(2*Inputs!$C$45^2))+Inputs!$C$48*(0.7*(0.45*SIN(2*PI()*(((Scenario_Data!U130)/Inputs!$C$49)+Inputs!$C$47*0.137))+0.35*COS(2*PI()*(((0)/Inputs!$C$50)+Inputs!$C$47*0.173))+0.2*SIN(2*PI()*((((Scenario_Data!U130)+(0))/(0.5*(Inputs!$C$49+Inputs!$C$50)))+Inputs!$C$47*0.097)))+0.3*(2*((SIN(((Scenario_Data!U130)*12.9898+(0)*78.233+Inputs!$C$47*37.719))*43758.5453)-INT((SIN(((Scenario_Data!U130)*12.9898+(0)*78.233+Inputs!$C$47*37.719))*43758.5453)))-1)))))/Inputs!$C$21*1000000</f>
        <v/>
      </c>
      <c r="AB130">
        <f>Scenario_Data!V130</f>
        <v/>
      </c>
      <c r="AC130">
        <f>2*((Scenario_Data!D130*1000)-(IF(OR(Inputs!$C$27=TRUE,Inputs!$C$27="TRUE",Inputs!$C$27=1),1,0)*(Inputs!$C$51*(115*EXP(-(((0)-25)^2)/(4.5^2))+70*EXP(-(((0)+38)^2)/(7^2))*(0.55+0.45*SIN(2*PI()*(Scenario_Data!V130)/45))+24*SIN(2*PI()*(0)/9+(Scenario_Data!V130)/18)*EXP(-(((0)+5)^2)/(22^2))+18*SIN(2*PI()*(Scenario_Data!V130)/70))+Inputs!$C$28*EXP(-(((Scenario_Data!V130)-Inputs!$C$29)^2)/(2*Inputs!$C$31^2))*EXP(-(((0)-Inputs!$C$30)^2)/(2*Inputs!$C$32^2))+-Inputs!$C$33*EXP(-(((((Scenario_Data!V130)-Inputs!$C$34)^2)+(((0)-Inputs!$C$35)^2))/(2*Inputs!$C$36^2)))+Inputs!$C$37*(0.55*SIN(2*PI()*(Scenario_Data!V130)/Inputs!$C$39)+0.35*COS(2*PI()*(0)/Inputs!$C$40)+0.2*SIN(2*PI()*((Scenario_Data!V130)+(0))/(0.5*(Inputs!$C$39+Inputs!$C$40))))+Inputs!$C$38*SIN(2*PI()*(Scenario_Data!V130)/Inputs!$C$39)*SIN(2*PI()*(0)/Inputs!$C$40)+-Inputs!$C$41*EXP(-(((0)-Inputs!$C$43)^2)/(2*Inputs!$C$44^2))*EXP(-(((Scenario_Data!V130)-Inputs!$C$42)^2)/(2*Inputs!$C$45^2))+Inputs!$C$48*(0.7*(0.45*SIN(2*PI()*(((Scenario_Data!V130)/Inputs!$C$49)+Inputs!$C$47*0.137))+0.35*COS(2*PI()*(((0)/Inputs!$C$50)+Inputs!$C$47*0.173))+0.2*SIN(2*PI()*((((Scenario_Data!V130)+(0))/(0.5*(Inputs!$C$49+Inputs!$C$50)))+Inputs!$C$47*0.097)))+0.3*(2*((SIN(((Scenario_Data!V130)*12.9898+(0)*78.233+Inputs!$C$47*37.719))*43758.5453)-INT((SIN(((Scenario_Data!V130)*12.9898+(0)*78.233+Inputs!$C$47*37.719))*43758.5453)))-1)))))/Inputs!$C$21*1000000</f>
        <v/>
      </c>
      <c r="AD130">
        <f>Scenario_Data!W130</f>
        <v/>
      </c>
      <c r="AE130">
        <f>2*((Scenario_Data!E130*1000)-(IF(OR(Inputs!$C$27=TRUE,Inputs!$C$27="TRUE",Inputs!$C$27=1),1,0)*(Inputs!$C$51*(115*EXP(-(((0)-25)^2)/(4.5^2))+70*EXP(-(((0)+38)^2)/(7^2))*(0.55+0.45*SIN(2*PI()*(Scenario_Data!W130)/45))+24*SIN(2*PI()*(0)/9+(Scenario_Data!W130)/18)*EXP(-(((0)+5)^2)/(22^2))+18*SIN(2*PI()*(Scenario_Data!W130)/70))+Inputs!$C$28*EXP(-(((Scenario_Data!W130)-Inputs!$C$29)^2)/(2*Inputs!$C$31^2))*EXP(-(((0)-Inputs!$C$30)^2)/(2*Inputs!$C$32^2))+-Inputs!$C$33*EXP(-(((((Scenario_Data!W130)-Inputs!$C$34)^2)+(((0)-Inputs!$C$35)^2))/(2*Inputs!$C$36^2)))+Inputs!$C$37*(0.55*SIN(2*PI()*(Scenario_Data!W130)/Inputs!$C$39)+0.35*COS(2*PI()*(0)/Inputs!$C$40)+0.2*SIN(2*PI()*((Scenario_Data!W130)+(0))/(0.5*(Inputs!$C$39+Inputs!$C$40))))+Inputs!$C$38*SIN(2*PI()*(Scenario_Data!W130)/Inputs!$C$39)*SIN(2*PI()*(0)/Inputs!$C$40)+-Inputs!$C$41*EXP(-(((0)-Inputs!$C$43)^2)/(2*Inputs!$C$44^2))*EXP(-(((Scenario_Data!W130)-Inputs!$C$42)^2)/(2*Inputs!$C$45^2))+Inputs!$C$48*(0.7*(0.45*SIN(2*PI()*(((Scenario_Data!W130)/Inputs!$C$49)+Inputs!$C$47*0.137))+0.35*COS(2*PI()*(((0)/Inputs!$C$50)+Inputs!$C$47*0.173))+0.2*SIN(2*PI()*((((Scenario_Data!W130)+(0))/(0.5*(Inputs!$C$49+Inputs!$C$50)))+Inputs!$C$47*0.097)))+0.3*(2*((SIN(((Scenario_Data!W130)*12.9898+(0)*78.233+Inputs!$C$47*37.719))*43758.5453)-INT((SIN(((Scenario_Data!W130)*12.9898+(0)*78.233+Inputs!$C$47*37.719))*43758.5453)))-1)))))/Inputs!$C$21*1000000</f>
        <v/>
      </c>
      <c r="AG130">
        <f>Scenario_Data!T130</f>
        <v/>
      </c>
      <c r="AH130">
        <f>2*(SQRT((Inputs!$C$52+(Scenario_Data!B130))^2+Inputs!$C$52^2-2*(Inputs!$C$52+(Scenario_Data!B130))*Inputs!$C$52*COS(SQRT((Scenario_Data!T130)^2+Inputs!$C$6^2)/Inputs!$C$52))*1000)/Inputs!$C$21*1000000</f>
        <v/>
      </c>
      <c r="AI130">
        <f>Scenario_Data!U130</f>
        <v/>
      </c>
      <c r="AJ130">
        <f>2*(SQRT((Inputs!$C$52+(Scenario_Data!C130))^2+Inputs!$C$52^2-2*(Inputs!$C$52+(Scenario_Data!C130))*Inputs!$C$52*COS(SQRT((Scenario_Data!U130)^2+Inputs!$C$6^2)/Inputs!$C$52))*1000)/Inputs!$C$21*1000000</f>
        <v/>
      </c>
      <c r="AK130">
        <f>Scenario_Data!V130</f>
        <v/>
      </c>
      <c r="AL130">
        <f>2*(SQRT((Inputs!$C$52+(Scenario_Data!D130))^2+Inputs!$C$52^2-2*(Inputs!$C$52+(Scenario_Data!D130))*Inputs!$C$52*COS(SQRT((Scenario_Data!V130)^2+Inputs!$C$6^2)/Inputs!$C$52))*1000)/Inputs!$C$21*1000000</f>
        <v/>
      </c>
      <c r="AM130">
        <f>Scenario_Data!W130</f>
        <v/>
      </c>
      <c r="AN130">
        <f>2*(SQRT((Inputs!$C$52+(Scenario_Data!E130))^2+Inputs!$C$52^2-2*(Inputs!$C$52+(Scenario_Data!E130))*Inputs!$C$52*COS(SQRT((Scenario_Data!W130)^2+Inputs!$C$6^2)/Inputs!$C$52))*1000)/Inputs!$C$21*1000000</f>
        <v/>
      </c>
      <c r="AP130">
        <f>Scenario_Data!T130</f>
        <v/>
      </c>
      <c r="AQ130">
        <f>2*(SQRT((Inputs!$C$52+(Scenario_Data!B130))^2+(Inputs!$C$52+((IF(OR(Inputs!$C$27=TRUE,Inputs!$C$27="TRUE",Inputs!$C$27=1),1,0)*(Inputs!$C$51*(115*EXP(-(((Inputs!$C$6)-25)^2)/(4.5^2))+70*EXP(-(((Inputs!$C$6)+38)^2)/(7^2))*(0.55+0.45*SIN(2*PI()*(Scenario_Data!T130)/45))+24*SIN(2*PI()*(Inputs!$C$6)/9+(Scenario_Data!T130)/18)*EXP(-(((Inputs!$C$6)+5)^2)/(22^2))+18*SIN(2*PI()*(Scenario_Data!T130)/70))+Inputs!$C$28*EXP(-(((Scenario_Data!T130)-Inputs!$C$29)^2)/(2*Inputs!$C$31^2))*EXP(-(((Inputs!$C$6)-Inputs!$C$30)^2)/(2*Inputs!$C$32^2))+-Inputs!$C$33*EXP(-(((((Scenario_Data!T130)-Inputs!$C$34)^2)+(((Inputs!$C$6)-Inputs!$C$35)^2))/(2*Inputs!$C$36^2)))+Inputs!$C$37*(0.55*SIN(2*PI()*(Scenario_Data!T130)/Inputs!$C$39)+0.35*COS(2*PI()*(Inputs!$C$6)/Inputs!$C$40)+0.2*SIN(2*PI()*((Scenario_Data!T130)+(Inputs!$C$6))/(0.5*(Inputs!$C$39+Inputs!$C$40))))+Inputs!$C$38*SIN(2*PI()*(Scenario_Data!T130)/Inputs!$C$39)*SIN(2*PI()*(Inputs!$C$6)/Inputs!$C$40)+-Inputs!$C$41*EXP(-(((Inputs!$C$6)-Inputs!$C$43)^2)/(2*Inputs!$C$44^2))*EXP(-(((Scenario_Data!T130)-Inputs!$C$42)^2)/(2*Inputs!$C$45^2))+Inputs!$C$48*(0.7*(0.45*SIN(2*PI()*(((Scenario_Data!T130)/Inputs!$C$49)+Inputs!$C$47*0.137))+0.35*COS(2*PI()*(((Inputs!$C$6)/Inputs!$C$50)+Inputs!$C$47*0.173))+0.2*SIN(2*PI()*((((Scenario_Data!T130)+(Inputs!$C$6))/(0.5*(Inputs!$C$49+Inputs!$C$50)))+Inputs!$C$47*0.097)))+0.3*(2*((SIN(((Scenario_Data!T130)*12.9898+(Inputs!$C$6)*78.233+Inputs!$C$47*37.719))*43758.5453)-INT((SIN(((Scenario_Data!T130)*12.9898+(Inputs!$C$6)*78.233+Inputs!$C$47*37.719))*43758.5453)))-1))))/1000))^2-2*(Inputs!$C$52+(Scenario_Data!B130))*(Inputs!$C$52+((IF(OR(Inputs!$C$27=TRUE,Inputs!$C$27="TRUE",Inputs!$C$27=1),1,0)*(Inputs!$C$51*(115*EXP(-(((Inputs!$C$6)-25)^2)/(4.5^2))+70*EXP(-(((Inputs!$C$6)+38)^2)/(7^2))*(0.55+0.45*SIN(2*PI()*(Scenario_Data!T130)/45))+24*SIN(2*PI()*(Inputs!$C$6)/9+(Scenario_Data!T130)/18)*EXP(-(((Inputs!$C$6)+5)^2)/(22^2))+18*SIN(2*PI()*(Scenario_Data!T130)/70))+Inputs!$C$28*EXP(-(((Scenario_Data!T130)-Inputs!$C$29)^2)/(2*Inputs!$C$31^2))*EXP(-(((Inputs!$C$6)-Inputs!$C$30)^2)/(2*Inputs!$C$32^2))+-Inputs!$C$33*EXP(-(((((Scenario_Data!T130)-Inputs!$C$34)^2)+(((Inputs!$C$6)-Inputs!$C$35)^2))/(2*Inputs!$C$36^2)))+Inputs!$C$37*(0.55*SIN(2*PI()*(Scenario_Data!T130)/Inputs!$C$39)+0.35*COS(2*PI()*(Inputs!$C$6)/Inputs!$C$40)+0.2*SIN(2*PI()*((Scenario_Data!T130)+(Inputs!$C$6))/(0.5*(Inputs!$C$39+Inputs!$C$40))))+Inputs!$C$38*SIN(2*PI()*(Scenario_Data!T130)/Inputs!$C$39)*SIN(2*PI()*(Inputs!$C$6)/Inputs!$C$40)+-Inputs!$C$41*EXP(-(((Inputs!$C$6)-Inputs!$C$43)^2)/(2*Inputs!$C$44^2))*EXP(-(((Scenario_Data!T130)-Inputs!$C$42)^2)/(2*Inputs!$C$45^2))+Inputs!$C$48*(0.7*(0.45*SIN(2*PI()*(((Scenario_Data!T130)/Inputs!$C$49)+Inputs!$C$47*0.137))+0.35*COS(2*PI()*(((Inputs!$C$6)/Inputs!$C$50)+Inputs!$C$47*0.173))+0.2*SIN(2*PI()*((((Scenario_Data!T130)+(Inputs!$C$6))/(0.5*(Inputs!$C$49+Inputs!$C$50)))+Inputs!$C$47*0.097)))+0.3*(2*((SIN(((Scenario_Data!T130)*12.9898+(Inputs!$C$6)*78.233+Inputs!$C$47*37.719))*43758.5453)-INT((SIN(((Scenario_Data!T130)*12.9898+(Inputs!$C$6)*78.233+Inputs!$C$47*37.719))*43758.5453)))-1))))/1000))*COS(SQRT((Scenario_Data!T130)^2+Inputs!$C$6^2)/Inputs!$C$52))*1000)/Inputs!$C$21*1000000</f>
        <v/>
      </c>
      <c r="AR130">
        <f>Scenario_Data!U130</f>
        <v/>
      </c>
      <c r="AS130">
        <f>2*(SQRT((Inputs!$C$52+(Scenario_Data!C130))^2+(Inputs!$C$52+((IF(OR(Inputs!$C$27=TRUE,Inputs!$C$27="TRUE",Inputs!$C$27=1),1,0)*(Inputs!$C$51*(115*EXP(-(((Inputs!$C$6)-25)^2)/(4.5^2))+70*EXP(-(((Inputs!$C$6)+38)^2)/(7^2))*(0.55+0.45*SIN(2*PI()*(Scenario_Data!U130)/45))+24*SIN(2*PI()*(Inputs!$C$6)/9+(Scenario_Data!U130)/18)*EXP(-(((Inputs!$C$6)+5)^2)/(22^2))+18*SIN(2*PI()*(Scenario_Data!U130)/70))+Inputs!$C$28*EXP(-(((Scenario_Data!U130)-Inputs!$C$29)^2)/(2*Inputs!$C$31^2))*EXP(-(((Inputs!$C$6)-Inputs!$C$30)^2)/(2*Inputs!$C$32^2))+-Inputs!$C$33*EXP(-(((((Scenario_Data!U130)-Inputs!$C$34)^2)+(((Inputs!$C$6)-Inputs!$C$35)^2))/(2*Inputs!$C$36^2)))+Inputs!$C$37*(0.55*SIN(2*PI()*(Scenario_Data!U130)/Inputs!$C$39)+0.35*COS(2*PI()*(Inputs!$C$6)/Inputs!$C$40)+0.2*SIN(2*PI()*((Scenario_Data!U130)+(Inputs!$C$6))/(0.5*(Inputs!$C$39+Inputs!$C$40))))+Inputs!$C$38*SIN(2*PI()*(Scenario_Data!U130)/Inputs!$C$39)*SIN(2*PI()*(Inputs!$C$6)/Inputs!$C$40)+-Inputs!$C$41*EXP(-(((Inputs!$C$6)-Inputs!$C$43)^2)/(2*Inputs!$C$44^2))*EXP(-(((Scenario_Data!U130)-Inputs!$C$42)^2)/(2*Inputs!$C$45^2))+Inputs!$C$48*(0.7*(0.45*SIN(2*PI()*(((Scenario_Data!U130)/Inputs!$C$49)+Inputs!$C$47*0.137))+0.35*COS(2*PI()*(((Inputs!$C$6)/Inputs!$C$50)+Inputs!$C$47*0.173))+0.2*SIN(2*PI()*((((Scenario_Data!U130)+(Inputs!$C$6))/(0.5*(Inputs!$C$49+Inputs!$C$50)))+Inputs!$C$47*0.097)))+0.3*(2*((SIN(((Scenario_Data!U130)*12.9898+(Inputs!$C$6)*78.233+Inputs!$C$47*37.719))*43758.5453)-INT((SIN(((Scenario_Data!U130)*12.9898+(Inputs!$C$6)*78.233+Inputs!$C$47*37.719))*43758.5453)))-1))))/1000))^2-2*(Inputs!$C$52+(Scenario_Data!C130))*(Inputs!$C$52+((IF(OR(Inputs!$C$27=TRUE,Inputs!$C$27="TRUE",Inputs!$C$27=1),1,0)*(Inputs!$C$51*(115*EXP(-(((Inputs!$C$6)-25)^2)/(4.5^2))+70*EXP(-(((Inputs!$C$6)+38)^2)/(7^2))*(0.55+0.45*SIN(2*PI()*(Scenario_Data!U130)/45))+24*SIN(2*PI()*(Inputs!$C$6)/9+(Scenario_Data!U130)/18)*EXP(-(((Inputs!$C$6)+5)^2)/(22^2))+18*SIN(2*PI()*(Scenario_Data!U130)/70))+Inputs!$C$28*EXP(-(((Scenario_Data!U130)-Inputs!$C$29)^2)/(2*Inputs!$C$31^2))*EXP(-(((Inputs!$C$6)-Inputs!$C$30)^2)/(2*Inputs!$C$32^2))+-Inputs!$C$33*EXP(-(((((Scenario_Data!U130)-Inputs!$C$34)^2)+(((Inputs!$C$6)-Inputs!$C$35)^2))/(2*Inputs!$C$36^2)))+Inputs!$C$37*(0.55*SIN(2*PI()*(Scenario_Data!U130)/Inputs!$C$39)+0.35*COS(2*PI()*(Inputs!$C$6)/Inputs!$C$40)+0.2*SIN(2*PI()*((Scenario_Data!U130)+(Inputs!$C$6))/(0.5*(Inputs!$C$39+Inputs!$C$40))))+Inputs!$C$38*SIN(2*PI()*(Scenario_Data!U130)/Inputs!$C$39)*SIN(2*PI()*(Inputs!$C$6)/Inputs!$C$40)+-Inputs!$C$41*EXP(-(((Inputs!$C$6)-Inputs!$C$43)^2)/(2*Inputs!$C$44^2))*EXP(-(((Scenario_Data!U130)-Inputs!$C$42)^2)/(2*Inputs!$C$45^2))+Inputs!$C$48*(0.7*(0.45*SIN(2*PI()*(((Scenario_Data!U130)/Inputs!$C$49)+Inputs!$C$47*0.137))+0.35*COS(2*PI()*(((Inputs!$C$6)/Inputs!$C$50)+Inputs!$C$47*0.173))+0.2*SIN(2*PI()*((((Scenario_Data!U130)+(Inputs!$C$6))/(0.5*(Inputs!$C$49+Inputs!$C$50)))+Inputs!$C$47*0.097)))+0.3*(2*((SIN(((Scenario_Data!U130)*12.9898+(Inputs!$C$6)*78.233+Inputs!$C$47*37.719))*43758.5453)-INT((SIN(((Scenario_Data!U130)*12.9898+(Inputs!$C$6)*78.233+Inputs!$C$47*37.719))*43758.5453)))-1))))/1000))*COS(SQRT((Scenario_Data!U130)^2+Inputs!$C$6^2)/Inputs!$C$52))*1000)/Inputs!$C$21*1000000</f>
        <v/>
      </c>
      <c r="AT130">
        <f>Scenario_Data!V130</f>
        <v/>
      </c>
      <c r="AU130">
        <f>2*(SQRT((Inputs!$C$52+(Scenario_Data!D130))^2+(Inputs!$C$52+((IF(OR(Inputs!$C$27=TRUE,Inputs!$C$27="TRUE",Inputs!$C$27=1),1,0)*(Inputs!$C$51*(115*EXP(-(((Inputs!$C$6)-25)^2)/(4.5^2))+70*EXP(-(((Inputs!$C$6)+38)^2)/(7^2))*(0.55+0.45*SIN(2*PI()*(Scenario_Data!V130)/45))+24*SIN(2*PI()*(Inputs!$C$6)/9+(Scenario_Data!V130)/18)*EXP(-(((Inputs!$C$6)+5)^2)/(22^2))+18*SIN(2*PI()*(Scenario_Data!V130)/70))+Inputs!$C$28*EXP(-(((Scenario_Data!V130)-Inputs!$C$29)^2)/(2*Inputs!$C$31^2))*EXP(-(((Inputs!$C$6)-Inputs!$C$30)^2)/(2*Inputs!$C$32^2))+-Inputs!$C$33*EXP(-(((((Scenario_Data!V130)-Inputs!$C$34)^2)+(((Inputs!$C$6)-Inputs!$C$35)^2))/(2*Inputs!$C$36^2)))+Inputs!$C$37*(0.55*SIN(2*PI()*(Scenario_Data!V130)/Inputs!$C$39)+0.35*COS(2*PI()*(Inputs!$C$6)/Inputs!$C$40)+0.2*SIN(2*PI()*((Scenario_Data!V130)+(Inputs!$C$6))/(0.5*(Inputs!$C$39+Inputs!$C$40))))+Inputs!$C$38*SIN(2*PI()*(Scenario_Data!V130)/Inputs!$C$39)*SIN(2*PI()*(Inputs!$C$6)/Inputs!$C$40)+-Inputs!$C$41*EXP(-(((Inputs!$C$6)-Inputs!$C$43)^2)/(2*Inputs!$C$44^2))*EXP(-(((Scenario_Data!V130)-Inputs!$C$42)^2)/(2*Inputs!$C$45^2))+Inputs!$C$48*(0.7*(0.45*SIN(2*PI()*(((Scenario_Data!V130)/Inputs!$C$49)+Inputs!$C$47*0.137))+0.35*COS(2*PI()*(((Inputs!$C$6)/Inputs!$C$50)+Inputs!$C$47*0.173))+0.2*SIN(2*PI()*((((Scenario_Data!V130)+(Inputs!$C$6))/(0.5*(Inputs!$C$49+Inputs!$C$50)))+Inputs!$C$47*0.097)))+0.3*(2*((SIN(((Scenario_Data!V130)*12.9898+(Inputs!$C$6)*78.233+Inputs!$C$47*37.719))*43758.5453)-INT((SIN(((Scenario_Data!V130)*12.9898+(Inputs!$C$6)*78.233+Inputs!$C$47*37.719))*43758.5453)))-1))))/1000))^2-2*(Inputs!$C$52+(Scenario_Data!D130))*(Inputs!$C$52+((IF(OR(Inputs!$C$27=TRUE,Inputs!$C$27="TRUE",Inputs!$C$27=1),1,0)*(Inputs!$C$51*(115*EXP(-(((Inputs!$C$6)-25)^2)/(4.5^2))+70*EXP(-(((Inputs!$C$6)+38)^2)/(7^2))*(0.55+0.45*SIN(2*PI()*(Scenario_Data!V130)/45))+24*SIN(2*PI()*(Inputs!$C$6)/9+(Scenario_Data!V130)/18)*EXP(-(((Inputs!$C$6)+5)^2)/(22^2))+18*SIN(2*PI()*(Scenario_Data!V130)/70))+Inputs!$C$28*EXP(-(((Scenario_Data!V130)-Inputs!$C$29)^2)/(2*Inputs!$C$31^2))*EXP(-(((Inputs!$C$6)-Inputs!$C$30)^2)/(2*Inputs!$C$32^2))+-Inputs!$C$33*EXP(-(((((Scenario_Data!V130)-Inputs!$C$34)^2)+(((Inputs!$C$6)-Inputs!$C$35)^2))/(2*Inputs!$C$36^2)))+Inputs!$C$37*(0.55*SIN(2*PI()*(Scenario_Data!V130)/Inputs!$C$39)+0.35*COS(2*PI()*(Inputs!$C$6)/Inputs!$C$40)+0.2*SIN(2*PI()*((Scenario_Data!V130)+(Inputs!$C$6))/(0.5*(Inputs!$C$39+Inputs!$C$40))))+Inputs!$C$38*SIN(2*PI()*(Scenario_Data!V130)/Inputs!$C$39)*SIN(2*PI()*(Inputs!$C$6)/Inputs!$C$40)+-Inputs!$C$41*EXP(-(((Inputs!$C$6)-Inputs!$C$43)^2)/(2*Inputs!$C$44^2))*EXP(-(((Scenario_Data!V130)-Inputs!$C$42)^2)/(2*Inputs!$C$45^2))+Inputs!$C$48*(0.7*(0.45*SIN(2*PI()*(((Scenario_Data!V130)/Inputs!$C$49)+Inputs!$C$47*0.137))+0.35*COS(2*PI()*(((Inputs!$C$6)/Inputs!$C$50)+Inputs!$C$47*0.173))+0.2*SIN(2*PI()*((((Scenario_Data!V130)+(Inputs!$C$6))/(0.5*(Inputs!$C$49+Inputs!$C$50)))+Inputs!$C$47*0.097)))+0.3*(2*((SIN(((Scenario_Data!V130)*12.9898+(Inputs!$C$6)*78.233+Inputs!$C$47*37.719))*43758.5453)-INT((SIN(((Scenario_Data!V130)*12.9898+(Inputs!$C$6)*78.233+Inputs!$C$47*37.719))*43758.5453)))-1))))/1000))*COS(SQRT((Scenario_Data!V130)^2+Inputs!$C$6^2)/Inputs!$C$52))*1000)/Inputs!$C$21*1000000</f>
        <v/>
      </c>
      <c r="AV130">
        <f>Scenario_Data!W130</f>
        <v/>
      </c>
      <c r="AW130">
        <f>2*(SQRT((Inputs!$C$52+(Scenario_Data!E130))^2+(Inputs!$C$52+((IF(OR(Inputs!$C$27=TRUE,Inputs!$C$27="TRUE",Inputs!$C$27=1),1,0)*(Inputs!$C$51*(115*EXP(-(((Inputs!$C$6)-25)^2)/(4.5^2))+70*EXP(-(((Inputs!$C$6)+38)^2)/(7^2))*(0.55+0.45*SIN(2*PI()*(Scenario_Data!W130)/45))+24*SIN(2*PI()*(Inputs!$C$6)/9+(Scenario_Data!W130)/18)*EXP(-(((Inputs!$C$6)+5)^2)/(22^2))+18*SIN(2*PI()*(Scenario_Data!W130)/70))+Inputs!$C$28*EXP(-(((Scenario_Data!W130)-Inputs!$C$29)^2)/(2*Inputs!$C$31^2))*EXP(-(((Inputs!$C$6)-Inputs!$C$30)^2)/(2*Inputs!$C$32^2))+-Inputs!$C$33*EXP(-(((((Scenario_Data!W130)-Inputs!$C$34)^2)+(((Inputs!$C$6)-Inputs!$C$35)^2))/(2*Inputs!$C$36^2)))+Inputs!$C$37*(0.55*SIN(2*PI()*(Scenario_Data!W130)/Inputs!$C$39)+0.35*COS(2*PI()*(Inputs!$C$6)/Inputs!$C$40)+0.2*SIN(2*PI()*((Scenario_Data!W130)+(Inputs!$C$6))/(0.5*(Inputs!$C$39+Inputs!$C$40))))+Inputs!$C$38*SIN(2*PI()*(Scenario_Data!W130)/Inputs!$C$39)*SIN(2*PI()*(Inputs!$C$6)/Inputs!$C$40)+-Inputs!$C$41*EXP(-(((Inputs!$C$6)-Inputs!$C$43)^2)/(2*Inputs!$C$44^2))*EXP(-(((Scenario_Data!W130)-Inputs!$C$42)^2)/(2*Inputs!$C$45^2))+Inputs!$C$48*(0.7*(0.45*SIN(2*PI()*(((Scenario_Data!W130)/Inputs!$C$49)+Inputs!$C$47*0.137))+0.35*COS(2*PI()*(((Inputs!$C$6)/Inputs!$C$50)+Inputs!$C$47*0.173))+0.2*SIN(2*PI()*((((Scenario_Data!W130)+(Inputs!$C$6))/(0.5*(Inputs!$C$49+Inputs!$C$50)))+Inputs!$C$47*0.097)))+0.3*(2*((SIN(((Scenario_Data!W130)*12.9898+(Inputs!$C$6)*78.233+Inputs!$C$47*37.719))*43758.5453)-INT((SIN(((Scenario_Data!W130)*12.9898+(Inputs!$C$6)*78.233+Inputs!$C$47*37.719))*43758.5453)))-1))))/1000))^2-2*(Inputs!$C$52+(Scenario_Data!E130))*(Inputs!$C$52+((IF(OR(Inputs!$C$27=TRUE,Inputs!$C$27="TRUE",Inputs!$C$27=1),1,0)*(Inputs!$C$51*(115*EXP(-(((Inputs!$C$6)-25)^2)/(4.5^2))+70*EXP(-(((Inputs!$C$6)+38)^2)/(7^2))*(0.55+0.45*SIN(2*PI()*(Scenario_Data!W130)/45))+24*SIN(2*PI()*(Inputs!$C$6)/9+(Scenario_Data!W130)/18)*EXP(-(((Inputs!$C$6)+5)^2)/(22^2))+18*SIN(2*PI()*(Scenario_Data!W130)/70))+Inputs!$C$28*EXP(-(((Scenario_Data!W130)-Inputs!$C$29)^2)/(2*Inputs!$C$31^2))*EXP(-(((Inputs!$C$6)-Inputs!$C$30)^2)/(2*Inputs!$C$32^2))+-Inputs!$C$33*EXP(-(((((Scenario_Data!W130)-Inputs!$C$34)^2)+(((Inputs!$C$6)-Inputs!$C$35)^2))/(2*Inputs!$C$36^2)))+Inputs!$C$37*(0.55*SIN(2*PI()*(Scenario_Data!W130)/Inputs!$C$39)+0.35*COS(2*PI()*(Inputs!$C$6)/Inputs!$C$40)+0.2*SIN(2*PI()*((Scenario_Data!W130)+(Inputs!$C$6))/(0.5*(Inputs!$C$39+Inputs!$C$40))))+Inputs!$C$38*SIN(2*PI()*(Scenario_Data!W130)/Inputs!$C$39)*SIN(2*PI()*(Inputs!$C$6)/Inputs!$C$40)+-Inputs!$C$41*EXP(-(((Inputs!$C$6)-Inputs!$C$43)^2)/(2*Inputs!$C$44^2))*EXP(-(((Scenario_Data!W130)-Inputs!$C$42)^2)/(2*Inputs!$C$45^2))+Inputs!$C$48*(0.7*(0.45*SIN(2*PI()*(((Scenario_Data!W130)/Inputs!$C$49)+Inputs!$C$47*0.137))+0.35*COS(2*PI()*(((Inputs!$C$6)/Inputs!$C$50)+Inputs!$C$47*0.173))+0.2*SIN(2*PI()*((((Scenario_Data!W130)+(Inputs!$C$6))/(0.5*(Inputs!$C$49+Inputs!$C$50)))+Inputs!$C$47*0.097)))+0.3*(2*((SIN(((Scenario_Data!W130)*12.9898+(Inputs!$C$6)*78.233+Inputs!$C$47*37.719))*43758.5453)-INT((SIN(((Scenario_Data!W130)*12.9898+(Inputs!$C$6)*78.233+Inputs!$C$47*37.719))*43758.5453)))-1))))/1000))*COS(SQRT((Scenario_Data!W130)^2+Inputs!$C$6^2)/Inputs!$C$52))*1000)/Inputs!$C$21*1000000</f>
        <v/>
      </c>
    </row>
    <row r="131">
      <c r="A131">
        <f>Chart_Data!K131</f>
        <v/>
      </c>
      <c r="B131">
        <f>Chart_Data!N131-Chart_Data!L131</f>
        <v/>
      </c>
      <c r="D131">
        <f>Chart_Data!G131</f>
        <v/>
      </c>
      <c r="E131">
        <f>Chart_Data!H131</f>
        <v/>
      </c>
      <c r="F131">
        <f>Chart_Data!I131</f>
        <v/>
      </c>
      <c r="G131">
        <f>Chart_Data!J131</f>
        <v/>
      </c>
      <c r="I131">
        <f>Scenario_Data!A131</f>
        <v/>
      </c>
      <c r="J131">
        <f>Scenario_Data!H131-(((SQRT((Inputs!$C$52+(Inputs!$H$6))^2+Inputs!$C$52^2-2*(Inputs!$C$52+(Inputs!$H$6))*Inputs!$C$52*COS(SQRT((Scenario_Data!T131)^2+Inputs!$C$6^2)/Inputs!$C$52)))-(Inputs!$H$6))*1000/Inputs!$C$12)</f>
        <v/>
      </c>
      <c r="K131">
        <f>Scenario_Data!I131-(((SQRT((Inputs!$C$52+(Inputs!$H$7))^2+Inputs!$C$52^2-2*(Inputs!$C$52+(Inputs!$H$7))*Inputs!$C$52*COS(SQRT((Scenario_Data!U131)^2+Inputs!$C$6^2)/Inputs!$C$52)))-(Inputs!$H$7))*1000/Inputs!$C$12)</f>
        <v/>
      </c>
      <c r="L131">
        <f>Scenario_Data!J131-(((SQRT((Inputs!$C$52+(Inputs!$H$8))^2+Inputs!$C$52^2-2*(Inputs!$C$52+(Inputs!$H$8))*Inputs!$C$52*COS(SQRT((Scenario_Data!V131)^2+Inputs!$C$6^2)/Inputs!$C$52)))-(Inputs!$H$8))*1000/Inputs!$C$12)</f>
        <v/>
      </c>
      <c r="M131">
        <f>Scenario_Data!K131-(((SQRT((Inputs!$C$52+(Inputs!$H$9))^2+Inputs!$C$52^2-2*(Inputs!$C$52+(Inputs!$H$9))*Inputs!$C$52*COS(SQRT((Scenario_Data!W131)^2+Inputs!$C$6^2)/Inputs!$C$52)))-(Inputs!$H$9))*1000/Inputs!$C$12)</f>
        <v/>
      </c>
      <c r="O131">
        <f>Scenario_Data!T131</f>
        <v/>
      </c>
      <c r="P131">
        <f>2*(Scenario_Data!B131*1000)/Inputs!$C$21*1000000</f>
        <v/>
      </c>
      <c r="Q131">
        <f>Scenario_Data!U131</f>
        <v/>
      </c>
      <c r="R131">
        <f>2*(Scenario_Data!C131*1000)/Inputs!$C$21*1000000</f>
        <v/>
      </c>
      <c r="S131">
        <f>Scenario_Data!V131</f>
        <v/>
      </c>
      <c r="T131">
        <f>2*(Scenario_Data!D131*1000)/Inputs!$C$21*1000000</f>
        <v/>
      </c>
      <c r="U131">
        <f>Scenario_Data!W131</f>
        <v/>
      </c>
      <c r="V131">
        <f>2*(Scenario_Data!E131*1000)/Inputs!$C$21*1000000</f>
        <v/>
      </c>
      <c r="X131">
        <f>Scenario_Data!T131</f>
        <v/>
      </c>
      <c r="Y131">
        <f>2*((Scenario_Data!B131*1000)-(IF(OR(Inputs!$C$27=TRUE,Inputs!$C$27="TRUE",Inputs!$C$27=1),1,0)*(Inputs!$C$51*(115*EXP(-(((0)-25)^2)/(4.5^2))+70*EXP(-(((0)+38)^2)/(7^2))*(0.55+0.45*SIN(2*PI()*(Scenario_Data!T131)/45))+24*SIN(2*PI()*(0)/9+(Scenario_Data!T131)/18)*EXP(-(((0)+5)^2)/(22^2))+18*SIN(2*PI()*(Scenario_Data!T131)/70))+Inputs!$C$28*EXP(-(((Scenario_Data!T131)-Inputs!$C$29)^2)/(2*Inputs!$C$31^2))*EXP(-(((0)-Inputs!$C$30)^2)/(2*Inputs!$C$32^2))+-Inputs!$C$33*EXP(-(((((Scenario_Data!T131)-Inputs!$C$34)^2)+(((0)-Inputs!$C$35)^2))/(2*Inputs!$C$36^2)))+Inputs!$C$37*(0.55*SIN(2*PI()*(Scenario_Data!T131)/Inputs!$C$39)+0.35*COS(2*PI()*(0)/Inputs!$C$40)+0.2*SIN(2*PI()*((Scenario_Data!T131)+(0))/(0.5*(Inputs!$C$39+Inputs!$C$40))))+Inputs!$C$38*SIN(2*PI()*(Scenario_Data!T131)/Inputs!$C$39)*SIN(2*PI()*(0)/Inputs!$C$40)+-Inputs!$C$41*EXP(-(((0)-Inputs!$C$43)^2)/(2*Inputs!$C$44^2))*EXP(-(((Scenario_Data!T131)-Inputs!$C$42)^2)/(2*Inputs!$C$45^2))+Inputs!$C$48*(0.7*(0.45*SIN(2*PI()*(((Scenario_Data!T131)/Inputs!$C$49)+Inputs!$C$47*0.137))+0.35*COS(2*PI()*(((0)/Inputs!$C$50)+Inputs!$C$47*0.173))+0.2*SIN(2*PI()*((((Scenario_Data!T131)+(0))/(0.5*(Inputs!$C$49+Inputs!$C$50)))+Inputs!$C$47*0.097)))+0.3*(2*((SIN(((Scenario_Data!T131)*12.9898+(0)*78.233+Inputs!$C$47*37.719))*43758.5453)-INT((SIN(((Scenario_Data!T131)*12.9898+(0)*78.233+Inputs!$C$47*37.719))*43758.5453)))-1)))))/Inputs!$C$21*1000000</f>
        <v/>
      </c>
      <c r="Z131">
        <f>Scenario_Data!U131</f>
        <v/>
      </c>
      <c r="AA131">
        <f>2*((Scenario_Data!C131*1000)-(IF(OR(Inputs!$C$27=TRUE,Inputs!$C$27="TRUE",Inputs!$C$27=1),1,0)*(Inputs!$C$51*(115*EXP(-(((0)-25)^2)/(4.5^2))+70*EXP(-(((0)+38)^2)/(7^2))*(0.55+0.45*SIN(2*PI()*(Scenario_Data!U131)/45))+24*SIN(2*PI()*(0)/9+(Scenario_Data!U131)/18)*EXP(-(((0)+5)^2)/(22^2))+18*SIN(2*PI()*(Scenario_Data!U131)/70))+Inputs!$C$28*EXP(-(((Scenario_Data!U131)-Inputs!$C$29)^2)/(2*Inputs!$C$31^2))*EXP(-(((0)-Inputs!$C$30)^2)/(2*Inputs!$C$32^2))+-Inputs!$C$33*EXP(-(((((Scenario_Data!U131)-Inputs!$C$34)^2)+(((0)-Inputs!$C$35)^2))/(2*Inputs!$C$36^2)))+Inputs!$C$37*(0.55*SIN(2*PI()*(Scenario_Data!U131)/Inputs!$C$39)+0.35*COS(2*PI()*(0)/Inputs!$C$40)+0.2*SIN(2*PI()*((Scenario_Data!U131)+(0))/(0.5*(Inputs!$C$39+Inputs!$C$40))))+Inputs!$C$38*SIN(2*PI()*(Scenario_Data!U131)/Inputs!$C$39)*SIN(2*PI()*(0)/Inputs!$C$40)+-Inputs!$C$41*EXP(-(((0)-Inputs!$C$43)^2)/(2*Inputs!$C$44^2))*EXP(-(((Scenario_Data!U131)-Inputs!$C$42)^2)/(2*Inputs!$C$45^2))+Inputs!$C$48*(0.7*(0.45*SIN(2*PI()*(((Scenario_Data!U131)/Inputs!$C$49)+Inputs!$C$47*0.137))+0.35*COS(2*PI()*(((0)/Inputs!$C$50)+Inputs!$C$47*0.173))+0.2*SIN(2*PI()*((((Scenario_Data!U131)+(0))/(0.5*(Inputs!$C$49+Inputs!$C$50)))+Inputs!$C$47*0.097)))+0.3*(2*((SIN(((Scenario_Data!U131)*12.9898+(0)*78.233+Inputs!$C$47*37.719))*43758.5453)-INT((SIN(((Scenario_Data!U131)*12.9898+(0)*78.233+Inputs!$C$47*37.719))*43758.5453)))-1)))))/Inputs!$C$21*1000000</f>
        <v/>
      </c>
      <c r="AB131">
        <f>Scenario_Data!V131</f>
        <v/>
      </c>
      <c r="AC131">
        <f>2*((Scenario_Data!D131*1000)-(IF(OR(Inputs!$C$27=TRUE,Inputs!$C$27="TRUE",Inputs!$C$27=1),1,0)*(Inputs!$C$51*(115*EXP(-(((0)-25)^2)/(4.5^2))+70*EXP(-(((0)+38)^2)/(7^2))*(0.55+0.45*SIN(2*PI()*(Scenario_Data!V131)/45))+24*SIN(2*PI()*(0)/9+(Scenario_Data!V131)/18)*EXP(-(((0)+5)^2)/(22^2))+18*SIN(2*PI()*(Scenario_Data!V131)/70))+Inputs!$C$28*EXP(-(((Scenario_Data!V131)-Inputs!$C$29)^2)/(2*Inputs!$C$31^2))*EXP(-(((0)-Inputs!$C$30)^2)/(2*Inputs!$C$32^2))+-Inputs!$C$33*EXP(-(((((Scenario_Data!V131)-Inputs!$C$34)^2)+(((0)-Inputs!$C$35)^2))/(2*Inputs!$C$36^2)))+Inputs!$C$37*(0.55*SIN(2*PI()*(Scenario_Data!V131)/Inputs!$C$39)+0.35*COS(2*PI()*(0)/Inputs!$C$40)+0.2*SIN(2*PI()*((Scenario_Data!V131)+(0))/(0.5*(Inputs!$C$39+Inputs!$C$40))))+Inputs!$C$38*SIN(2*PI()*(Scenario_Data!V131)/Inputs!$C$39)*SIN(2*PI()*(0)/Inputs!$C$40)+-Inputs!$C$41*EXP(-(((0)-Inputs!$C$43)^2)/(2*Inputs!$C$44^2))*EXP(-(((Scenario_Data!V131)-Inputs!$C$42)^2)/(2*Inputs!$C$45^2))+Inputs!$C$48*(0.7*(0.45*SIN(2*PI()*(((Scenario_Data!V131)/Inputs!$C$49)+Inputs!$C$47*0.137))+0.35*COS(2*PI()*(((0)/Inputs!$C$50)+Inputs!$C$47*0.173))+0.2*SIN(2*PI()*((((Scenario_Data!V131)+(0))/(0.5*(Inputs!$C$49+Inputs!$C$50)))+Inputs!$C$47*0.097)))+0.3*(2*((SIN(((Scenario_Data!V131)*12.9898+(0)*78.233+Inputs!$C$47*37.719))*43758.5453)-INT((SIN(((Scenario_Data!V131)*12.9898+(0)*78.233+Inputs!$C$47*37.719))*43758.5453)))-1)))))/Inputs!$C$21*1000000</f>
        <v/>
      </c>
      <c r="AD131">
        <f>Scenario_Data!W131</f>
        <v/>
      </c>
      <c r="AE131">
        <f>2*((Scenario_Data!E131*1000)-(IF(OR(Inputs!$C$27=TRUE,Inputs!$C$27="TRUE",Inputs!$C$27=1),1,0)*(Inputs!$C$51*(115*EXP(-(((0)-25)^2)/(4.5^2))+70*EXP(-(((0)+38)^2)/(7^2))*(0.55+0.45*SIN(2*PI()*(Scenario_Data!W131)/45))+24*SIN(2*PI()*(0)/9+(Scenario_Data!W131)/18)*EXP(-(((0)+5)^2)/(22^2))+18*SIN(2*PI()*(Scenario_Data!W131)/70))+Inputs!$C$28*EXP(-(((Scenario_Data!W131)-Inputs!$C$29)^2)/(2*Inputs!$C$31^2))*EXP(-(((0)-Inputs!$C$30)^2)/(2*Inputs!$C$32^2))+-Inputs!$C$33*EXP(-(((((Scenario_Data!W131)-Inputs!$C$34)^2)+(((0)-Inputs!$C$35)^2))/(2*Inputs!$C$36^2)))+Inputs!$C$37*(0.55*SIN(2*PI()*(Scenario_Data!W131)/Inputs!$C$39)+0.35*COS(2*PI()*(0)/Inputs!$C$40)+0.2*SIN(2*PI()*((Scenario_Data!W131)+(0))/(0.5*(Inputs!$C$39+Inputs!$C$40))))+Inputs!$C$38*SIN(2*PI()*(Scenario_Data!W131)/Inputs!$C$39)*SIN(2*PI()*(0)/Inputs!$C$40)+-Inputs!$C$41*EXP(-(((0)-Inputs!$C$43)^2)/(2*Inputs!$C$44^2))*EXP(-(((Scenario_Data!W131)-Inputs!$C$42)^2)/(2*Inputs!$C$45^2))+Inputs!$C$48*(0.7*(0.45*SIN(2*PI()*(((Scenario_Data!W131)/Inputs!$C$49)+Inputs!$C$47*0.137))+0.35*COS(2*PI()*(((0)/Inputs!$C$50)+Inputs!$C$47*0.173))+0.2*SIN(2*PI()*((((Scenario_Data!W131)+(0))/(0.5*(Inputs!$C$49+Inputs!$C$50)))+Inputs!$C$47*0.097)))+0.3*(2*((SIN(((Scenario_Data!W131)*12.9898+(0)*78.233+Inputs!$C$47*37.719))*43758.5453)-INT((SIN(((Scenario_Data!W131)*12.9898+(0)*78.233+Inputs!$C$47*37.719))*43758.5453)))-1)))))/Inputs!$C$21*1000000</f>
        <v/>
      </c>
      <c r="AG131">
        <f>Scenario_Data!T131</f>
        <v/>
      </c>
      <c r="AH131">
        <f>2*(SQRT((Inputs!$C$52+(Scenario_Data!B131))^2+Inputs!$C$52^2-2*(Inputs!$C$52+(Scenario_Data!B131))*Inputs!$C$52*COS(SQRT((Scenario_Data!T131)^2+Inputs!$C$6^2)/Inputs!$C$52))*1000)/Inputs!$C$21*1000000</f>
        <v/>
      </c>
      <c r="AI131">
        <f>Scenario_Data!U131</f>
        <v/>
      </c>
      <c r="AJ131">
        <f>2*(SQRT((Inputs!$C$52+(Scenario_Data!C131))^2+Inputs!$C$52^2-2*(Inputs!$C$52+(Scenario_Data!C131))*Inputs!$C$52*COS(SQRT((Scenario_Data!U131)^2+Inputs!$C$6^2)/Inputs!$C$52))*1000)/Inputs!$C$21*1000000</f>
        <v/>
      </c>
      <c r="AK131">
        <f>Scenario_Data!V131</f>
        <v/>
      </c>
      <c r="AL131">
        <f>2*(SQRT((Inputs!$C$52+(Scenario_Data!D131))^2+Inputs!$C$52^2-2*(Inputs!$C$52+(Scenario_Data!D131))*Inputs!$C$52*COS(SQRT((Scenario_Data!V131)^2+Inputs!$C$6^2)/Inputs!$C$52))*1000)/Inputs!$C$21*1000000</f>
        <v/>
      </c>
      <c r="AM131">
        <f>Scenario_Data!W131</f>
        <v/>
      </c>
      <c r="AN131">
        <f>2*(SQRT((Inputs!$C$52+(Scenario_Data!E131))^2+Inputs!$C$52^2-2*(Inputs!$C$52+(Scenario_Data!E131))*Inputs!$C$52*COS(SQRT((Scenario_Data!W131)^2+Inputs!$C$6^2)/Inputs!$C$52))*1000)/Inputs!$C$21*1000000</f>
        <v/>
      </c>
      <c r="AP131">
        <f>Scenario_Data!T131</f>
        <v/>
      </c>
      <c r="AQ131">
        <f>2*(SQRT((Inputs!$C$52+(Scenario_Data!B131))^2+(Inputs!$C$52+((IF(OR(Inputs!$C$27=TRUE,Inputs!$C$27="TRUE",Inputs!$C$27=1),1,0)*(Inputs!$C$51*(115*EXP(-(((Inputs!$C$6)-25)^2)/(4.5^2))+70*EXP(-(((Inputs!$C$6)+38)^2)/(7^2))*(0.55+0.45*SIN(2*PI()*(Scenario_Data!T131)/45))+24*SIN(2*PI()*(Inputs!$C$6)/9+(Scenario_Data!T131)/18)*EXP(-(((Inputs!$C$6)+5)^2)/(22^2))+18*SIN(2*PI()*(Scenario_Data!T131)/70))+Inputs!$C$28*EXP(-(((Scenario_Data!T131)-Inputs!$C$29)^2)/(2*Inputs!$C$31^2))*EXP(-(((Inputs!$C$6)-Inputs!$C$30)^2)/(2*Inputs!$C$32^2))+-Inputs!$C$33*EXP(-(((((Scenario_Data!T131)-Inputs!$C$34)^2)+(((Inputs!$C$6)-Inputs!$C$35)^2))/(2*Inputs!$C$36^2)))+Inputs!$C$37*(0.55*SIN(2*PI()*(Scenario_Data!T131)/Inputs!$C$39)+0.35*COS(2*PI()*(Inputs!$C$6)/Inputs!$C$40)+0.2*SIN(2*PI()*((Scenario_Data!T131)+(Inputs!$C$6))/(0.5*(Inputs!$C$39+Inputs!$C$40))))+Inputs!$C$38*SIN(2*PI()*(Scenario_Data!T131)/Inputs!$C$39)*SIN(2*PI()*(Inputs!$C$6)/Inputs!$C$40)+-Inputs!$C$41*EXP(-(((Inputs!$C$6)-Inputs!$C$43)^2)/(2*Inputs!$C$44^2))*EXP(-(((Scenario_Data!T131)-Inputs!$C$42)^2)/(2*Inputs!$C$45^2))+Inputs!$C$48*(0.7*(0.45*SIN(2*PI()*(((Scenario_Data!T131)/Inputs!$C$49)+Inputs!$C$47*0.137))+0.35*COS(2*PI()*(((Inputs!$C$6)/Inputs!$C$50)+Inputs!$C$47*0.173))+0.2*SIN(2*PI()*((((Scenario_Data!T131)+(Inputs!$C$6))/(0.5*(Inputs!$C$49+Inputs!$C$50)))+Inputs!$C$47*0.097)))+0.3*(2*((SIN(((Scenario_Data!T131)*12.9898+(Inputs!$C$6)*78.233+Inputs!$C$47*37.719))*43758.5453)-INT((SIN(((Scenario_Data!T131)*12.9898+(Inputs!$C$6)*78.233+Inputs!$C$47*37.719))*43758.5453)))-1))))/1000))^2-2*(Inputs!$C$52+(Scenario_Data!B131))*(Inputs!$C$52+((IF(OR(Inputs!$C$27=TRUE,Inputs!$C$27="TRUE",Inputs!$C$27=1),1,0)*(Inputs!$C$51*(115*EXP(-(((Inputs!$C$6)-25)^2)/(4.5^2))+70*EXP(-(((Inputs!$C$6)+38)^2)/(7^2))*(0.55+0.45*SIN(2*PI()*(Scenario_Data!T131)/45))+24*SIN(2*PI()*(Inputs!$C$6)/9+(Scenario_Data!T131)/18)*EXP(-(((Inputs!$C$6)+5)^2)/(22^2))+18*SIN(2*PI()*(Scenario_Data!T131)/70))+Inputs!$C$28*EXP(-(((Scenario_Data!T131)-Inputs!$C$29)^2)/(2*Inputs!$C$31^2))*EXP(-(((Inputs!$C$6)-Inputs!$C$30)^2)/(2*Inputs!$C$32^2))+-Inputs!$C$33*EXP(-(((((Scenario_Data!T131)-Inputs!$C$34)^2)+(((Inputs!$C$6)-Inputs!$C$35)^2))/(2*Inputs!$C$36^2)))+Inputs!$C$37*(0.55*SIN(2*PI()*(Scenario_Data!T131)/Inputs!$C$39)+0.35*COS(2*PI()*(Inputs!$C$6)/Inputs!$C$40)+0.2*SIN(2*PI()*((Scenario_Data!T131)+(Inputs!$C$6))/(0.5*(Inputs!$C$39+Inputs!$C$40))))+Inputs!$C$38*SIN(2*PI()*(Scenario_Data!T131)/Inputs!$C$39)*SIN(2*PI()*(Inputs!$C$6)/Inputs!$C$40)+-Inputs!$C$41*EXP(-(((Inputs!$C$6)-Inputs!$C$43)^2)/(2*Inputs!$C$44^2))*EXP(-(((Scenario_Data!T131)-Inputs!$C$42)^2)/(2*Inputs!$C$45^2))+Inputs!$C$48*(0.7*(0.45*SIN(2*PI()*(((Scenario_Data!T131)/Inputs!$C$49)+Inputs!$C$47*0.137))+0.35*COS(2*PI()*(((Inputs!$C$6)/Inputs!$C$50)+Inputs!$C$47*0.173))+0.2*SIN(2*PI()*((((Scenario_Data!T131)+(Inputs!$C$6))/(0.5*(Inputs!$C$49+Inputs!$C$50)))+Inputs!$C$47*0.097)))+0.3*(2*((SIN(((Scenario_Data!T131)*12.9898+(Inputs!$C$6)*78.233+Inputs!$C$47*37.719))*43758.5453)-INT((SIN(((Scenario_Data!T131)*12.9898+(Inputs!$C$6)*78.233+Inputs!$C$47*37.719))*43758.5453)))-1))))/1000))*COS(SQRT((Scenario_Data!T131)^2+Inputs!$C$6^2)/Inputs!$C$52))*1000)/Inputs!$C$21*1000000</f>
        <v/>
      </c>
      <c r="AR131">
        <f>Scenario_Data!U131</f>
        <v/>
      </c>
      <c r="AS131">
        <f>2*(SQRT((Inputs!$C$52+(Scenario_Data!C131))^2+(Inputs!$C$52+((IF(OR(Inputs!$C$27=TRUE,Inputs!$C$27="TRUE",Inputs!$C$27=1),1,0)*(Inputs!$C$51*(115*EXP(-(((Inputs!$C$6)-25)^2)/(4.5^2))+70*EXP(-(((Inputs!$C$6)+38)^2)/(7^2))*(0.55+0.45*SIN(2*PI()*(Scenario_Data!U131)/45))+24*SIN(2*PI()*(Inputs!$C$6)/9+(Scenario_Data!U131)/18)*EXP(-(((Inputs!$C$6)+5)^2)/(22^2))+18*SIN(2*PI()*(Scenario_Data!U131)/70))+Inputs!$C$28*EXP(-(((Scenario_Data!U131)-Inputs!$C$29)^2)/(2*Inputs!$C$31^2))*EXP(-(((Inputs!$C$6)-Inputs!$C$30)^2)/(2*Inputs!$C$32^2))+-Inputs!$C$33*EXP(-(((((Scenario_Data!U131)-Inputs!$C$34)^2)+(((Inputs!$C$6)-Inputs!$C$35)^2))/(2*Inputs!$C$36^2)))+Inputs!$C$37*(0.55*SIN(2*PI()*(Scenario_Data!U131)/Inputs!$C$39)+0.35*COS(2*PI()*(Inputs!$C$6)/Inputs!$C$40)+0.2*SIN(2*PI()*((Scenario_Data!U131)+(Inputs!$C$6))/(0.5*(Inputs!$C$39+Inputs!$C$40))))+Inputs!$C$38*SIN(2*PI()*(Scenario_Data!U131)/Inputs!$C$39)*SIN(2*PI()*(Inputs!$C$6)/Inputs!$C$40)+-Inputs!$C$41*EXP(-(((Inputs!$C$6)-Inputs!$C$43)^2)/(2*Inputs!$C$44^2))*EXP(-(((Scenario_Data!U131)-Inputs!$C$42)^2)/(2*Inputs!$C$45^2))+Inputs!$C$48*(0.7*(0.45*SIN(2*PI()*(((Scenario_Data!U131)/Inputs!$C$49)+Inputs!$C$47*0.137))+0.35*COS(2*PI()*(((Inputs!$C$6)/Inputs!$C$50)+Inputs!$C$47*0.173))+0.2*SIN(2*PI()*((((Scenario_Data!U131)+(Inputs!$C$6))/(0.5*(Inputs!$C$49+Inputs!$C$50)))+Inputs!$C$47*0.097)))+0.3*(2*((SIN(((Scenario_Data!U131)*12.9898+(Inputs!$C$6)*78.233+Inputs!$C$47*37.719))*43758.5453)-INT((SIN(((Scenario_Data!U131)*12.9898+(Inputs!$C$6)*78.233+Inputs!$C$47*37.719))*43758.5453)))-1))))/1000))^2-2*(Inputs!$C$52+(Scenario_Data!C131))*(Inputs!$C$52+((IF(OR(Inputs!$C$27=TRUE,Inputs!$C$27="TRUE",Inputs!$C$27=1),1,0)*(Inputs!$C$51*(115*EXP(-(((Inputs!$C$6)-25)^2)/(4.5^2))+70*EXP(-(((Inputs!$C$6)+38)^2)/(7^2))*(0.55+0.45*SIN(2*PI()*(Scenario_Data!U131)/45))+24*SIN(2*PI()*(Inputs!$C$6)/9+(Scenario_Data!U131)/18)*EXP(-(((Inputs!$C$6)+5)^2)/(22^2))+18*SIN(2*PI()*(Scenario_Data!U131)/70))+Inputs!$C$28*EXP(-(((Scenario_Data!U131)-Inputs!$C$29)^2)/(2*Inputs!$C$31^2))*EXP(-(((Inputs!$C$6)-Inputs!$C$30)^2)/(2*Inputs!$C$32^2))+-Inputs!$C$33*EXP(-(((((Scenario_Data!U131)-Inputs!$C$34)^2)+(((Inputs!$C$6)-Inputs!$C$35)^2))/(2*Inputs!$C$36^2)))+Inputs!$C$37*(0.55*SIN(2*PI()*(Scenario_Data!U131)/Inputs!$C$39)+0.35*COS(2*PI()*(Inputs!$C$6)/Inputs!$C$40)+0.2*SIN(2*PI()*((Scenario_Data!U131)+(Inputs!$C$6))/(0.5*(Inputs!$C$39+Inputs!$C$40))))+Inputs!$C$38*SIN(2*PI()*(Scenario_Data!U131)/Inputs!$C$39)*SIN(2*PI()*(Inputs!$C$6)/Inputs!$C$40)+-Inputs!$C$41*EXP(-(((Inputs!$C$6)-Inputs!$C$43)^2)/(2*Inputs!$C$44^2))*EXP(-(((Scenario_Data!U131)-Inputs!$C$42)^2)/(2*Inputs!$C$45^2))+Inputs!$C$48*(0.7*(0.45*SIN(2*PI()*(((Scenario_Data!U131)/Inputs!$C$49)+Inputs!$C$47*0.137))+0.35*COS(2*PI()*(((Inputs!$C$6)/Inputs!$C$50)+Inputs!$C$47*0.173))+0.2*SIN(2*PI()*((((Scenario_Data!U131)+(Inputs!$C$6))/(0.5*(Inputs!$C$49+Inputs!$C$50)))+Inputs!$C$47*0.097)))+0.3*(2*((SIN(((Scenario_Data!U131)*12.9898+(Inputs!$C$6)*78.233+Inputs!$C$47*37.719))*43758.5453)-INT((SIN(((Scenario_Data!U131)*12.9898+(Inputs!$C$6)*78.233+Inputs!$C$47*37.719))*43758.5453)))-1))))/1000))*COS(SQRT((Scenario_Data!U131)^2+Inputs!$C$6^2)/Inputs!$C$52))*1000)/Inputs!$C$21*1000000</f>
        <v/>
      </c>
      <c r="AT131">
        <f>Scenario_Data!V131</f>
        <v/>
      </c>
      <c r="AU131">
        <f>2*(SQRT((Inputs!$C$52+(Scenario_Data!D131))^2+(Inputs!$C$52+((IF(OR(Inputs!$C$27=TRUE,Inputs!$C$27="TRUE",Inputs!$C$27=1),1,0)*(Inputs!$C$51*(115*EXP(-(((Inputs!$C$6)-25)^2)/(4.5^2))+70*EXP(-(((Inputs!$C$6)+38)^2)/(7^2))*(0.55+0.45*SIN(2*PI()*(Scenario_Data!V131)/45))+24*SIN(2*PI()*(Inputs!$C$6)/9+(Scenario_Data!V131)/18)*EXP(-(((Inputs!$C$6)+5)^2)/(22^2))+18*SIN(2*PI()*(Scenario_Data!V131)/70))+Inputs!$C$28*EXP(-(((Scenario_Data!V131)-Inputs!$C$29)^2)/(2*Inputs!$C$31^2))*EXP(-(((Inputs!$C$6)-Inputs!$C$30)^2)/(2*Inputs!$C$32^2))+-Inputs!$C$33*EXP(-(((((Scenario_Data!V131)-Inputs!$C$34)^2)+(((Inputs!$C$6)-Inputs!$C$35)^2))/(2*Inputs!$C$36^2)))+Inputs!$C$37*(0.55*SIN(2*PI()*(Scenario_Data!V131)/Inputs!$C$39)+0.35*COS(2*PI()*(Inputs!$C$6)/Inputs!$C$40)+0.2*SIN(2*PI()*((Scenario_Data!V131)+(Inputs!$C$6))/(0.5*(Inputs!$C$39+Inputs!$C$40))))+Inputs!$C$38*SIN(2*PI()*(Scenario_Data!V131)/Inputs!$C$39)*SIN(2*PI()*(Inputs!$C$6)/Inputs!$C$40)+-Inputs!$C$41*EXP(-(((Inputs!$C$6)-Inputs!$C$43)^2)/(2*Inputs!$C$44^2))*EXP(-(((Scenario_Data!V131)-Inputs!$C$42)^2)/(2*Inputs!$C$45^2))+Inputs!$C$48*(0.7*(0.45*SIN(2*PI()*(((Scenario_Data!V131)/Inputs!$C$49)+Inputs!$C$47*0.137))+0.35*COS(2*PI()*(((Inputs!$C$6)/Inputs!$C$50)+Inputs!$C$47*0.173))+0.2*SIN(2*PI()*((((Scenario_Data!V131)+(Inputs!$C$6))/(0.5*(Inputs!$C$49+Inputs!$C$50)))+Inputs!$C$47*0.097)))+0.3*(2*((SIN(((Scenario_Data!V131)*12.9898+(Inputs!$C$6)*78.233+Inputs!$C$47*37.719))*43758.5453)-INT((SIN(((Scenario_Data!V131)*12.9898+(Inputs!$C$6)*78.233+Inputs!$C$47*37.719))*43758.5453)))-1))))/1000))^2-2*(Inputs!$C$52+(Scenario_Data!D131))*(Inputs!$C$52+((IF(OR(Inputs!$C$27=TRUE,Inputs!$C$27="TRUE",Inputs!$C$27=1),1,0)*(Inputs!$C$51*(115*EXP(-(((Inputs!$C$6)-25)^2)/(4.5^2))+70*EXP(-(((Inputs!$C$6)+38)^2)/(7^2))*(0.55+0.45*SIN(2*PI()*(Scenario_Data!V131)/45))+24*SIN(2*PI()*(Inputs!$C$6)/9+(Scenario_Data!V131)/18)*EXP(-(((Inputs!$C$6)+5)^2)/(22^2))+18*SIN(2*PI()*(Scenario_Data!V131)/70))+Inputs!$C$28*EXP(-(((Scenario_Data!V131)-Inputs!$C$29)^2)/(2*Inputs!$C$31^2))*EXP(-(((Inputs!$C$6)-Inputs!$C$30)^2)/(2*Inputs!$C$32^2))+-Inputs!$C$33*EXP(-(((((Scenario_Data!V131)-Inputs!$C$34)^2)+(((Inputs!$C$6)-Inputs!$C$35)^2))/(2*Inputs!$C$36^2)))+Inputs!$C$37*(0.55*SIN(2*PI()*(Scenario_Data!V131)/Inputs!$C$39)+0.35*COS(2*PI()*(Inputs!$C$6)/Inputs!$C$40)+0.2*SIN(2*PI()*((Scenario_Data!V131)+(Inputs!$C$6))/(0.5*(Inputs!$C$39+Inputs!$C$40))))+Inputs!$C$38*SIN(2*PI()*(Scenario_Data!V131)/Inputs!$C$39)*SIN(2*PI()*(Inputs!$C$6)/Inputs!$C$40)+-Inputs!$C$41*EXP(-(((Inputs!$C$6)-Inputs!$C$43)^2)/(2*Inputs!$C$44^2))*EXP(-(((Scenario_Data!V131)-Inputs!$C$42)^2)/(2*Inputs!$C$45^2))+Inputs!$C$48*(0.7*(0.45*SIN(2*PI()*(((Scenario_Data!V131)/Inputs!$C$49)+Inputs!$C$47*0.137))+0.35*COS(2*PI()*(((Inputs!$C$6)/Inputs!$C$50)+Inputs!$C$47*0.173))+0.2*SIN(2*PI()*((((Scenario_Data!V131)+(Inputs!$C$6))/(0.5*(Inputs!$C$49+Inputs!$C$50)))+Inputs!$C$47*0.097)))+0.3*(2*((SIN(((Scenario_Data!V131)*12.9898+(Inputs!$C$6)*78.233+Inputs!$C$47*37.719))*43758.5453)-INT((SIN(((Scenario_Data!V131)*12.9898+(Inputs!$C$6)*78.233+Inputs!$C$47*37.719))*43758.5453)))-1))))/1000))*COS(SQRT((Scenario_Data!V131)^2+Inputs!$C$6^2)/Inputs!$C$52))*1000)/Inputs!$C$21*1000000</f>
        <v/>
      </c>
      <c r="AV131">
        <f>Scenario_Data!W131</f>
        <v/>
      </c>
      <c r="AW131">
        <f>2*(SQRT((Inputs!$C$52+(Scenario_Data!E131))^2+(Inputs!$C$52+((IF(OR(Inputs!$C$27=TRUE,Inputs!$C$27="TRUE",Inputs!$C$27=1),1,0)*(Inputs!$C$51*(115*EXP(-(((Inputs!$C$6)-25)^2)/(4.5^2))+70*EXP(-(((Inputs!$C$6)+38)^2)/(7^2))*(0.55+0.45*SIN(2*PI()*(Scenario_Data!W131)/45))+24*SIN(2*PI()*(Inputs!$C$6)/9+(Scenario_Data!W131)/18)*EXP(-(((Inputs!$C$6)+5)^2)/(22^2))+18*SIN(2*PI()*(Scenario_Data!W131)/70))+Inputs!$C$28*EXP(-(((Scenario_Data!W131)-Inputs!$C$29)^2)/(2*Inputs!$C$31^2))*EXP(-(((Inputs!$C$6)-Inputs!$C$30)^2)/(2*Inputs!$C$32^2))+-Inputs!$C$33*EXP(-(((((Scenario_Data!W131)-Inputs!$C$34)^2)+(((Inputs!$C$6)-Inputs!$C$35)^2))/(2*Inputs!$C$36^2)))+Inputs!$C$37*(0.55*SIN(2*PI()*(Scenario_Data!W131)/Inputs!$C$39)+0.35*COS(2*PI()*(Inputs!$C$6)/Inputs!$C$40)+0.2*SIN(2*PI()*((Scenario_Data!W131)+(Inputs!$C$6))/(0.5*(Inputs!$C$39+Inputs!$C$40))))+Inputs!$C$38*SIN(2*PI()*(Scenario_Data!W131)/Inputs!$C$39)*SIN(2*PI()*(Inputs!$C$6)/Inputs!$C$40)+-Inputs!$C$41*EXP(-(((Inputs!$C$6)-Inputs!$C$43)^2)/(2*Inputs!$C$44^2))*EXP(-(((Scenario_Data!W131)-Inputs!$C$42)^2)/(2*Inputs!$C$45^2))+Inputs!$C$48*(0.7*(0.45*SIN(2*PI()*(((Scenario_Data!W131)/Inputs!$C$49)+Inputs!$C$47*0.137))+0.35*COS(2*PI()*(((Inputs!$C$6)/Inputs!$C$50)+Inputs!$C$47*0.173))+0.2*SIN(2*PI()*((((Scenario_Data!W131)+(Inputs!$C$6))/(0.5*(Inputs!$C$49+Inputs!$C$50)))+Inputs!$C$47*0.097)))+0.3*(2*((SIN(((Scenario_Data!W131)*12.9898+(Inputs!$C$6)*78.233+Inputs!$C$47*37.719))*43758.5453)-INT((SIN(((Scenario_Data!W131)*12.9898+(Inputs!$C$6)*78.233+Inputs!$C$47*37.719))*43758.5453)))-1))))/1000))^2-2*(Inputs!$C$52+(Scenario_Data!E131))*(Inputs!$C$52+((IF(OR(Inputs!$C$27=TRUE,Inputs!$C$27="TRUE",Inputs!$C$27=1),1,0)*(Inputs!$C$51*(115*EXP(-(((Inputs!$C$6)-25)^2)/(4.5^2))+70*EXP(-(((Inputs!$C$6)+38)^2)/(7^2))*(0.55+0.45*SIN(2*PI()*(Scenario_Data!W131)/45))+24*SIN(2*PI()*(Inputs!$C$6)/9+(Scenario_Data!W131)/18)*EXP(-(((Inputs!$C$6)+5)^2)/(22^2))+18*SIN(2*PI()*(Scenario_Data!W131)/70))+Inputs!$C$28*EXP(-(((Scenario_Data!W131)-Inputs!$C$29)^2)/(2*Inputs!$C$31^2))*EXP(-(((Inputs!$C$6)-Inputs!$C$30)^2)/(2*Inputs!$C$32^2))+-Inputs!$C$33*EXP(-(((((Scenario_Data!W131)-Inputs!$C$34)^2)+(((Inputs!$C$6)-Inputs!$C$35)^2))/(2*Inputs!$C$36^2)))+Inputs!$C$37*(0.55*SIN(2*PI()*(Scenario_Data!W131)/Inputs!$C$39)+0.35*COS(2*PI()*(Inputs!$C$6)/Inputs!$C$40)+0.2*SIN(2*PI()*((Scenario_Data!W131)+(Inputs!$C$6))/(0.5*(Inputs!$C$39+Inputs!$C$40))))+Inputs!$C$38*SIN(2*PI()*(Scenario_Data!W131)/Inputs!$C$39)*SIN(2*PI()*(Inputs!$C$6)/Inputs!$C$40)+-Inputs!$C$41*EXP(-(((Inputs!$C$6)-Inputs!$C$43)^2)/(2*Inputs!$C$44^2))*EXP(-(((Scenario_Data!W131)-Inputs!$C$42)^2)/(2*Inputs!$C$45^2))+Inputs!$C$48*(0.7*(0.45*SIN(2*PI()*(((Scenario_Data!W131)/Inputs!$C$49)+Inputs!$C$47*0.137))+0.35*COS(2*PI()*(((Inputs!$C$6)/Inputs!$C$50)+Inputs!$C$47*0.173))+0.2*SIN(2*PI()*((((Scenario_Data!W131)+(Inputs!$C$6))/(0.5*(Inputs!$C$49+Inputs!$C$50)))+Inputs!$C$47*0.097)))+0.3*(2*((SIN(((Scenario_Data!W131)*12.9898+(Inputs!$C$6)*78.233+Inputs!$C$47*37.719))*43758.5453)-INT((SIN(((Scenario_Data!W131)*12.9898+(Inputs!$C$6)*78.233+Inputs!$C$47*37.719))*43758.5453)))-1))))/1000))*COS(SQRT((Scenario_Data!W131)^2+Inputs!$C$6^2)/Inputs!$C$52))*1000)/Inputs!$C$21*1000000</f>
        <v/>
      </c>
    </row>
    <row r="132">
      <c r="A132">
        <f>Chart_Data!K132</f>
        <v/>
      </c>
      <c r="B132">
        <f>Chart_Data!N132-Chart_Data!L132</f>
        <v/>
      </c>
      <c r="D132">
        <f>Chart_Data!G132</f>
        <v/>
      </c>
      <c r="E132">
        <f>Chart_Data!H132</f>
        <v/>
      </c>
      <c r="F132">
        <f>Chart_Data!I132</f>
        <v/>
      </c>
      <c r="G132">
        <f>Chart_Data!J132</f>
        <v/>
      </c>
      <c r="I132">
        <f>Scenario_Data!A132</f>
        <v/>
      </c>
      <c r="J132">
        <f>Scenario_Data!H132-(((SQRT((Inputs!$C$52+(Inputs!$H$6))^2+Inputs!$C$52^2-2*(Inputs!$C$52+(Inputs!$H$6))*Inputs!$C$52*COS(SQRT((Scenario_Data!T132)^2+Inputs!$C$6^2)/Inputs!$C$52)))-(Inputs!$H$6))*1000/Inputs!$C$12)</f>
        <v/>
      </c>
      <c r="K132">
        <f>Scenario_Data!I132-(((SQRT((Inputs!$C$52+(Inputs!$H$7))^2+Inputs!$C$52^2-2*(Inputs!$C$52+(Inputs!$H$7))*Inputs!$C$52*COS(SQRT((Scenario_Data!U132)^2+Inputs!$C$6^2)/Inputs!$C$52)))-(Inputs!$H$7))*1000/Inputs!$C$12)</f>
        <v/>
      </c>
      <c r="L132">
        <f>Scenario_Data!J132-(((SQRT((Inputs!$C$52+(Inputs!$H$8))^2+Inputs!$C$52^2-2*(Inputs!$C$52+(Inputs!$H$8))*Inputs!$C$52*COS(SQRT((Scenario_Data!V132)^2+Inputs!$C$6^2)/Inputs!$C$52)))-(Inputs!$H$8))*1000/Inputs!$C$12)</f>
        <v/>
      </c>
      <c r="M132">
        <f>Scenario_Data!K132-(((SQRT((Inputs!$C$52+(Inputs!$H$9))^2+Inputs!$C$52^2-2*(Inputs!$C$52+(Inputs!$H$9))*Inputs!$C$52*COS(SQRT((Scenario_Data!W132)^2+Inputs!$C$6^2)/Inputs!$C$52)))-(Inputs!$H$9))*1000/Inputs!$C$12)</f>
        <v/>
      </c>
      <c r="O132">
        <f>Scenario_Data!T132</f>
        <v/>
      </c>
      <c r="P132">
        <f>2*(Scenario_Data!B132*1000)/Inputs!$C$21*1000000</f>
        <v/>
      </c>
      <c r="Q132">
        <f>Scenario_Data!U132</f>
        <v/>
      </c>
      <c r="R132">
        <f>2*(Scenario_Data!C132*1000)/Inputs!$C$21*1000000</f>
        <v/>
      </c>
      <c r="S132">
        <f>Scenario_Data!V132</f>
        <v/>
      </c>
      <c r="T132">
        <f>2*(Scenario_Data!D132*1000)/Inputs!$C$21*1000000</f>
        <v/>
      </c>
      <c r="U132">
        <f>Scenario_Data!W132</f>
        <v/>
      </c>
      <c r="V132">
        <f>2*(Scenario_Data!E132*1000)/Inputs!$C$21*1000000</f>
        <v/>
      </c>
      <c r="X132">
        <f>Scenario_Data!T132</f>
        <v/>
      </c>
      <c r="Y132">
        <f>2*((Scenario_Data!B132*1000)-(IF(OR(Inputs!$C$27=TRUE,Inputs!$C$27="TRUE",Inputs!$C$27=1),1,0)*(Inputs!$C$51*(115*EXP(-(((0)-25)^2)/(4.5^2))+70*EXP(-(((0)+38)^2)/(7^2))*(0.55+0.45*SIN(2*PI()*(Scenario_Data!T132)/45))+24*SIN(2*PI()*(0)/9+(Scenario_Data!T132)/18)*EXP(-(((0)+5)^2)/(22^2))+18*SIN(2*PI()*(Scenario_Data!T132)/70))+Inputs!$C$28*EXP(-(((Scenario_Data!T132)-Inputs!$C$29)^2)/(2*Inputs!$C$31^2))*EXP(-(((0)-Inputs!$C$30)^2)/(2*Inputs!$C$32^2))+-Inputs!$C$33*EXP(-(((((Scenario_Data!T132)-Inputs!$C$34)^2)+(((0)-Inputs!$C$35)^2))/(2*Inputs!$C$36^2)))+Inputs!$C$37*(0.55*SIN(2*PI()*(Scenario_Data!T132)/Inputs!$C$39)+0.35*COS(2*PI()*(0)/Inputs!$C$40)+0.2*SIN(2*PI()*((Scenario_Data!T132)+(0))/(0.5*(Inputs!$C$39+Inputs!$C$40))))+Inputs!$C$38*SIN(2*PI()*(Scenario_Data!T132)/Inputs!$C$39)*SIN(2*PI()*(0)/Inputs!$C$40)+-Inputs!$C$41*EXP(-(((0)-Inputs!$C$43)^2)/(2*Inputs!$C$44^2))*EXP(-(((Scenario_Data!T132)-Inputs!$C$42)^2)/(2*Inputs!$C$45^2))+Inputs!$C$48*(0.7*(0.45*SIN(2*PI()*(((Scenario_Data!T132)/Inputs!$C$49)+Inputs!$C$47*0.137))+0.35*COS(2*PI()*(((0)/Inputs!$C$50)+Inputs!$C$47*0.173))+0.2*SIN(2*PI()*((((Scenario_Data!T132)+(0))/(0.5*(Inputs!$C$49+Inputs!$C$50)))+Inputs!$C$47*0.097)))+0.3*(2*((SIN(((Scenario_Data!T132)*12.9898+(0)*78.233+Inputs!$C$47*37.719))*43758.5453)-INT((SIN(((Scenario_Data!T132)*12.9898+(0)*78.233+Inputs!$C$47*37.719))*43758.5453)))-1)))))/Inputs!$C$21*1000000</f>
        <v/>
      </c>
      <c r="Z132">
        <f>Scenario_Data!U132</f>
        <v/>
      </c>
      <c r="AA132">
        <f>2*((Scenario_Data!C132*1000)-(IF(OR(Inputs!$C$27=TRUE,Inputs!$C$27="TRUE",Inputs!$C$27=1),1,0)*(Inputs!$C$51*(115*EXP(-(((0)-25)^2)/(4.5^2))+70*EXP(-(((0)+38)^2)/(7^2))*(0.55+0.45*SIN(2*PI()*(Scenario_Data!U132)/45))+24*SIN(2*PI()*(0)/9+(Scenario_Data!U132)/18)*EXP(-(((0)+5)^2)/(22^2))+18*SIN(2*PI()*(Scenario_Data!U132)/70))+Inputs!$C$28*EXP(-(((Scenario_Data!U132)-Inputs!$C$29)^2)/(2*Inputs!$C$31^2))*EXP(-(((0)-Inputs!$C$30)^2)/(2*Inputs!$C$32^2))+-Inputs!$C$33*EXP(-(((((Scenario_Data!U132)-Inputs!$C$34)^2)+(((0)-Inputs!$C$35)^2))/(2*Inputs!$C$36^2)))+Inputs!$C$37*(0.55*SIN(2*PI()*(Scenario_Data!U132)/Inputs!$C$39)+0.35*COS(2*PI()*(0)/Inputs!$C$40)+0.2*SIN(2*PI()*((Scenario_Data!U132)+(0))/(0.5*(Inputs!$C$39+Inputs!$C$40))))+Inputs!$C$38*SIN(2*PI()*(Scenario_Data!U132)/Inputs!$C$39)*SIN(2*PI()*(0)/Inputs!$C$40)+-Inputs!$C$41*EXP(-(((0)-Inputs!$C$43)^2)/(2*Inputs!$C$44^2))*EXP(-(((Scenario_Data!U132)-Inputs!$C$42)^2)/(2*Inputs!$C$45^2))+Inputs!$C$48*(0.7*(0.45*SIN(2*PI()*(((Scenario_Data!U132)/Inputs!$C$49)+Inputs!$C$47*0.137))+0.35*COS(2*PI()*(((0)/Inputs!$C$50)+Inputs!$C$47*0.173))+0.2*SIN(2*PI()*((((Scenario_Data!U132)+(0))/(0.5*(Inputs!$C$49+Inputs!$C$50)))+Inputs!$C$47*0.097)))+0.3*(2*((SIN(((Scenario_Data!U132)*12.9898+(0)*78.233+Inputs!$C$47*37.719))*43758.5453)-INT((SIN(((Scenario_Data!U132)*12.9898+(0)*78.233+Inputs!$C$47*37.719))*43758.5453)))-1)))))/Inputs!$C$21*1000000</f>
        <v/>
      </c>
      <c r="AB132">
        <f>Scenario_Data!V132</f>
        <v/>
      </c>
      <c r="AC132">
        <f>2*((Scenario_Data!D132*1000)-(IF(OR(Inputs!$C$27=TRUE,Inputs!$C$27="TRUE",Inputs!$C$27=1),1,0)*(Inputs!$C$51*(115*EXP(-(((0)-25)^2)/(4.5^2))+70*EXP(-(((0)+38)^2)/(7^2))*(0.55+0.45*SIN(2*PI()*(Scenario_Data!V132)/45))+24*SIN(2*PI()*(0)/9+(Scenario_Data!V132)/18)*EXP(-(((0)+5)^2)/(22^2))+18*SIN(2*PI()*(Scenario_Data!V132)/70))+Inputs!$C$28*EXP(-(((Scenario_Data!V132)-Inputs!$C$29)^2)/(2*Inputs!$C$31^2))*EXP(-(((0)-Inputs!$C$30)^2)/(2*Inputs!$C$32^2))+-Inputs!$C$33*EXP(-(((((Scenario_Data!V132)-Inputs!$C$34)^2)+(((0)-Inputs!$C$35)^2))/(2*Inputs!$C$36^2)))+Inputs!$C$37*(0.55*SIN(2*PI()*(Scenario_Data!V132)/Inputs!$C$39)+0.35*COS(2*PI()*(0)/Inputs!$C$40)+0.2*SIN(2*PI()*((Scenario_Data!V132)+(0))/(0.5*(Inputs!$C$39+Inputs!$C$40))))+Inputs!$C$38*SIN(2*PI()*(Scenario_Data!V132)/Inputs!$C$39)*SIN(2*PI()*(0)/Inputs!$C$40)+-Inputs!$C$41*EXP(-(((0)-Inputs!$C$43)^2)/(2*Inputs!$C$44^2))*EXP(-(((Scenario_Data!V132)-Inputs!$C$42)^2)/(2*Inputs!$C$45^2))+Inputs!$C$48*(0.7*(0.45*SIN(2*PI()*(((Scenario_Data!V132)/Inputs!$C$49)+Inputs!$C$47*0.137))+0.35*COS(2*PI()*(((0)/Inputs!$C$50)+Inputs!$C$47*0.173))+0.2*SIN(2*PI()*((((Scenario_Data!V132)+(0))/(0.5*(Inputs!$C$49+Inputs!$C$50)))+Inputs!$C$47*0.097)))+0.3*(2*((SIN(((Scenario_Data!V132)*12.9898+(0)*78.233+Inputs!$C$47*37.719))*43758.5453)-INT((SIN(((Scenario_Data!V132)*12.9898+(0)*78.233+Inputs!$C$47*37.719))*43758.5453)))-1)))))/Inputs!$C$21*1000000</f>
        <v/>
      </c>
      <c r="AD132">
        <f>Scenario_Data!W132</f>
        <v/>
      </c>
      <c r="AE132">
        <f>2*((Scenario_Data!E132*1000)-(IF(OR(Inputs!$C$27=TRUE,Inputs!$C$27="TRUE",Inputs!$C$27=1),1,0)*(Inputs!$C$51*(115*EXP(-(((0)-25)^2)/(4.5^2))+70*EXP(-(((0)+38)^2)/(7^2))*(0.55+0.45*SIN(2*PI()*(Scenario_Data!W132)/45))+24*SIN(2*PI()*(0)/9+(Scenario_Data!W132)/18)*EXP(-(((0)+5)^2)/(22^2))+18*SIN(2*PI()*(Scenario_Data!W132)/70))+Inputs!$C$28*EXP(-(((Scenario_Data!W132)-Inputs!$C$29)^2)/(2*Inputs!$C$31^2))*EXP(-(((0)-Inputs!$C$30)^2)/(2*Inputs!$C$32^2))+-Inputs!$C$33*EXP(-(((((Scenario_Data!W132)-Inputs!$C$34)^2)+(((0)-Inputs!$C$35)^2))/(2*Inputs!$C$36^2)))+Inputs!$C$37*(0.55*SIN(2*PI()*(Scenario_Data!W132)/Inputs!$C$39)+0.35*COS(2*PI()*(0)/Inputs!$C$40)+0.2*SIN(2*PI()*((Scenario_Data!W132)+(0))/(0.5*(Inputs!$C$39+Inputs!$C$40))))+Inputs!$C$38*SIN(2*PI()*(Scenario_Data!W132)/Inputs!$C$39)*SIN(2*PI()*(0)/Inputs!$C$40)+-Inputs!$C$41*EXP(-(((0)-Inputs!$C$43)^2)/(2*Inputs!$C$44^2))*EXP(-(((Scenario_Data!W132)-Inputs!$C$42)^2)/(2*Inputs!$C$45^2))+Inputs!$C$48*(0.7*(0.45*SIN(2*PI()*(((Scenario_Data!W132)/Inputs!$C$49)+Inputs!$C$47*0.137))+0.35*COS(2*PI()*(((0)/Inputs!$C$50)+Inputs!$C$47*0.173))+0.2*SIN(2*PI()*((((Scenario_Data!W132)+(0))/(0.5*(Inputs!$C$49+Inputs!$C$50)))+Inputs!$C$47*0.097)))+0.3*(2*((SIN(((Scenario_Data!W132)*12.9898+(0)*78.233+Inputs!$C$47*37.719))*43758.5453)-INT((SIN(((Scenario_Data!W132)*12.9898+(0)*78.233+Inputs!$C$47*37.719))*43758.5453)))-1)))))/Inputs!$C$21*1000000</f>
        <v/>
      </c>
      <c r="AG132">
        <f>Scenario_Data!T132</f>
        <v/>
      </c>
      <c r="AH132">
        <f>2*(SQRT((Inputs!$C$52+(Scenario_Data!B132))^2+Inputs!$C$52^2-2*(Inputs!$C$52+(Scenario_Data!B132))*Inputs!$C$52*COS(SQRT((Scenario_Data!T132)^2+Inputs!$C$6^2)/Inputs!$C$52))*1000)/Inputs!$C$21*1000000</f>
        <v/>
      </c>
      <c r="AI132">
        <f>Scenario_Data!U132</f>
        <v/>
      </c>
      <c r="AJ132">
        <f>2*(SQRT((Inputs!$C$52+(Scenario_Data!C132))^2+Inputs!$C$52^2-2*(Inputs!$C$52+(Scenario_Data!C132))*Inputs!$C$52*COS(SQRT((Scenario_Data!U132)^2+Inputs!$C$6^2)/Inputs!$C$52))*1000)/Inputs!$C$21*1000000</f>
        <v/>
      </c>
      <c r="AK132">
        <f>Scenario_Data!V132</f>
        <v/>
      </c>
      <c r="AL132">
        <f>2*(SQRT((Inputs!$C$52+(Scenario_Data!D132))^2+Inputs!$C$52^2-2*(Inputs!$C$52+(Scenario_Data!D132))*Inputs!$C$52*COS(SQRT((Scenario_Data!V132)^2+Inputs!$C$6^2)/Inputs!$C$52))*1000)/Inputs!$C$21*1000000</f>
        <v/>
      </c>
      <c r="AM132">
        <f>Scenario_Data!W132</f>
        <v/>
      </c>
      <c r="AN132">
        <f>2*(SQRT((Inputs!$C$52+(Scenario_Data!E132))^2+Inputs!$C$52^2-2*(Inputs!$C$52+(Scenario_Data!E132))*Inputs!$C$52*COS(SQRT((Scenario_Data!W132)^2+Inputs!$C$6^2)/Inputs!$C$52))*1000)/Inputs!$C$21*1000000</f>
        <v/>
      </c>
      <c r="AP132">
        <f>Scenario_Data!T132</f>
        <v/>
      </c>
      <c r="AQ132">
        <f>2*(SQRT((Inputs!$C$52+(Scenario_Data!B132))^2+(Inputs!$C$52+((IF(OR(Inputs!$C$27=TRUE,Inputs!$C$27="TRUE",Inputs!$C$27=1),1,0)*(Inputs!$C$51*(115*EXP(-(((Inputs!$C$6)-25)^2)/(4.5^2))+70*EXP(-(((Inputs!$C$6)+38)^2)/(7^2))*(0.55+0.45*SIN(2*PI()*(Scenario_Data!T132)/45))+24*SIN(2*PI()*(Inputs!$C$6)/9+(Scenario_Data!T132)/18)*EXP(-(((Inputs!$C$6)+5)^2)/(22^2))+18*SIN(2*PI()*(Scenario_Data!T132)/70))+Inputs!$C$28*EXP(-(((Scenario_Data!T132)-Inputs!$C$29)^2)/(2*Inputs!$C$31^2))*EXP(-(((Inputs!$C$6)-Inputs!$C$30)^2)/(2*Inputs!$C$32^2))+-Inputs!$C$33*EXP(-(((((Scenario_Data!T132)-Inputs!$C$34)^2)+(((Inputs!$C$6)-Inputs!$C$35)^2))/(2*Inputs!$C$36^2)))+Inputs!$C$37*(0.55*SIN(2*PI()*(Scenario_Data!T132)/Inputs!$C$39)+0.35*COS(2*PI()*(Inputs!$C$6)/Inputs!$C$40)+0.2*SIN(2*PI()*((Scenario_Data!T132)+(Inputs!$C$6))/(0.5*(Inputs!$C$39+Inputs!$C$40))))+Inputs!$C$38*SIN(2*PI()*(Scenario_Data!T132)/Inputs!$C$39)*SIN(2*PI()*(Inputs!$C$6)/Inputs!$C$40)+-Inputs!$C$41*EXP(-(((Inputs!$C$6)-Inputs!$C$43)^2)/(2*Inputs!$C$44^2))*EXP(-(((Scenario_Data!T132)-Inputs!$C$42)^2)/(2*Inputs!$C$45^2))+Inputs!$C$48*(0.7*(0.45*SIN(2*PI()*(((Scenario_Data!T132)/Inputs!$C$49)+Inputs!$C$47*0.137))+0.35*COS(2*PI()*(((Inputs!$C$6)/Inputs!$C$50)+Inputs!$C$47*0.173))+0.2*SIN(2*PI()*((((Scenario_Data!T132)+(Inputs!$C$6))/(0.5*(Inputs!$C$49+Inputs!$C$50)))+Inputs!$C$47*0.097)))+0.3*(2*((SIN(((Scenario_Data!T132)*12.9898+(Inputs!$C$6)*78.233+Inputs!$C$47*37.719))*43758.5453)-INT((SIN(((Scenario_Data!T132)*12.9898+(Inputs!$C$6)*78.233+Inputs!$C$47*37.719))*43758.5453)))-1))))/1000))^2-2*(Inputs!$C$52+(Scenario_Data!B132))*(Inputs!$C$52+((IF(OR(Inputs!$C$27=TRUE,Inputs!$C$27="TRUE",Inputs!$C$27=1),1,0)*(Inputs!$C$51*(115*EXP(-(((Inputs!$C$6)-25)^2)/(4.5^2))+70*EXP(-(((Inputs!$C$6)+38)^2)/(7^2))*(0.55+0.45*SIN(2*PI()*(Scenario_Data!T132)/45))+24*SIN(2*PI()*(Inputs!$C$6)/9+(Scenario_Data!T132)/18)*EXP(-(((Inputs!$C$6)+5)^2)/(22^2))+18*SIN(2*PI()*(Scenario_Data!T132)/70))+Inputs!$C$28*EXP(-(((Scenario_Data!T132)-Inputs!$C$29)^2)/(2*Inputs!$C$31^2))*EXP(-(((Inputs!$C$6)-Inputs!$C$30)^2)/(2*Inputs!$C$32^2))+-Inputs!$C$33*EXP(-(((((Scenario_Data!T132)-Inputs!$C$34)^2)+(((Inputs!$C$6)-Inputs!$C$35)^2))/(2*Inputs!$C$36^2)))+Inputs!$C$37*(0.55*SIN(2*PI()*(Scenario_Data!T132)/Inputs!$C$39)+0.35*COS(2*PI()*(Inputs!$C$6)/Inputs!$C$40)+0.2*SIN(2*PI()*((Scenario_Data!T132)+(Inputs!$C$6))/(0.5*(Inputs!$C$39+Inputs!$C$40))))+Inputs!$C$38*SIN(2*PI()*(Scenario_Data!T132)/Inputs!$C$39)*SIN(2*PI()*(Inputs!$C$6)/Inputs!$C$40)+-Inputs!$C$41*EXP(-(((Inputs!$C$6)-Inputs!$C$43)^2)/(2*Inputs!$C$44^2))*EXP(-(((Scenario_Data!T132)-Inputs!$C$42)^2)/(2*Inputs!$C$45^2))+Inputs!$C$48*(0.7*(0.45*SIN(2*PI()*(((Scenario_Data!T132)/Inputs!$C$49)+Inputs!$C$47*0.137))+0.35*COS(2*PI()*(((Inputs!$C$6)/Inputs!$C$50)+Inputs!$C$47*0.173))+0.2*SIN(2*PI()*((((Scenario_Data!T132)+(Inputs!$C$6))/(0.5*(Inputs!$C$49+Inputs!$C$50)))+Inputs!$C$47*0.097)))+0.3*(2*((SIN(((Scenario_Data!T132)*12.9898+(Inputs!$C$6)*78.233+Inputs!$C$47*37.719))*43758.5453)-INT((SIN(((Scenario_Data!T132)*12.9898+(Inputs!$C$6)*78.233+Inputs!$C$47*37.719))*43758.5453)))-1))))/1000))*COS(SQRT((Scenario_Data!T132)^2+Inputs!$C$6^2)/Inputs!$C$52))*1000)/Inputs!$C$21*1000000</f>
        <v/>
      </c>
      <c r="AR132">
        <f>Scenario_Data!U132</f>
        <v/>
      </c>
      <c r="AS132">
        <f>2*(SQRT((Inputs!$C$52+(Scenario_Data!C132))^2+(Inputs!$C$52+((IF(OR(Inputs!$C$27=TRUE,Inputs!$C$27="TRUE",Inputs!$C$27=1),1,0)*(Inputs!$C$51*(115*EXP(-(((Inputs!$C$6)-25)^2)/(4.5^2))+70*EXP(-(((Inputs!$C$6)+38)^2)/(7^2))*(0.55+0.45*SIN(2*PI()*(Scenario_Data!U132)/45))+24*SIN(2*PI()*(Inputs!$C$6)/9+(Scenario_Data!U132)/18)*EXP(-(((Inputs!$C$6)+5)^2)/(22^2))+18*SIN(2*PI()*(Scenario_Data!U132)/70))+Inputs!$C$28*EXP(-(((Scenario_Data!U132)-Inputs!$C$29)^2)/(2*Inputs!$C$31^2))*EXP(-(((Inputs!$C$6)-Inputs!$C$30)^2)/(2*Inputs!$C$32^2))+-Inputs!$C$33*EXP(-(((((Scenario_Data!U132)-Inputs!$C$34)^2)+(((Inputs!$C$6)-Inputs!$C$35)^2))/(2*Inputs!$C$36^2)))+Inputs!$C$37*(0.55*SIN(2*PI()*(Scenario_Data!U132)/Inputs!$C$39)+0.35*COS(2*PI()*(Inputs!$C$6)/Inputs!$C$40)+0.2*SIN(2*PI()*((Scenario_Data!U132)+(Inputs!$C$6))/(0.5*(Inputs!$C$39+Inputs!$C$40))))+Inputs!$C$38*SIN(2*PI()*(Scenario_Data!U132)/Inputs!$C$39)*SIN(2*PI()*(Inputs!$C$6)/Inputs!$C$40)+-Inputs!$C$41*EXP(-(((Inputs!$C$6)-Inputs!$C$43)^2)/(2*Inputs!$C$44^2))*EXP(-(((Scenario_Data!U132)-Inputs!$C$42)^2)/(2*Inputs!$C$45^2))+Inputs!$C$48*(0.7*(0.45*SIN(2*PI()*(((Scenario_Data!U132)/Inputs!$C$49)+Inputs!$C$47*0.137))+0.35*COS(2*PI()*(((Inputs!$C$6)/Inputs!$C$50)+Inputs!$C$47*0.173))+0.2*SIN(2*PI()*((((Scenario_Data!U132)+(Inputs!$C$6))/(0.5*(Inputs!$C$49+Inputs!$C$50)))+Inputs!$C$47*0.097)))+0.3*(2*((SIN(((Scenario_Data!U132)*12.9898+(Inputs!$C$6)*78.233+Inputs!$C$47*37.719))*43758.5453)-INT((SIN(((Scenario_Data!U132)*12.9898+(Inputs!$C$6)*78.233+Inputs!$C$47*37.719))*43758.5453)))-1))))/1000))^2-2*(Inputs!$C$52+(Scenario_Data!C132))*(Inputs!$C$52+((IF(OR(Inputs!$C$27=TRUE,Inputs!$C$27="TRUE",Inputs!$C$27=1),1,0)*(Inputs!$C$51*(115*EXP(-(((Inputs!$C$6)-25)^2)/(4.5^2))+70*EXP(-(((Inputs!$C$6)+38)^2)/(7^2))*(0.55+0.45*SIN(2*PI()*(Scenario_Data!U132)/45))+24*SIN(2*PI()*(Inputs!$C$6)/9+(Scenario_Data!U132)/18)*EXP(-(((Inputs!$C$6)+5)^2)/(22^2))+18*SIN(2*PI()*(Scenario_Data!U132)/70))+Inputs!$C$28*EXP(-(((Scenario_Data!U132)-Inputs!$C$29)^2)/(2*Inputs!$C$31^2))*EXP(-(((Inputs!$C$6)-Inputs!$C$30)^2)/(2*Inputs!$C$32^2))+-Inputs!$C$33*EXP(-(((((Scenario_Data!U132)-Inputs!$C$34)^2)+(((Inputs!$C$6)-Inputs!$C$35)^2))/(2*Inputs!$C$36^2)))+Inputs!$C$37*(0.55*SIN(2*PI()*(Scenario_Data!U132)/Inputs!$C$39)+0.35*COS(2*PI()*(Inputs!$C$6)/Inputs!$C$40)+0.2*SIN(2*PI()*((Scenario_Data!U132)+(Inputs!$C$6))/(0.5*(Inputs!$C$39+Inputs!$C$40))))+Inputs!$C$38*SIN(2*PI()*(Scenario_Data!U132)/Inputs!$C$39)*SIN(2*PI()*(Inputs!$C$6)/Inputs!$C$40)+-Inputs!$C$41*EXP(-(((Inputs!$C$6)-Inputs!$C$43)^2)/(2*Inputs!$C$44^2))*EXP(-(((Scenario_Data!U132)-Inputs!$C$42)^2)/(2*Inputs!$C$45^2))+Inputs!$C$48*(0.7*(0.45*SIN(2*PI()*(((Scenario_Data!U132)/Inputs!$C$49)+Inputs!$C$47*0.137))+0.35*COS(2*PI()*(((Inputs!$C$6)/Inputs!$C$50)+Inputs!$C$47*0.173))+0.2*SIN(2*PI()*((((Scenario_Data!U132)+(Inputs!$C$6))/(0.5*(Inputs!$C$49+Inputs!$C$50)))+Inputs!$C$47*0.097)))+0.3*(2*((SIN(((Scenario_Data!U132)*12.9898+(Inputs!$C$6)*78.233+Inputs!$C$47*37.719))*43758.5453)-INT((SIN(((Scenario_Data!U132)*12.9898+(Inputs!$C$6)*78.233+Inputs!$C$47*37.719))*43758.5453)))-1))))/1000))*COS(SQRT((Scenario_Data!U132)^2+Inputs!$C$6^2)/Inputs!$C$52))*1000)/Inputs!$C$21*1000000</f>
        <v/>
      </c>
      <c r="AT132">
        <f>Scenario_Data!V132</f>
        <v/>
      </c>
      <c r="AU132">
        <f>2*(SQRT((Inputs!$C$52+(Scenario_Data!D132))^2+(Inputs!$C$52+((IF(OR(Inputs!$C$27=TRUE,Inputs!$C$27="TRUE",Inputs!$C$27=1),1,0)*(Inputs!$C$51*(115*EXP(-(((Inputs!$C$6)-25)^2)/(4.5^2))+70*EXP(-(((Inputs!$C$6)+38)^2)/(7^2))*(0.55+0.45*SIN(2*PI()*(Scenario_Data!V132)/45))+24*SIN(2*PI()*(Inputs!$C$6)/9+(Scenario_Data!V132)/18)*EXP(-(((Inputs!$C$6)+5)^2)/(22^2))+18*SIN(2*PI()*(Scenario_Data!V132)/70))+Inputs!$C$28*EXP(-(((Scenario_Data!V132)-Inputs!$C$29)^2)/(2*Inputs!$C$31^2))*EXP(-(((Inputs!$C$6)-Inputs!$C$30)^2)/(2*Inputs!$C$32^2))+-Inputs!$C$33*EXP(-(((((Scenario_Data!V132)-Inputs!$C$34)^2)+(((Inputs!$C$6)-Inputs!$C$35)^2))/(2*Inputs!$C$36^2)))+Inputs!$C$37*(0.55*SIN(2*PI()*(Scenario_Data!V132)/Inputs!$C$39)+0.35*COS(2*PI()*(Inputs!$C$6)/Inputs!$C$40)+0.2*SIN(2*PI()*((Scenario_Data!V132)+(Inputs!$C$6))/(0.5*(Inputs!$C$39+Inputs!$C$40))))+Inputs!$C$38*SIN(2*PI()*(Scenario_Data!V132)/Inputs!$C$39)*SIN(2*PI()*(Inputs!$C$6)/Inputs!$C$40)+-Inputs!$C$41*EXP(-(((Inputs!$C$6)-Inputs!$C$43)^2)/(2*Inputs!$C$44^2))*EXP(-(((Scenario_Data!V132)-Inputs!$C$42)^2)/(2*Inputs!$C$45^2))+Inputs!$C$48*(0.7*(0.45*SIN(2*PI()*(((Scenario_Data!V132)/Inputs!$C$49)+Inputs!$C$47*0.137))+0.35*COS(2*PI()*(((Inputs!$C$6)/Inputs!$C$50)+Inputs!$C$47*0.173))+0.2*SIN(2*PI()*((((Scenario_Data!V132)+(Inputs!$C$6))/(0.5*(Inputs!$C$49+Inputs!$C$50)))+Inputs!$C$47*0.097)))+0.3*(2*((SIN(((Scenario_Data!V132)*12.9898+(Inputs!$C$6)*78.233+Inputs!$C$47*37.719))*43758.5453)-INT((SIN(((Scenario_Data!V132)*12.9898+(Inputs!$C$6)*78.233+Inputs!$C$47*37.719))*43758.5453)))-1))))/1000))^2-2*(Inputs!$C$52+(Scenario_Data!D132))*(Inputs!$C$52+((IF(OR(Inputs!$C$27=TRUE,Inputs!$C$27="TRUE",Inputs!$C$27=1),1,0)*(Inputs!$C$51*(115*EXP(-(((Inputs!$C$6)-25)^2)/(4.5^2))+70*EXP(-(((Inputs!$C$6)+38)^2)/(7^2))*(0.55+0.45*SIN(2*PI()*(Scenario_Data!V132)/45))+24*SIN(2*PI()*(Inputs!$C$6)/9+(Scenario_Data!V132)/18)*EXP(-(((Inputs!$C$6)+5)^2)/(22^2))+18*SIN(2*PI()*(Scenario_Data!V132)/70))+Inputs!$C$28*EXP(-(((Scenario_Data!V132)-Inputs!$C$29)^2)/(2*Inputs!$C$31^2))*EXP(-(((Inputs!$C$6)-Inputs!$C$30)^2)/(2*Inputs!$C$32^2))+-Inputs!$C$33*EXP(-(((((Scenario_Data!V132)-Inputs!$C$34)^2)+(((Inputs!$C$6)-Inputs!$C$35)^2))/(2*Inputs!$C$36^2)))+Inputs!$C$37*(0.55*SIN(2*PI()*(Scenario_Data!V132)/Inputs!$C$39)+0.35*COS(2*PI()*(Inputs!$C$6)/Inputs!$C$40)+0.2*SIN(2*PI()*((Scenario_Data!V132)+(Inputs!$C$6))/(0.5*(Inputs!$C$39+Inputs!$C$40))))+Inputs!$C$38*SIN(2*PI()*(Scenario_Data!V132)/Inputs!$C$39)*SIN(2*PI()*(Inputs!$C$6)/Inputs!$C$40)+-Inputs!$C$41*EXP(-(((Inputs!$C$6)-Inputs!$C$43)^2)/(2*Inputs!$C$44^2))*EXP(-(((Scenario_Data!V132)-Inputs!$C$42)^2)/(2*Inputs!$C$45^2))+Inputs!$C$48*(0.7*(0.45*SIN(2*PI()*(((Scenario_Data!V132)/Inputs!$C$49)+Inputs!$C$47*0.137))+0.35*COS(2*PI()*(((Inputs!$C$6)/Inputs!$C$50)+Inputs!$C$47*0.173))+0.2*SIN(2*PI()*((((Scenario_Data!V132)+(Inputs!$C$6))/(0.5*(Inputs!$C$49+Inputs!$C$50)))+Inputs!$C$47*0.097)))+0.3*(2*((SIN(((Scenario_Data!V132)*12.9898+(Inputs!$C$6)*78.233+Inputs!$C$47*37.719))*43758.5453)-INT((SIN(((Scenario_Data!V132)*12.9898+(Inputs!$C$6)*78.233+Inputs!$C$47*37.719))*43758.5453)))-1))))/1000))*COS(SQRT((Scenario_Data!V132)^2+Inputs!$C$6^2)/Inputs!$C$52))*1000)/Inputs!$C$21*1000000</f>
        <v/>
      </c>
      <c r="AV132">
        <f>Scenario_Data!W132</f>
        <v/>
      </c>
      <c r="AW132">
        <f>2*(SQRT((Inputs!$C$52+(Scenario_Data!E132))^2+(Inputs!$C$52+((IF(OR(Inputs!$C$27=TRUE,Inputs!$C$27="TRUE",Inputs!$C$27=1),1,0)*(Inputs!$C$51*(115*EXP(-(((Inputs!$C$6)-25)^2)/(4.5^2))+70*EXP(-(((Inputs!$C$6)+38)^2)/(7^2))*(0.55+0.45*SIN(2*PI()*(Scenario_Data!W132)/45))+24*SIN(2*PI()*(Inputs!$C$6)/9+(Scenario_Data!W132)/18)*EXP(-(((Inputs!$C$6)+5)^2)/(22^2))+18*SIN(2*PI()*(Scenario_Data!W132)/70))+Inputs!$C$28*EXP(-(((Scenario_Data!W132)-Inputs!$C$29)^2)/(2*Inputs!$C$31^2))*EXP(-(((Inputs!$C$6)-Inputs!$C$30)^2)/(2*Inputs!$C$32^2))+-Inputs!$C$33*EXP(-(((((Scenario_Data!W132)-Inputs!$C$34)^2)+(((Inputs!$C$6)-Inputs!$C$35)^2))/(2*Inputs!$C$36^2)))+Inputs!$C$37*(0.55*SIN(2*PI()*(Scenario_Data!W132)/Inputs!$C$39)+0.35*COS(2*PI()*(Inputs!$C$6)/Inputs!$C$40)+0.2*SIN(2*PI()*((Scenario_Data!W132)+(Inputs!$C$6))/(0.5*(Inputs!$C$39+Inputs!$C$40))))+Inputs!$C$38*SIN(2*PI()*(Scenario_Data!W132)/Inputs!$C$39)*SIN(2*PI()*(Inputs!$C$6)/Inputs!$C$40)+-Inputs!$C$41*EXP(-(((Inputs!$C$6)-Inputs!$C$43)^2)/(2*Inputs!$C$44^2))*EXP(-(((Scenario_Data!W132)-Inputs!$C$42)^2)/(2*Inputs!$C$45^2))+Inputs!$C$48*(0.7*(0.45*SIN(2*PI()*(((Scenario_Data!W132)/Inputs!$C$49)+Inputs!$C$47*0.137))+0.35*COS(2*PI()*(((Inputs!$C$6)/Inputs!$C$50)+Inputs!$C$47*0.173))+0.2*SIN(2*PI()*((((Scenario_Data!W132)+(Inputs!$C$6))/(0.5*(Inputs!$C$49+Inputs!$C$50)))+Inputs!$C$47*0.097)))+0.3*(2*((SIN(((Scenario_Data!W132)*12.9898+(Inputs!$C$6)*78.233+Inputs!$C$47*37.719))*43758.5453)-INT((SIN(((Scenario_Data!W132)*12.9898+(Inputs!$C$6)*78.233+Inputs!$C$47*37.719))*43758.5453)))-1))))/1000))^2-2*(Inputs!$C$52+(Scenario_Data!E132))*(Inputs!$C$52+((IF(OR(Inputs!$C$27=TRUE,Inputs!$C$27="TRUE",Inputs!$C$27=1),1,0)*(Inputs!$C$51*(115*EXP(-(((Inputs!$C$6)-25)^2)/(4.5^2))+70*EXP(-(((Inputs!$C$6)+38)^2)/(7^2))*(0.55+0.45*SIN(2*PI()*(Scenario_Data!W132)/45))+24*SIN(2*PI()*(Inputs!$C$6)/9+(Scenario_Data!W132)/18)*EXP(-(((Inputs!$C$6)+5)^2)/(22^2))+18*SIN(2*PI()*(Scenario_Data!W132)/70))+Inputs!$C$28*EXP(-(((Scenario_Data!W132)-Inputs!$C$29)^2)/(2*Inputs!$C$31^2))*EXP(-(((Inputs!$C$6)-Inputs!$C$30)^2)/(2*Inputs!$C$32^2))+-Inputs!$C$33*EXP(-(((((Scenario_Data!W132)-Inputs!$C$34)^2)+(((Inputs!$C$6)-Inputs!$C$35)^2))/(2*Inputs!$C$36^2)))+Inputs!$C$37*(0.55*SIN(2*PI()*(Scenario_Data!W132)/Inputs!$C$39)+0.35*COS(2*PI()*(Inputs!$C$6)/Inputs!$C$40)+0.2*SIN(2*PI()*((Scenario_Data!W132)+(Inputs!$C$6))/(0.5*(Inputs!$C$39+Inputs!$C$40))))+Inputs!$C$38*SIN(2*PI()*(Scenario_Data!W132)/Inputs!$C$39)*SIN(2*PI()*(Inputs!$C$6)/Inputs!$C$40)+-Inputs!$C$41*EXP(-(((Inputs!$C$6)-Inputs!$C$43)^2)/(2*Inputs!$C$44^2))*EXP(-(((Scenario_Data!W132)-Inputs!$C$42)^2)/(2*Inputs!$C$45^2))+Inputs!$C$48*(0.7*(0.45*SIN(2*PI()*(((Scenario_Data!W132)/Inputs!$C$49)+Inputs!$C$47*0.137))+0.35*COS(2*PI()*(((Inputs!$C$6)/Inputs!$C$50)+Inputs!$C$47*0.173))+0.2*SIN(2*PI()*((((Scenario_Data!W132)+(Inputs!$C$6))/(0.5*(Inputs!$C$49+Inputs!$C$50)))+Inputs!$C$47*0.097)))+0.3*(2*((SIN(((Scenario_Data!W132)*12.9898+(Inputs!$C$6)*78.233+Inputs!$C$47*37.719))*43758.5453)-INT((SIN(((Scenario_Data!W132)*12.9898+(Inputs!$C$6)*78.233+Inputs!$C$47*37.719))*43758.5453)))-1))))/1000))*COS(SQRT((Scenario_Data!W132)^2+Inputs!$C$6^2)/Inputs!$C$52))*1000)/Inputs!$C$21*1000000</f>
        <v/>
      </c>
    </row>
    <row r="133">
      <c r="A133">
        <f>Chart_Data!K133</f>
        <v/>
      </c>
      <c r="B133">
        <f>Chart_Data!N133-Chart_Data!L133</f>
        <v/>
      </c>
      <c r="D133">
        <f>Chart_Data!G133</f>
        <v/>
      </c>
      <c r="E133">
        <f>Chart_Data!H133</f>
        <v/>
      </c>
      <c r="F133">
        <f>Chart_Data!I133</f>
        <v/>
      </c>
      <c r="G133">
        <f>Chart_Data!J133</f>
        <v/>
      </c>
      <c r="I133">
        <f>Scenario_Data!A133</f>
        <v/>
      </c>
      <c r="J133">
        <f>Scenario_Data!H133-(((SQRT((Inputs!$C$52+(Inputs!$H$6))^2+Inputs!$C$52^2-2*(Inputs!$C$52+(Inputs!$H$6))*Inputs!$C$52*COS(SQRT((Scenario_Data!T133)^2+Inputs!$C$6^2)/Inputs!$C$52)))-(Inputs!$H$6))*1000/Inputs!$C$12)</f>
        <v/>
      </c>
      <c r="K133">
        <f>Scenario_Data!I133-(((SQRT((Inputs!$C$52+(Inputs!$H$7))^2+Inputs!$C$52^2-2*(Inputs!$C$52+(Inputs!$H$7))*Inputs!$C$52*COS(SQRT((Scenario_Data!U133)^2+Inputs!$C$6^2)/Inputs!$C$52)))-(Inputs!$H$7))*1000/Inputs!$C$12)</f>
        <v/>
      </c>
      <c r="L133">
        <f>Scenario_Data!J133-(((SQRT((Inputs!$C$52+(Inputs!$H$8))^2+Inputs!$C$52^2-2*(Inputs!$C$52+(Inputs!$H$8))*Inputs!$C$52*COS(SQRT((Scenario_Data!V133)^2+Inputs!$C$6^2)/Inputs!$C$52)))-(Inputs!$H$8))*1000/Inputs!$C$12)</f>
        <v/>
      </c>
      <c r="M133">
        <f>Scenario_Data!K133-(((SQRT((Inputs!$C$52+(Inputs!$H$9))^2+Inputs!$C$52^2-2*(Inputs!$C$52+(Inputs!$H$9))*Inputs!$C$52*COS(SQRT((Scenario_Data!W133)^2+Inputs!$C$6^2)/Inputs!$C$52)))-(Inputs!$H$9))*1000/Inputs!$C$12)</f>
        <v/>
      </c>
      <c r="O133">
        <f>Scenario_Data!T133</f>
        <v/>
      </c>
      <c r="P133">
        <f>2*(Scenario_Data!B133*1000)/Inputs!$C$21*1000000</f>
        <v/>
      </c>
      <c r="Q133">
        <f>Scenario_Data!U133</f>
        <v/>
      </c>
      <c r="R133">
        <f>2*(Scenario_Data!C133*1000)/Inputs!$C$21*1000000</f>
        <v/>
      </c>
      <c r="S133">
        <f>Scenario_Data!V133</f>
        <v/>
      </c>
      <c r="T133">
        <f>2*(Scenario_Data!D133*1000)/Inputs!$C$21*1000000</f>
        <v/>
      </c>
      <c r="U133">
        <f>Scenario_Data!W133</f>
        <v/>
      </c>
      <c r="V133">
        <f>2*(Scenario_Data!E133*1000)/Inputs!$C$21*1000000</f>
        <v/>
      </c>
      <c r="X133">
        <f>Scenario_Data!T133</f>
        <v/>
      </c>
      <c r="Y133">
        <f>2*((Scenario_Data!B133*1000)-(IF(OR(Inputs!$C$27=TRUE,Inputs!$C$27="TRUE",Inputs!$C$27=1),1,0)*(Inputs!$C$51*(115*EXP(-(((0)-25)^2)/(4.5^2))+70*EXP(-(((0)+38)^2)/(7^2))*(0.55+0.45*SIN(2*PI()*(Scenario_Data!T133)/45))+24*SIN(2*PI()*(0)/9+(Scenario_Data!T133)/18)*EXP(-(((0)+5)^2)/(22^2))+18*SIN(2*PI()*(Scenario_Data!T133)/70))+Inputs!$C$28*EXP(-(((Scenario_Data!T133)-Inputs!$C$29)^2)/(2*Inputs!$C$31^2))*EXP(-(((0)-Inputs!$C$30)^2)/(2*Inputs!$C$32^2))+-Inputs!$C$33*EXP(-(((((Scenario_Data!T133)-Inputs!$C$34)^2)+(((0)-Inputs!$C$35)^2))/(2*Inputs!$C$36^2)))+Inputs!$C$37*(0.55*SIN(2*PI()*(Scenario_Data!T133)/Inputs!$C$39)+0.35*COS(2*PI()*(0)/Inputs!$C$40)+0.2*SIN(2*PI()*((Scenario_Data!T133)+(0))/(0.5*(Inputs!$C$39+Inputs!$C$40))))+Inputs!$C$38*SIN(2*PI()*(Scenario_Data!T133)/Inputs!$C$39)*SIN(2*PI()*(0)/Inputs!$C$40)+-Inputs!$C$41*EXP(-(((0)-Inputs!$C$43)^2)/(2*Inputs!$C$44^2))*EXP(-(((Scenario_Data!T133)-Inputs!$C$42)^2)/(2*Inputs!$C$45^2))+Inputs!$C$48*(0.7*(0.45*SIN(2*PI()*(((Scenario_Data!T133)/Inputs!$C$49)+Inputs!$C$47*0.137))+0.35*COS(2*PI()*(((0)/Inputs!$C$50)+Inputs!$C$47*0.173))+0.2*SIN(2*PI()*((((Scenario_Data!T133)+(0))/(0.5*(Inputs!$C$49+Inputs!$C$50)))+Inputs!$C$47*0.097)))+0.3*(2*((SIN(((Scenario_Data!T133)*12.9898+(0)*78.233+Inputs!$C$47*37.719))*43758.5453)-INT((SIN(((Scenario_Data!T133)*12.9898+(0)*78.233+Inputs!$C$47*37.719))*43758.5453)))-1)))))/Inputs!$C$21*1000000</f>
        <v/>
      </c>
      <c r="Z133">
        <f>Scenario_Data!U133</f>
        <v/>
      </c>
      <c r="AA133">
        <f>2*((Scenario_Data!C133*1000)-(IF(OR(Inputs!$C$27=TRUE,Inputs!$C$27="TRUE",Inputs!$C$27=1),1,0)*(Inputs!$C$51*(115*EXP(-(((0)-25)^2)/(4.5^2))+70*EXP(-(((0)+38)^2)/(7^2))*(0.55+0.45*SIN(2*PI()*(Scenario_Data!U133)/45))+24*SIN(2*PI()*(0)/9+(Scenario_Data!U133)/18)*EXP(-(((0)+5)^2)/(22^2))+18*SIN(2*PI()*(Scenario_Data!U133)/70))+Inputs!$C$28*EXP(-(((Scenario_Data!U133)-Inputs!$C$29)^2)/(2*Inputs!$C$31^2))*EXP(-(((0)-Inputs!$C$30)^2)/(2*Inputs!$C$32^2))+-Inputs!$C$33*EXP(-(((((Scenario_Data!U133)-Inputs!$C$34)^2)+(((0)-Inputs!$C$35)^2))/(2*Inputs!$C$36^2)))+Inputs!$C$37*(0.55*SIN(2*PI()*(Scenario_Data!U133)/Inputs!$C$39)+0.35*COS(2*PI()*(0)/Inputs!$C$40)+0.2*SIN(2*PI()*((Scenario_Data!U133)+(0))/(0.5*(Inputs!$C$39+Inputs!$C$40))))+Inputs!$C$38*SIN(2*PI()*(Scenario_Data!U133)/Inputs!$C$39)*SIN(2*PI()*(0)/Inputs!$C$40)+-Inputs!$C$41*EXP(-(((0)-Inputs!$C$43)^2)/(2*Inputs!$C$44^2))*EXP(-(((Scenario_Data!U133)-Inputs!$C$42)^2)/(2*Inputs!$C$45^2))+Inputs!$C$48*(0.7*(0.45*SIN(2*PI()*(((Scenario_Data!U133)/Inputs!$C$49)+Inputs!$C$47*0.137))+0.35*COS(2*PI()*(((0)/Inputs!$C$50)+Inputs!$C$47*0.173))+0.2*SIN(2*PI()*((((Scenario_Data!U133)+(0))/(0.5*(Inputs!$C$49+Inputs!$C$50)))+Inputs!$C$47*0.097)))+0.3*(2*((SIN(((Scenario_Data!U133)*12.9898+(0)*78.233+Inputs!$C$47*37.719))*43758.5453)-INT((SIN(((Scenario_Data!U133)*12.9898+(0)*78.233+Inputs!$C$47*37.719))*43758.5453)))-1)))))/Inputs!$C$21*1000000</f>
        <v/>
      </c>
      <c r="AB133">
        <f>Scenario_Data!V133</f>
        <v/>
      </c>
      <c r="AC133">
        <f>2*((Scenario_Data!D133*1000)-(IF(OR(Inputs!$C$27=TRUE,Inputs!$C$27="TRUE",Inputs!$C$27=1),1,0)*(Inputs!$C$51*(115*EXP(-(((0)-25)^2)/(4.5^2))+70*EXP(-(((0)+38)^2)/(7^2))*(0.55+0.45*SIN(2*PI()*(Scenario_Data!V133)/45))+24*SIN(2*PI()*(0)/9+(Scenario_Data!V133)/18)*EXP(-(((0)+5)^2)/(22^2))+18*SIN(2*PI()*(Scenario_Data!V133)/70))+Inputs!$C$28*EXP(-(((Scenario_Data!V133)-Inputs!$C$29)^2)/(2*Inputs!$C$31^2))*EXP(-(((0)-Inputs!$C$30)^2)/(2*Inputs!$C$32^2))+-Inputs!$C$33*EXP(-(((((Scenario_Data!V133)-Inputs!$C$34)^2)+(((0)-Inputs!$C$35)^2))/(2*Inputs!$C$36^2)))+Inputs!$C$37*(0.55*SIN(2*PI()*(Scenario_Data!V133)/Inputs!$C$39)+0.35*COS(2*PI()*(0)/Inputs!$C$40)+0.2*SIN(2*PI()*((Scenario_Data!V133)+(0))/(0.5*(Inputs!$C$39+Inputs!$C$40))))+Inputs!$C$38*SIN(2*PI()*(Scenario_Data!V133)/Inputs!$C$39)*SIN(2*PI()*(0)/Inputs!$C$40)+-Inputs!$C$41*EXP(-(((0)-Inputs!$C$43)^2)/(2*Inputs!$C$44^2))*EXP(-(((Scenario_Data!V133)-Inputs!$C$42)^2)/(2*Inputs!$C$45^2))+Inputs!$C$48*(0.7*(0.45*SIN(2*PI()*(((Scenario_Data!V133)/Inputs!$C$49)+Inputs!$C$47*0.137))+0.35*COS(2*PI()*(((0)/Inputs!$C$50)+Inputs!$C$47*0.173))+0.2*SIN(2*PI()*((((Scenario_Data!V133)+(0))/(0.5*(Inputs!$C$49+Inputs!$C$50)))+Inputs!$C$47*0.097)))+0.3*(2*((SIN(((Scenario_Data!V133)*12.9898+(0)*78.233+Inputs!$C$47*37.719))*43758.5453)-INT((SIN(((Scenario_Data!V133)*12.9898+(0)*78.233+Inputs!$C$47*37.719))*43758.5453)))-1)))))/Inputs!$C$21*1000000</f>
        <v/>
      </c>
      <c r="AD133">
        <f>Scenario_Data!W133</f>
        <v/>
      </c>
      <c r="AE133">
        <f>2*((Scenario_Data!E133*1000)-(IF(OR(Inputs!$C$27=TRUE,Inputs!$C$27="TRUE",Inputs!$C$27=1),1,0)*(Inputs!$C$51*(115*EXP(-(((0)-25)^2)/(4.5^2))+70*EXP(-(((0)+38)^2)/(7^2))*(0.55+0.45*SIN(2*PI()*(Scenario_Data!W133)/45))+24*SIN(2*PI()*(0)/9+(Scenario_Data!W133)/18)*EXP(-(((0)+5)^2)/(22^2))+18*SIN(2*PI()*(Scenario_Data!W133)/70))+Inputs!$C$28*EXP(-(((Scenario_Data!W133)-Inputs!$C$29)^2)/(2*Inputs!$C$31^2))*EXP(-(((0)-Inputs!$C$30)^2)/(2*Inputs!$C$32^2))+-Inputs!$C$33*EXP(-(((((Scenario_Data!W133)-Inputs!$C$34)^2)+(((0)-Inputs!$C$35)^2))/(2*Inputs!$C$36^2)))+Inputs!$C$37*(0.55*SIN(2*PI()*(Scenario_Data!W133)/Inputs!$C$39)+0.35*COS(2*PI()*(0)/Inputs!$C$40)+0.2*SIN(2*PI()*((Scenario_Data!W133)+(0))/(0.5*(Inputs!$C$39+Inputs!$C$40))))+Inputs!$C$38*SIN(2*PI()*(Scenario_Data!W133)/Inputs!$C$39)*SIN(2*PI()*(0)/Inputs!$C$40)+-Inputs!$C$41*EXP(-(((0)-Inputs!$C$43)^2)/(2*Inputs!$C$44^2))*EXP(-(((Scenario_Data!W133)-Inputs!$C$42)^2)/(2*Inputs!$C$45^2))+Inputs!$C$48*(0.7*(0.45*SIN(2*PI()*(((Scenario_Data!W133)/Inputs!$C$49)+Inputs!$C$47*0.137))+0.35*COS(2*PI()*(((0)/Inputs!$C$50)+Inputs!$C$47*0.173))+0.2*SIN(2*PI()*((((Scenario_Data!W133)+(0))/(0.5*(Inputs!$C$49+Inputs!$C$50)))+Inputs!$C$47*0.097)))+0.3*(2*((SIN(((Scenario_Data!W133)*12.9898+(0)*78.233+Inputs!$C$47*37.719))*43758.5453)-INT((SIN(((Scenario_Data!W133)*12.9898+(0)*78.233+Inputs!$C$47*37.719))*43758.5453)))-1)))))/Inputs!$C$21*1000000</f>
        <v/>
      </c>
      <c r="AG133">
        <f>Scenario_Data!T133</f>
        <v/>
      </c>
      <c r="AH133">
        <f>2*(SQRT((Inputs!$C$52+(Scenario_Data!B133))^2+Inputs!$C$52^2-2*(Inputs!$C$52+(Scenario_Data!B133))*Inputs!$C$52*COS(SQRT((Scenario_Data!T133)^2+Inputs!$C$6^2)/Inputs!$C$52))*1000)/Inputs!$C$21*1000000</f>
        <v/>
      </c>
      <c r="AI133">
        <f>Scenario_Data!U133</f>
        <v/>
      </c>
      <c r="AJ133">
        <f>2*(SQRT((Inputs!$C$52+(Scenario_Data!C133))^2+Inputs!$C$52^2-2*(Inputs!$C$52+(Scenario_Data!C133))*Inputs!$C$52*COS(SQRT((Scenario_Data!U133)^2+Inputs!$C$6^2)/Inputs!$C$52))*1000)/Inputs!$C$21*1000000</f>
        <v/>
      </c>
      <c r="AK133">
        <f>Scenario_Data!V133</f>
        <v/>
      </c>
      <c r="AL133">
        <f>2*(SQRT((Inputs!$C$52+(Scenario_Data!D133))^2+Inputs!$C$52^2-2*(Inputs!$C$52+(Scenario_Data!D133))*Inputs!$C$52*COS(SQRT((Scenario_Data!V133)^2+Inputs!$C$6^2)/Inputs!$C$52))*1000)/Inputs!$C$21*1000000</f>
        <v/>
      </c>
      <c r="AM133">
        <f>Scenario_Data!W133</f>
        <v/>
      </c>
      <c r="AN133">
        <f>2*(SQRT((Inputs!$C$52+(Scenario_Data!E133))^2+Inputs!$C$52^2-2*(Inputs!$C$52+(Scenario_Data!E133))*Inputs!$C$52*COS(SQRT((Scenario_Data!W133)^2+Inputs!$C$6^2)/Inputs!$C$52))*1000)/Inputs!$C$21*1000000</f>
        <v/>
      </c>
      <c r="AP133">
        <f>Scenario_Data!T133</f>
        <v/>
      </c>
      <c r="AQ133">
        <f>2*(SQRT((Inputs!$C$52+(Scenario_Data!B133))^2+(Inputs!$C$52+((IF(OR(Inputs!$C$27=TRUE,Inputs!$C$27="TRUE",Inputs!$C$27=1),1,0)*(Inputs!$C$51*(115*EXP(-(((Inputs!$C$6)-25)^2)/(4.5^2))+70*EXP(-(((Inputs!$C$6)+38)^2)/(7^2))*(0.55+0.45*SIN(2*PI()*(Scenario_Data!T133)/45))+24*SIN(2*PI()*(Inputs!$C$6)/9+(Scenario_Data!T133)/18)*EXP(-(((Inputs!$C$6)+5)^2)/(22^2))+18*SIN(2*PI()*(Scenario_Data!T133)/70))+Inputs!$C$28*EXP(-(((Scenario_Data!T133)-Inputs!$C$29)^2)/(2*Inputs!$C$31^2))*EXP(-(((Inputs!$C$6)-Inputs!$C$30)^2)/(2*Inputs!$C$32^2))+-Inputs!$C$33*EXP(-(((((Scenario_Data!T133)-Inputs!$C$34)^2)+(((Inputs!$C$6)-Inputs!$C$35)^2))/(2*Inputs!$C$36^2)))+Inputs!$C$37*(0.55*SIN(2*PI()*(Scenario_Data!T133)/Inputs!$C$39)+0.35*COS(2*PI()*(Inputs!$C$6)/Inputs!$C$40)+0.2*SIN(2*PI()*((Scenario_Data!T133)+(Inputs!$C$6))/(0.5*(Inputs!$C$39+Inputs!$C$40))))+Inputs!$C$38*SIN(2*PI()*(Scenario_Data!T133)/Inputs!$C$39)*SIN(2*PI()*(Inputs!$C$6)/Inputs!$C$40)+-Inputs!$C$41*EXP(-(((Inputs!$C$6)-Inputs!$C$43)^2)/(2*Inputs!$C$44^2))*EXP(-(((Scenario_Data!T133)-Inputs!$C$42)^2)/(2*Inputs!$C$45^2))+Inputs!$C$48*(0.7*(0.45*SIN(2*PI()*(((Scenario_Data!T133)/Inputs!$C$49)+Inputs!$C$47*0.137))+0.35*COS(2*PI()*(((Inputs!$C$6)/Inputs!$C$50)+Inputs!$C$47*0.173))+0.2*SIN(2*PI()*((((Scenario_Data!T133)+(Inputs!$C$6))/(0.5*(Inputs!$C$49+Inputs!$C$50)))+Inputs!$C$47*0.097)))+0.3*(2*((SIN(((Scenario_Data!T133)*12.9898+(Inputs!$C$6)*78.233+Inputs!$C$47*37.719))*43758.5453)-INT((SIN(((Scenario_Data!T133)*12.9898+(Inputs!$C$6)*78.233+Inputs!$C$47*37.719))*43758.5453)))-1))))/1000))^2-2*(Inputs!$C$52+(Scenario_Data!B133))*(Inputs!$C$52+((IF(OR(Inputs!$C$27=TRUE,Inputs!$C$27="TRUE",Inputs!$C$27=1),1,0)*(Inputs!$C$51*(115*EXP(-(((Inputs!$C$6)-25)^2)/(4.5^2))+70*EXP(-(((Inputs!$C$6)+38)^2)/(7^2))*(0.55+0.45*SIN(2*PI()*(Scenario_Data!T133)/45))+24*SIN(2*PI()*(Inputs!$C$6)/9+(Scenario_Data!T133)/18)*EXP(-(((Inputs!$C$6)+5)^2)/(22^2))+18*SIN(2*PI()*(Scenario_Data!T133)/70))+Inputs!$C$28*EXP(-(((Scenario_Data!T133)-Inputs!$C$29)^2)/(2*Inputs!$C$31^2))*EXP(-(((Inputs!$C$6)-Inputs!$C$30)^2)/(2*Inputs!$C$32^2))+-Inputs!$C$33*EXP(-(((((Scenario_Data!T133)-Inputs!$C$34)^2)+(((Inputs!$C$6)-Inputs!$C$35)^2))/(2*Inputs!$C$36^2)))+Inputs!$C$37*(0.55*SIN(2*PI()*(Scenario_Data!T133)/Inputs!$C$39)+0.35*COS(2*PI()*(Inputs!$C$6)/Inputs!$C$40)+0.2*SIN(2*PI()*((Scenario_Data!T133)+(Inputs!$C$6))/(0.5*(Inputs!$C$39+Inputs!$C$40))))+Inputs!$C$38*SIN(2*PI()*(Scenario_Data!T133)/Inputs!$C$39)*SIN(2*PI()*(Inputs!$C$6)/Inputs!$C$40)+-Inputs!$C$41*EXP(-(((Inputs!$C$6)-Inputs!$C$43)^2)/(2*Inputs!$C$44^2))*EXP(-(((Scenario_Data!T133)-Inputs!$C$42)^2)/(2*Inputs!$C$45^2))+Inputs!$C$48*(0.7*(0.45*SIN(2*PI()*(((Scenario_Data!T133)/Inputs!$C$49)+Inputs!$C$47*0.137))+0.35*COS(2*PI()*(((Inputs!$C$6)/Inputs!$C$50)+Inputs!$C$47*0.173))+0.2*SIN(2*PI()*((((Scenario_Data!T133)+(Inputs!$C$6))/(0.5*(Inputs!$C$49+Inputs!$C$50)))+Inputs!$C$47*0.097)))+0.3*(2*((SIN(((Scenario_Data!T133)*12.9898+(Inputs!$C$6)*78.233+Inputs!$C$47*37.719))*43758.5453)-INT((SIN(((Scenario_Data!T133)*12.9898+(Inputs!$C$6)*78.233+Inputs!$C$47*37.719))*43758.5453)))-1))))/1000))*COS(SQRT((Scenario_Data!T133)^2+Inputs!$C$6^2)/Inputs!$C$52))*1000)/Inputs!$C$21*1000000</f>
        <v/>
      </c>
      <c r="AR133">
        <f>Scenario_Data!U133</f>
        <v/>
      </c>
      <c r="AS133">
        <f>2*(SQRT((Inputs!$C$52+(Scenario_Data!C133))^2+(Inputs!$C$52+((IF(OR(Inputs!$C$27=TRUE,Inputs!$C$27="TRUE",Inputs!$C$27=1),1,0)*(Inputs!$C$51*(115*EXP(-(((Inputs!$C$6)-25)^2)/(4.5^2))+70*EXP(-(((Inputs!$C$6)+38)^2)/(7^2))*(0.55+0.45*SIN(2*PI()*(Scenario_Data!U133)/45))+24*SIN(2*PI()*(Inputs!$C$6)/9+(Scenario_Data!U133)/18)*EXP(-(((Inputs!$C$6)+5)^2)/(22^2))+18*SIN(2*PI()*(Scenario_Data!U133)/70))+Inputs!$C$28*EXP(-(((Scenario_Data!U133)-Inputs!$C$29)^2)/(2*Inputs!$C$31^2))*EXP(-(((Inputs!$C$6)-Inputs!$C$30)^2)/(2*Inputs!$C$32^2))+-Inputs!$C$33*EXP(-(((((Scenario_Data!U133)-Inputs!$C$34)^2)+(((Inputs!$C$6)-Inputs!$C$35)^2))/(2*Inputs!$C$36^2)))+Inputs!$C$37*(0.55*SIN(2*PI()*(Scenario_Data!U133)/Inputs!$C$39)+0.35*COS(2*PI()*(Inputs!$C$6)/Inputs!$C$40)+0.2*SIN(2*PI()*((Scenario_Data!U133)+(Inputs!$C$6))/(0.5*(Inputs!$C$39+Inputs!$C$40))))+Inputs!$C$38*SIN(2*PI()*(Scenario_Data!U133)/Inputs!$C$39)*SIN(2*PI()*(Inputs!$C$6)/Inputs!$C$40)+-Inputs!$C$41*EXP(-(((Inputs!$C$6)-Inputs!$C$43)^2)/(2*Inputs!$C$44^2))*EXP(-(((Scenario_Data!U133)-Inputs!$C$42)^2)/(2*Inputs!$C$45^2))+Inputs!$C$48*(0.7*(0.45*SIN(2*PI()*(((Scenario_Data!U133)/Inputs!$C$49)+Inputs!$C$47*0.137))+0.35*COS(2*PI()*(((Inputs!$C$6)/Inputs!$C$50)+Inputs!$C$47*0.173))+0.2*SIN(2*PI()*((((Scenario_Data!U133)+(Inputs!$C$6))/(0.5*(Inputs!$C$49+Inputs!$C$50)))+Inputs!$C$47*0.097)))+0.3*(2*((SIN(((Scenario_Data!U133)*12.9898+(Inputs!$C$6)*78.233+Inputs!$C$47*37.719))*43758.5453)-INT((SIN(((Scenario_Data!U133)*12.9898+(Inputs!$C$6)*78.233+Inputs!$C$47*37.719))*43758.5453)))-1))))/1000))^2-2*(Inputs!$C$52+(Scenario_Data!C133))*(Inputs!$C$52+((IF(OR(Inputs!$C$27=TRUE,Inputs!$C$27="TRUE",Inputs!$C$27=1),1,0)*(Inputs!$C$51*(115*EXP(-(((Inputs!$C$6)-25)^2)/(4.5^2))+70*EXP(-(((Inputs!$C$6)+38)^2)/(7^2))*(0.55+0.45*SIN(2*PI()*(Scenario_Data!U133)/45))+24*SIN(2*PI()*(Inputs!$C$6)/9+(Scenario_Data!U133)/18)*EXP(-(((Inputs!$C$6)+5)^2)/(22^2))+18*SIN(2*PI()*(Scenario_Data!U133)/70))+Inputs!$C$28*EXP(-(((Scenario_Data!U133)-Inputs!$C$29)^2)/(2*Inputs!$C$31^2))*EXP(-(((Inputs!$C$6)-Inputs!$C$30)^2)/(2*Inputs!$C$32^2))+-Inputs!$C$33*EXP(-(((((Scenario_Data!U133)-Inputs!$C$34)^2)+(((Inputs!$C$6)-Inputs!$C$35)^2))/(2*Inputs!$C$36^2)))+Inputs!$C$37*(0.55*SIN(2*PI()*(Scenario_Data!U133)/Inputs!$C$39)+0.35*COS(2*PI()*(Inputs!$C$6)/Inputs!$C$40)+0.2*SIN(2*PI()*((Scenario_Data!U133)+(Inputs!$C$6))/(0.5*(Inputs!$C$39+Inputs!$C$40))))+Inputs!$C$38*SIN(2*PI()*(Scenario_Data!U133)/Inputs!$C$39)*SIN(2*PI()*(Inputs!$C$6)/Inputs!$C$40)+-Inputs!$C$41*EXP(-(((Inputs!$C$6)-Inputs!$C$43)^2)/(2*Inputs!$C$44^2))*EXP(-(((Scenario_Data!U133)-Inputs!$C$42)^2)/(2*Inputs!$C$45^2))+Inputs!$C$48*(0.7*(0.45*SIN(2*PI()*(((Scenario_Data!U133)/Inputs!$C$49)+Inputs!$C$47*0.137))+0.35*COS(2*PI()*(((Inputs!$C$6)/Inputs!$C$50)+Inputs!$C$47*0.173))+0.2*SIN(2*PI()*((((Scenario_Data!U133)+(Inputs!$C$6))/(0.5*(Inputs!$C$49+Inputs!$C$50)))+Inputs!$C$47*0.097)))+0.3*(2*((SIN(((Scenario_Data!U133)*12.9898+(Inputs!$C$6)*78.233+Inputs!$C$47*37.719))*43758.5453)-INT((SIN(((Scenario_Data!U133)*12.9898+(Inputs!$C$6)*78.233+Inputs!$C$47*37.719))*43758.5453)))-1))))/1000))*COS(SQRT((Scenario_Data!U133)^2+Inputs!$C$6^2)/Inputs!$C$52))*1000)/Inputs!$C$21*1000000</f>
        <v/>
      </c>
      <c r="AT133">
        <f>Scenario_Data!V133</f>
        <v/>
      </c>
      <c r="AU133">
        <f>2*(SQRT((Inputs!$C$52+(Scenario_Data!D133))^2+(Inputs!$C$52+((IF(OR(Inputs!$C$27=TRUE,Inputs!$C$27="TRUE",Inputs!$C$27=1),1,0)*(Inputs!$C$51*(115*EXP(-(((Inputs!$C$6)-25)^2)/(4.5^2))+70*EXP(-(((Inputs!$C$6)+38)^2)/(7^2))*(0.55+0.45*SIN(2*PI()*(Scenario_Data!V133)/45))+24*SIN(2*PI()*(Inputs!$C$6)/9+(Scenario_Data!V133)/18)*EXP(-(((Inputs!$C$6)+5)^2)/(22^2))+18*SIN(2*PI()*(Scenario_Data!V133)/70))+Inputs!$C$28*EXP(-(((Scenario_Data!V133)-Inputs!$C$29)^2)/(2*Inputs!$C$31^2))*EXP(-(((Inputs!$C$6)-Inputs!$C$30)^2)/(2*Inputs!$C$32^2))+-Inputs!$C$33*EXP(-(((((Scenario_Data!V133)-Inputs!$C$34)^2)+(((Inputs!$C$6)-Inputs!$C$35)^2))/(2*Inputs!$C$36^2)))+Inputs!$C$37*(0.55*SIN(2*PI()*(Scenario_Data!V133)/Inputs!$C$39)+0.35*COS(2*PI()*(Inputs!$C$6)/Inputs!$C$40)+0.2*SIN(2*PI()*((Scenario_Data!V133)+(Inputs!$C$6))/(0.5*(Inputs!$C$39+Inputs!$C$40))))+Inputs!$C$38*SIN(2*PI()*(Scenario_Data!V133)/Inputs!$C$39)*SIN(2*PI()*(Inputs!$C$6)/Inputs!$C$40)+-Inputs!$C$41*EXP(-(((Inputs!$C$6)-Inputs!$C$43)^2)/(2*Inputs!$C$44^2))*EXP(-(((Scenario_Data!V133)-Inputs!$C$42)^2)/(2*Inputs!$C$45^2))+Inputs!$C$48*(0.7*(0.45*SIN(2*PI()*(((Scenario_Data!V133)/Inputs!$C$49)+Inputs!$C$47*0.137))+0.35*COS(2*PI()*(((Inputs!$C$6)/Inputs!$C$50)+Inputs!$C$47*0.173))+0.2*SIN(2*PI()*((((Scenario_Data!V133)+(Inputs!$C$6))/(0.5*(Inputs!$C$49+Inputs!$C$50)))+Inputs!$C$47*0.097)))+0.3*(2*((SIN(((Scenario_Data!V133)*12.9898+(Inputs!$C$6)*78.233+Inputs!$C$47*37.719))*43758.5453)-INT((SIN(((Scenario_Data!V133)*12.9898+(Inputs!$C$6)*78.233+Inputs!$C$47*37.719))*43758.5453)))-1))))/1000))^2-2*(Inputs!$C$52+(Scenario_Data!D133))*(Inputs!$C$52+((IF(OR(Inputs!$C$27=TRUE,Inputs!$C$27="TRUE",Inputs!$C$27=1),1,0)*(Inputs!$C$51*(115*EXP(-(((Inputs!$C$6)-25)^2)/(4.5^2))+70*EXP(-(((Inputs!$C$6)+38)^2)/(7^2))*(0.55+0.45*SIN(2*PI()*(Scenario_Data!V133)/45))+24*SIN(2*PI()*(Inputs!$C$6)/9+(Scenario_Data!V133)/18)*EXP(-(((Inputs!$C$6)+5)^2)/(22^2))+18*SIN(2*PI()*(Scenario_Data!V133)/70))+Inputs!$C$28*EXP(-(((Scenario_Data!V133)-Inputs!$C$29)^2)/(2*Inputs!$C$31^2))*EXP(-(((Inputs!$C$6)-Inputs!$C$30)^2)/(2*Inputs!$C$32^2))+-Inputs!$C$33*EXP(-(((((Scenario_Data!V133)-Inputs!$C$34)^2)+(((Inputs!$C$6)-Inputs!$C$35)^2))/(2*Inputs!$C$36^2)))+Inputs!$C$37*(0.55*SIN(2*PI()*(Scenario_Data!V133)/Inputs!$C$39)+0.35*COS(2*PI()*(Inputs!$C$6)/Inputs!$C$40)+0.2*SIN(2*PI()*((Scenario_Data!V133)+(Inputs!$C$6))/(0.5*(Inputs!$C$39+Inputs!$C$40))))+Inputs!$C$38*SIN(2*PI()*(Scenario_Data!V133)/Inputs!$C$39)*SIN(2*PI()*(Inputs!$C$6)/Inputs!$C$40)+-Inputs!$C$41*EXP(-(((Inputs!$C$6)-Inputs!$C$43)^2)/(2*Inputs!$C$44^2))*EXP(-(((Scenario_Data!V133)-Inputs!$C$42)^2)/(2*Inputs!$C$45^2))+Inputs!$C$48*(0.7*(0.45*SIN(2*PI()*(((Scenario_Data!V133)/Inputs!$C$49)+Inputs!$C$47*0.137))+0.35*COS(2*PI()*(((Inputs!$C$6)/Inputs!$C$50)+Inputs!$C$47*0.173))+0.2*SIN(2*PI()*((((Scenario_Data!V133)+(Inputs!$C$6))/(0.5*(Inputs!$C$49+Inputs!$C$50)))+Inputs!$C$47*0.097)))+0.3*(2*((SIN(((Scenario_Data!V133)*12.9898+(Inputs!$C$6)*78.233+Inputs!$C$47*37.719))*43758.5453)-INT((SIN(((Scenario_Data!V133)*12.9898+(Inputs!$C$6)*78.233+Inputs!$C$47*37.719))*43758.5453)))-1))))/1000))*COS(SQRT((Scenario_Data!V133)^2+Inputs!$C$6^2)/Inputs!$C$52))*1000)/Inputs!$C$21*1000000</f>
        <v/>
      </c>
      <c r="AV133">
        <f>Scenario_Data!W133</f>
        <v/>
      </c>
      <c r="AW133">
        <f>2*(SQRT((Inputs!$C$52+(Scenario_Data!E133))^2+(Inputs!$C$52+((IF(OR(Inputs!$C$27=TRUE,Inputs!$C$27="TRUE",Inputs!$C$27=1),1,0)*(Inputs!$C$51*(115*EXP(-(((Inputs!$C$6)-25)^2)/(4.5^2))+70*EXP(-(((Inputs!$C$6)+38)^2)/(7^2))*(0.55+0.45*SIN(2*PI()*(Scenario_Data!W133)/45))+24*SIN(2*PI()*(Inputs!$C$6)/9+(Scenario_Data!W133)/18)*EXP(-(((Inputs!$C$6)+5)^2)/(22^2))+18*SIN(2*PI()*(Scenario_Data!W133)/70))+Inputs!$C$28*EXP(-(((Scenario_Data!W133)-Inputs!$C$29)^2)/(2*Inputs!$C$31^2))*EXP(-(((Inputs!$C$6)-Inputs!$C$30)^2)/(2*Inputs!$C$32^2))+-Inputs!$C$33*EXP(-(((((Scenario_Data!W133)-Inputs!$C$34)^2)+(((Inputs!$C$6)-Inputs!$C$35)^2))/(2*Inputs!$C$36^2)))+Inputs!$C$37*(0.55*SIN(2*PI()*(Scenario_Data!W133)/Inputs!$C$39)+0.35*COS(2*PI()*(Inputs!$C$6)/Inputs!$C$40)+0.2*SIN(2*PI()*((Scenario_Data!W133)+(Inputs!$C$6))/(0.5*(Inputs!$C$39+Inputs!$C$40))))+Inputs!$C$38*SIN(2*PI()*(Scenario_Data!W133)/Inputs!$C$39)*SIN(2*PI()*(Inputs!$C$6)/Inputs!$C$40)+-Inputs!$C$41*EXP(-(((Inputs!$C$6)-Inputs!$C$43)^2)/(2*Inputs!$C$44^2))*EXP(-(((Scenario_Data!W133)-Inputs!$C$42)^2)/(2*Inputs!$C$45^2))+Inputs!$C$48*(0.7*(0.45*SIN(2*PI()*(((Scenario_Data!W133)/Inputs!$C$49)+Inputs!$C$47*0.137))+0.35*COS(2*PI()*(((Inputs!$C$6)/Inputs!$C$50)+Inputs!$C$47*0.173))+0.2*SIN(2*PI()*((((Scenario_Data!W133)+(Inputs!$C$6))/(0.5*(Inputs!$C$49+Inputs!$C$50)))+Inputs!$C$47*0.097)))+0.3*(2*((SIN(((Scenario_Data!W133)*12.9898+(Inputs!$C$6)*78.233+Inputs!$C$47*37.719))*43758.5453)-INT((SIN(((Scenario_Data!W133)*12.9898+(Inputs!$C$6)*78.233+Inputs!$C$47*37.719))*43758.5453)))-1))))/1000))^2-2*(Inputs!$C$52+(Scenario_Data!E133))*(Inputs!$C$52+((IF(OR(Inputs!$C$27=TRUE,Inputs!$C$27="TRUE",Inputs!$C$27=1),1,0)*(Inputs!$C$51*(115*EXP(-(((Inputs!$C$6)-25)^2)/(4.5^2))+70*EXP(-(((Inputs!$C$6)+38)^2)/(7^2))*(0.55+0.45*SIN(2*PI()*(Scenario_Data!W133)/45))+24*SIN(2*PI()*(Inputs!$C$6)/9+(Scenario_Data!W133)/18)*EXP(-(((Inputs!$C$6)+5)^2)/(22^2))+18*SIN(2*PI()*(Scenario_Data!W133)/70))+Inputs!$C$28*EXP(-(((Scenario_Data!W133)-Inputs!$C$29)^2)/(2*Inputs!$C$31^2))*EXP(-(((Inputs!$C$6)-Inputs!$C$30)^2)/(2*Inputs!$C$32^2))+-Inputs!$C$33*EXP(-(((((Scenario_Data!W133)-Inputs!$C$34)^2)+(((Inputs!$C$6)-Inputs!$C$35)^2))/(2*Inputs!$C$36^2)))+Inputs!$C$37*(0.55*SIN(2*PI()*(Scenario_Data!W133)/Inputs!$C$39)+0.35*COS(2*PI()*(Inputs!$C$6)/Inputs!$C$40)+0.2*SIN(2*PI()*((Scenario_Data!W133)+(Inputs!$C$6))/(0.5*(Inputs!$C$39+Inputs!$C$40))))+Inputs!$C$38*SIN(2*PI()*(Scenario_Data!W133)/Inputs!$C$39)*SIN(2*PI()*(Inputs!$C$6)/Inputs!$C$40)+-Inputs!$C$41*EXP(-(((Inputs!$C$6)-Inputs!$C$43)^2)/(2*Inputs!$C$44^2))*EXP(-(((Scenario_Data!W133)-Inputs!$C$42)^2)/(2*Inputs!$C$45^2))+Inputs!$C$48*(0.7*(0.45*SIN(2*PI()*(((Scenario_Data!W133)/Inputs!$C$49)+Inputs!$C$47*0.137))+0.35*COS(2*PI()*(((Inputs!$C$6)/Inputs!$C$50)+Inputs!$C$47*0.173))+0.2*SIN(2*PI()*((((Scenario_Data!W133)+(Inputs!$C$6))/(0.5*(Inputs!$C$49+Inputs!$C$50)))+Inputs!$C$47*0.097)))+0.3*(2*((SIN(((Scenario_Data!W133)*12.9898+(Inputs!$C$6)*78.233+Inputs!$C$47*37.719))*43758.5453)-INT((SIN(((Scenario_Data!W133)*12.9898+(Inputs!$C$6)*78.233+Inputs!$C$47*37.719))*43758.5453)))-1))))/1000))*COS(SQRT((Scenario_Data!W133)^2+Inputs!$C$6^2)/Inputs!$C$52))*1000)/Inputs!$C$21*1000000</f>
        <v/>
      </c>
    </row>
    <row r="134">
      <c r="A134">
        <f>Chart_Data!K134</f>
        <v/>
      </c>
      <c r="B134">
        <f>Chart_Data!N134-Chart_Data!L134</f>
        <v/>
      </c>
      <c r="D134">
        <f>Chart_Data!G134</f>
        <v/>
      </c>
      <c r="E134">
        <f>Chart_Data!H134</f>
        <v/>
      </c>
      <c r="F134">
        <f>Chart_Data!I134</f>
        <v/>
      </c>
      <c r="G134">
        <f>Chart_Data!J134</f>
        <v/>
      </c>
      <c r="I134">
        <f>Scenario_Data!A134</f>
        <v/>
      </c>
      <c r="J134">
        <f>Scenario_Data!H134-(((SQRT((Inputs!$C$52+(Inputs!$H$6))^2+Inputs!$C$52^2-2*(Inputs!$C$52+(Inputs!$H$6))*Inputs!$C$52*COS(SQRT((Scenario_Data!T134)^2+Inputs!$C$6^2)/Inputs!$C$52)))-(Inputs!$H$6))*1000/Inputs!$C$12)</f>
        <v/>
      </c>
      <c r="K134">
        <f>Scenario_Data!I134-(((SQRT((Inputs!$C$52+(Inputs!$H$7))^2+Inputs!$C$52^2-2*(Inputs!$C$52+(Inputs!$H$7))*Inputs!$C$52*COS(SQRT((Scenario_Data!U134)^2+Inputs!$C$6^2)/Inputs!$C$52)))-(Inputs!$H$7))*1000/Inputs!$C$12)</f>
        <v/>
      </c>
      <c r="L134">
        <f>Scenario_Data!J134-(((SQRT((Inputs!$C$52+(Inputs!$H$8))^2+Inputs!$C$52^2-2*(Inputs!$C$52+(Inputs!$H$8))*Inputs!$C$52*COS(SQRT((Scenario_Data!V134)^2+Inputs!$C$6^2)/Inputs!$C$52)))-(Inputs!$H$8))*1000/Inputs!$C$12)</f>
        <v/>
      </c>
      <c r="M134">
        <f>Scenario_Data!K134-(((SQRT((Inputs!$C$52+(Inputs!$H$9))^2+Inputs!$C$52^2-2*(Inputs!$C$52+(Inputs!$H$9))*Inputs!$C$52*COS(SQRT((Scenario_Data!W134)^2+Inputs!$C$6^2)/Inputs!$C$52)))-(Inputs!$H$9))*1000/Inputs!$C$12)</f>
        <v/>
      </c>
      <c r="O134">
        <f>Scenario_Data!T134</f>
        <v/>
      </c>
      <c r="P134">
        <f>2*(Scenario_Data!B134*1000)/Inputs!$C$21*1000000</f>
        <v/>
      </c>
      <c r="Q134">
        <f>Scenario_Data!U134</f>
        <v/>
      </c>
      <c r="R134">
        <f>2*(Scenario_Data!C134*1000)/Inputs!$C$21*1000000</f>
        <v/>
      </c>
      <c r="S134">
        <f>Scenario_Data!V134</f>
        <v/>
      </c>
      <c r="T134">
        <f>2*(Scenario_Data!D134*1000)/Inputs!$C$21*1000000</f>
        <v/>
      </c>
      <c r="U134">
        <f>Scenario_Data!W134</f>
        <v/>
      </c>
      <c r="V134">
        <f>2*(Scenario_Data!E134*1000)/Inputs!$C$21*1000000</f>
        <v/>
      </c>
      <c r="X134">
        <f>Scenario_Data!T134</f>
        <v/>
      </c>
      <c r="Y134">
        <f>2*((Scenario_Data!B134*1000)-(IF(OR(Inputs!$C$27=TRUE,Inputs!$C$27="TRUE",Inputs!$C$27=1),1,0)*(Inputs!$C$51*(115*EXP(-(((0)-25)^2)/(4.5^2))+70*EXP(-(((0)+38)^2)/(7^2))*(0.55+0.45*SIN(2*PI()*(Scenario_Data!T134)/45))+24*SIN(2*PI()*(0)/9+(Scenario_Data!T134)/18)*EXP(-(((0)+5)^2)/(22^2))+18*SIN(2*PI()*(Scenario_Data!T134)/70))+Inputs!$C$28*EXP(-(((Scenario_Data!T134)-Inputs!$C$29)^2)/(2*Inputs!$C$31^2))*EXP(-(((0)-Inputs!$C$30)^2)/(2*Inputs!$C$32^2))+-Inputs!$C$33*EXP(-(((((Scenario_Data!T134)-Inputs!$C$34)^2)+(((0)-Inputs!$C$35)^2))/(2*Inputs!$C$36^2)))+Inputs!$C$37*(0.55*SIN(2*PI()*(Scenario_Data!T134)/Inputs!$C$39)+0.35*COS(2*PI()*(0)/Inputs!$C$40)+0.2*SIN(2*PI()*((Scenario_Data!T134)+(0))/(0.5*(Inputs!$C$39+Inputs!$C$40))))+Inputs!$C$38*SIN(2*PI()*(Scenario_Data!T134)/Inputs!$C$39)*SIN(2*PI()*(0)/Inputs!$C$40)+-Inputs!$C$41*EXP(-(((0)-Inputs!$C$43)^2)/(2*Inputs!$C$44^2))*EXP(-(((Scenario_Data!T134)-Inputs!$C$42)^2)/(2*Inputs!$C$45^2))+Inputs!$C$48*(0.7*(0.45*SIN(2*PI()*(((Scenario_Data!T134)/Inputs!$C$49)+Inputs!$C$47*0.137))+0.35*COS(2*PI()*(((0)/Inputs!$C$50)+Inputs!$C$47*0.173))+0.2*SIN(2*PI()*((((Scenario_Data!T134)+(0))/(0.5*(Inputs!$C$49+Inputs!$C$50)))+Inputs!$C$47*0.097)))+0.3*(2*((SIN(((Scenario_Data!T134)*12.9898+(0)*78.233+Inputs!$C$47*37.719))*43758.5453)-INT((SIN(((Scenario_Data!T134)*12.9898+(0)*78.233+Inputs!$C$47*37.719))*43758.5453)))-1)))))/Inputs!$C$21*1000000</f>
        <v/>
      </c>
      <c r="Z134">
        <f>Scenario_Data!U134</f>
        <v/>
      </c>
      <c r="AA134">
        <f>2*((Scenario_Data!C134*1000)-(IF(OR(Inputs!$C$27=TRUE,Inputs!$C$27="TRUE",Inputs!$C$27=1),1,0)*(Inputs!$C$51*(115*EXP(-(((0)-25)^2)/(4.5^2))+70*EXP(-(((0)+38)^2)/(7^2))*(0.55+0.45*SIN(2*PI()*(Scenario_Data!U134)/45))+24*SIN(2*PI()*(0)/9+(Scenario_Data!U134)/18)*EXP(-(((0)+5)^2)/(22^2))+18*SIN(2*PI()*(Scenario_Data!U134)/70))+Inputs!$C$28*EXP(-(((Scenario_Data!U134)-Inputs!$C$29)^2)/(2*Inputs!$C$31^2))*EXP(-(((0)-Inputs!$C$30)^2)/(2*Inputs!$C$32^2))+-Inputs!$C$33*EXP(-(((((Scenario_Data!U134)-Inputs!$C$34)^2)+(((0)-Inputs!$C$35)^2))/(2*Inputs!$C$36^2)))+Inputs!$C$37*(0.55*SIN(2*PI()*(Scenario_Data!U134)/Inputs!$C$39)+0.35*COS(2*PI()*(0)/Inputs!$C$40)+0.2*SIN(2*PI()*((Scenario_Data!U134)+(0))/(0.5*(Inputs!$C$39+Inputs!$C$40))))+Inputs!$C$38*SIN(2*PI()*(Scenario_Data!U134)/Inputs!$C$39)*SIN(2*PI()*(0)/Inputs!$C$40)+-Inputs!$C$41*EXP(-(((0)-Inputs!$C$43)^2)/(2*Inputs!$C$44^2))*EXP(-(((Scenario_Data!U134)-Inputs!$C$42)^2)/(2*Inputs!$C$45^2))+Inputs!$C$48*(0.7*(0.45*SIN(2*PI()*(((Scenario_Data!U134)/Inputs!$C$49)+Inputs!$C$47*0.137))+0.35*COS(2*PI()*(((0)/Inputs!$C$50)+Inputs!$C$47*0.173))+0.2*SIN(2*PI()*((((Scenario_Data!U134)+(0))/(0.5*(Inputs!$C$49+Inputs!$C$50)))+Inputs!$C$47*0.097)))+0.3*(2*((SIN(((Scenario_Data!U134)*12.9898+(0)*78.233+Inputs!$C$47*37.719))*43758.5453)-INT((SIN(((Scenario_Data!U134)*12.9898+(0)*78.233+Inputs!$C$47*37.719))*43758.5453)))-1)))))/Inputs!$C$21*1000000</f>
        <v/>
      </c>
      <c r="AB134">
        <f>Scenario_Data!V134</f>
        <v/>
      </c>
      <c r="AC134">
        <f>2*((Scenario_Data!D134*1000)-(IF(OR(Inputs!$C$27=TRUE,Inputs!$C$27="TRUE",Inputs!$C$27=1),1,0)*(Inputs!$C$51*(115*EXP(-(((0)-25)^2)/(4.5^2))+70*EXP(-(((0)+38)^2)/(7^2))*(0.55+0.45*SIN(2*PI()*(Scenario_Data!V134)/45))+24*SIN(2*PI()*(0)/9+(Scenario_Data!V134)/18)*EXP(-(((0)+5)^2)/(22^2))+18*SIN(2*PI()*(Scenario_Data!V134)/70))+Inputs!$C$28*EXP(-(((Scenario_Data!V134)-Inputs!$C$29)^2)/(2*Inputs!$C$31^2))*EXP(-(((0)-Inputs!$C$30)^2)/(2*Inputs!$C$32^2))+-Inputs!$C$33*EXP(-(((((Scenario_Data!V134)-Inputs!$C$34)^2)+(((0)-Inputs!$C$35)^2))/(2*Inputs!$C$36^2)))+Inputs!$C$37*(0.55*SIN(2*PI()*(Scenario_Data!V134)/Inputs!$C$39)+0.35*COS(2*PI()*(0)/Inputs!$C$40)+0.2*SIN(2*PI()*((Scenario_Data!V134)+(0))/(0.5*(Inputs!$C$39+Inputs!$C$40))))+Inputs!$C$38*SIN(2*PI()*(Scenario_Data!V134)/Inputs!$C$39)*SIN(2*PI()*(0)/Inputs!$C$40)+-Inputs!$C$41*EXP(-(((0)-Inputs!$C$43)^2)/(2*Inputs!$C$44^2))*EXP(-(((Scenario_Data!V134)-Inputs!$C$42)^2)/(2*Inputs!$C$45^2))+Inputs!$C$48*(0.7*(0.45*SIN(2*PI()*(((Scenario_Data!V134)/Inputs!$C$49)+Inputs!$C$47*0.137))+0.35*COS(2*PI()*(((0)/Inputs!$C$50)+Inputs!$C$47*0.173))+0.2*SIN(2*PI()*((((Scenario_Data!V134)+(0))/(0.5*(Inputs!$C$49+Inputs!$C$50)))+Inputs!$C$47*0.097)))+0.3*(2*((SIN(((Scenario_Data!V134)*12.9898+(0)*78.233+Inputs!$C$47*37.719))*43758.5453)-INT((SIN(((Scenario_Data!V134)*12.9898+(0)*78.233+Inputs!$C$47*37.719))*43758.5453)))-1)))))/Inputs!$C$21*1000000</f>
        <v/>
      </c>
      <c r="AD134">
        <f>Scenario_Data!W134</f>
        <v/>
      </c>
      <c r="AE134">
        <f>2*((Scenario_Data!E134*1000)-(IF(OR(Inputs!$C$27=TRUE,Inputs!$C$27="TRUE",Inputs!$C$27=1),1,0)*(Inputs!$C$51*(115*EXP(-(((0)-25)^2)/(4.5^2))+70*EXP(-(((0)+38)^2)/(7^2))*(0.55+0.45*SIN(2*PI()*(Scenario_Data!W134)/45))+24*SIN(2*PI()*(0)/9+(Scenario_Data!W134)/18)*EXP(-(((0)+5)^2)/(22^2))+18*SIN(2*PI()*(Scenario_Data!W134)/70))+Inputs!$C$28*EXP(-(((Scenario_Data!W134)-Inputs!$C$29)^2)/(2*Inputs!$C$31^2))*EXP(-(((0)-Inputs!$C$30)^2)/(2*Inputs!$C$32^2))+-Inputs!$C$33*EXP(-(((((Scenario_Data!W134)-Inputs!$C$34)^2)+(((0)-Inputs!$C$35)^2))/(2*Inputs!$C$36^2)))+Inputs!$C$37*(0.55*SIN(2*PI()*(Scenario_Data!W134)/Inputs!$C$39)+0.35*COS(2*PI()*(0)/Inputs!$C$40)+0.2*SIN(2*PI()*((Scenario_Data!W134)+(0))/(0.5*(Inputs!$C$39+Inputs!$C$40))))+Inputs!$C$38*SIN(2*PI()*(Scenario_Data!W134)/Inputs!$C$39)*SIN(2*PI()*(0)/Inputs!$C$40)+-Inputs!$C$41*EXP(-(((0)-Inputs!$C$43)^2)/(2*Inputs!$C$44^2))*EXP(-(((Scenario_Data!W134)-Inputs!$C$42)^2)/(2*Inputs!$C$45^2))+Inputs!$C$48*(0.7*(0.45*SIN(2*PI()*(((Scenario_Data!W134)/Inputs!$C$49)+Inputs!$C$47*0.137))+0.35*COS(2*PI()*(((0)/Inputs!$C$50)+Inputs!$C$47*0.173))+0.2*SIN(2*PI()*((((Scenario_Data!W134)+(0))/(0.5*(Inputs!$C$49+Inputs!$C$50)))+Inputs!$C$47*0.097)))+0.3*(2*((SIN(((Scenario_Data!W134)*12.9898+(0)*78.233+Inputs!$C$47*37.719))*43758.5453)-INT((SIN(((Scenario_Data!W134)*12.9898+(0)*78.233+Inputs!$C$47*37.719))*43758.5453)))-1)))))/Inputs!$C$21*1000000</f>
        <v/>
      </c>
      <c r="AG134">
        <f>Scenario_Data!T134</f>
        <v/>
      </c>
      <c r="AH134">
        <f>2*(SQRT((Inputs!$C$52+(Scenario_Data!B134))^2+Inputs!$C$52^2-2*(Inputs!$C$52+(Scenario_Data!B134))*Inputs!$C$52*COS(SQRT((Scenario_Data!T134)^2+Inputs!$C$6^2)/Inputs!$C$52))*1000)/Inputs!$C$21*1000000</f>
        <v/>
      </c>
      <c r="AI134">
        <f>Scenario_Data!U134</f>
        <v/>
      </c>
      <c r="AJ134">
        <f>2*(SQRT((Inputs!$C$52+(Scenario_Data!C134))^2+Inputs!$C$52^2-2*(Inputs!$C$52+(Scenario_Data!C134))*Inputs!$C$52*COS(SQRT((Scenario_Data!U134)^2+Inputs!$C$6^2)/Inputs!$C$52))*1000)/Inputs!$C$21*1000000</f>
        <v/>
      </c>
      <c r="AK134">
        <f>Scenario_Data!V134</f>
        <v/>
      </c>
      <c r="AL134">
        <f>2*(SQRT((Inputs!$C$52+(Scenario_Data!D134))^2+Inputs!$C$52^2-2*(Inputs!$C$52+(Scenario_Data!D134))*Inputs!$C$52*COS(SQRT((Scenario_Data!V134)^2+Inputs!$C$6^2)/Inputs!$C$52))*1000)/Inputs!$C$21*1000000</f>
        <v/>
      </c>
      <c r="AM134">
        <f>Scenario_Data!W134</f>
        <v/>
      </c>
      <c r="AN134">
        <f>2*(SQRT((Inputs!$C$52+(Scenario_Data!E134))^2+Inputs!$C$52^2-2*(Inputs!$C$52+(Scenario_Data!E134))*Inputs!$C$52*COS(SQRT((Scenario_Data!W134)^2+Inputs!$C$6^2)/Inputs!$C$52))*1000)/Inputs!$C$21*1000000</f>
        <v/>
      </c>
      <c r="AP134">
        <f>Scenario_Data!T134</f>
        <v/>
      </c>
      <c r="AQ134">
        <f>2*(SQRT((Inputs!$C$52+(Scenario_Data!B134))^2+(Inputs!$C$52+((IF(OR(Inputs!$C$27=TRUE,Inputs!$C$27="TRUE",Inputs!$C$27=1),1,0)*(Inputs!$C$51*(115*EXP(-(((Inputs!$C$6)-25)^2)/(4.5^2))+70*EXP(-(((Inputs!$C$6)+38)^2)/(7^2))*(0.55+0.45*SIN(2*PI()*(Scenario_Data!T134)/45))+24*SIN(2*PI()*(Inputs!$C$6)/9+(Scenario_Data!T134)/18)*EXP(-(((Inputs!$C$6)+5)^2)/(22^2))+18*SIN(2*PI()*(Scenario_Data!T134)/70))+Inputs!$C$28*EXP(-(((Scenario_Data!T134)-Inputs!$C$29)^2)/(2*Inputs!$C$31^2))*EXP(-(((Inputs!$C$6)-Inputs!$C$30)^2)/(2*Inputs!$C$32^2))+-Inputs!$C$33*EXP(-(((((Scenario_Data!T134)-Inputs!$C$34)^2)+(((Inputs!$C$6)-Inputs!$C$35)^2))/(2*Inputs!$C$36^2)))+Inputs!$C$37*(0.55*SIN(2*PI()*(Scenario_Data!T134)/Inputs!$C$39)+0.35*COS(2*PI()*(Inputs!$C$6)/Inputs!$C$40)+0.2*SIN(2*PI()*((Scenario_Data!T134)+(Inputs!$C$6))/(0.5*(Inputs!$C$39+Inputs!$C$40))))+Inputs!$C$38*SIN(2*PI()*(Scenario_Data!T134)/Inputs!$C$39)*SIN(2*PI()*(Inputs!$C$6)/Inputs!$C$40)+-Inputs!$C$41*EXP(-(((Inputs!$C$6)-Inputs!$C$43)^2)/(2*Inputs!$C$44^2))*EXP(-(((Scenario_Data!T134)-Inputs!$C$42)^2)/(2*Inputs!$C$45^2))+Inputs!$C$48*(0.7*(0.45*SIN(2*PI()*(((Scenario_Data!T134)/Inputs!$C$49)+Inputs!$C$47*0.137))+0.35*COS(2*PI()*(((Inputs!$C$6)/Inputs!$C$50)+Inputs!$C$47*0.173))+0.2*SIN(2*PI()*((((Scenario_Data!T134)+(Inputs!$C$6))/(0.5*(Inputs!$C$49+Inputs!$C$50)))+Inputs!$C$47*0.097)))+0.3*(2*((SIN(((Scenario_Data!T134)*12.9898+(Inputs!$C$6)*78.233+Inputs!$C$47*37.719))*43758.5453)-INT((SIN(((Scenario_Data!T134)*12.9898+(Inputs!$C$6)*78.233+Inputs!$C$47*37.719))*43758.5453)))-1))))/1000))^2-2*(Inputs!$C$52+(Scenario_Data!B134))*(Inputs!$C$52+((IF(OR(Inputs!$C$27=TRUE,Inputs!$C$27="TRUE",Inputs!$C$27=1),1,0)*(Inputs!$C$51*(115*EXP(-(((Inputs!$C$6)-25)^2)/(4.5^2))+70*EXP(-(((Inputs!$C$6)+38)^2)/(7^2))*(0.55+0.45*SIN(2*PI()*(Scenario_Data!T134)/45))+24*SIN(2*PI()*(Inputs!$C$6)/9+(Scenario_Data!T134)/18)*EXP(-(((Inputs!$C$6)+5)^2)/(22^2))+18*SIN(2*PI()*(Scenario_Data!T134)/70))+Inputs!$C$28*EXP(-(((Scenario_Data!T134)-Inputs!$C$29)^2)/(2*Inputs!$C$31^2))*EXP(-(((Inputs!$C$6)-Inputs!$C$30)^2)/(2*Inputs!$C$32^2))+-Inputs!$C$33*EXP(-(((((Scenario_Data!T134)-Inputs!$C$34)^2)+(((Inputs!$C$6)-Inputs!$C$35)^2))/(2*Inputs!$C$36^2)))+Inputs!$C$37*(0.55*SIN(2*PI()*(Scenario_Data!T134)/Inputs!$C$39)+0.35*COS(2*PI()*(Inputs!$C$6)/Inputs!$C$40)+0.2*SIN(2*PI()*((Scenario_Data!T134)+(Inputs!$C$6))/(0.5*(Inputs!$C$39+Inputs!$C$40))))+Inputs!$C$38*SIN(2*PI()*(Scenario_Data!T134)/Inputs!$C$39)*SIN(2*PI()*(Inputs!$C$6)/Inputs!$C$40)+-Inputs!$C$41*EXP(-(((Inputs!$C$6)-Inputs!$C$43)^2)/(2*Inputs!$C$44^2))*EXP(-(((Scenario_Data!T134)-Inputs!$C$42)^2)/(2*Inputs!$C$45^2))+Inputs!$C$48*(0.7*(0.45*SIN(2*PI()*(((Scenario_Data!T134)/Inputs!$C$49)+Inputs!$C$47*0.137))+0.35*COS(2*PI()*(((Inputs!$C$6)/Inputs!$C$50)+Inputs!$C$47*0.173))+0.2*SIN(2*PI()*((((Scenario_Data!T134)+(Inputs!$C$6))/(0.5*(Inputs!$C$49+Inputs!$C$50)))+Inputs!$C$47*0.097)))+0.3*(2*((SIN(((Scenario_Data!T134)*12.9898+(Inputs!$C$6)*78.233+Inputs!$C$47*37.719))*43758.5453)-INT((SIN(((Scenario_Data!T134)*12.9898+(Inputs!$C$6)*78.233+Inputs!$C$47*37.719))*43758.5453)))-1))))/1000))*COS(SQRT((Scenario_Data!T134)^2+Inputs!$C$6^2)/Inputs!$C$52))*1000)/Inputs!$C$21*1000000</f>
        <v/>
      </c>
      <c r="AR134">
        <f>Scenario_Data!U134</f>
        <v/>
      </c>
      <c r="AS134">
        <f>2*(SQRT((Inputs!$C$52+(Scenario_Data!C134))^2+(Inputs!$C$52+((IF(OR(Inputs!$C$27=TRUE,Inputs!$C$27="TRUE",Inputs!$C$27=1),1,0)*(Inputs!$C$51*(115*EXP(-(((Inputs!$C$6)-25)^2)/(4.5^2))+70*EXP(-(((Inputs!$C$6)+38)^2)/(7^2))*(0.55+0.45*SIN(2*PI()*(Scenario_Data!U134)/45))+24*SIN(2*PI()*(Inputs!$C$6)/9+(Scenario_Data!U134)/18)*EXP(-(((Inputs!$C$6)+5)^2)/(22^2))+18*SIN(2*PI()*(Scenario_Data!U134)/70))+Inputs!$C$28*EXP(-(((Scenario_Data!U134)-Inputs!$C$29)^2)/(2*Inputs!$C$31^2))*EXP(-(((Inputs!$C$6)-Inputs!$C$30)^2)/(2*Inputs!$C$32^2))+-Inputs!$C$33*EXP(-(((((Scenario_Data!U134)-Inputs!$C$34)^2)+(((Inputs!$C$6)-Inputs!$C$35)^2))/(2*Inputs!$C$36^2)))+Inputs!$C$37*(0.55*SIN(2*PI()*(Scenario_Data!U134)/Inputs!$C$39)+0.35*COS(2*PI()*(Inputs!$C$6)/Inputs!$C$40)+0.2*SIN(2*PI()*((Scenario_Data!U134)+(Inputs!$C$6))/(0.5*(Inputs!$C$39+Inputs!$C$40))))+Inputs!$C$38*SIN(2*PI()*(Scenario_Data!U134)/Inputs!$C$39)*SIN(2*PI()*(Inputs!$C$6)/Inputs!$C$40)+-Inputs!$C$41*EXP(-(((Inputs!$C$6)-Inputs!$C$43)^2)/(2*Inputs!$C$44^2))*EXP(-(((Scenario_Data!U134)-Inputs!$C$42)^2)/(2*Inputs!$C$45^2))+Inputs!$C$48*(0.7*(0.45*SIN(2*PI()*(((Scenario_Data!U134)/Inputs!$C$49)+Inputs!$C$47*0.137))+0.35*COS(2*PI()*(((Inputs!$C$6)/Inputs!$C$50)+Inputs!$C$47*0.173))+0.2*SIN(2*PI()*((((Scenario_Data!U134)+(Inputs!$C$6))/(0.5*(Inputs!$C$49+Inputs!$C$50)))+Inputs!$C$47*0.097)))+0.3*(2*((SIN(((Scenario_Data!U134)*12.9898+(Inputs!$C$6)*78.233+Inputs!$C$47*37.719))*43758.5453)-INT((SIN(((Scenario_Data!U134)*12.9898+(Inputs!$C$6)*78.233+Inputs!$C$47*37.719))*43758.5453)))-1))))/1000))^2-2*(Inputs!$C$52+(Scenario_Data!C134))*(Inputs!$C$52+((IF(OR(Inputs!$C$27=TRUE,Inputs!$C$27="TRUE",Inputs!$C$27=1),1,0)*(Inputs!$C$51*(115*EXP(-(((Inputs!$C$6)-25)^2)/(4.5^2))+70*EXP(-(((Inputs!$C$6)+38)^2)/(7^2))*(0.55+0.45*SIN(2*PI()*(Scenario_Data!U134)/45))+24*SIN(2*PI()*(Inputs!$C$6)/9+(Scenario_Data!U134)/18)*EXP(-(((Inputs!$C$6)+5)^2)/(22^2))+18*SIN(2*PI()*(Scenario_Data!U134)/70))+Inputs!$C$28*EXP(-(((Scenario_Data!U134)-Inputs!$C$29)^2)/(2*Inputs!$C$31^2))*EXP(-(((Inputs!$C$6)-Inputs!$C$30)^2)/(2*Inputs!$C$32^2))+-Inputs!$C$33*EXP(-(((((Scenario_Data!U134)-Inputs!$C$34)^2)+(((Inputs!$C$6)-Inputs!$C$35)^2))/(2*Inputs!$C$36^2)))+Inputs!$C$37*(0.55*SIN(2*PI()*(Scenario_Data!U134)/Inputs!$C$39)+0.35*COS(2*PI()*(Inputs!$C$6)/Inputs!$C$40)+0.2*SIN(2*PI()*((Scenario_Data!U134)+(Inputs!$C$6))/(0.5*(Inputs!$C$39+Inputs!$C$40))))+Inputs!$C$38*SIN(2*PI()*(Scenario_Data!U134)/Inputs!$C$39)*SIN(2*PI()*(Inputs!$C$6)/Inputs!$C$40)+-Inputs!$C$41*EXP(-(((Inputs!$C$6)-Inputs!$C$43)^2)/(2*Inputs!$C$44^2))*EXP(-(((Scenario_Data!U134)-Inputs!$C$42)^2)/(2*Inputs!$C$45^2))+Inputs!$C$48*(0.7*(0.45*SIN(2*PI()*(((Scenario_Data!U134)/Inputs!$C$49)+Inputs!$C$47*0.137))+0.35*COS(2*PI()*(((Inputs!$C$6)/Inputs!$C$50)+Inputs!$C$47*0.173))+0.2*SIN(2*PI()*((((Scenario_Data!U134)+(Inputs!$C$6))/(0.5*(Inputs!$C$49+Inputs!$C$50)))+Inputs!$C$47*0.097)))+0.3*(2*((SIN(((Scenario_Data!U134)*12.9898+(Inputs!$C$6)*78.233+Inputs!$C$47*37.719))*43758.5453)-INT((SIN(((Scenario_Data!U134)*12.9898+(Inputs!$C$6)*78.233+Inputs!$C$47*37.719))*43758.5453)))-1))))/1000))*COS(SQRT((Scenario_Data!U134)^2+Inputs!$C$6^2)/Inputs!$C$52))*1000)/Inputs!$C$21*1000000</f>
        <v/>
      </c>
      <c r="AT134">
        <f>Scenario_Data!V134</f>
        <v/>
      </c>
      <c r="AU134">
        <f>2*(SQRT((Inputs!$C$52+(Scenario_Data!D134))^2+(Inputs!$C$52+((IF(OR(Inputs!$C$27=TRUE,Inputs!$C$27="TRUE",Inputs!$C$27=1),1,0)*(Inputs!$C$51*(115*EXP(-(((Inputs!$C$6)-25)^2)/(4.5^2))+70*EXP(-(((Inputs!$C$6)+38)^2)/(7^2))*(0.55+0.45*SIN(2*PI()*(Scenario_Data!V134)/45))+24*SIN(2*PI()*(Inputs!$C$6)/9+(Scenario_Data!V134)/18)*EXP(-(((Inputs!$C$6)+5)^2)/(22^2))+18*SIN(2*PI()*(Scenario_Data!V134)/70))+Inputs!$C$28*EXP(-(((Scenario_Data!V134)-Inputs!$C$29)^2)/(2*Inputs!$C$31^2))*EXP(-(((Inputs!$C$6)-Inputs!$C$30)^2)/(2*Inputs!$C$32^2))+-Inputs!$C$33*EXP(-(((((Scenario_Data!V134)-Inputs!$C$34)^2)+(((Inputs!$C$6)-Inputs!$C$35)^2))/(2*Inputs!$C$36^2)))+Inputs!$C$37*(0.55*SIN(2*PI()*(Scenario_Data!V134)/Inputs!$C$39)+0.35*COS(2*PI()*(Inputs!$C$6)/Inputs!$C$40)+0.2*SIN(2*PI()*((Scenario_Data!V134)+(Inputs!$C$6))/(0.5*(Inputs!$C$39+Inputs!$C$40))))+Inputs!$C$38*SIN(2*PI()*(Scenario_Data!V134)/Inputs!$C$39)*SIN(2*PI()*(Inputs!$C$6)/Inputs!$C$40)+-Inputs!$C$41*EXP(-(((Inputs!$C$6)-Inputs!$C$43)^2)/(2*Inputs!$C$44^2))*EXP(-(((Scenario_Data!V134)-Inputs!$C$42)^2)/(2*Inputs!$C$45^2))+Inputs!$C$48*(0.7*(0.45*SIN(2*PI()*(((Scenario_Data!V134)/Inputs!$C$49)+Inputs!$C$47*0.137))+0.35*COS(2*PI()*(((Inputs!$C$6)/Inputs!$C$50)+Inputs!$C$47*0.173))+0.2*SIN(2*PI()*((((Scenario_Data!V134)+(Inputs!$C$6))/(0.5*(Inputs!$C$49+Inputs!$C$50)))+Inputs!$C$47*0.097)))+0.3*(2*((SIN(((Scenario_Data!V134)*12.9898+(Inputs!$C$6)*78.233+Inputs!$C$47*37.719))*43758.5453)-INT((SIN(((Scenario_Data!V134)*12.9898+(Inputs!$C$6)*78.233+Inputs!$C$47*37.719))*43758.5453)))-1))))/1000))^2-2*(Inputs!$C$52+(Scenario_Data!D134))*(Inputs!$C$52+((IF(OR(Inputs!$C$27=TRUE,Inputs!$C$27="TRUE",Inputs!$C$27=1),1,0)*(Inputs!$C$51*(115*EXP(-(((Inputs!$C$6)-25)^2)/(4.5^2))+70*EXP(-(((Inputs!$C$6)+38)^2)/(7^2))*(0.55+0.45*SIN(2*PI()*(Scenario_Data!V134)/45))+24*SIN(2*PI()*(Inputs!$C$6)/9+(Scenario_Data!V134)/18)*EXP(-(((Inputs!$C$6)+5)^2)/(22^2))+18*SIN(2*PI()*(Scenario_Data!V134)/70))+Inputs!$C$28*EXP(-(((Scenario_Data!V134)-Inputs!$C$29)^2)/(2*Inputs!$C$31^2))*EXP(-(((Inputs!$C$6)-Inputs!$C$30)^2)/(2*Inputs!$C$32^2))+-Inputs!$C$33*EXP(-(((((Scenario_Data!V134)-Inputs!$C$34)^2)+(((Inputs!$C$6)-Inputs!$C$35)^2))/(2*Inputs!$C$36^2)))+Inputs!$C$37*(0.55*SIN(2*PI()*(Scenario_Data!V134)/Inputs!$C$39)+0.35*COS(2*PI()*(Inputs!$C$6)/Inputs!$C$40)+0.2*SIN(2*PI()*((Scenario_Data!V134)+(Inputs!$C$6))/(0.5*(Inputs!$C$39+Inputs!$C$40))))+Inputs!$C$38*SIN(2*PI()*(Scenario_Data!V134)/Inputs!$C$39)*SIN(2*PI()*(Inputs!$C$6)/Inputs!$C$40)+-Inputs!$C$41*EXP(-(((Inputs!$C$6)-Inputs!$C$43)^2)/(2*Inputs!$C$44^2))*EXP(-(((Scenario_Data!V134)-Inputs!$C$42)^2)/(2*Inputs!$C$45^2))+Inputs!$C$48*(0.7*(0.45*SIN(2*PI()*(((Scenario_Data!V134)/Inputs!$C$49)+Inputs!$C$47*0.137))+0.35*COS(2*PI()*(((Inputs!$C$6)/Inputs!$C$50)+Inputs!$C$47*0.173))+0.2*SIN(2*PI()*((((Scenario_Data!V134)+(Inputs!$C$6))/(0.5*(Inputs!$C$49+Inputs!$C$50)))+Inputs!$C$47*0.097)))+0.3*(2*((SIN(((Scenario_Data!V134)*12.9898+(Inputs!$C$6)*78.233+Inputs!$C$47*37.719))*43758.5453)-INT((SIN(((Scenario_Data!V134)*12.9898+(Inputs!$C$6)*78.233+Inputs!$C$47*37.719))*43758.5453)))-1))))/1000))*COS(SQRT((Scenario_Data!V134)^2+Inputs!$C$6^2)/Inputs!$C$52))*1000)/Inputs!$C$21*1000000</f>
        <v/>
      </c>
      <c r="AV134">
        <f>Scenario_Data!W134</f>
        <v/>
      </c>
      <c r="AW134">
        <f>2*(SQRT((Inputs!$C$52+(Scenario_Data!E134))^2+(Inputs!$C$52+((IF(OR(Inputs!$C$27=TRUE,Inputs!$C$27="TRUE",Inputs!$C$27=1),1,0)*(Inputs!$C$51*(115*EXP(-(((Inputs!$C$6)-25)^2)/(4.5^2))+70*EXP(-(((Inputs!$C$6)+38)^2)/(7^2))*(0.55+0.45*SIN(2*PI()*(Scenario_Data!W134)/45))+24*SIN(2*PI()*(Inputs!$C$6)/9+(Scenario_Data!W134)/18)*EXP(-(((Inputs!$C$6)+5)^2)/(22^2))+18*SIN(2*PI()*(Scenario_Data!W134)/70))+Inputs!$C$28*EXP(-(((Scenario_Data!W134)-Inputs!$C$29)^2)/(2*Inputs!$C$31^2))*EXP(-(((Inputs!$C$6)-Inputs!$C$30)^2)/(2*Inputs!$C$32^2))+-Inputs!$C$33*EXP(-(((((Scenario_Data!W134)-Inputs!$C$34)^2)+(((Inputs!$C$6)-Inputs!$C$35)^2))/(2*Inputs!$C$36^2)))+Inputs!$C$37*(0.55*SIN(2*PI()*(Scenario_Data!W134)/Inputs!$C$39)+0.35*COS(2*PI()*(Inputs!$C$6)/Inputs!$C$40)+0.2*SIN(2*PI()*((Scenario_Data!W134)+(Inputs!$C$6))/(0.5*(Inputs!$C$39+Inputs!$C$40))))+Inputs!$C$38*SIN(2*PI()*(Scenario_Data!W134)/Inputs!$C$39)*SIN(2*PI()*(Inputs!$C$6)/Inputs!$C$40)+-Inputs!$C$41*EXP(-(((Inputs!$C$6)-Inputs!$C$43)^2)/(2*Inputs!$C$44^2))*EXP(-(((Scenario_Data!W134)-Inputs!$C$42)^2)/(2*Inputs!$C$45^2))+Inputs!$C$48*(0.7*(0.45*SIN(2*PI()*(((Scenario_Data!W134)/Inputs!$C$49)+Inputs!$C$47*0.137))+0.35*COS(2*PI()*(((Inputs!$C$6)/Inputs!$C$50)+Inputs!$C$47*0.173))+0.2*SIN(2*PI()*((((Scenario_Data!W134)+(Inputs!$C$6))/(0.5*(Inputs!$C$49+Inputs!$C$50)))+Inputs!$C$47*0.097)))+0.3*(2*((SIN(((Scenario_Data!W134)*12.9898+(Inputs!$C$6)*78.233+Inputs!$C$47*37.719))*43758.5453)-INT((SIN(((Scenario_Data!W134)*12.9898+(Inputs!$C$6)*78.233+Inputs!$C$47*37.719))*43758.5453)))-1))))/1000))^2-2*(Inputs!$C$52+(Scenario_Data!E134))*(Inputs!$C$52+((IF(OR(Inputs!$C$27=TRUE,Inputs!$C$27="TRUE",Inputs!$C$27=1),1,0)*(Inputs!$C$51*(115*EXP(-(((Inputs!$C$6)-25)^2)/(4.5^2))+70*EXP(-(((Inputs!$C$6)+38)^2)/(7^2))*(0.55+0.45*SIN(2*PI()*(Scenario_Data!W134)/45))+24*SIN(2*PI()*(Inputs!$C$6)/9+(Scenario_Data!W134)/18)*EXP(-(((Inputs!$C$6)+5)^2)/(22^2))+18*SIN(2*PI()*(Scenario_Data!W134)/70))+Inputs!$C$28*EXP(-(((Scenario_Data!W134)-Inputs!$C$29)^2)/(2*Inputs!$C$31^2))*EXP(-(((Inputs!$C$6)-Inputs!$C$30)^2)/(2*Inputs!$C$32^2))+-Inputs!$C$33*EXP(-(((((Scenario_Data!W134)-Inputs!$C$34)^2)+(((Inputs!$C$6)-Inputs!$C$35)^2))/(2*Inputs!$C$36^2)))+Inputs!$C$37*(0.55*SIN(2*PI()*(Scenario_Data!W134)/Inputs!$C$39)+0.35*COS(2*PI()*(Inputs!$C$6)/Inputs!$C$40)+0.2*SIN(2*PI()*((Scenario_Data!W134)+(Inputs!$C$6))/(0.5*(Inputs!$C$39+Inputs!$C$40))))+Inputs!$C$38*SIN(2*PI()*(Scenario_Data!W134)/Inputs!$C$39)*SIN(2*PI()*(Inputs!$C$6)/Inputs!$C$40)+-Inputs!$C$41*EXP(-(((Inputs!$C$6)-Inputs!$C$43)^2)/(2*Inputs!$C$44^2))*EXP(-(((Scenario_Data!W134)-Inputs!$C$42)^2)/(2*Inputs!$C$45^2))+Inputs!$C$48*(0.7*(0.45*SIN(2*PI()*(((Scenario_Data!W134)/Inputs!$C$49)+Inputs!$C$47*0.137))+0.35*COS(2*PI()*(((Inputs!$C$6)/Inputs!$C$50)+Inputs!$C$47*0.173))+0.2*SIN(2*PI()*((((Scenario_Data!W134)+(Inputs!$C$6))/(0.5*(Inputs!$C$49+Inputs!$C$50)))+Inputs!$C$47*0.097)))+0.3*(2*((SIN(((Scenario_Data!W134)*12.9898+(Inputs!$C$6)*78.233+Inputs!$C$47*37.719))*43758.5453)-INT((SIN(((Scenario_Data!W134)*12.9898+(Inputs!$C$6)*78.233+Inputs!$C$47*37.719))*43758.5453)))-1))))/1000))*COS(SQRT((Scenario_Data!W134)^2+Inputs!$C$6^2)/Inputs!$C$52))*1000)/Inputs!$C$21*1000000</f>
        <v/>
      </c>
    </row>
    <row r="135">
      <c r="A135">
        <f>Chart_Data!K135</f>
        <v/>
      </c>
      <c r="B135">
        <f>Chart_Data!N135-Chart_Data!L135</f>
        <v/>
      </c>
      <c r="D135">
        <f>Chart_Data!G135</f>
        <v/>
      </c>
      <c r="E135">
        <f>Chart_Data!H135</f>
        <v/>
      </c>
      <c r="F135">
        <f>Chart_Data!I135</f>
        <v/>
      </c>
      <c r="G135">
        <f>Chart_Data!J135</f>
        <v/>
      </c>
      <c r="I135">
        <f>Scenario_Data!A135</f>
        <v/>
      </c>
      <c r="J135">
        <f>Scenario_Data!H135-(((SQRT((Inputs!$C$52+(Inputs!$H$6))^2+Inputs!$C$52^2-2*(Inputs!$C$52+(Inputs!$H$6))*Inputs!$C$52*COS(SQRT((Scenario_Data!T135)^2+Inputs!$C$6^2)/Inputs!$C$52)))-(Inputs!$H$6))*1000/Inputs!$C$12)</f>
        <v/>
      </c>
      <c r="K135">
        <f>Scenario_Data!I135-(((SQRT((Inputs!$C$52+(Inputs!$H$7))^2+Inputs!$C$52^2-2*(Inputs!$C$52+(Inputs!$H$7))*Inputs!$C$52*COS(SQRT((Scenario_Data!U135)^2+Inputs!$C$6^2)/Inputs!$C$52)))-(Inputs!$H$7))*1000/Inputs!$C$12)</f>
        <v/>
      </c>
      <c r="L135">
        <f>Scenario_Data!J135-(((SQRT((Inputs!$C$52+(Inputs!$H$8))^2+Inputs!$C$52^2-2*(Inputs!$C$52+(Inputs!$H$8))*Inputs!$C$52*COS(SQRT((Scenario_Data!V135)^2+Inputs!$C$6^2)/Inputs!$C$52)))-(Inputs!$H$8))*1000/Inputs!$C$12)</f>
        <v/>
      </c>
      <c r="M135">
        <f>Scenario_Data!K135-(((SQRT((Inputs!$C$52+(Inputs!$H$9))^2+Inputs!$C$52^2-2*(Inputs!$C$52+(Inputs!$H$9))*Inputs!$C$52*COS(SQRT((Scenario_Data!W135)^2+Inputs!$C$6^2)/Inputs!$C$52)))-(Inputs!$H$9))*1000/Inputs!$C$12)</f>
        <v/>
      </c>
      <c r="O135">
        <f>Scenario_Data!T135</f>
        <v/>
      </c>
      <c r="P135">
        <f>2*(Scenario_Data!B135*1000)/Inputs!$C$21*1000000</f>
        <v/>
      </c>
      <c r="Q135">
        <f>Scenario_Data!U135</f>
        <v/>
      </c>
      <c r="R135">
        <f>2*(Scenario_Data!C135*1000)/Inputs!$C$21*1000000</f>
        <v/>
      </c>
      <c r="S135">
        <f>Scenario_Data!V135</f>
        <v/>
      </c>
      <c r="T135">
        <f>2*(Scenario_Data!D135*1000)/Inputs!$C$21*1000000</f>
        <v/>
      </c>
      <c r="U135">
        <f>Scenario_Data!W135</f>
        <v/>
      </c>
      <c r="V135">
        <f>2*(Scenario_Data!E135*1000)/Inputs!$C$21*1000000</f>
        <v/>
      </c>
      <c r="X135">
        <f>Scenario_Data!T135</f>
        <v/>
      </c>
      <c r="Y135">
        <f>2*((Scenario_Data!B135*1000)-(IF(OR(Inputs!$C$27=TRUE,Inputs!$C$27="TRUE",Inputs!$C$27=1),1,0)*(Inputs!$C$51*(115*EXP(-(((0)-25)^2)/(4.5^2))+70*EXP(-(((0)+38)^2)/(7^2))*(0.55+0.45*SIN(2*PI()*(Scenario_Data!T135)/45))+24*SIN(2*PI()*(0)/9+(Scenario_Data!T135)/18)*EXP(-(((0)+5)^2)/(22^2))+18*SIN(2*PI()*(Scenario_Data!T135)/70))+Inputs!$C$28*EXP(-(((Scenario_Data!T135)-Inputs!$C$29)^2)/(2*Inputs!$C$31^2))*EXP(-(((0)-Inputs!$C$30)^2)/(2*Inputs!$C$32^2))+-Inputs!$C$33*EXP(-(((((Scenario_Data!T135)-Inputs!$C$34)^2)+(((0)-Inputs!$C$35)^2))/(2*Inputs!$C$36^2)))+Inputs!$C$37*(0.55*SIN(2*PI()*(Scenario_Data!T135)/Inputs!$C$39)+0.35*COS(2*PI()*(0)/Inputs!$C$40)+0.2*SIN(2*PI()*((Scenario_Data!T135)+(0))/(0.5*(Inputs!$C$39+Inputs!$C$40))))+Inputs!$C$38*SIN(2*PI()*(Scenario_Data!T135)/Inputs!$C$39)*SIN(2*PI()*(0)/Inputs!$C$40)+-Inputs!$C$41*EXP(-(((0)-Inputs!$C$43)^2)/(2*Inputs!$C$44^2))*EXP(-(((Scenario_Data!T135)-Inputs!$C$42)^2)/(2*Inputs!$C$45^2))+Inputs!$C$48*(0.7*(0.45*SIN(2*PI()*(((Scenario_Data!T135)/Inputs!$C$49)+Inputs!$C$47*0.137))+0.35*COS(2*PI()*(((0)/Inputs!$C$50)+Inputs!$C$47*0.173))+0.2*SIN(2*PI()*((((Scenario_Data!T135)+(0))/(0.5*(Inputs!$C$49+Inputs!$C$50)))+Inputs!$C$47*0.097)))+0.3*(2*((SIN(((Scenario_Data!T135)*12.9898+(0)*78.233+Inputs!$C$47*37.719))*43758.5453)-INT((SIN(((Scenario_Data!T135)*12.9898+(0)*78.233+Inputs!$C$47*37.719))*43758.5453)))-1)))))/Inputs!$C$21*1000000</f>
        <v/>
      </c>
      <c r="Z135">
        <f>Scenario_Data!U135</f>
        <v/>
      </c>
      <c r="AA135">
        <f>2*((Scenario_Data!C135*1000)-(IF(OR(Inputs!$C$27=TRUE,Inputs!$C$27="TRUE",Inputs!$C$27=1),1,0)*(Inputs!$C$51*(115*EXP(-(((0)-25)^2)/(4.5^2))+70*EXP(-(((0)+38)^2)/(7^2))*(0.55+0.45*SIN(2*PI()*(Scenario_Data!U135)/45))+24*SIN(2*PI()*(0)/9+(Scenario_Data!U135)/18)*EXP(-(((0)+5)^2)/(22^2))+18*SIN(2*PI()*(Scenario_Data!U135)/70))+Inputs!$C$28*EXP(-(((Scenario_Data!U135)-Inputs!$C$29)^2)/(2*Inputs!$C$31^2))*EXP(-(((0)-Inputs!$C$30)^2)/(2*Inputs!$C$32^2))+-Inputs!$C$33*EXP(-(((((Scenario_Data!U135)-Inputs!$C$34)^2)+(((0)-Inputs!$C$35)^2))/(2*Inputs!$C$36^2)))+Inputs!$C$37*(0.55*SIN(2*PI()*(Scenario_Data!U135)/Inputs!$C$39)+0.35*COS(2*PI()*(0)/Inputs!$C$40)+0.2*SIN(2*PI()*((Scenario_Data!U135)+(0))/(0.5*(Inputs!$C$39+Inputs!$C$40))))+Inputs!$C$38*SIN(2*PI()*(Scenario_Data!U135)/Inputs!$C$39)*SIN(2*PI()*(0)/Inputs!$C$40)+-Inputs!$C$41*EXP(-(((0)-Inputs!$C$43)^2)/(2*Inputs!$C$44^2))*EXP(-(((Scenario_Data!U135)-Inputs!$C$42)^2)/(2*Inputs!$C$45^2))+Inputs!$C$48*(0.7*(0.45*SIN(2*PI()*(((Scenario_Data!U135)/Inputs!$C$49)+Inputs!$C$47*0.137))+0.35*COS(2*PI()*(((0)/Inputs!$C$50)+Inputs!$C$47*0.173))+0.2*SIN(2*PI()*((((Scenario_Data!U135)+(0))/(0.5*(Inputs!$C$49+Inputs!$C$50)))+Inputs!$C$47*0.097)))+0.3*(2*((SIN(((Scenario_Data!U135)*12.9898+(0)*78.233+Inputs!$C$47*37.719))*43758.5453)-INT((SIN(((Scenario_Data!U135)*12.9898+(0)*78.233+Inputs!$C$47*37.719))*43758.5453)))-1)))))/Inputs!$C$21*1000000</f>
        <v/>
      </c>
      <c r="AB135">
        <f>Scenario_Data!V135</f>
        <v/>
      </c>
      <c r="AC135">
        <f>2*((Scenario_Data!D135*1000)-(IF(OR(Inputs!$C$27=TRUE,Inputs!$C$27="TRUE",Inputs!$C$27=1),1,0)*(Inputs!$C$51*(115*EXP(-(((0)-25)^2)/(4.5^2))+70*EXP(-(((0)+38)^2)/(7^2))*(0.55+0.45*SIN(2*PI()*(Scenario_Data!V135)/45))+24*SIN(2*PI()*(0)/9+(Scenario_Data!V135)/18)*EXP(-(((0)+5)^2)/(22^2))+18*SIN(2*PI()*(Scenario_Data!V135)/70))+Inputs!$C$28*EXP(-(((Scenario_Data!V135)-Inputs!$C$29)^2)/(2*Inputs!$C$31^2))*EXP(-(((0)-Inputs!$C$30)^2)/(2*Inputs!$C$32^2))+-Inputs!$C$33*EXP(-(((((Scenario_Data!V135)-Inputs!$C$34)^2)+(((0)-Inputs!$C$35)^2))/(2*Inputs!$C$36^2)))+Inputs!$C$37*(0.55*SIN(2*PI()*(Scenario_Data!V135)/Inputs!$C$39)+0.35*COS(2*PI()*(0)/Inputs!$C$40)+0.2*SIN(2*PI()*((Scenario_Data!V135)+(0))/(0.5*(Inputs!$C$39+Inputs!$C$40))))+Inputs!$C$38*SIN(2*PI()*(Scenario_Data!V135)/Inputs!$C$39)*SIN(2*PI()*(0)/Inputs!$C$40)+-Inputs!$C$41*EXP(-(((0)-Inputs!$C$43)^2)/(2*Inputs!$C$44^2))*EXP(-(((Scenario_Data!V135)-Inputs!$C$42)^2)/(2*Inputs!$C$45^2))+Inputs!$C$48*(0.7*(0.45*SIN(2*PI()*(((Scenario_Data!V135)/Inputs!$C$49)+Inputs!$C$47*0.137))+0.35*COS(2*PI()*(((0)/Inputs!$C$50)+Inputs!$C$47*0.173))+0.2*SIN(2*PI()*((((Scenario_Data!V135)+(0))/(0.5*(Inputs!$C$49+Inputs!$C$50)))+Inputs!$C$47*0.097)))+0.3*(2*((SIN(((Scenario_Data!V135)*12.9898+(0)*78.233+Inputs!$C$47*37.719))*43758.5453)-INT((SIN(((Scenario_Data!V135)*12.9898+(0)*78.233+Inputs!$C$47*37.719))*43758.5453)))-1)))))/Inputs!$C$21*1000000</f>
        <v/>
      </c>
      <c r="AD135">
        <f>Scenario_Data!W135</f>
        <v/>
      </c>
      <c r="AE135">
        <f>2*((Scenario_Data!E135*1000)-(IF(OR(Inputs!$C$27=TRUE,Inputs!$C$27="TRUE",Inputs!$C$27=1),1,0)*(Inputs!$C$51*(115*EXP(-(((0)-25)^2)/(4.5^2))+70*EXP(-(((0)+38)^2)/(7^2))*(0.55+0.45*SIN(2*PI()*(Scenario_Data!W135)/45))+24*SIN(2*PI()*(0)/9+(Scenario_Data!W135)/18)*EXP(-(((0)+5)^2)/(22^2))+18*SIN(2*PI()*(Scenario_Data!W135)/70))+Inputs!$C$28*EXP(-(((Scenario_Data!W135)-Inputs!$C$29)^2)/(2*Inputs!$C$31^2))*EXP(-(((0)-Inputs!$C$30)^2)/(2*Inputs!$C$32^2))+-Inputs!$C$33*EXP(-(((((Scenario_Data!W135)-Inputs!$C$34)^2)+(((0)-Inputs!$C$35)^2))/(2*Inputs!$C$36^2)))+Inputs!$C$37*(0.55*SIN(2*PI()*(Scenario_Data!W135)/Inputs!$C$39)+0.35*COS(2*PI()*(0)/Inputs!$C$40)+0.2*SIN(2*PI()*((Scenario_Data!W135)+(0))/(0.5*(Inputs!$C$39+Inputs!$C$40))))+Inputs!$C$38*SIN(2*PI()*(Scenario_Data!W135)/Inputs!$C$39)*SIN(2*PI()*(0)/Inputs!$C$40)+-Inputs!$C$41*EXP(-(((0)-Inputs!$C$43)^2)/(2*Inputs!$C$44^2))*EXP(-(((Scenario_Data!W135)-Inputs!$C$42)^2)/(2*Inputs!$C$45^2))+Inputs!$C$48*(0.7*(0.45*SIN(2*PI()*(((Scenario_Data!W135)/Inputs!$C$49)+Inputs!$C$47*0.137))+0.35*COS(2*PI()*(((0)/Inputs!$C$50)+Inputs!$C$47*0.173))+0.2*SIN(2*PI()*((((Scenario_Data!W135)+(0))/(0.5*(Inputs!$C$49+Inputs!$C$50)))+Inputs!$C$47*0.097)))+0.3*(2*((SIN(((Scenario_Data!W135)*12.9898+(0)*78.233+Inputs!$C$47*37.719))*43758.5453)-INT((SIN(((Scenario_Data!W135)*12.9898+(0)*78.233+Inputs!$C$47*37.719))*43758.5453)))-1)))))/Inputs!$C$21*1000000</f>
        <v/>
      </c>
      <c r="AG135">
        <f>Scenario_Data!T135</f>
        <v/>
      </c>
      <c r="AH135">
        <f>2*(SQRT((Inputs!$C$52+(Scenario_Data!B135))^2+Inputs!$C$52^2-2*(Inputs!$C$52+(Scenario_Data!B135))*Inputs!$C$52*COS(SQRT((Scenario_Data!T135)^2+Inputs!$C$6^2)/Inputs!$C$52))*1000)/Inputs!$C$21*1000000</f>
        <v/>
      </c>
      <c r="AI135">
        <f>Scenario_Data!U135</f>
        <v/>
      </c>
      <c r="AJ135">
        <f>2*(SQRT((Inputs!$C$52+(Scenario_Data!C135))^2+Inputs!$C$52^2-2*(Inputs!$C$52+(Scenario_Data!C135))*Inputs!$C$52*COS(SQRT((Scenario_Data!U135)^2+Inputs!$C$6^2)/Inputs!$C$52))*1000)/Inputs!$C$21*1000000</f>
        <v/>
      </c>
      <c r="AK135">
        <f>Scenario_Data!V135</f>
        <v/>
      </c>
      <c r="AL135">
        <f>2*(SQRT((Inputs!$C$52+(Scenario_Data!D135))^2+Inputs!$C$52^2-2*(Inputs!$C$52+(Scenario_Data!D135))*Inputs!$C$52*COS(SQRT((Scenario_Data!V135)^2+Inputs!$C$6^2)/Inputs!$C$52))*1000)/Inputs!$C$21*1000000</f>
        <v/>
      </c>
      <c r="AM135">
        <f>Scenario_Data!W135</f>
        <v/>
      </c>
      <c r="AN135">
        <f>2*(SQRT((Inputs!$C$52+(Scenario_Data!E135))^2+Inputs!$C$52^2-2*(Inputs!$C$52+(Scenario_Data!E135))*Inputs!$C$52*COS(SQRT((Scenario_Data!W135)^2+Inputs!$C$6^2)/Inputs!$C$52))*1000)/Inputs!$C$21*1000000</f>
        <v/>
      </c>
      <c r="AP135">
        <f>Scenario_Data!T135</f>
        <v/>
      </c>
      <c r="AQ135">
        <f>2*(SQRT((Inputs!$C$52+(Scenario_Data!B135))^2+(Inputs!$C$52+((IF(OR(Inputs!$C$27=TRUE,Inputs!$C$27="TRUE",Inputs!$C$27=1),1,0)*(Inputs!$C$51*(115*EXP(-(((Inputs!$C$6)-25)^2)/(4.5^2))+70*EXP(-(((Inputs!$C$6)+38)^2)/(7^2))*(0.55+0.45*SIN(2*PI()*(Scenario_Data!T135)/45))+24*SIN(2*PI()*(Inputs!$C$6)/9+(Scenario_Data!T135)/18)*EXP(-(((Inputs!$C$6)+5)^2)/(22^2))+18*SIN(2*PI()*(Scenario_Data!T135)/70))+Inputs!$C$28*EXP(-(((Scenario_Data!T135)-Inputs!$C$29)^2)/(2*Inputs!$C$31^2))*EXP(-(((Inputs!$C$6)-Inputs!$C$30)^2)/(2*Inputs!$C$32^2))+-Inputs!$C$33*EXP(-(((((Scenario_Data!T135)-Inputs!$C$34)^2)+(((Inputs!$C$6)-Inputs!$C$35)^2))/(2*Inputs!$C$36^2)))+Inputs!$C$37*(0.55*SIN(2*PI()*(Scenario_Data!T135)/Inputs!$C$39)+0.35*COS(2*PI()*(Inputs!$C$6)/Inputs!$C$40)+0.2*SIN(2*PI()*((Scenario_Data!T135)+(Inputs!$C$6))/(0.5*(Inputs!$C$39+Inputs!$C$40))))+Inputs!$C$38*SIN(2*PI()*(Scenario_Data!T135)/Inputs!$C$39)*SIN(2*PI()*(Inputs!$C$6)/Inputs!$C$40)+-Inputs!$C$41*EXP(-(((Inputs!$C$6)-Inputs!$C$43)^2)/(2*Inputs!$C$44^2))*EXP(-(((Scenario_Data!T135)-Inputs!$C$42)^2)/(2*Inputs!$C$45^2))+Inputs!$C$48*(0.7*(0.45*SIN(2*PI()*(((Scenario_Data!T135)/Inputs!$C$49)+Inputs!$C$47*0.137))+0.35*COS(2*PI()*(((Inputs!$C$6)/Inputs!$C$50)+Inputs!$C$47*0.173))+0.2*SIN(2*PI()*((((Scenario_Data!T135)+(Inputs!$C$6))/(0.5*(Inputs!$C$49+Inputs!$C$50)))+Inputs!$C$47*0.097)))+0.3*(2*((SIN(((Scenario_Data!T135)*12.9898+(Inputs!$C$6)*78.233+Inputs!$C$47*37.719))*43758.5453)-INT((SIN(((Scenario_Data!T135)*12.9898+(Inputs!$C$6)*78.233+Inputs!$C$47*37.719))*43758.5453)))-1))))/1000))^2-2*(Inputs!$C$52+(Scenario_Data!B135))*(Inputs!$C$52+((IF(OR(Inputs!$C$27=TRUE,Inputs!$C$27="TRUE",Inputs!$C$27=1),1,0)*(Inputs!$C$51*(115*EXP(-(((Inputs!$C$6)-25)^2)/(4.5^2))+70*EXP(-(((Inputs!$C$6)+38)^2)/(7^2))*(0.55+0.45*SIN(2*PI()*(Scenario_Data!T135)/45))+24*SIN(2*PI()*(Inputs!$C$6)/9+(Scenario_Data!T135)/18)*EXP(-(((Inputs!$C$6)+5)^2)/(22^2))+18*SIN(2*PI()*(Scenario_Data!T135)/70))+Inputs!$C$28*EXP(-(((Scenario_Data!T135)-Inputs!$C$29)^2)/(2*Inputs!$C$31^2))*EXP(-(((Inputs!$C$6)-Inputs!$C$30)^2)/(2*Inputs!$C$32^2))+-Inputs!$C$33*EXP(-(((((Scenario_Data!T135)-Inputs!$C$34)^2)+(((Inputs!$C$6)-Inputs!$C$35)^2))/(2*Inputs!$C$36^2)))+Inputs!$C$37*(0.55*SIN(2*PI()*(Scenario_Data!T135)/Inputs!$C$39)+0.35*COS(2*PI()*(Inputs!$C$6)/Inputs!$C$40)+0.2*SIN(2*PI()*((Scenario_Data!T135)+(Inputs!$C$6))/(0.5*(Inputs!$C$39+Inputs!$C$40))))+Inputs!$C$38*SIN(2*PI()*(Scenario_Data!T135)/Inputs!$C$39)*SIN(2*PI()*(Inputs!$C$6)/Inputs!$C$40)+-Inputs!$C$41*EXP(-(((Inputs!$C$6)-Inputs!$C$43)^2)/(2*Inputs!$C$44^2))*EXP(-(((Scenario_Data!T135)-Inputs!$C$42)^2)/(2*Inputs!$C$45^2))+Inputs!$C$48*(0.7*(0.45*SIN(2*PI()*(((Scenario_Data!T135)/Inputs!$C$49)+Inputs!$C$47*0.137))+0.35*COS(2*PI()*(((Inputs!$C$6)/Inputs!$C$50)+Inputs!$C$47*0.173))+0.2*SIN(2*PI()*((((Scenario_Data!T135)+(Inputs!$C$6))/(0.5*(Inputs!$C$49+Inputs!$C$50)))+Inputs!$C$47*0.097)))+0.3*(2*((SIN(((Scenario_Data!T135)*12.9898+(Inputs!$C$6)*78.233+Inputs!$C$47*37.719))*43758.5453)-INT((SIN(((Scenario_Data!T135)*12.9898+(Inputs!$C$6)*78.233+Inputs!$C$47*37.719))*43758.5453)))-1))))/1000))*COS(SQRT((Scenario_Data!T135)^2+Inputs!$C$6^2)/Inputs!$C$52))*1000)/Inputs!$C$21*1000000</f>
        <v/>
      </c>
      <c r="AR135">
        <f>Scenario_Data!U135</f>
        <v/>
      </c>
      <c r="AS135">
        <f>2*(SQRT((Inputs!$C$52+(Scenario_Data!C135))^2+(Inputs!$C$52+((IF(OR(Inputs!$C$27=TRUE,Inputs!$C$27="TRUE",Inputs!$C$27=1),1,0)*(Inputs!$C$51*(115*EXP(-(((Inputs!$C$6)-25)^2)/(4.5^2))+70*EXP(-(((Inputs!$C$6)+38)^2)/(7^2))*(0.55+0.45*SIN(2*PI()*(Scenario_Data!U135)/45))+24*SIN(2*PI()*(Inputs!$C$6)/9+(Scenario_Data!U135)/18)*EXP(-(((Inputs!$C$6)+5)^2)/(22^2))+18*SIN(2*PI()*(Scenario_Data!U135)/70))+Inputs!$C$28*EXP(-(((Scenario_Data!U135)-Inputs!$C$29)^2)/(2*Inputs!$C$31^2))*EXP(-(((Inputs!$C$6)-Inputs!$C$30)^2)/(2*Inputs!$C$32^2))+-Inputs!$C$33*EXP(-(((((Scenario_Data!U135)-Inputs!$C$34)^2)+(((Inputs!$C$6)-Inputs!$C$35)^2))/(2*Inputs!$C$36^2)))+Inputs!$C$37*(0.55*SIN(2*PI()*(Scenario_Data!U135)/Inputs!$C$39)+0.35*COS(2*PI()*(Inputs!$C$6)/Inputs!$C$40)+0.2*SIN(2*PI()*((Scenario_Data!U135)+(Inputs!$C$6))/(0.5*(Inputs!$C$39+Inputs!$C$40))))+Inputs!$C$38*SIN(2*PI()*(Scenario_Data!U135)/Inputs!$C$39)*SIN(2*PI()*(Inputs!$C$6)/Inputs!$C$40)+-Inputs!$C$41*EXP(-(((Inputs!$C$6)-Inputs!$C$43)^2)/(2*Inputs!$C$44^2))*EXP(-(((Scenario_Data!U135)-Inputs!$C$42)^2)/(2*Inputs!$C$45^2))+Inputs!$C$48*(0.7*(0.45*SIN(2*PI()*(((Scenario_Data!U135)/Inputs!$C$49)+Inputs!$C$47*0.137))+0.35*COS(2*PI()*(((Inputs!$C$6)/Inputs!$C$50)+Inputs!$C$47*0.173))+0.2*SIN(2*PI()*((((Scenario_Data!U135)+(Inputs!$C$6))/(0.5*(Inputs!$C$49+Inputs!$C$50)))+Inputs!$C$47*0.097)))+0.3*(2*((SIN(((Scenario_Data!U135)*12.9898+(Inputs!$C$6)*78.233+Inputs!$C$47*37.719))*43758.5453)-INT((SIN(((Scenario_Data!U135)*12.9898+(Inputs!$C$6)*78.233+Inputs!$C$47*37.719))*43758.5453)))-1))))/1000))^2-2*(Inputs!$C$52+(Scenario_Data!C135))*(Inputs!$C$52+((IF(OR(Inputs!$C$27=TRUE,Inputs!$C$27="TRUE",Inputs!$C$27=1),1,0)*(Inputs!$C$51*(115*EXP(-(((Inputs!$C$6)-25)^2)/(4.5^2))+70*EXP(-(((Inputs!$C$6)+38)^2)/(7^2))*(0.55+0.45*SIN(2*PI()*(Scenario_Data!U135)/45))+24*SIN(2*PI()*(Inputs!$C$6)/9+(Scenario_Data!U135)/18)*EXP(-(((Inputs!$C$6)+5)^2)/(22^2))+18*SIN(2*PI()*(Scenario_Data!U135)/70))+Inputs!$C$28*EXP(-(((Scenario_Data!U135)-Inputs!$C$29)^2)/(2*Inputs!$C$31^2))*EXP(-(((Inputs!$C$6)-Inputs!$C$30)^2)/(2*Inputs!$C$32^2))+-Inputs!$C$33*EXP(-(((((Scenario_Data!U135)-Inputs!$C$34)^2)+(((Inputs!$C$6)-Inputs!$C$35)^2))/(2*Inputs!$C$36^2)))+Inputs!$C$37*(0.55*SIN(2*PI()*(Scenario_Data!U135)/Inputs!$C$39)+0.35*COS(2*PI()*(Inputs!$C$6)/Inputs!$C$40)+0.2*SIN(2*PI()*((Scenario_Data!U135)+(Inputs!$C$6))/(0.5*(Inputs!$C$39+Inputs!$C$40))))+Inputs!$C$38*SIN(2*PI()*(Scenario_Data!U135)/Inputs!$C$39)*SIN(2*PI()*(Inputs!$C$6)/Inputs!$C$40)+-Inputs!$C$41*EXP(-(((Inputs!$C$6)-Inputs!$C$43)^2)/(2*Inputs!$C$44^2))*EXP(-(((Scenario_Data!U135)-Inputs!$C$42)^2)/(2*Inputs!$C$45^2))+Inputs!$C$48*(0.7*(0.45*SIN(2*PI()*(((Scenario_Data!U135)/Inputs!$C$49)+Inputs!$C$47*0.137))+0.35*COS(2*PI()*(((Inputs!$C$6)/Inputs!$C$50)+Inputs!$C$47*0.173))+0.2*SIN(2*PI()*((((Scenario_Data!U135)+(Inputs!$C$6))/(0.5*(Inputs!$C$49+Inputs!$C$50)))+Inputs!$C$47*0.097)))+0.3*(2*((SIN(((Scenario_Data!U135)*12.9898+(Inputs!$C$6)*78.233+Inputs!$C$47*37.719))*43758.5453)-INT((SIN(((Scenario_Data!U135)*12.9898+(Inputs!$C$6)*78.233+Inputs!$C$47*37.719))*43758.5453)))-1))))/1000))*COS(SQRT((Scenario_Data!U135)^2+Inputs!$C$6^2)/Inputs!$C$52))*1000)/Inputs!$C$21*1000000</f>
        <v/>
      </c>
      <c r="AT135">
        <f>Scenario_Data!V135</f>
        <v/>
      </c>
      <c r="AU135">
        <f>2*(SQRT((Inputs!$C$52+(Scenario_Data!D135))^2+(Inputs!$C$52+((IF(OR(Inputs!$C$27=TRUE,Inputs!$C$27="TRUE",Inputs!$C$27=1),1,0)*(Inputs!$C$51*(115*EXP(-(((Inputs!$C$6)-25)^2)/(4.5^2))+70*EXP(-(((Inputs!$C$6)+38)^2)/(7^2))*(0.55+0.45*SIN(2*PI()*(Scenario_Data!V135)/45))+24*SIN(2*PI()*(Inputs!$C$6)/9+(Scenario_Data!V135)/18)*EXP(-(((Inputs!$C$6)+5)^2)/(22^2))+18*SIN(2*PI()*(Scenario_Data!V135)/70))+Inputs!$C$28*EXP(-(((Scenario_Data!V135)-Inputs!$C$29)^2)/(2*Inputs!$C$31^2))*EXP(-(((Inputs!$C$6)-Inputs!$C$30)^2)/(2*Inputs!$C$32^2))+-Inputs!$C$33*EXP(-(((((Scenario_Data!V135)-Inputs!$C$34)^2)+(((Inputs!$C$6)-Inputs!$C$35)^2))/(2*Inputs!$C$36^2)))+Inputs!$C$37*(0.55*SIN(2*PI()*(Scenario_Data!V135)/Inputs!$C$39)+0.35*COS(2*PI()*(Inputs!$C$6)/Inputs!$C$40)+0.2*SIN(2*PI()*((Scenario_Data!V135)+(Inputs!$C$6))/(0.5*(Inputs!$C$39+Inputs!$C$40))))+Inputs!$C$38*SIN(2*PI()*(Scenario_Data!V135)/Inputs!$C$39)*SIN(2*PI()*(Inputs!$C$6)/Inputs!$C$40)+-Inputs!$C$41*EXP(-(((Inputs!$C$6)-Inputs!$C$43)^2)/(2*Inputs!$C$44^2))*EXP(-(((Scenario_Data!V135)-Inputs!$C$42)^2)/(2*Inputs!$C$45^2))+Inputs!$C$48*(0.7*(0.45*SIN(2*PI()*(((Scenario_Data!V135)/Inputs!$C$49)+Inputs!$C$47*0.137))+0.35*COS(2*PI()*(((Inputs!$C$6)/Inputs!$C$50)+Inputs!$C$47*0.173))+0.2*SIN(2*PI()*((((Scenario_Data!V135)+(Inputs!$C$6))/(0.5*(Inputs!$C$49+Inputs!$C$50)))+Inputs!$C$47*0.097)))+0.3*(2*((SIN(((Scenario_Data!V135)*12.9898+(Inputs!$C$6)*78.233+Inputs!$C$47*37.719))*43758.5453)-INT((SIN(((Scenario_Data!V135)*12.9898+(Inputs!$C$6)*78.233+Inputs!$C$47*37.719))*43758.5453)))-1))))/1000))^2-2*(Inputs!$C$52+(Scenario_Data!D135))*(Inputs!$C$52+((IF(OR(Inputs!$C$27=TRUE,Inputs!$C$27="TRUE",Inputs!$C$27=1),1,0)*(Inputs!$C$51*(115*EXP(-(((Inputs!$C$6)-25)^2)/(4.5^2))+70*EXP(-(((Inputs!$C$6)+38)^2)/(7^2))*(0.55+0.45*SIN(2*PI()*(Scenario_Data!V135)/45))+24*SIN(2*PI()*(Inputs!$C$6)/9+(Scenario_Data!V135)/18)*EXP(-(((Inputs!$C$6)+5)^2)/(22^2))+18*SIN(2*PI()*(Scenario_Data!V135)/70))+Inputs!$C$28*EXP(-(((Scenario_Data!V135)-Inputs!$C$29)^2)/(2*Inputs!$C$31^2))*EXP(-(((Inputs!$C$6)-Inputs!$C$30)^2)/(2*Inputs!$C$32^2))+-Inputs!$C$33*EXP(-(((((Scenario_Data!V135)-Inputs!$C$34)^2)+(((Inputs!$C$6)-Inputs!$C$35)^2))/(2*Inputs!$C$36^2)))+Inputs!$C$37*(0.55*SIN(2*PI()*(Scenario_Data!V135)/Inputs!$C$39)+0.35*COS(2*PI()*(Inputs!$C$6)/Inputs!$C$40)+0.2*SIN(2*PI()*((Scenario_Data!V135)+(Inputs!$C$6))/(0.5*(Inputs!$C$39+Inputs!$C$40))))+Inputs!$C$38*SIN(2*PI()*(Scenario_Data!V135)/Inputs!$C$39)*SIN(2*PI()*(Inputs!$C$6)/Inputs!$C$40)+-Inputs!$C$41*EXP(-(((Inputs!$C$6)-Inputs!$C$43)^2)/(2*Inputs!$C$44^2))*EXP(-(((Scenario_Data!V135)-Inputs!$C$42)^2)/(2*Inputs!$C$45^2))+Inputs!$C$48*(0.7*(0.45*SIN(2*PI()*(((Scenario_Data!V135)/Inputs!$C$49)+Inputs!$C$47*0.137))+0.35*COS(2*PI()*(((Inputs!$C$6)/Inputs!$C$50)+Inputs!$C$47*0.173))+0.2*SIN(2*PI()*((((Scenario_Data!V135)+(Inputs!$C$6))/(0.5*(Inputs!$C$49+Inputs!$C$50)))+Inputs!$C$47*0.097)))+0.3*(2*((SIN(((Scenario_Data!V135)*12.9898+(Inputs!$C$6)*78.233+Inputs!$C$47*37.719))*43758.5453)-INT((SIN(((Scenario_Data!V135)*12.9898+(Inputs!$C$6)*78.233+Inputs!$C$47*37.719))*43758.5453)))-1))))/1000))*COS(SQRT((Scenario_Data!V135)^2+Inputs!$C$6^2)/Inputs!$C$52))*1000)/Inputs!$C$21*1000000</f>
        <v/>
      </c>
      <c r="AV135">
        <f>Scenario_Data!W135</f>
        <v/>
      </c>
      <c r="AW135">
        <f>2*(SQRT((Inputs!$C$52+(Scenario_Data!E135))^2+(Inputs!$C$52+((IF(OR(Inputs!$C$27=TRUE,Inputs!$C$27="TRUE",Inputs!$C$27=1),1,0)*(Inputs!$C$51*(115*EXP(-(((Inputs!$C$6)-25)^2)/(4.5^2))+70*EXP(-(((Inputs!$C$6)+38)^2)/(7^2))*(0.55+0.45*SIN(2*PI()*(Scenario_Data!W135)/45))+24*SIN(2*PI()*(Inputs!$C$6)/9+(Scenario_Data!W135)/18)*EXP(-(((Inputs!$C$6)+5)^2)/(22^2))+18*SIN(2*PI()*(Scenario_Data!W135)/70))+Inputs!$C$28*EXP(-(((Scenario_Data!W135)-Inputs!$C$29)^2)/(2*Inputs!$C$31^2))*EXP(-(((Inputs!$C$6)-Inputs!$C$30)^2)/(2*Inputs!$C$32^2))+-Inputs!$C$33*EXP(-(((((Scenario_Data!W135)-Inputs!$C$34)^2)+(((Inputs!$C$6)-Inputs!$C$35)^2))/(2*Inputs!$C$36^2)))+Inputs!$C$37*(0.55*SIN(2*PI()*(Scenario_Data!W135)/Inputs!$C$39)+0.35*COS(2*PI()*(Inputs!$C$6)/Inputs!$C$40)+0.2*SIN(2*PI()*((Scenario_Data!W135)+(Inputs!$C$6))/(0.5*(Inputs!$C$39+Inputs!$C$40))))+Inputs!$C$38*SIN(2*PI()*(Scenario_Data!W135)/Inputs!$C$39)*SIN(2*PI()*(Inputs!$C$6)/Inputs!$C$40)+-Inputs!$C$41*EXP(-(((Inputs!$C$6)-Inputs!$C$43)^2)/(2*Inputs!$C$44^2))*EXP(-(((Scenario_Data!W135)-Inputs!$C$42)^2)/(2*Inputs!$C$45^2))+Inputs!$C$48*(0.7*(0.45*SIN(2*PI()*(((Scenario_Data!W135)/Inputs!$C$49)+Inputs!$C$47*0.137))+0.35*COS(2*PI()*(((Inputs!$C$6)/Inputs!$C$50)+Inputs!$C$47*0.173))+0.2*SIN(2*PI()*((((Scenario_Data!W135)+(Inputs!$C$6))/(0.5*(Inputs!$C$49+Inputs!$C$50)))+Inputs!$C$47*0.097)))+0.3*(2*((SIN(((Scenario_Data!W135)*12.9898+(Inputs!$C$6)*78.233+Inputs!$C$47*37.719))*43758.5453)-INT((SIN(((Scenario_Data!W135)*12.9898+(Inputs!$C$6)*78.233+Inputs!$C$47*37.719))*43758.5453)))-1))))/1000))^2-2*(Inputs!$C$52+(Scenario_Data!E135))*(Inputs!$C$52+((IF(OR(Inputs!$C$27=TRUE,Inputs!$C$27="TRUE",Inputs!$C$27=1),1,0)*(Inputs!$C$51*(115*EXP(-(((Inputs!$C$6)-25)^2)/(4.5^2))+70*EXP(-(((Inputs!$C$6)+38)^2)/(7^2))*(0.55+0.45*SIN(2*PI()*(Scenario_Data!W135)/45))+24*SIN(2*PI()*(Inputs!$C$6)/9+(Scenario_Data!W135)/18)*EXP(-(((Inputs!$C$6)+5)^2)/(22^2))+18*SIN(2*PI()*(Scenario_Data!W135)/70))+Inputs!$C$28*EXP(-(((Scenario_Data!W135)-Inputs!$C$29)^2)/(2*Inputs!$C$31^2))*EXP(-(((Inputs!$C$6)-Inputs!$C$30)^2)/(2*Inputs!$C$32^2))+-Inputs!$C$33*EXP(-(((((Scenario_Data!W135)-Inputs!$C$34)^2)+(((Inputs!$C$6)-Inputs!$C$35)^2))/(2*Inputs!$C$36^2)))+Inputs!$C$37*(0.55*SIN(2*PI()*(Scenario_Data!W135)/Inputs!$C$39)+0.35*COS(2*PI()*(Inputs!$C$6)/Inputs!$C$40)+0.2*SIN(2*PI()*((Scenario_Data!W135)+(Inputs!$C$6))/(0.5*(Inputs!$C$39+Inputs!$C$40))))+Inputs!$C$38*SIN(2*PI()*(Scenario_Data!W135)/Inputs!$C$39)*SIN(2*PI()*(Inputs!$C$6)/Inputs!$C$40)+-Inputs!$C$41*EXP(-(((Inputs!$C$6)-Inputs!$C$43)^2)/(2*Inputs!$C$44^2))*EXP(-(((Scenario_Data!W135)-Inputs!$C$42)^2)/(2*Inputs!$C$45^2))+Inputs!$C$48*(0.7*(0.45*SIN(2*PI()*(((Scenario_Data!W135)/Inputs!$C$49)+Inputs!$C$47*0.137))+0.35*COS(2*PI()*(((Inputs!$C$6)/Inputs!$C$50)+Inputs!$C$47*0.173))+0.2*SIN(2*PI()*((((Scenario_Data!W135)+(Inputs!$C$6))/(0.5*(Inputs!$C$49+Inputs!$C$50)))+Inputs!$C$47*0.097)))+0.3*(2*((SIN(((Scenario_Data!W135)*12.9898+(Inputs!$C$6)*78.233+Inputs!$C$47*37.719))*43758.5453)-INT((SIN(((Scenario_Data!W135)*12.9898+(Inputs!$C$6)*78.233+Inputs!$C$47*37.719))*43758.5453)))-1))))/1000))*COS(SQRT((Scenario_Data!W135)^2+Inputs!$C$6^2)/Inputs!$C$52))*1000)/Inputs!$C$21*1000000</f>
        <v/>
      </c>
    </row>
    <row r="136">
      <c r="A136">
        <f>Chart_Data!K136</f>
        <v/>
      </c>
      <c r="B136">
        <f>Chart_Data!N136-Chart_Data!L136</f>
        <v/>
      </c>
      <c r="D136">
        <f>Chart_Data!G136</f>
        <v/>
      </c>
      <c r="E136">
        <f>Chart_Data!H136</f>
        <v/>
      </c>
      <c r="F136">
        <f>Chart_Data!I136</f>
        <v/>
      </c>
      <c r="G136">
        <f>Chart_Data!J136</f>
        <v/>
      </c>
      <c r="I136">
        <f>Scenario_Data!A136</f>
        <v/>
      </c>
      <c r="J136">
        <f>Scenario_Data!H136-(((SQRT((Inputs!$C$52+(Inputs!$H$6))^2+Inputs!$C$52^2-2*(Inputs!$C$52+(Inputs!$H$6))*Inputs!$C$52*COS(SQRT((Scenario_Data!T136)^2+Inputs!$C$6^2)/Inputs!$C$52)))-(Inputs!$H$6))*1000/Inputs!$C$12)</f>
        <v/>
      </c>
      <c r="K136">
        <f>Scenario_Data!I136-(((SQRT((Inputs!$C$52+(Inputs!$H$7))^2+Inputs!$C$52^2-2*(Inputs!$C$52+(Inputs!$H$7))*Inputs!$C$52*COS(SQRT((Scenario_Data!U136)^2+Inputs!$C$6^2)/Inputs!$C$52)))-(Inputs!$H$7))*1000/Inputs!$C$12)</f>
        <v/>
      </c>
      <c r="L136">
        <f>Scenario_Data!J136-(((SQRT((Inputs!$C$52+(Inputs!$H$8))^2+Inputs!$C$52^2-2*(Inputs!$C$52+(Inputs!$H$8))*Inputs!$C$52*COS(SQRT((Scenario_Data!V136)^2+Inputs!$C$6^2)/Inputs!$C$52)))-(Inputs!$H$8))*1000/Inputs!$C$12)</f>
        <v/>
      </c>
      <c r="M136">
        <f>Scenario_Data!K136-(((SQRT((Inputs!$C$52+(Inputs!$H$9))^2+Inputs!$C$52^2-2*(Inputs!$C$52+(Inputs!$H$9))*Inputs!$C$52*COS(SQRT((Scenario_Data!W136)^2+Inputs!$C$6^2)/Inputs!$C$52)))-(Inputs!$H$9))*1000/Inputs!$C$12)</f>
        <v/>
      </c>
      <c r="O136">
        <f>Scenario_Data!T136</f>
        <v/>
      </c>
      <c r="P136">
        <f>2*(Scenario_Data!B136*1000)/Inputs!$C$21*1000000</f>
        <v/>
      </c>
      <c r="Q136">
        <f>Scenario_Data!U136</f>
        <v/>
      </c>
      <c r="R136">
        <f>2*(Scenario_Data!C136*1000)/Inputs!$C$21*1000000</f>
        <v/>
      </c>
      <c r="S136">
        <f>Scenario_Data!V136</f>
        <v/>
      </c>
      <c r="T136">
        <f>2*(Scenario_Data!D136*1000)/Inputs!$C$21*1000000</f>
        <v/>
      </c>
      <c r="U136">
        <f>Scenario_Data!W136</f>
        <v/>
      </c>
      <c r="V136">
        <f>2*(Scenario_Data!E136*1000)/Inputs!$C$21*1000000</f>
        <v/>
      </c>
      <c r="X136">
        <f>Scenario_Data!T136</f>
        <v/>
      </c>
      <c r="Y136">
        <f>2*((Scenario_Data!B136*1000)-(IF(OR(Inputs!$C$27=TRUE,Inputs!$C$27="TRUE",Inputs!$C$27=1),1,0)*(Inputs!$C$51*(115*EXP(-(((0)-25)^2)/(4.5^2))+70*EXP(-(((0)+38)^2)/(7^2))*(0.55+0.45*SIN(2*PI()*(Scenario_Data!T136)/45))+24*SIN(2*PI()*(0)/9+(Scenario_Data!T136)/18)*EXP(-(((0)+5)^2)/(22^2))+18*SIN(2*PI()*(Scenario_Data!T136)/70))+Inputs!$C$28*EXP(-(((Scenario_Data!T136)-Inputs!$C$29)^2)/(2*Inputs!$C$31^2))*EXP(-(((0)-Inputs!$C$30)^2)/(2*Inputs!$C$32^2))+-Inputs!$C$33*EXP(-(((((Scenario_Data!T136)-Inputs!$C$34)^2)+(((0)-Inputs!$C$35)^2))/(2*Inputs!$C$36^2)))+Inputs!$C$37*(0.55*SIN(2*PI()*(Scenario_Data!T136)/Inputs!$C$39)+0.35*COS(2*PI()*(0)/Inputs!$C$40)+0.2*SIN(2*PI()*((Scenario_Data!T136)+(0))/(0.5*(Inputs!$C$39+Inputs!$C$40))))+Inputs!$C$38*SIN(2*PI()*(Scenario_Data!T136)/Inputs!$C$39)*SIN(2*PI()*(0)/Inputs!$C$40)+-Inputs!$C$41*EXP(-(((0)-Inputs!$C$43)^2)/(2*Inputs!$C$44^2))*EXP(-(((Scenario_Data!T136)-Inputs!$C$42)^2)/(2*Inputs!$C$45^2))+Inputs!$C$48*(0.7*(0.45*SIN(2*PI()*(((Scenario_Data!T136)/Inputs!$C$49)+Inputs!$C$47*0.137))+0.35*COS(2*PI()*(((0)/Inputs!$C$50)+Inputs!$C$47*0.173))+0.2*SIN(2*PI()*((((Scenario_Data!T136)+(0))/(0.5*(Inputs!$C$49+Inputs!$C$50)))+Inputs!$C$47*0.097)))+0.3*(2*((SIN(((Scenario_Data!T136)*12.9898+(0)*78.233+Inputs!$C$47*37.719))*43758.5453)-INT((SIN(((Scenario_Data!T136)*12.9898+(0)*78.233+Inputs!$C$47*37.719))*43758.5453)))-1)))))/Inputs!$C$21*1000000</f>
        <v/>
      </c>
      <c r="Z136">
        <f>Scenario_Data!U136</f>
        <v/>
      </c>
      <c r="AA136">
        <f>2*((Scenario_Data!C136*1000)-(IF(OR(Inputs!$C$27=TRUE,Inputs!$C$27="TRUE",Inputs!$C$27=1),1,0)*(Inputs!$C$51*(115*EXP(-(((0)-25)^2)/(4.5^2))+70*EXP(-(((0)+38)^2)/(7^2))*(0.55+0.45*SIN(2*PI()*(Scenario_Data!U136)/45))+24*SIN(2*PI()*(0)/9+(Scenario_Data!U136)/18)*EXP(-(((0)+5)^2)/(22^2))+18*SIN(2*PI()*(Scenario_Data!U136)/70))+Inputs!$C$28*EXP(-(((Scenario_Data!U136)-Inputs!$C$29)^2)/(2*Inputs!$C$31^2))*EXP(-(((0)-Inputs!$C$30)^2)/(2*Inputs!$C$32^2))+-Inputs!$C$33*EXP(-(((((Scenario_Data!U136)-Inputs!$C$34)^2)+(((0)-Inputs!$C$35)^2))/(2*Inputs!$C$36^2)))+Inputs!$C$37*(0.55*SIN(2*PI()*(Scenario_Data!U136)/Inputs!$C$39)+0.35*COS(2*PI()*(0)/Inputs!$C$40)+0.2*SIN(2*PI()*((Scenario_Data!U136)+(0))/(0.5*(Inputs!$C$39+Inputs!$C$40))))+Inputs!$C$38*SIN(2*PI()*(Scenario_Data!U136)/Inputs!$C$39)*SIN(2*PI()*(0)/Inputs!$C$40)+-Inputs!$C$41*EXP(-(((0)-Inputs!$C$43)^2)/(2*Inputs!$C$44^2))*EXP(-(((Scenario_Data!U136)-Inputs!$C$42)^2)/(2*Inputs!$C$45^2))+Inputs!$C$48*(0.7*(0.45*SIN(2*PI()*(((Scenario_Data!U136)/Inputs!$C$49)+Inputs!$C$47*0.137))+0.35*COS(2*PI()*(((0)/Inputs!$C$50)+Inputs!$C$47*0.173))+0.2*SIN(2*PI()*((((Scenario_Data!U136)+(0))/(0.5*(Inputs!$C$49+Inputs!$C$50)))+Inputs!$C$47*0.097)))+0.3*(2*((SIN(((Scenario_Data!U136)*12.9898+(0)*78.233+Inputs!$C$47*37.719))*43758.5453)-INT((SIN(((Scenario_Data!U136)*12.9898+(0)*78.233+Inputs!$C$47*37.719))*43758.5453)))-1)))))/Inputs!$C$21*1000000</f>
        <v/>
      </c>
      <c r="AB136">
        <f>Scenario_Data!V136</f>
        <v/>
      </c>
      <c r="AC136">
        <f>2*((Scenario_Data!D136*1000)-(IF(OR(Inputs!$C$27=TRUE,Inputs!$C$27="TRUE",Inputs!$C$27=1),1,0)*(Inputs!$C$51*(115*EXP(-(((0)-25)^2)/(4.5^2))+70*EXP(-(((0)+38)^2)/(7^2))*(0.55+0.45*SIN(2*PI()*(Scenario_Data!V136)/45))+24*SIN(2*PI()*(0)/9+(Scenario_Data!V136)/18)*EXP(-(((0)+5)^2)/(22^2))+18*SIN(2*PI()*(Scenario_Data!V136)/70))+Inputs!$C$28*EXP(-(((Scenario_Data!V136)-Inputs!$C$29)^2)/(2*Inputs!$C$31^2))*EXP(-(((0)-Inputs!$C$30)^2)/(2*Inputs!$C$32^2))+-Inputs!$C$33*EXP(-(((((Scenario_Data!V136)-Inputs!$C$34)^2)+(((0)-Inputs!$C$35)^2))/(2*Inputs!$C$36^2)))+Inputs!$C$37*(0.55*SIN(2*PI()*(Scenario_Data!V136)/Inputs!$C$39)+0.35*COS(2*PI()*(0)/Inputs!$C$40)+0.2*SIN(2*PI()*((Scenario_Data!V136)+(0))/(0.5*(Inputs!$C$39+Inputs!$C$40))))+Inputs!$C$38*SIN(2*PI()*(Scenario_Data!V136)/Inputs!$C$39)*SIN(2*PI()*(0)/Inputs!$C$40)+-Inputs!$C$41*EXP(-(((0)-Inputs!$C$43)^2)/(2*Inputs!$C$44^2))*EXP(-(((Scenario_Data!V136)-Inputs!$C$42)^2)/(2*Inputs!$C$45^2))+Inputs!$C$48*(0.7*(0.45*SIN(2*PI()*(((Scenario_Data!V136)/Inputs!$C$49)+Inputs!$C$47*0.137))+0.35*COS(2*PI()*(((0)/Inputs!$C$50)+Inputs!$C$47*0.173))+0.2*SIN(2*PI()*((((Scenario_Data!V136)+(0))/(0.5*(Inputs!$C$49+Inputs!$C$50)))+Inputs!$C$47*0.097)))+0.3*(2*((SIN(((Scenario_Data!V136)*12.9898+(0)*78.233+Inputs!$C$47*37.719))*43758.5453)-INT((SIN(((Scenario_Data!V136)*12.9898+(0)*78.233+Inputs!$C$47*37.719))*43758.5453)))-1)))))/Inputs!$C$21*1000000</f>
        <v/>
      </c>
      <c r="AD136">
        <f>Scenario_Data!W136</f>
        <v/>
      </c>
      <c r="AE136">
        <f>2*((Scenario_Data!E136*1000)-(IF(OR(Inputs!$C$27=TRUE,Inputs!$C$27="TRUE",Inputs!$C$27=1),1,0)*(Inputs!$C$51*(115*EXP(-(((0)-25)^2)/(4.5^2))+70*EXP(-(((0)+38)^2)/(7^2))*(0.55+0.45*SIN(2*PI()*(Scenario_Data!W136)/45))+24*SIN(2*PI()*(0)/9+(Scenario_Data!W136)/18)*EXP(-(((0)+5)^2)/(22^2))+18*SIN(2*PI()*(Scenario_Data!W136)/70))+Inputs!$C$28*EXP(-(((Scenario_Data!W136)-Inputs!$C$29)^2)/(2*Inputs!$C$31^2))*EXP(-(((0)-Inputs!$C$30)^2)/(2*Inputs!$C$32^2))+-Inputs!$C$33*EXP(-(((((Scenario_Data!W136)-Inputs!$C$34)^2)+(((0)-Inputs!$C$35)^2))/(2*Inputs!$C$36^2)))+Inputs!$C$37*(0.55*SIN(2*PI()*(Scenario_Data!W136)/Inputs!$C$39)+0.35*COS(2*PI()*(0)/Inputs!$C$40)+0.2*SIN(2*PI()*((Scenario_Data!W136)+(0))/(0.5*(Inputs!$C$39+Inputs!$C$40))))+Inputs!$C$38*SIN(2*PI()*(Scenario_Data!W136)/Inputs!$C$39)*SIN(2*PI()*(0)/Inputs!$C$40)+-Inputs!$C$41*EXP(-(((0)-Inputs!$C$43)^2)/(2*Inputs!$C$44^2))*EXP(-(((Scenario_Data!W136)-Inputs!$C$42)^2)/(2*Inputs!$C$45^2))+Inputs!$C$48*(0.7*(0.45*SIN(2*PI()*(((Scenario_Data!W136)/Inputs!$C$49)+Inputs!$C$47*0.137))+0.35*COS(2*PI()*(((0)/Inputs!$C$50)+Inputs!$C$47*0.173))+0.2*SIN(2*PI()*((((Scenario_Data!W136)+(0))/(0.5*(Inputs!$C$49+Inputs!$C$50)))+Inputs!$C$47*0.097)))+0.3*(2*((SIN(((Scenario_Data!W136)*12.9898+(0)*78.233+Inputs!$C$47*37.719))*43758.5453)-INT((SIN(((Scenario_Data!W136)*12.9898+(0)*78.233+Inputs!$C$47*37.719))*43758.5453)))-1)))))/Inputs!$C$21*1000000</f>
        <v/>
      </c>
      <c r="AG136">
        <f>Scenario_Data!T136</f>
        <v/>
      </c>
      <c r="AH136">
        <f>2*(SQRT((Inputs!$C$52+(Scenario_Data!B136))^2+Inputs!$C$52^2-2*(Inputs!$C$52+(Scenario_Data!B136))*Inputs!$C$52*COS(SQRT((Scenario_Data!T136)^2+Inputs!$C$6^2)/Inputs!$C$52))*1000)/Inputs!$C$21*1000000</f>
        <v/>
      </c>
      <c r="AI136">
        <f>Scenario_Data!U136</f>
        <v/>
      </c>
      <c r="AJ136">
        <f>2*(SQRT((Inputs!$C$52+(Scenario_Data!C136))^2+Inputs!$C$52^2-2*(Inputs!$C$52+(Scenario_Data!C136))*Inputs!$C$52*COS(SQRT((Scenario_Data!U136)^2+Inputs!$C$6^2)/Inputs!$C$52))*1000)/Inputs!$C$21*1000000</f>
        <v/>
      </c>
      <c r="AK136">
        <f>Scenario_Data!V136</f>
        <v/>
      </c>
      <c r="AL136">
        <f>2*(SQRT((Inputs!$C$52+(Scenario_Data!D136))^2+Inputs!$C$52^2-2*(Inputs!$C$52+(Scenario_Data!D136))*Inputs!$C$52*COS(SQRT((Scenario_Data!V136)^2+Inputs!$C$6^2)/Inputs!$C$52))*1000)/Inputs!$C$21*1000000</f>
        <v/>
      </c>
      <c r="AM136">
        <f>Scenario_Data!W136</f>
        <v/>
      </c>
      <c r="AN136">
        <f>2*(SQRT((Inputs!$C$52+(Scenario_Data!E136))^2+Inputs!$C$52^2-2*(Inputs!$C$52+(Scenario_Data!E136))*Inputs!$C$52*COS(SQRT((Scenario_Data!W136)^2+Inputs!$C$6^2)/Inputs!$C$52))*1000)/Inputs!$C$21*1000000</f>
        <v/>
      </c>
      <c r="AP136">
        <f>Scenario_Data!T136</f>
        <v/>
      </c>
      <c r="AQ136">
        <f>2*(SQRT((Inputs!$C$52+(Scenario_Data!B136))^2+(Inputs!$C$52+((IF(OR(Inputs!$C$27=TRUE,Inputs!$C$27="TRUE",Inputs!$C$27=1),1,0)*(Inputs!$C$51*(115*EXP(-(((Inputs!$C$6)-25)^2)/(4.5^2))+70*EXP(-(((Inputs!$C$6)+38)^2)/(7^2))*(0.55+0.45*SIN(2*PI()*(Scenario_Data!T136)/45))+24*SIN(2*PI()*(Inputs!$C$6)/9+(Scenario_Data!T136)/18)*EXP(-(((Inputs!$C$6)+5)^2)/(22^2))+18*SIN(2*PI()*(Scenario_Data!T136)/70))+Inputs!$C$28*EXP(-(((Scenario_Data!T136)-Inputs!$C$29)^2)/(2*Inputs!$C$31^2))*EXP(-(((Inputs!$C$6)-Inputs!$C$30)^2)/(2*Inputs!$C$32^2))+-Inputs!$C$33*EXP(-(((((Scenario_Data!T136)-Inputs!$C$34)^2)+(((Inputs!$C$6)-Inputs!$C$35)^2))/(2*Inputs!$C$36^2)))+Inputs!$C$37*(0.55*SIN(2*PI()*(Scenario_Data!T136)/Inputs!$C$39)+0.35*COS(2*PI()*(Inputs!$C$6)/Inputs!$C$40)+0.2*SIN(2*PI()*((Scenario_Data!T136)+(Inputs!$C$6))/(0.5*(Inputs!$C$39+Inputs!$C$40))))+Inputs!$C$38*SIN(2*PI()*(Scenario_Data!T136)/Inputs!$C$39)*SIN(2*PI()*(Inputs!$C$6)/Inputs!$C$40)+-Inputs!$C$41*EXP(-(((Inputs!$C$6)-Inputs!$C$43)^2)/(2*Inputs!$C$44^2))*EXP(-(((Scenario_Data!T136)-Inputs!$C$42)^2)/(2*Inputs!$C$45^2))+Inputs!$C$48*(0.7*(0.45*SIN(2*PI()*(((Scenario_Data!T136)/Inputs!$C$49)+Inputs!$C$47*0.137))+0.35*COS(2*PI()*(((Inputs!$C$6)/Inputs!$C$50)+Inputs!$C$47*0.173))+0.2*SIN(2*PI()*((((Scenario_Data!T136)+(Inputs!$C$6))/(0.5*(Inputs!$C$49+Inputs!$C$50)))+Inputs!$C$47*0.097)))+0.3*(2*((SIN(((Scenario_Data!T136)*12.9898+(Inputs!$C$6)*78.233+Inputs!$C$47*37.719))*43758.5453)-INT((SIN(((Scenario_Data!T136)*12.9898+(Inputs!$C$6)*78.233+Inputs!$C$47*37.719))*43758.5453)))-1))))/1000))^2-2*(Inputs!$C$52+(Scenario_Data!B136))*(Inputs!$C$52+((IF(OR(Inputs!$C$27=TRUE,Inputs!$C$27="TRUE",Inputs!$C$27=1),1,0)*(Inputs!$C$51*(115*EXP(-(((Inputs!$C$6)-25)^2)/(4.5^2))+70*EXP(-(((Inputs!$C$6)+38)^2)/(7^2))*(0.55+0.45*SIN(2*PI()*(Scenario_Data!T136)/45))+24*SIN(2*PI()*(Inputs!$C$6)/9+(Scenario_Data!T136)/18)*EXP(-(((Inputs!$C$6)+5)^2)/(22^2))+18*SIN(2*PI()*(Scenario_Data!T136)/70))+Inputs!$C$28*EXP(-(((Scenario_Data!T136)-Inputs!$C$29)^2)/(2*Inputs!$C$31^2))*EXP(-(((Inputs!$C$6)-Inputs!$C$30)^2)/(2*Inputs!$C$32^2))+-Inputs!$C$33*EXP(-(((((Scenario_Data!T136)-Inputs!$C$34)^2)+(((Inputs!$C$6)-Inputs!$C$35)^2))/(2*Inputs!$C$36^2)))+Inputs!$C$37*(0.55*SIN(2*PI()*(Scenario_Data!T136)/Inputs!$C$39)+0.35*COS(2*PI()*(Inputs!$C$6)/Inputs!$C$40)+0.2*SIN(2*PI()*((Scenario_Data!T136)+(Inputs!$C$6))/(0.5*(Inputs!$C$39+Inputs!$C$40))))+Inputs!$C$38*SIN(2*PI()*(Scenario_Data!T136)/Inputs!$C$39)*SIN(2*PI()*(Inputs!$C$6)/Inputs!$C$40)+-Inputs!$C$41*EXP(-(((Inputs!$C$6)-Inputs!$C$43)^2)/(2*Inputs!$C$44^2))*EXP(-(((Scenario_Data!T136)-Inputs!$C$42)^2)/(2*Inputs!$C$45^2))+Inputs!$C$48*(0.7*(0.45*SIN(2*PI()*(((Scenario_Data!T136)/Inputs!$C$49)+Inputs!$C$47*0.137))+0.35*COS(2*PI()*(((Inputs!$C$6)/Inputs!$C$50)+Inputs!$C$47*0.173))+0.2*SIN(2*PI()*((((Scenario_Data!T136)+(Inputs!$C$6))/(0.5*(Inputs!$C$49+Inputs!$C$50)))+Inputs!$C$47*0.097)))+0.3*(2*((SIN(((Scenario_Data!T136)*12.9898+(Inputs!$C$6)*78.233+Inputs!$C$47*37.719))*43758.5453)-INT((SIN(((Scenario_Data!T136)*12.9898+(Inputs!$C$6)*78.233+Inputs!$C$47*37.719))*43758.5453)))-1))))/1000))*COS(SQRT((Scenario_Data!T136)^2+Inputs!$C$6^2)/Inputs!$C$52))*1000)/Inputs!$C$21*1000000</f>
        <v/>
      </c>
      <c r="AR136">
        <f>Scenario_Data!U136</f>
        <v/>
      </c>
      <c r="AS136">
        <f>2*(SQRT((Inputs!$C$52+(Scenario_Data!C136))^2+(Inputs!$C$52+((IF(OR(Inputs!$C$27=TRUE,Inputs!$C$27="TRUE",Inputs!$C$27=1),1,0)*(Inputs!$C$51*(115*EXP(-(((Inputs!$C$6)-25)^2)/(4.5^2))+70*EXP(-(((Inputs!$C$6)+38)^2)/(7^2))*(0.55+0.45*SIN(2*PI()*(Scenario_Data!U136)/45))+24*SIN(2*PI()*(Inputs!$C$6)/9+(Scenario_Data!U136)/18)*EXP(-(((Inputs!$C$6)+5)^2)/(22^2))+18*SIN(2*PI()*(Scenario_Data!U136)/70))+Inputs!$C$28*EXP(-(((Scenario_Data!U136)-Inputs!$C$29)^2)/(2*Inputs!$C$31^2))*EXP(-(((Inputs!$C$6)-Inputs!$C$30)^2)/(2*Inputs!$C$32^2))+-Inputs!$C$33*EXP(-(((((Scenario_Data!U136)-Inputs!$C$34)^2)+(((Inputs!$C$6)-Inputs!$C$35)^2))/(2*Inputs!$C$36^2)))+Inputs!$C$37*(0.55*SIN(2*PI()*(Scenario_Data!U136)/Inputs!$C$39)+0.35*COS(2*PI()*(Inputs!$C$6)/Inputs!$C$40)+0.2*SIN(2*PI()*((Scenario_Data!U136)+(Inputs!$C$6))/(0.5*(Inputs!$C$39+Inputs!$C$40))))+Inputs!$C$38*SIN(2*PI()*(Scenario_Data!U136)/Inputs!$C$39)*SIN(2*PI()*(Inputs!$C$6)/Inputs!$C$40)+-Inputs!$C$41*EXP(-(((Inputs!$C$6)-Inputs!$C$43)^2)/(2*Inputs!$C$44^2))*EXP(-(((Scenario_Data!U136)-Inputs!$C$42)^2)/(2*Inputs!$C$45^2))+Inputs!$C$48*(0.7*(0.45*SIN(2*PI()*(((Scenario_Data!U136)/Inputs!$C$49)+Inputs!$C$47*0.137))+0.35*COS(2*PI()*(((Inputs!$C$6)/Inputs!$C$50)+Inputs!$C$47*0.173))+0.2*SIN(2*PI()*((((Scenario_Data!U136)+(Inputs!$C$6))/(0.5*(Inputs!$C$49+Inputs!$C$50)))+Inputs!$C$47*0.097)))+0.3*(2*((SIN(((Scenario_Data!U136)*12.9898+(Inputs!$C$6)*78.233+Inputs!$C$47*37.719))*43758.5453)-INT((SIN(((Scenario_Data!U136)*12.9898+(Inputs!$C$6)*78.233+Inputs!$C$47*37.719))*43758.5453)))-1))))/1000))^2-2*(Inputs!$C$52+(Scenario_Data!C136))*(Inputs!$C$52+((IF(OR(Inputs!$C$27=TRUE,Inputs!$C$27="TRUE",Inputs!$C$27=1),1,0)*(Inputs!$C$51*(115*EXP(-(((Inputs!$C$6)-25)^2)/(4.5^2))+70*EXP(-(((Inputs!$C$6)+38)^2)/(7^2))*(0.55+0.45*SIN(2*PI()*(Scenario_Data!U136)/45))+24*SIN(2*PI()*(Inputs!$C$6)/9+(Scenario_Data!U136)/18)*EXP(-(((Inputs!$C$6)+5)^2)/(22^2))+18*SIN(2*PI()*(Scenario_Data!U136)/70))+Inputs!$C$28*EXP(-(((Scenario_Data!U136)-Inputs!$C$29)^2)/(2*Inputs!$C$31^2))*EXP(-(((Inputs!$C$6)-Inputs!$C$30)^2)/(2*Inputs!$C$32^2))+-Inputs!$C$33*EXP(-(((((Scenario_Data!U136)-Inputs!$C$34)^2)+(((Inputs!$C$6)-Inputs!$C$35)^2))/(2*Inputs!$C$36^2)))+Inputs!$C$37*(0.55*SIN(2*PI()*(Scenario_Data!U136)/Inputs!$C$39)+0.35*COS(2*PI()*(Inputs!$C$6)/Inputs!$C$40)+0.2*SIN(2*PI()*((Scenario_Data!U136)+(Inputs!$C$6))/(0.5*(Inputs!$C$39+Inputs!$C$40))))+Inputs!$C$38*SIN(2*PI()*(Scenario_Data!U136)/Inputs!$C$39)*SIN(2*PI()*(Inputs!$C$6)/Inputs!$C$40)+-Inputs!$C$41*EXP(-(((Inputs!$C$6)-Inputs!$C$43)^2)/(2*Inputs!$C$44^2))*EXP(-(((Scenario_Data!U136)-Inputs!$C$42)^2)/(2*Inputs!$C$45^2))+Inputs!$C$48*(0.7*(0.45*SIN(2*PI()*(((Scenario_Data!U136)/Inputs!$C$49)+Inputs!$C$47*0.137))+0.35*COS(2*PI()*(((Inputs!$C$6)/Inputs!$C$50)+Inputs!$C$47*0.173))+0.2*SIN(2*PI()*((((Scenario_Data!U136)+(Inputs!$C$6))/(0.5*(Inputs!$C$49+Inputs!$C$50)))+Inputs!$C$47*0.097)))+0.3*(2*((SIN(((Scenario_Data!U136)*12.9898+(Inputs!$C$6)*78.233+Inputs!$C$47*37.719))*43758.5453)-INT((SIN(((Scenario_Data!U136)*12.9898+(Inputs!$C$6)*78.233+Inputs!$C$47*37.719))*43758.5453)))-1))))/1000))*COS(SQRT((Scenario_Data!U136)^2+Inputs!$C$6^2)/Inputs!$C$52))*1000)/Inputs!$C$21*1000000</f>
        <v/>
      </c>
      <c r="AT136">
        <f>Scenario_Data!V136</f>
        <v/>
      </c>
      <c r="AU136">
        <f>2*(SQRT((Inputs!$C$52+(Scenario_Data!D136))^2+(Inputs!$C$52+((IF(OR(Inputs!$C$27=TRUE,Inputs!$C$27="TRUE",Inputs!$C$27=1),1,0)*(Inputs!$C$51*(115*EXP(-(((Inputs!$C$6)-25)^2)/(4.5^2))+70*EXP(-(((Inputs!$C$6)+38)^2)/(7^2))*(0.55+0.45*SIN(2*PI()*(Scenario_Data!V136)/45))+24*SIN(2*PI()*(Inputs!$C$6)/9+(Scenario_Data!V136)/18)*EXP(-(((Inputs!$C$6)+5)^2)/(22^2))+18*SIN(2*PI()*(Scenario_Data!V136)/70))+Inputs!$C$28*EXP(-(((Scenario_Data!V136)-Inputs!$C$29)^2)/(2*Inputs!$C$31^2))*EXP(-(((Inputs!$C$6)-Inputs!$C$30)^2)/(2*Inputs!$C$32^2))+-Inputs!$C$33*EXP(-(((((Scenario_Data!V136)-Inputs!$C$34)^2)+(((Inputs!$C$6)-Inputs!$C$35)^2))/(2*Inputs!$C$36^2)))+Inputs!$C$37*(0.55*SIN(2*PI()*(Scenario_Data!V136)/Inputs!$C$39)+0.35*COS(2*PI()*(Inputs!$C$6)/Inputs!$C$40)+0.2*SIN(2*PI()*((Scenario_Data!V136)+(Inputs!$C$6))/(0.5*(Inputs!$C$39+Inputs!$C$40))))+Inputs!$C$38*SIN(2*PI()*(Scenario_Data!V136)/Inputs!$C$39)*SIN(2*PI()*(Inputs!$C$6)/Inputs!$C$40)+-Inputs!$C$41*EXP(-(((Inputs!$C$6)-Inputs!$C$43)^2)/(2*Inputs!$C$44^2))*EXP(-(((Scenario_Data!V136)-Inputs!$C$42)^2)/(2*Inputs!$C$45^2))+Inputs!$C$48*(0.7*(0.45*SIN(2*PI()*(((Scenario_Data!V136)/Inputs!$C$49)+Inputs!$C$47*0.137))+0.35*COS(2*PI()*(((Inputs!$C$6)/Inputs!$C$50)+Inputs!$C$47*0.173))+0.2*SIN(2*PI()*((((Scenario_Data!V136)+(Inputs!$C$6))/(0.5*(Inputs!$C$49+Inputs!$C$50)))+Inputs!$C$47*0.097)))+0.3*(2*((SIN(((Scenario_Data!V136)*12.9898+(Inputs!$C$6)*78.233+Inputs!$C$47*37.719))*43758.5453)-INT((SIN(((Scenario_Data!V136)*12.9898+(Inputs!$C$6)*78.233+Inputs!$C$47*37.719))*43758.5453)))-1))))/1000))^2-2*(Inputs!$C$52+(Scenario_Data!D136))*(Inputs!$C$52+((IF(OR(Inputs!$C$27=TRUE,Inputs!$C$27="TRUE",Inputs!$C$27=1),1,0)*(Inputs!$C$51*(115*EXP(-(((Inputs!$C$6)-25)^2)/(4.5^2))+70*EXP(-(((Inputs!$C$6)+38)^2)/(7^2))*(0.55+0.45*SIN(2*PI()*(Scenario_Data!V136)/45))+24*SIN(2*PI()*(Inputs!$C$6)/9+(Scenario_Data!V136)/18)*EXP(-(((Inputs!$C$6)+5)^2)/(22^2))+18*SIN(2*PI()*(Scenario_Data!V136)/70))+Inputs!$C$28*EXP(-(((Scenario_Data!V136)-Inputs!$C$29)^2)/(2*Inputs!$C$31^2))*EXP(-(((Inputs!$C$6)-Inputs!$C$30)^2)/(2*Inputs!$C$32^2))+-Inputs!$C$33*EXP(-(((((Scenario_Data!V136)-Inputs!$C$34)^2)+(((Inputs!$C$6)-Inputs!$C$35)^2))/(2*Inputs!$C$36^2)))+Inputs!$C$37*(0.55*SIN(2*PI()*(Scenario_Data!V136)/Inputs!$C$39)+0.35*COS(2*PI()*(Inputs!$C$6)/Inputs!$C$40)+0.2*SIN(2*PI()*((Scenario_Data!V136)+(Inputs!$C$6))/(0.5*(Inputs!$C$39+Inputs!$C$40))))+Inputs!$C$38*SIN(2*PI()*(Scenario_Data!V136)/Inputs!$C$39)*SIN(2*PI()*(Inputs!$C$6)/Inputs!$C$40)+-Inputs!$C$41*EXP(-(((Inputs!$C$6)-Inputs!$C$43)^2)/(2*Inputs!$C$44^2))*EXP(-(((Scenario_Data!V136)-Inputs!$C$42)^2)/(2*Inputs!$C$45^2))+Inputs!$C$48*(0.7*(0.45*SIN(2*PI()*(((Scenario_Data!V136)/Inputs!$C$49)+Inputs!$C$47*0.137))+0.35*COS(2*PI()*(((Inputs!$C$6)/Inputs!$C$50)+Inputs!$C$47*0.173))+0.2*SIN(2*PI()*((((Scenario_Data!V136)+(Inputs!$C$6))/(0.5*(Inputs!$C$49+Inputs!$C$50)))+Inputs!$C$47*0.097)))+0.3*(2*((SIN(((Scenario_Data!V136)*12.9898+(Inputs!$C$6)*78.233+Inputs!$C$47*37.719))*43758.5453)-INT((SIN(((Scenario_Data!V136)*12.9898+(Inputs!$C$6)*78.233+Inputs!$C$47*37.719))*43758.5453)))-1))))/1000))*COS(SQRT((Scenario_Data!V136)^2+Inputs!$C$6^2)/Inputs!$C$52))*1000)/Inputs!$C$21*1000000</f>
        <v/>
      </c>
      <c r="AV136">
        <f>Scenario_Data!W136</f>
        <v/>
      </c>
      <c r="AW136">
        <f>2*(SQRT((Inputs!$C$52+(Scenario_Data!E136))^2+(Inputs!$C$52+((IF(OR(Inputs!$C$27=TRUE,Inputs!$C$27="TRUE",Inputs!$C$27=1),1,0)*(Inputs!$C$51*(115*EXP(-(((Inputs!$C$6)-25)^2)/(4.5^2))+70*EXP(-(((Inputs!$C$6)+38)^2)/(7^2))*(0.55+0.45*SIN(2*PI()*(Scenario_Data!W136)/45))+24*SIN(2*PI()*(Inputs!$C$6)/9+(Scenario_Data!W136)/18)*EXP(-(((Inputs!$C$6)+5)^2)/(22^2))+18*SIN(2*PI()*(Scenario_Data!W136)/70))+Inputs!$C$28*EXP(-(((Scenario_Data!W136)-Inputs!$C$29)^2)/(2*Inputs!$C$31^2))*EXP(-(((Inputs!$C$6)-Inputs!$C$30)^2)/(2*Inputs!$C$32^2))+-Inputs!$C$33*EXP(-(((((Scenario_Data!W136)-Inputs!$C$34)^2)+(((Inputs!$C$6)-Inputs!$C$35)^2))/(2*Inputs!$C$36^2)))+Inputs!$C$37*(0.55*SIN(2*PI()*(Scenario_Data!W136)/Inputs!$C$39)+0.35*COS(2*PI()*(Inputs!$C$6)/Inputs!$C$40)+0.2*SIN(2*PI()*((Scenario_Data!W136)+(Inputs!$C$6))/(0.5*(Inputs!$C$39+Inputs!$C$40))))+Inputs!$C$38*SIN(2*PI()*(Scenario_Data!W136)/Inputs!$C$39)*SIN(2*PI()*(Inputs!$C$6)/Inputs!$C$40)+-Inputs!$C$41*EXP(-(((Inputs!$C$6)-Inputs!$C$43)^2)/(2*Inputs!$C$44^2))*EXP(-(((Scenario_Data!W136)-Inputs!$C$42)^2)/(2*Inputs!$C$45^2))+Inputs!$C$48*(0.7*(0.45*SIN(2*PI()*(((Scenario_Data!W136)/Inputs!$C$49)+Inputs!$C$47*0.137))+0.35*COS(2*PI()*(((Inputs!$C$6)/Inputs!$C$50)+Inputs!$C$47*0.173))+0.2*SIN(2*PI()*((((Scenario_Data!W136)+(Inputs!$C$6))/(0.5*(Inputs!$C$49+Inputs!$C$50)))+Inputs!$C$47*0.097)))+0.3*(2*((SIN(((Scenario_Data!W136)*12.9898+(Inputs!$C$6)*78.233+Inputs!$C$47*37.719))*43758.5453)-INT((SIN(((Scenario_Data!W136)*12.9898+(Inputs!$C$6)*78.233+Inputs!$C$47*37.719))*43758.5453)))-1))))/1000))^2-2*(Inputs!$C$52+(Scenario_Data!E136))*(Inputs!$C$52+((IF(OR(Inputs!$C$27=TRUE,Inputs!$C$27="TRUE",Inputs!$C$27=1),1,0)*(Inputs!$C$51*(115*EXP(-(((Inputs!$C$6)-25)^2)/(4.5^2))+70*EXP(-(((Inputs!$C$6)+38)^2)/(7^2))*(0.55+0.45*SIN(2*PI()*(Scenario_Data!W136)/45))+24*SIN(2*PI()*(Inputs!$C$6)/9+(Scenario_Data!W136)/18)*EXP(-(((Inputs!$C$6)+5)^2)/(22^2))+18*SIN(2*PI()*(Scenario_Data!W136)/70))+Inputs!$C$28*EXP(-(((Scenario_Data!W136)-Inputs!$C$29)^2)/(2*Inputs!$C$31^2))*EXP(-(((Inputs!$C$6)-Inputs!$C$30)^2)/(2*Inputs!$C$32^2))+-Inputs!$C$33*EXP(-(((((Scenario_Data!W136)-Inputs!$C$34)^2)+(((Inputs!$C$6)-Inputs!$C$35)^2))/(2*Inputs!$C$36^2)))+Inputs!$C$37*(0.55*SIN(2*PI()*(Scenario_Data!W136)/Inputs!$C$39)+0.35*COS(2*PI()*(Inputs!$C$6)/Inputs!$C$40)+0.2*SIN(2*PI()*((Scenario_Data!W136)+(Inputs!$C$6))/(0.5*(Inputs!$C$39+Inputs!$C$40))))+Inputs!$C$38*SIN(2*PI()*(Scenario_Data!W136)/Inputs!$C$39)*SIN(2*PI()*(Inputs!$C$6)/Inputs!$C$40)+-Inputs!$C$41*EXP(-(((Inputs!$C$6)-Inputs!$C$43)^2)/(2*Inputs!$C$44^2))*EXP(-(((Scenario_Data!W136)-Inputs!$C$42)^2)/(2*Inputs!$C$45^2))+Inputs!$C$48*(0.7*(0.45*SIN(2*PI()*(((Scenario_Data!W136)/Inputs!$C$49)+Inputs!$C$47*0.137))+0.35*COS(2*PI()*(((Inputs!$C$6)/Inputs!$C$50)+Inputs!$C$47*0.173))+0.2*SIN(2*PI()*((((Scenario_Data!W136)+(Inputs!$C$6))/(0.5*(Inputs!$C$49+Inputs!$C$50)))+Inputs!$C$47*0.097)))+0.3*(2*((SIN(((Scenario_Data!W136)*12.9898+(Inputs!$C$6)*78.233+Inputs!$C$47*37.719))*43758.5453)-INT((SIN(((Scenario_Data!W136)*12.9898+(Inputs!$C$6)*78.233+Inputs!$C$47*37.719))*43758.5453)))-1))))/1000))*COS(SQRT((Scenario_Data!W136)^2+Inputs!$C$6^2)/Inputs!$C$52))*1000)/Inputs!$C$21*1000000</f>
        <v/>
      </c>
    </row>
    <row r="137">
      <c r="A137">
        <f>Chart_Data!K137</f>
        <v/>
      </c>
      <c r="B137">
        <f>Chart_Data!N137-Chart_Data!L137</f>
        <v/>
      </c>
      <c r="D137">
        <f>Chart_Data!G137</f>
        <v/>
      </c>
      <c r="E137">
        <f>Chart_Data!H137</f>
        <v/>
      </c>
      <c r="F137">
        <f>Chart_Data!I137</f>
        <v/>
      </c>
      <c r="G137">
        <f>Chart_Data!J137</f>
        <v/>
      </c>
      <c r="I137">
        <f>Scenario_Data!A137</f>
        <v/>
      </c>
      <c r="J137">
        <f>Scenario_Data!H137-(((SQRT((Inputs!$C$52+(Inputs!$H$6))^2+Inputs!$C$52^2-2*(Inputs!$C$52+(Inputs!$H$6))*Inputs!$C$52*COS(SQRT((Scenario_Data!T137)^2+Inputs!$C$6^2)/Inputs!$C$52)))-(Inputs!$H$6))*1000/Inputs!$C$12)</f>
        <v/>
      </c>
      <c r="K137">
        <f>Scenario_Data!I137-(((SQRT((Inputs!$C$52+(Inputs!$H$7))^2+Inputs!$C$52^2-2*(Inputs!$C$52+(Inputs!$H$7))*Inputs!$C$52*COS(SQRT((Scenario_Data!U137)^2+Inputs!$C$6^2)/Inputs!$C$52)))-(Inputs!$H$7))*1000/Inputs!$C$12)</f>
        <v/>
      </c>
      <c r="L137">
        <f>Scenario_Data!J137-(((SQRT((Inputs!$C$52+(Inputs!$H$8))^2+Inputs!$C$52^2-2*(Inputs!$C$52+(Inputs!$H$8))*Inputs!$C$52*COS(SQRT((Scenario_Data!V137)^2+Inputs!$C$6^2)/Inputs!$C$52)))-(Inputs!$H$8))*1000/Inputs!$C$12)</f>
        <v/>
      </c>
      <c r="M137">
        <f>Scenario_Data!K137-(((SQRT((Inputs!$C$52+(Inputs!$H$9))^2+Inputs!$C$52^2-2*(Inputs!$C$52+(Inputs!$H$9))*Inputs!$C$52*COS(SQRT((Scenario_Data!W137)^2+Inputs!$C$6^2)/Inputs!$C$52)))-(Inputs!$H$9))*1000/Inputs!$C$12)</f>
        <v/>
      </c>
      <c r="O137">
        <f>Scenario_Data!T137</f>
        <v/>
      </c>
      <c r="P137">
        <f>2*(Scenario_Data!B137*1000)/Inputs!$C$21*1000000</f>
        <v/>
      </c>
      <c r="Q137">
        <f>Scenario_Data!U137</f>
        <v/>
      </c>
      <c r="R137">
        <f>2*(Scenario_Data!C137*1000)/Inputs!$C$21*1000000</f>
        <v/>
      </c>
      <c r="S137">
        <f>Scenario_Data!V137</f>
        <v/>
      </c>
      <c r="T137">
        <f>2*(Scenario_Data!D137*1000)/Inputs!$C$21*1000000</f>
        <v/>
      </c>
      <c r="U137">
        <f>Scenario_Data!W137</f>
        <v/>
      </c>
      <c r="V137">
        <f>2*(Scenario_Data!E137*1000)/Inputs!$C$21*1000000</f>
        <v/>
      </c>
      <c r="X137">
        <f>Scenario_Data!T137</f>
        <v/>
      </c>
      <c r="Y137">
        <f>2*((Scenario_Data!B137*1000)-(IF(OR(Inputs!$C$27=TRUE,Inputs!$C$27="TRUE",Inputs!$C$27=1),1,0)*(Inputs!$C$51*(115*EXP(-(((0)-25)^2)/(4.5^2))+70*EXP(-(((0)+38)^2)/(7^2))*(0.55+0.45*SIN(2*PI()*(Scenario_Data!T137)/45))+24*SIN(2*PI()*(0)/9+(Scenario_Data!T137)/18)*EXP(-(((0)+5)^2)/(22^2))+18*SIN(2*PI()*(Scenario_Data!T137)/70))+Inputs!$C$28*EXP(-(((Scenario_Data!T137)-Inputs!$C$29)^2)/(2*Inputs!$C$31^2))*EXP(-(((0)-Inputs!$C$30)^2)/(2*Inputs!$C$32^2))+-Inputs!$C$33*EXP(-(((((Scenario_Data!T137)-Inputs!$C$34)^2)+(((0)-Inputs!$C$35)^2))/(2*Inputs!$C$36^2)))+Inputs!$C$37*(0.55*SIN(2*PI()*(Scenario_Data!T137)/Inputs!$C$39)+0.35*COS(2*PI()*(0)/Inputs!$C$40)+0.2*SIN(2*PI()*((Scenario_Data!T137)+(0))/(0.5*(Inputs!$C$39+Inputs!$C$40))))+Inputs!$C$38*SIN(2*PI()*(Scenario_Data!T137)/Inputs!$C$39)*SIN(2*PI()*(0)/Inputs!$C$40)+-Inputs!$C$41*EXP(-(((0)-Inputs!$C$43)^2)/(2*Inputs!$C$44^2))*EXP(-(((Scenario_Data!T137)-Inputs!$C$42)^2)/(2*Inputs!$C$45^2))+Inputs!$C$48*(0.7*(0.45*SIN(2*PI()*(((Scenario_Data!T137)/Inputs!$C$49)+Inputs!$C$47*0.137))+0.35*COS(2*PI()*(((0)/Inputs!$C$50)+Inputs!$C$47*0.173))+0.2*SIN(2*PI()*((((Scenario_Data!T137)+(0))/(0.5*(Inputs!$C$49+Inputs!$C$50)))+Inputs!$C$47*0.097)))+0.3*(2*((SIN(((Scenario_Data!T137)*12.9898+(0)*78.233+Inputs!$C$47*37.719))*43758.5453)-INT((SIN(((Scenario_Data!T137)*12.9898+(0)*78.233+Inputs!$C$47*37.719))*43758.5453)))-1)))))/Inputs!$C$21*1000000</f>
        <v/>
      </c>
      <c r="Z137">
        <f>Scenario_Data!U137</f>
        <v/>
      </c>
      <c r="AA137">
        <f>2*((Scenario_Data!C137*1000)-(IF(OR(Inputs!$C$27=TRUE,Inputs!$C$27="TRUE",Inputs!$C$27=1),1,0)*(Inputs!$C$51*(115*EXP(-(((0)-25)^2)/(4.5^2))+70*EXP(-(((0)+38)^2)/(7^2))*(0.55+0.45*SIN(2*PI()*(Scenario_Data!U137)/45))+24*SIN(2*PI()*(0)/9+(Scenario_Data!U137)/18)*EXP(-(((0)+5)^2)/(22^2))+18*SIN(2*PI()*(Scenario_Data!U137)/70))+Inputs!$C$28*EXP(-(((Scenario_Data!U137)-Inputs!$C$29)^2)/(2*Inputs!$C$31^2))*EXP(-(((0)-Inputs!$C$30)^2)/(2*Inputs!$C$32^2))+-Inputs!$C$33*EXP(-(((((Scenario_Data!U137)-Inputs!$C$34)^2)+(((0)-Inputs!$C$35)^2))/(2*Inputs!$C$36^2)))+Inputs!$C$37*(0.55*SIN(2*PI()*(Scenario_Data!U137)/Inputs!$C$39)+0.35*COS(2*PI()*(0)/Inputs!$C$40)+0.2*SIN(2*PI()*((Scenario_Data!U137)+(0))/(0.5*(Inputs!$C$39+Inputs!$C$40))))+Inputs!$C$38*SIN(2*PI()*(Scenario_Data!U137)/Inputs!$C$39)*SIN(2*PI()*(0)/Inputs!$C$40)+-Inputs!$C$41*EXP(-(((0)-Inputs!$C$43)^2)/(2*Inputs!$C$44^2))*EXP(-(((Scenario_Data!U137)-Inputs!$C$42)^2)/(2*Inputs!$C$45^2))+Inputs!$C$48*(0.7*(0.45*SIN(2*PI()*(((Scenario_Data!U137)/Inputs!$C$49)+Inputs!$C$47*0.137))+0.35*COS(2*PI()*(((0)/Inputs!$C$50)+Inputs!$C$47*0.173))+0.2*SIN(2*PI()*((((Scenario_Data!U137)+(0))/(0.5*(Inputs!$C$49+Inputs!$C$50)))+Inputs!$C$47*0.097)))+0.3*(2*((SIN(((Scenario_Data!U137)*12.9898+(0)*78.233+Inputs!$C$47*37.719))*43758.5453)-INT((SIN(((Scenario_Data!U137)*12.9898+(0)*78.233+Inputs!$C$47*37.719))*43758.5453)))-1)))))/Inputs!$C$21*1000000</f>
        <v/>
      </c>
      <c r="AB137">
        <f>Scenario_Data!V137</f>
        <v/>
      </c>
      <c r="AC137">
        <f>2*((Scenario_Data!D137*1000)-(IF(OR(Inputs!$C$27=TRUE,Inputs!$C$27="TRUE",Inputs!$C$27=1),1,0)*(Inputs!$C$51*(115*EXP(-(((0)-25)^2)/(4.5^2))+70*EXP(-(((0)+38)^2)/(7^2))*(0.55+0.45*SIN(2*PI()*(Scenario_Data!V137)/45))+24*SIN(2*PI()*(0)/9+(Scenario_Data!V137)/18)*EXP(-(((0)+5)^2)/(22^2))+18*SIN(2*PI()*(Scenario_Data!V137)/70))+Inputs!$C$28*EXP(-(((Scenario_Data!V137)-Inputs!$C$29)^2)/(2*Inputs!$C$31^2))*EXP(-(((0)-Inputs!$C$30)^2)/(2*Inputs!$C$32^2))+-Inputs!$C$33*EXP(-(((((Scenario_Data!V137)-Inputs!$C$34)^2)+(((0)-Inputs!$C$35)^2))/(2*Inputs!$C$36^2)))+Inputs!$C$37*(0.55*SIN(2*PI()*(Scenario_Data!V137)/Inputs!$C$39)+0.35*COS(2*PI()*(0)/Inputs!$C$40)+0.2*SIN(2*PI()*((Scenario_Data!V137)+(0))/(0.5*(Inputs!$C$39+Inputs!$C$40))))+Inputs!$C$38*SIN(2*PI()*(Scenario_Data!V137)/Inputs!$C$39)*SIN(2*PI()*(0)/Inputs!$C$40)+-Inputs!$C$41*EXP(-(((0)-Inputs!$C$43)^2)/(2*Inputs!$C$44^2))*EXP(-(((Scenario_Data!V137)-Inputs!$C$42)^2)/(2*Inputs!$C$45^2))+Inputs!$C$48*(0.7*(0.45*SIN(2*PI()*(((Scenario_Data!V137)/Inputs!$C$49)+Inputs!$C$47*0.137))+0.35*COS(2*PI()*(((0)/Inputs!$C$50)+Inputs!$C$47*0.173))+0.2*SIN(2*PI()*((((Scenario_Data!V137)+(0))/(0.5*(Inputs!$C$49+Inputs!$C$50)))+Inputs!$C$47*0.097)))+0.3*(2*((SIN(((Scenario_Data!V137)*12.9898+(0)*78.233+Inputs!$C$47*37.719))*43758.5453)-INT((SIN(((Scenario_Data!V137)*12.9898+(0)*78.233+Inputs!$C$47*37.719))*43758.5453)))-1)))))/Inputs!$C$21*1000000</f>
        <v/>
      </c>
      <c r="AD137">
        <f>Scenario_Data!W137</f>
        <v/>
      </c>
      <c r="AE137">
        <f>2*((Scenario_Data!E137*1000)-(IF(OR(Inputs!$C$27=TRUE,Inputs!$C$27="TRUE",Inputs!$C$27=1),1,0)*(Inputs!$C$51*(115*EXP(-(((0)-25)^2)/(4.5^2))+70*EXP(-(((0)+38)^2)/(7^2))*(0.55+0.45*SIN(2*PI()*(Scenario_Data!W137)/45))+24*SIN(2*PI()*(0)/9+(Scenario_Data!W137)/18)*EXP(-(((0)+5)^2)/(22^2))+18*SIN(2*PI()*(Scenario_Data!W137)/70))+Inputs!$C$28*EXP(-(((Scenario_Data!W137)-Inputs!$C$29)^2)/(2*Inputs!$C$31^2))*EXP(-(((0)-Inputs!$C$30)^2)/(2*Inputs!$C$32^2))+-Inputs!$C$33*EXP(-(((((Scenario_Data!W137)-Inputs!$C$34)^2)+(((0)-Inputs!$C$35)^2))/(2*Inputs!$C$36^2)))+Inputs!$C$37*(0.55*SIN(2*PI()*(Scenario_Data!W137)/Inputs!$C$39)+0.35*COS(2*PI()*(0)/Inputs!$C$40)+0.2*SIN(2*PI()*((Scenario_Data!W137)+(0))/(0.5*(Inputs!$C$39+Inputs!$C$40))))+Inputs!$C$38*SIN(2*PI()*(Scenario_Data!W137)/Inputs!$C$39)*SIN(2*PI()*(0)/Inputs!$C$40)+-Inputs!$C$41*EXP(-(((0)-Inputs!$C$43)^2)/(2*Inputs!$C$44^2))*EXP(-(((Scenario_Data!W137)-Inputs!$C$42)^2)/(2*Inputs!$C$45^2))+Inputs!$C$48*(0.7*(0.45*SIN(2*PI()*(((Scenario_Data!W137)/Inputs!$C$49)+Inputs!$C$47*0.137))+0.35*COS(2*PI()*(((0)/Inputs!$C$50)+Inputs!$C$47*0.173))+0.2*SIN(2*PI()*((((Scenario_Data!W137)+(0))/(0.5*(Inputs!$C$49+Inputs!$C$50)))+Inputs!$C$47*0.097)))+0.3*(2*((SIN(((Scenario_Data!W137)*12.9898+(0)*78.233+Inputs!$C$47*37.719))*43758.5453)-INT((SIN(((Scenario_Data!W137)*12.9898+(0)*78.233+Inputs!$C$47*37.719))*43758.5453)))-1)))))/Inputs!$C$21*1000000</f>
        <v/>
      </c>
      <c r="AG137">
        <f>Scenario_Data!T137</f>
        <v/>
      </c>
      <c r="AH137">
        <f>2*(SQRT((Inputs!$C$52+(Scenario_Data!B137))^2+Inputs!$C$52^2-2*(Inputs!$C$52+(Scenario_Data!B137))*Inputs!$C$52*COS(SQRT((Scenario_Data!T137)^2+Inputs!$C$6^2)/Inputs!$C$52))*1000)/Inputs!$C$21*1000000</f>
        <v/>
      </c>
      <c r="AI137">
        <f>Scenario_Data!U137</f>
        <v/>
      </c>
      <c r="AJ137">
        <f>2*(SQRT((Inputs!$C$52+(Scenario_Data!C137))^2+Inputs!$C$52^2-2*(Inputs!$C$52+(Scenario_Data!C137))*Inputs!$C$52*COS(SQRT((Scenario_Data!U137)^2+Inputs!$C$6^2)/Inputs!$C$52))*1000)/Inputs!$C$21*1000000</f>
        <v/>
      </c>
      <c r="AK137">
        <f>Scenario_Data!V137</f>
        <v/>
      </c>
      <c r="AL137">
        <f>2*(SQRT((Inputs!$C$52+(Scenario_Data!D137))^2+Inputs!$C$52^2-2*(Inputs!$C$52+(Scenario_Data!D137))*Inputs!$C$52*COS(SQRT((Scenario_Data!V137)^2+Inputs!$C$6^2)/Inputs!$C$52))*1000)/Inputs!$C$21*1000000</f>
        <v/>
      </c>
      <c r="AM137">
        <f>Scenario_Data!W137</f>
        <v/>
      </c>
      <c r="AN137">
        <f>2*(SQRT((Inputs!$C$52+(Scenario_Data!E137))^2+Inputs!$C$52^2-2*(Inputs!$C$52+(Scenario_Data!E137))*Inputs!$C$52*COS(SQRT((Scenario_Data!W137)^2+Inputs!$C$6^2)/Inputs!$C$52))*1000)/Inputs!$C$21*1000000</f>
        <v/>
      </c>
      <c r="AP137">
        <f>Scenario_Data!T137</f>
        <v/>
      </c>
      <c r="AQ137">
        <f>2*(SQRT((Inputs!$C$52+(Scenario_Data!B137))^2+(Inputs!$C$52+((IF(OR(Inputs!$C$27=TRUE,Inputs!$C$27="TRUE",Inputs!$C$27=1),1,0)*(Inputs!$C$51*(115*EXP(-(((Inputs!$C$6)-25)^2)/(4.5^2))+70*EXP(-(((Inputs!$C$6)+38)^2)/(7^2))*(0.55+0.45*SIN(2*PI()*(Scenario_Data!T137)/45))+24*SIN(2*PI()*(Inputs!$C$6)/9+(Scenario_Data!T137)/18)*EXP(-(((Inputs!$C$6)+5)^2)/(22^2))+18*SIN(2*PI()*(Scenario_Data!T137)/70))+Inputs!$C$28*EXP(-(((Scenario_Data!T137)-Inputs!$C$29)^2)/(2*Inputs!$C$31^2))*EXP(-(((Inputs!$C$6)-Inputs!$C$30)^2)/(2*Inputs!$C$32^2))+-Inputs!$C$33*EXP(-(((((Scenario_Data!T137)-Inputs!$C$34)^2)+(((Inputs!$C$6)-Inputs!$C$35)^2))/(2*Inputs!$C$36^2)))+Inputs!$C$37*(0.55*SIN(2*PI()*(Scenario_Data!T137)/Inputs!$C$39)+0.35*COS(2*PI()*(Inputs!$C$6)/Inputs!$C$40)+0.2*SIN(2*PI()*((Scenario_Data!T137)+(Inputs!$C$6))/(0.5*(Inputs!$C$39+Inputs!$C$40))))+Inputs!$C$38*SIN(2*PI()*(Scenario_Data!T137)/Inputs!$C$39)*SIN(2*PI()*(Inputs!$C$6)/Inputs!$C$40)+-Inputs!$C$41*EXP(-(((Inputs!$C$6)-Inputs!$C$43)^2)/(2*Inputs!$C$44^2))*EXP(-(((Scenario_Data!T137)-Inputs!$C$42)^2)/(2*Inputs!$C$45^2))+Inputs!$C$48*(0.7*(0.45*SIN(2*PI()*(((Scenario_Data!T137)/Inputs!$C$49)+Inputs!$C$47*0.137))+0.35*COS(2*PI()*(((Inputs!$C$6)/Inputs!$C$50)+Inputs!$C$47*0.173))+0.2*SIN(2*PI()*((((Scenario_Data!T137)+(Inputs!$C$6))/(0.5*(Inputs!$C$49+Inputs!$C$50)))+Inputs!$C$47*0.097)))+0.3*(2*((SIN(((Scenario_Data!T137)*12.9898+(Inputs!$C$6)*78.233+Inputs!$C$47*37.719))*43758.5453)-INT((SIN(((Scenario_Data!T137)*12.9898+(Inputs!$C$6)*78.233+Inputs!$C$47*37.719))*43758.5453)))-1))))/1000))^2-2*(Inputs!$C$52+(Scenario_Data!B137))*(Inputs!$C$52+((IF(OR(Inputs!$C$27=TRUE,Inputs!$C$27="TRUE",Inputs!$C$27=1),1,0)*(Inputs!$C$51*(115*EXP(-(((Inputs!$C$6)-25)^2)/(4.5^2))+70*EXP(-(((Inputs!$C$6)+38)^2)/(7^2))*(0.55+0.45*SIN(2*PI()*(Scenario_Data!T137)/45))+24*SIN(2*PI()*(Inputs!$C$6)/9+(Scenario_Data!T137)/18)*EXP(-(((Inputs!$C$6)+5)^2)/(22^2))+18*SIN(2*PI()*(Scenario_Data!T137)/70))+Inputs!$C$28*EXP(-(((Scenario_Data!T137)-Inputs!$C$29)^2)/(2*Inputs!$C$31^2))*EXP(-(((Inputs!$C$6)-Inputs!$C$30)^2)/(2*Inputs!$C$32^2))+-Inputs!$C$33*EXP(-(((((Scenario_Data!T137)-Inputs!$C$34)^2)+(((Inputs!$C$6)-Inputs!$C$35)^2))/(2*Inputs!$C$36^2)))+Inputs!$C$37*(0.55*SIN(2*PI()*(Scenario_Data!T137)/Inputs!$C$39)+0.35*COS(2*PI()*(Inputs!$C$6)/Inputs!$C$40)+0.2*SIN(2*PI()*((Scenario_Data!T137)+(Inputs!$C$6))/(0.5*(Inputs!$C$39+Inputs!$C$40))))+Inputs!$C$38*SIN(2*PI()*(Scenario_Data!T137)/Inputs!$C$39)*SIN(2*PI()*(Inputs!$C$6)/Inputs!$C$40)+-Inputs!$C$41*EXP(-(((Inputs!$C$6)-Inputs!$C$43)^2)/(2*Inputs!$C$44^2))*EXP(-(((Scenario_Data!T137)-Inputs!$C$42)^2)/(2*Inputs!$C$45^2))+Inputs!$C$48*(0.7*(0.45*SIN(2*PI()*(((Scenario_Data!T137)/Inputs!$C$49)+Inputs!$C$47*0.137))+0.35*COS(2*PI()*(((Inputs!$C$6)/Inputs!$C$50)+Inputs!$C$47*0.173))+0.2*SIN(2*PI()*((((Scenario_Data!T137)+(Inputs!$C$6))/(0.5*(Inputs!$C$49+Inputs!$C$50)))+Inputs!$C$47*0.097)))+0.3*(2*((SIN(((Scenario_Data!T137)*12.9898+(Inputs!$C$6)*78.233+Inputs!$C$47*37.719))*43758.5453)-INT((SIN(((Scenario_Data!T137)*12.9898+(Inputs!$C$6)*78.233+Inputs!$C$47*37.719))*43758.5453)))-1))))/1000))*COS(SQRT((Scenario_Data!T137)^2+Inputs!$C$6^2)/Inputs!$C$52))*1000)/Inputs!$C$21*1000000</f>
        <v/>
      </c>
      <c r="AR137">
        <f>Scenario_Data!U137</f>
        <v/>
      </c>
      <c r="AS137">
        <f>2*(SQRT((Inputs!$C$52+(Scenario_Data!C137))^2+(Inputs!$C$52+((IF(OR(Inputs!$C$27=TRUE,Inputs!$C$27="TRUE",Inputs!$C$27=1),1,0)*(Inputs!$C$51*(115*EXP(-(((Inputs!$C$6)-25)^2)/(4.5^2))+70*EXP(-(((Inputs!$C$6)+38)^2)/(7^2))*(0.55+0.45*SIN(2*PI()*(Scenario_Data!U137)/45))+24*SIN(2*PI()*(Inputs!$C$6)/9+(Scenario_Data!U137)/18)*EXP(-(((Inputs!$C$6)+5)^2)/(22^2))+18*SIN(2*PI()*(Scenario_Data!U137)/70))+Inputs!$C$28*EXP(-(((Scenario_Data!U137)-Inputs!$C$29)^2)/(2*Inputs!$C$31^2))*EXP(-(((Inputs!$C$6)-Inputs!$C$30)^2)/(2*Inputs!$C$32^2))+-Inputs!$C$33*EXP(-(((((Scenario_Data!U137)-Inputs!$C$34)^2)+(((Inputs!$C$6)-Inputs!$C$35)^2))/(2*Inputs!$C$36^2)))+Inputs!$C$37*(0.55*SIN(2*PI()*(Scenario_Data!U137)/Inputs!$C$39)+0.35*COS(2*PI()*(Inputs!$C$6)/Inputs!$C$40)+0.2*SIN(2*PI()*((Scenario_Data!U137)+(Inputs!$C$6))/(0.5*(Inputs!$C$39+Inputs!$C$40))))+Inputs!$C$38*SIN(2*PI()*(Scenario_Data!U137)/Inputs!$C$39)*SIN(2*PI()*(Inputs!$C$6)/Inputs!$C$40)+-Inputs!$C$41*EXP(-(((Inputs!$C$6)-Inputs!$C$43)^2)/(2*Inputs!$C$44^2))*EXP(-(((Scenario_Data!U137)-Inputs!$C$42)^2)/(2*Inputs!$C$45^2))+Inputs!$C$48*(0.7*(0.45*SIN(2*PI()*(((Scenario_Data!U137)/Inputs!$C$49)+Inputs!$C$47*0.137))+0.35*COS(2*PI()*(((Inputs!$C$6)/Inputs!$C$50)+Inputs!$C$47*0.173))+0.2*SIN(2*PI()*((((Scenario_Data!U137)+(Inputs!$C$6))/(0.5*(Inputs!$C$49+Inputs!$C$50)))+Inputs!$C$47*0.097)))+0.3*(2*((SIN(((Scenario_Data!U137)*12.9898+(Inputs!$C$6)*78.233+Inputs!$C$47*37.719))*43758.5453)-INT((SIN(((Scenario_Data!U137)*12.9898+(Inputs!$C$6)*78.233+Inputs!$C$47*37.719))*43758.5453)))-1))))/1000))^2-2*(Inputs!$C$52+(Scenario_Data!C137))*(Inputs!$C$52+((IF(OR(Inputs!$C$27=TRUE,Inputs!$C$27="TRUE",Inputs!$C$27=1),1,0)*(Inputs!$C$51*(115*EXP(-(((Inputs!$C$6)-25)^2)/(4.5^2))+70*EXP(-(((Inputs!$C$6)+38)^2)/(7^2))*(0.55+0.45*SIN(2*PI()*(Scenario_Data!U137)/45))+24*SIN(2*PI()*(Inputs!$C$6)/9+(Scenario_Data!U137)/18)*EXP(-(((Inputs!$C$6)+5)^2)/(22^2))+18*SIN(2*PI()*(Scenario_Data!U137)/70))+Inputs!$C$28*EXP(-(((Scenario_Data!U137)-Inputs!$C$29)^2)/(2*Inputs!$C$31^2))*EXP(-(((Inputs!$C$6)-Inputs!$C$30)^2)/(2*Inputs!$C$32^2))+-Inputs!$C$33*EXP(-(((((Scenario_Data!U137)-Inputs!$C$34)^2)+(((Inputs!$C$6)-Inputs!$C$35)^2))/(2*Inputs!$C$36^2)))+Inputs!$C$37*(0.55*SIN(2*PI()*(Scenario_Data!U137)/Inputs!$C$39)+0.35*COS(2*PI()*(Inputs!$C$6)/Inputs!$C$40)+0.2*SIN(2*PI()*((Scenario_Data!U137)+(Inputs!$C$6))/(0.5*(Inputs!$C$39+Inputs!$C$40))))+Inputs!$C$38*SIN(2*PI()*(Scenario_Data!U137)/Inputs!$C$39)*SIN(2*PI()*(Inputs!$C$6)/Inputs!$C$40)+-Inputs!$C$41*EXP(-(((Inputs!$C$6)-Inputs!$C$43)^2)/(2*Inputs!$C$44^2))*EXP(-(((Scenario_Data!U137)-Inputs!$C$42)^2)/(2*Inputs!$C$45^2))+Inputs!$C$48*(0.7*(0.45*SIN(2*PI()*(((Scenario_Data!U137)/Inputs!$C$49)+Inputs!$C$47*0.137))+0.35*COS(2*PI()*(((Inputs!$C$6)/Inputs!$C$50)+Inputs!$C$47*0.173))+0.2*SIN(2*PI()*((((Scenario_Data!U137)+(Inputs!$C$6))/(0.5*(Inputs!$C$49+Inputs!$C$50)))+Inputs!$C$47*0.097)))+0.3*(2*((SIN(((Scenario_Data!U137)*12.9898+(Inputs!$C$6)*78.233+Inputs!$C$47*37.719))*43758.5453)-INT((SIN(((Scenario_Data!U137)*12.9898+(Inputs!$C$6)*78.233+Inputs!$C$47*37.719))*43758.5453)))-1))))/1000))*COS(SQRT((Scenario_Data!U137)^2+Inputs!$C$6^2)/Inputs!$C$52))*1000)/Inputs!$C$21*1000000</f>
        <v/>
      </c>
      <c r="AT137">
        <f>Scenario_Data!V137</f>
        <v/>
      </c>
      <c r="AU137">
        <f>2*(SQRT((Inputs!$C$52+(Scenario_Data!D137))^2+(Inputs!$C$52+((IF(OR(Inputs!$C$27=TRUE,Inputs!$C$27="TRUE",Inputs!$C$27=1),1,0)*(Inputs!$C$51*(115*EXP(-(((Inputs!$C$6)-25)^2)/(4.5^2))+70*EXP(-(((Inputs!$C$6)+38)^2)/(7^2))*(0.55+0.45*SIN(2*PI()*(Scenario_Data!V137)/45))+24*SIN(2*PI()*(Inputs!$C$6)/9+(Scenario_Data!V137)/18)*EXP(-(((Inputs!$C$6)+5)^2)/(22^2))+18*SIN(2*PI()*(Scenario_Data!V137)/70))+Inputs!$C$28*EXP(-(((Scenario_Data!V137)-Inputs!$C$29)^2)/(2*Inputs!$C$31^2))*EXP(-(((Inputs!$C$6)-Inputs!$C$30)^2)/(2*Inputs!$C$32^2))+-Inputs!$C$33*EXP(-(((((Scenario_Data!V137)-Inputs!$C$34)^2)+(((Inputs!$C$6)-Inputs!$C$35)^2))/(2*Inputs!$C$36^2)))+Inputs!$C$37*(0.55*SIN(2*PI()*(Scenario_Data!V137)/Inputs!$C$39)+0.35*COS(2*PI()*(Inputs!$C$6)/Inputs!$C$40)+0.2*SIN(2*PI()*((Scenario_Data!V137)+(Inputs!$C$6))/(0.5*(Inputs!$C$39+Inputs!$C$40))))+Inputs!$C$38*SIN(2*PI()*(Scenario_Data!V137)/Inputs!$C$39)*SIN(2*PI()*(Inputs!$C$6)/Inputs!$C$40)+-Inputs!$C$41*EXP(-(((Inputs!$C$6)-Inputs!$C$43)^2)/(2*Inputs!$C$44^2))*EXP(-(((Scenario_Data!V137)-Inputs!$C$42)^2)/(2*Inputs!$C$45^2))+Inputs!$C$48*(0.7*(0.45*SIN(2*PI()*(((Scenario_Data!V137)/Inputs!$C$49)+Inputs!$C$47*0.137))+0.35*COS(2*PI()*(((Inputs!$C$6)/Inputs!$C$50)+Inputs!$C$47*0.173))+0.2*SIN(2*PI()*((((Scenario_Data!V137)+(Inputs!$C$6))/(0.5*(Inputs!$C$49+Inputs!$C$50)))+Inputs!$C$47*0.097)))+0.3*(2*((SIN(((Scenario_Data!V137)*12.9898+(Inputs!$C$6)*78.233+Inputs!$C$47*37.719))*43758.5453)-INT((SIN(((Scenario_Data!V137)*12.9898+(Inputs!$C$6)*78.233+Inputs!$C$47*37.719))*43758.5453)))-1))))/1000))^2-2*(Inputs!$C$52+(Scenario_Data!D137))*(Inputs!$C$52+((IF(OR(Inputs!$C$27=TRUE,Inputs!$C$27="TRUE",Inputs!$C$27=1),1,0)*(Inputs!$C$51*(115*EXP(-(((Inputs!$C$6)-25)^2)/(4.5^2))+70*EXP(-(((Inputs!$C$6)+38)^2)/(7^2))*(0.55+0.45*SIN(2*PI()*(Scenario_Data!V137)/45))+24*SIN(2*PI()*(Inputs!$C$6)/9+(Scenario_Data!V137)/18)*EXP(-(((Inputs!$C$6)+5)^2)/(22^2))+18*SIN(2*PI()*(Scenario_Data!V137)/70))+Inputs!$C$28*EXP(-(((Scenario_Data!V137)-Inputs!$C$29)^2)/(2*Inputs!$C$31^2))*EXP(-(((Inputs!$C$6)-Inputs!$C$30)^2)/(2*Inputs!$C$32^2))+-Inputs!$C$33*EXP(-(((((Scenario_Data!V137)-Inputs!$C$34)^2)+(((Inputs!$C$6)-Inputs!$C$35)^2))/(2*Inputs!$C$36^2)))+Inputs!$C$37*(0.55*SIN(2*PI()*(Scenario_Data!V137)/Inputs!$C$39)+0.35*COS(2*PI()*(Inputs!$C$6)/Inputs!$C$40)+0.2*SIN(2*PI()*((Scenario_Data!V137)+(Inputs!$C$6))/(0.5*(Inputs!$C$39+Inputs!$C$40))))+Inputs!$C$38*SIN(2*PI()*(Scenario_Data!V137)/Inputs!$C$39)*SIN(2*PI()*(Inputs!$C$6)/Inputs!$C$40)+-Inputs!$C$41*EXP(-(((Inputs!$C$6)-Inputs!$C$43)^2)/(2*Inputs!$C$44^2))*EXP(-(((Scenario_Data!V137)-Inputs!$C$42)^2)/(2*Inputs!$C$45^2))+Inputs!$C$48*(0.7*(0.45*SIN(2*PI()*(((Scenario_Data!V137)/Inputs!$C$49)+Inputs!$C$47*0.137))+0.35*COS(2*PI()*(((Inputs!$C$6)/Inputs!$C$50)+Inputs!$C$47*0.173))+0.2*SIN(2*PI()*((((Scenario_Data!V137)+(Inputs!$C$6))/(0.5*(Inputs!$C$49+Inputs!$C$50)))+Inputs!$C$47*0.097)))+0.3*(2*((SIN(((Scenario_Data!V137)*12.9898+(Inputs!$C$6)*78.233+Inputs!$C$47*37.719))*43758.5453)-INT((SIN(((Scenario_Data!V137)*12.9898+(Inputs!$C$6)*78.233+Inputs!$C$47*37.719))*43758.5453)))-1))))/1000))*COS(SQRT((Scenario_Data!V137)^2+Inputs!$C$6^2)/Inputs!$C$52))*1000)/Inputs!$C$21*1000000</f>
        <v/>
      </c>
      <c r="AV137">
        <f>Scenario_Data!W137</f>
        <v/>
      </c>
      <c r="AW137">
        <f>2*(SQRT((Inputs!$C$52+(Scenario_Data!E137))^2+(Inputs!$C$52+((IF(OR(Inputs!$C$27=TRUE,Inputs!$C$27="TRUE",Inputs!$C$27=1),1,0)*(Inputs!$C$51*(115*EXP(-(((Inputs!$C$6)-25)^2)/(4.5^2))+70*EXP(-(((Inputs!$C$6)+38)^2)/(7^2))*(0.55+0.45*SIN(2*PI()*(Scenario_Data!W137)/45))+24*SIN(2*PI()*(Inputs!$C$6)/9+(Scenario_Data!W137)/18)*EXP(-(((Inputs!$C$6)+5)^2)/(22^2))+18*SIN(2*PI()*(Scenario_Data!W137)/70))+Inputs!$C$28*EXP(-(((Scenario_Data!W137)-Inputs!$C$29)^2)/(2*Inputs!$C$31^2))*EXP(-(((Inputs!$C$6)-Inputs!$C$30)^2)/(2*Inputs!$C$32^2))+-Inputs!$C$33*EXP(-(((((Scenario_Data!W137)-Inputs!$C$34)^2)+(((Inputs!$C$6)-Inputs!$C$35)^2))/(2*Inputs!$C$36^2)))+Inputs!$C$37*(0.55*SIN(2*PI()*(Scenario_Data!W137)/Inputs!$C$39)+0.35*COS(2*PI()*(Inputs!$C$6)/Inputs!$C$40)+0.2*SIN(2*PI()*((Scenario_Data!W137)+(Inputs!$C$6))/(0.5*(Inputs!$C$39+Inputs!$C$40))))+Inputs!$C$38*SIN(2*PI()*(Scenario_Data!W137)/Inputs!$C$39)*SIN(2*PI()*(Inputs!$C$6)/Inputs!$C$40)+-Inputs!$C$41*EXP(-(((Inputs!$C$6)-Inputs!$C$43)^2)/(2*Inputs!$C$44^2))*EXP(-(((Scenario_Data!W137)-Inputs!$C$42)^2)/(2*Inputs!$C$45^2))+Inputs!$C$48*(0.7*(0.45*SIN(2*PI()*(((Scenario_Data!W137)/Inputs!$C$49)+Inputs!$C$47*0.137))+0.35*COS(2*PI()*(((Inputs!$C$6)/Inputs!$C$50)+Inputs!$C$47*0.173))+0.2*SIN(2*PI()*((((Scenario_Data!W137)+(Inputs!$C$6))/(0.5*(Inputs!$C$49+Inputs!$C$50)))+Inputs!$C$47*0.097)))+0.3*(2*((SIN(((Scenario_Data!W137)*12.9898+(Inputs!$C$6)*78.233+Inputs!$C$47*37.719))*43758.5453)-INT((SIN(((Scenario_Data!W137)*12.9898+(Inputs!$C$6)*78.233+Inputs!$C$47*37.719))*43758.5453)))-1))))/1000))^2-2*(Inputs!$C$52+(Scenario_Data!E137))*(Inputs!$C$52+((IF(OR(Inputs!$C$27=TRUE,Inputs!$C$27="TRUE",Inputs!$C$27=1),1,0)*(Inputs!$C$51*(115*EXP(-(((Inputs!$C$6)-25)^2)/(4.5^2))+70*EXP(-(((Inputs!$C$6)+38)^2)/(7^2))*(0.55+0.45*SIN(2*PI()*(Scenario_Data!W137)/45))+24*SIN(2*PI()*(Inputs!$C$6)/9+(Scenario_Data!W137)/18)*EXP(-(((Inputs!$C$6)+5)^2)/(22^2))+18*SIN(2*PI()*(Scenario_Data!W137)/70))+Inputs!$C$28*EXP(-(((Scenario_Data!W137)-Inputs!$C$29)^2)/(2*Inputs!$C$31^2))*EXP(-(((Inputs!$C$6)-Inputs!$C$30)^2)/(2*Inputs!$C$32^2))+-Inputs!$C$33*EXP(-(((((Scenario_Data!W137)-Inputs!$C$34)^2)+(((Inputs!$C$6)-Inputs!$C$35)^2))/(2*Inputs!$C$36^2)))+Inputs!$C$37*(0.55*SIN(2*PI()*(Scenario_Data!W137)/Inputs!$C$39)+0.35*COS(2*PI()*(Inputs!$C$6)/Inputs!$C$40)+0.2*SIN(2*PI()*((Scenario_Data!W137)+(Inputs!$C$6))/(0.5*(Inputs!$C$39+Inputs!$C$40))))+Inputs!$C$38*SIN(2*PI()*(Scenario_Data!W137)/Inputs!$C$39)*SIN(2*PI()*(Inputs!$C$6)/Inputs!$C$40)+-Inputs!$C$41*EXP(-(((Inputs!$C$6)-Inputs!$C$43)^2)/(2*Inputs!$C$44^2))*EXP(-(((Scenario_Data!W137)-Inputs!$C$42)^2)/(2*Inputs!$C$45^2))+Inputs!$C$48*(0.7*(0.45*SIN(2*PI()*(((Scenario_Data!W137)/Inputs!$C$49)+Inputs!$C$47*0.137))+0.35*COS(2*PI()*(((Inputs!$C$6)/Inputs!$C$50)+Inputs!$C$47*0.173))+0.2*SIN(2*PI()*((((Scenario_Data!W137)+(Inputs!$C$6))/(0.5*(Inputs!$C$49+Inputs!$C$50)))+Inputs!$C$47*0.097)))+0.3*(2*((SIN(((Scenario_Data!W137)*12.9898+(Inputs!$C$6)*78.233+Inputs!$C$47*37.719))*43758.5453)-INT((SIN(((Scenario_Data!W137)*12.9898+(Inputs!$C$6)*78.233+Inputs!$C$47*37.719))*43758.5453)))-1))))/1000))*COS(SQRT((Scenario_Data!W137)^2+Inputs!$C$6^2)/Inputs!$C$52))*1000)/Inputs!$C$21*1000000</f>
        <v/>
      </c>
    </row>
    <row r="138">
      <c r="A138">
        <f>Chart_Data!K138</f>
        <v/>
      </c>
      <c r="B138">
        <f>Chart_Data!N138-Chart_Data!L138</f>
        <v/>
      </c>
      <c r="D138">
        <f>Chart_Data!G138</f>
        <v/>
      </c>
      <c r="E138">
        <f>Chart_Data!H138</f>
        <v/>
      </c>
      <c r="F138">
        <f>Chart_Data!I138</f>
        <v/>
      </c>
      <c r="G138">
        <f>Chart_Data!J138</f>
        <v/>
      </c>
      <c r="I138">
        <f>Scenario_Data!A138</f>
        <v/>
      </c>
      <c r="J138">
        <f>Scenario_Data!H138-(((SQRT((Inputs!$C$52+(Inputs!$H$6))^2+Inputs!$C$52^2-2*(Inputs!$C$52+(Inputs!$H$6))*Inputs!$C$52*COS(SQRT((Scenario_Data!T138)^2+Inputs!$C$6^2)/Inputs!$C$52)))-(Inputs!$H$6))*1000/Inputs!$C$12)</f>
        <v/>
      </c>
      <c r="K138">
        <f>Scenario_Data!I138-(((SQRT((Inputs!$C$52+(Inputs!$H$7))^2+Inputs!$C$52^2-2*(Inputs!$C$52+(Inputs!$H$7))*Inputs!$C$52*COS(SQRT((Scenario_Data!U138)^2+Inputs!$C$6^2)/Inputs!$C$52)))-(Inputs!$H$7))*1000/Inputs!$C$12)</f>
        <v/>
      </c>
      <c r="L138">
        <f>Scenario_Data!J138-(((SQRT((Inputs!$C$52+(Inputs!$H$8))^2+Inputs!$C$52^2-2*(Inputs!$C$52+(Inputs!$H$8))*Inputs!$C$52*COS(SQRT((Scenario_Data!V138)^2+Inputs!$C$6^2)/Inputs!$C$52)))-(Inputs!$H$8))*1000/Inputs!$C$12)</f>
        <v/>
      </c>
      <c r="M138">
        <f>Scenario_Data!K138-(((SQRT((Inputs!$C$52+(Inputs!$H$9))^2+Inputs!$C$52^2-2*(Inputs!$C$52+(Inputs!$H$9))*Inputs!$C$52*COS(SQRT((Scenario_Data!W138)^2+Inputs!$C$6^2)/Inputs!$C$52)))-(Inputs!$H$9))*1000/Inputs!$C$12)</f>
        <v/>
      </c>
      <c r="O138">
        <f>Scenario_Data!T138</f>
        <v/>
      </c>
      <c r="P138">
        <f>2*(Scenario_Data!B138*1000)/Inputs!$C$21*1000000</f>
        <v/>
      </c>
      <c r="Q138">
        <f>Scenario_Data!U138</f>
        <v/>
      </c>
      <c r="R138">
        <f>2*(Scenario_Data!C138*1000)/Inputs!$C$21*1000000</f>
        <v/>
      </c>
      <c r="S138">
        <f>Scenario_Data!V138</f>
        <v/>
      </c>
      <c r="T138">
        <f>2*(Scenario_Data!D138*1000)/Inputs!$C$21*1000000</f>
        <v/>
      </c>
      <c r="U138">
        <f>Scenario_Data!W138</f>
        <v/>
      </c>
      <c r="V138">
        <f>2*(Scenario_Data!E138*1000)/Inputs!$C$21*1000000</f>
        <v/>
      </c>
      <c r="X138">
        <f>Scenario_Data!T138</f>
        <v/>
      </c>
      <c r="Y138">
        <f>2*((Scenario_Data!B138*1000)-(IF(OR(Inputs!$C$27=TRUE,Inputs!$C$27="TRUE",Inputs!$C$27=1),1,0)*(Inputs!$C$51*(115*EXP(-(((0)-25)^2)/(4.5^2))+70*EXP(-(((0)+38)^2)/(7^2))*(0.55+0.45*SIN(2*PI()*(Scenario_Data!T138)/45))+24*SIN(2*PI()*(0)/9+(Scenario_Data!T138)/18)*EXP(-(((0)+5)^2)/(22^2))+18*SIN(2*PI()*(Scenario_Data!T138)/70))+Inputs!$C$28*EXP(-(((Scenario_Data!T138)-Inputs!$C$29)^2)/(2*Inputs!$C$31^2))*EXP(-(((0)-Inputs!$C$30)^2)/(2*Inputs!$C$32^2))+-Inputs!$C$33*EXP(-(((((Scenario_Data!T138)-Inputs!$C$34)^2)+(((0)-Inputs!$C$35)^2))/(2*Inputs!$C$36^2)))+Inputs!$C$37*(0.55*SIN(2*PI()*(Scenario_Data!T138)/Inputs!$C$39)+0.35*COS(2*PI()*(0)/Inputs!$C$40)+0.2*SIN(2*PI()*((Scenario_Data!T138)+(0))/(0.5*(Inputs!$C$39+Inputs!$C$40))))+Inputs!$C$38*SIN(2*PI()*(Scenario_Data!T138)/Inputs!$C$39)*SIN(2*PI()*(0)/Inputs!$C$40)+-Inputs!$C$41*EXP(-(((0)-Inputs!$C$43)^2)/(2*Inputs!$C$44^2))*EXP(-(((Scenario_Data!T138)-Inputs!$C$42)^2)/(2*Inputs!$C$45^2))+Inputs!$C$48*(0.7*(0.45*SIN(2*PI()*(((Scenario_Data!T138)/Inputs!$C$49)+Inputs!$C$47*0.137))+0.35*COS(2*PI()*(((0)/Inputs!$C$50)+Inputs!$C$47*0.173))+0.2*SIN(2*PI()*((((Scenario_Data!T138)+(0))/(0.5*(Inputs!$C$49+Inputs!$C$50)))+Inputs!$C$47*0.097)))+0.3*(2*((SIN(((Scenario_Data!T138)*12.9898+(0)*78.233+Inputs!$C$47*37.719))*43758.5453)-INT((SIN(((Scenario_Data!T138)*12.9898+(0)*78.233+Inputs!$C$47*37.719))*43758.5453)))-1)))))/Inputs!$C$21*1000000</f>
        <v/>
      </c>
      <c r="Z138">
        <f>Scenario_Data!U138</f>
        <v/>
      </c>
      <c r="AA138">
        <f>2*((Scenario_Data!C138*1000)-(IF(OR(Inputs!$C$27=TRUE,Inputs!$C$27="TRUE",Inputs!$C$27=1),1,0)*(Inputs!$C$51*(115*EXP(-(((0)-25)^2)/(4.5^2))+70*EXP(-(((0)+38)^2)/(7^2))*(0.55+0.45*SIN(2*PI()*(Scenario_Data!U138)/45))+24*SIN(2*PI()*(0)/9+(Scenario_Data!U138)/18)*EXP(-(((0)+5)^2)/(22^2))+18*SIN(2*PI()*(Scenario_Data!U138)/70))+Inputs!$C$28*EXP(-(((Scenario_Data!U138)-Inputs!$C$29)^2)/(2*Inputs!$C$31^2))*EXP(-(((0)-Inputs!$C$30)^2)/(2*Inputs!$C$32^2))+-Inputs!$C$33*EXP(-(((((Scenario_Data!U138)-Inputs!$C$34)^2)+(((0)-Inputs!$C$35)^2))/(2*Inputs!$C$36^2)))+Inputs!$C$37*(0.55*SIN(2*PI()*(Scenario_Data!U138)/Inputs!$C$39)+0.35*COS(2*PI()*(0)/Inputs!$C$40)+0.2*SIN(2*PI()*((Scenario_Data!U138)+(0))/(0.5*(Inputs!$C$39+Inputs!$C$40))))+Inputs!$C$38*SIN(2*PI()*(Scenario_Data!U138)/Inputs!$C$39)*SIN(2*PI()*(0)/Inputs!$C$40)+-Inputs!$C$41*EXP(-(((0)-Inputs!$C$43)^2)/(2*Inputs!$C$44^2))*EXP(-(((Scenario_Data!U138)-Inputs!$C$42)^2)/(2*Inputs!$C$45^2))+Inputs!$C$48*(0.7*(0.45*SIN(2*PI()*(((Scenario_Data!U138)/Inputs!$C$49)+Inputs!$C$47*0.137))+0.35*COS(2*PI()*(((0)/Inputs!$C$50)+Inputs!$C$47*0.173))+0.2*SIN(2*PI()*((((Scenario_Data!U138)+(0))/(0.5*(Inputs!$C$49+Inputs!$C$50)))+Inputs!$C$47*0.097)))+0.3*(2*((SIN(((Scenario_Data!U138)*12.9898+(0)*78.233+Inputs!$C$47*37.719))*43758.5453)-INT((SIN(((Scenario_Data!U138)*12.9898+(0)*78.233+Inputs!$C$47*37.719))*43758.5453)))-1)))))/Inputs!$C$21*1000000</f>
        <v/>
      </c>
      <c r="AB138">
        <f>Scenario_Data!V138</f>
        <v/>
      </c>
      <c r="AC138">
        <f>2*((Scenario_Data!D138*1000)-(IF(OR(Inputs!$C$27=TRUE,Inputs!$C$27="TRUE",Inputs!$C$27=1),1,0)*(Inputs!$C$51*(115*EXP(-(((0)-25)^2)/(4.5^2))+70*EXP(-(((0)+38)^2)/(7^2))*(0.55+0.45*SIN(2*PI()*(Scenario_Data!V138)/45))+24*SIN(2*PI()*(0)/9+(Scenario_Data!V138)/18)*EXP(-(((0)+5)^2)/(22^2))+18*SIN(2*PI()*(Scenario_Data!V138)/70))+Inputs!$C$28*EXP(-(((Scenario_Data!V138)-Inputs!$C$29)^2)/(2*Inputs!$C$31^2))*EXP(-(((0)-Inputs!$C$30)^2)/(2*Inputs!$C$32^2))+-Inputs!$C$33*EXP(-(((((Scenario_Data!V138)-Inputs!$C$34)^2)+(((0)-Inputs!$C$35)^2))/(2*Inputs!$C$36^2)))+Inputs!$C$37*(0.55*SIN(2*PI()*(Scenario_Data!V138)/Inputs!$C$39)+0.35*COS(2*PI()*(0)/Inputs!$C$40)+0.2*SIN(2*PI()*((Scenario_Data!V138)+(0))/(0.5*(Inputs!$C$39+Inputs!$C$40))))+Inputs!$C$38*SIN(2*PI()*(Scenario_Data!V138)/Inputs!$C$39)*SIN(2*PI()*(0)/Inputs!$C$40)+-Inputs!$C$41*EXP(-(((0)-Inputs!$C$43)^2)/(2*Inputs!$C$44^2))*EXP(-(((Scenario_Data!V138)-Inputs!$C$42)^2)/(2*Inputs!$C$45^2))+Inputs!$C$48*(0.7*(0.45*SIN(2*PI()*(((Scenario_Data!V138)/Inputs!$C$49)+Inputs!$C$47*0.137))+0.35*COS(2*PI()*(((0)/Inputs!$C$50)+Inputs!$C$47*0.173))+0.2*SIN(2*PI()*((((Scenario_Data!V138)+(0))/(0.5*(Inputs!$C$49+Inputs!$C$50)))+Inputs!$C$47*0.097)))+0.3*(2*((SIN(((Scenario_Data!V138)*12.9898+(0)*78.233+Inputs!$C$47*37.719))*43758.5453)-INT((SIN(((Scenario_Data!V138)*12.9898+(0)*78.233+Inputs!$C$47*37.719))*43758.5453)))-1)))))/Inputs!$C$21*1000000</f>
        <v/>
      </c>
      <c r="AD138">
        <f>Scenario_Data!W138</f>
        <v/>
      </c>
      <c r="AE138">
        <f>2*((Scenario_Data!E138*1000)-(IF(OR(Inputs!$C$27=TRUE,Inputs!$C$27="TRUE",Inputs!$C$27=1),1,0)*(Inputs!$C$51*(115*EXP(-(((0)-25)^2)/(4.5^2))+70*EXP(-(((0)+38)^2)/(7^2))*(0.55+0.45*SIN(2*PI()*(Scenario_Data!W138)/45))+24*SIN(2*PI()*(0)/9+(Scenario_Data!W138)/18)*EXP(-(((0)+5)^2)/(22^2))+18*SIN(2*PI()*(Scenario_Data!W138)/70))+Inputs!$C$28*EXP(-(((Scenario_Data!W138)-Inputs!$C$29)^2)/(2*Inputs!$C$31^2))*EXP(-(((0)-Inputs!$C$30)^2)/(2*Inputs!$C$32^2))+-Inputs!$C$33*EXP(-(((((Scenario_Data!W138)-Inputs!$C$34)^2)+(((0)-Inputs!$C$35)^2))/(2*Inputs!$C$36^2)))+Inputs!$C$37*(0.55*SIN(2*PI()*(Scenario_Data!W138)/Inputs!$C$39)+0.35*COS(2*PI()*(0)/Inputs!$C$40)+0.2*SIN(2*PI()*((Scenario_Data!W138)+(0))/(0.5*(Inputs!$C$39+Inputs!$C$40))))+Inputs!$C$38*SIN(2*PI()*(Scenario_Data!W138)/Inputs!$C$39)*SIN(2*PI()*(0)/Inputs!$C$40)+-Inputs!$C$41*EXP(-(((0)-Inputs!$C$43)^2)/(2*Inputs!$C$44^2))*EXP(-(((Scenario_Data!W138)-Inputs!$C$42)^2)/(2*Inputs!$C$45^2))+Inputs!$C$48*(0.7*(0.45*SIN(2*PI()*(((Scenario_Data!W138)/Inputs!$C$49)+Inputs!$C$47*0.137))+0.35*COS(2*PI()*(((0)/Inputs!$C$50)+Inputs!$C$47*0.173))+0.2*SIN(2*PI()*((((Scenario_Data!W138)+(0))/(0.5*(Inputs!$C$49+Inputs!$C$50)))+Inputs!$C$47*0.097)))+0.3*(2*((SIN(((Scenario_Data!W138)*12.9898+(0)*78.233+Inputs!$C$47*37.719))*43758.5453)-INT((SIN(((Scenario_Data!W138)*12.9898+(0)*78.233+Inputs!$C$47*37.719))*43758.5453)))-1)))))/Inputs!$C$21*1000000</f>
        <v/>
      </c>
      <c r="AG138">
        <f>Scenario_Data!T138</f>
        <v/>
      </c>
      <c r="AH138">
        <f>2*(SQRT((Inputs!$C$52+(Scenario_Data!B138))^2+Inputs!$C$52^2-2*(Inputs!$C$52+(Scenario_Data!B138))*Inputs!$C$52*COS(SQRT((Scenario_Data!T138)^2+Inputs!$C$6^2)/Inputs!$C$52))*1000)/Inputs!$C$21*1000000</f>
        <v/>
      </c>
      <c r="AI138">
        <f>Scenario_Data!U138</f>
        <v/>
      </c>
      <c r="AJ138">
        <f>2*(SQRT((Inputs!$C$52+(Scenario_Data!C138))^2+Inputs!$C$52^2-2*(Inputs!$C$52+(Scenario_Data!C138))*Inputs!$C$52*COS(SQRT((Scenario_Data!U138)^2+Inputs!$C$6^2)/Inputs!$C$52))*1000)/Inputs!$C$21*1000000</f>
        <v/>
      </c>
      <c r="AK138">
        <f>Scenario_Data!V138</f>
        <v/>
      </c>
      <c r="AL138">
        <f>2*(SQRT((Inputs!$C$52+(Scenario_Data!D138))^2+Inputs!$C$52^2-2*(Inputs!$C$52+(Scenario_Data!D138))*Inputs!$C$52*COS(SQRT((Scenario_Data!V138)^2+Inputs!$C$6^2)/Inputs!$C$52))*1000)/Inputs!$C$21*1000000</f>
        <v/>
      </c>
      <c r="AM138">
        <f>Scenario_Data!W138</f>
        <v/>
      </c>
      <c r="AN138">
        <f>2*(SQRT((Inputs!$C$52+(Scenario_Data!E138))^2+Inputs!$C$52^2-2*(Inputs!$C$52+(Scenario_Data!E138))*Inputs!$C$52*COS(SQRT((Scenario_Data!W138)^2+Inputs!$C$6^2)/Inputs!$C$52))*1000)/Inputs!$C$21*1000000</f>
        <v/>
      </c>
      <c r="AP138">
        <f>Scenario_Data!T138</f>
        <v/>
      </c>
      <c r="AQ138">
        <f>2*(SQRT((Inputs!$C$52+(Scenario_Data!B138))^2+(Inputs!$C$52+((IF(OR(Inputs!$C$27=TRUE,Inputs!$C$27="TRUE",Inputs!$C$27=1),1,0)*(Inputs!$C$51*(115*EXP(-(((Inputs!$C$6)-25)^2)/(4.5^2))+70*EXP(-(((Inputs!$C$6)+38)^2)/(7^2))*(0.55+0.45*SIN(2*PI()*(Scenario_Data!T138)/45))+24*SIN(2*PI()*(Inputs!$C$6)/9+(Scenario_Data!T138)/18)*EXP(-(((Inputs!$C$6)+5)^2)/(22^2))+18*SIN(2*PI()*(Scenario_Data!T138)/70))+Inputs!$C$28*EXP(-(((Scenario_Data!T138)-Inputs!$C$29)^2)/(2*Inputs!$C$31^2))*EXP(-(((Inputs!$C$6)-Inputs!$C$30)^2)/(2*Inputs!$C$32^2))+-Inputs!$C$33*EXP(-(((((Scenario_Data!T138)-Inputs!$C$34)^2)+(((Inputs!$C$6)-Inputs!$C$35)^2))/(2*Inputs!$C$36^2)))+Inputs!$C$37*(0.55*SIN(2*PI()*(Scenario_Data!T138)/Inputs!$C$39)+0.35*COS(2*PI()*(Inputs!$C$6)/Inputs!$C$40)+0.2*SIN(2*PI()*((Scenario_Data!T138)+(Inputs!$C$6))/(0.5*(Inputs!$C$39+Inputs!$C$40))))+Inputs!$C$38*SIN(2*PI()*(Scenario_Data!T138)/Inputs!$C$39)*SIN(2*PI()*(Inputs!$C$6)/Inputs!$C$40)+-Inputs!$C$41*EXP(-(((Inputs!$C$6)-Inputs!$C$43)^2)/(2*Inputs!$C$44^2))*EXP(-(((Scenario_Data!T138)-Inputs!$C$42)^2)/(2*Inputs!$C$45^2))+Inputs!$C$48*(0.7*(0.45*SIN(2*PI()*(((Scenario_Data!T138)/Inputs!$C$49)+Inputs!$C$47*0.137))+0.35*COS(2*PI()*(((Inputs!$C$6)/Inputs!$C$50)+Inputs!$C$47*0.173))+0.2*SIN(2*PI()*((((Scenario_Data!T138)+(Inputs!$C$6))/(0.5*(Inputs!$C$49+Inputs!$C$50)))+Inputs!$C$47*0.097)))+0.3*(2*((SIN(((Scenario_Data!T138)*12.9898+(Inputs!$C$6)*78.233+Inputs!$C$47*37.719))*43758.5453)-INT((SIN(((Scenario_Data!T138)*12.9898+(Inputs!$C$6)*78.233+Inputs!$C$47*37.719))*43758.5453)))-1))))/1000))^2-2*(Inputs!$C$52+(Scenario_Data!B138))*(Inputs!$C$52+((IF(OR(Inputs!$C$27=TRUE,Inputs!$C$27="TRUE",Inputs!$C$27=1),1,0)*(Inputs!$C$51*(115*EXP(-(((Inputs!$C$6)-25)^2)/(4.5^2))+70*EXP(-(((Inputs!$C$6)+38)^2)/(7^2))*(0.55+0.45*SIN(2*PI()*(Scenario_Data!T138)/45))+24*SIN(2*PI()*(Inputs!$C$6)/9+(Scenario_Data!T138)/18)*EXP(-(((Inputs!$C$6)+5)^2)/(22^2))+18*SIN(2*PI()*(Scenario_Data!T138)/70))+Inputs!$C$28*EXP(-(((Scenario_Data!T138)-Inputs!$C$29)^2)/(2*Inputs!$C$31^2))*EXP(-(((Inputs!$C$6)-Inputs!$C$30)^2)/(2*Inputs!$C$32^2))+-Inputs!$C$33*EXP(-(((((Scenario_Data!T138)-Inputs!$C$34)^2)+(((Inputs!$C$6)-Inputs!$C$35)^2))/(2*Inputs!$C$36^2)))+Inputs!$C$37*(0.55*SIN(2*PI()*(Scenario_Data!T138)/Inputs!$C$39)+0.35*COS(2*PI()*(Inputs!$C$6)/Inputs!$C$40)+0.2*SIN(2*PI()*((Scenario_Data!T138)+(Inputs!$C$6))/(0.5*(Inputs!$C$39+Inputs!$C$40))))+Inputs!$C$38*SIN(2*PI()*(Scenario_Data!T138)/Inputs!$C$39)*SIN(2*PI()*(Inputs!$C$6)/Inputs!$C$40)+-Inputs!$C$41*EXP(-(((Inputs!$C$6)-Inputs!$C$43)^2)/(2*Inputs!$C$44^2))*EXP(-(((Scenario_Data!T138)-Inputs!$C$42)^2)/(2*Inputs!$C$45^2))+Inputs!$C$48*(0.7*(0.45*SIN(2*PI()*(((Scenario_Data!T138)/Inputs!$C$49)+Inputs!$C$47*0.137))+0.35*COS(2*PI()*(((Inputs!$C$6)/Inputs!$C$50)+Inputs!$C$47*0.173))+0.2*SIN(2*PI()*((((Scenario_Data!T138)+(Inputs!$C$6))/(0.5*(Inputs!$C$49+Inputs!$C$50)))+Inputs!$C$47*0.097)))+0.3*(2*((SIN(((Scenario_Data!T138)*12.9898+(Inputs!$C$6)*78.233+Inputs!$C$47*37.719))*43758.5453)-INT((SIN(((Scenario_Data!T138)*12.9898+(Inputs!$C$6)*78.233+Inputs!$C$47*37.719))*43758.5453)))-1))))/1000))*COS(SQRT((Scenario_Data!T138)^2+Inputs!$C$6^2)/Inputs!$C$52))*1000)/Inputs!$C$21*1000000</f>
        <v/>
      </c>
      <c r="AR138">
        <f>Scenario_Data!U138</f>
        <v/>
      </c>
      <c r="AS138">
        <f>2*(SQRT((Inputs!$C$52+(Scenario_Data!C138))^2+(Inputs!$C$52+((IF(OR(Inputs!$C$27=TRUE,Inputs!$C$27="TRUE",Inputs!$C$27=1),1,0)*(Inputs!$C$51*(115*EXP(-(((Inputs!$C$6)-25)^2)/(4.5^2))+70*EXP(-(((Inputs!$C$6)+38)^2)/(7^2))*(0.55+0.45*SIN(2*PI()*(Scenario_Data!U138)/45))+24*SIN(2*PI()*(Inputs!$C$6)/9+(Scenario_Data!U138)/18)*EXP(-(((Inputs!$C$6)+5)^2)/(22^2))+18*SIN(2*PI()*(Scenario_Data!U138)/70))+Inputs!$C$28*EXP(-(((Scenario_Data!U138)-Inputs!$C$29)^2)/(2*Inputs!$C$31^2))*EXP(-(((Inputs!$C$6)-Inputs!$C$30)^2)/(2*Inputs!$C$32^2))+-Inputs!$C$33*EXP(-(((((Scenario_Data!U138)-Inputs!$C$34)^2)+(((Inputs!$C$6)-Inputs!$C$35)^2))/(2*Inputs!$C$36^2)))+Inputs!$C$37*(0.55*SIN(2*PI()*(Scenario_Data!U138)/Inputs!$C$39)+0.35*COS(2*PI()*(Inputs!$C$6)/Inputs!$C$40)+0.2*SIN(2*PI()*((Scenario_Data!U138)+(Inputs!$C$6))/(0.5*(Inputs!$C$39+Inputs!$C$40))))+Inputs!$C$38*SIN(2*PI()*(Scenario_Data!U138)/Inputs!$C$39)*SIN(2*PI()*(Inputs!$C$6)/Inputs!$C$40)+-Inputs!$C$41*EXP(-(((Inputs!$C$6)-Inputs!$C$43)^2)/(2*Inputs!$C$44^2))*EXP(-(((Scenario_Data!U138)-Inputs!$C$42)^2)/(2*Inputs!$C$45^2))+Inputs!$C$48*(0.7*(0.45*SIN(2*PI()*(((Scenario_Data!U138)/Inputs!$C$49)+Inputs!$C$47*0.137))+0.35*COS(2*PI()*(((Inputs!$C$6)/Inputs!$C$50)+Inputs!$C$47*0.173))+0.2*SIN(2*PI()*((((Scenario_Data!U138)+(Inputs!$C$6))/(0.5*(Inputs!$C$49+Inputs!$C$50)))+Inputs!$C$47*0.097)))+0.3*(2*((SIN(((Scenario_Data!U138)*12.9898+(Inputs!$C$6)*78.233+Inputs!$C$47*37.719))*43758.5453)-INT((SIN(((Scenario_Data!U138)*12.9898+(Inputs!$C$6)*78.233+Inputs!$C$47*37.719))*43758.5453)))-1))))/1000))^2-2*(Inputs!$C$52+(Scenario_Data!C138))*(Inputs!$C$52+((IF(OR(Inputs!$C$27=TRUE,Inputs!$C$27="TRUE",Inputs!$C$27=1),1,0)*(Inputs!$C$51*(115*EXP(-(((Inputs!$C$6)-25)^2)/(4.5^2))+70*EXP(-(((Inputs!$C$6)+38)^2)/(7^2))*(0.55+0.45*SIN(2*PI()*(Scenario_Data!U138)/45))+24*SIN(2*PI()*(Inputs!$C$6)/9+(Scenario_Data!U138)/18)*EXP(-(((Inputs!$C$6)+5)^2)/(22^2))+18*SIN(2*PI()*(Scenario_Data!U138)/70))+Inputs!$C$28*EXP(-(((Scenario_Data!U138)-Inputs!$C$29)^2)/(2*Inputs!$C$31^2))*EXP(-(((Inputs!$C$6)-Inputs!$C$30)^2)/(2*Inputs!$C$32^2))+-Inputs!$C$33*EXP(-(((((Scenario_Data!U138)-Inputs!$C$34)^2)+(((Inputs!$C$6)-Inputs!$C$35)^2))/(2*Inputs!$C$36^2)))+Inputs!$C$37*(0.55*SIN(2*PI()*(Scenario_Data!U138)/Inputs!$C$39)+0.35*COS(2*PI()*(Inputs!$C$6)/Inputs!$C$40)+0.2*SIN(2*PI()*((Scenario_Data!U138)+(Inputs!$C$6))/(0.5*(Inputs!$C$39+Inputs!$C$40))))+Inputs!$C$38*SIN(2*PI()*(Scenario_Data!U138)/Inputs!$C$39)*SIN(2*PI()*(Inputs!$C$6)/Inputs!$C$40)+-Inputs!$C$41*EXP(-(((Inputs!$C$6)-Inputs!$C$43)^2)/(2*Inputs!$C$44^2))*EXP(-(((Scenario_Data!U138)-Inputs!$C$42)^2)/(2*Inputs!$C$45^2))+Inputs!$C$48*(0.7*(0.45*SIN(2*PI()*(((Scenario_Data!U138)/Inputs!$C$49)+Inputs!$C$47*0.137))+0.35*COS(2*PI()*(((Inputs!$C$6)/Inputs!$C$50)+Inputs!$C$47*0.173))+0.2*SIN(2*PI()*((((Scenario_Data!U138)+(Inputs!$C$6))/(0.5*(Inputs!$C$49+Inputs!$C$50)))+Inputs!$C$47*0.097)))+0.3*(2*((SIN(((Scenario_Data!U138)*12.9898+(Inputs!$C$6)*78.233+Inputs!$C$47*37.719))*43758.5453)-INT((SIN(((Scenario_Data!U138)*12.9898+(Inputs!$C$6)*78.233+Inputs!$C$47*37.719))*43758.5453)))-1))))/1000))*COS(SQRT((Scenario_Data!U138)^2+Inputs!$C$6^2)/Inputs!$C$52))*1000)/Inputs!$C$21*1000000</f>
        <v/>
      </c>
      <c r="AT138">
        <f>Scenario_Data!V138</f>
        <v/>
      </c>
      <c r="AU138">
        <f>2*(SQRT((Inputs!$C$52+(Scenario_Data!D138))^2+(Inputs!$C$52+((IF(OR(Inputs!$C$27=TRUE,Inputs!$C$27="TRUE",Inputs!$C$27=1),1,0)*(Inputs!$C$51*(115*EXP(-(((Inputs!$C$6)-25)^2)/(4.5^2))+70*EXP(-(((Inputs!$C$6)+38)^2)/(7^2))*(0.55+0.45*SIN(2*PI()*(Scenario_Data!V138)/45))+24*SIN(2*PI()*(Inputs!$C$6)/9+(Scenario_Data!V138)/18)*EXP(-(((Inputs!$C$6)+5)^2)/(22^2))+18*SIN(2*PI()*(Scenario_Data!V138)/70))+Inputs!$C$28*EXP(-(((Scenario_Data!V138)-Inputs!$C$29)^2)/(2*Inputs!$C$31^2))*EXP(-(((Inputs!$C$6)-Inputs!$C$30)^2)/(2*Inputs!$C$32^2))+-Inputs!$C$33*EXP(-(((((Scenario_Data!V138)-Inputs!$C$34)^2)+(((Inputs!$C$6)-Inputs!$C$35)^2))/(2*Inputs!$C$36^2)))+Inputs!$C$37*(0.55*SIN(2*PI()*(Scenario_Data!V138)/Inputs!$C$39)+0.35*COS(2*PI()*(Inputs!$C$6)/Inputs!$C$40)+0.2*SIN(2*PI()*((Scenario_Data!V138)+(Inputs!$C$6))/(0.5*(Inputs!$C$39+Inputs!$C$40))))+Inputs!$C$38*SIN(2*PI()*(Scenario_Data!V138)/Inputs!$C$39)*SIN(2*PI()*(Inputs!$C$6)/Inputs!$C$40)+-Inputs!$C$41*EXP(-(((Inputs!$C$6)-Inputs!$C$43)^2)/(2*Inputs!$C$44^2))*EXP(-(((Scenario_Data!V138)-Inputs!$C$42)^2)/(2*Inputs!$C$45^2))+Inputs!$C$48*(0.7*(0.45*SIN(2*PI()*(((Scenario_Data!V138)/Inputs!$C$49)+Inputs!$C$47*0.137))+0.35*COS(2*PI()*(((Inputs!$C$6)/Inputs!$C$50)+Inputs!$C$47*0.173))+0.2*SIN(2*PI()*((((Scenario_Data!V138)+(Inputs!$C$6))/(0.5*(Inputs!$C$49+Inputs!$C$50)))+Inputs!$C$47*0.097)))+0.3*(2*((SIN(((Scenario_Data!V138)*12.9898+(Inputs!$C$6)*78.233+Inputs!$C$47*37.719))*43758.5453)-INT((SIN(((Scenario_Data!V138)*12.9898+(Inputs!$C$6)*78.233+Inputs!$C$47*37.719))*43758.5453)))-1))))/1000))^2-2*(Inputs!$C$52+(Scenario_Data!D138))*(Inputs!$C$52+((IF(OR(Inputs!$C$27=TRUE,Inputs!$C$27="TRUE",Inputs!$C$27=1),1,0)*(Inputs!$C$51*(115*EXP(-(((Inputs!$C$6)-25)^2)/(4.5^2))+70*EXP(-(((Inputs!$C$6)+38)^2)/(7^2))*(0.55+0.45*SIN(2*PI()*(Scenario_Data!V138)/45))+24*SIN(2*PI()*(Inputs!$C$6)/9+(Scenario_Data!V138)/18)*EXP(-(((Inputs!$C$6)+5)^2)/(22^2))+18*SIN(2*PI()*(Scenario_Data!V138)/70))+Inputs!$C$28*EXP(-(((Scenario_Data!V138)-Inputs!$C$29)^2)/(2*Inputs!$C$31^2))*EXP(-(((Inputs!$C$6)-Inputs!$C$30)^2)/(2*Inputs!$C$32^2))+-Inputs!$C$33*EXP(-(((((Scenario_Data!V138)-Inputs!$C$34)^2)+(((Inputs!$C$6)-Inputs!$C$35)^2))/(2*Inputs!$C$36^2)))+Inputs!$C$37*(0.55*SIN(2*PI()*(Scenario_Data!V138)/Inputs!$C$39)+0.35*COS(2*PI()*(Inputs!$C$6)/Inputs!$C$40)+0.2*SIN(2*PI()*((Scenario_Data!V138)+(Inputs!$C$6))/(0.5*(Inputs!$C$39+Inputs!$C$40))))+Inputs!$C$38*SIN(2*PI()*(Scenario_Data!V138)/Inputs!$C$39)*SIN(2*PI()*(Inputs!$C$6)/Inputs!$C$40)+-Inputs!$C$41*EXP(-(((Inputs!$C$6)-Inputs!$C$43)^2)/(2*Inputs!$C$44^2))*EXP(-(((Scenario_Data!V138)-Inputs!$C$42)^2)/(2*Inputs!$C$45^2))+Inputs!$C$48*(0.7*(0.45*SIN(2*PI()*(((Scenario_Data!V138)/Inputs!$C$49)+Inputs!$C$47*0.137))+0.35*COS(2*PI()*(((Inputs!$C$6)/Inputs!$C$50)+Inputs!$C$47*0.173))+0.2*SIN(2*PI()*((((Scenario_Data!V138)+(Inputs!$C$6))/(0.5*(Inputs!$C$49+Inputs!$C$50)))+Inputs!$C$47*0.097)))+0.3*(2*((SIN(((Scenario_Data!V138)*12.9898+(Inputs!$C$6)*78.233+Inputs!$C$47*37.719))*43758.5453)-INT((SIN(((Scenario_Data!V138)*12.9898+(Inputs!$C$6)*78.233+Inputs!$C$47*37.719))*43758.5453)))-1))))/1000))*COS(SQRT((Scenario_Data!V138)^2+Inputs!$C$6^2)/Inputs!$C$52))*1000)/Inputs!$C$21*1000000</f>
        <v/>
      </c>
      <c r="AV138">
        <f>Scenario_Data!W138</f>
        <v/>
      </c>
      <c r="AW138">
        <f>2*(SQRT((Inputs!$C$52+(Scenario_Data!E138))^2+(Inputs!$C$52+((IF(OR(Inputs!$C$27=TRUE,Inputs!$C$27="TRUE",Inputs!$C$27=1),1,0)*(Inputs!$C$51*(115*EXP(-(((Inputs!$C$6)-25)^2)/(4.5^2))+70*EXP(-(((Inputs!$C$6)+38)^2)/(7^2))*(0.55+0.45*SIN(2*PI()*(Scenario_Data!W138)/45))+24*SIN(2*PI()*(Inputs!$C$6)/9+(Scenario_Data!W138)/18)*EXP(-(((Inputs!$C$6)+5)^2)/(22^2))+18*SIN(2*PI()*(Scenario_Data!W138)/70))+Inputs!$C$28*EXP(-(((Scenario_Data!W138)-Inputs!$C$29)^2)/(2*Inputs!$C$31^2))*EXP(-(((Inputs!$C$6)-Inputs!$C$30)^2)/(2*Inputs!$C$32^2))+-Inputs!$C$33*EXP(-(((((Scenario_Data!W138)-Inputs!$C$34)^2)+(((Inputs!$C$6)-Inputs!$C$35)^2))/(2*Inputs!$C$36^2)))+Inputs!$C$37*(0.55*SIN(2*PI()*(Scenario_Data!W138)/Inputs!$C$39)+0.35*COS(2*PI()*(Inputs!$C$6)/Inputs!$C$40)+0.2*SIN(2*PI()*((Scenario_Data!W138)+(Inputs!$C$6))/(0.5*(Inputs!$C$39+Inputs!$C$40))))+Inputs!$C$38*SIN(2*PI()*(Scenario_Data!W138)/Inputs!$C$39)*SIN(2*PI()*(Inputs!$C$6)/Inputs!$C$40)+-Inputs!$C$41*EXP(-(((Inputs!$C$6)-Inputs!$C$43)^2)/(2*Inputs!$C$44^2))*EXP(-(((Scenario_Data!W138)-Inputs!$C$42)^2)/(2*Inputs!$C$45^2))+Inputs!$C$48*(0.7*(0.45*SIN(2*PI()*(((Scenario_Data!W138)/Inputs!$C$49)+Inputs!$C$47*0.137))+0.35*COS(2*PI()*(((Inputs!$C$6)/Inputs!$C$50)+Inputs!$C$47*0.173))+0.2*SIN(2*PI()*((((Scenario_Data!W138)+(Inputs!$C$6))/(0.5*(Inputs!$C$49+Inputs!$C$50)))+Inputs!$C$47*0.097)))+0.3*(2*((SIN(((Scenario_Data!W138)*12.9898+(Inputs!$C$6)*78.233+Inputs!$C$47*37.719))*43758.5453)-INT((SIN(((Scenario_Data!W138)*12.9898+(Inputs!$C$6)*78.233+Inputs!$C$47*37.719))*43758.5453)))-1))))/1000))^2-2*(Inputs!$C$52+(Scenario_Data!E138))*(Inputs!$C$52+((IF(OR(Inputs!$C$27=TRUE,Inputs!$C$27="TRUE",Inputs!$C$27=1),1,0)*(Inputs!$C$51*(115*EXP(-(((Inputs!$C$6)-25)^2)/(4.5^2))+70*EXP(-(((Inputs!$C$6)+38)^2)/(7^2))*(0.55+0.45*SIN(2*PI()*(Scenario_Data!W138)/45))+24*SIN(2*PI()*(Inputs!$C$6)/9+(Scenario_Data!W138)/18)*EXP(-(((Inputs!$C$6)+5)^2)/(22^2))+18*SIN(2*PI()*(Scenario_Data!W138)/70))+Inputs!$C$28*EXP(-(((Scenario_Data!W138)-Inputs!$C$29)^2)/(2*Inputs!$C$31^2))*EXP(-(((Inputs!$C$6)-Inputs!$C$30)^2)/(2*Inputs!$C$32^2))+-Inputs!$C$33*EXP(-(((((Scenario_Data!W138)-Inputs!$C$34)^2)+(((Inputs!$C$6)-Inputs!$C$35)^2))/(2*Inputs!$C$36^2)))+Inputs!$C$37*(0.55*SIN(2*PI()*(Scenario_Data!W138)/Inputs!$C$39)+0.35*COS(2*PI()*(Inputs!$C$6)/Inputs!$C$40)+0.2*SIN(2*PI()*((Scenario_Data!W138)+(Inputs!$C$6))/(0.5*(Inputs!$C$39+Inputs!$C$40))))+Inputs!$C$38*SIN(2*PI()*(Scenario_Data!W138)/Inputs!$C$39)*SIN(2*PI()*(Inputs!$C$6)/Inputs!$C$40)+-Inputs!$C$41*EXP(-(((Inputs!$C$6)-Inputs!$C$43)^2)/(2*Inputs!$C$44^2))*EXP(-(((Scenario_Data!W138)-Inputs!$C$42)^2)/(2*Inputs!$C$45^2))+Inputs!$C$48*(0.7*(0.45*SIN(2*PI()*(((Scenario_Data!W138)/Inputs!$C$49)+Inputs!$C$47*0.137))+0.35*COS(2*PI()*(((Inputs!$C$6)/Inputs!$C$50)+Inputs!$C$47*0.173))+0.2*SIN(2*PI()*((((Scenario_Data!W138)+(Inputs!$C$6))/(0.5*(Inputs!$C$49+Inputs!$C$50)))+Inputs!$C$47*0.097)))+0.3*(2*((SIN(((Scenario_Data!W138)*12.9898+(Inputs!$C$6)*78.233+Inputs!$C$47*37.719))*43758.5453)-INT((SIN(((Scenario_Data!W138)*12.9898+(Inputs!$C$6)*78.233+Inputs!$C$47*37.719))*43758.5453)))-1))))/1000))*COS(SQRT((Scenario_Data!W138)^2+Inputs!$C$6^2)/Inputs!$C$52))*1000)/Inputs!$C$21*1000000</f>
        <v/>
      </c>
    </row>
    <row r="139">
      <c r="A139">
        <f>Chart_Data!K139</f>
        <v/>
      </c>
      <c r="B139">
        <f>Chart_Data!N139-Chart_Data!L139</f>
        <v/>
      </c>
      <c r="D139">
        <f>Chart_Data!G139</f>
        <v/>
      </c>
      <c r="E139">
        <f>Chart_Data!H139</f>
        <v/>
      </c>
      <c r="F139">
        <f>Chart_Data!I139</f>
        <v/>
      </c>
      <c r="G139">
        <f>Chart_Data!J139</f>
        <v/>
      </c>
      <c r="I139">
        <f>Scenario_Data!A139</f>
        <v/>
      </c>
      <c r="J139">
        <f>Scenario_Data!H139-(((SQRT((Inputs!$C$52+(Inputs!$H$6))^2+Inputs!$C$52^2-2*(Inputs!$C$52+(Inputs!$H$6))*Inputs!$C$52*COS(SQRT((Scenario_Data!T139)^2+Inputs!$C$6^2)/Inputs!$C$52)))-(Inputs!$H$6))*1000/Inputs!$C$12)</f>
        <v/>
      </c>
      <c r="K139">
        <f>Scenario_Data!I139-(((SQRT((Inputs!$C$52+(Inputs!$H$7))^2+Inputs!$C$52^2-2*(Inputs!$C$52+(Inputs!$H$7))*Inputs!$C$52*COS(SQRT((Scenario_Data!U139)^2+Inputs!$C$6^2)/Inputs!$C$52)))-(Inputs!$H$7))*1000/Inputs!$C$12)</f>
        <v/>
      </c>
      <c r="L139">
        <f>Scenario_Data!J139-(((SQRT((Inputs!$C$52+(Inputs!$H$8))^2+Inputs!$C$52^2-2*(Inputs!$C$52+(Inputs!$H$8))*Inputs!$C$52*COS(SQRT((Scenario_Data!V139)^2+Inputs!$C$6^2)/Inputs!$C$52)))-(Inputs!$H$8))*1000/Inputs!$C$12)</f>
        <v/>
      </c>
      <c r="M139">
        <f>Scenario_Data!K139-(((SQRT((Inputs!$C$52+(Inputs!$H$9))^2+Inputs!$C$52^2-2*(Inputs!$C$52+(Inputs!$H$9))*Inputs!$C$52*COS(SQRT((Scenario_Data!W139)^2+Inputs!$C$6^2)/Inputs!$C$52)))-(Inputs!$H$9))*1000/Inputs!$C$12)</f>
        <v/>
      </c>
      <c r="O139">
        <f>Scenario_Data!T139</f>
        <v/>
      </c>
      <c r="P139">
        <f>2*(Scenario_Data!B139*1000)/Inputs!$C$21*1000000</f>
        <v/>
      </c>
      <c r="Q139">
        <f>Scenario_Data!U139</f>
        <v/>
      </c>
      <c r="R139">
        <f>2*(Scenario_Data!C139*1000)/Inputs!$C$21*1000000</f>
        <v/>
      </c>
      <c r="S139">
        <f>Scenario_Data!V139</f>
        <v/>
      </c>
      <c r="T139">
        <f>2*(Scenario_Data!D139*1000)/Inputs!$C$21*1000000</f>
        <v/>
      </c>
      <c r="U139">
        <f>Scenario_Data!W139</f>
        <v/>
      </c>
      <c r="V139">
        <f>2*(Scenario_Data!E139*1000)/Inputs!$C$21*1000000</f>
        <v/>
      </c>
      <c r="X139">
        <f>Scenario_Data!T139</f>
        <v/>
      </c>
      <c r="Y139">
        <f>2*((Scenario_Data!B139*1000)-(IF(OR(Inputs!$C$27=TRUE,Inputs!$C$27="TRUE",Inputs!$C$27=1),1,0)*(Inputs!$C$51*(115*EXP(-(((0)-25)^2)/(4.5^2))+70*EXP(-(((0)+38)^2)/(7^2))*(0.55+0.45*SIN(2*PI()*(Scenario_Data!T139)/45))+24*SIN(2*PI()*(0)/9+(Scenario_Data!T139)/18)*EXP(-(((0)+5)^2)/(22^2))+18*SIN(2*PI()*(Scenario_Data!T139)/70))+Inputs!$C$28*EXP(-(((Scenario_Data!T139)-Inputs!$C$29)^2)/(2*Inputs!$C$31^2))*EXP(-(((0)-Inputs!$C$30)^2)/(2*Inputs!$C$32^2))+-Inputs!$C$33*EXP(-(((((Scenario_Data!T139)-Inputs!$C$34)^2)+(((0)-Inputs!$C$35)^2))/(2*Inputs!$C$36^2)))+Inputs!$C$37*(0.55*SIN(2*PI()*(Scenario_Data!T139)/Inputs!$C$39)+0.35*COS(2*PI()*(0)/Inputs!$C$40)+0.2*SIN(2*PI()*((Scenario_Data!T139)+(0))/(0.5*(Inputs!$C$39+Inputs!$C$40))))+Inputs!$C$38*SIN(2*PI()*(Scenario_Data!T139)/Inputs!$C$39)*SIN(2*PI()*(0)/Inputs!$C$40)+-Inputs!$C$41*EXP(-(((0)-Inputs!$C$43)^2)/(2*Inputs!$C$44^2))*EXP(-(((Scenario_Data!T139)-Inputs!$C$42)^2)/(2*Inputs!$C$45^2))+Inputs!$C$48*(0.7*(0.45*SIN(2*PI()*(((Scenario_Data!T139)/Inputs!$C$49)+Inputs!$C$47*0.137))+0.35*COS(2*PI()*(((0)/Inputs!$C$50)+Inputs!$C$47*0.173))+0.2*SIN(2*PI()*((((Scenario_Data!T139)+(0))/(0.5*(Inputs!$C$49+Inputs!$C$50)))+Inputs!$C$47*0.097)))+0.3*(2*((SIN(((Scenario_Data!T139)*12.9898+(0)*78.233+Inputs!$C$47*37.719))*43758.5453)-INT((SIN(((Scenario_Data!T139)*12.9898+(0)*78.233+Inputs!$C$47*37.719))*43758.5453)))-1)))))/Inputs!$C$21*1000000</f>
        <v/>
      </c>
      <c r="Z139">
        <f>Scenario_Data!U139</f>
        <v/>
      </c>
      <c r="AA139">
        <f>2*((Scenario_Data!C139*1000)-(IF(OR(Inputs!$C$27=TRUE,Inputs!$C$27="TRUE",Inputs!$C$27=1),1,0)*(Inputs!$C$51*(115*EXP(-(((0)-25)^2)/(4.5^2))+70*EXP(-(((0)+38)^2)/(7^2))*(0.55+0.45*SIN(2*PI()*(Scenario_Data!U139)/45))+24*SIN(2*PI()*(0)/9+(Scenario_Data!U139)/18)*EXP(-(((0)+5)^2)/(22^2))+18*SIN(2*PI()*(Scenario_Data!U139)/70))+Inputs!$C$28*EXP(-(((Scenario_Data!U139)-Inputs!$C$29)^2)/(2*Inputs!$C$31^2))*EXP(-(((0)-Inputs!$C$30)^2)/(2*Inputs!$C$32^2))+-Inputs!$C$33*EXP(-(((((Scenario_Data!U139)-Inputs!$C$34)^2)+(((0)-Inputs!$C$35)^2))/(2*Inputs!$C$36^2)))+Inputs!$C$37*(0.55*SIN(2*PI()*(Scenario_Data!U139)/Inputs!$C$39)+0.35*COS(2*PI()*(0)/Inputs!$C$40)+0.2*SIN(2*PI()*((Scenario_Data!U139)+(0))/(0.5*(Inputs!$C$39+Inputs!$C$40))))+Inputs!$C$38*SIN(2*PI()*(Scenario_Data!U139)/Inputs!$C$39)*SIN(2*PI()*(0)/Inputs!$C$40)+-Inputs!$C$41*EXP(-(((0)-Inputs!$C$43)^2)/(2*Inputs!$C$44^2))*EXP(-(((Scenario_Data!U139)-Inputs!$C$42)^2)/(2*Inputs!$C$45^2))+Inputs!$C$48*(0.7*(0.45*SIN(2*PI()*(((Scenario_Data!U139)/Inputs!$C$49)+Inputs!$C$47*0.137))+0.35*COS(2*PI()*(((0)/Inputs!$C$50)+Inputs!$C$47*0.173))+0.2*SIN(2*PI()*((((Scenario_Data!U139)+(0))/(0.5*(Inputs!$C$49+Inputs!$C$50)))+Inputs!$C$47*0.097)))+0.3*(2*((SIN(((Scenario_Data!U139)*12.9898+(0)*78.233+Inputs!$C$47*37.719))*43758.5453)-INT((SIN(((Scenario_Data!U139)*12.9898+(0)*78.233+Inputs!$C$47*37.719))*43758.5453)))-1)))))/Inputs!$C$21*1000000</f>
        <v/>
      </c>
      <c r="AB139">
        <f>Scenario_Data!V139</f>
        <v/>
      </c>
      <c r="AC139">
        <f>2*((Scenario_Data!D139*1000)-(IF(OR(Inputs!$C$27=TRUE,Inputs!$C$27="TRUE",Inputs!$C$27=1),1,0)*(Inputs!$C$51*(115*EXP(-(((0)-25)^2)/(4.5^2))+70*EXP(-(((0)+38)^2)/(7^2))*(0.55+0.45*SIN(2*PI()*(Scenario_Data!V139)/45))+24*SIN(2*PI()*(0)/9+(Scenario_Data!V139)/18)*EXP(-(((0)+5)^2)/(22^2))+18*SIN(2*PI()*(Scenario_Data!V139)/70))+Inputs!$C$28*EXP(-(((Scenario_Data!V139)-Inputs!$C$29)^2)/(2*Inputs!$C$31^2))*EXP(-(((0)-Inputs!$C$30)^2)/(2*Inputs!$C$32^2))+-Inputs!$C$33*EXP(-(((((Scenario_Data!V139)-Inputs!$C$34)^2)+(((0)-Inputs!$C$35)^2))/(2*Inputs!$C$36^2)))+Inputs!$C$37*(0.55*SIN(2*PI()*(Scenario_Data!V139)/Inputs!$C$39)+0.35*COS(2*PI()*(0)/Inputs!$C$40)+0.2*SIN(2*PI()*((Scenario_Data!V139)+(0))/(0.5*(Inputs!$C$39+Inputs!$C$40))))+Inputs!$C$38*SIN(2*PI()*(Scenario_Data!V139)/Inputs!$C$39)*SIN(2*PI()*(0)/Inputs!$C$40)+-Inputs!$C$41*EXP(-(((0)-Inputs!$C$43)^2)/(2*Inputs!$C$44^2))*EXP(-(((Scenario_Data!V139)-Inputs!$C$42)^2)/(2*Inputs!$C$45^2))+Inputs!$C$48*(0.7*(0.45*SIN(2*PI()*(((Scenario_Data!V139)/Inputs!$C$49)+Inputs!$C$47*0.137))+0.35*COS(2*PI()*(((0)/Inputs!$C$50)+Inputs!$C$47*0.173))+0.2*SIN(2*PI()*((((Scenario_Data!V139)+(0))/(0.5*(Inputs!$C$49+Inputs!$C$50)))+Inputs!$C$47*0.097)))+0.3*(2*((SIN(((Scenario_Data!V139)*12.9898+(0)*78.233+Inputs!$C$47*37.719))*43758.5453)-INT((SIN(((Scenario_Data!V139)*12.9898+(0)*78.233+Inputs!$C$47*37.719))*43758.5453)))-1)))))/Inputs!$C$21*1000000</f>
        <v/>
      </c>
      <c r="AD139">
        <f>Scenario_Data!W139</f>
        <v/>
      </c>
      <c r="AE139">
        <f>2*((Scenario_Data!E139*1000)-(IF(OR(Inputs!$C$27=TRUE,Inputs!$C$27="TRUE",Inputs!$C$27=1),1,0)*(Inputs!$C$51*(115*EXP(-(((0)-25)^2)/(4.5^2))+70*EXP(-(((0)+38)^2)/(7^2))*(0.55+0.45*SIN(2*PI()*(Scenario_Data!W139)/45))+24*SIN(2*PI()*(0)/9+(Scenario_Data!W139)/18)*EXP(-(((0)+5)^2)/(22^2))+18*SIN(2*PI()*(Scenario_Data!W139)/70))+Inputs!$C$28*EXP(-(((Scenario_Data!W139)-Inputs!$C$29)^2)/(2*Inputs!$C$31^2))*EXP(-(((0)-Inputs!$C$30)^2)/(2*Inputs!$C$32^2))+-Inputs!$C$33*EXP(-(((((Scenario_Data!W139)-Inputs!$C$34)^2)+(((0)-Inputs!$C$35)^2))/(2*Inputs!$C$36^2)))+Inputs!$C$37*(0.55*SIN(2*PI()*(Scenario_Data!W139)/Inputs!$C$39)+0.35*COS(2*PI()*(0)/Inputs!$C$40)+0.2*SIN(2*PI()*((Scenario_Data!W139)+(0))/(0.5*(Inputs!$C$39+Inputs!$C$40))))+Inputs!$C$38*SIN(2*PI()*(Scenario_Data!W139)/Inputs!$C$39)*SIN(2*PI()*(0)/Inputs!$C$40)+-Inputs!$C$41*EXP(-(((0)-Inputs!$C$43)^2)/(2*Inputs!$C$44^2))*EXP(-(((Scenario_Data!W139)-Inputs!$C$42)^2)/(2*Inputs!$C$45^2))+Inputs!$C$48*(0.7*(0.45*SIN(2*PI()*(((Scenario_Data!W139)/Inputs!$C$49)+Inputs!$C$47*0.137))+0.35*COS(2*PI()*(((0)/Inputs!$C$50)+Inputs!$C$47*0.173))+0.2*SIN(2*PI()*((((Scenario_Data!W139)+(0))/(0.5*(Inputs!$C$49+Inputs!$C$50)))+Inputs!$C$47*0.097)))+0.3*(2*((SIN(((Scenario_Data!W139)*12.9898+(0)*78.233+Inputs!$C$47*37.719))*43758.5453)-INT((SIN(((Scenario_Data!W139)*12.9898+(0)*78.233+Inputs!$C$47*37.719))*43758.5453)))-1)))))/Inputs!$C$21*1000000</f>
        <v/>
      </c>
      <c r="AG139">
        <f>Scenario_Data!T139</f>
        <v/>
      </c>
      <c r="AH139">
        <f>2*(SQRT((Inputs!$C$52+(Scenario_Data!B139))^2+Inputs!$C$52^2-2*(Inputs!$C$52+(Scenario_Data!B139))*Inputs!$C$52*COS(SQRT((Scenario_Data!T139)^2+Inputs!$C$6^2)/Inputs!$C$52))*1000)/Inputs!$C$21*1000000</f>
        <v/>
      </c>
      <c r="AI139">
        <f>Scenario_Data!U139</f>
        <v/>
      </c>
      <c r="AJ139">
        <f>2*(SQRT((Inputs!$C$52+(Scenario_Data!C139))^2+Inputs!$C$52^2-2*(Inputs!$C$52+(Scenario_Data!C139))*Inputs!$C$52*COS(SQRT((Scenario_Data!U139)^2+Inputs!$C$6^2)/Inputs!$C$52))*1000)/Inputs!$C$21*1000000</f>
        <v/>
      </c>
      <c r="AK139">
        <f>Scenario_Data!V139</f>
        <v/>
      </c>
      <c r="AL139">
        <f>2*(SQRT((Inputs!$C$52+(Scenario_Data!D139))^2+Inputs!$C$52^2-2*(Inputs!$C$52+(Scenario_Data!D139))*Inputs!$C$52*COS(SQRT((Scenario_Data!V139)^2+Inputs!$C$6^2)/Inputs!$C$52))*1000)/Inputs!$C$21*1000000</f>
        <v/>
      </c>
      <c r="AM139">
        <f>Scenario_Data!W139</f>
        <v/>
      </c>
      <c r="AN139">
        <f>2*(SQRT((Inputs!$C$52+(Scenario_Data!E139))^2+Inputs!$C$52^2-2*(Inputs!$C$52+(Scenario_Data!E139))*Inputs!$C$52*COS(SQRT((Scenario_Data!W139)^2+Inputs!$C$6^2)/Inputs!$C$52))*1000)/Inputs!$C$21*1000000</f>
        <v/>
      </c>
      <c r="AP139">
        <f>Scenario_Data!T139</f>
        <v/>
      </c>
      <c r="AQ139">
        <f>2*(SQRT((Inputs!$C$52+(Scenario_Data!B139))^2+(Inputs!$C$52+((IF(OR(Inputs!$C$27=TRUE,Inputs!$C$27="TRUE",Inputs!$C$27=1),1,0)*(Inputs!$C$51*(115*EXP(-(((Inputs!$C$6)-25)^2)/(4.5^2))+70*EXP(-(((Inputs!$C$6)+38)^2)/(7^2))*(0.55+0.45*SIN(2*PI()*(Scenario_Data!T139)/45))+24*SIN(2*PI()*(Inputs!$C$6)/9+(Scenario_Data!T139)/18)*EXP(-(((Inputs!$C$6)+5)^2)/(22^2))+18*SIN(2*PI()*(Scenario_Data!T139)/70))+Inputs!$C$28*EXP(-(((Scenario_Data!T139)-Inputs!$C$29)^2)/(2*Inputs!$C$31^2))*EXP(-(((Inputs!$C$6)-Inputs!$C$30)^2)/(2*Inputs!$C$32^2))+-Inputs!$C$33*EXP(-(((((Scenario_Data!T139)-Inputs!$C$34)^2)+(((Inputs!$C$6)-Inputs!$C$35)^2))/(2*Inputs!$C$36^2)))+Inputs!$C$37*(0.55*SIN(2*PI()*(Scenario_Data!T139)/Inputs!$C$39)+0.35*COS(2*PI()*(Inputs!$C$6)/Inputs!$C$40)+0.2*SIN(2*PI()*((Scenario_Data!T139)+(Inputs!$C$6))/(0.5*(Inputs!$C$39+Inputs!$C$40))))+Inputs!$C$38*SIN(2*PI()*(Scenario_Data!T139)/Inputs!$C$39)*SIN(2*PI()*(Inputs!$C$6)/Inputs!$C$40)+-Inputs!$C$41*EXP(-(((Inputs!$C$6)-Inputs!$C$43)^2)/(2*Inputs!$C$44^2))*EXP(-(((Scenario_Data!T139)-Inputs!$C$42)^2)/(2*Inputs!$C$45^2))+Inputs!$C$48*(0.7*(0.45*SIN(2*PI()*(((Scenario_Data!T139)/Inputs!$C$49)+Inputs!$C$47*0.137))+0.35*COS(2*PI()*(((Inputs!$C$6)/Inputs!$C$50)+Inputs!$C$47*0.173))+0.2*SIN(2*PI()*((((Scenario_Data!T139)+(Inputs!$C$6))/(0.5*(Inputs!$C$49+Inputs!$C$50)))+Inputs!$C$47*0.097)))+0.3*(2*((SIN(((Scenario_Data!T139)*12.9898+(Inputs!$C$6)*78.233+Inputs!$C$47*37.719))*43758.5453)-INT((SIN(((Scenario_Data!T139)*12.9898+(Inputs!$C$6)*78.233+Inputs!$C$47*37.719))*43758.5453)))-1))))/1000))^2-2*(Inputs!$C$52+(Scenario_Data!B139))*(Inputs!$C$52+((IF(OR(Inputs!$C$27=TRUE,Inputs!$C$27="TRUE",Inputs!$C$27=1),1,0)*(Inputs!$C$51*(115*EXP(-(((Inputs!$C$6)-25)^2)/(4.5^2))+70*EXP(-(((Inputs!$C$6)+38)^2)/(7^2))*(0.55+0.45*SIN(2*PI()*(Scenario_Data!T139)/45))+24*SIN(2*PI()*(Inputs!$C$6)/9+(Scenario_Data!T139)/18)*EXP(-(((Inputs!$C$6)+5)^2)/(22^2))+18*SIN(2*PI()*(Scenario_Data!T139)/70))+Inputs!$C$28*EXP(-(((Scenario_Data!T139)-Inputs!$C$29)^2)/(2*Inputs!$C$31^2))*EXP(-(((Inputs!$C$6)-Inputs!$C$30)^2)/(2*Inputs!$C$32^2))+-Inputs!$C$33*EXP(-(((((Scenario_Data!T139)-Inputs!$C$34)^2)+(((Inputs!$C$6)-Inputs!$C$35)^2))/(2*Inputs!$C$36^2)))+Inputs!$C$37*(0.55*SIN(2*PI()*(Scenario_Data!T139)/Inputs!$C$39)+0.35*COS(2*PI()*(Inputs!$C$6)/Inputs!$C$40)+0.2*SIN(2*PI()*((Scenario_Data!T139)+(Inputs!$C$6))/(0.5*(Inputs!$C$39+Inputs!$C$40))))+Inputs!$C$38*SIN(2*PI()*(Scenario_Data!T139)/Inputs!$C$39)*SIN(2*PI()*(Inputs!$C$6)/Inputs!$C$40)+-Inputs!$C$41*EXP(-(((Inputs!$C$6)-Inputs!$C$43)^2)/(2*Inputs!$C$44^2))*EXP(-(((Scenario_Data!T139)-Inputs!$C$42)^2)/(2*Inputs!$C$45^2))+Inputs!$C$48*(0.7*(0.45*SIN(2*PI()*(((Scenario_Data!T139)/Inputs!$C$49)+Inputs!$C$47*0.137))+0.35*COS(2*PI()*(((Inputs!$C$6)/Inputs!$C$50)+Inputs!$C$47*0.173))+0.2*SIN(2*PI()*((((Scenario_Data!T139)+(Inputs!$C$6))/(0.5*(Inputs!$C$49+Inputs!$C$50)))+Inputs!$C$47*0.097)))+0.3*(2*((SIN(((Scenario_Data!T139)*12.9898+(Inputs!$C$6)*78.233+Inputs!$C$47*37.719))*43758.5453)-INT((SIN(((Scenario_Data!T139)*12.9898+(Inputs!$C$6)*78.233+Inputs!$C$47*37.719))*43758.5453)))-1))))/1000))*COS(SQRT((Scenario_Data!T139)^2+Inputs!$C$6^2)/Inputs!$C$52))*1000)/Inputs!$C$21*1000000</f>
        <v/>
      </c>
      <c r="AR139">
        <f>Scenario_Data!U139</f>
        <v/>
      </c>
      <c r="AS139">
        <f>2*(SQRT((Inputs!$C$52+(Scenario_Data!C139))^2+(Inputs!$C$52+((IF(OR(Inputs!$C$27=TRUE,Inputs!$C$27="TRUE",Inputs!$C$27=1),1,0)*(Inputs!$C$51*(115*EXP(-(((Inputs!$C$6)-25)^2)/(4.5^2))+70*EXP(-(((Inputs!$C$6)+38)^2)/(7^2))*(0.55+0.45*SIN(2*PI()*(Scenario_Data!U139)/45))+24*SIN(2*PI()*(Inputs!$C$6)/9+(Scenario_Data!U139)/18)*EXP(-(((Inputs!$C$6)+5)^2)/(22^2))+18*SIN(2*PI()*(Scenario_Data!U139)/70))+Inputs!$C$28*EXP(-(((Scenario_Data!U139)-Inputs!$C$29)^2)/(2*Inputs!$C$31^2))*EXP(-(((Inputs!$C$6)-Inputs!$C$30)^2)/(2*Inputs!$C$32^2))+-Inputs!$C$33*EXP(-(((((Scenario_Data!U139)-Inputs!$C$34)^2)+(((Inputs!$C$6)-Inputs!$C$35)^2))/(2*Inputs!$C$36^2)))+Inputs!$C$37*(0.55*SIN(2*PI()*(Scenario_Data!U139)/Inputs!$C$39)+0.35*COS(2*PI()*(Inputs!$C$6)/Inputs!$C$40)+0.2*SIN(2*PI()*((Scenario_Data!U139)+(Inputs!$C$6))/(0.5*(Inputs!$C$39+Inputs!$C$40))))+Inputs!$C$38*SIN(2*PI()*(Scenario_Data!U139)/Inputs!$C$39)*SIN(2*PI()*(Inputs!$C$6)/Inputs!$C$40)+-Inputs!$C$41*EXP(-(((Inputs!$C$6)-Inputs!$C$43)^2)/(2*Inputs!$C$44^2))*EXP(-(((Scenario_Data!U139)-Inputs!$C$42)^2)/(2*Inputs!$C$45^2))+Inputs!$C$48*(0.7*(0.45*SIN(2*PI()*(((Scenario_Data!U139)/Inputs!$C$49)+Inputs!$C$47*0.137))+0.35*COS(2*PI()*(((Inputs!$C$6)/Inputs!$C$50)+Inputs!$C$47*0.173))+0.2*SIN(2*PI()*((((Scenario_Data!U139)+(Inputs!$C$6))/(0.5*(Inputs!$C$49+Inputs!$C$50)))+Inputs!$C$47*0.097)))+0.3*(2*((SIN(((Scenario_Data!U139)*12.9898+(Inputs!$C$6)*78.233+Inputs!$C$47*37.719))*43758.5453)-INT((SIN(((Scenario_Data!U139)*12.9898+(Inputs!$C$6)*78.233+Inputs!$C$47*37.719))*43758.5453)))-1))))/1000))^2-2*(Inputs!$C$52+(Scenario_Data!C139))*(Inputs!$C$52+((IF(OR(Inputs!$C$27=TRUE,Inputs!$C$27="TRUE",Inputs!$C$27=1),1,0)*(Inputs!$C$51*(115*EXP(-(((Inputs!$C$6)-25)^2)/(4.5^2))+70*EXP(-(((Inputs!$C$6)+38)^2)/(7^2))*(0.55+0.45*SIN(2*PI()*(Scenario_Data!U139)/45))+24*SIN(2*PI()*(Inputs!$C$6)/9+(Scenario_Data!U139)/18)*EXP(-(((Inputs!$C$6)+5)^2)/(22^2))+18*SIN(2*PI()*(Scenario_Data!U139)/70))+Inputs!$C$28*EXP(-(((Scenario_Data!U139)-Inputs!$C$29)^2)/(2*Inputs!$C$31^2))*EXP(-(((Inputs!$C$6)-Inputs!$C$30)^2)/(2*Inputs!$C$32^2))+-Inputs!$C$33*EXP(-(((((Scenario_Data!U139)-Inputs!$C$34)^2)+(((Inputs!$C$6)-Inputs!$C$35)^2))/(2*Inputs!$C$36^2)))+Inputs!$C$37*(0.55*SIN(2*PI()*(Scenario_Data!U139)/Inputs!$C$39)+0.35*COS(2*PI()*(Inputs!$C$6)/Inputs!$C$40)+0.2*SIN(2*PI()*((Scenario_Data!U139)+(Inputs!$C$6))/(0.5*(Inputs!$C$39+Inputs!$C$40))))+Inputs!$C$38*SIN(2*PI()*(Scenario_Data!U139)/Inputs!$C$39)*SIN(2*PI()*(Inputs!$C$6)/Inputs!$C$40)+-Inputs!$C$41*EXP(-(((Inputs!$C$6)-Inputs!$C$43)^2)/(2*Inputs!$C$44^2))*EXP(-(((Scenario_Data!U139)-Inputs!$C$42)^2)/(2*Inputs!$C$45^2))+Inputs!$C$48*(0.7*(0.45*SIN(2*PI()*(((Scenario_Data!U139)/Inputs!$C$49)+Inputs!$C$47*0.137))+0.35*COS(2*PI()*(((Inputs!$C$6)/Inputs!$C$50)+Inputs!$C$47*0.173))+0.2*SIN(2*PI()*((((Scenario_Data!U139)+(Inputs!$C$6))/(0.5*(Inputs!$C$49+Inputs!$C$50)))+Inputs!$C$47*0.097)))+0.3*(2*((SIN(((Scenario_Data!U139)*12.9898+(Inputs!$C$6)*78.233+Inputs!$C$47*37.719))*43758.5453)-INT((SIN(((Scenario_Data!U139)*12.9898+(Inputs!$C$6)*78.233+Inputs!$C$47*37.719))*43758.5453)))-1))))/1000))*COS(SQRT((Scenario_Data!U139)^2+Inputs!$C$6^2)/Inputs!$C$52))*1000)/Inputs!$C$21*1000000</f>
        <v/>
      </c>
      <c r="AT139">
        <f>Scenario_Data!V139</f>
        <v/>
      </c>
      <c r="AU139">
        <f>2*(SQRT((Inputs!$C$52+(Scenario_Data!D139))^2+(Inputs!$C$52+((IF(OR(Inputs!$C$27=TRUE,Inputs!$C$27="TRUE",Inputs!$C$27=1),1,0)*(Inputs!$C$51*(115*EXP(-(((Inputs!$C$6)-25)^2)/(4.5^2))+70*EXP(-(((Inputs!$C$6)+38)^2)/(7^2))*(0.55+0.45*SIN(2*PI()*(Scenario_Data!V139)/45))+24*SIN(2*PI()*(Inputs!$C$6)/9+(Scenario_Data!V139)/18)*EXP(-(((Inputs!$C$6)+5)^2)/(22^2))+18*SIN(2*PI()*(Scenario_Data!V139)/70))+Inputs!$C$28*EXP(-(((Scenario_Data!V139)-Inputs!$C$29)^2)/(2*Inputs!$C$31^2))*EXP(-(((Inputs!$C$6)-Inputs!$C$30)^2)/(2*Inputs!$C$32^2))+-Inputs!$C$33*EXP(-(((((Scenario_Data!V139)-Inputs!$C$34)^2)+(((Inputs!$C$6)-Inputs!$C$35)^2))/(2*Inputs!$C$36^2)))+Inputs!$C$37*(0.55*SIN(2*PI()*(Scenario_Data!V139)/Inputs!$C$39)+0.35*COS(2*PI()*(Inputs!$C$6)/Inputs!$C$40)+0.2*SIN(2*PI()*((Scenario_Data!V139)+(Inputs!$C$6))/(0.5*(Inputs!$C$39+Inputs!$C$40))))+Inputs!$C$38*SIN(2*PI()*(Scenario_Data!V139)/Inputs!$C$39)*SIN(2*PI()*(Inputs!$C$6)/Inputs!$C$40)+-Inputs!$C$41*EXP(-(((Inputs!$C$6)-Inputs!$C$43)^2)/(2*Inputs!$C$44^2))*EXP(-(((Scenario_Data!V139)-Inputs!$C$42)^2)/(2*Inputs!$C$45^2))+Inputs!$C$48*(0.7*(0.45*SIN(2*PI()*(((Scenario_Data!V139)/Inputs!$C$49)+Inputs!$C$47*0.137))+0.35*COS(2*PI()*(((Inputs!$C$6)/Inputs!$C$50)+Inputs!$C$47*0.173))+0.2*SIN(2*PI()*((((Scenario_Data!V139)+(Inputs!$C$6))/(0.5*(Inputs!$C$49+Inputs!$C$50)))+Inputs!$C$47*0.097)))+0.3*(2*((SIN(((Scenario_Data!V139)*12.9898+(Inputs!$C$6)*78.233+Inputs!$C$47*37.719))*43758.5453)-INT((SIN(((Scenario_Data!V139)*12.9898+(Inputs!$C$6)*78.233+Inputs!$C$47*37.719))*43758.5453)))-1))))/1000))^2-2*(Inputs!$C$52+(Scenario_Data!D139))*(Inputs!$C$52+((IF(OR(Inputs!$C$27=TRUE,Inputs!$C$27="TRUE",Inputs!$C$27=1),1,0)*(Inputs!$C$51*(115*EXP(-(((Inputs!$C$6)-25)^2)/(4.5^2))+70*EXP(-(((Inputs!$C$6)+38)^2)/(7^2))*(0.55+0.45*SIN(2*PI()*(Scenario_Data!V139)/45))+24*SIN(2*PI()*(Inputs!$C$6)/9+(Scenario_Data!V139)/18)*EXP(-(((Inputs!$C$6)+5)^2)/(22^2))+18*SIN(2*PI()*(Scenario_Data!V139)/70))+Inputs!$C$28*EXP(-(((Scenario_Data!V139)-Inputs!$C$29)^2)/(2*Inputs!$C$31^2))*EXP(-(((Inputs!$C$6)-Inputs!$C$30)^2)/(2*Inputs!$C$32^2))+-Inputs!$C$33*EXP(-(((((Scenario_Data!V139)-Inputs!$C$34)^2)+(((Inputs!$C$6)-Inputs!$C$35)^2))/(2*Inputs!$C$36^2)))+Inputs!$C$37*(0.55*SIN(2*PI()*(Scenario_Data!V139)/Inputs!$C$39)+0.35*COS(2*PI()*(Inputs!$C$6)/Inputs!$C$40)+0.2*SIN(2*PI()*((Scenario_Data!V139)+(Inputs!$C$6))/(0.5*(Inputs!$C$39+Inputs!$C$40))))+Inputs!$C$38*SIN(2*PI()*(Scenario_Data!V139)/Inputs!$C$39)*SIN(2*PI()*(Inputs!$C$6)/Inputs!$C$40)+-Inputs!$C$41*EXP(-(((Inputs!$C$6)-Inputs!$C$43)^2)/(2*Inputs!$C$44^2))*EXP(-(((Scenario_Data!V139)-Inputs!$C$42)^2)/(2*Inputs!$C$45^2))+Inputs!$C$48*(0.7*(0.45*SIN(2*PI()*(((Scenario_Data!V139)/Inputs!$C$49)+Inputs!$C$47*0.137))+0.35*COS(2*PI()*(((Inputs!$C$6)/Inputs!$C$50)+Inputs!$C$47*0.173))+0.2*SIN(2*PI()*((((Scenario_Data!V139)+(Inputs!$C$6))/(0.5*(Inputs!$C$49+Inputs!$C$50)))+Inputs!$C$47*0.097)))+0.3*(2*((SIN(((Scenario_Data!V139)*12.9898+(Inputs!$C$6)*78.233+Inputs!$C$47*37.719))*43758.5453)-INT((SIN(((Scenario_Data!V139)*12.9898+(Inputs!$C$6)*78.233+Inputs!$C$47*37.719))*43758.5453)))-1))))/1000))*COS(SQRT((Scenario_Data!V139)^2+Inputs!$C$6^2)/Inputs!$C$52))*1000)/Inputs!$C$21*1000000</f>
        <v/>
      </c>
      <c r="AV139">
        <f>Scenario_Data!W139</f>
        <v/>
      </c>
      <c r="AW139">
        <f>2*(SQRT((Inputs!$C$52+(Scenario_Data!E139))^2+(Inputs!$C$52+((IF(OR(Inputs!$C$27=TRUE,Inputs!$C$27="TRUE",Inputs!$C$27=1),1,0)*(Inputs!$C$51*(115*EXP(-(((Inputs!$C$6)-25)^2)/(4.5^2))+70*EXP(-(((Inputs!$C$6)+38)^2)/(7^2))*(0.55+0.45*SIN(2*PI()*(Scenario_Data!W139)/45))+24*SIN(2*PI()*(Inputs!$C$6)/9+(Scenario_Data!W139)/18)*EXP(-(((Inputs!$C$6)+5)^2)/(22^2))+18*SIN(2*PI()*(Scenario_Data!W139)/70))+Inputs!$C$28*EXP(-(((Scenario_Data!W139)-Inputs!$C$29)^2)/(2*Inputs!$C$31^2))*EXP(-(((Inputs!$C$6)-Inputs!$C$30)^2)/(2*Inputs!$C$32^2))+-Inputs!$C$33*EXP(-(((((Scenario_Data!W139)-Inputs!$C$34)^2)+(((Inputs!$C$6)-Inputs!$C$35)^2))/(2*Inputs!$C$36^2)))+Inputs!$C$37*(0.55*SIN(2*PI()*(Scenario_Data!W139)/Inputs!$C$39)+0.35*COS(2*PI()*(Inputs!$C$6)/Inputs!$C$40)+0.2*SIN(2*PI()*((Scenario_Data!W139)+(Inputs!$C$6))/(0.5*(Inputs!$C$39+Inputs!$C$40))))+Inputs!$C$38*SIN(2*PI()*(Scenario_Data!W139)/Inputs!$C$39)*SIN(2*PI()*(Inputs!$C$6)/Inputs!$C$40)+-Inputs!$C$41*EXP(-(((Inputs!$C$6)-Inputs!$C$43)^2)/(2*Inputs!$C$44^2))*EXP(-(((Scenario_Data!W139)-Inputs!$C$42)^2)/(2*Inputs!$C$45^2))+Inputs!$C$48*(0.7*(0.45*SIN(2*PI()*(((Scenario_Data!W139)/Inputs!$C$49)+Inputs!$C$47*0.137))+0.35*COS(2*PI()*(((Inputs!$C$6)/Inputs!$C$50)+Inputs!$C$47*0.173))+0.2*SIN(2*PI()*((((Scenario_Data!W139)+(Inputs!$C$6))/(0.5*(Inputs!$C$49+Inputs!$C$50)))+Inputs!$C$47*0.097)))+0.3*(2*((SIN(((Scenario_Data!W139)*12.9898+(Inputs!$C$6)*78.233+Inputs!$C$47*37.719))*43758.5453)-INT((SIN(((Scenario_Data!W139)*12.9898+(Inputs!$C$6)*78.233+Inputs!$C$47*37.719))*43758.5453)))-1))))/1000))^2-2*(Inputs!$C$52+(Scenario_Data!E139))*(Inputs!$C$52+((IF(OR(Inputs!$C$27=TRUE,Inputs!$C$27="TRUE",Inputs!$C$27=1),1,0)*(Inputs!$C$51*(115*EXP(-(((Inputs!$C$6)-25)^2)/(4.5^2))+70*EXP(-(((Inputs!$C$6)+38)^2)/(7^2))*(0.55+0.45*SIN(2*PI()*(Scenario_Data!W139)/45))+24*SIN(2*PI()*(Inputs!$C$6)/9+(Scenario_Data!W139)/18)*EXP(-(((Inputs!$C$6)+5)^2)/(22^2))+18*SIN(2*PI()*(Scenario_Data!W139)/70))+Inputs!$C$28*EXP(-(((Scenario_Data!W139)-Inputs!$C$29)^2)/(2*Inputs!$C$31^2))*EXP(-(((Inputs!$C$6)-Inputs!$C$30)^2)/(2*Inputs!$C$32^2))+-Inputs!$C$33*EXP(-(((((Scenario_Data!W139)-Inputs!$C$34)^2)+(((Inputs!$C$6)-Inputs!$C$35)^2))/(2*Inputs!$C$36^2)))+Inputs!$C$37*(0.55*SIN(2*PI()*(Scenario_Data!W139)/Inputs!$C$39)+0.35*COS(2*PI()*(Inputs!$C$6)/Inputs!$C$40)+0.2*SIN(2*PI()*((Scenario_Data!W139)+(Inputs!$C$6))/(0.5*(Inputs!$C$39+Inputs!$C$40))))+Inputs!$C$38*SIN(2*PI()*(Scenario_Data!W139)/Inputs!$C$39)*SIN(2*PI()*(Inputs!$C$6)/Inputs!$C$40)+-Inputs!$C$41*EXP(-(((Inputs!$C$6)-Inputs!$C$43)^2)/(2*Inputs!$C$44^2))*EXP(-(((Scenario_Data!W139)-Inputs!$C$42)^2)/(2*Inputs!$C$45^2))+Inputs!$C$48*(0.7*(0.45*SIN(2*PI()*(((Scenario_Data!W139)/Inputs!$C$49)+Inputs!$C$47*0.137))+0.35*COS(2*PI()*(((Inputs!$C$6)/Inputs!$C$50)+Inputs!$C$47*0.173))+0.2*SIN(2*PI()*((((Scenario_Data!W139)+(Inputs!$C$6))/(0.5*(Inputs!$C$49+Inputs!$C$50)))+Inputs!$C$47*0.097)))+0.3*(2*((SIN(((Scenario_Data!W139)*12.9898+(Inputs!$C$6)*78.233+Inputs!$C$47*37.719))*43758.5453)-INT((SIN(((Scenario_Data!W139)*12.9898+(Inputs!$C$6)*78.233+Inputs!$C$47*37.719))*43758.5453)))-1))))/1000))*COS(SQRT((Scenario_Data!W139)^2+Inputs!$C$6^2)/Inputs!$C$52))*1000)/Inputs!$C$21*1000000</f>
        <v/>
      </c>
    </row>
    <row r="140">
      <c r="A140">
        <f>Chart_Data!K140</f>
        <v/>
      </c>
      <c r="B140">
        <f>Chart_Data!N140-Chart_Data!L140</f>
        <v/>
      </c>
      <c r="D140">
        <f>Chart_Data!G140</f>
        <v/>
      </c>
      <c r="E140">
        <f>Chart_Data!H140</f>
        <v/>
      </c>
      <c r="F140">
        <f>Chart_Data!I140</f>
        <v/>
      </c>
      <c r="G140">
        <f>Chart_Data!J140</f>
        <v/>
      </c>
      <c r="I140">
        <f>Scenario_Data!A140</f>
        <v/>
      </c>
      <c r="J140">
        <f>Scenario_Data!H140-(((SQRT((Inputs!$C$52+(Inputs!$H$6))^2+Inputs!$C$52^2-2*(Inputs!$C$52+(Inputs!$H$6))*Inputs!$C$52*COS(SQRT((Scenario_Data!T140)^2+Inputs!$C$6^2)/Inputs!$C$52)))-(Inputs!$H$6))*1000/Inputs!$C$12)</f>
        <v/>
      </c>
      <c r="K140">
        <f>Scenario_Data!I140-(((SQRT((Inputs!$C$52+(Inputs!$H$7))^2+Inputs!$C$52^2-2*(Inputs!$C$52+(Inputs!$H$7))*Inputs!$C$52*COS(SQRT((Scenario_Data!U140)^2+Inputs!$C$6^2)/Inputs!$C$52)))-(Inputs!$H$7))*1000/Inputs!$C$12)</f>
        <v/>
      </c>
      <c r="L140">
        <f>Scenario_Data!J140-(((SQRT((Inputs!$C$52+(Inputs!$H$8))^2+Inputs!$C$52^2-2*(Inputs!$C$52+(Inputs!$H$8))*Inputs!$C$52*COS(SQRT((Scenario_Data!V140)^2+Inputs!$C$6^2)/Inputs!$C$52)))-(Inputs!$H$8))*1000/Inputs!$C$12)</f>
        <v/>
      </c>
      <c r="M140">
        <f>Scenario_Data!K140-(((SQRT((Inputs!$C$52+(Inputs!$H$9))^2+Inputs!$C$52^2-2*(Inputs!$C$52+(Inputs!$H$9))*Inputs!$C$52*COS(SQRT((Scenario_Data!W140)^2+Inputs!$C$6^2)/Inputs!$C$52)))-(Inputs!$H$9))*1000/Inputs!$C$12)</f>
        <v/>
      </c>
      <c r="O140">
        <f>Scenario_Data!T140</f>
        <v/>
      </c>
      <c r="P140">
        <f>2*(Scenario_Data!B140*1000)/Inputs!$C$21*1000000</f>
        <v/>
      </c>
      <c r="Q140">
        <f>Scenario_Data!U140</f>
        <v/>
      </c>
      <c r="R140">
        <f>2*(Scenario_Data!C140*1000)/Inputs!$C$21*1000000</f>
        <v/>
      </c>
      <c r="S140">
        <f>Scenario_Data!V140</f>
        <v/>
      </c>
      <c r="T140">
        <f>2*(Scenario_Data!D140*1000)/Inputs!$C$21*1000000</f>
        <v/>
      </c>
      <c r="U140">
        <f>Scenario_Data!W140</f>
        <v/>
      </c>
      <c r="V140">
        <f>2*(Scenario_Data!E140*1000)/Inputs!$C$21*1000000</f>
        <v/>
      </c>
      <c r="X140">
        <f>Scenario_Data!T140</f>
        <v/>
      </c>
      <c r="Y140">
        <f>2*((Scenario_Data!B140*1000)-(IF(OR(Inputs!$C$27=TRUE,Inputs!$C$27="TRUE",Inputs!$C$27=1),1,0)*(Inputs!$C$51*(115*EXP(-(((0)-25)^2)/(4.5^2))+70*EXP(-(((0)+38)^2)/(7^2))*(0.55+0.45*SIN(2*PI()*(Scenario_Data!T140)/45))+24*SIN(2*PI()*(0)/9+(Scenario_Data!T140)/18)*EXP(-(((0)+5)^2)/(22^2))+18*SIN(2*PI()*(Scenario_Data!T140)/70))+Inputs!$C$28*EXP(-(((Scenario_Data!T140)-Inputs!$C$29)^2)/(2*Inputs!$C$31^2))*EXP(-(((0)-Inputs!$C$30)^2)/(2*Inputs!$C$32^2))+-Inputs!$C$33*EXP(-(((((Scenario_Data!T140)-Inputs!$C$34)^2)+(((0)-Inputs!$C$35)^2))/(2*Inputs!$C$36^2)))+Inputs!$C$37*(0.55*SIN(2*PI()*(Scenario_Data!T140)/Inputs!$C$39)+0.35*COS(2*PI()*(0)/Inputs!$C$40)+0.2*SIN(2*PI()*((Scenario_Data!T140)+(0))/(0.5*(Inputs!$C$39+Inputs!$C$40))))+Inputs!$C$38*SIN(2*PI()*(Scenario_Data!T140)/Inputs!$C$39)*SIN(2*PI()*(0)/Inputs!$C$40)+-Inputs!$C$41*EXP(-(((0)-Inputs!$C$43)^2)/(2*Inputs!$C$44^2))*EXP(-(((Scenario_Data!T140)-Inputs!$C$42)^2)/(2*Inputs!$C$45^2))+Inputs!$C$48*(0.7*(0.45*SIN(2*PI()*(((Scenario_Data!T140)/Inputs!$C$49)+Inputs!$C$47*0.137))+0.35*COS(2*PI()*(((0)/Inputs!$C$50)+Inputs!$C$47*0.173))+0.2*SIN(2*PI()*((((Scenario_Data!T140)+(0))/(0.5*(Inputs!$C$49+Inputs!$C$50)))+Inputs!$C$47*0.097)))+0.3*(2*((SIN(((Scenario_Data!T140)*12.9898+(0)*78.233+Inputs!$C$47*37.719))*43758.5453)-INT((SIN(((Scenario_Data!T140)*12.9898+(0)*78.233+Inputs!$C$47*37.719))*43758.5453)))-1)))))/Inputs!$C$21*1000000</f>
        <v/>
      </c>
      <c r="Z140">
        <f>Scenario_Data!U140</f>
        <v/>
      </c>
      <c r="AA140">
        <f>2*((Scenario_Data!C140*1000)-(IF(OR(Inputs!$C$27=TRUE,Inputs!$C$27="TRUE",Inputs!$C$27=1),1,0)*(Inputs!$C$51*(115*EXP(-(((0)-25)^2)/(4.5^2))+70*EXP(-(((0)+38)^2)/(7^2))*(0.55+0.45*SIN(2*PI()*(Scenario_Data!U140)/45))+24*SIN(2*PI()*(0)/9+(Scenario_Data!U140)/18)*EXP(-(((0)+5)^2)/(22^2))+18*SIN(2*PI()*(Scenario_Data!U140)/70))+Inputs!$C$28*EXP(-(((Scenario_Data!U140)-Inputs!$C$29)^2)/(2*Inputs!$C$31^2))*EXP(-(((0)-Inputs!$C$30)^2)/(2*Inputs!$C$32^2))+-Inputs!$C$33*EXP(-(((((Scenario_Data!U140)-Inputs!$C$34)^2)+(((0)-Inputs!$C$35)^2))/(2*Inputs!$C$36^2)))+Inputs!$C$37*(0.55*SIN(2*PI()*(Scenario_Data!U140)/Inputs!$C$39)+0.35*COS(2*PI()*(0)/Inputs!$C$40)+0.2*SIN(2*PI()*((Scenario_Data!U140)+(0))/(0.5*(Inputs!$C$39+Inputs!$C$40))))+Inputs!$C$38*SIN(2*PI()*(Scenario_Data!U140)/Inputs!$C$39)*SIN(2*PI()*(0)/Inputs!$C$40)+-Inputs!$C$41*EXP(-(((0)-Inputs!$C$43)^2)/(2*Inputs!$C$44^2))*EXP(-(((Scenario_Data!U140)-Inputs!$C$42)^2)/(2*Inputs!$C$45^2))+Inputs!$C$48*(0.7*(0.45*SIN(2*PI()*(((Scenario_Data!U140)/Inputs!$C$49)+Inputs!$C$47*0.137))+0.35*COS(2*PI()*(((0)/Inputs!$C$50)+Inputs!$C$47*0.173))+0.2*SIN(2*PI()*((((Scenario_Data!U140)+(0))/(0.5*(Inputs!$C$49+Inputs!$C$50)))+Inputs!$C$47*0.097)))+0.3*(2*((SIN(((Scenario_Data!U140)*12.9898+(0)*78.233+Inputs!$C$47*37.719))*43758.5453)-INT((SIN(((Scenario_Data!U140)*12.9898+(0)*78.233+Inputs!$C$47*37.719))*43758.5453)))-1)))))/Inputs!$C$21*1000000</f>
        <v/>
      </c>
      <c r="AB140">
        <f>Scenario_Data!V140</f>
        <v/>
      </c>
      <c r="AC140">
        <f>2*((Scenario_Data!D140*1000)-(IF(OR(Inputs!$C$27=TRUE,Inputs!$C$27="TRUE",Inputs!$C$27=1),1,0)*(Inputs!$C$51*(115*EXP(-(((0)-25)^2)/(4.5^2))+70*EXP(-(((0)+38)^2)/(7^2))*(0.55+0.45*SIN(2*PI()*(Scenario_Data!V140)/45))+24*SIN(2*PI()*(0)/9+(Scenario_Data!V140)/18)*EXP(-(((0)+5)^2)/(22^2))+18*SIN(2*PI()*(Scenario_Data!V140)/70))+Inputs!$C$28*EXP(-(((Scenario_Data!V140)-Inputs!$C$29)^2)/(2*Inputs!$C$31^2))*EXP(-(((0)-Inputs!$C$30)^2)/(2*Inputs!$C$32^2))+-Inputs!$C$33*EXP(-(((((Scenario_Data!V140)-Inputs!$C$34)^2)+(((0)-Inputs!$C$35)^2))/(2*Inputs!$C$36^2)))+Inputs!$C$37*(0.55*SIN(2*PI()*(Scenario_Data!V140)/Inputs!$C$39)+0.35*COS(2*PI()*(0)/Inputs!$C$40)+0.2*SIN(2*PI()*((Scenario_Data!V140)+(0))/(0.5*(Inputs!$C$39+Inputs!$C$40))))+Inputs!$C$38*SIN(2*PI()*(Scenario_Data!V140)/Inputs!$C$39)*SIN(2*PI()*(0)/Inputs!$C$40)+-Inputs!$C$41*EXP(-(((0)-Inputs!$C$43)^2)/(2*Inputs!$C$44^2))*EXP(-(((Scenario_Data!V140)-Inputs!$C$42)^2)/(2*Inputs!$C$45^2))+Inputs!$C$48*(0.7*(0.45*SIN(2*PI()*(((Scenario_Data!V140)/Inputs!$C$49)+Inputs!$C$47*0.137))+0.35*COS(2*PI()*(((0)/Inputs!$C$50)+Inputs!$C$47*0.173))+0.2*SIN(2*PI()*((((Scenario_Data!V140)+(0))/(0.5*(Inputs!$C$49+Inputs!$C$50)))+Inputs!$C$47*0.097)))+0.3*(2*((SIN(((Scenario_Data!V140)*12.9898+(0)*78.233+Inputs!$C$47*37.719))*43758.5453)-INT((SIN(((Scenario_Data!V140)*12.9898+(0)*78.233+Inputs!$C$47*37.719))*43758.5453)))-1)))))/Inputs!$C$21*1000000</f>
        <v/>
      </c>
      <c r="AD140">
        <f>Scenario_Data!W140</f>
        <v/>
      </c>
      <c r="AE140">
        <f>2*((Scenario_Data!E140*1000)-(IF(OR(Inputs!$C$27=TRUE,Inputs!$C$27="TRUE",Inputs!$C$27=1),1,0)*(Inputs!$C$51*(115*EXP(-(((0)-25)^2)/(4.5^2))+70*EXP(-(((0)+38)^2)/(7^2))*(0.55+0.45*SIN(2*PI()*(Scenario_Data!W140)/45))+24*SIN(2*PI()*(0)/9+(Scenario_Data!W140)/18)*EXP(-(((0)+5)^2)/(22^2))+18*SIN(2*PI()*(Scenario_Data!W140)/70))+Inputs!$C$28*EXP(-(((Scenario_Data!W140)-Inputs!$C$29)^2)/(2*Inputs!$C$31^2))*EXP(-(((0)-Inputs!$C$30)^2)/(2*Inputs!$C$32^2))+-Inputs!$C$33*EXP(-(((((Scenario_Data!W140)-Inputs!$C$34)^2)+(((0)-Inputs!$C$35)^2))/(2*Inputs!$C$36^2)))+Inputs!$C$37*(0.55*SIN(2*PI()*(Scenario_Data!W140)/Inputs!$C$39)+0.35*COS(2*PI()*(0)/Inputs!$C$40)+0.2*SIN(2*PI()*((Scenario_Data!W140)+(0))/(0.5*(Inputs!$C$39+Inputs!$C$40))))+Inputs!$C$38*SIN(2*PI()*(Scenario_Data!W140)/Inputs!$C$39)*SIN(2*PI()*(0)/Inputs!$C$40)+-Inputs!$C$41*EXP(-(((0)-Inputs!$C$43)^2)/(2*Inputs!$C$44^2))*EXP(-(((Scenario_Data!W140)-Inputs!$C$42)^2)/(2*Inputs!$C$45^2))+Inputs!$C$48*(0.7*(0.45*SIN(2*PI()*(((Scenario_Data!W140)/Inputs!$C$49)+Inputs!$C$47*0.137))+0.35*COS(2*PI()*(((0)/Inputs!$C$50)+Inputs!$C$47*0.173))+0.2*SIN(2*PI()*((((Scenario_Data!W140)+(0))/(0.5*(Inputs!$C$49+Inputs!$C$50)))+Inputs!$C$47*0.097)))+0.3*(2*((SIN(((Scenario_Data!W140)*12.9898+(0)*78.233+Inputs!$C$47*37.719))*43758.5453)-INT((SIN(((Scenario_Data!W140)*12.9898+(0)*78.233+Inputs!$C$47*37.719))*43758.5453)))-1)))))/Inputs!$C$21*1000000</f>
        <v/>
      </c>
      <c r="AG140">
        <f>Scenario_Data!T140</f>
        <v/>
      </c>
      <c r="AH140">
        <f>2*(SQRT((Inputs!$C$52+(Scenario_Data!B140))^2+Inputs!$C$52^2-2*(Inputs!$C$52+(Scenario_Data!B140))*Inputs!$C$52*COS(SQRT((Scenario_Data!T140)^2+Inputs!$C$6^2)/Inputs!$C$52))*1000)/Inputs!$C$21*1000000</f>
        <v/>
      </c>
      <c r="AI140">
        <f>Scenario_Data!U140</f>
        <v/>
      </c>
      <c r="AJ140">
        <f>2*(SQRT((Inputs!$C$52+(Scenario_Data!C140))^2+Inputs!$C$52^2-2*(Inputs!$C$52+(Scenario_Data!C140))*Inputs!$C$52*COS(SQRT((Scenario_Data!U140)^2+Inputs!$C$6^2)/Inputs!$C$52))*1000)/Inputs!$C$21*1000000</f>
        <v/>
      </c>
      <c r="AK140">
        <f>Scenario_Data!V140</f>
        <v/>
      </c>
      <c r="AL140">
        <f>2*(SQRT((Inputs!$C$52+(Scenario_Data!D140))^2+Inputs!$C$52^2-2*(Inputs!$C$52+(Scenario_Data!D140))*Inputs!$C$52*COS(SQRT((Scenario_Data!V140)^2+Inputs!$C$6^2)/Inputs!$C$52))*1000)/Inputs!$C$21*1000000</f>
        <v/>
      </c>
      <c r="AM140">
        <f>Scenario_Data!W140</f>
        <v/>
      </c>
      <c r="AN140">
        <f>2*(SQRT((Inputs!$C$52+(Scenario_Data!E140))^2+Inputs!$C$52^2-2*(Inputs!$C$52+(Scenario_Data!E140))*Inputs!$C$52*COS(SQRT((Scenario_Data!W140)^2+Inputs!$C$6^2)/Inputs!$C$52))*1000)/Inputs!$C$21*1000000</f>
        <v/>
      </c>
      <c r="AP140">
        <f>Scenario_Data!T140</f>
        <v/>
      </c>
      <c r="AQ140">
        <f>2*(SQRT((Inputs!$C$52+(Scenario_Data!B140))^2+(Inputs!$C$52+((IF(OR(Inputs!$C$27=TRUE,Inputs!$C$27="TRUE",Inputs!$C$27=1),1,0)*(Inputs!$C$51*(115*EXP(-(((Inputs!$C$6)-25)^2)/(4.5^2))+70*EXP(-(((Inputs!$C$6)+38)^2)/(7^2))*(0.55+0.45*SIN(2*PI()*(Scenario_Data!T140)/45))+24*SIN(2*PI()*(Inputs!$C$6)/9+(Scenario_Data!T140)/18)*EXP(-(((Inputs!$C$6)+5)^2)/(22^2))+18*SIN(2*PI()*(Scenario_Data!T140)/70))+Inputs!$C$28*EXP(-(((Scenario_Data!T140)-Inputs!$C$29)^2)/(2*Inputs!$C$31^2))*EXP(-(((Inputs!$C$6)-Inputs!$C$30)^2)/(2*Inputs!$C$32^2))+-Inputs!$C$33*EXP(-(((((Scenario_Data!T140)-Inputs!$C$34)^2)+(((Inputs!$C$6)-Inputs!$C$35)^2))/(2*Inputs!$C$36^2)))+Inputs!$C$37*(0.55*SIN(2*PI()*(Scenario_Data!T140)/Inputs!$C$39)+0.35*COS(2*PI()*(Inputs!$C$6)/Inputs!$C$40)+0.2*SIN(2*PI()*((Scenario_Data!T140)+(Inputs!$C$6))/(0.5*(Inputs!$C$39+Inputs!$C$40))))+Inputs!$C$38*SIN(2*PI()*(Scenario_Data!T140)/Inputs!$C$39)*SIN(2*PI()*(Inputs!$C$6)/Inputs!$C$40)+-Inputs!$C$41*EXP(-(((Inputs!$C$6)-Inputs!$C$43)^2)/(2*Inputs!$C$44^2))*EXP(-(((Scenario_Data!T140)-Inputs!$C$42)^2)/(2*Inputs!$C$45^2))+Inputs!$C$48*(0.7*(0.45*SIN(2*PI()*(((Scenario_Data!T140)/Inputs!$C$49)+Inputs!$C$47*0.137))+0.35*COS(2*PI()*(((Inputs!$C$6)/Inputs!$C$50)+Inputs!$C$47*0.173))+0.2*SIN(2*PI()*((((Scenario_Data!T140)+(Inputs!$C$6))/(0.5*(Inputs!$C$49+Inputs!$C$50)))+Inputs!$C$47*0.097)))+0.3*(2*((SIN(((Scenario_Data!T140)*12.9898+(Inputs!$C$6)*78.233+Inputs!$C$47*37.719))*43758.5453)-INT((SIN(((Scenario_Data!T140)*12.9898+(Inputs!$C$6)*78.233+Inputs!$C$47*37.719))*43758.5453)))-1))))/1000))^2-2*(Inputs!$C$52+(Scenario_Data!B140))*(Inputs!$C$52+((IF(OR(Inputs!$C$27=TRUE,Inputs!$C$27="TRUE",Inputs!$C$27=1),1,0)*(Inputs!$C$51*(115*EXP(-(((Inputs!$C$6)-25)^2)/(4.5^2))+70*EXP(-(((Inputs!$C$6)+38)^2)/(7^2))*(0.55+0.45*SIN(2*PI()*(Scenario_Data!T140)/45))+24*SIN(2*PI()*(Inputs!$C$6)/9+(Scenario_Data!T140)/18)*EXP(-(((Inputs!$C$6)+5)^2)/(22^2))+18*SIN(2*PI()*(Scenario_Data!T140)/70))+Inputs!$C$28*EXP(-(((Scenario_Data!T140)-Inputs!$C$29)^2)/(2*Inputs!$C$31^2))*EXP(-(((Inputs!$C$6)-Inputs!$C$30)^2)/(2*Inputs!$C$32^2))+-Inputs!$C$33*EXP(-(((((Scenario_Data!T140)-Inputs!$C$34)^2)+(((Inputs!$C$6)-Inputs!$C$35)^2))/(2*Inputs!$C$36^2)))+Inputs!$C$37*(0.55*SIN(2*PI()*(Scenario_Data!T140)/Inputs!$C$39)+0.35*COS(2*PI()*(Inputs!$C$6)/Inputs!$C$40)+0.2*SIN(2*PI()*((Scenario_Data!T140)+(Inputs!$C$6))/(0.5*(Inputs!$C$39+Inputs!$C$40))))+Inputs!$C$38*SIN(2*PI()*(Scenario_Data!T140)/Inputs!$C$39)*SIN(2*PI()*(Inputs!$C$6)/Inputs!$C$40)+-Inputs!$C$41*EXP(-(((Inputs!$C$6)-Inputs!$C$43)^2)/(2*Inputs!$C$44^2))*EXP(-(((Scenario_Data!T140)-Inputs!$C$42)^2)/(2*Inputs!$C$45^2))+Inputs!$C$48*(0.7*(0.45*SIN(2*PI()*(((Scenario_Data!T140)/Inputs!$C$49)+Inputs!$C$47*0.137))+0.35*COS(2*PI()*(((Inputs!$C$6)/Inputs!$C$50)+Inputs!$C$47*0.173))+0.2*SIN(2*PI()*((((Scenario_Data!T140)+(Inputs!$C$6))/(0.5*(Inputs!$C$49+Inputs!$C$50)))+Inputs!$C$47*0.097)))+0.3*(2*((SIN(((Scenario_Data!T140)*12.9898+(Inputs!$C$6)*78.233+Inputs!$C$47*37.719))*43758.5453)-INT((SIN(((Scenario_Data!T140)*12.9898+(Inputs!$C$6)*78.233+Inputs!$C$47*37.719))*43758.5453)))-1))))/1000))*COS(SQRT((Scenario_Data!T140)^2+Inputs!$C$6^2)/Inputs!$C$52))*1000)/Inputs!$C$21*1000000</f>
        <v/>
      </c>
      <c r="AR140">
        <f>Scenario_Data!U140</f>
        <v/>
      </c>
      <c r="AS140">
        <f>2*(SQRT((Inputs!$C$52+(Scenario_Data!C140))^2+(Inputs!$C$52+((IF(OR(Inputs!$C$27=TRUE,Inputs!$C$27="TRUE",Inputs!$C$27=1),1,0)*(Inputs!$C$51*(115*EXP(-(((Inputs!$C$6)-25)^2)/(4.5^2))+70*EXP(-(((Inputs!$C$6)+38)^2)/(7^2))*(0.55+0.45*SIN(2*PI()*(Scenario_Data!U140)/45))+24*SIN(2*PI()*(Inputs!$C$6)/9+(Scenario_Data!U140)/18)*EXP(-(((Inputs!$C$6)+5)^2)/(22^2))+18*SIN(2*PI()*(Scenario_Data!U140)/70))+Inputs!$C$28*EXP(-(((Scenario_Data!U140)-Inputs!$C$29)^2)/(2*Inputs!$C$31^2))*EXP(-(((Inputs!$C$6)-Inputs!$C$30)^2)/(2*Inputs!$C$32^2))+-Inputs!$C$33*EXP(-(((((Scenario_Data!U140)-Inputs!$C$34)^2)+(((Inputs!$C$6)-Inputs!$C$35)^2))/(2*Inputs!$C$36^2)))+Inputs!$C$37*(0.55*SIN(2*PI()*(Scenario_Data!U140)/Inputs!$C$39)+0.35*COS(2*PI()*(Inputs!$C$6)/Inputs!$C$40)+0.2*SIN(2*PI()*((Scenario_Data!U140)+(Inputs!$C$6))/(0.5*(Inputs!$C$39+Inputs!$C$40))))+Inputs!$C$38*SIN(2*PI()*(Scenario_Data!U140)/Inputs!$C$39)*SIN(2*PI()*(Inputs!$C$6)/Inputs!$C$40)+-Inputs!$C$41*EXP(-(((Inputs!$C$6)-Inputs!$C$43)^2)/(2*Inputs!$C$44^2))*EXP(-(((Scenario_Data!U140)-Inputs!$C$42)^2)/(2*Inputs!$C$45^2))+Inputs!$C$48*(0.7*(0.45*SIN(2*PI()*(((Scenario_Data!U140)/Inputs!$C$49)+Inputs!$C$47*0.137))+0.35*COS(2*PI()*(((Inputs!$C$6)/Inputs!$C$50)+Inputs!$C$47*0.173))+0.2*SIN(2*PI()*((((Scenario_Data!U140)+(Inputs!$C$6))/(0.5*(Inputs!$C$49+Inputs!$C$50)))+Inputs!$C$47*0.097)))+0.3*(2*((SIN(((Scenario_Data!U140)*12.9898+(Inputs!$C$6)*78.233+Inputs!$C$47*37.719))*43758.5453)-INT((SIN(((Scenario_Data!U140)*12.9898+(Inputs!$C$6)*78.233+Inputs!$C$47*37.719))*43758.5453)))-1))))/1000))^2-2*(Inputs!$C$52+(Scenario_Data!C140))*(Inputs!$C$52+((IF(OR(Inputs!$C$27=TRUE,Inputs!$C$27="TRUE",Inputs!$C$27=1),1,0)*(Inputs!$C$51*(115*EXP(-(((Inputs!$C$6)-25)^2)/(4.5^2))+70*EXP(-(((Inputs!$C$6)+38)^2)/(7^2))*(0.55+0.45*SIN(2*PI()*(Scenario_Data!U140)/45))+24*SIN(2*PI()*(Inputs!$C$6)/9+(Scenario_Data!U140)/18)*EXP(-(((Inputs!$C$6)+5)^2)/(22^2))+18*SIN(2*PI()*(Scenario_Data!U140)/70))+Inputs!$C$28*EXP(-(((Scenario_Data!U140)-Inputs!$C$29)^2)/(2*Inputs!$C$31^2))*EXP(-(((Inputs!$C$6)-Inputs!$C$30)^2)/(2*Inputs!$C$32^2))+-Inputs!$C$33*EXP(-(((((Scenario_Data!U140)-Inputs!$C$34)^2)+(((Inputs!$C$6)-Inputs!$C$35)^2))/(2*Inputs!$C$36^2)))+Inputs!$C$37*(0.55*SIN(2*PI()*(Scenario_Data!U140)/Inputs!$C$39)+0.35*COS(2*PI()*(Inputs!$C$6)/Inputs!$C$40)+0.2*SIN(2*PI()*((Scenario_Data!U140)+(Inputs!$C$6))/(0.5*(Inputs!$C$39+Inputs!$C$40))))+Inputs!$C$38*SIN(2*PI()*(Scenario_Data!U140)/Inputs!$C$39)*SIN(2*PI()*(Inputs!$C$6)/Inputs!$C$40)+-Inputs!$C$41*EXP(-(((Inputs!$C$6)-Inputs!$C$43)^2)/(2*Inputs!$C$44^2))*EXP(-(((Scenario_Data!U140)-Inputs!$C$42)^2)/(2*Inputs!$C$45^2))+Inputs!$C$48*(0.7*(0.45*SIN(2*PI()*(((Scenario_Data!U140)/Inputs!$C$49)+Inputs!$C$47*0.137))+0.35*COS(2*PI()*(((Inputs!$C$6)/Inputs!$C$50)+Inputs!$C$47*0.173))+0.2*SIN(2*PI()*((((Scenario_Data!U140)+(Inputs!$C$6))/(0.5*(Inputs!$C$49+Inputs!$C$50)))+Inputs!$C$47*0.097)))+0.3*(2*((SIN(((Scenario_Data!U140)*12.9898+(Inputs!$C$6)*78.233+Inputs!$C$47*37.719))*43758.5453)-INT((SIN(((Scenario_Data!U140)*12.9898+(Inputs!$C$6)*78.233+Inputs!$C$47*37.719))*43758.5453)))-1))))/1000))*COS(SQRT((Scenario_Data!U140)^2+Inputs!$C$6^2)/Inputs!$C$52))*1000)/Inputs!$C$21*1000000</f>
        <v/>
      </c>
      <c r="AT140">
        <f>Scenario_Data!V140</f>
        <v/>
      </c>
      <c r="AU140">
        <f>2*(SQRT((Inputs!$C$52+(Scenario_Data!D140))^2+(Inputs!$C$52+((IF(OR(Inputs!$C$27=TRUE,Inputs!$C$27="TRUE",Inputs!$C$27=1),1,0)*(Inputs!$C$51*(115*EXP(-(((Inputs!$C$6)-25)^2)/(4.5^2))+70*EXP(-(((Inputs!$C$6)+38)^2)/(7^2))*(0.55+0.45*SIN(2*PI()*(Scenario_Data!V140)/45))+24*SIN(2*PI()*(Inputs!$C$6)/9+(Scenario_Data!V140)/18)*EXP(-(((Inputs!$C$6)+5)^2)/(22^2))+18*SIN(2*PI()*(Scenario_Data!V140)/70))+Inputs!$C$28*EXP(-(((Scenario_Data!V140)-Inputs!$C$29)^2)/(2*Inputs!$C$31^2))*EXP(-(((Inputs!$C$6)-Inputs!$C$30)^2)/(2*Inputs!$C$32^2))+-Inputs!$C$33*EXP(-(((((Scenario_Data!V140)-Inputs!$C$34)^2)+(((Inputs!$C$6)-Inputs!$C$35)^2))/(2*Inputs!$C$36^2)))+Inputs!$C$37*(0.55*SIN(2*PI()*(Scenario_Data!V140)/Inputs!$C$39)+0.35*COS(2*PI()*(Inputs!$C$6)/Inputs!$C$40)+0.2*SIN(2*PI()*((Scenario_Data!V140)+(Inputs!$C$6))/(0.5*(Inputs!$C$39+Inputs!$C$40))))+Inputs!$C$38*SIN(2*PI()*(Scenario_Data!V140)/Inputs!$C$39)*SIN(2*PI()*(Inputs!$C$6)/Inputs!$C$40)+-Inputs!$C$41*EXP(-(((Inputs!$C$6)-Inputs!$C$43)^2)/(2*Inputs!$C$44^2))*EXP(-(((Scenario_Data!V140)-Inputs!$C$42)^2)/(2*Inputs!$C$45^2))+Inputs!$C$48*(0.7*(0.45*SIN(2*PI()*(((Scenario_Data!V140)/Inputs!$C$49)+Inputs!$C$47*0.137))+0.35*COS(2*PI()*(((Inputs!$C$6)/Inputs!$C$50)+Inputs!$C$47*0.173))+0.2*SIN(2*PI()*((((Scenario_Data!V140)+(Inputs!$C$6))/(0.5*(Inputs!$C$49+Inputs!$C$50)))+Inputs!$C$47*0.097)))+0.3*(2*((SIN(((Scenario_Data!V140)*12.9898+(Inputs!$C$6)*78.233+Inputs!$C$47*37.719))*43758.5453)-INT((SIN(((Scenario_Data!V140)*12.9898+(Inputs!$C$6)*78.233+Inputs!$C$47*37.719))*43758.5453)))-1))))/1000))^2-2*(Inputs!$C$52+(Scenario_Data!D140))*(Inputs!$C$52+((IF(OR(Inputs!$C$27=TRUE,Inputs!$C$27="TRUE",Inputs!$C$27=1),1,0)*(Inputs!$C$51*(115*EXP(-(((Inputs!$C$6)-25)^2)/(4.5^2))+70*EXP(-(((Inputs!$C$6)+38)^2)/(7^2))*(0.55+0.45*SIN(2*PI()*(Scenario_Data!V140)/45))+24*SIN(2*PI()*(Inputs!$C$6)/9+(Scenario_Data!V140)/18)*EXP(-(((Inputs!$C$6)+5)^2)/(22^2))+18*SIN(2*PI()*(Scenario_Data!V140)/70))+Inputs!$C$28*EXP(-(((Scenario_Data!V140)-Inputs!$C$29)^2)/(2*Inputs!$C$31^2))*EXP(-(((Inputs!$C$6)-Inputs!$C$30)^2)/(2*Inputs!$C$32^2))+-Inputs!$C$33*EXP(-(((((Scenario_Data!V140)-Inputs!$C$34)^2)+(((Inputs!$C$6)-Inputs!$C$35)^2))/(2*Inputs!$C$36^2)))+Inputs!$C$37*(0.55*SIN(2*PI()*(Scenario_Data!V140)/Inputs!$C$39)+0.35*COS(2*PI()*(Inputs!$C$6)/Inputs!$C$40)+0.2*SIN(2*PI()*((Scenario_Data!V140)+(Inputs!$C$6))/(0.5*(Inputs!$C$39+Inputs!$C$40))))+Inputs!$C$38*SIN(2*PI()*(Scenario_Data!V140)/Inputs!$C$39)*SIN(2*PI()*(Inputs!$C$6)/Inputs!$C$40)+-Inputs!$C$41*EXP(-(((Inputs!$C$6)-Inputs!$C$43)^2)/(2*Inputs!$C$44^2))*EXP(-(((Scenario_Data!V140)-Inputs!$C$42)^2)/(2*Inputs!$C$45^2))+Inputs!$C$48*(0.7*(0.45*SIN(2*PI()*(((Scenario_Data!V140)/Inputs!$C$49)+Inputs!$C$47*0.137))+0.35*COS(2*PI()*(((Inputs!$C$6)/Inputs!$C$50)+Inputs!$C$47*0.173))+0.2*SIN(2*PI()*((((Scenario_Data!V140)+(Inputs!$C$6))/(0.5*(Inputs!$C$49+Inputs!$C$50)))+Inputs!$C$47*0.097)))+0.3*(2*((SIN(((Scenario_Data!V140)*12.9898+(Inputs!$C$6)*78.233+Inputs!$C$47*37.719))*43758.5453)-INT((SIN(((Scenario_Data!V140)*12.9898+(Inputs!$C$6)*78.233+Inputs!$C$47*37.719))*43758.5453)))-1))))/1000))*COS(SQRT((Scenario_Data!V140)^2+Inputs!$C$6^2)/Inputs!$C$52))*1000)/Inputs!$C$21*1000000</f>
        <v/>
      </c>
      <c r="AV140">
        <f>Scenario_Data!W140</f>
        <v/>
      </c>
      <c r="AW140">
        <f>2*(SQRT((Inputs!$C$52+(Scenario_Data!E140))^2+(Inputs!$C$52+((IF(OR(Inputs!$C$27=TRUE,Inputs!$C$27="TRUE",Inputs!$C$27=1),1,0)*(Inputs!$C$51*(115*EXP(-(((Inputs!$C$6)-25)^2)/(4.5^2))+70*EXP(-(((Inputs!$C$6)+38)^2)/(7^2))*(0.55+0.45*SIN(2*PI()*(Scenario_Data!W140)/45))+24*SIN(2*PI()*(Inputs!$C$6)/9+(Scenario_Data!W140)/18)*EXP(-(((Inputs!$C$6)+5)^2)/(22^2))+18*SIN(2*PI()*(Scenario_Data!W140)/70))+Inputs!$C$28*EXP(-(((Scenario_Data!W140)-Inputs!$C$29)^2)/(2*Inputs!$C$31^2))*EXP(-(((Inputs!$C$6)-Inputs!$C$30)^2)/(2*Inputs!$C$32^2))+-Inputs!$C$33*EXP(-(((((Scenario_Data!W140)-Inputs!$C$34)^2)+(((Inputs!$C$6)-Inputs!$C$35)^2))/(2*Inputs!$C$36^2)))+Inputs!$C$37*(0.55*SIN(2*PI()*(Scenario_Data!W140)/Inputs!$C$39)+0.35*COS(2*PI()*(Inputs!$C$6)/Inputs!$C$40)+0.2*SIN(2*PI()*((Scenario_Data!W140)+(Inputs!$C$6))/(0.5*(Inputs!$C$39+Inputs!$C$40))))+Inputs!$C$38*SIN(2*PI()*(Scenario_Data!W140)/Inputs!$C$39)*SIN(2*PI()*(Inputs!$C$6)/Inputs!$C$40)+-Inputs!$C$41*EXP(-(((Inputs!$C$6)-Inputs!$C$43)^2)/(2*Inputs!$C$44^2))*EXP(-(((Scenario_Data!W140)-Inputs!$C$42)^2)/(2*Inputs!$C$45^2))+Inputs!$C$48*(0.7*(0.45*SIN(2*PI()*(((Scenario_Data!W140)/Inputs!$C$49)+Inputs!$C$47*0.137))+0.35*COS(2*PI()*(((Inputs!$C$6)/Inputs!$C$50)+Inputs!$C$47*0.173))+0.2*SIN(2*PI()*((((Scenario_Data!W140)+(Inputs!$C$6))/(0.5*(Inputs!$C$49+Inputs!$C$50)))+Inputs!$C$47*0.097)))+0.3*(2*((SIN(((Scenario_Data!W140)*12.9898+(Inputs!$C$6)*78.233+Inputs!$C$47*37.719))*43758.5453)-INT((SIN(((Scenario_Data!W140)*12.9898+(Inputs!$C$6)*78.233+Inputs!$C$47*37.719))*43758.5453)))-1))))/1000))^2-2*(Inputs!$C$52+(Scenario_Data!E140))*(Inputs!$C$52+((IF(OR(Inputs!$C$27=TRUE,Inputs!$C$27="TRUE",Inputs!$C$27=1),1,0)*(Inputs!$C$51*(115*EXP(-(((Inputs!$C$6)-25)^2)/(4.5^2))+70*EXP(-(((Inputs!$C$6)+38)^2)/(7^2))*(0.55+0.45*SIN(2*PI()*(Scenario_Data!W140)/45))+24*SIN(2*PI()*(Inputs!$C$6)/9+(Scenario_Data!W140)/18)*EXP(-(((Inputs!$C$6)+5)^2)/(22^2))+18*SIN(2*PI()*(Scenario_Data!W140)/70))+Inputs!$C$28*EXP(-(((Scenario_Data!W140)-Inputs!$C$29)^2)/(2*Inputs!$C$31^2))*EXP(-(((Inputs!$C$6)-Inputs!$C$30)^2)/(2*Inputs!$C$32^2))+-Inputs!$C$33*EXP(-(((((Scenario_Data!W140)-Inputs!$C$34)^2)+(((Inputs!$C$6)-Inputs!$C$35)^2))/(2*Inputs!$C$36^2)))+Inputs!$C$37*(0.55*SIN(2*PI()*(Scenario_Data!W140)/Inputs!$C$39)+0.35*COS(2*PI()*(Inputs!$C$6)/Inputs!$C$40)+0.2*SIN(2*PI()*((Scenario_Data!W140)+(Inputs!$C$6))/(0.5*(Inputs!$C$39+Inputs!$C$40))))+Inputs!$C$38*SIN(2*PI()*(Scenario_Data!W140)/Inputs!$C$39)*SIN(2*PI()*(Inputs!$C$6)/Inputs!$C$40)+-Inputs!$C$41*EXP(-(((Inputs!$C$6)-Inputs!$C$43)^2)/(2*Inputs!$C$44^2))*EXP(-(((Scenario_Data!W140)-Inputs!$C$42)^2)/(2*Inputs!$C$45^2))+Inputs!$C$48*(0.7*(0.45*SIN(2*PI()*(((Scenario_Data!W140)/Inputs!$C$49)+Inputs!$C$47*0.137))+0.35*COS(2*PI()*(((Inputs!$C$6)/Inputs!$C$50)+Inputs!$C$47*0.173))+0.2*SIN(2*PI()*((((Scenario_Data!W140)+(Inputs!$C$6))/(0.5*(Inputs!$C$49+Inputs!$C$50)))+Inputs!$C$47*0.097)))+0.3*(2*((SIN(((Scenario_Data!W140)*12.9898+(Inputs!$C$6)*78.233+Inputs!$C$47*37.719))*43758.5453)-INT((SIN(((Scenario_Data!W140)*12.9898+(Inputs!$C$6)*78.233+Inputs!$C$47*37.719))*43758.5453)))-1))))/1000))*COS(SQRT((Scenario_Data!W140)^2+Inputs!$C$6^2)/Inputs!$C$52))*1000)/Inputs!$C$21*1000000</f>
        <v/>
      </c>
    </row>
    <row r="141">
      <c r="A141">
        <f>Chart_Data!K141</f>
        <v/>
      </c>
      <c r="B141">
        <f>Chart_Data!N141-Chart_Data!L141</f>
        <v/>
      </c>
      <c r="D141">
        <f>Chart_Data!G141</f>
        <v/>
      </c>
      <c r="E141">
        <f>Chart_Data!H141</f>
        <v/>
      </c>
      <c r="F141">
        <f>Chart_Data!I141</f>
        <v/>
      </c>
      <c r="G141">
        <f>Chart_Data!J141</f>
        <v/>
      </c>
      <c r="I141">
        <f>Scenario_Data!A141</f>
        <v/>
      </c>
      <c r="J141">
        <f>Scenario_Data!H141-(((SQRT((Inputs!$C$52+(Inputs!$H$6))^2+Inputs!$C$52^2-2*(Inputs!$C$52+(Inputs!$H$6))*Inputs!$C$52*COS(SQRT((Scenario_Data!T141)^2+Inputs!$C$6^2)/Inputs!$C$52)))-(Inputs!$H$6))*1000/Inputs!$C$12)</f>
        <v/>
      </c>
      <c r="K141">
        <f>Scenario_Data!I141-(((SQRT((Inputs!$C$52+(Inputs!$H$7))^2+Inputs!$C$52^2-2*(Inputs!$C$52+(Inputs!$H$7))*Inputs!$C$52*COS(SQRT((Scenario_Data!U141)^2+Inputs!$C$6^2)/Inputs!$C$52)))-(Inputs!$H$7))*1000/Inputs!$C$12)</f>
        <v/>
      </c>
      <c r="L141">
        <f>Scenario_Data!J141-(((SQRT((Inputs!$C$52+(Inputs!$H$8))^2+Inputs!$C$52^2-2*(Inputs!$C$52+(Inputs!$H$8))*Inputs!$C$52*COS(SQRT((Scenario_Data!V141)^2+Inputs!$C$6^2)/Inputs!$C$52)))-(Inputs!$H$8))*1000/Inputs!$C$12)</f>
        <v/>
      </c>
      <c r="M141">
        <f>Scenario_Data!K141-(((SQRT((Inputs!$C$52+(Inputs!$H$9))^2+Inputs!$C$52^2-2*(Inputs!$C$52+(Inputs!$H$9))*Inputs!$C$52*COS(SQRT((Scenario_Data!W141)^2+Inputs!$C$6^2)/Inputs!$C$52)))-(Inputs!$H$9))*1000/Inputs!$C$12)</f>
        <v/>
      </c>
      <c r="O141">
        <f>Scenario_Data!T141</f>
        <v/>
      </c>
      <c r="P141">
        <f>2*(Scenario_Data!B141*1000)/Inputs!$C$21*1000000</f>
        <v/>
      </c>
      <c r="Q141">
        <f>Scenario_Data!U141</f>
        <v/>
      </c>
      <c r="R141">
        <f>2*(Scenario_Data!C141*1000)/Inputs!$C$21*1000000</f>
        <v/>
      </c>
      <c r="S141">
        <f>Scenario_Data!V141</f>
        <v/>
      </c>
      <c r="T141">
        <f>2*(Scenario_Data!D141*1000)/Inputs!$C$21*1000000</f>
        <v/>
      </c>
      <c r="U141">
        <f>Scenario_Data!W141</f>
        <v/>
      </c>
      <c r="V141">
        <f>2*(Scenario_Data!E141*1000)/Inputs!$C$21*1000000</f>
        <v/>
      </c>
      <c r="X141">
        <f>Scenario_Data!T141</f>
        <v/>
      </c>
      <c r="Y141">
        <f>2*((Scenario_Data!B141*1000)-(IF(OR(Inputs!$C$27=TRUE,Inputs!$C$27="TRUE",Inputs!$C$27=1),1,0)*(Inputs!$C$51*(115*EXP(-(((0)-25)^2)/(4.5^2))+70*EXP(-(((0)+38)^2)/(7^2))*(0.55+0.45*SIN(2*PI()*(Scenario_Data!T141)/45))+24*SIN(2*PI()*(0)/9+(Scenario_Data!T141)/18)*EXP(-(((0)+5)^2)/(22^2))+18*SIN(2*PI()*(Scenario_Data!T141)/70))+Inputs!$C$28*EXP(-(((Scenario_Data!T141)-Inputs!$C$29)^2)/(2*Inputs!$C$31^2))*EXP(-(((0)-Inputs!$C$30)^2)/(2*Inputs!$C$32^2))+-Inputs!$C$33*EXP(-(((((Scenario_Data!T141)-Inputs!$C$34)^2)+(((0)-Inputs!$C$35)^2))/(2*Inputs!$C$36^2)))+Inputs!$C$37*(0.55*SIN(2*PI()*(Scenario_Data!T141)/Inputs!$C$39)+0.35*COS(2*PI()*(0)/Inputs!$C$40)+0.2*SIN(2*PI()*((Scenario_Data!T141)+(0))/(0.5*(Inputs!$C$39+Inputs!$C$40))))+Inputs!$C$38*SIN(2*PI()*(Scenario_Data!T141)/Inputs!$C$39)*SIN(2*PI()*(0)/Inputs!$C$40)+-Inputs!$C$41*EXP(-(((0)-Inputs!$C$43)^2)/(2*Inputs!$C$44^2))*EXP(-(((Scenario_Data!T141)-Inputs!$C$42)^2)/(2*Inputs!$C$45^2))+Inputs!$C$48*(0.7*(0.45*SIN(2*PI()*(((Scenario_Data!T141)/Inputs!$C$49)+Inputs!$C$47*0.137))+0.35*COS(2*PI()*(((0)/Inputs!$C$50)+Inputs!$C$47*0.173))+0.2*SIN(2*PI()*((((Scenario_Data!T141)+(0))/(0.5*(Inputs!$C$49+Inputs!$C$50)))+Inputs!$C$47*0.097)))+0.3*(2*((SIN(((Scenario_Data!T141)*12.9898+(0)*78.233+Inputs!$C$47*37.719))*43758.5453)-INT((SIN(((Scenario_Data!T141)*12.9898+(0)*78.233+Inputs!$C$47*37.719))*43758.5453)))-1)))))/Inputs!$C$21*1000000</f>
        <v/>
      </c>
      <c r="Z141">
        <f>Scenario_Data!U141</f>
        <v/>
      </c>
      <c r="AA141">
        <f>2*((Scenario_Data!C141*1000)-(IF(OR(Inputs!$C$27=TRUE,Inputs!$C$27="TRUE",Inputs!$C$27=1),1,0)*(Inputs!$C$51*(115*EXP(-(((0)-25)^2)/(4.5^2))+70*EXP(-(((0)+38)^2)/(7^2))*(0.55+0.45*SIN(2*PI()*(Scenario_Data!U141)/45))+24*SIN(2*PI()*(0)/9+(Scenario_Data!U141)/18)*EXP(-(((0)+5)^2)/(22^2))+18*SIN(2*PI()*(Scenario_Data!U141)/70))+Inputs!$C$28*EXP(-(((Scenario_Data!U141)-Inputs!$C$29)^2)/(2*Inputs!$C$31^2))*EXP(-(((0)-Inputs!$C$30)^2)/(2*Inputs!$C$32^2))+-Inputs!$C$33*EXP(-(((((Scenario_Data!U141)-Inputs!$C$34)^2)+(((0)-Inputs!$C$35)^2))/(2*Inputs!$C$36^2)))+Inputs!$C$37*(0.55*SIN(2*PI()*(Scenario_Data!U141)/Inputs!$C$39)+0.35*COS(2*PI()*(0)/Inputs!$C$40)+0.2*SIN(2*PI()*((Scenario_Data!U141)+(0))/(0.5*(Inputs!$C$39+Inputs!$C$40))))+Inputs!$C$38*SIN(2*PI()*(Scenario_Data!U141)/Inputs!$C$39)*SIN(2*PI()*(0)/Inputs!$C$40)+-Inputs!$C$41*EXP(-(((0)-Inputs!$C$43)^2)/(2*Inputs!$C$44^2))*EXP(-(((Scenario_Data!U141)-Inputs!$C$42)^2)/(2*Inputs!$C$45^2))+Inputs!$C$48*(0.7*(0.45*SIN(2*PI()*(((Scenario_Data!U141)/Inputs!$C$49)+Inputs!$C$47*0.137))+0.35*COS(2*PI()*(((0)/Inputs!$C$50)+Inputs!$C$47*0.173))+0.2*SIN(2*PI()*((((Scenario_Data!U141)+(0))/(0.5*(Inputs!$C$49+Inputs!$C$50)))+Inputs!$C$47*0.097)))+0.3*(2*((SIN(((Scenario_Data!U141)*12.9898+(0)*78.233+Inputs!$C$47*37.719))*43758.5453)-INT((SIN(((Scenario_Data!U141)*12.9898+(0)*78.233+Inputs!$C$47*37.719))*43758.5453)))-1)))))/Inputs!$C$21*1000000</f>
        <v/>
      </c>
      <c r="AB141">
        <f>Scenario_Data!V141</f>
        <v/>
      </c>
      <c r="AC141">
        <f>2*((Scenario_Data!D141*1000)-(IF(OR(Inputs!$C$27=TRUE,Inputs!$C$27="TRUE",Inputs!$C$27=1),1,0)*(Inputs!$C$51*(115*EXP(-(((0)-25)^2)/(4.5^2))+70*EXP(-(((0)+38)^2)/(7^2))*(0.55+0.45*SIN(2*PI()*(Scenario_Data!V141)/45))+24*SIN(2*PI()*(0)/9+(Scenario_Data!V141)/18)*EXP(-(((0)+5)^2)/(22^2))+18*SIN(2*PI()*(Scenario_Data!V141)/70))+Inputs!$C$28*EXP(-(((Scenario_Data!V141)-Inputs!$C$29)^2)/(2*Inputs!$C$31^2))*EXP(-(((0)-Inputs!$C$30)^2)/(2*Inputs!$C$32^2))+-Inputs!$C$33*EXP(-(((((Scenario_Data!V141)-Inputs!$C$34)^2)+(((0)-Inputs!$C$35)^2))/(2*Inputs!$C$36^2)))+Inputs!$C$37*(0.55*SIN(2*PI()*(Scenario_Data!V141)/Inputs!$C$39)+0.35*COS(2*PI()*(0)/Inputs!$C$40)+0.2*SIN(2*PI()*((Scenario_Data!V141)+(0))/(0.5*(Inputs!$C$39+Inputs!$C$40))))+Inputs!$C$38*SIN(2*PI()*(Scenario_Data!V141)/Inputs!$C$39)*SIN(2*PI()*(0)/Inputs!$C$40)+-Inputs!$C$41*EXP(-(((0)-Inputs!$C$43)^2)/(2*Inputs!$C$44^2))*EXP(-(((Scenario_Data!V141)-Inputs!$C$42)^2)/(2*Inputs!$C$45^2))+Inputs!$C$48*(0.7*(0.45*SIN(2*PI()*(((Scenario_Data!V141)/Inputs!$C$49)+Inputs!$C$47*0.137))+0.35*COS(2*PI()*(((0)/Inputs!$C$50)+Inputs!$C$47*0.173))+0.2*SIN(2*PI()*((((Scenario_Data!V141)+(0))/(0.5*(Inputs!$C$49+Inputs!$C$50)))+Inputs!$C$47*0.097)))+0.3*(2*((SIN(((Scenario_Data!V141)*12.9898+(0)*78.233+Inputs!$C$47*37.719))*43758.5453)-INT((SIN(((Scenario_Data!V141)*12.9898+(0)*78.233+Inputs!$C$47*37.719))*43758.5453)))-1)))))/Inputs!$C$21*1000000</f>
        <v/>
      </c>
      <c r="AD141">
        <f>Scenario_Data!W141</f>
        <v/>
      </c>
      <c r="AE141">
        <f>2*((Scenario_Data!E141*1000)-(IF(OR(Inputs!$C$27=TRUE,Inputs!$C$27="TRUE",Inputs!$C$27=1),1,0)*(Inputs!$C$51*(115*EXP(-(((0)-25)^2)/(4.5^2))+70*EXP(-(((0)+38)^2)/(7^2))*(0.55+0.45*SIN(2*PI()*(Scenario_Data!W141)/45))+24*SIN(2*PI()*(0)/9+(Scenario_Data!W141)/18)*EXP(-(((0)+5)^2)/(22^2))+18*SIN(2*PI()*(Scenario_Data!W141)/70))+Inputs!$C$28*EXP(-(((Scenario_Data!W141)-Inputs!$C$29)^2)/(2*Inputs!$C$31^2))*EXP(-(((0)-Inputs!$C$30)^2)/(2*Inputs!$C$32^2))+-Inputs!$C$33*EXP(-(((((Scenario_Data!W141)-Inputs!$C$34)^2)+(((0)-Inputs!$C$35)^2))/(2*Inputs!$C$36^2)))+Inputs!$C$37*(0.55*SIN(2*PI()*(Scenario_Data!W141)/Inputs!$C$39)+0.35*COS(2*PI()*(0)/Inputs!$C$40)+0.2*SIN(2*PI()*((Scenario_Data!W141)+(0))/(0.5*(Inputs!$C$39+Inputs!$C$40))))+Inputs!$C$38*SIN(2*PI()*(Scenario_Data!W141)/Inputs!$C$39)*SIN(2*PI()*(0)/Inputs!$C$40)+-Inputs!$C$41*EXP(-(((0)-Inputs!$C$43)^2)/(2*Inputs!$C$44^2))*EXP(-(((Scenario_Data!W141)-Inputs!$C$42)^2)/(2*Inputs!$C$45^2))+Inputs!$C$48*(0.7*(0.45*SIN(2*PI()*(((Scenario_Data!W141)/Inputs!$C$49)+Inputs!$C$47*0.137))+0.35*COS(2*PI()*(((0)/Inputs!$C$50)+Inputs!$C$47*0.173))+0.2*SIN(2*PI()*((((Scenario_Data!W141)+(0))/(0.5*(Inputs!$C$49+Inputs!$C$50)))+Inputs!$C$47*0.097)))+0.3*(2*((SIN(((Scenario_Data!W141)*12.9898+(0)*78.233+Inputs!$C$47*37.719))*43758.5453)-INT((SIN(((Scenario_Data!W141)*12.9898+(0)*78.233+Inputs!$C$47*37.719))*43758.5453)))-1)))))/Inputs!$C$21*1000000</f>
        <v/>
      </c>
      <c r="AG141">
        <f>Scenario_Data!T141</f>
        <v/>
      </c>
      <c r="AH141">
        <f>2*(SQRT((Inputs!$C$52+(Scenario_Data!B141))^2+Inputs!$C$52^2-2*(Inputs!$C$52+(Scenario_Data!B141))*Inputs!$C$52*COS(SQRT((Scenario_Data!T141)^2+Inputs!$C$6^2)/Inputs!$C$52))*1000)/Inputs!$C$21*1000000</f>
        <v/>
      </c>
      <c r="AI141">
        <f>Scenario_Data!U141</f>
        <v/>
      </c>
      <c r="AJ141">
        <f>2*(SQRT((Inputs!$C$52+(Scenario_Data!C141))^2+Inputs!$C$52^2-2*(Inputs!$C$52+(Scenario_Data!C141))*Inputs!$C$52*COS(SQRT((Scenario_Data!U141)^2+Inputs!$C$6^2)/Inputs!$C$52))*1000)/Inputs!$C$21*1000000</f>
        <v/>
      </c>
      <c r="AK141">
        <f>Scenario_Data!V141</f>
        <v/>
      </c>
      <c r="AL141">
        <f>2*(SQRT((Inputs!$C$52+(Scenario_Data!D141))^2+Inputs!$C$52^2-2*(Inputs!$C$52+(Scenario_Data!D141))*Inputs!$C$52*COS(SQRT((Scenario_Data!V141)^2+Inputs!$C$6^2)/Inputs!$C$52))*1000)/Inputs!$C$21*1000000</f>
        <v/>
      </c>
      <c r="AM141">
        <f>Scenario_Data!W141</f>
        <v/>
      </c>
      <c r="AN141">
        <f>2*(SQRT((Inputs!$C$52+(Scenario_Data!E141))^2+Inputs!$C$52^2-2*(Inputs!$C$52+(Scenario_Data!E141))*Inputs!$C$52*COS(SQRT((Scenario_Data!W141)^2+Inputs!$C$6^2)/Inputs!$C$52))*1000)/Inputs!$C$21*1000000</f>
        <v/>
      </c>
      <c r="AP141">
        <f>Scenario_Data!T141</f>
        <v/>
      </c>
      <c r="AQ141">
        <f>2*(SQRT((Inputs!$C$52+(Scenario_Data!B141))^2+(Inputs!$C$52+((IF(OR(Inputs!$C$27=TRUE,Inputs!$C$27="TRUE",Inputs!$C$27=1),1,0)*(Inputs!$C$51*(115*EXP(-(((Inputs!$C$6)-25)^2)/(4.5^2))+70*EXP(-(((Inputs!$C$6)+38)^2)/(7^2))*(0.55+0.45*SIN(2*PI()*(Scenario_Data!T141)/45))+24*SIN(2*PI()*(Inputs!$C$6)/9+(Scenario_Data!T141)/18)*EXP(-(((Inputs!$C$6)+5)^2)/(22^2))+18*SIN(2*PI()*(Scenario_Data!T141)/70))+Inputs!$C$28*EXP(-(((Scenario_Data!T141)-Inputs!$C$29)^2)/(2*Inputs!$C$31^2))*EXP(-(((Inputs!$C$6)-Inputs!$C$30)^2)/(2*Inputs!$C$32^2))+-Inputs!$C$33*EXP(-(((((Scenario_Data!T141)-Inputs!$C$34)^2)+(((Inputs!$C$6)-Inputs!$C$35)^2))/(2*Inputs!$C$36^2)))+Inputs!$C$37*(0.55*SIN(2*PI()*(Scenario_Data!T141)/Inputs!$C$39)+0.35*COS(2*PI()*(Inputs!$C$6)/Inputs!$C$40)+0.2*SIN(2*PI()*((Scenario_Data!T141)+(Inputs!$C$6))/(0.5*(Inputs!$C$39+Inputs!$C$40))))+Inputs!$C$38*SIN(2*PI()*(Scenario_Data!T141)/Inputs!$C$39)*SIN(2*PI()*(Inputs!$C$6)/Inputs!$C$40)+-Inputs!$C$41*EXP(-(((Inputs!$C$6)-Inputs!$C$43)^2)/(2*Inputs!$C$44^2))*EXP(-(((Scenario_Data!T141)-Inputs!$C$42)^2)/(2*Inputs!$C$45^2))+Inputs!$C$48*(0.7*(0.45*SIN(2*PI()*(((Scenario_Data!T141)/Inputs!$C$49)+Inputs!$C$47*0.137))+0.35*COS(2*PI()*(((Inputs!$C$6)/Inputs!$C$50)+Inputs!$C$47*0.173))+0.2*SIN(2*PI()*((((Scenario_Data!T141)+(Inputs!$C$6))/(0.5*(Inputs!$C$49+Inputs!$C$50)))+Inputs!$C$47*0.097)))+0.3*(2*((SIN(((Scenario_Data!T141)*12.9898+(Inputs!$C$6)*78.233+Inputs!$C$47*37.719))*43758.5453)-INT((SIN(((Scenario_Data!T141)*12.9898+(Inputs!$C$6)*78.233+Inputs!$C$47*37.719))*43758.5453)))-1))))/1000))^2-2*(Inputs!$C$52+(Scenario_Data!B141))*(Inputs!$C$52+((IF(OR(Inputs!$C$27=TRUE,Inputs!$C$27="TRUE",Inputs!$C$27=1),1,0)*(Inputs!$C$51*(115*EXP(-(((Inputs!$C$6)-25)^2)/(4.5^2))+70*EXP(-(((Inputs!$C$6)+38)^2)/(7^2))*(0.55+0.45*SIN(2*PI()*(Scenario_Data!T141)/45))+24*SIN(2*PI()*(Inputs!$C$6)/9+(Scenario_Data!T141)/18)*EXP(-(((Inputs!$C$6)+5)^2)/(22^2))+18*SIN(2*PI()*(Scenario_Data!T141)/70))+Inputs!$C$28*EXP(-(((Scenario_Data!T141)-Inputs!$C$29)^2)/(2*Inputs!$C$31^2))*EXP(-(((Inputs!$C$6)-Inputs!$C$30)^2)/(2*Inputs!$C$32^2))+-Inputs!$C$33*EXP(-(((((Scenario_Data!T141)-Inputs!$C$34)^2)+(((Inputs!$C$6)-Inputs!$C$35)^2))/(2*Inputs!$C$36^2)))+Inputs!$C$37*(0.55*SIN(2*PI()*(Scenario_Data!T141)/Inputs!$C$39)+0.35*COS(2*PI()*(Inputs!$C$6)/Inputs!$C$40)+0.2*SIN(2*PI()*((Scenario_Data!T141)+(Inputs!$C$6))/(0.5*(Inputs!$C$39+Inputs!$C$40))))+Inputs!$C$38*SIN(2*PI()*(Scenario_Data!T141)/Inputs!$C$39)*SIN(2*PI()*(Inputs!$C$6)/Inputs!$C$40)+-Inputs!$C$41*EXP(-(((Inputs!$C$6)-Inputs!$C$43)^2)/(2*Inputs!$C$44^2))*EXP(-(((Scenario_Data!T141)-Inputs!$C$42)^2)/(2*Inputs!$C$45^2))+Inputs!$C$48*(0.7*(0.45*SIN(2*PI()*(((Scenario_Data!T141)/Inputs!$C$49)+Inputs!$C$47*0.137))+0.35*COS(2*PI()*(((Inputs!$C$6)/Inputs!$C$50)+Inputs!$C$47*0.173))+0.2*SIN(2*PI()*((((Scenario_Data!T141)+(Inputs!$C$6))/(0.5*(Inputs!$C$49+Inputs!$C$50)))+Inputs!$C$47*0.097)))+0.3*(2*((SIN(((Scenario_Data!T141)*12.9898+(Inputs!$C$6)*78.233+Inputs!$C$47*37.719))*43758.5453)-INT((SIN(((Scenario_Data!T141)*12.9898+(Inputs!$C$6)*78.233+Inputs!$C$47*37.719))*43758.5453)))-1))))/1000))*COS(SQRT((Scenario_Data!T141)^2+Inputs!$C$6^2)/Inputs!$C$52))*1000)/Inputs!$C$21*1000000</f>
        <v/>
      </c>
      <c r="AR141">
        <f>Scenario_Data!U141</f>
        <v/>
      </c>
      <c r="AS141">
        <f>2*(SQRT((Inputs!$C$52+(Scenario_Data!C141))^2+(Inputs!$C$52+((IF(OR(Inputs!$C$27=TRUE,Inputs!$C$27="TRUE",Inputs!$C$27=1),1,0)*(Inputs!$C$51*(115*EXP(-(((Inputs!$C$6)-25)^2)/(4.5^2))+70*EXP(-(((Inputs!$C$6)+38)^2)/(7^2))*(0.55+0.45*SIN(2*PI()*(Scenario_Data!U141)/45))+24*SIN(2*PI()*(Inputs!$C$6)/9+(Scenario_Data!U141)/18)*EXP(-(((Inputs!$C$6)+5)^2)/(22^2))+18*SIN(2*PI()*(Scenario_Data!U141)/70))+Inputs!$C$28*EXP(-(((Scenario_Data!U141)-Inputs!$C$29)^2)/(2*Inputs!$C$31^2))*EXP(-(((Inputs!$C$6)-Inputs!$C$30)^2)/(2*Inputs!$C$32^2))+-Inputs!$C$33*EXP(-(((((Scenario_Data!U141)-Inputs!$C$34)^2)+(((Inputs!$C$6)-Inputs!$C$35)^2))/(2*Inputs!$C$36^2)))+Inputs!$C$37*(0.55*SIN(2*PI()*(Scenario_Data!U141)/Inputs!$C$39)+0.35*COS(2*PI()*(Inputs!$C$6)/Inputs!$C$40)+0.2*SIN(2*PI()*((Scenario_Data!U141)+(Inputs!$C$6))/(0.5*(Inputs!$C$39+Inputs!$C$40))))+Inputs!$C$38*SIN(2*PI()*(Scenario_Data!U141)/Inputs!$C$39)*SIN(2*PI()*(Inputs!$C$6)/Inputs!$C$40)+-Inputs!$C$41*EXP(-(((Inputs!$C$6)-Inputs!$C$43)^2)/(2*Inputs!$C$44^2))*EXP(-(((Scenario_Data!U141)-Inputs!$C$42)^2)/(2*Inputs!$C$45^2))+Inputs!$C$48*(0.7*(0.45*SIN(2*PI()*(((Scenario_Data!U141)/Inputs!$C$49)+Inputs!$C$47*0.137))+0.35*COS(2*PI()*(((Inputs!$C$6)/Inputs!$C$50)+Inputs!$C$47*0.173))+0.2*SIN(2*PI()*((((Scenario_Data!U141)+(Inputs!$C$6))/(0.5*(Inputs!$C$49+Inputs!$C$50)))+Inputs!$C$47*0.097)))+0.3*(2*((SIN(((Scenario_Data!U141)*12.9898+(Inputs!$C$6)*78.233+Inputs!$C$47*37.719))*43758.5453)-INT((SIN(((Scenario_Data!U141)*12.9898+(Inputs!$C$6)*78.233+Inputs!$C$47*37.719))*43758.5453)))-1))))/1000))^2-2*(Inputs!$C$52+(Scenario_Data!C141))*(Inputs!$C$52+((IF(OR(Inputs!$C$27=TRUE,Inputs!$C$27="TRUE",Inputs!$C$27=1),1,0)*(Inputs!$C$51*(115*EXP(-(((Inputs!$C$6)-25)^2)/(4.5^2))+70*EXP(-(((Inputs!$C$6)+38)^2)/(7^2))*(0.55+0.45*SIN(2*PI()*(Scenario_Data!U141)/45))+24*SIN(2*PI()*(Inputs!$C$6)/9+(Scenario_Data!U141)/18)*EXP(-(((Inputs!$C$6)+5)^2)/(22^2))+18*SIN(2*PI()*(Scenario_Data!U141)/70))+Inputs!$C$28*EXP(-(((Scenario_Data!U141)-Inputs!$C$29)^2)/(2*Inputs!$C$31^2))*EXP(-(((Inputs!$C$6)-Inputs!$C$30)^2)/(2*Inputs!$C$32^2))+-Inputs!$C$33*EXP(-(((((Scenario_Data!U141)-Inputs!$C$34)^2)+(((Inputs!$C$6)-Inputs!$C$35)^2))/(2*Inputs!$C$36^2)))+Inputs!$C$37*(0.55*SIN(2*PI()*(Scenario_Data!U141)/Inputs!$C$39)+0.35*COS(2*PI()*(Inputs!$C$6)/Inputs!$C$40)+0.2*SIN(2*PI()*((Scenario_Data!U141)+(Inputs!$C$6))/(0.5*(Inputs!$C$39+Inputs!$C$40))))+Inputs!$C$38*SIN(2*PI()*(Scenario_Data!U141)/Inputs!$C$39)*SIN(2*PI()*(Inputs!$C$6)/Inputs!$C$40)+-Inputs!$C$41*EXP(-(((Inputs!$C$6)-Inputs!$C$43)^2)/(2*Inputs!$C$44^2))*EXP(-(((Scenario_Data!U141)-Inputs!$C$42)^2)/(2*Inputs!$C$45^2))+Inputs!$C$48*(0.7*(0.45*SIN(2*PI()*(((Scenario_Data!U141)/Inputs!$C$49)+Inputs!$C$47*0.137))+0.35*COS(2*PI()*(((Inputs!$C$6)/Inputs!$C$50)+Inputs!$C$47*0.173))+0.2*SIN(2*PI()*((((Scenario_Data!U141)+(Inputs!$C$6))/(0.5*(Inputs!$C$49+Inputs!$C$50)))+Inputs!$C$47*0.097)))+0.3*(2*((SIN(((Scenario_Data!U141)*12.9898+(Inputs!$C$6)*78.233+Inputs!$C$47*37.719))*43758.5453)-INT((SIN(((Scenario_Data!U141)*12.9898+(Inputs!$C$6)*78.233+Inputs!$C$47*37.719))*43758.5453)))-1))))/1000))*COS(SQRT((Scenario_Data!U141)^2+Inputs!$C$6^2)/Inputs!$C$52))*1000)/Inputs!$C$21*1000000</f>
        <v/>
      </c>
      <c r="AT141">
        <f>Scenario_Data!V141</f>
        <v/>
      </c>
      <c r="AU141">
        <f>2*(SQRT((Inputs!$C$52+(Scenario_Data!D141))^2+(Inputs!$C$52+((IF(OR(Inputs!$C$27=TRUE,Inputs!$C$27="TRUE",Inputs!$C$27=1),1,0)*(Inputs!$C$51*(115*EXP(-(((Inputs!$C$6)-25)^2)/(4.5^2))+70*EXP(-(((Inputs!$C$6)+38)^2)/(7^2))*(0.55+0.45*SIN(2*PI()*(Scenario_Data!V141)/45))+24*SIN(2*PI()*(Inputs!$C$6)/9+(Scenario_Data!V141)/18)*EXP(-(((Inputs!$C$6)+5)^2)/(22^2))+18*SIN(2*PI()*(Scenario_Data!V141)/70))+Inputs!$C$28*EXP(-(((Scenario_Data!V141)-Inputs!$C$29)^2)/(2*Inputs!$C$31^2))*EXP(-(((Inputs!$C$6)-Inputs!$C$30)^2)/(2*Inputs!$C$32^2))+-Inputs!$C$33*EXP(-(((((Scenario_Data!V141)-Inputs!$C$34)^2)+(((Inputs!$C$6)-Inputs!$C$35)^2))/(2*Inputs!$C$36^2)))+Inputs!$C$37*(0.55*SIN(2*PI()*(Scenario_Data!V141)/Inputs!$C$39)+0.35*COS(2*PI()*(Inputs!$C$6)/Inputs!$C$40)+0.2*SIN(2*PI()*((Scenario_Data!V141)+(Inputs!$C$6))/(0.5*(Inputs!$C$39+Inputs!$C$40))))+Inputs!$C$38*SIN(2*PI()*(Scenario_Data!V141)/Inputs!$C$39)*SIN(2*PI()*(Inputs!$C$6)/Inputs!$C$40)+-Inputs!$C$41*EXP(-(((Inputs!$C$6)-Inputs!$C$43)^2)/(2*Inputs!$C$44^2))*EXP(-(((Scenario_Data!V141)-Inputs!$C$42)^2)/(2*Inputs!$C$45^2))+Inputs!$C$48*(0.7*(0.45*SIN(2*PI()*(((Scenario_Data!V141)/Inputs!$C$49)+Inputs!$C$47*0.137))+0.35*COS(2*PI()*(((Inputs!$C$6)/Inputs!$C$50)+Inputs!$C$47*0.173))+0.2*SIN(2*PI()*((((Scenario_Data!V141)+(Inputs!$C$6))/(0.5*(Inputs!$C$49+Inputs!$C$50)))+Inputs!$C$47*0.097)))+0.3*(2*((SIN(((Scenario_Data!V141)*12.9898+(Inputs!$C$6)*78.233+Inputs!$C$47*37.719))*43758.5453)-INT((SIN(((Scenario_Data!V141)*12.9898+(Inputs!$C$6)*78.233+Inputs!$C$47*37.719))*43758.5453)))-1))))/1000))^2-2*(Inputs!$C$52+(Scenario_Data!D141))*(Inputs!$C$52+((IF(OR(Inputs!$C$27=TRUE,Inputs!$C$27="TRUE",Inputs!$C$27=1),1,0)*(Inputs!$C$51*(115*EXP(-(((Inputs!$C$6)-25)^2)/(4.5^2))+70*EXP(-(((Inputs!$C$6)+38)^2)/(7^2))*(0.55+0.45*SIN(2*PI()*(Scenario_Data!V141)/45))+24*SIN(2*PI()*(Inputs!$C$6)/9+(Scenario_Data!V141)/18)*EXP(-(((Inputs!$C$6)+5)^2)/(22^2))+18*SIN(2*PI()*(Scenario_Data!V141)/70))+Inputs!$C$28*EXP(-(((Scenario_Data!V141)-Inputs!$C$29)^2)/(2*Inputs!$C$31^2))*EXP(-(((Inputs!$C$6)-Inputs!$C$30)^2)/(2*Inputs!$C$32^2))+-Inputs!$C$33*EXP(-(((((Scenario_Data!V141)-Inputs!$C$34)^2)+(((Inputs!$C$6)-Inputs!$C$35)^2))/(2*Inputs!$C$36^2)))+Inputs!$C$37*(0.55*SIN(2*PI()*(Scenario_Data!V141)/Inputs!$C$39)+0.35*COS(2*PI()*(Inputs!$C$6)/Inputs!$C$40)+0.2*SIN(2*PI()*((Scenario_Data!V141)+(Inputs!$C$6))/(0.5*(Inputs!$C$39+Inputs!$C$40))))+Inputs!$C$38*SIN(2*PI()*(Scenario_Data!V141)/Inputs!$C$39)*SIN(2*PI()*(Inputs!$C$6)/Inputs!$C$40)+-Inputs!$C$41*EXP(-(((Inputs!$C$6)-Inputs!$C$43)^2)/(2*Inputs!$C$44^2))*EXP(-(((Scenario_Data!V141)-Inputs!$C$42)^2)/(2*Inputs!$C$45^2))+Inputs!$C$48*(0.7*(0.45*SIN(2*PI()*(((Scenario_Data!V141)/Inputs!$C$49)+Inputs!$C$47*0.137))+0.35*COS(2*PI()*(((Inputs!$C$6)/Inputs!$C$50)+Inputs!$C$47*0.173))+0.2*SIN(2*PI()*((((Scenario_Data!V141)+(Inputs!$C$6))/(0.5*(Inputs!$C$49+Inputs!$C$50)))+Inputs!$C$47*0.097)))+0.3*(2*((SIN(((Scenario_Data!V141)*12.9898+(Inputs!$C$6)*78.233+Inputs!$C$47*37.719))*43758.5453)-INT((SIN(((Scenario_Data!V141)*12.9898+(Inputs!$C$6)*78.233+Inputs!$C$47*37.719))*43758.5453)))-1))))/1000))*COS(SQRT((Scenario_Data!V141)^2+Inputs!$C$6^2)/Inputs!$C$52))*1000)/Inputs!$C$21*1000000</f>
        <v/>
      </c>
      <c r="AV141">
        <f>Scenario_Data!W141</f>
        <v/>
      </c>
      <c r="AW141">
        <f>2*(SQRT((Inputs!$C$52+(Scenario_Data!E141))^2+(Inputs!$C$52+((IF(OR(Inputs!$C$27=TRUE,Inputs!$C$27="TRUE",Inputs!$C$27=1),1,0)*(Inputs!$C$51*(115*EXP(-(((Inputs!$C$6)-25)^2)/(4.5^2))+70*EXP(-(((Inputs!$C$6)+38)^2)/(7^2))*(0.55+0.45*SIN(2*PI()*(Scenario_Data!W141)/45))+24*SIN(2*PI()*(Inputs!$C$6)/9+(Scenario_Data!W141)/18)*EXP(-(((Inputs!$C$6)+5)^2)/(22^2))+18*SIN(2*PI()*(Scenario_Data!W141)/70))+Inputs!$C$28*EXP(-(((Scenario_Data!W141)-Inputs!$C$29)^2)/(2*Inputs!$C$31^2))*EXP(-(((Inputs!$C$6)-Inputs!$C$30)^2)/(2*Inputs!$C$32^2))+-Inputs!$C$33*EXP(-(((((Scenario_Data!W141)-Inputs!$C$34)^2)+(((Inputs!$C$6)-Inputs!$C$35)^2))/(2*Inputs!$C$36^2)))+Inputs!$C$37*(0.55*SIN(2*PI()*(Scenario_Data!W141)/Inputs!$C$39)+0.35*COS(2*PI()*(Inputs!$C$6)/Inputs!$C$40)+0.2*SIN(2*PI()*((Scenario_Data!W141)+(Inputs!$C$6))/(0.5*(Inputs!$C$39+Inputs!$C$40))))+Inputs!$C$38*SIN(2*PI()*(Scenario_Data!W141)/Inputs!$C$39)*SIN(2*PI()*(Inputs!$C$6)/Inputs!$C$40)+-Inputs!$C$41*EXP(-(((Inputs!$C$6)-Inputs!$C$43)^2)/(2*Inputs!$C$44^2))*EXP(-(((Scenario_Data!W141)-Inputs!$C$42)^2)/(2*Inputs!$C$45^2))+Inputs!$C$48*(0.7*(0.45*SIN(2*PI()*(((Scenario_Data!W141)/Inputs!$C$49)+Inputs!$C$47*0.137))+0.35*COS(2*PI()*(((Inputs!$C$6)/Inputs!$C$50)+Inputs!$C$47*0.173))+0.2*SIN(2*PI()*((((Scenario_Data!W141)+(Inputs!$C$6))/(0.5*(Inputs!$C$49+Inputs!$C$50)))+Inputs!$C$47*0.097)))+0.3*(2*((SIN(((Scenario_Data!W141)*12.9898+(Inputs!$C$6)*78.233+Inputs!$C$47*37.719))*43758.5453)-INT((SIN(((Scenario_Data!W141)*12.9898+(Inputs!$C$6)*78.233+Inputs!$C$47*37.719))*43758.5453)))-1))))/1000))^2-2*(Inputs!$C$52+(Scenario_Data!E141))*(Inputs!$C$52+((IF(OR(Inputs!$C$27=TRUE,Inputs!$C$27="TRUE",Inputs!$C$27=1),1,0)*(Inputs!$C$51*(115*EXP(-(((Inputs!$C$6)-25)^2)/(4.5^2))+70*EXP(-(((Inputs!$C$6)+38)^2)/(7^2))*(0.55+0.45*SIN(2*PI()*(Scenario_Data!W141)/45))+24*SIN(2*PI()*(Inputs!$C$6)/9+(Scenario_Data!W141)/18)*EXP(-(((Inputs!$C$6)+5)^2)/(22^2))+18*SIN(2*PI()*(Scenario_Data!W141)/70))+Inputs!$C$28*EXP(-(((Scenario_Data!W141)-Inputs!$C$29)^2)/(2*Inputs!$C$31^2))*EXP(-(((Inputs!$C$6)-Inputs!$C$30)^2)/(2*Inputs!$C$32^2))+-Inputs!$C$33*EXP(-(((((Scenario_Data!W141)-Inputs!$C$34)^2)+(((Inputs!$C$6)-Inputs!$C$35)^2))/(2*Inputs!$C$36^2)))+Inputs!$C$37*(0.55*SIN(2*PI()*(Scenario_Data!W141)/Inputs!$C$39)+0.35*COS(2*PI()*(Inputs!$C$6)/Inputs!$C$40)+0.2*SIN(2*PI()*((Scenario_Data!W141)+(Inputs!$C$6))/(0.5*(Inputs!$C$39+Inputs!$C$40))))+Inputs!$C$38*SIN(2*PI()*(Scenario_Data!W141)/Inputs!$C$39)*SIN(2*PI()*(Inputs!$C$6)/Inputs!$C$40)+-Inputs!$C$41*EXP(-(((Inputs!$C$6)-Inputs!$C$43)^2)/(2*Inputs!$C$44^2))*EXP(-(((Scenario_Data!W141)-Inputs!$C$42)^2)/(2*Inputs!$C$45^2))+Inputs!$C$48*(0.7*(0.45*SIN(2*PI()*(((Scenario_Data!W141)/Inputs!$C$49)+Inputs!$C$47*0.137))+0.35*COS(2*PI()*(((Inputs!$C$6)/Inputs!$C$50)+Inputs!$C$47*0.173))+0.2*SIN(2*PI()*((((Scenario_Data!W141)+(Inputs!$C$6))/(0.5*(Inputs!$C$49+Inputs!$C$50)))+Inputs!$C$47*0.097)))+0.3*(2*((SIN(((Scenario_Data!W141)*12.9898+(Inputs!$C$6)*78.233+Inputs!$C$47*37.719))*43758.5453)-INT((SIN(((Scenario_Data!W141)*12.9898+(Inputs!$C$6)*78.233+Inputs!$C$47*37.719))*43758.5453)))-1))))/1000))*COS(SQRT((Scenario_Data!W141)^2+Inputs!$C$6^2)/Inputs!$C$52))*1000)/Inputs!$C$21*1000000</f>
        <v/>
      </c>
    </row>
    <row r="142">
      <c r="A142">
        <f>Chart_Data!K142</f>
        <v/>
      </c>
      <c r="B142">
        <f>Chart_Data!N142-Chart_Data!L142</f>
        <v/>
      </c>
      <c r="D142">
        <f>Chart_Data!G142</f>
        <v/>
      </c>
      <c r="E142">
        <f>Chart_Data!H142</f>
        <v/>
      </c>
      <c r="F142">
        <f>Chart_Data!I142</f>
        <v/>
      </c>
      <c r="G142">
        <f>Chart_Data!J142</f>
        <v/>
      </c>
      <c r="I142">
        <f>Scenario_Data!A142</f>
        <v/>
      </c>
      <c r="J142">
        <f>Scenario_Data!H142-(((SQRT((Inputs!$C$52+(Inputs!$H$6))^2+Inputs!$C$52^2-2*(Inputs!$C$52+(Inputs!$H$6))*Inputs!$C$52*COS(SQRT((Scenario_Data!T142)^2+Inputs!$C$6^2)/Inputs!$C$52)))-(Inputs!$H$6))*1000/Inputs!$C$12)</f>
        <v/>
      </c>
      <c r="K142">
        <f>Scenario_Data!I142-(((SQRT((Inputs!$C$52+(Inputs!$H$7))^2+Inputs!$C$52^2-2*(Inputs!$C$52+(Inputs!$H$7))*Inputs!$C$52*COS(SQRT((Scenario_Data!U142)^2+Inputs!$C$6^2)/Inputs!$C$52)))-(Inputs!$H$7))*1000/Inputs!$C$12)</f>
        <v/>
      </c>
      <c r="L142">
        <f>Scenario_Data!J142-(((SQRT((Inputs!$C$52+(Inputs!$H$8))^2+Inputs!$C$52^2-2*(Inputs!$C$52+(Inputs!$H$8))*Inputs!$C$52*COS(SQRT((Scenario_Data!V142)^2+Inputs!$C$6^2)/Inputs!$C$52)))-(Inputs!$H$8))*1000/Inputs!$C$12)</f>
        <v/>
      </c>
      <c r="M142">
        <f>Scenario_Data!K142-(((SQRT((Inputs!$C$52+(Inputs!$H$9))^2+Inputs!$C$52^2-2*(Inputs!$C$52+(Inputs!$H$9))*Inputs!$C$52*COS(SQRT((Scenario_Data!W142)^2+Inputs!$C$6^2)/Inputs!$C$52)))-(Inputs!$H$9))*1000/Inputs!$C$12)</f>
        <v/>
      </c>
      <c r="O142">
        <f>Scenario_Data!T142</f>
        <v/>
      </c>
      <c r="P142">
        <f>2*(Scenario_Data!B142*1000)/Inputs!$C$21*1000000</f>
        <v/>
      </c>
      <c r="Q142">
        <f>Scenario_Data!U142</f>
        <v/>
      </c>
      <c r="R142">
        <f>2*(Scenario_Data!C142*1000)/Inputs!$C$21*1000000</f>
        <v/>
      </c>
      <c r="S142">
        <f>Scenario_Data!V142</f>
        <v/>
      </c>
      <c r="T142">
        <f>2*(Scenario_Data!D142*1000)/Inputs!$C$21*1000000</f>
        <v/>
      </c>
      <c r="U142">
        <f>Scenario_Data!W142</f>
        <v/>
      </c>
      <c r="V142">
        <f>2*(Scenario_Data!E142*1000)/Inputs!$C$21*1000000</f>
        <v/>
      </c>
      <c r="X142">
        <f>Scenario_Data!T142</f>
        <v/>
      </c>
      <c r="Y142">
        <f>2*((Scenario_Data!B142*1000)-(IF(OR(Inputs!$C$27=TRUE,Inputs!$C$27="TRUE",Inputs!$C$27=1),1,0)*(Inputs!$C$51*(115*EXP(-(((0)-25)^2)/(4.5^2))+70*EXP(-(((0)+38)^2)/(7^2))*(0.55+0.45*SIN(2*PI()*(Scenario_Data!T142)/45))+24*SIN(2*PI()*(0)/9+(Scenario_Data!T142)/18)*EXP(-(((0)+5)^2)/(22^2))+18*SIN(2*PI()*(Scenario_Data!T142)/70))+Inputs!$C$28*EXP(-(((Scenario_Data!T142)-Inputs!$C$29)^2)/(2*Inputs!$C$31^2))*EXP(-(((0)-Inputs!$C$30)^2)/(2*Inputs!$C$32^2))+-Inputs!$C$33*EXP(-(((((Scenario_Data!T142)-Inputs!$C$34)^2)+(((0)-Inputs!$C$35)^2))/(2*Inputs!$C$36^2)))+Inputs!$C$37*(0.55*SIN(2*PI()*(Scenario_Data!T142)/Inputs!$C$39)+0.35*COS(2*PI()*(0)/Inputs!$C$40)+0.2*SIN(2*PI()*((Scenario_Data!T142)+(0))/(0.5*(Inputs!$C$39+Inputs!$C$40))))+Inputs!$C$38*SIN(2*PI()*(Scenario_Data!T142)/Inputs!$C$39)*SIN(2*PI()*(0)/Inputs!$C$40)+-Inputs!$C$41*EXP(-(((0)-Inputs!$C$43)^2)/(2*Inputs!$C$44^2))*EXP(-(((Scenario_Data!T142)-Inputs!$C$42)^2)/(2*Inputs!$C$45^2))+Inputs!$C$48*(0.7*(0.45*SIN(2*PI()*(((Scenario_Data!T142)/Inputs!$C$49)+Inputs!$C$47*0.137))+0.35*COS(2*PI()*(((0)/Inputs!$C$50)+Inputs!$C$47*0.173))+0.2*SIN(2*PI()*((((Scenario_Data!T142)+(0))/(0.5*(Inputs!$C$49+Inputs!$C$50)))+Inputs!$C$47*0.097)))+0.3*(2*((SIN(((Scenario_Data!T142)*12.9898+(0)*78.233+Inputs!$C$47*37.719))*43758.5453)-INT((SIN(((Scenario_Data!T142)*12.9898+(0)*78.233+Inputs!$C$47*37.719))*43758.5453)))-1)))))/Inputs!$C$21*1000000</f>
        <v/>
      </c>
      <c r="Z142">
        <f>Scenario_Data!U142</f>
        <v/>
      </c>
      <c r="AA142">
        <f>2*((Scenario_Data!C142*1000)-(IF(OR(Inputs!$C$27=TRUE,Inputs!$C$27="TRUE",Inputs!$C$27=1),1,0)*(Inputs!$C$51*(115*EXP(-(((0)-25)^2)/(4.5^2))+70*EXP(-(((0)+38)^2)/(7^2))*(0.55+0.45*SIN(2*PI()*(Scenario_Data!U142)/45))+24*SIN(2*PI()*(0)/9+(Scenario_Data!U142)/18)*EXP(-(((0)+5)^2)/(22^2))+18*SIN(2*PI()*(Scenario_Data!U142)/70))+Inputs!$C$28*EXP(-(((Scenario_Data!U142)-Inputs!$C$29)^2)/(2*Inputs!$C$31^2))*EXP(-(((0)-Inputs!$C$30)^2)/(2*Inputs!$C$32^2))+-Inputs!$C$33*EXP(-(((((Scenario_Data!U142)-Inputs!$C$34)^2)+(((0)-Inputs!$C$35)^2))/(2*Inputs!$C$36^2)))+Inputs!$C$37*(0.55*SIN(2*PI()*(Scenario_Data!U142)/Inputs!$C$39)+0.35*COS(2*PI()*(0)/Inputs!$C$40)+0.2*SIN(2*PI()*((Scenario_Data!U142)+(0))/(0.5*(Inputs!$C$39+Inputs!$C$40))))+Inputs!$C$38*SIN(2*PI()*(Scenario_Data!U142)/Inputs!$C$39)*SIN(2*PI()*(0)/Inputs!$C$40)+-Inputs!$C$41*EXP(-(((0)-Inputs!$C$43)^2)/(2*Inputs!$C$44^2))*EXP(-(((Scenario_Data!U142)-Inputs!$C$42)^2)/(2*Inputs!$C$45^2))+Inputs!$C$48*(0.7*(0.45*SIN(2*PI()*(((Scenario_Data!U142)/Inputs!$C$49)+Inputs!$C$47*0.137))+0.35*COS(2*PI()*(((0)/Inputs!$C$50)+Inputs!$C$47*0.173))+0.2*SIN(2*PI()*((((Scenario_Data!U142)+(0))/(0.5*(Inputs!$C$49+Inputs!$C$50)))+Inputs!$C$47*0.097)))+0.3*(2*((SIN(((Scenario_Data!U142)*12.9898+(0)*78.233+Inputs!$C$47*37.719))*43758.5453)-INT((SIN(((Scenario_Data!U142)*12.9898+(0)*78.233+Inputs!$C$47*37.719))*43758.5453)))-1)))))/Inputs!$C$21*1000000</f>
        <v/>
      </c>
      <c r="AB142">
        <f>Scenario_Data!V142</f>
        <v/>
      </c>
      <c r="AC142">
        <f>2*((Scenario_Data!D142*1000)-(IF(OR(Inputs!$C$27=TRUE,Inputs!$C$27="TRUE",Inputs!$C$27=1),1,0)*(Inputs!$C$51*(115*EXP(-(((0)-25)^2)/(4.5^2))+70*EXP(-(((0)+38)^2)/(7^2))*(0.55+0.45*SIN(2*PI()*(Scenario_Data!V142)/45))+24*SIN(2*PI()*(0)/9+(Scenario_Data!V142)/18)*EXP(-(((0)+5)^2)/(22^2))+18*SIN(2*PI()*(Scenario_Data!V142)/70))+Inputs!$C$28*EXP(-(((Scenario_Data!V142)-Inputs!$C$29)^2)/(2*Inputs!$C$31^2))*EXP(-(((0)-Inputs!$C$30)^2)/(2*Inputs!$C$32^2))+-Inputs!$C$33*EXP(-(((((Scenario_Data!V142)-Inputs!$C$34)^2)+(((0)-Inputs!$C$35)^2))/(2*Inputs!$C$36^2)))+Inputs!$C$37*(0.55*SIN(2*PI()*(Scenario_Data!V142)/Inputs!$C$39)+0.35*COS(2*PI()*(0)/Inputs!$C$40)+0.2*SIN(2*PI()*((Scenario_Data!V142)+(0))/(0.5*(Inputs!$C$39+Inputs!$C$40))))+Inputs!$C$38*SIN(2*PI()*(Scenario_Data!V142)/Inputs!$C$39)*SIN(2*PI()*(0)/Inputs!$C$40)+-Inputs!$C$41*EXP(-(((0)-Inputs!$C$43)^2)/(2*Inputs!$C$44^2))*EXP(-(((Scenario_Data!V142)-Inputs!$C$42)^2)/(2*Inputs!$C$45^2))+Inputs!$C$48*(0.7*(0.45*SIN(2*PI()*(((Scenario_Data!V142)/Inputs!$C$49)+Inputs!$C$47*0.137))+0.35*COS(2*PI()*(((0)/Inputs!$C$50)+Inputs!$C$47*0.173))+0.2*SIN(2*PI()*((((Scenario_Data!V142)+(0))/(0.5*(Inputs!$C$49+Inputs!$C$50)))+Inputs!$C$47*0.097)))+0.3*(2*((SIN(((Scenario_Data!V142)*12.9898+(0)*78.233+Inputs!$C$47*37.719))*43758.5453)-INT((SIN(((Scenario_Data!V142)*12.9898+(0)*78.233+Inputs!$C$47*37.719))*43758.5453)))-1)))))/Inputs!$C$21*1000000</f>
        <v/>
      </c>
      <c r="AD142">
        <f>Scenario_Data!W142</f>
        <v/>
      </c>
      <c r="AE142">
        <f>2*((Scenario_Data!E142*1000)-(IF(OR(Inputs!$C$27=TRUE,Inputs!$C$27="TRUE",Inputs!$C$27=1),1,0)*(Inputs!$C$51*(115*EXP(-(((0)-25)^2)/(4.5^2))+70*EXP(-(((0)+38)^2)/(7^2))*(0.55+0.45*SIN(2*PI()*(Scenario_Data!W142)/45))+24*SIN(2*PI()*(0)/9+(Scenario_Data!W142)/18)*EXP(-(((0)+5)^2)/(22^2))+18*SIN(2*PI()*(Scenario_Data!W142)/70))+Inputs!$C$28*EXP(-(((Scenario_Data!W142)-Inputs!$C$29)^2)/(2*Inputs!$C$31^2))*EXP(-(((0)-Inputs!$C$30)^2)/(2*Inputs!$C$32^2))+-Inputs!$C$33*EXP(-(((((Scenario_Data!W142)-Inputs!$C$34)^2)+(((0)-Inputs!$C$35)^2))/(2*Inputs!$C$36^2)))+Inputs!$C$37*(0.55*SIN(2*PI()*(Scenario_Data!W142)/Inputs!$C$39)+0.35*COS(2*PI()*(0)/Inputs!$C$40)+0.2*SIN(2*PI()*((Scenario_Data!W142)+(0))/(0.5*(Inputs!$C$39+Inputs!$C$40))))+Inputs!$C$38*SIN(2*PI()*(Scenario_Data!W142)/Inputs!$C$39)*SIN(2*PI()*(0)/Inputs!$C$40)+-Inputs!$C$41*EXP(-(((0)-Inputs!$C$43)^2)/(2*Inputs!$C$44^2))*EXP(-(((Scenario_Data!W142)-Inputs!$C$42)^2)/(2*Inputs!$C$45^2))+Inputs!$C$48*(0.7*(0.45*SIN(2*PI()*(((Scenario_Data!W142)/Inputs!$C$49)+Inputs!$C$47*0.137))+0.35*COS(2*PI()*(((0)/Inputs!$C$50)+Inputs!$C$47*0.173))+0.2*SIN(2*PI()*((((Scenario_Data!W142)+(0))/(0.5*(Inputs!$C$49+Inputs!$C$50)))+Inputs!$C$47*0.097)))+0.3*(2*((SIN(((Scenario_Data!W142)*12.9898+(0)*78.233+Inputs!$C$47*37.719))*43758.5453)-INT((SIN(((Scenario_Data!W142)*12.9898+(0)*78.233+Inputs!$C$47*37.719))*43758.5453)))-1)))))/Inputs!$C$21*1000000</f>
        <v/>
      </c>
      <c r="AG142">
        <f>Scenario_Data!T142</f>
        <v/>
      </c>
      <c r="AH142">
        <f>2*(SQRT((Inputs!$C$52+(Scenario_Data!B142))^2+Inputs!$C$52^2-2*(Inputs!$C$52+(Scenario_Data!B142))*Inputs!$C$52*COS(SQRT((Scenario_Data!T142)^2+Inputs!$C$6^2)/Inputs!$C$52))*1000)/Inputs!$C$21*1000000</f>
        <v/>
      </c>
      <c r="AI142">
        <f>Scenario_Data!U142</f>
        <v/>
      </c>
      <c r="AJ142">
        <f>2*(SQRT((Inputs!$C$52+(Scenario_Data!C142))^2+Inputs!$C$52^2-2*(Inputs!$C$52+(Scenario_Data!C142))*Inputs!$C$52*COS(SQRT((Scenario_Data!U142)^2+Inputs!$C$6^2)/Inputs!$C$52))*1000)/Inputs!$C$21*1000000</f>
        <v/>
      </c>
      <c r="AK142">
        <f>Scenario_Data!V142</f>
        <v/>
      </c>
      <c r="AL142">
        <f>2*(SQRT((Inputs!$C$52+(Scenario_Data!D142))^2+Inputs!$C$52^2-2*(Inputs!$C$52+(Scenario_Data!D142))*Inputs!$C$52*COS(SQRT((Scenario_Data!V142)^2+Inputs!$C$6^2)/Inputs!$C$52))*1000)/Inputs!$C$21*1000000</f>
        <v/>
      </c>
      <c r="AM142">
        <f>Scenario_Data!W142</f>
        <v/>
      </c>
      <c r="AN142">
        <f>2*(SQRT((Inputs!$C$52+(Scenario_Data!E142))^2+Inputs!$C$52^2-2*(Inputs!$C$52+(Scenario_Data!E142))*Inputs!$C$52*COS(SQRT((Scenario_Data!W142)^2+Inputs!$C$6^2)/Inputs!$C$52))*1000)/Inputs!$C$21*1000000</f>
        <v/>
      </c>
      <c r="AP142">
        <f>Scenario_Data!T142</f>
        <v/>
      </c>
      <c r="AQ142">
        <f>2*(SQRT((Inputs!$C$52+(Scenario_Data!B142))^2+(Inputs!$C$52+((IF(OR(Inputs!$C$27=TRUE,Inputs!$C$27="TRUE",Inputs!$C$27=1),1,0)*(Inputs!$C$51*(115*EXP(-(((Inputs!$C$6)-25)^2)/(4.5^2))+70*EXP(-(((Inputs!$C$6)+38)^2)/(7^2))*(0.55+0.45*SIN(2*PI()*(Scenario_Data!T142)/45))+24*SIN(2*PI()*(Inputs!$C$6)/9+(Scenario_Data!T142)/18)*EXP(-(((Inputs!$C$6)+5)^2)/(22^2))+18*SIN(2*PI()*(Scenario_Data!T142)/70))+Inputs!$C$28*EXP(-(((Scenario_Data!T142)-Inputs!$C$29)^2)/(2*Inputs!$C$31^2))*EXP(-(((Inputs!$C$6)-Inputs!$C$30)^2)/(2*Inputs!$C$32^2))+-Inputs!$C$33*EXP(-(((((Scenario_Data!T142)-Inputs!$C$34)^2)+(((Inputs!$C$6)-Inputs!$C$35)^2))/(2*Inputs!$C$36^2)))+Inputs!$C$37*(0.55*SIN(2*PI()*(Scenario_Data!T142)/Inputs!$C$39)+0.35*COS(2*PI()*(Inputs!$C$6)/Inputs!$C$40)+0.2*SIN(2*PI()*((Scenario_Data!T142)+(Inputs!$C$6))/(0.5*(Inputs!$C$39+Inputs!$C$40))))+Inputs!$C$38*SIN(2*PI()*(Scenario_Data!T142)/Inputs!$C$39)*SIN(2*PI()*(Inputs!$C$6)/Inputs!$C$40)+-Inputs!$C$41*EXP(-(((Inputs!$C$6)-Inputs!$C$43)^2)/(2*Inputs!$C$44^2))*EXP(-(((Scenario_Data!T142)-Inputs!$C$42)^2)/(2*Inputs!$C$45^2))+Inputs!$C$48*(0.7*(0.45*SIN(2*PI()*(((Scenario_Data!T142)/Inputs!$C$49)+Inputs!$C$47*0.137))+0.35*COS(2*PI()*(((Inputs!$C$6)/Inputs!$C$50)+Inputs!$C$47*0.173))+0.2*SIN(2*PI()*((((Scenario_Data!T142)+(Inputs!$C$6))/(0.5*(Inputs!$C$49+Inputs!$C$50)))+Inputs!$C$47*0.097)))+0.3*(2*((SIN(((Scenario_Data!T142)*12.9898+(Inputs!$C$6)*78.233+Inputs!$C$47*37.719))*43758.5453)-INT((SIN(((Scenario_Data!T142)*12.9898+(Inputs!$C$6)*78.233+Inputs!$C$47*37.719))*43758.5453)))-1))))/1000))^2-2*(Inputs!$C$52+(Scenario_Data!B142))*(Inputs!$C$52+((IF(OR(Inputs!$C$27=TRUE,Inputs!$C$27="TRUE",Inputs!$C$27=1),1,0)*(Inputs!$C$51*(115*EXP(-(((Inputs!$C$6)-25)^2)/(4.5^2))+70*EXP(-(((Inputs!$C$6)+38)^2)/(7^2))*(0.55+0.45*SIN(2*PI()*(Scenario_Data!T142)/45))+24*SIN(2*PI()*(Inputs!$C$6)/9+(Scenario_Data!T142)/18)*EXP(-(((Inputs!$C$6)+5)^2)/(22^2))+18*SIN(2*PI()*(Scenario_Data!T142)/70))+Inputs!$C$28*EXP(-(((Scenario_Data!T142)-Inputs!$C$29)^2)/(2*Inputs!$C$31^2))*EXP(-(((Inputs!$C$6)-Inputs!$C$30)^2)/(2*Inputs!$C$32^2))+-Inputs!$C$33*EXP(-(((((Scenario_Data!T142)-Inputs!$C$34)^2)+(((Inputs!$C$6)-Inputs!$C$35)^2))/(2*Inputs!$C$36^2)))+Inputs!$C$37*(0.55*SIN(2*PI()*(Scenario_Data!T142)/Inputs!$C$39)+0.35*COS(2*PI()*(Inputs!$C$6)/Inputs!$C$40)+0.2*SIN(2*PI()*((Scenario_Data!T142)+(Inputs!$C$6))/(0.5*(Inputs!$C$39+Inputs!$C$40))))+Inputs!$C$38*SIN(2*PI()*(Scenario_Data!T142)/Inputs!$C$39)*SIN(2*PI()*(Inputs!$C$6)/Inputs!$C$40)+-Inputs!$C$41*EXP(-(((Inputs!$C$6)-Inputs!$C$43)^2)/(2*Inputs!$C$44^2))*EXP(-(((Scenario_Data!T142)-Inputs!$C$42)^2)/(2*Inputs!$C$45^2))+Inputs!$C$48*(0.7*(0.45*SIN(2*PI()*(((Scenario_Data!T142)/Inputs!$C$49)+Inputs!$C$47*0.137))+0.35*COS(2*PI()*(((Inputs!$C$6)/Inputs!$C$50)+Inputs!$C$47*0.173))+0.2*SIN(2*PI()*((((Scenario_Data!T142)+(Inputs!$C$6))/(0.5*(Inputs!$C$49+Inputs!$C$50)))+Inputs!$C$47*0.097)))+0.3*(2*((SIN(((Scenario_Data!T142)*12.9898+(Inputs!$C$6)*78.233+Inputs!$C$47*37.719))*43758.5453)-INT((SIN(((Scenario_Data!T142)*12.9898+(Inputs!$C$6)*78.233+Inputs!$C$47*37.719))*43758.5453)))-1))))/1000))*COS(SQRT((Scenario_Data!T142)^2+Inputs!$C$6^2)/Inputs!$C$52))*1000)/Inputs!$C$21*1000000</f>
        <v/>
      </c>
      <c r="AR142">
        <f>Scenario_Data!U142</f>
        <v/>
      </c>
      <c r="AS142">
        <f>2*(SQRT((Inputs!$C$52+(Scenario_Data!C142))^2+(Inputs!$C$52+((IF(OR(Inputs!$C$27=TRUE,Inputs!$C$27="TRUE",Inputs!$C$27=1),1,0)*(Inputs!$C$51*(115*EXP(-(((Inputs!$C$6)-25)^2)/(4.5^2))+70*EXP(-(((Inputs!$C$6)+38)^2)/(7^2))*(0.55+0.45*SIN(2*PI()*(Scenario_Data!U142)/45))+24*SIN(2*PI()*(Inputs!$C$6)/9+(Scenario_Data!U142)/18)*EXP(-(((Inputs!$C$6)+5)^2)/(22^2))+18*SIN(2*PI()*(Scenario_Data!U142)/70))+Inputs!$C$28*EXP(-(((Scenario_Data!U142)-Inputs!$C$29)^2)/(2*Inputs!$C$31^2))*EXP(-(((Inputs!$C$6)-Inputs!$C$30)^2)/(2*Inputs!$C$32^2))+-Inputs!$C$33*EXP(-(((((Scenario_Data!U142)-Inputs!$C$34)^2)+(((Inputs!$C$6)-Inputs!$C$35)^2))/(2*Inputs!$C$36^2)))+Inputs!$C$37*(0.55*SIN(2*PI()*(Scenario_Data!U142)/Inputs!$C$39)+0.35*COS(2*PI()*(Inputs!$C$6)/Inputs!$C$40)+0.2*SIN(2*PI()*((Scenario_Data!U142)+(Inputs!$C$6))/(0.5*(Inputs!$C$39+Inputs!$C$40))))+Inputs!$C$38*SIN(2*PI()*(Scenario_Data!U142)/Inputs!$C$39)*SIN(2*PI()*(Inputs!$C$6)/Inputs!$C$40)+-Inputs!$C$41*EXP(-(((Inputs!$C$6)-Inputs!$C$43)^2)/(2*Inputs!$C$44^2))*EXP(-(((Scenario_Data!U142)-Inputs!$C$42)^2)/(2*Inputs!$C$45^2))+Inputs!$C$48*(0.7*(0.45*SIN(2*PI()*(((Scenario_Data!U142)/Inputs!$C$49)+Inputs!$C$47*0.137))+0.35*COS(2*PI()*(((Inputs!$C$6)/Inputs!$C$50)+Inputs!$C$47*0.173))+0.2*SIN(2*PI()*((((Scenario_Data!U142)+(Inputs!$C$6))/(0.5*(Inputs!$C$49+Inputs!$C$50)))+Inputs!$C$47*0.097)))+0.3*(2*((SIN(((Scenario_Data!U142)*12.9898+(Inputs!$C$6)*78.233+Inputs!$C$47*37.719))*43758.5453)-INT((SIN(((Scenario_Data!U142)*12.9898+(Inputs!$C$6)*78.233+Inputs!$C$47*37.719))*43758.5453)))-1))))/1000))^2-2*(Inputs!$C$52+(Scenario_Data!C142))*(Inputs!$C$52+((IF(OR(Inputs!$C$27=TRUE,Inputs!$C$27="TRUE",Inputs!$C$27=1),1,0)*(Inputs!$C$51*(115*EXP(-(((Inputs!$C$6)-25)^2)/(4.5^2))+70*EXP(-(((Inputs!$C$6)+38)^2)/(7^2))*(0.55+0.45*SIN(2*PI()*(Scenario_Data!U142)/45))+24*SIN(2*PI()*(Inputs!$C$6)/9+(Scenario_Data!U142)/18)*EXP(-(((Inputs!$C$6)+5)^2)/(22^2))+18*SIN(2*PI()*(Scenario_Data!U142)/70))+Inputs!$C$28*EXP(-(((Scenario_Data!U142)-Inputs!$C$29)^2)/(2*Inputs!$C$31^2))*EXP(-(((Inputs!$C$6)-Inputs!$C$30)^2)/(2*Inputs!$C$32^2))+-Inputs!$C$33*EXP(-(((((Scenario_Data!U142)-Inputs!$C$34)^2)+(((Inputs!$C$6)-Inputs!$C$35)^2))/(2*Inputs!$C$36^2)))+Inputs!$C$37*(0.55*SIN(2*PI()*(Scenario_Data!U142)/Inputs!$C$39)+0.35*COS(2*PI()*(Inputs!$C$6)/Inputs!$C$40)+0.2*SIN(2*PI()*((Scenario_Data!U142)+(Inputs!$C$6))/(0.5*(Inputs!$C$39+Inputs!$C$40))))+Inputs!$C$38*SIN(2*PI()*(Scenario_Data!U142)/Inputs!$C$39)*SIN(2*PI()*(Inputs!$C$6)/Inputs!$C$40)+-Inputs!$C$41*EXP(-(((Inputs!$C$6)-Inputs!$C$43)^2)/(2*Inputs!$C$44^2))*EXP(-(((Scenario_Data!U142)-Inputs!$C$42)^2)/(2*Inputs!$C$45^2))+Inputs!$C$48*(0.7*(0.45*SIN(2*PI()*(((Scenario_Data!U142)/Inputs!$C$49)+Inputs!$C$47*0.137))+0.35*COS(2*PI()*(((Inputs!$C$6)/Inputs!$C$50)+Inputs!$C$47*0.173))+0.2*SIN(2*PI()*((((Scenario_Data!U142)+(Inputs!$C$6))/(0.5*(Inputs!$C$49+Inputs!$C$50)))+Inputs!$C$47*0.097)))+0.3*(2*((SIN(((Scenario_Data!U142)*12.9898+(Inputs!$C$6)*78.233+Inputs!$C$47*37.719))*43758.5453)-INT((SIN(((Scenario_Data!U142)*12.9898+(Inputs!$C$6)*78.233+Inputs!$C$47*37.719))*43758.5453)))-1))))/1000))*COS(SQRT((Scenario_Data!U142)^2+Inputs!$C$6^2)/Inputs!$C$52))*1000)/Inputs!$C$21*1000000</f>
        <v/>
      </c>
      <c r="AT142">
        <f>Scenario_Data!V142</f>
        <v/>
      </c>
      <c r="AU142">
        <f>2*(SQRT((Inputs!$C$52+(Scenario_Data!D142))^2+(Inputs!$C$52+((IF(OR(Inputs!$C$27=TRUE,Inputs!$C$27="TRUE",Inputs!$C$27=1),1,0)*(Inputs!$C$51*(115*EXP(-(((Inputs!$C$6)-25)^2)/(4.5^2))+70*EXP(-(((Inputs!$C$6)+38)^2)/(7^2))*(0.55+0.45*SIN(2*PI()*(Scenario_Data!V142)/45))+24*SIN(2*PI()*(Inputs!$C$6)/9+(Scenario_Data!V142)/18)*EXP(-(((Inputs!$C$6)+5)^2)/(22^2))+18*SIN(2*PI()*(Scenario_Data!V142)/70))+Inputs!$C$28*EXP(-(((Scenario_Data!V142)-Inputs!$C$29)^2)/(2*Inputs!$C$31^2))*EXP(-(((Inputs!$C$6)-Inputs!$C$30)^2)/(2*Inputs!$C$32^2))+-Inputs!$C$33*EXP(-(((((Scenario_Data!V142)-Inputs!$C$34)^2)+(((Inputs!$C$6)-Inputs!$C$35)^2))/(2*Inputs!$C$36^2)))+Inputs!$C$37*(0.55*SIN(2*PI()*(Scenario_Data!V142)/Inputs!$C$39)+0.35*COS(2*PI()*(Inputs!$C$6)/Inputs!$C$40)+0.2*SIN(2*PI()*((Scenario_Data!V142)+(Inputs!$C$6))/(0.5*(Inputs!$C$39+Inputs!$C$40))))+Inputs!$C$38*SIN(2*PI()*(Scenario_Data!V142)/Inputs!$C$39)*SIN(2*PI()*(Inputs!$C$6)/Inputs!$C$40)+-Inputs!$C$41*EXP(-(((Inputs!$C$6)-Inputs!$C$43)^2)/(2*Inputs!$C$44^2))*EXP(-(((Scenario_Data!V142)-Inputs!$C$42)^2)/(2*Inputs!$C$45^2))+Inputs!$C$48*(0.7*(0.45*SIN(2*PI()*(((Scenario_Data!V142)/Inputs!$C$49)+Inputs!$C$47*0.137))+0.35*COS(2*PI()*(((Inputs!$C$6)/Inputs!$C$50)+Inputs!$C$47*0.173))+0.2*SIN(2*PI()*((((Scenario_Data!V142)+(Inputs!$C$6))/(0.5*(Inputs!$C$49+Inputs!$C$50)))+Inputs!$C$47*0.097)))+0.3*(2*((SIN(((Scenario_Data!V142)*12.9898+(Inputs!$C$6)*78.233+Inputs!$C$47*37.719))*43758.5453)-INT((SIN(((Scenario_Data!V142)*12.9898+(Inputs!$C$6)*78.233+Inputs!$C$47*37.719))*43758.5453)))-1))))/1000))^2-2*(Inputs!$C$52+(Scenario_Data!D142))*(Inputs!$C$52+((IF(OR(Inputs!$C$27=TRUE,Inputs!$C$27="TRUE",Inputs!$C$27=1),1,0)*(Inputs!$C$51*(115*EXP(-(((Inputs!$C$6)-25)^2)/(4.5^2))+70*EXP(-(((Inputs!$C$6)+38)^2)/(7^2))*(0.55+0.45*SIN(2*PI()*(Scenario_Data!V142)/45))+24*SIN(2*PI()*(Inputs!$C$6)/9+(Scenario_Data!V142)/18)*EXP(-(((Inputs!$C$6)+5)^2)/(22^2))+18*SIN(2*PI()*(Scenario_Data!V142)/70))+Inputs!$C$28*EXP(-(((Scenario_Data!V142)-Inputs!$C$29)^2)/(2*Inputs!$C$31^2))*EXP(-(((Inputs!$C$6)-Inputs!$C$30)^2)/(2*Inputs!$C$32^2))+-Inputs!$C$33*EXP(-(((((Scenario_Data!V142)-Inputs!$C$34)^2)+(((Inputs!$C$6)-Inputs!$C$35)^2))/(2*Inputs!$C$36^2)))+Inputs!$C$37*(0.55*SIN(2*PI()*(Scenario_Data!V142)/Inputs!$C$39)+0.35*COS(2*PI()*(Inputs!$C$6)/Inputs!$C$40)+0.2*SIN(2*PI()*((Scenario_Data!V142)+(Inputs!$C$6))/(0.5*(Inputs!$C$39+Inputs!$C$40))))+Inputs!$C$38*SIN(2*PI()*(Scenario_Data!V142)/Inputs!$C$39)*SIN(2*PI()*(Inputs!$C$6)/Inputs!$C$40)+-Inputs!$C$41*EXP(-(((Inputs!$C$6)-Inputs!$C$43)^2)/(2*Inputs!$C$44^2))*EXP(-(((Scenario_Data!V142)-Inputs!$C$42)^2)/(2*Inputs!$C$45^2))+Inputs!$C$48*(0.7*(0.45*SIN(2*PI()*(((Scenario_Data!V142)/Inputs!$C$49)+Inputs!$C$47*0.137))+0.35*COS(2*PI()*(((Inputs!$C$6)/Inputs!$C$50)+Inputs!$C$47*0.173))+0.2*SIN(2*PI()*((((Scenario_Data!V142)+(Inputs!$C$6))/(0.5*(Inputs!$C$49+Inputs!$C$50)))+Inputs!$C$47*0.097)))+0.3*(2*((SIN(((Scenario_Data!V142)*12.9898+(Inputs!$C$6)*78.233+Inputs!$C$47*37.719))*43758.5453)-INT((SIN(((Scenario_Data!V142)*12.9898+(Inputs!$C$6)*78.233+Inputs!$C$47*37.719))*43758.5453)))-1))))/1000))*COS(SQRT((Scenario_Data!V142)^2+Inputs!$C$6^2)/Inputs!$C$52))*1000)/Inputs!$C$21*1000000</f>
        <v/>
      </c>
      <c r="AV142">
        <f>Scenario_Data!W142</f>
        <v/>
      </c>
      <c r="AW142">
        <f>2*(SQRT((Inputs!$C$52+(Scenario_Data!E142))^2+(Inputs!$C$52+((IF(OR(Inputs!$C$27=TRUE,Inputs!$C$27="TRUE",Inputs!$C$27=1),1,0)*(Inputs!$C$51*(115*EXP(-(((Inputs!$C$6)-25)^2)/(4.5^2))+70*EXP(-(((Inputs!$C$6)+38)^2)/(7^2))*(0.55+0.45*SIN(2*PI()*(Scenario_Data!W142)/45))+24*SIN(2*PI()*(Inputs!$C$6)/9+(Scenario_Data!W142)/18)*EXP(-(((Inputs!$C$6)+5)^2)/(22^2))+18*SIN(2*PI()*(Scenario_Data!W142)/70))+Inputs!$C$28*EXP(-(((Scenario_Data!W142)-Inputs!$C$29)^2)/(2*Inputs!$C$31^2))*EXP(-(((Inputs!$C$6)-Inputs!$C$30)^2)/(2*Inputs!$C$32^2))+-Inputs!$C$33*EXP(-(((((Scenario_Data!W142)-Inputs!$C$34)^2)+(((Inputs!$C$6)-Inputs!$C$35)^2))/(2*Inputs!$C$36^2)))+Inputs!$C$37*(0.55*SIN(2*PI()*(Scenario_Data!W142)/Inputs!$C$39)+0.35*COS(2*PI()*(Inputs!$C$6)/Inputs!$C$40)+0.2*SIN(2*PI()*((Scenario_Data!W142)+(Inputs!$C$6))/(0.5*(Inputs!$C$39+Inputs!$C$40))))+Inputs!$C$38*SIN(2*PI()*(Scenario_Data!W142)/Inputs!$C$39)*SIN(2*PI()*(Inputs!$C$6)/Inputs!$C$40)+-Inputs!$C$41*EXP(-(((Inputs!$C$6)-Inputs!$C$43)^2)/(2*Inputs!$C$44^2))*EXP(-(((Scenario_Data!W142)-Inputs!$C$42)^2)/(2*Inputs!$C$45^2))+Inputs!$C$48*(0.7*(0.45*SIN(2*PI()*(((Scenario_Data!W142)/Inputs!$C$49)+Inputs!$C$47*0.137))+0.35*COS(2*PI()*(((Inputs!$C$6)/Inputs!$C$50)+Inputs!$C$47*0.173))+0.2*SIN(2*PI()*((((Scenario_Data!W142)+(Inputs!$C$6))/(0.5*(Inputs!$C$49+Inputs!$C$50)))+Inputs!$C$47*0.097)))+0.3*(2*((SIN(((Scenario_Data!W142)*12.9898+(Inputs!$C$6)*78.233+Inputs!$C$47*37.719))*43758.5453)-INT((SIN(((Scenario_Data!W142)*12.9898+(Inputs!$C$6)*78.233+Inputs!$C$47*37.719))*43758.5453)))-1))))/1000))^2-2*(Inputs!$C$52+(Scenario_Data!E142))*(Inputs!$C$52+((IF(OR(Inputs!$C$27=TRUE,Inputs!$C$27="TRUE",Inputs!$C$27=1),1,0)*(Inputs!$C$51*(115*EXP(-(((Inputs!$C$6)-25)^2)/(4.5^2))+70*EXP(-(((Inputs!$C$6)+38)^2)/(7^2))*(0.55+0.45*SIN(2*PI()*(Scenario_Data!W142)/45))+24*SIN(2*PI()*(Inputs!$C$6)/9+(Scenario_Data!W142)/18)*EXP(-(((Inputs!$C$6)+5)^2)/(22^2))+18*SIN(2*PI()*(Scenario_Data!W142)/70))+Inputs!$C$28*EXP(-(((Scenario_Data!W142)-Inputs!$C$29)^2)/(2*Inputs!$C$31^2))*EXP(-(((Inputs!$C$6)-Inputs!$C$30)^2)/(2*Inputs!$C$32^2))+-Inputs!$C$33*EXP(-(((((Scenario_Data!W142)-Inputs!$C$34)^2)+(((Inputs!$C$6)-Inputs!$C$35)^2))/(2*Inputs!$C$36^2)))+Inputs!$C$37*(0.55*SIN(2*PI()*(Scenario_Data!W142)/Inputs!$C$39)+0.35*COS(2*PI()*(Inputs!$C$6)/Inputs!$C$40)+0.2*SIN(2*PI()*((Scenario_Data!W142)+(Inputs!$C$6))/(0.5*(Inputs!$C$39+Inputs!$C$40))))+Inputs!$C$38*SIN(2*PI()*(Scenario_Data!W142)/Inputs!$C$39)*SIN(2*PI()*(Inputs!$C$6)/Inputs!$C$40)+-Inputs!$C$41*EXP(-(((Inputs!$C$6)-Inputs!$C$43)^2)/(2*Inputs!$C$44^2))*EXP(-(((Scenario_Data!W142)-Inputs!$C$42)^2)/(2*Inputs!$C$45^2))+Inputs!$C$48*(0.7*(0.45*SIN(2*PI()*(((Scenario_Data!W142)/Inputs!$C$49)+Inputs!$C$47*0.137))+0.35*COS(2*PI()*(((Inputs!$C$6)/Inputs!$C$50)+Inputs!$C$47*0.173))+0.2*SIN(2*PI()*((((Scenario_Data!W142)+(Inputs!$C$6))/(0.5*(Inputs!$C$49+Inputs!$C$50)))+Inputs!$C$47*0.097)))+0.3*(2*((SIN(((Scenario_Data!W142)*12.9898+(Inputs!$C$6)*78.233+Inputs!$C$47*37.719))*43758.5453)-INT((SIN(((Scenario_Data!W142)*12.9898+(Inputs!$C$6)*78.233+Inputs!$C$47*37.719))*43758.5453)))-1))))/1000))*COS(SQRT((Scenario_Data!W142)^2+Inputs!$C$6^2)/Inputs!$C$52))*1000)/Inputs!$C$21*1000000</f>
        <v/>
      </c>
    </row>
    <row r="143">
      <c r="A143">
        <f>Chart_Data!K143</f>
        <v/>
      </c>
      <c r="B143">
        <f>Chart_Data!N143-Chart_Data!L143</f>
        <v/>
      </c>
      <c r="D143">
        <f>Chart_Data!G143</f>
        <v/>
      </c>
      <c r="E143">
        <f>Chart_Data!H143</f>
        <v/>
      </c>
      <c r="F143">
        <f>Chart_Data!I143</f>
        <v/>
      </c>
      <c r="G143">
        <f>Chart_Data!J143</f>
        <v/>
      </c>
      <c r="I143">
        <f>Scenario_Data!A143</f>
        <v/>
      </c>
      <c r="J143">
        <f>Scenario_Data!H143-(((SQRT((Inputs!$C$52+(Inputs!$H$6))^2+Inputs!$C$52^2-2*(Inputs!$C$52+(Inputs!$H$6))*Inputs!$C$52*COS(SQRT((Scenario_Data!T143)^2+Inputs!$C$6^2)/Inputs!$C$52)))-(Inputs!$H$6))*1000/Inputs!$C$12)</f>
        <v/>
      </c>
      <c r="K143">
        <f>Scenario_Data!I143-(((SQRT((Inputs!$C$52+(Inputs!$H$7))^2+Inputs!$C$52^2-2*(Inputs!$C$52+(Inputs!$H$7))*Inputs!$C$52*COS(SQRT((Scenario_Data!U143)^2+Inputs!$C$6^2)/Inputs!$C$52)))-(Inputs!$H$7))*1000/Inputs!$C$12)</f>
        <v/>
      </c>
      <c r="L143">
        <f>Scenario_Data!J143-(((SQRT((Inputs!$C$52+(Inputs!$H$8))^2+Inputs!$C$52^2-2*(Inputs!$C$52+(Inputs!$H$8))*Inputs!$C$52*COS(SQRT((Scenario_Data!V143)^2+Inputs!$C$6^2)/Inputs!$C$52)))-(Inputs!$H$8))*1000/Inputs!$C$12)</f>
        <v/>
      </c>
      <c r="M143">
        <f>Scenario_Data!K143-(((SQRT((Inputs!$C$52+(Inputs!$H$9))^2+Inputs!$C$52^2-2*(Inputs!$C$52+(Inputs!$H$9))*Inputs!$C$52*COS(SQRT((Scenario_Data!W143)^2+Inputs!$C$6^2)/Inputs!$C$52)))-(Inputs!$H$9))*1000/Inputs!$C$12)</f>
        <v/>
      </c>
      <c r="O143">
        <f>Scenario_Data!T143</f>
        <v/>
      </c>
      <c r="P143">
        <f>2*(Scenario_Data!B143*1000)/Inputs!$C$21*1000000</f>
        <v/>
      </c>
      <c r="Q143">
        <f>Scenario_Data!U143</f>
        <v/>
      </c>
      <c r="R143">
        <f>2*(Scenario_Data!C143*1000)/Inputs!$C$21*1000000</f>
        <v/>
      </c>
      <c r="S143">
        <f>Scenario_Data!V143</f>
        <v/>
      </c>
      <c r="T143">
        <f>2*(Scenario_Data!D143*1000)/Inputs!$C$21*1000000</f>
        <v/>
      </c>
      <c r="U143">
        <f>Scenario_Data!W143</f>
        <v/>
      </c>
      <c r="V143">
        <f>2*(Scenario_Data!E143*1000)/Inputs!$C$21*1000000</f>
        <v/>
      </c>
      <c r="X143">
        <f>Scenario_Data!T143</f>
        <v/>
      </c>
      <c r="Y143">
        <f>2*((Scenario_Data!B143*1000)-(IF(OR(Inputs!$C$27=TRUE,Inputs!$C$27="TRUE",Inputs!$C$27=1),1,0)*(Inputs!$C$51*(115*EXP(-(((0)-25)^2)/(4.5^2))+70*EXP(-(((0)+38)^2)/(7^2))*(0.55+0.45*SIN(2*PI()*(Scenario_Data!T143)/45))+24*SIN(2*PI()*(0)/9+(Scenario_Data!T143)/18)*EXP(-(((0)+5)^2)/(22^2))+18*SIN(2*PI()*(Scenario_Data!T143)/70))+Inputs!$C$28*EXP(-(((Scenario_Data!T143)-Inputs!$C$29)^2)/(2*Inputs!$C$31^2))*EXP(-(((0)-Inputs!$C$30)^2)/(2*Inputs!$C$32^2))+-Inputs!$C$33*EXP(-(((((Scenario_Data!T143)-Inputs!$C$34)^2)+(((0)-Inputs!$C$35)^2))/(2*Inputs!$C$36^2)))+Inputs!$C$37*(0.55*SIN(2*PI()*(Scenario_Data!T143)/Inputs!$C$39)+0.35*COS(2*PI()*(0)/Inputs!$C$40)+0.2*SIN(2*PI()*((Scenario_Data!T143)+(0))/(0.5*(Inputs!$C$39+Inputs!$C$40))))+Inputs!$C$38*SIN(2*PI()*(Scenario_Data!T143)/Inputs!$C$39)*SIN(2*PI()*(0)/Inputs!$C$40)+-Inputs!$C$41*EXP(-(((0)-Inputs!$C$43)^2)/(2*Inputs!$C$44^2))*EXP(-(((Scenario_Data!T143)-Inputs!$C$42)^2)/(2*Inputs!$C$45^2))+Inputs!$C$48*(0.7*(0.45*SIN(2*PI()*(((Scenario_Data!T143)/Inputs!$C$49)+Inputs!$C$47*0.137))+0.35*COS(2*PI()*(((0)/Inputs!$C$50)+Inputs!$C$47*0.173))+0.2*SIN(2*PI()*((((Scenario_Data!T143)+(0))/(0.5*(Inputs!$C$49+Inputs!$C$50)))+Inputs!$C$47*0.097)))+0.3*(2*((SIN(((Scenario_Data!T143)*12.9898+(0)*78.233+Inputs!$C$47*37.719))*43758.5453)-INT((SIN(((Scenario_Data!T143)*12.9898+(0)*78.233+Inputs!$C$47*37.719))*43758.5453)))-1)))))/Inputs!$C$21*1000000</f>
        <v/>
      </c>
      <c r="Z143">
        <f>Scenario_Data!U143</f>
        <v/>
      </c>
      <c r="AA143">
        <f>2*((Scenario_Data!C143*1000)-(IF(OR(Inputs!$C$27=TRUE,Inputs!$C$27="TRUE",Inputs!$C$27=1),1,0)*(Inputs!$C$51*(115*EXP(-(((0)-25)^2)/(4.5^2))+70*EXP(-(((0)+38)^2)/(7^2))*(0.55+0.45*SIN(2*PI()*(Scenario_Data!U143)/45))+24*SIN(2*PI()*(0)/9+(Scenario_Data!U143)/18)*EXP(-(((0)+5)^2)/(22^2))+18*SIN(2*PI()*(Scenario_Data!U143)/70))+Inputs!$C$28*EXP(-(((Scenario_Data!U143)-Inputs!$C$29)^2)/(2*Inputs!$C$31^2))*EXP(-(((0)-Inputs!$C$30)^2)/(2*Inputs!$C$32^2))+-Inputs!$C$33*EXP(-(((((Scenario_Data!U143)-Inputs!$C$34)^2)+(((0)-Inputs!$C$35)^2))/(2*Inputs!$C$36^2)))+Inputs!$C$37*(0.55*SIN(2*PI()*(Scenario_Data!U143)/Inputs!$C$39)+0.35*COS(2*PI()*(0)/Inputs!$C$40)+0.2*SIN(2*PI()*((Scenario_Data!U143)+(0))/(0.5*(Inputs!$C$39+Inputs!$C$40))))+Inputs!$C$38*SIN(2*PI()*(Scenario_Data!U143)/Inputs!$C$39)*SIN(2*PI()*(0)/Inputs!$C$40)+-Inputs!$C$41*EXP(-(((0)-Inputs!$C$43)^2)/(2*Inputs!$C$44^2))*EXP(-(((Scenario_Data!U143)-Inputs!$C$42)^2)/(2*Inputs!$C$45^2))+Inputs!$C$48*(0.7*(0.45*SIN(2*PI()*(((Scenario_Data!U143)/Inputs!$C$49)+Inputs!$C$47*0.137))+0.35*COS(2*PI()*(((0)/Inputs!$C$50)+Inputs!$C$47*0.173))+0.2*SIN(2*PI()*((((Scenario_Data!U143)+(0))/(0.5*(Inputs!$C$49+Inputs!$C$50)))+Inputs!$C$47*0.097)))+0.3*(2*((SIN(((Scenario_Data!U143)*12.9898+(0)*78.233+Inputs!$C$47*37.719))*43758.5453)-INT((SIN(((Scenario_Data!U143)*12.9898+(0)*78.233+Inputs!$C$47*37.719))*43758.5453)))-1)))))/Inputs!$C$21*1000000</f>
        <v/>
      </c>
      <c r="AB143">
        <f>Scenario_Data!V143</f>
        <v/>
      </c>
      <c r="AC143">
        <f>2*((Scenario_Data!D143*1000)-(IF(OR(Inputs!$C$27=TRUE,Inputs!$C$27="TRUE",Inputs!$C$27=1),1,0)*(Inputs!$C$51*(115*EXP(-(((0)-25)^2)/(4.5^2))+70*EXP(-(((0)+38)^2)/(7^2))*(0.55+0.45*SIN(2*PI()*(Scenario_Data!V143)/45))+24*SIN(2*PI()*(0)/9+(Scenario_Data!V143)/18)*EXP(-(((0)+5)^2)/(22^2))+18*SIN(2*PI()*(Scenario_Data!V143)/70))+Inputs!$C$28*EXP(-(((Scenario_Data!V143)-Inputs!$C$29)^2)/(2*Inputs!$C$31^2))*EXP(-(((0)-Inputs!$C$30)^2)/(2*Inputs!$C$32^2))+-Inputs!$C$33*EXP(-(((((Scenario_Data!V143)-Inputs!$C$34)^2)+(((0)-Inputs!$C$35)^2))/(2*Inputs!$C$36^2)))+Inputs!$C$37*(0.55*SIN(2*PI()*(Scenario_Data!V143)/Inputs!$C$39)+0.35*COS(2*PI()*(0)/Inputs!$C$40)+0.2*SIN(2*PI()*((Scenario_Data!V143)+(0))/(0.5*(Inputs!$C$39+Inputs!$C$40))))+Inputs!$C$38*SIN(2*PI()*(Scenario_Data!V143)/Inputs!$C$39)*SIN(2*PI()*(0)/Inputs!$C$40)+-Inputs!$C$41*EXP(-(((0)-Inputs!$C$43)^2)/(2*Inputs!$C$44^2))*EXP(-(((Scenario_Data!V143)-Inputs!$C$42)^2)/(2*Inputs!$C$45^2))+Inputs!$C$48*(0.7*(0.45*SIN(2*PI()*(((Scenario_Data!V143)/Inputs!$C$49)+Inputs!$C$47*0.137))+0.35*COS(2*PI()*(((0)/Inputs!$C$50)+Inputs!$C$47*0.173))+0.2*SIN(2*PI()*((((Scenario_Data!V143)+(0))/(0.5*(Inputs!$C$49+Inputs!$C$50)))+Inputs!$C$47*0.097)))+0.3*(2*((SIN(((Scenario_Data!V143)*12.9898+(0)*78.233+Inputs!$C$47*37.719))*43758.5453)-INT((SIN(((Scenario_Data!V143)*12.9898+(0)*78.233+Inputs!$C$47*37.719))*43758.5453)))-1)))))/Inputs!$C$21*1000000</f>
        <v/>
      </c>
      <c r="AD143">
        <f>Scenario_Data!W143</f>
        <v/>
      </c>
      <c r="AE143">
        <f>2*((Scenario_Data!E143*1000)-(IF(OR(Inputs!$C$27=TRUE,Inputs!$C$27="TRUE",Inputs!$C$27=1),1,0)*(Inputs!$C$51*(115*EXP(-(((0)-25)^2)/(4.5^2))+70*EXP(-(((0)+38)^2)/(7^2))*(0.55+0.45*SIN(2*PI()*(Scenario_Data!W143)/45))+24*SIN(2*PI()*(0)/9+(Scenario_Data!W143)/18)*EXP(-(((0)+5)^2)/(22^2))+18*SIN(2*PI()*(Scenario_Data!W143)/70))+Inputs!$C$28*EXP(-(((Scenario_Data!W143)-Inputs!$C$29)^2)/(2*Inputs!$C$31^2))*EXP(-(((0)-Inputs!$C$30)^2)/(2*Inputs!$C$32^2))+-Inputs!$C$33*EXP(-(((((Scenario_Data!W143)-Inputs!$C$34)^2)+(((0)-Inputs!$C$35)^2))/(2*Inputs!$C$36^2)))+Inputs!$C$37*(0.55*SIN(2*PI()*(Scenario_Data!W143)/Inputs!$C$39)+0.35*COS(2*PI()*(0)/Inputs!$C$40)+0.2*SIN(2*PI()*((Scenario_Data!W143)+(0))/(0.5*(Inputs!$C$39+Inputs!$C$40))))+Inputs!$C$38*SIN(2*PI()*(Scenario_Data!W143)/Inputs!$C$39)*SIN(2*PI()*(0)/Inputs!$C$40)+-Inputs!$C$41*EXP(-(((0)-Inputs!$C$43)^2)/(2*Inputs!$C$44^2))*EXP(-(((Scenario_Data!W143)-Inputs!$C$42)^2)/(2*Inputs!$C$45^2))+Inputs!$C$48*(0.7*(0.45*SIN(2*PI()*(((Scenario_Data!W143)/Inputs!$C$49)+Inputs!$C$47*0.137))+0.35*COS(2*PI()*(((0)/Inputs!$C$50)+Inputs!$C$47*0.173))+0.2*SIN(2*PI()*((((Scenario_Data!W143)+(0))/(0.5*(Inputs!$C$49+Inputs!$C$50)))+Inputs!$C$47*0.097)))+0.3*(2*((SIN(((Scenario_Data!W143)*12.9898+(0)*78.233+Inputs!$C$47*37.719))*43758.5453)-INT((SIN(((Scenario_Data!W143)*12.9898+(0)*78.233+Inputs!$C$47*37.719))*43758.5453)))-1)))))/Inputs!$C$21*1000000</f>
        <v/>
      </c>
      <c r="AG143">
        <f>Scenario_Data!T143</f>
        <v/>
      </c>
      <c r="AH143">
        <f>2*(SQRT((Inputs!$C$52+(Scenario_Data!B143))^2+Inputs!$C$52^2-2*(Inputs!$C$52+(Scenario_Data!B143))*Inputs!$C$52*COS(SQRT((Scenario_Data!T143)^2+Inputs!$C$6^2)/Inputs!$C$52))*1000)/Inputs!$C$21*1000000</f>
        <v/>
      </c>
      <c r="AI143">
        <f>Scenario_Data!U143</f>
        <v/>
      </c>
      <c r="AJ143">
        <f>2*(SQRT((Inputs!$C$52+(Scenario_Data!C143))^2+Inputs!$C$52^2-2*(Inputs!$C$52+(Scenario_Data!C143))*Inputs!$C$52*COS(SQRT((Scenario_Data!U143)^2+Inputs!$C$6^2)/Inputs!$C$52))*1000)/Inputs!$C$21*1000000</f>
        <v/>
      </c>
      <c r="AK143">
        <f>Scenario_Data!V143</f>
        <v/>
      </c>
      <c r="AL143">
        <f>2*(SQRT((Inputs!$C$52+(Scenario_Data!D143))^2+Inputs!$C$52^2-2*(Inputs!$C$52+(Scenario_Data!D143))*Inputs!$C$52*COS(SQRT((Scenario_Data!V143)^2+Inputs!$C$6^2)/Inputs!$C$52))*1000)/Inputs!$C$21*1000000</f>
        <v/>
      </c>
      <c r="AM143">
        <f>Scenario_Data!W143</f>
        <v/>
      </c>
      <c r="AN143">
        <f>2*(SQRT((Inputs!$C$52+(Scenario_Data!E143))^2+Inputs!$C$52^2-2*(Inputs!$C$52+(Scenario_Data!E143))*Inputs!$C$52*COS(SQRT((Scenario_Data!W143)^2+Inputs!$C$6^2)/Inputs!$C$52))*1000)/Inputs!$C$21*1000000</f>
        <v/>
      </c>
      <c r="AP143">
        <f>Scenario_Data!T143</f>
        <v/>
      </c>
      <c r="AQ143">
        <f>2*(SQRT((Inputs!$C$52+(Scenario_Data!B143))^2+(Inputs!$C$52+((IF(OR(Inputs!$C$27=TRUE,Inputs!$C$27="TRUE",Inputs!$C$27=1),1,0)*(Inputs!$C$51*(115*EXP(-(((Inputs!$C$6)-25)^2)/(4.5^2))+70*EXP(-(((Inputs!$C$6)+38)^2)/(7^2))*(0.55+0.45*SIN(2*PI()*(Scenario_Data!T143)/45))+24*SIN(2*PI()*(Inputs!$C$6)/9+(Scenario_Data!T143)/18)*EXP(-(((Inputs!$C$6)+5)^2)/(22^2))+18*SIN(2*PI()*(Scenario_Data!T143)/70))+Inputs!$C$28*EXP(-(((Scenario_Data!T143)-Inputs!$C$29)^2)/(2*Inputs!$C$31^2))*EXP(-(((Inputs!$C$6)-Inputs!$C$30)^2)/(2*Inputs!$C$32^2))+-Inputs!$C$33*EXP(-(((((Scenario_Data!T143)-Inputs!$C$34)^2)+(((Inputs!$C$6)-Inputs!$C$35)^2))/(2*Inputs!$C$36^2)))+Inputs!$C$37*(0.55*SIN(2*PI()*(Scenario_Data!T143)/Inputs!$C$39)+0.35*COS(2*PI()*(Inputs!$C$6)/Inputs!$C$40)+0.2*SIN(2*PI()*((Scenario_Data!T143)+(Inputs!$C$6))/(0.5*(Inputs!$C$39+Inputs!$C$40))))+Inputs!$C$38*SIN(2*PI()*(Scenario_Data!T143)/Inputs!$C$39)*SIN(2*PI()*(Inputs!$C$6)/Inputs!$C$40)+-Inputs!$C$41*EXP(-(((Inputs!$C$6)-Inputs!$C$43)^2)/(2*Inputs!$C$44^2))*EXP(-(((Scenario_Data!T143)-Inputs!$C$42)^2)/(2*Inputs!$C$45^2))+Inputs!$C$48*(0.7*(0.45*SIN(2*PI()*(((Scenario_Data!T143)/Inputs!$C$49)+Inputs!$C$47*0.137))+0.35*COS(2*PI()*(((Inputs!$C$6)/Inputs!$C$50)+Inputs!$C$47*0.173))+0.2*SIN(2*PI()*((((Scenario_Data!T143)+(Inputs!$C$6))/(0.5*(Inputs!$C$49+Inputs!$C$50)))+Inputs!$C$47*0.097)))+0.3*(2*((SIN(((Scenario_Data!T143)*12.9898+(Inputs!$C$6)*78.233+Inputs!$C$47*37.719))*43758.5453)-INT((SIN(((Scenario_Data!T143)*12.9898+(Inputs!$C$6)*78.233+Inputs!$C$47*37.719))*43758.5453)))-1))))/1000))^2-2*(Inputs!$C$52+(Scenario_Data!B143))*(Inputs!$C$52+((IF(OR(Inputs!$C$27=TRUE,Inputs!$C$27="TRUE",Inputs!$C$27=1),1,0)*(Inputs!$C$51*(115*EXP(-(((Inputs!$C$6)-25)^2)/(4.5^2))+70*EXP(-(((Inputs!$C$6)+38)^2)/(7^2))*(0.55+0.45*SIN(2*PI()*(Scenario_Data!T143)/45))+24*SIN(2*PI()*(Inputs!$C$6)/9+(Scenario_Data!T143)/18)*EXP(-(((Inputs!$C$6)+5)^2)/(22^2))+18*SIN(2*PI()*(Scenario_Data!T143)/70))+Inputs!$C$28*EXP(-(((Scenario_Data!T143)-Inputs!$C$29)^2)/(2*Inputs!$C$31^2))*EXP(-(((Inputs!$C$6)-Inputs!$C$30)^2)/(2*Inputs!$C$32^2))+-Inputs!$C$33*EXP(-(((((Scenario_Data!T143)-Inputs!$C$34)^2)+(((Inputs!$C$6)-Inputs!$C$35)^2))/(2*Inputs!$C$36^2)))+Inputs!$C$37*(0.55*SIN(2*PI()*(Scenario_Data!T143)/Inputs!$C$39)+0.35*COS(2*PI()*(Inputs!$C$6)/Inputs!$C$40)+0.2*SIN(2*PI()*((Scenario_Data!T143)+(Inputs!$C$6))/(0.5*(Inputs!$C$39+Inputs!$C$40))))+Inputs!$C$38*SIN(2*PI()*(Scenario_Data!T143)/Inputs!$C$39)*SIN(2*PI()*(Inputs!$C$6)/Inputs!$C$40)+-Inputs!$C$41*EXP(-(((Inputs!$C$6)-Inputs!$C$43)^2)/(2*Inputs!$C$44^2))*EXP(-(((Scenario_Data!T143)-Inputs!$C$42)^2)/(2*Inputs!$C$45^2))+Inputs!$C$48*(0.7*(0.45*SIN(2*PI()*(((Scenario_Data!T143)/Inputs!$C$49)+Inputs!$C$47*0.137))+0.35*COS(2*PI()*(((Inputs!$C$6)/Inputs!$C$50)+Inputs!$C$47*0.173))+0.2*SIN(2*PI()*((((Scenario_Data!T143)+(Inputs!$C$6))/(0.5*(Inputs!$C$49+Inputs!$C$50)))+Inputs!$C$47*0.097)))+0.3*(2*((SIN(((Scenario_Data!T143)*12.9898+(Inputs!$C$6)*78.233+Inputs!$C$47*37.719))*43758.5453)-INT((SIN(((Scenario_Data!T143)*12.9898+(Inputs!$C$6)*78.233+Inputs!$C$47*37.719))*43758.5453)))-1))))/1000))*COS(SQRT((Scenario_Data!T143)^2+Inputs!$C$6^2)/Inputs!$C$52))*1000)/Inputs!$C$21*1000000</f>
        <v/>
      </c>
      <c r="AR143">
        <f>Scenario_Data!U143</f>
        <v/>
      </c>
      <c r="AS143">
        <f>2*(SQRT((Inputs!$C$52+(Scenario_Data!C143))^2+(Inputs!$C$52+((IF(OR(Inputs!$C$27=TRUE,Inputs!$C$27="TRUE",Inputs!$C$27=1),1,0)*(Inputs!$C$51*(115*EXP(-(((Inputs!$C$6)-25)^2)/(4.5^2))+70*EXP(-(((Inputs!$C$6)+38)^2)/(7^2))*(0.55+0.45*SIN(2*PI()*(Scenario_Data!U143)/45))+24*SIN(2*PI()*(Inputs!$C$6)/9+(Scenario_Data!U143)/18)*EXP(-(((Inputs!$C$6)+5)^2)/(22^2))+18*SIN(2*PI()*(Scenario_Data!U143)/70))+Inputs!$C$28*EXP(-(((Scenario_Data!U143)-Inputs!$C$29)^2)/(2*Inputs!$C$31^2))*EXP(-(((Inputs!$C$6)-Inputs!$C$30)^2)/(2*Inputs!$C$32^2))+-Inputs!$C$33*EXP(-(((((Scenario_Data!U143)-Inputs!$C$34)^2)+(((Inputs!$C$6)-Inputs!$C$35)^2))/(2*Inputs!$C$36^2)))+Inputs!$C$37*(0.55*SIN(2*PI()*(Scenario_Data!U143)/Inputs!$C$39)+0.35*COS(2*PI()*(Inputs!$C$6)/Inputs!$C$40)+0.2*SIN(2*PI()*((Scenario_Data!U143)+(Inputs!$C$6))/(0.5*(Inputs!$C$39+Inputs!$C$40))))+Inputs!$C$38*SIN(2*PI()*(Scenario_Data!U143)/Inputs!$C$39)*SIN(2*PI()*(Inputs!$C$6)/Inputs!$C$40)+-Inputs!$C$41*EXP(-(((Inputs!$C$6)-Inputs!$C$43)^2)/(2*Inputs!$C$44^2))*EXP(-(((Scenario_Data!U143)-Inputs!$C$42)^2)/(2*Inputs!$C$45^2))+Inputs!$C$48*(0.7*(0.45*SIN(2*PI()*(((Scenario_Data!U143)/Inputs!$C$49)+Inputs!$C$47*0.137))+0.35*COS(2*PI()*(((Inputs!$C$6)/Inputs!$C$50)+Inputs!$C$47*0.173))+0.2*SIN(2*PI()*((((Scenario_Data!U143)+(Inputs!$C$6))/(0.5*(Inputs!$C$49+Inputs!$C$50)))+Inputs!$C$47*0.097)))+0.3*(2*((SIN(((Scenario_Data!U143)*12.9898+(Inputs!$C$6)*78.233+Inputs!$C$47*37.719))*43758.5453)-INT((SIN(((Scenario_Data!U143)*12.9898+(Inputs!$C$6)*78.233+Inputs!$C$47*37.719))*43758.5453)))-1))))/1000))^2-2*(Inputs!$C$52+(Scenario_Data!C143))*(Inputs!$C$52+((IF(OR(Inputs!$C$27=TRUE,Inputs!$C$27="TRUE",Inputs!$C$27=1),1,0)*(Inputs!$C$51*(115*EXP(-(((Inputs!$C$6)-25)^2)/(4.5^2))+70*EXP(-(((Inputs!$C$6)+38)^2)/(7^2))*(0.55+0.45*SIN(2*PI()*(Scenario_Data!U143)/45))+24*SIN(2*PI()*(Inputs!$C$6)/9+(Scenario_Data!U143)/18)*EXP(-(((Inputs!$C$6)+5)^2)/(22^2))+18*SIN(2*PI()*(Scenario_Data!U143)/70))+Inputs!$C$28*EXP(-(((Scenario_Data!U143)-Inputs!$C$29)^2)/(2*Inputs!$C$31^2))*EXP(-(((Inputs!$C$6)-Inputs!$C$30)^2)/(2*Inputs!$C$32^2))+-Inputs!$C$33*EXP(-(((((Scenario_Data!U143)-Inputs!$C$34)^2)+(((Inputs!$C$6)-Inputs!$C$35)^2))/(2*Inputs!$C$36^2)))+Inputs!$C$37*(0.55*SIN(2*PI()*(Scenario_Data!U143)/Inputs!$C$39)+0.35*COS(2*PI()*(Inputs!$C$6)/Inputs!$C$40)+0.2*SIN(2*PI()*((Scenario_Data!U143)+(Inputs!$C$6))/(0.5*(Inputs!$C$39+Inputs!$C$40))))+Inputs!$C$38*SIN(2*PI()*(Scenario_Data!U143)/Inputs!$C$39)*SIN(2*PI()*(Inputs!$C$6)/Inputs!$C$40)+-Inputs!$C$41*EXP(-(((Inputs!$C$6)-Inputs!$C$43)^2)/(2*Inputs!$C$44^2))*EXP(-(((Scenario_Data!U143)-Inputs!$C$42)^2)/(2*Inputs!$C$45^2))+Inputs!$C$48*(0.7*(0.45*SIN(2*PI()*(((Scenario_Data!U143)/Inputs!$C$49)+Inputs!$C$47*0.137))+0.35*COS(2*PI()*(((Inputs!$C$6)/Inputs!$C$50)+Inputs!$C$47*0.173))+0.2*SIN(2*PI()*((((Scenario_Data!U143)+(Inputs!$C$6))/(0.5*(Inputs!$C$49+Inputs!$C$50)))+Inputs!$C$47*0.097)))+0.3*(2*((SIN(((Scenario_Data!U143)*12.9898+(Inputs!$C$6)*78.233+Inputs!$C$47*37.719))*43758.5453)-INT((SIN(((Scenario_Data!U143)*12.9898+(Inputs!$C$6)*78.233+Inputs!$C$47*37.719))*43758.5453)))-1))))/1000))*COS(SQRT((Scenario_Data!U143)^2+Inputs!$C$6^2)/Inputs!$C$52))*1000)/Inputs!$C$21*1000000</f>
        <v/>
      </c>
      <c r="AT143">
        <f>Scenario_Data!V143</f>
        <v/>
      </c>
      <c r="AU143">
        <f>2*(SQRT((Inputs!$C$52+(Scenario_Data!D143))^2+(Inputs!$C$52+((IF(OR(Inputs!$C$27=TRUE,Inputs!$C$27="TRUE",Inputs!$C$27=1),1,0)*(Inputs!$C$51*(115*EXP(-(((Inputs!$C$6)-25)^2)/(4.5^2))+70*EXP(-(((Inputs!$C$6)+38)^2)/(7^2))*(0.55+0.45*SIN(2*PI()*(Scenario_Data!V143)/45))+24*SIN(2*PI()*(Inputs!$C$6)/9+(Scenario_Data!V143)/18)*EXP(-(((Inputs!$C$6)+5)^2)/(22^2))+18*SIN(2*PI()*(Scenario_Data!V143)/70))+Inputs!$C$28*EXP(-(((Scenario_Data!V143)-Inputs!$C$29)^2)/(2*Inputs!$C$31^2))*EXP(-(((Inputs!$C$6)-Inputs!$C$30)^2)/(2*Inputs!$C$32^2))+-Inputs!$C$33*EXP(-(((((Scenario_Data!V143)-Inputs!$C$34)^2)+(((Inputs!$C$6)-Inputs!$C$35)^2))/(2*Inputs!$C$36^2)))+Inputs!$C$37*(0.55*SIN(2*PI()*(Scenario_Data!V143)/Inputs!$C$39)+0.35*COS(2*PI()*(Inputs!$C$6)/Inputs!$C$40)+0.2*SIN(2*PI()*((Scenario_Data!V143)+(Inputs!$C$6))/(0.5*(Inputs!$C$39+Inputs!$C$40))))+Inputs!$C$38*SIN(2*PI()*(Scenario_Data!V143)/Inputs!$C$39)*SIN(2*PI()*(Inputs!$C$6)/Inputs!$C$40)+-Inputs!$C$41*EXP(-(((Inputs!$C$6)-Inputs!$C$43)^2)/(2*Inputs!$C$44^2))*EXP(-(((Scenario_Data!V143)-Inputs!$C$42)^2)/(2*Inputs!$C$45^2))+Inputs!$C$48*(0.7*(0.45*SIN(2*PI()*(((Scenario_Data!V143)/Inputs!$C$49)+Inputs!$C$47*0.137))+0.35*COS(2*PI()*(((Inputs!$C$6)/Inputs!$C$50)+Inputs!$C$47*0.173))+0.2*SIN(2*PI()*((((Scenario_Data!V143)+(Inputs!$C$6))/(0.5*(Inputs!$C$49+Inputs!$C$50)))+Inputs!$C$47*0.097)))+0.3*(2*((SIN(((Scenario_Data!V143)*12.9898+(Inputs!$C$6)*78.233+Inputs!$C$47*37.719))*43758.5453)-INT((SIN(((Scenario_Data!V143)*12.9898+(Inputs!$C$6)*78.233+Inputs!$C$47*37.719))*43758.5453)))-1))))/1000))^2-2*(Inputs!$C$52+(Scenario_Data!D143))*(Inputs!$C$52+((IF(OR(Inputs!$C$27=TRUE,Inputs!$C$27="TRUE",Inputs!$C$27=1),1,0)*(Inputs!$C$51*(115*EXP(-(((Inputs!$C$6)-25)^2)/(4.5^2))+70*EXP(-(((Inputs!$C$6)+38)^2)/(7^2))*(0.55+0.45*SIN(2*PI()*(Scenario_Data!V143)/45))+24*SIN(2*PI()*(Inputs!$C$6)/9+(Scenario_Data!V143)/18)*EXP(-(((Inputs!$C$6)+5)^2)/(22^2))+18*SIN(2*PI()*(Scenario_Data!V143)/70))+Inputs!$C$28*EXP(-(((Scenario_Data!V143)-Inputs!$C$29)^2)/(2*Inputs!$C$31^2))*EXP(-(((Inputs!$C$6)-Inputs!$C$30)^2)/(2*Inputs!$C$32^2))+-Inputs!$C$33*EXP(-(((((Scenario_Data!V143)-Inputs!$C$34)^2)+(((Inputs!$C$6)-Inputs!$C$35)^2))/(2*Inputs!$C$36^2)))+Inputs!$C$37*(0.55*SIN(2*PI()*(Scenario_Data!V143)/Inputs!$C$39)+0.35*COS(2*PI()*(Inputs!$C$6)/Inputs!$C$40)+0.2*SIN(2*PI()*((Scenario_Data!V143)+(Inputs!$C$6))/(0.5*(Inputs!$C$39+Inputs!$C$40))))+Inputs!$C$38*SIN(2*PI()*(Scenario_Data!V143)/Inputs!$C$39)*SIN(2*PI()*(Inputs!$C$6)/Inputs!$C$40)+-Inputs!$C$41*EXP(-(((Inputs!$C$6)-Inputs!$C$43)^2)/(2*Inputs!$C$44^2))*EXP(-(((Scenario_Data!V143)-Inputs!$C$42)^2)/(2*Inputs!$C$45^2))+Inputs!$C$48*(0.7*(0.45*SIN(2*PI()*(((Scenario_Data!V143)/Inputs!$C$49)+Inputs!$C$47*0.137))+0.35*COS(2*PI()*(((Inputs!$C$6)/Inputs!$C$50)+Inputs!$C$47*0.173))+0.2*SIN(2*PI()*((((Scenario_Data!V143)+(Inputs!$C$6))/(0.5*(Inputs!$C$49+Inputs!$C$50)))+Inputs!$C$47*0.097)))+0.3*(2*((SIN(((Scenario_Data!V143)*12.9898+(Inputs!$C$6)*78.233+Inputs!$C$47*37.719))*43758.5453)-INT((SIN(((Scenario_Data!V143)*12.9898+(Inputs!$C$6)*78.233+Inputs!$C$47*37.719))*43758.5453)))-1))))/1000))*COS(SQRT((Scenario_Data!V143)^2+Inputs!$C$6^2)/Inputs!$C$52))*1000)/Inputs!$C$21*1000000</f>
        <v/>
      </c>
      <c r="AV143">
        <f>Scenario_Data!W143</f>
        <v/>
      </c>
      <c r="AW143">
        <f>2*(SQRT((Inputs!$C$52+(Scenario_Data!E143))^2+(Inputs!$C$52+((IF(OR(Inputs!$C$27=TRUE,Inputs!$C$27="TRUE",Inputs!$C$27=1),1,0)*(Inputs!$C$51*(115*EXP(-(((Inputs!$C$6)-25)^2)/(4.5^2))+70*EXP(-(((Inputs!$C$6)+38)^2)/(7^2))*(0.55+0.45*SIN(2*PI()*(Scenario_Data!W143)/45))+24*SIN(2*PI()*(Inputs!$C$6)/9+(Scenario_Data!W143)/18)*EXP(-(((Inputs!$C$6)+5)^2)/(22^2))+18*SIN(2*PI()*(Scenario_Data!W143)/70))+Inputs!$C$28*EXP(-(((Scenario_Data!W143)-Inputs!$C$29)^2)/(2*Inputs!$C$31^2))*EXP(-(((Inputs!$C$6)-Inputs!$C$30)^2)/(2*Inputs!$C$32^2))+-Inputs!$C$33*EXP(-(((((Scenario_Data!W143)-Inputs!$C$34)^2)+(((Inputs!$C$6)-Inputs!$C$35)^2))/(2*Inputs!$C$36^2)))+Inputs!$C$37*(0.55*SIN(2*PI()*(Scenario_Data!W143)/Inputs!$C$39)+0.35*COS(2*PI()*(Inputs!$C$6)/Inputs!$C$40)+0.2*SIN(2*PI()*((Scenario_Data!W143)+(Inputs!$C$6))/(0.5*(Inputs!$C$39+Inputs!$C$40))))+Inputs!$C$38*SIN(2*PI()*(Scenario_Data!W143)/Inputs!$C$39)*SIN(2*PI()*(Inputs!$C$6)/Inputs!$C$40)+-Inputs!$C$41*EXP(-(((Inputs!$C$6)-Inputs!$C$43)^2)/(2*Inputs!$C$44^2))*EXP(-(((Scenario_Data!W143)-Inputs!$C$42)^2)/(2*Inputs!$C$45^2))+Inputs!$C$48*(0.7*(0.45*SIN(2*PI()*(((Scenario_Data!W143)/Inputs!$C$49)+Inputs!$C$47*0.137))+0.35*COS(2*PI()*(((Inputs!$C$6)/Inputs!$C$50)+Inputs!$C$47*0.173))+0.2*SIN(2*PI()*((((Scenario_Data!W143)+(Inputs!$C$6))/(0.5*(Inputs!$C$49+Inputs!$C$50)))+Inputs!$C$47*0.097)))+0.3*(2*((SIN(((Scenario_Data!W143)*12.9898+(Inputs!$C$6)*78.233+Inputs!$C$47*37.719))*43758.5453)-INT((SIN(((Scenario_Data!W143)*12.9898+(Inputs!$C$6)*78.233+Inputs!$C$47*37.719))*43758.5453)))-1))))/1000))^2-2*(Inputs!$C$52+(Scenario_Data!E143))*(Inputs!$C$52+((IF(OR(Inputs!$C$27=TRUE,Inputs!$C$27="TRUE",Inputs!$C$27=1),1,0)*(Inputs!$C$51*(115*EXP(-(((Inputs!$C$6)-25)^2)/(4.5^2))+70*EXP(-(((Inputs!$C$6)+38)^2)/(7^2))*(0.55+0.45*SIN(2*PI()*(Scenario_Data!W143)/45))+24*SIN(2*PI()*(Inputs!$C$6)/9+(Scenario_Data!W143)/18)*EXP(-(((Inputs!$C$6)+5)^2)/(22^2))+18*SIN(2*PI()*(Scenario_Data!W143)/70))+Inputs!$C$28*EXP(-(((Scenario_Data!W143)-Inputs!$C$29)^2)/(2*Inputs!$C$31^2))*EXP(-(((Inputs!$C$6)-Inputs!$C$30)^2)/(2*Inputs!$C$32^2))+-Inputs!$C$33*EXP(-(((((Scenario_Data!W143)-Inputs!$C$34)^2)+(((Inputs!$C$6)-Inputs!$C$35)^2))/(2*Inputs!$C$36^2)))+Inputs!$C$37*(0.55*SIN(2*PI()*(Scenario_Data!W143)/Inputs!$C$39)+0.35*COS(2*PI()*(Inputs!$C$6)/Inputs!$C$40)+0.2*SIN(2*PI()*((Scenario_Data!W143)+(Inputs!$C$6))/(0.5*(Inputs!$C$39+Inputs!$C$40))))+Inputs!$C$38*SIN(2*PI()*(Scenario_Data!W143)/Inputs!$C$39)*SIN(2*PI()*(Inputs!$C$6)/Inputs!$C$40)+-Inputs!$C$41*EXP(-(((Inputs!$C$6)-Inputs!$C$43)^2)/(2*Inputs!$C$44^2))*EXP(-(((Scenario_Data!W143)-Inputs!$C$42)^2)/(2*Inputs!$C$45^2))+Inputs!$C$48*(0.7*(0.45*SIN(2*PI()*(((Scenario_Data!W143)/Inputs!$C$49)+Inputs!$C$47*0.137))+0.35*COS(2*PI()*(((Inputs!$C$6)/Inputs!$C$50)+Inputs!$C$47*0.173))+0.2*SIN(2*PI()*((((Scenario_Data!W143)+(Inputs!$C$6))/(0.5*(Inputs!$C$49+Inputs!$C$50)))+Inputs!$C$47*0.097)))+0.3*(2*((SIN(((Scenario_Data!W143)*12.9898+(Inputs!$C$6)*78.233+Inputs!$C$47*37.719))*43758.5453)-INT((SIN(((Scenario_Data!W143)*12.9898+(Inputs!$C$6)*78.233+Inputs!$C$47*37.719))*43758.5453)))-1))))/1000))*COS(SQRT((Scenario_Data!W143)^2+Inputs!$C$6^2)/Inputs!$C$52))*1000)/Inputs!$C$21*1000000</f>
        <v/>
      </c>
    </row>
    <row r="144">
      <c r="A144">
        <f>Chart_Data!K144</f>
        <v/>
      </c>
      <c r="B144">
        <f>Chart_Data!N144-Chart_Data!L144</f>
        <v/>
      </c>
      <c r="D144">
        <f>Chart_Data!G144</f>
        <v/>
      </c>
      <c r="E144">
        <f>Chart_Data!H144</f>
        <v/>
      </c>
      <c r="F144">
        <f>Chart_Data!I144</f>
        <v/>
      </c>
      <c r="G144">
        <f>Chart_Data!J144</f>
        <v/>
      </c>
      <c r="I144">
        <f>Scenario_Data!A144</f>
        <v/>
      </c>
      <c r="J144">
        <f>Scenario_Data!H144-(((SQRT((Inputs!$C$52+(Inputs!$H$6))^2+Inputs!$C$52^2-2*(Inputs!$C$52+(Inputs!$H$6))*Inputs!$C$52*COS(SQRT((Scenario_Data!T144)^2+Inputs!$C$6^2)/Inputs!$C$52)))-(Inputs!$H$6))*1000/Inputs!$C$12)</f>
        <v/>
      </c>
      <c r="K144">
        <f>Scenario_Data!I144-(((SQRT((Inputs!$C$52+(Inputs!$H$7))^2+Inputs!$C$52^2-2*(Inputs!$C$52+(Inputs!$H$7))*Inputs!$C$52*COS(SQRT((Scenario_Data!U144)^2+Inputs!$C$6^2)/Inputs!$C$52)))-(Inputs!$H$7))*1000/Inputs!$C$12)</f>
        <v/>
      </c>
      <c r="L144">
        <f>Scenario_Data!J144-(((SQRT((Inputs!$C$52+(Inputs!$H$8))^2+Inputs!$C$52^2-2*(Inputs!$C$52+(Inputs!$H$8))*Inputs!$C$52*COS(SQRT((Scenario_Data!V144)^2+Inputs!$C$6^2)/Inputs!$C$52)))-(Inputs!$H$8))*1000/Inputs!$C$12)</f>
        <v/>
      </c>
      <c r="M144">
        <f>Scenario_Data!K144-(((SQRT((Inputs!$C$52+(Inputs!$H$9))^2+Inputs!$C$52^2-2*(Inputs!$C$52+(Inputs!$H$9))*Inputs!$C$52*COS(SQRT((Scenario_Data!W144)^2+Inputs!$C$6^2)/Inputs!$C$52)))-(Inputs!$H$9))*1000/Inputs!$C$12)</f>
        <v/>
      </c>
      <c r="O144">
        <f>Scenario_Data!T144</f>
        <v/>
      </c>
      <c r="P144">
        <f>2*(Scenario_Data!B144*1000)/Inputs!$C$21*1000000</f>
        <v/>
      </c>
      <c r="Q144">
        <f>Scenario_Data!U144</f>
        <v/>
      </c>
      <c r="R144">
        <f>2*(Scenario_Data!C144*1000)/Inputs!$C$21*1000000</f>
        <v/>
      </c>
      <c r="S144">
        <f>Scenario_Data!V144</f>
        <v/>
      </c>
      <c r="T144">
        <f>2*(Scenario_Data!D144*1000)/Inputs!$C$21*1000000</f>
        <v/>
      </c>
      <c r="U144">
        <f>Scenario_Data!W144</f>
        <v/>
      </c>
      <c r="V144">
        <f>2*(Scenario_Data!E144*1000)/Inputs!$C$21*1000000</f>
        <v/>
      </c>
      <c r="X144">
        <f>Scenario_Data!T144</f>
        <v/>
      </c>
      <c r="Y144">
        <f>2*((Scenario_Data!B144*1000)-(IF(OR(Inputs!$C$27=TRUE,Inputs!$C$27="TRUE",Inputs!$C$27=1),1,0)*(Inputs!$C$51*(115*EXP(-(((0)-25)^2)/(4.5^2))+70*EXP(-(((0)+38)^2)/(7^2))*(0.55+0.45*SIN(2*PI()*(Scenario_Data!T144)/45))+24*SIN(2*PI()*(0)/9+(Scenario_Data!T144)/18)*EXP(-(((0)+5)^2)/(22^2))+18*SIN(2*PI()*(Scenario_Data!T144)/70))+Inputs!$C$28*EXP(-(((Scenario_Data!T144)-Inputs!$C$29)^2)/(2*Inputs!$C$31^2))*EXP(-(((0)-Inputs!$C$30)^2)/(2*Inputs!$C$32^2))+-Inputs!$C$33*EXP(-(((((Scenario_Data!T144)-Inputs!$C$34)^2)+(((0)-Inputs!$C$35)^2))/(2*Inputs!$C$36^2)))+Inputs!$C$37*(0.55*SIN(2*PI()*(Scenario_Data!T144)/Inputs!$C$39)+0.35*COS(2*PI()*(0)/Inputs!$C$40)+0.2*SIN(2*PI()*((Scenario_Data!T144)+(0))/(0.5*(Inputs!$C$39+Inputs!$C$40))))+Inputs!$C$38*SIN(2*PI()*(Scenario_Data!T144)/Inputs!$C$39)*SIN(2*PI()*(0)/Inputs!$C$40)+-Inputs!$C$41*EXP(-(((0)-Inputs!$C$43)^2)/(2*Inputs!$C$44^2))*EXP(-(((Scenario_Data!T144)-Inputs!$C$42)^2)/(2*Inputs!$C$45^2))+Inputs!$C$48*(0.7*(0.45*SIN(2*PI()*(((Scenario_Data!T144)/Inputs!$C$49)+Inputs!$C$47*0.137))+0.35*COS(2*PI()*(((0)/Inputs!$C$50)+Inputs!$C$47*0.173))+0.2*SIN(2*PI()*((((Scenario_Data!T144)+(0))/(0.5*(Inputs!$C$49+Inputs!$C$50)))+Inputs!$C$47*0.097)))+0.3*(2*((SIN(((Scenario_Data!T144)*12.9898+(0)*78.233+Inputs!$C$47*37.719))*43758.5453)-INT((SIN(((Scenario_Data!T144)*12.9898+(0)*78.233+Inputs!$C$47*37.719))*43758.5453)))-1)))))/Inputs!$C$21*1000000</f>
        <v/>
      </c>
      <c r="Z144">
        <f>Scenario_Data!U144</f>
        <v/>
      </c>
      <c r="AA144">
        <f>2*((Scenario_Data!C144*1000)-(IF(OR(Inputs!$C$27=TRUE,Inputs!$C$27="TRUE",Inputs!$C$27=1),1,0)*(Inputs!$C$51*(115*EXP(-(((0)-25)^2)/(4.5^2))+70*EXP(-(((0)+38)^2)/(7^2))*(0.55+0.45*SIN(2*PI()*(Scenario_Data!U144)/45))+24*SIN(2*PI()*(0)/9+(Scenario_Data!U144)/18)*EXP(-(((0)+5)^2)/(22^2))+18*SIN(2*PI()*(Scenario_Data!U144)/70))+Inputs!$C$28*EXP(-(((Scenario_Data!U144)-Inputs!$C$29)^2)/(2*Inputs!$C$31^2))*EXP(-(((0)-Inputs!$C$30)^2)/(2*Inputs!$C$32^2))+-Inputs!$C$33*EXP(-(((((Scenario_Data!U144)-Inputs!$C$34)^2)+(((0)-Inputs!$C$35)^2))/(2*Inputs!$C$36^2)))+Inputs!$C$37*(0.55*SIN(2*PI()*(Scenario_Data!U144)/Inputs!$C$39)+0.35*COS(2*PI()*(0)/Inputs!$C$40)+0.2*SIN(2*PI()*((Scenario_Data!U144)+(0))/(0.5*(Inputs!$C$39+Inputs!$C$40))))+Inputs!$C$38*SIN(2*PI()*(Scenario_Data!U144)/Inputs!$C$39)*SIN(2*PI()*(0)/Inputs!$C$40)+-Inputs!$C$41*EXP(-(((0)-Inputs!$C$43)^2)/(2*Inputs!$C$44^2))*EXP(-(((Scenario_Data!U144)-Inputs!$C$42)^2)/(2*Inputs!$C$45^2))+Inputs!$C$48*(0.7*(0.45*SIN(2*PI()*(((Scenario_Data!U144)/Inputs!$C$49)+Inputs!$C$47*0.137))+0.35*COS(2*PI()*(((0)/Inputs!$C$50)+Inputs!$C$47*0.173))+0.2*SIN(2*PI()*((((Scenario_Data!U144)+(0))/(0.5*(Inputs!$C$49+Inputs!$C$50)))+Inputs!$C$47*0.097)))+0.3*(2*((SIN(((Scenario_Data!U144)*12.9898+(0)*78.233+Inputs!$C$47*37.719))*43758.5453)-INT((SIN(((Scenario_Data!U144)*12.9898+(0)*78.233+Inputs!$C$47*37.719))*43758.5453)))-1)))))/Inputs!$C$21*1000000</f>
        <v/>
      </c>
      <c r="AB144">
        <f>Scenario_Data!V144</f>
        <v/>
      </c>
      <c r="AC144">
        <f>2*((Scenario_Data!D144*1000)-(IF(OR(Inputs!$C$27=TRUE,Inputs!$C$27="TRUE",Inputs!$C$27=1),1,0)*(Inputs!$C$51*(115*EXP(-(((0)-25)^2)/(4.5^2))+70*EXP(-(((0)+38)^2)/(7^2))*(0.55+0.45*SIN(2*PI()*(Scenario_Data!V144)/45))+24*SIN(2*PI()*(0)/9+(Scenario_Data!V144)/18)*EXP(-(((0)+5)^2)/(22^2))+18*SIN(2*PI()*(Scenario_Data!V144)/70))+Inputs!$C$28*EXP(-(((Scenario_Data!V144)-Inputs!$C$29)^2)/(2*Inputs!$C$31^2))*EXP(-(((0)-Inputs!$C$30)^2)/(2*Inputs!$C$32^2))+-Inputs!$C$33*EXP(-(((((Scenario_Data!V144)-Inputs!$C$34)^2)+(((0)-Inputs!$C$35)^2))/(2*Inputs!$C$36^2)))+Inputs!$C$37*(0.55*SIN(2*PI()*(Scenario_Data!V144)/Inputs!$C$39)+0.35*COS(2*PI()*(0)/Inputs!$C$40)+0.2*SIN(2*PI()*((Scenario_Data!V144)+(0))/(0.5*(Inputs!$C$39+Inputs!$C$40))))+Inputs!$C$38*SIN(2*PI()*(Scenario_Data!V144)/Inputs!$C$39)*SIN(2*PI()*(0)/Inputs!$C$40)+-Inputs!$C$41*EXP(-(((0)-Inputs!$C$43)^2)/(2*Inputs!$C$44^2))*EXP(-(((Scenario_Data!V144)-Inputs!$C$42)^2)/(2*Inputs!$C$45^2))+Inputs!$C$48*(0.7*(0.45*SIN(2*PI()*(((Scenario_Data!V144)/Inputs!$C$49)+Inputs!$C$47*0.137))+0.35*COS(2*PI()*(((0)/Inputs!$C$50)+Inputs!$C$47*0.173))+0.2*SIN(2*PI()*((((Scenario_Data!V144)+(0))/(0.5*(Inputs!$C$49+Inputs!$C$50)))+Inputs!$C$47*0.097)))+0.3*(2*((SIN(((Scenario_Data!V144)*12.9898+(0)*78.233+Inputs!$C$47*37.719))*43758.5453)-INT((SIN(((Scenario_Data!V144)*12.9898+(0)*78.233+Inputs!$C$47*37.719))*43758.5453)))-1)))))/Inputs!$C$21*1000000</f>
        <v/>
      </c>
      <c r="AD144">
        <f>Scenario_Data!W144</f>
        <v/>
      </c>
      <c r="AE144">
        <f>2*((Scenario_Data!E144*1000)-(IF(OR(Inputs!$C$27=TRUE,Inputs!$C$27="TRUE",Inputs!$C$27=1),1,0)*(Inputs!$C$51*(115*EXP(-(((0)-25)^2)/(4.5^2))+70*EXP(-(((0)+38)^2)/(7^2))*(0.55+0.45*SIN(2*PI()*(Scenario_Data!W144)/45))+24*SIN(2*PI()*(0)/9+(Scenario_Data!W144)/18)*EXP(-(((0)+5)^2)/(22^2))+18*SIN(2*PI()*(Scenario_Data!W144)/70))+Inputs!$C$28*EXP(-(((Scenario_Data!W144)-Inputs!$C$29)^2)/(2*Inputs!$C$31^2))*EXP(-(((0)-Inputs!$C$30)^2)/(2*Inputs!$C$32^2))+-Inputs!$C$33*EXP(-(((((Scenario_Data!W144)-Inputs!$C$34)^2)+(((0)-Inputs!$C$35)^2))/(2*Inputs!$C$36^2)))+Inputs!$C$37*(0.55*SIN(2*PI()*(Scenario_Data!W144)/Inputs!$C$39)+0.35*COS(2*PI()*(0)/Inputs!$C$40)+0.2*SIN(2*PI()*((Scenario_Data!W144)+(0))/(0.5*(Inputs!$C$39+Inputs!$C$40))))+Inputs!$C$38*SIN(2*PI()*(Scenario_Data!W144)/Inputs!$C$39)*SIN(2*PI()*(0)/Inputs!$C$40)+-Inputs!$C$41*EXP(-(((0)-Inputs!$C$43)^2)/(2*Inputs!$C$44^2))*EXP(-(((Scenario_Data!W144)-Inputs!$C$42)^2)/(2*Inputs!$C$45^2))+Inputs!$C$48*(0.7*(0.45*SIN(2*PI()*(((Scenario_Data!W144)/Inputs!$C$49)+Inputs!$C$47*0.137))+0.35*COS(2*PI()*(((0)/Inputs!$C$50)+Inputs!$C$47*0.173))+0.2*SIN(2*PI()*((((Scenario_Data!W144)+(0))/(0.5*(Inputs!$C$49+Inputs!$C$50)))+Inputs!$C$47*0.097)))+0.3*(2*((SIN(((Scenario_Data!W144)*12.9898+(0)*78.233+Inputs!$C$47*37.719))*43758.5453)-INT((SIN(((Scenario_Data!W144)*12.9898+(0)*78.233+Inputs!$C$47*37.719))*43758.5453)))-1)))))/Inputs!$C$21*1000000</f>
        <v/>
      </c>
      <c r="AG144">
        <f>Scenario_Data!T144</f>
        <v/>
      </c>
      <c r="AH144">
        <f>2*(SQRT((Inputs!$C$52+(Scenario_Data!B144))^2+Inputs!$C$52^2-2*(Inputs!$C$52+(Scenario_Data!B144))*Inputs!$C$52*COS(SQRT((Scenario_Data!T144)^2+Inputs!$C$6^2)/Inputs!$C$52))*1000)/Inputs!$C$21*1000000</f>
        <v/>
      </c>
      <c r="AI144">
        <f>Scenario_Data!U144</f>
        <v/>
      </c>
      <c r="AJ144">
        <f>2*(SQRT((Inputs!$C$52+(Scenario_Data!C144))^2+Inputs!$C$52^2-2*(Inputs!$C$52+(Scenario_Data!C144))*Inputs!$C$52*COS(SQRT((Scenario_Data!U144)^2+Inputs!$C$6^2)/Inputs!$C$52))*1000)/Inputs!$C$21*1000000</f>
        <v/>
      </c>
      <c r="AK144">
        <f>Scenario_Data!V144</f>
        <v/>
      </c>
      <c r="AL144">
        <f>2*(SQRT((Inputs!$C$52+(Scenario_Data!D144))^2+Inputs!$C$52^2-2*(Inputs!$C$52+(Scenario_Data!D144))*Inputs!$C$52*COS(SQRT((Scenario_Data!V144)^2+Inputs!$C$6^2)/Inputs!$C$52))*1000)/Inputs!$C$21*1000000</f>
        <v/>
      </c>
      <c r="AM144">
        <f>Scenario_Data!W144</f>
        <v/>
      </c>
      <c r="AN144">
        <f>2*(SQRT((Inputs!$C$52+(Scenario_Data!E144))^2+Inputs!$C$52^2-2*(Inputs!$C$52+(Scenario_Data!E144))*Inputs!$C$52*COS(SQRT((Scenario_Data!W144)^2+Inputs!$C$6^2)/Inputs!$C$52))*1000)/Inputs!$C$21*1000000</f>
        <v/>
      </c>
      <c r="AP144">
        <f>Scenario_Data!T144</f>
        <v/>
      </c>
      <c r="AQ144">
        <f>2*(SQRT((Inputs!$C$52+(Scenario_Data!B144))^2+(Inputs!$C$52+((IF(OR(Inputs!$C$27=TRUE,Inputs!$C$27="TRUE",Inputs!$C$27=1),1,0)*(Inputs!$C$51*(115*EXP(-(((Inputs!$C$6)-25)^2)/(4.5^2))+70*EXP(-(((Inputs!$C$6)+38)^2)/(7^2))*(0.55+0.45*SIN(2*PI()*(Scenario_Data!T144)/45))+24*SIN(2*PI()*(Inputs!$C$6)/9+(Scenario_Data!T144)/18)*EXP(-(((Inputs!$C$6)+5)^2)/(22^2))+18*SIN(2*PI()*(Scenario_Data!T144)/70))+Inputs!$C$28*EXP(-(((Scenario_Data!T144)-Inputs!$C$29)^2)/(2*Inputs!$C$31^2))*EXP(-(((Inputs!$C$6)-Inputs!$C$30)^2)/(2*Inputs!$C$32^2))+-Inputs!$C$33*EXP(-(((((Scenario_Data!T144)-Inputs!$C$34)^2)+(((Inputs!$C$6)-Inputs!$C$35)^2))/(2*Inputs!$C$36^2)))+Inputs!$C$37*(0.55*SIN(2*PI()*(Scenario_Data!T144)/Inputs!$C$39)+0.35*COS(2*PI()*(Inputs!$C$6)/Inputs!$C$40)+0.2*SIN(2*PI()*((Scenario_Data!T144)+(Inputs!$C$6))/(0.5*(Inputs!$C$39+Inputs!$C$40))))+Inputs!$C$38*SIN(2*PI()*(Scenario_Data!T144)/Inputs!$C$39)*SIN(2*PI()*(Inputs!$C$6)/Inputs!$C$40)+-Inputs!$C$41*EXP(-(((Inputs!$C$6)-Inputs!$C$43)^2)/(2*Inputs!$C$44^2))*EXP(-(((Scenario_Data!T144)-Inputs!$C$42)^2)/(2*Inputs!$C$45^2))+Inputs!$C$48*(0.7*(0.45*SIN(2*PI()*(((Scenario_Data!T144)/Inputs!$C$49)+Inputs!$C$47*0.137))+0.35*COS(2*PI()*(((Inputs!$C$6)/Inputs!$C$50)+Inputs!$C$47*0.173))+0.2*SIN(2*PI()*((((Scenario_Data!T144)+(Inputs!$C$6))/(0.5*(Inputs!$C$49+Inputs!$C$50)))+Inputs!$C$47*0.097)))+0.3*(2*((SIN(((Scenario_Data!T144)*12.9898+(Inputs!$C$6)*78.233+Inputs!$C$47*37.719))*43758.5453)-INT((SIN(((Scenario_Data!T144)*12.9898+(Inputs!$C$6)*78.233+Inputs!$C$47*37.719))*43758.5453)))-1))))/1000))^2-2*(Inputs!$C$52+(Scenario_Data!B144))*(Inputs!$C$52+((IF(OR(Inputs!$C$27=TRUE,Inputs!$C$27="TRUE",Inputs!$C$27=1),1,0)*(Inputs!$C$51*(115*EXP(-(((Inputs!$C$6)-25)^2)/(4.5^2))+70*EXP(-(((Inputs!$C$6)+38)^2)/(7^2))*(0.55+0.45*SIN(2*PI()*(Scenario_Data!T144)/45))+24*SIN(2*PI()*(Inputs!$C$6)/9+(Scenario_Data!T144)/18)*EXP(-(((Inputs!$C$6)+5)^2)/(22^2))+18*SIN(2*PI()*(Scenario_Data!T144)/70))+Inputs!$C$28*EXP(-(((Scenario_Data!T144)-Inputs!$C$29)^2)/(2*Inputs!$C$31^2))*EXP(-(((Inputs!$C$6)-Inputs!$C$30)^2)/(2*Inputs!$C$32^2))+-Inputs!$C$33*EXP(-(((((Scenario_Data!T144)-Inputs!$C$34)^2)+(((Inputs!$C$6)-Inputs!$C$35)^2))/(2*Inputs!$C$36^2)))+Inputs!$C$37*(0.55*SIN(2*PI()*(Scenario_Data!T144)/Inputs!$C$39)+0.35*COS(2*PI()*(Inputs!$C$6)/Inputs!$C$40)+0.2*SIN(2*PI()*((Scenario_Data!T144)+(Inputs!$C$6))/(0.5*(Inputs!$C$39+Inputs!$C$40))))+Inputs!$C$38*SIN(2*PI()*(Scenario_Data!T144)/Inputs!$C$39)*SIN(2*PI()*(Inputs!$C$6)/Inputs!$C$40)+-Inputs!$C$41*EXP(-(((Inputs!$C$6)-Inputs!$C$43)^2)/(2*Inputs!$C$44^2))*EXP(-(((Scenario_Data!T144)-Inputs!$C$42)^2)/(2*Inputs!$C$45^2))+Inputs!$C$48*(0.7*(0.45*SIN(2*PI()*(((Scenario_Data!T144)/Inputs!$C$49)+Inputs!$C$47*0.137))+0.35*COS(2*PI()*(((Inputs!$C$6)/Inputs!$C$50)+Inputs!$C$47*0.173))+0.2*SIN(2*PI()*((((Scenario_Data!T144)+(Inputs!$C$6))/(0.5*(Inputs!$C$49+Inputs!$C$50)))+Inputs!$C$47*0.097)))+0.3*(2*((SIN(((Scenario_Data!T144)*12.9898+(Inputs!$C$6)*78.233+Inputs!$C$47*37.719))*43758.5453)-INT((SIN(((Scenario_Data!T144)*12.9898+(Inputs!$C$6)*78.233+Inputs!$C$47*37.719))*43758.5453)))-1))))/1000))*COS(SQRT((Scenario_Data!T144)^2+Inputs!$C$6^2)/Inputs!$C$52))*1000)/Inputs!$C$21*1000000</f>
        <v/>
      </c>
      <c r="AR144">
        <f>Scenario_Data!U144</f>
        <v/>
      </c>
      <c r="AS144">
        <f>2*(SQRT((Inputs!$C$52+(Scenario_Data!C144))^2+(Inputs!$C$52+((IF(OR(Inputs!$C$27=TRUE,Inputs!$C$27="TRUE",Inputs!$C$27=1),1,0)*(Inputs!$C$51*(115*EXP(-(((Inputs!$C$6)-25)^2)/(4.5^2))+70*EXP(-(((Inputs!$C$6)+38)^2)/(7^2))*(0.55+0.45*SIN(2*PI()*(Scenario_Data!U144)/45))+24*SIN(2*PI()*(Inputs!$C$6)/9+(Scenario_Data!U144)/18)*EXP(-(((Inputs!$C$6)+5)^2)/(22^2))+18*SIN(2*PI()*(Scenario_Data!U144)/70))+Inputs!$C$28*EXP(-(((Scenario_Data!U144)-Inputs!$C$29)^2)/(2*Inputs!$C$31^2))*EXP(-(((Inputs!$C$6)-Inputs!$C$30)^2)/(2*Inputs!$C$32^2))+-Inputs!$C$33*EXP(-(((((Scenario_Data!U144)-Inputs!$C$34)^2)+(((Inputs!$C$6)-Inputs!$C$35)^2))/(2*Inputs!$C$36^2)))+Inputs!$C$37*(0.55*SIN(2*PI()*(Scenario_Data!U144)/Inputs!$C$39)+0.35*COS(2*PI()*(Inputs!$C$6)/Inputs!$C$40)+0.2*SIN(2*PI()*((Scenario_Data!U144)+(Inputs!$C$6))/(0.5*(Inputs!$C$39+Inputs!$C$40))))+Inputs!$C$38*SIN(2*PI()*(Scenario_Data!U144)/Inputs!$C$39)*SIN(2*PI()*(Inputs!$C$6)/Inputs!$C$40)+-Inputs!$C$41*EXP(-(((Inputs!$C$6)-Inputs!$C$43)^2)/(2*Inputs!$C$44^2))*EXP(-(((Scenario_Data!U144)-Inputs!$C$42)^2)/(2*Inputs!$C$45^2))+Inputs!$C$48*(0.7*(0.45*SIN(2*PI()*(((Scenario_Data!U144)/Inputs!$C$49)+Inputs!$C$47*0.137))+0.35*COS(2*PI()*(((Inputs!$C$6)/Inputs!$C$50)+Inputs!$C$47*0.173))+0.2*SIN(2*PI()*((((Scenario_Data!U144)+(Inputs!$C$6))/(0.5*(Inputs!$C$49+Inputs!$C$50)))+Inputs!$C$47*0.097)))+0.3*(2*((SIN(((Scenario_Data!U144)*12.9898+(Inputs!$C$6)*78.233+Inputs!$C$47*37.719))*43758.5453)-INT((SIN(((Scenario_Data!U144)*12.9898+(Inputs!$C$6)*78.233+Inputs!$C$47*37.719))*43758.5453)))-1))))/1000))^2-2*(Inputs!$C$52+(Scenario_Data!C144))*(Inputs!$C$52+((IF(OR(Inputs!$C$27=TRUE,Inputs!$C$27="TRUE",Inputs!$C$27=1),1,0)*(Inputs!$C$51*(115*EXP(-(((Inputs!$C$6)-25)^2)/(4.5^2))+70*EXP(-(((Inputs!$C$6)+38)^2)/(7^2))*(0.55+0.45*SIN(2*PI()*(Scenario_Data!U144)/45))+24*SIN(2*PI()*(Inputs!$C$6)/9+(Scenario_Data!U144)/18)*EXP(-(((Inputs!$C$6)+5)^2)/(22^2))+18*SIN(2*PI()*(Scenario_Data!U144)/70))+Inputs!$C$28*EXP(-(((Scenario_Data!U144)-Inputs!$C$29)^2)/(2*Inputs!$C$31^2))*EXP(-(((Inputs!$C$6)-Inputs!$C$30)^2)/(2*Inputs!$C$32^2))+-Inputs!$C$33*EXP(-(((((Scenario_Data!U144)-Inputs!$C$34)^2)+(((Inputs!$C$6)-Inputs!$C$35)^2))/(2*Inputs!$C$36^2)))+Inputs!$C$37*(0.55*SIN(2*PI()*(Scenario_Data!U144)/Inputs!$C$39)+0.35*COS(2*PI()*(Inputs!$C$6)/Inputs!$C$40)+0.2*SIN(2*PI()*((Scenario_Data!U144)+(Inputs!$C$6))/(0.5*(Inputs!$C$39+Inputs!$C$40))))+Inputs!$C$38*SIN(2*PI()*(Scenario_Data!U144)/Inputs!$C$39)*SIN(2*PI()*(Inputs!$C$6)/Inputs!$C$40)+-Inputs!$C$41*EXP(-(((Inputs!$C$6)-Inputs!$C$43)^2)/(2*Inputs!$C$44^2))*EXP(-(((Scenario_Data!U144)-Inputs!$C$42)^2)/(2*Inputs!$C$45^2))+Inputs!$C$48*(0.7*(0.45*SIN(2*PI()*(((Scenario_Data!U144)/Inputs!$C$49)+Inputs!$C$47*0.137))+0.35*COS(2*PI()*(((Inputs!$C$6)/Inputs!$C$50)+Inputs!$C$47*0.173))+0.2*SIN(2*PI()*((((Scenario_Data!U144)+(Inputs!$C$6))/(0.5*(Inputs!$C$49+Inputs!$C$50)))+Inputs!$C$47*0.097)))+0.3*(2*((SIN(((Scenario_Data!U144)*12.9898+(Inputs!$C$6)*78.233+Inputs!$C$47*37.719))*43758.5453)-INT((SIN(((Scenario_Data!U144)*12.9898+(Inputs!$C$6)*78.233+Inputs!$C$47*37.719))*43758.5453)))-1))))/1000))*COS(SQRT((Scenario_Data!U144)^2+Inputs!$C$6^2)/Inputs!$C$52))*1000)/Inputs!$C$21*1000000</f>
        <v/>
      </c>
      <c r="AT144">
        <f>Scenario_Data!V144</f>
        <v/>
      </c>
      <c r="AU144">
        <f>2*(SQRT((Inputs!$C$52+(Scenario_Data!D144))^2+(Inputs!$C$52+((IF(OR(Inputs!$C$27=TRUE,Inputs!$C$27="TRUE",Inputs!$C$27=1),1,0)*(Inputs!$C$51*(115*EXP(-(((Inputs!$C$6)-25)^2)/(4.5^2))+70*EXP(-(((Inputs!$C$6)+38)^2)/(7^2))*(0.55+0.45*SIN(2*PI()*(Scenario_Data!V144)/45))+24*SIN(2*PI()*(Inputs!$C$6)/9+(Scenario_Data!V144)/18)*EXP(-(((Inputs!$C$6)+5)^2)/(22^2))+18*SIN(2*PI()*(Scenario_Data!V144)/70))+Inputs!$C$28*EXP(-(((Scenario_Data!V144)-Inputs!$C$29)^2)/(2*Inputs!$C$31^2))*EXP(-(((Inputs!$C$6)-Inputs!$C$30)^2)/(2*Inputs!$C$32^2))+-Inputs!$C$33*EXP(-(((((Scenario_Data!V144)-Inputs!$C$34)^2)+(((Inputs!$C$6)-Inputs!$C$35)^2))/(2*Inputs!$C$36^2)))+Inputs!$C$37*(0.55*SIN(2*PI()*(Scenario_Data!V144)/Inputs!$C$39)+0.35*COS(2*PI()*(Inputs!$C$6)/Inputs!$C$40)+0.2*SIN(2*PI()*((Scenario_Data!V144)+(Inputs!$C$6))/(0.5*(Inputs!$C$39+Inputs!$C$40))))+Inputs!$C$38*SIN(2*PI()*(Scenario_Data!V144)/Inputs!$C$39)*SIN(2*PI()*(Inputs!$C$6)/Inputs!$C$40)+-Inputs!$C$41*EXP(-(((Inputs!$C$6)-Inputs!$C$43)^2)/(2*Inputs!$C$44^2))*EXP(-(((Scenario_Data!V144)-Inputs!$C$42)^2)/(2*Inputs!$C$45^2))+Inputs!$C$48*(0.7*(0.45*SIN(2*PI()*(((Scenario_Data!V144)/Inputs!$C$49)+Inputs!$C$47*0.137))+0.35*COS(2*PI()*(((Inputs!$C$6)/Inputs!$C$50)+Inputs!$C$47*0.173))+0.2*SIN(2*PI()*((((Scenario_Data!V144)+(Inputs!$C$6))/(0.5*(Inputs!$C$49+Inputs!$C$50)))+Inputs!$C$47*0.097)))+0.3*(2*((SIN(((Scenario_Data!V144)*12.9898+(Inputs!$C$6)*78.233+Inputs!$C$47*37.719))*43758.5453)-INT((SIN(((Scenario_Data!V144)*12.9898+(Inputs!$C$6)*78.233+Inputs!$C$47*37.719))*43758.5453)))-1))))/1000))^2-2*(Inputs!$C$52+(Scenario_Data!D144))*(Inputs!$C$52+((IF(OR(Inputs!$C$27=TRUE,Inputs!$C$27="TRUE",Inputs!$C$27=1),1,0)*(Inputs!$C$51*(115*EXP(-(((Inputs!$C$6)-25)^2)/(4.5^2))+70*EXP(-(((Inputs!$C$6)+38)^2)/(7^2))*(0.55+0.45*SIN(2*PI()*(Scenario_Data!V144)/45))+24*SIN(2*PI()*(Inputs!$C$6)/9+(Scenario_Data!V144)/18)*EXP(-(((Inputs!$C$6)+5)^2)/(22^2))+18*SIN(2*PI()*(Scenario_Data!V144)/70))+Inputs!$C$28*EXP(-(((Scenario_Data!V144)-Inputs!$C$29)^2)/(2*Inputs!$C$31^2))*EXP(-(((Inputs!$C$6)-Inputs!$C$30)^2)/(2*Inputs!$C$32^2))+-Inputs!$C$33*EXP(-(((((Scenario_Data!V144)-Inputs!$C$34)^2)+(((Inputs!$C$6)-Inputs!$C$35)^2))/(2*Inputs!$C$36^2)))+Inputs!$C$37*(0.55*SIN(2*PI()*(Scenario_Data!V144)/Inputs!$C$39)+0.35*COS(2*PI()*(Inputs!$C$6)/Inputs!$C$40)+0.2*SIN(2*PI()*((Scenario_Data!V144)+(Inputs!$C$6))/(0.5*(Inputs!$C$39+Inputs!$C$40))))+Inputs!$C$38*SIN(2*PI()*(Scenario_Data!V144)/Inputs!$C$39)*SIN(2*PI()*(Inputs!$C$6)/Inputs!$C$40)+-Inputs!$C$41*EXP(-(((Inputs!$C$6)-Inputs!$C$43)^2)/(2*Inputs!$C$44^2))*EXP(-(((Scenario_Data!V144)-Inputs!$C$42)^2)/(2*Inputs!$C$45^2))+Inputs!$C$48*(0.7*(0.45*SIN(2*PI()*(((Scenario_Data!V144)/Inputs!$C$49)+Inputs!$C$47*0.137))+0.35*COS(2*PI()*(((Inputs!$C$6)/Inputs!$C$50)+Inputs!$C$47*0.173))+0.2*SIN(2*PI()*((((Scenario_Data!V144)+(Inputs!$C$6))/(0.5*(Inputs!$C$49+Inputs!$C$50)))+Inputs!$C$47*0.097)))+0.3*(2*((SIN(((Scenario_Data!V144)*12.9898+(Inputs!$C$6)*78.233+Inputs!$C$47*37.719))*43758.5453)-INT((SIN(((Scenario_Data!V144)*12.9898+(Inputs!$C$6)*78.233+Inputs!$C$47*37.719))*43758.5453)))-1))))/1000))*COS(SQRT((Scenario_Data!V144)^2+Inputs!$C$6^2)/Inputs!$C$52))*1000)/Inputs!$C$21*1000000</f>
        <v/>
      </c>
      <c r="AV144">
        <f>Scenario_Data!W144</f>
        <v/>
      </c>
      <c r="AW144">
        <f>2*(SQRT((Inputs!$C$52+(Scenario_Data!E144))^2+(Inputs!$C$52+((IF(OR(Inputs!$C$27=TRUE,Inputs!$C$27="TRUE",Inputs!$C$27=1),1,0)*(Inputs!$C$51*(115*EXP(-(((Inputs!$C$6)-25)^2)/(4.5^2))+70*EXP(-(((Inputs!$C$6)+38)^2)/(7^2))*(0.55+0.45*SIN(2*PI()*(Scenario_Data!W144)/45))+24*SIN(2*PI()*(Inputs!$C$6)/9+(Scenario_Data!W144)/18)*EXP(-(((Inputs!$C$6)+5)^2)/(22^2))+18*SIN(2*PI()*(Scenario_Data!W144)/70))+Inputs!$C$28*EXP(-(((Scenario_Data!W144)-Inputs!$C$29)^2)/(2*Inputs!$C$31^2))*EXP(-(((Inputs!$C$6)-Inputs!$C$30)^2)/(2*Inputs!$C$32^2))+-Inputs!$C$33*EXP(-(((((Scenario_Data!W144)-Inputs!$C$34)^2)+(((Inputs!$C$6)-Inputs!$C$35)^2))/(2*Inputs!$C$36^2)))+Inputs!$C$37*(0.55*SIN(2*PI()*(Scenario_Data!W144)/Inputs!$C$39)+0.35*COS(2*PI()*(Inputs!$C$6)/Inputs!$C$40)+0.2*SIN(2*PI()*((Scenario_Data!W144)+(Inputs!$C$6))/(0.5*(Inputs!$C$39+Inputs!$C$40))))+Inputs!$C$38*SIN(2*PI()*(Scenario_Data!W144)/Inputs!$C$39)*SIN(2*PI()*(Inputs!$C$6)/Inputs!$C$40)+-Inputs!$C$41*EXP(-(((Inputs!$C$6)-Inputs!$C$43)^2)/(2*Inputs!$C$44^2))*EXP(-(((Scenario_Data!W144)-Inputs!$C$42)^2)/(2*Inputs!$C$45^2))+Inputs!$C$48*(0.7*(0.45*SIN(2*PI()*(((Scenario_Data!W144)/Inputs!$C$49)+Inputs!$C$47*0.137))+0.35*COS(2*PI()*(((Inputs!$C$6)/Inputs!$C$50)+Inputs!$C$47*0.173))+0.2*SIN(2*PI()*((((Scenario_Data!W144)+(Inputs!$C$6))/(0.5*(Inputs!$C$49+Inputs!$C$50)))+Inputs!$C$47*0.097)))+0.3*(2*((SIN(((Scenario_Data!W144)*12.9898+(Inputs!$C$6)*78.233+Inputs!$C$47*37.719))*43758.5453)-INT((SIN(((Scenario_Data!W144)*12.9898+(Inputs!$C$6)*78.233+Inputs!$C$47*37.719))*43758.5453)))-1))))/1000))^2-2*(Inputs!$C$52+(Scenario_Data!E144))*(Inputs!$C$52+((IF(OR(Inputs!$C$27=TRUE,Inputs!$C$27="TRUE",Inputs!$C$27=1),1,0)*(Inputs!$C$51*(115*EXP(-(((Inputs!$C$6)-25)^2)/(4.5^2))+70*EXP(-(((Inputs!$C$6)+38)^2)/(7^2))*(0.55+0.45*SIN(2*PI()*(Scenario_Data!W144)/45))+24*SIN(2*PI()*(Inputs!$C$6)/9+(Scenario_Data!W144)/18)*EXP(-(((Inputs!$C$6)+5)^2)/(22^2))+18*SIN(2*PI()*(Scenario_Data!W144)/70))+Inputs!$C$28*EXP(-(((Scenario_Data!W144)-Inputs!$C$29)^2)/(2*Inputs!$C$31^2))*EXP(-(((Inputs!$C$6)-Inputs!$C$30)^2)/(2*Inputs!$C$32^2))+-Inputs!$C$33*EXP(-(((((Scenario_Data!W144)-Inputs!$C$34)^2)+(((Inputs!$C$6)-Inputs!$C$35)^2))/(2*Inputs!$C$36^2)))+Inputs!$C$37*(0.55*SIN(2*PI()*(Scenario_Data!W144)/Inputs!$C$39)+0.35*COS(2*PI()*(Inputs!$C$6)/Inputs!$C$40)+0.2*SIN(2*PI()*((Scenario_Data!W144)+(Inputs!$C$6))/(0.5*(Inputs!$C$39+Inputs!$C$40))))+Inputs!$C$38*SIN(2*PI()*(Scenario_Data!W144)/Inputs!$C$39)*SIN(2*PI()*(Inputs!$C$6)/Inputs!$C$40)+-Inputs!$C$41*EXP(-(((Inputs!$C$6)-Inputs!$C$43)^2)/(2*Inputs!$C$44^2))*EXP(-(((Scenario_Data!W144)-Inputs!$C$42)^2)/(2*Inputs!$C$45^2))+Inputs!$C$48*(0.7*(0.45*SIN(2*PI()*(((Scenario_Data!W144)/Inputs!$C$49)+Inputs!$C$47*0.137))+0.35*COS(2*PI()*(((Inputs!$C$6)/Inputs!$C$50)+Inputs!$C$47*0.173))+0.2*SIN(2*PI()*((((Scenario_Data!W144)+(Inputs!$C$6))/(0.5*(Inputs!$C$49+Inputs!$C$50)))+Inputs!$C$47*0.097)))+0.3*(2*((SIN(((Scenario_Data!W144)*12.9898+(Inputs!$C$6)*78.233+Inputs!$C$47*37.719))*43758.5453)-INT((SIN(((Scenario_Data!W144)*12.9898+(Inputs!$C$6)*78.233+Inputs!$C$47*37.719))*43758.5453)))-1))))/1000))*COS(SQRT((Scenario_Data!W144)^2+Inputs!$C$6^2)/Inputs!$C$52))*1000)/Inputs!$C$21*1000000</f>
        <v/>
      </c>
    </row>
    <row r="145">
      <c r="A145">
        <f>Chart_Data!K145</f>
        <v/>
      </c>
      <c r="B145">
        <f>Chart_Data!N145-Chart_Data!L145</f>
        <v/>
      </c>
      <c r="D145">
        <f>Chart_Data!G145</f>
        <v/>
      </c>
      <c r="E145">
        <f>Chart_Data!H145</f>
        <v/>
      </c>
      <c r="F145">
        <f>Chart_Data!I145</f>
        <v/>
      </c>
      <c r="G145">
        <f>Chart_Data!J145</f>
        <v/>
      </c>
      <c r="I145">
        <f>Scenario_Data!A145</f>
        <v/>
      </c>
      <c r="J145">
        <f>Scenario_Data!H145-(((SQRT((Inputs!$C$52+(Inputs!$H$6))^2+Inputs!$C$52^2-2*(Inputs!$C$52+(Inputs!$H$6))*Inputs!$C$52*COS(SQRT((Scenario_Data!T145)^2+Inputs!$C$6^2)/Inputs!$C$52)))-(Inputs!$H$6))*1000/Inputs!$C$12)</f>
        <v/>
      </c>
      <c r="K145">
        <f>Scenario_Data!I145-(((SQRT((Inputs!$C$52+(Inputs!$H$7))^2+Inputs!$C$52^2-2*(Inputs!$C$52+(Inputs!$H$7))*Inputs!$C$52*COS(SQRT((Scenario_Data!U145)^2+Inputs!$C$6^2)/Inputs!$C$52)))-(Inputs!$H$7))*1000/Inputs!$C$12)</f>
        <v/>
      </c>
      <c r="L145">
        <f>Scenario_Data!J145-(((SQRT((Inputs!$C$52+(Inputs!$H$8))^2+Inputs!$C$52^2-2*(Inputs!$C$52+(Inputs!$H$8))*Inputs!$C$52*COS(SQRT((Scenario_Data!V145)^2+Inputs!$C$6^2)/Inputs!$C$52)))-(Inputs!$H$8))*1000/Inputs!$C$12)</f>
        <v/>
      </c>
      <c r="M145">
        <f>Scenario_Data!K145-(((SQRT((Inputs!$C$52+(Inputs!$H$9))^2+Inputs!$C$52^2-2*(Inputs!$C$52+(Inputs!$H$9))*Inputs!$C$52*COS(SQRT((Scenario_Data!W145)^2+Inputs!$C$6^2)/Inputs!$C$52)))-(Inputs!$H$9))*1000/Inputs!$C$12)</f>
        <v/>
      </c>
      <c r="O145">
        <f>Scenario_Data!T145</f>
        <v/>
      </c>
      <c r="P145">
        <f>2*(Scenario_Data!B145*1000)/Inputs!$C$21*1000000</f>
        <v/>
      </c>
      <c r="Q145">
        <f>Scenario_Data!U145</f>
        <v/>
      </c>
      <c r="R145">
        <f>2*(Scenario_Data!C145*1000)/Inputs!$C$21*1000000</f>
        <v/>
      </c>
      <c r="S145">
        <f>Scenario_Data!V145</f>
        <v/>
      </c>
      <c r="T145">
        <f>2*(Scenario_Data!D145*1000)/Inputs!$C$21*1000000</f>
        <v/>
      </c>
      <c r="U145">
        <f>Scenario_Data!W145</f>
        <v/>
      </c>
      <c r="V145">
        <f>2*(Scenario_Data!E145*1000)/Inputs!$C$21*1000000</f>
        <v/>
      </c>
      <c r="X145">
        <f>Scenario_Data!T145</f>
        <v/>
      </c>
      <c r="Y145">
        <f>2*((Scenario_Data!B145*1000)-(IF(OR(Inputs!$C$27=TRUE,Inputs!$C$27="TRUE",Inputs!$C$27=1),1,0)*(Inputs!$C$51*(115*EXP(-(((0)-25)^2)/(4.5^2))+70*EXP(-(((0)+38)^2)/(7^2))*(0.55+0.45*SIN(2*PI()*(Scenario_Data!T145)/45))+24*SIN(2*PI()*(0)/9+(Scenario_Data!T145)/18)*EXP(-(((0)+5)^2)/(22^2))+18*SIN(2*PI()*(Scenario_Data!T145)/70))+Inputs!$C$28*EXP(-(((Scenario_Data!T145)-Inputs!$C$29)^2)/(2*Inputs!$C$31^2))*EXP(-(((0)-Inputs!$C$30)^2)/(2*Inputs!$C$32^2))+-Inputs!$C$33*EXP(-(((((Scenario_Data!T145)-Inputs!$C$34)^2)+(((0)-Inputs!$C$35)^2))/(2*Inputs!$C$36^2)))+Inputs!$C$37*(0.55*SIN(2*PI()*(Scenario_Data!T145)/Inputs!$C$39)+0.35*COS(2*PI()*(0)/Inputs!$C$40)+0.2*SIN(2*PI()*((Scenario_Data!T145)+(0))/(0.5*(Inputs!$C$39+Inputs!$C$40))))+Inputs!$C$38*SIN(2*PI()*(Scenario_Data!T145)/Inputs!$C$39)*SIN(2*PI()*(0)/Inputs!$C$40)+-Inputs!$C$41*EXP(-(((0)-Inputs!$C$43)^2)/(2*Inputs!$C$44^2))*EXP(-(((Scenario_Data!T145)-Inputs!$C$42)^2)/(2*Inputs!$C$45^2))+Inputs!$C$48*(0.7*(0.45*SIN(2*PI()*(((Scenario_Data!T145)/Inputs!$C$49)+Inputs!$C$47*0.137))+0.35*COS(2*PI()*(((0)/Inputs!$C$50)+Inputs!$C$47*0.173))+0.2*SIN(2*PI()*((((Scenario_Data!T145)+(0))/(0.5*(Inputs!$C$49+Inputs!$C$50)))+Inputs!$C$47*0.097)))+0.3*(2*((SIN(((Scenario_Data!T145)*12.9898+(0)*78.233+Inputs!$C$47*37.719))*43758.5453)-INT((SIN(((Scenario_Data!T145)*12.9898+(0)*78.233+Inputs!$C$47*37.719))*43758.5453)))-1)))))/Inputs!$C$21*1000000</f>
        <v/>
      </c>
      <c r="Z145">
        <f>Scenario_Data!U145</f>
        <v/>
      </c>
      <c r="AA145">
        <f>2*((Scenario_Data!C145*1000)-(IF(OR(Inputs!$C$27=TRUE,Inputs!$C$27="TRUE",Inputs!$C$27=1),1,0)*(Inputs!$C$51*(115*EXP(-(((0)-25)^2)/(4.5^2))+70*EXP(-(((0)+38)^2)/(7^2))*(0.55+0.45*SIN(2*PI()*(Scenario_Data!U145)/45))+24*SIN(2*PI()*(0)/9+(Scenario_Data!U145)/18)*EXP(-(((0)+5)^2)/(22^2))+18*SIN(2*PI()*(Scenario_Data!U145)/70))+Inputs!$C$28*EXP(-(((Scenario_Data!U145)-Inputs!$C$29)^2)/(2*Inputs!$C$31^2))*EXP(-(((0)-Inputs!$C$30)^2)/(2*Inputs!$C$32^2))+-Inputs!$C$33*EXP(-(((((Scenario_Data!U145)-Inputs!$C$34)^2)+(((0)-Inputs!$C$35)^2))/(2*Inputs!$C$36^2)))+Inputs!$C$37*(0.55*SIN(2*PI()*(Scenario_Data!U145)/Inputs!$C$39)+0.35*COS(2*PI()*(0)/Inputs!$C$40)+0.2*SIN(2*PI()*((Scenario_Data!U145)+(0))/(0.5*(Inputs!$C$39+Inputs!$C$40))))+Inputs!$C$38*SIN(2*PI()*(Scenario_Data!U145)/Inputs!$C$39)*SIN(2*PI()*(0)/Inputs!$C$40)+-Inputs!$C$41*EXP(-(((0)-Inputs!$C$43)^2)/(2*Inputs!$C$44^2))*EXP(-(((Scenario_Data!U145)-Inputs!$C$42)^2)/(2*Inputs!$C$45^2))+Inputs!$C$48*(0.7*(0.45*SIN(2*PI()*(((Scenario_Data!U145)/Inputs!$C$49)+Inputs!$C$47*0.137))+0.35*COS(2*PI()*(((0)/Inputs!$C$50)+Inputs!$C$47*0.173))+0.2*SIN(2*PI()*((((Scenario_Data!U145)+(0))/(0.5*(Inputs!$C$49+Inputs!$C$50)))+Inputs!$C$47*0.097)))+0.3*(2*((SIN(((Scenario_Data!U145)*12.9898+(0)*78.233+Inputs!$C$47*37.719))*43758.5453)-INT((SIN(((Scenario_Data!U145)*12.9898+(0)*78.233+Inputs!$C$47*37.719))*43758.5453)))-1)))))/Inputs!$C$21*1000000</f>
        <v/>
      </c>
      <c r="AB145">
        <f>Scenario_Data!V145</f>
        <v/>
      </c>
      <c r="AC145">
        <f>2*((Scenario_Data!D145*1000)-(IF(OR(Inputs!$C$27=TRUE,Inputs!$C$27="TRUE",Inputs!$C$27=1),1,0)*(Inputs!$C$51*(115*EXP(-(((0)-25)^2)/(4.5^2))+70*EXP(-(((0)+38)^2)/(7^2))*(0.55+0.45*SIN(2*PI()*(Scenario_Data!V145)/45))+24*SIN(2*PI()*(0)/9+(Scenario_Data!V145)/18)*EXP(-(((0)+5)^2)/(22^2))+18*SIN(2*PI()*(Scenario_Data!V145)/70))+Inputs!$C$28*EXP(-(((Scenario_Data!V145)-Inputs!$C$29)^2)/(2*Inputs!$C$31^2))*EXP(-(((0)-Inputs!$C$30)^2)/(2*Inputs!$C$32^2))+-Inputs!$C$33*EXP(-(((((Scenario_Data!V145)-Inputs!$C$34)^2)+(((0)-Inputs!$C$35)^2))/(2*Inputs!$C$36^2)))+Inputs!$C$37*(0.55*SIN(2*PI()*(Scenario_Data!V145)/Inputs!$C$39)+0.35*COS(2*PI()*(0)/Inputs!$C$40)+0.2*SIN(2*PI()*((Scenario_Data!V145)+(0))/(0.5*(Inputs!$C$39+Inputs!$C$40))))+Inputs!$C$38*SIN(2*PI()*(Scenario_Data!V145)/Inputs!$C$39)*SIN(2*PI()*(0)/Inputs!$C$40)+-Inputs!$C$41*EXP(-(((0)-Inputs!$C$43)^2)/(2*Inputs!$C$44^2))*EXP(-(((Scenario_Data!V145)-Inputs!$C$42)^2)/(2*Inputs!$C$45^2))+Inputs!$C$48*(0.7*(0.45*SIN(2*PI()*(((Scenario_Data!V145)/Inputs!$C$49)+Inputs!$C$47*0.137))+0.35*COS(2*PI()*(((0)/Inputs!$C$50)+Inputs!$C$47*0.173))+0.2*SIN(2*PI()*((((Scenario_Data!V145)+(0))/(0.5*(Inputs!$C$49+Inputs!$C$50)))+Inputs!$C$47*0.097)))+0.3*(2*((SIN(((Scenario_Data!V145)*12.9898+(0)*78.233+Inputs!$C$47*37.719))*43758.5453)-INT((SIN(((Scenario_Data!V145)*12.9898+(0)*78.233+Inputs!$C$47*37.719))*43758.5453)))-1)))))/Inputs!$C$21*1000000</f>
        <v/>
      </c>
      <c r="AD145">
        <f>Scenario_Data!W145</f>
        <v/>
      </c>
      <c r="AE145">
        <f>2*((Scenario_Data!E145*1000)-(IF(OR(Inputs!$C$27=TRUE,Inputs!$C$27="TRUE",Inputs!$C$27=1),1,0)*(Inputs!$C$51*(115*EXP(-(((0)-25)^2)/(4.5^2))+70*EXP(-(((0)+38)^2)/(7^2))*(0.55+0.45*SIN(2*PI()*(Scenario_Data!W145)/45))+24*SIN(2*PI()*(0)/9+(Scenario_Data!W145)/18)*EXP(-(((0)+5)^2)/(22^2))+18*SIN(2*PI()*(Scenario_Data!W145)/70))+Inputs!$C$28*EXP(-(((Scenario_Data!W145)-Inputs!$C$29)^2)/(2*Inputs!$C$31^2))*EXP(-(((0)-Inputs!$C$30)^2)/(2*Inputs!$C$32^2))+-Inputs!$C$33*EXP(-(((((Scenario_Data!W145)-Inputs!$C$34)^2)+(((0)-Inputs!$C$35)^2))/(2*Inputs!$C$36^2)))+Inputs!$C$37*(0.55*SIN(2*PI()*(Scenario_Data!W145)/Inputs!$C$39)+0.35*COS(2*PI()*(0)/Inputs!$C$40)+0.2*SIN(2*PI()*((Scenario_Data!W145)+(0))/(0.5*(Inputs!$C$39+Inputs!$C$40))))+Inputs!$C$38*SIN(2*PI()*(Scenario_Data!W145)/Inputs!$C$39)*SIN(2*PI()*(0)/Inputs!$C$40)+-Inputs!$C$41*EXP(-(((0)-Inputs!$C$43)^2)/(2*Inputs!$C$44^2))*EXP(-(((Scenario_Data!W145)-Inputs!$C$42)^2)/(2*Inputs!$C$45^2))+Inputs!$C$48*(0.7*(0.45*SIN(2*PI()*(((Scenario_Data!W145)/Inputs!$C$49)+Inputs!$C$47*0.137))+0.35*COS(2*PI()*(((0)/Inputs!$C$50)+Inputs!$C$47*0.173))+0.2*SIN(2*PI()*((((Scenario_Data!W145)+(0))/(0.5*(Inputs!$C$49+Inputs!$C$50)))+Inputs!$C$47*0.097)))+0.3*(2*((SIN(((Scenario_Data!W145)*12.9898+(0)*78.233+Inputs!$C$47*37.719))*43758.5453)-INT((SIN(((Scenario_Data!W145)*12.9898+(0)*78.233+Inputs!$C$47*37.719))*43758.5453)))-1)))))/Inputs!$C$21*1000000</f>
        <v/>
      </c>
      <c r="AG145">
        <f>Scenario_Data!T145</f>
        <v/>
      </c>
      <c r="AH145">
        <f>2*(SQRT((Inputs!$C$52+(Scenario_Data!B145))^2+Inputs!$C$52^2-2*(Inputs!$C$52+(Scenario_Data!B145))*Inputs!$C$52*COS(SQRT((Scenario_Data!T145)^2+Inputs!$C$6^2)/Inputs!$C$52))*1000)/Inputs!$C$21*1000000</f>
        <v/>
      </c>
      <c r="AI145">
        <f>Scenario_Data!U145</f>
        <v/>
      </c>
      <c r="AJ145">
        <f>2*(SQRT((Inputs!$C$52+(Scenario_Data!C145))^2+Inputs!$C$52^2-2*(Inputs!$C$52+(Scenario_Data!C145))*Inputs!$C$52*COS(SQRT((Scenario_Data!U145)^2+Inputs!$C$6^2)/Inputs!$C$52))*1000)/Inputs!$C$21*1000000</f>
        <v/>
      </c>
      <c r="AK145">
        <f>Scenario_Data!V145</f>
        <v/>
      </c>
      <c r="AL145">
        <f>2*(SQRT((Inputs!$C$52+(Scenario_Data!D145))^2+Inputs!$C$52^2-2*(Inputs!$C$52+(Scenario_Data!D145))*Inputs!$C$52*COS(SQRT((Scenario_Data!V145)^2+Inputs!$C$6^2)/Inputs!$C$52))*1000)/Inputs!$C$21*1000000</f>
        <v/>
      </c>
      <c r="AM145">
        <f>Scenario_Data!W145</f>
        <v/>
      </c>
      <c r="AN145">
        <f>2*(SQRT((Inputs!$C$52+(Scenario_Data!E145))^2+Inputs!$C$52^2-2*(Inputs!$C$52+(Scenario_Data!E145))*Inputs!$C$52*COS(SQRT((Scenario_Data!W145)^2+Inputs!$C$6^2)/Inputs!$C$52))*1000)/Inputs!$C$21*1000000</f>
        <v/>
      </c>
      <c r="AP145">
        <f>Scenario_Data!T145</f>
        <v/>
      </c>
      <c r="AQ145">
        <f>2*(SQRT((Inputs!$C$52+(Scenario_Data!B145))^2+(Inputs!$C$52+((IF(OR(Inputs!$C$27=TRUE,Inputs!$C$27="TRUE",Inputs!$C$27=1),1,0)*(Inputs!$C$51*(115*EXP(-(((Inputs!$C$6)-25)^2)/(4.5^2))+70*EXP(-(((Inputs!$C$6)+38)^2)/(7^2))*(0.55+0.45*SIN(2*PI()*(Scenario_Data!T145)/45))+24*SIN(2*PI()*(Inputs!$C$6)/9+(Scenario_Data!T145)/18)*EXP(-(((Inputs!$C$6)+5)^2)/(22^2))+18*SIN(2*PI()*(Scenario_Data!T145)/70))+Inputs!$C$28*EXP(-(((Scenario_Data!T145)-Inputs!$C$29)^2)/(2*Inputs!$C$31^2))*EXP(-(((Inputs!$C$6)-Inputs!$C$30)^2)/(2*Inputs!$C$32^2))+-Inputs!$C$33*EXP(-(((((Scenario_Data!T145)-Inputs!$C$34)^2)+(((Inputs!$C$6)-Inputs!$C$35)^2))/(2*Inputs!$C$36^2)))+Inputs!$C$37*(0.55*SIN(2*PI()*(Scenario_Data!T145)/Inputs!$C$39)+0.35*COS(2*PI()*(Inputs!$C$6)/Inputs!$C$40)+0.2*SIN(2*PI()*((Scenario_Data!T145)+(Inputs!$C$6))/(0.5*(Inputs!$C$39+Inputs!$C$40))))+Inputs!$C$38*SIN(2*PI()*(Scenario_Data!T145)/Inputs!$C$39)*SIN(2*PI()*(Inputs!$C$6)/Inputs!$C$40)+-Inputs!$C$41*EXP(-(((Inputs!$C$6)-Inputs!$C$43)^2)/(2*Inputs!$C$44^2))*EXP(-(((Scenario_Data!T145)-Inputs!$C$42)^2)/(2*Inputs!$C$45^2))+Inputs!$C$48*(0.7*(0.45*SIN(2*PI()*(((Scenario_Data!T145)/Inputs!$C$49)+Inputs!$C$47*0.137))+0.35*COS(2*PI()*(((Inputs!$C$6)/Inputs!$C$50)+Inputs!$C$47*0.173))+0.2*SIN(2*PI()*((((Scenario_Data!T145)+(Inputs!$C$6))/(0.5*(Inputs!$C$49+Inputs!$C$50)))+Inputs!$C$47*0.097)))+0.3*(2*((SIN(((Scenario_Data!T145)*12.9898+(Inputs!$C$6)*78.233+Inputs!$C$47*37.719))*43758.5453)-INT((SIN(((Scenario_Data!T145)*12.9898+(Inputs!$C$6)*78.233+Inputs!$C$47*37.719))*43758.5453)))-1))))/1000))^2-2*(Inputs!$C$52+(Scenario_Data!B145))*(Inputs!$C$52+((IF(OR(Inputs!$C$27=TRUE,Inputs!$C$27="TRUE",Inputs!$C$27=1),1,0)*(Inputs!$C$51*(115*EXP(-(((Inputs!$C$6)-25)^2)/(4.5^2))+70*EXP(-(((Inputs!$C$6)+38)^2)/(7^2))*(0.55+0.45*SIN(2*PI()*(Scenario_Data!T145)/45))+24*SIN(2*PI()*(Inputs!$C$6)/9+(Scenario_Data!T145)/18)*EXP(-(((Inputs!$C$6)+5)^2)/(22^2))+18*SIN(2*PI()*(Scenario_Data!T145)/70))+Inputs!$C$28*EXP(-(((Scenario_Data!T145)-Inputs!$C$29)^2)/(2*Inputs!$C$31^2))*EXP(-(((Inputs!$C$6)-Inputs!$C$30)^2)/(2*Inputs!$C$32^2))+-Inputs!$C$33*EXP(-(((((Scenario_Data!T145)-Inputs!$C$34)^2)+(((Inputs!$C$6)-Inputs!$C$35)^2))/(2*Inputs!$C$36^2)))+Inputs!$C$37*(0.55*SIN(2*PI()*(Scenario_Data!T145)/Inputs!$C$39)+0.35*COS(2*PI()*(Inputs!$C$6)/Inputs!$C$40)+0.2*SIN(2*PI()*((Scenario_Data!T145)+(Inputs!$C$6))/(0.5*(Inputs!$C$39+Inputs!$C$40))))+Inputs!$C$38*SIN(2*PI()*(Scenario_Data!T145)/Inputs!$C$39)*SIN(2*PI()*(Inputs!$C$6)/Inputs!$C$40)+-Inputs!$C$41*EXP(-(((Inputs!$C$6)-Inputs!$C$43)^2)/(2*Inputs!$C$44^2))*EXP(-(((Scenario_Data!T145)-Inputs!$C$42)^2)/(2*Inputs!$C$45^2))+Inputs!$C$48*(0.7*(0.45*SIN(2*PI()*(((Scenario_Data!T145)/Inputs!$C$49)+Inputs!$C$47*0.137))+0.35*COS(2*PI()*(((Inputs!$C$6)/Inputs!$C$50)+Inputs!$C$47*0.173))+0.2*SIN(2*PI()*((((Scenario_Data!T145)+(Inputs!$C$6))/(0.5*(Inputs!$C$49+Inputs!$C$50)))+Inputs!$C$47*0.097)))+0.3*(2*((SIN(((Scenario_Data!T145)*12.9898+(Inputs!$C$6)*78.233+Inputs!$C$47*37.719))*43758.5453)-INT((SIN(((Scenario_Data!T145)*12.9898+(Inputs!$C$6)*78.233+Inputs!$C$47*37.719))*43758.5453)))-1))))/1000))*COS(SQRT((Scenario_Data!T145)^2+Inputs!$C$6^2)/Inputs!$C$52))*1000)/Inputs!$C$21*1000000</f>
        <v/>
      </c>
      <c r="AR145">
        <f>Scenario_Data!U145</f>
        <v/>
      </c>
      <c r="AS145">
        <f>2*(SQRT((Inputs!$C$52+(Scenario_Data!C145))^2+(Inputs!$C$52+((IF(OR(Inputs!$C$27=TRUE,Inputs!$C$27="TRUE",Inputs!$C$27=1),1,0)*(Inputs!$C$51*(115*EXP(-(((Inputs!$C$6)-25)^2)/(4.5^2))+70*EXP(-(((Inputs!$C$6)+38)^2)/(7^2))*(0.55+0.45*SIN(2*PI()*(Scenario_Data!U145)/45))+24*SIN(2*PI()*(Inputs!$C$6)/9+(Scenario_Data!U145)/18)*EXP(-(((Inputs!$C$6)+5)^2)/(22^2))+18*SIN(2*PI()*(Scenario_Data!U145)/70))+Inputs!$C$28*EXP(-(((Scenario_Data!U145)-Inputs!$C$29)^2)/(2*Inputs!$C$31^2))*EXP(-(((Inputs!$C$6)-Inputs!$C$30)^2)/(2*Inputs!$C$32^2))+-Inputs!$C$33*EXP(-(((((Scenario_Data!U145)-Inputs!$C$34)^2)+(((Inputs!$C$6)-Inputs!$C$35)^2))/(2*Inputs!$C$36^2)))+Inputs!$C$37*(0.55*SIN(2*PI()*(Scenario_Data!U145)/Inputs!$C$39)+0.35*COS(2*PI()*(Inputs!$C$6)/Inputs!$C$40)+0.2*SIN(2*PI()*((Scenario_Data!U145)+(Inputs!$C$6))/(0.5*(Inputs!$C$39+Inputs!$C$40))))+Inputs!$C$38*SIN(2*PI()*(Scenario_Data!U145)/Inputs!$C$39)*SIN(2*PI()*(Inputs!$C$6)/Inputs!$C$40)+-Inputs!$C$41*EXP(-(((Inputs!$C$6)-Inputs!$C$43)^2)/(2*Inputs!$C$44^2))*EXP(-(((Scenario_Data!U145)-Inputs!$C$42)^2)/(2*Inputs!$C$45^2))+Inputs!$C$48*(0.7*(0.45*SIN(2*PI()*(((Scenario_Data!U145)/Inputs!$C$49)+Inputs!$C$47*0.137))+0.35*COS(2*PI()*(((Inputs!$C$6)/Inputs!$C$50)+Inputs!$C$47*0.173))+0.2*SIN(2*PI()*((((Scenario_Data!U145)+(Inputs!$C$6))/(0.5*(Inputs!$C$49+Inputs!$C$50)))+Inputs!$C$47*0.097)))+0.3*(2*((SIN(((Scenario_Data!U145)*12.9898+(Inputs!$C$6)*78.233+Inputs!$C$47*37.719))*43758.5453)-INT((SIN(((Scenario_Data!U145)*12.9898+(Inputs!$C$6)*78.233+Inputs!$C$47*37.719))*43758.5453)))-1))))/1000))^2-2*(Inputs!$C$52+(Scenario_Data!C145))*(Inputs!$C$52+((IF(OR(Inputs!$C$27=TRUE,Inputs!$C$27="TRUE",Inputs!$C$27=1),1,0)*(Inputs!$C$51*(115*EXP(-(((Inputs!$C$6)-25)^2)/(4.5^2))+70*EXP(-(((Inputs!$C$6)+38)^2)/(7^2))*(0.55+0.45*SIN(2*PI()*(Scenario_Data!U145)/45))+24*SIN(2*PI()*(Inputs!$C$6)/9+(Scenario_Data!U145)/18)*EXP(-(((Inputs!$C$6)+5)^2)/(22^2))+18*SIN(2*PI()*(Scenario_Data!U145)/70))+Inputs!$C$28*EXP(-(((Scenario_Data!U145)-Inputs!$C$29)^2)/(2*Inputs!$C$31^2))*EXP(-(((Inputs!$C$6)-Inputs!$C$30)^2)/(2*Inputs!$C$32^2))+-Inputs!$C$33*EXP(-(((((Scenario_Data!U145)-Inputs!$C$34)^2)+(((Inputs!$C$6)-Inputs!$C$35)^2))/(2*Inputs!$C$36^2)))+Inputs!$C$37*(0.55*SIN(2*PI()*(Scenario_Data!U145)/Inputs!$C$39)+0.35*COS(2*PI()*(Inputs!$C$6)/Inputs!$C$40)+0.2*SIN(2*PI()*((Scenario_Data!U145)+(Inputs!$C$6))/(0.5*(Inputs!$C$39+Inputs!$C$40))))+Inputs!$C$38*SIN(2*PI()*(Scenario_Data!U145)/Inputs!$C$39)*SIN(2*PI()*(Inputs!$C$6)/Inputs!$C$40)+-Inputs!$C$41*EXP(-(((Inputs!$C$6)-Inputs!$C$43)^2)/(2*Inputs!$C$44^2))*EXP(-(((Scenario_Data!U145)-Inputs!$C$42)^2)/(2*Inputs!$C$45^2))+Inputs!$C$48*(0.7*(0.45*SIN(2*PI()*(((Scenario_Data!U145)/Inputs!$C$49)+Inputs!$C$47*0.137))+0.35*COS(2*PI()*(((Inputs!$C$6)/Inputs!$C$50)+Inputs!$C$47*0.173))+0.2*SIN(2*PI()*((((Scenario_Data!U145)+(Inputs!$C$6))/(0.5*(Inputs!$C$49+Inputs!$C$50)))+Inputs!$C$47*0.097)))+0.3*(2*((SIN(((Scenario_Data!U145)*12.9898+(Inputs!$C$6)*78.233+Inputs!$C$47*37.719))*43758.5453)-INT((SIN(((Scenario_Data!U145)*12.9898+(Inputs!$C$6)*78.233+Inputs!$C$47*37.719))*43758.5453)))-1))))/1000))*COS(SQRT((Scenario_Data!U145)^2+Inputs!$C$6^2)/Inputs!$C$52))*1000)/Inputs!$C$21*1000000</f>
        <v/>
      </c>
      <c r="AT145">
        <f>Scenario_Data!V145</f>
        <v/>
      </c>
      <c r="AU145">
        <f>2*(SQRT((Inputs!$C$52+(Scenario_Data!D145))^2+(Inputs!$C$52+((IF(OR(Inputs!$C$27=TRUE,Inputs!$C$27="TRUE",Inputs!$C$27=1),1,0)*(Inputs!$C$51*(115*EXP(-(((Inputs!$C$6)-25)^2)/(4.5^2))+70*EXP(-(((Inputs!$C$6)+38)^2)/(7^2))*(0.55+0.45*SIN(2*PI()*(Scenario_Data!V145)/45))+24*SIN(2*PI()*(Inputs!$C$6)/9+(Scenario_Data!V145)/18)*EXP(-(((Inputs!$C$6)+5)^2)/(22^2))+18*SIN(2*PI()*(Scenario_Data!V145)/70))+Inputs!$C$28*EXP(-(((Scenario_Data!V145)-Inputs!$C$29)^2)/(2*Inputs!$C$31^2))*EXP(-(((Inputs!$C$6)-Inputs!$C$30)^2)/(2*Inputs!$C$32^2))+-Inputs!$C$33*EXP(-(((((Scenario_Data!V145)-Inputs!$C$34)^2)+(((Inputs!$C$6)-Inputs!$C$35)^2))/(2*Inputs!$C$36^2)))+Inputs!$C$37*(0.55*SIN(2*PI()*(Scenario_Data!V145)/Inputs!$C$39)+0.35*COS(2*PI()*(Inputs!$C$6)/Inputs!$C$40)+0.2*SIN(2*PI()*((Scenario_Data!V145)+(Inputs!$C$6))/(0.5*(Inputs!$C$39+Inputs!$C$40))))+Inputs!$C$38*SIN(2*PI()*(Scenario_Data!V145)/Inputs!$C$39)*SIN(2*PI()*(Inputs!$C$6)/Inputs!$C$40)+-Inputs!$C$41*EXP(-(((Inputs!$C$6)-Inputs!$C$43)^2)/(2*Inputs!$C$44^2))*EXP(-(((Scenario_Data!V145)-Inputs!$C$42)^2)/(2*Inputs!$C$45^2))+Inputs!$C$48*(0.7*(0.45*SIN(2*PI()*(((Scenario_Data!V145)/Inputs!$C$49)+Inputs!$C$47*0.137))+0.35*COS(2*PI()*(((Inputs!$C$6)/Inputs!$C$50)+Inputs!$C$47*0.173))+0.2*SIN(2*PI()*((((Scenario_Data!V145)+(Inputs!$C$6))/(0.5*(Inputs!$C$49+Inputs!$C$50)))+Inputs!$C$47*0.097)))+0.3*(2*((SIN(((Scenario_Data!V145)*12.9898+(Inputs!$C$6)*78.233+Inputs!$C$47*37.719))*43758.5453)-INT((SIN(((Scenario_Data!V145)*12.9898+(Inputs!$C$6)*78.233+Inputs!$C$47*37.719))*43758.5453)))-1))))/1000))^2-2*(Inputs!$C$52+(Scenario_Data!D145))*(Inputs!$C$52+((IF(OR(Inputs!$C$27=TRUE,Inputs!$C$27="TRUE",Inputs!$C$27=1),1,0)*(Inputs!$C$51*(115*EXP(-(((Inputs!$C$6)-25)^2)/(4.5^2))+70*EXP(-(((Inputs!$C$6)+38)^2)/(7^2))*(0.55+0.45*SIN(2*PI()*(Scenario_Data!V145)/45))+24*SIN(2*PI()*(Inputs!$C$6)/9+(Scenario_Data!V145)/18)*EXP(-(((Inputs!$C$6)+5)^2)/(22^2))+18*SIN(2*PI()*(Scenario_Data!V145)/70))+Inputs!$C$28*EXP(-(((Scenario_Data!V145)-Inputs!$C$29)^2)/(2*Inputs!$C$31^2))*EXP(-(((Inputs!$C$6)-Inputs!$C$30)^2)/(2*Inputs!$C$32^2))+-Inputs!$C$33*EXP(-(((((Scenario_Data!V145)-Inputs!$C$34)^2)+(((Inputs!$C$6)-Inputs!$C$35)^2))/(2*Inputs!$C$36^2)))+Inputs!$C$37*(0.55*SIN(2*PI()*(Scenario_Data!V145)/Inputs!$C$39)+0.35*COS(2*PI()*(Inputs!$C$6)/Inputs!$C$40)+0.2*SIN(2*PI()*((Scenario_Data!V145)+(Inputs!$C$6))/(0.5*(Inputs!$C$39+Inputs!$C$40))))+Inputs!$C$38*SIN(2*PI()*(Scenario_Data!V145)/Inputs!$C$39)*SIN(2*PI()*(Inputs!$C$6)/Inputs!$C$40)+-Inputs!$C$41*EXP(-(((Inputs!$C$6)-Inputs!$C$43)^2)/(2*Inputs!$C$44^2))*EXP(-(((Scenario_Data!V145)-Inputs!$C$42)^2)/(2*Inputs!$C$45^2))+Inputs!$C$48*(0.7*(0.45*SIN(2*PI()*(((Scenario_Data!V145)/Inputs!$C$49)+Inputs!$C$47*0.137))+0.35*COS(2*PI()*(((Inputs!$C$6)/Inputs!$C$50)+Inputs!$C$47*0.173))+0.2*SIN(2*PI()*((((Scenario_Data!V145)+(Inputs!$C$6))/(0.5*(Inputs!$C$49+Inputs!$C$50)))+Inputs!$C$47*0.097)))+0.3*(2*((SIN(((Scenario_Data!V145)*12.9898+(Inputs!$C$6)*78.233+Inputs!$C$47*37.719))*43758.5453)-INT((SIN(((Scenario_Data!V145)*12.9898+(Inputs!$C$6)*78.233+Inputs!$C$47*37.719))*43758.5453)))-1))))/1000))*COS(SQRT((Scenario_Data!V145)^2+Inputs!$C$6^2)/Inputs!$C$52))*1000)/Inputs!$C$21*1000000</f>
        <v/>
      </c>
      <c r="AV145">
        <f>Scenario_Data!W145</f>
        <v/>
      </c>
      <c r="AW145">
        <f>2*(SQRT((Inputs!$C$52+(Scenario_Data!E145))^2+(Inputs!$C$52+((IF(OR(Inputs!$C$27=TRUE,Inputs!$C$27="TRUE",Inputs!$C$27=1),1,0)*(Inputs!$C$51*(115*EXP(-(((Inputs!$C$6)-25)^2)/(4.5^2))+70*EXP(-(((Inputs!$C$6)+38)^2)/(7^2))*(0.55+0.45*SIN(2*PI()*(Scenario_Data!W145)/45))+24*SIN(2*PI()*(Inputs!$C$6)/9+(Scenario_Data!W145)/18)*EXP(-(((Inputs!$C$6)+5)^2)/(22^2))+18*SIN(2*PI()*(Scenario_Data!W145)/70))+Inputs!$C$28*EXP(-(((Scenario_Data!W145)-Inputs!$C$29)^2)/(2*Inputs!$C$31^2))*EXP(-(((Inputs!$C$6)-Inputs!$C$30)^2)/(2*Inputs!$C$32^2))+-Inputs!$C$33*EXP(-(((((Scenario_Data!W145)-Inputs!$C$34)^2)+(((Inputs!$C$6)-Inputs!$C$35)^2))/(2*Inputs!$C$36^2)))+Inputs!$C$37*(0.55*SIN(2*PI()*(Scenario_Data!W145)/Inputs!$C$39)+0.35*COS(2*PI()*(Inputs!$C$6)/Inputs!$C$40)+0.2*SIN(2*PI()*((Scenario_Data!W145)+(Inputs!$C$6))/(0.5*(Inputs!$C$39+Inputs!$C$40))))+Inputs!$C$38*SIN(2*PI()*(Scenario_Data!W145)/Inputs!$C$39)*SIN(2*PI()*(Inputs!$C$6)/Inputs!$C$40)+-Inputs!$C$41*EXP(-(((Inputs!$C$6)-Inputs!$C$43)^2)/(2*Inputs!$C$44^2))*EXP(-(((Scenario_Data!W145)-Inputs!$C$42)^2)/(2*Inputs!$C$45^2))+Inputs!$C$48*(0.7*(0.45*SIN(2*PI()*(((Scenario_Data!W145)/Inputs!$C$49)+Inputs!$C$47*0.137))+0.35*COS(2*PI()*(((Inputs!$C$6)/Inputs!$C$50)+Inputs!$C$47*0.173))+0.2*SIN(2*PI()*((((Scenario_Data!W145)+(Inputs!$C$6))/(0.5*(Inputs!$C$49+Inputs!$C$50)))+Inputs!$C$47*0.097)))+0.3*(2*((SIN(((Scenario_Data!W145)*12.9898+(Inputs!$C$6)*78.233+Inputs!$C$47*37.719))*43758.5453)-INT((SIN(((Scenario_Data!W145)*12.9898+(Inputs!$C$6)*78.233+Inputs!$C$47*37.719))*43758.5453)))-1))))/1000))^2-2*(Inputs!$C$52+(Scenario_Data!E145))*(Inputs!$C$52+((IF(OR(Inputs!$C$27=TRUE,Inputs!$C$27="TRUE",Inputs!$C$27=1),1,0)*(Inputs!$C$51*(115*EXP(-(((Inputs!$C$6)-25)^2)/(4.5^2))+70*EXP(-(((Inputs!$C$6)+38)^2)/(7^2))*(0.55+0.45*SIN(2*PI()*(Scenario_Data!W145)/45))+24*SIN(2*PI()*(Inputs!$C$6)/9+(Scenario_Data!W145)/18)*EXP(-(((Inputs!$C$6)+5)^2)/(22^2))+18*SIN(2*PI()*(Scenario_Data!W145)/70))+Inputs!$C$28*EXP(-(((Scenario_Data!W145)-Inputs!$C$29)^2)/(2*Inputs!$C$31^2))*EXP(-(((Inputs!$C$6)-Inputs!$C$30)^2)/(2*Inputs!$C$32^2))+-Inputs!$C$33*EXP(-(((((Scenario_Data!W145)-Inputs!$C$34)^2)+(((Inputs!$C$6)-Inputs!$C$35)^2))/(2*Inputs!$C$36^2)))+Inputs!$C$37*(0.55*SIN(2*PI()*(Scenario_Data!W145)/Inputs!$C$39)+0.35*COS(2*PI()*(Inputs!$C$6)/Inputs!$C$40)+0.2*SIN(2*PI()*((Scenario_Data!W145)+(Inputs!$C$6))/(0.5*(Inputs!$C$39+Inputs!$C$40))))+Inputs!$C$38*SIN(2*PI()*(Scenario_Data!W145)/Inputs!$C$39)*SIN(2*PI()*(Inputs!$C$6)/Inputs!$C$40)+-Inputs!$C$41*EXP(-(((Inputs!$C$6)-Inputs!$C$43)^2)/(2*Inputs!$C$44^2))*EXP(-(((Scenario_Data!W145)-Inputs!$C$42)^2)/(2*Inputs!$C$45^2))+Inputs!$C$48*(0.7*(0.45*SIN(2*PI()*(((Scenario_Data!W145)/Inputs!$C$49)+Inputs!$C$47*0.137))+0.35*COS(2*PI()*(((Inputs!$C$6)/Inputs!$C$50)+Inputs!$C$47*0.173))+0.2*SIN(2*PI()*((((Scenario_Data!W145)+(Inputs!$C$6))/(0.5*(Inputs!$C$49+Inputs!$C$50)))+Inputs!$C$47*0.097)))+0.3*(2*((SIN(((Scenario_Data!W145)*12.9898+(Inputs!$C$6)*78.233+Inputs!$C$47*37.719))*43758.5453)-INT((SIN(((Scenario_Data!W145)*12.9898+(Inputs!$C$6)*78.233+Inputs!$C$47*37.719))*43758.5453)))-1))))/1000))*COS(SQRT((Scenario_Data!W145)^2+Inputs!$C$6^2)/Inputs!$C$52))*1000)/Inputs!$C$21*1000000</f>
        <v/>
      </c>
    </row>
    <row r="146">
      <c r="A146">
        <f>Chart_Data!K146</f>
        <v/>
      </c>
      <c r="B146">
        <f>Chart_Data!N146-Chart_Data!L146</f>
        <v/>
      </c>
      <c r="D146">
        <f>Chart_Data!G146</f>
        <v/>
      </c>
      <c r="E146">
        <f>Chart_Data!H146</f>
        <v/>
      </c>
      <c r="F146">
        <f>Chart_Data!I146</f>
        <v/>
      </c>
      <c r="G146">
        <f>Chart_Data!J146</f>
        <v/>
      </c>
      <c r="I146">
        <f>Scenario_Data!A146</f>
        <v/>
      </c>
      <c r="J146">
        <f>Scenario_Data!H146-(((SQRT((Inputs!$C$52+(Inputs!$H$6))^2+Inputs!$C$52^2-2*(Inputs!$C$52+(Inputs!$H$6))*Inputs!$C$52*COS(SQRT((Scenario_Data!T146)^2+Inputs!$C$6^2)/Inputs!$C$52)))-(Inputs!$H$6))*1000/Inputs!$C$12)</f>
        <v/>
      </c>
      <c r="K146">
        <f>Scenario_Data!I146-(((SQRT((Inputs!$C$52+(Inputs!$H$7))^2+Inputs!$C$52^2-2*(Inputs!$C$52+(Inputs!$H$7))*Inputs!$C$52*COS(SQRT((Scenario_Data!U146)^2+Inputs!$C$6^2)/Inputs!$C$52)))-(Inputs!$H$7))*1000/Inputs!$C$12)</f>
        <v/>
      </c>
      <c r="L146">
        <f>Scenario_Data!J146-(((SQRT((Inputs!$C$52+(Inputs!$H$8))^2+Inputs!$C$52^2-2*(Inputs!$C$52+(Inputs!$H$8))*Inputs!$C$52*COS(SQRT((Scenario_Data!V146)^2+Inputs!$C$6^2)/Inputs!$C$52)))-(Inputs!$H$8))*1000/Inputs!$C$12)</f>
        <v/>
      </c>
      <c r="M146">
        <f>Scenario_Data!K146-(((SQRT((Inputs!$C$52+(Inputs!$H$9))^2+Inputs!$C$52^2-2*(Inputs!$C$52+(Inputs!$H$9))*Inputs!$C$52*COS(SQRT((Scenario_Data!W146)^2+Inputs!$C$6^2)/Inputs!$C$52)))-(Inputs!$H$9))*1000/Inputs!$C$12)</f>
        <v/>
      </c>
      <c r="O146">
        <f>Scenario_Data!T146</f>
        <v/>
      </c>
      <c r="P146">
        <f>2*(Scenario_Data!B146*1000)/Inputs!$C$21*1000000</f>
        <v/>
      </c>
      <c r="Q146">
        <f>Scenario_Data!U146</f>
        <v/>
      </c>
      <c r="R146">
        <f>2*(Scenario_Data!C146*1000)/Inputs!$C$21*1000000</f>
        <v/>
      </c>
      <c r="S146">
        <f>Scenario_Data!V146</f>
        <v/>
      </c>
      <c r="T146">
        <f>2*(Scenario_Data!D146*1000)/Inputs!$C$21*1000000</f>
        <v/>
      </c>
      <c r="U146">
        <f>Scenario_Data!W146</f>
        <v/>
      </c>
      <c r="V146">
        <f>2*(Scenario_Data!E146*1000)/Inputs!$C$21*1000000</f>
        <v/>
      </c>
      <c r="X146">
        <f>Scenario_Data!T146</f>
        <v/>
      </c>
      <c r="Y146">
        <f>2*((Scenario_Data!B146*1000)-(IF(OR(Inputs!$C$27=TRUE,Inputs!$C$27="TRUE",Inputs!$C$27=1),1,0)*(Inputs!$C$51*(115*EXP(-(((0)-25)^2)/(4.5^2))+70*EXP(-(((0)+38)^2)/(7^2))*(0.55+0.45*SIN(2*PI()*(Scenario_Data!T146)/45))+24*SIN(2*PI()*(0)/9+(Scenario_Data!T146)/18)*EXP(-(((0)+5)^2)/(22^2))+18*SIN(2*PI()*(Scenario_Data!T146)/70))+Inputs!$C$28*EXP(-(((Scenario_Data!T146)-Inputs!$C$29)^2)/(2*Inputs!$C$31^2))*EXP(-(((0)-Inputs!$C$30)^2)/(2*Inputs!$C$32^2))+-Inputs!$C$33*EXP(-(((((Scenario_Data!T146)-Inputs!$C$34)^2)+(((0)-Inputs!$C$35)^2))/(2*Inputs!$C$36^2)))+Inputs!$C$37*(0.55*SIN(2*PI()*(Scenario_Data!T146)/Inputs!$C$39)+0.35*COS(2*PI()*(0)/Inputs!$C$40)+0.2*SIN(2*PI()*((Scenario_Data!T146)+(0))/(0.5*(Inputs!$C$39+Inputs!$C$40))))+Inputs!$C$38*SIN(2*PI()*(Scenario_Data!T146)/Inputs!$C$39)*SIN(2*PI()*(0)/Inputs!$C$40)+-Inputs!$C$41*EXP(-(((0)-Inputs!$C$43)^2)/(2*Inputs!$C$44^2))*EXP(-(((Scenario_Data!T146)-Inputs!$C$42)^2)/(2*Inputs!$C$45^2))+Inputs!$C$48*(0.7*(0.45*SIN(2*PI()*(((Scenario_Data!T146)/Inputs!$C$49)+Inputs!$C$47*0.137))+0.35*COS(2*PI()*(((0)/Inputs!$C$50)+Inputs!$C$47*0.173))+0.2*SIN(2*PI()*((((Scenario_Data!T146)+(0))/(0.5*(Inputs!$C$49+Inputs!$C$50)))+Inputs!$C$47*0.097)))+0.3*(2*((SIN(((Scenario_Data!T146)*12.9898+(0)*78.233+Inputs!$C$47*37.719))*43758.5453)-INT((SIN(((Scenario_Data!T146)*12.9898+(0)*78.233+Inputs!$C$47*37.719))*43758.5453)))-1)))))/Inputs!$C$21*1000000</f>
        <v/>
      </c>
      <c r="Z146">
        <f>Scenario_Data!U146</f>
        <v/>
      </c>
      <c r="AA146">
        <f>2*((Scenario_Data!C146*1000)-(IF(OR(Inputs!$C$27=TRUE,Inputs!$C$27="TRUE",Inputs!$C$27=1),1,0)*(Inputs!$C$51*(115*EXP(-(((0)-25)^2)/(4.5^2))+70*EXP(-(((0)+38)^2)/(7^2))*(0.55+0.45*SIN(2*PI()*(Scenario_Data!U146)/45))+24*SIN(2*PI()*(0)/9+(Scenario_Data!U146)/18)*EXP(-(((0)+5)^2)/(22^2))+18*SIN(2*PI()*(Scenario_Data!U146)/70))+Inputs!$C$28*EXP(-(((Scenario_Data!U146)-Inputs!$C$29)^2)/(2*Inputs!$C$31^2))*EXP(-(((0)-Inputs!$C$30)^2)/(2*Inputs!$C$32^2))+-Inputs!$C$33*EXP(-(((((Scenario_Data!U146)-Inputs!$C$34)^2)+(((0)-Inputs!$C$35)^2))/(2*Inputs!$C$36^2)))+Inputs!$C$37*(0.55*SIN(2*PI()*(Scenario_Data!U146)/Inputs!$C$39)+0.35*COS(2*PI()*(0)/Inputs!$C$40)+0.2*SIN(2*PI()*((Scenario_Data!U146)+(0))/(0.5*(Inputs!$C$39+Inputs!$C$40))))+Inputs!$C$38*SIN(2*PI()*(Scenario_Data!U146)/Inputs!$C$39)*SIN(2*PI()*(0)/Inputs!$C$40)+-Inputs!$C$41*EXP(-(((0)-Inputs!$C$43)^2)/(2*Inputs!$C$44^2))*EXP(-(((Scenario_Data!U146)-Inputs!$C$42)^2)/(2*Inputs!$C$45^2))+Inputs!$C$48*(0.7*(0.45*SIN(2*PI()*(((Scenario_Data!U146)/Inputs!$C$49)+Inputs!$C$47*0.137))+0.35*COS(2*PI()*(((0)/Inputs!$C$50)+Inputs!$C$47*0.173))+0.2*SIN(2*PI()*((((Scenario_Data!U146)+(0))/(0.5*(Inputs!$C$49+Inputs!$C$50)))+Inputs!$C$47*0.097)))+0.3*(2*((SIN(((Scenario_Data!U146)*12.9898+(0)*78.233+Inputs!$C$47*37.719))*43758.5453)-INT((SIN(((Scenario_Data!U146)*12.9898+(0)*78.233+Inputs!$C$47*37.719))*43758.5453)))-1)))))/Inputs!$C$21*1000000</f>
        <v/>
      </c>
      <c r="AB146">
        <f>Scenario_Data!V146</f>
        <v/>
      </c>
      <c r="AC146">
        <f>2*((Scenario_Data!D146*1000)-(IF(OR(Inputs!$C$27=TRUE,Inputs!$C$27="TRUE",Inputs!$C$27=1),1,0)*(Inputs!$C$51*(115*EXP(-(((0)-25)^2)/(4.5^2))+70*EXP(-(((0)+38)^2)/(7^2))*(0.55+0.45*SIN(2*PI()*(Scenario_Data!V146)/45))+24*SIN(2*PI()*(0)/9+(Scenario_Data!V146)/18)*EXP(-(((0)+5)^2)/(22^2))+18*SIN(2*PI()*(Scenario_Data!V146)/70))+Inputs!$C$28*EXP(-(((Scenario_Data!V146)-Inputs!$C$29)^2)/(2*Inputs!$C$31^2))*EXP(-(((0)-Inputs!$C$30)^2)/(2*Inputs!$C$32^2))+-Inputs!$C$33*EXP(-(((((Scenario_Data!V146)-Inputs!$C$34)^2)+(((0)-Inputs!$C$35)^2))/(2*Inputs!$C$36^2)))+Inputs!$C$37*(0.55*SIN(2*PI()*(Scenario_Data!V146)/Inputs!$C$39)+0.35*COS(2*PI()*(0)/Inputs!$C$40)+0.2*SIN(2*PI()*((Scenario_Data!V146)+(0))/(0.5*(Inputs!$C$39+Inputs!$C$40))))+Inputs!$C$38*SIN(2*PI()*(Scenario_Data!V146)/Inputs!$C$39)*SIN(2*PI()*(0)/Inputs!$C$40)+-Inputs!$C$41*EXP(-(((0)-Inputs!$C$43)^2)/(2*Inputs!$C$44^2))*EXP(-(((Scenario_Data!V146)-Inputs!$C$42)^2)/(2*Inputs!$C$45^2))+Inputs!$C$48*(0.7*(0.45*SIN(2*PI()*(((Scenario_Data!V146)/Inputs!$C$49)+Inputs!$C$47*0.137))+0.35*COS(2*PI()*(((0)/Inputs!$C$50)+Inputs!$C$47*0.173))+0.2*SIN(2*PI()*((((Scenario_Data!V146)+(0))/(0.5*(Inputs!$C$49+Inputs!$C$50)))+Inputs!$C$47*0.097)))+0.3*(2*((SIN(((Scenario_Data!V146)*12.9898+(0)*78.233+Inputs!$C$47*37.719))*43758.5453)-INT((SIN(((Scenario_Data!V146)*12.9898+(0)*78.233+Inputs!$C$47*37.719))*43758.5453)))-1)))))/Inputs!$C$21*1000000</f>
        <v/>
      </c>
      <c r="AD146">
        <f>Scenario_Data!W146</f>
        <v/>
      </c>
      <c r="AE146">
        <f>2*((Scenario_Data!E146*1000)-(IF(OR(Inputs!$C$27=TRUE,Inputs!$C$27="TRUE",Inputs!$C$27=1),1,0)*(Inputs!$C$51*(115*EXP(-(((0)-25)^2)/(4.5^2))+70*EXP(-(((0)+38)^2)/(7^2))*(0.55+0.45*SIN(2*PI()*(Scenario_Data!W146)/45))+24*SIN(2*PI()*(0)/9+(Scenario_Data!W146)/18)*EXP(-(((0)+5)^2)/(22^2))+18*SIN(2*PI()*(Scenario_Data!W146)/70))+Inputs!$C$28*EXP(-(((Scenario_Data!W146)-Inputs!$C$29)^2)/(2*Inputs!$C$31^2))*EXP(-(((0)-Inputs!$C$30)^2)/(2*Inputs!$C$32^2))+-Inputs!$C$33*EXP(-(((((Scenario_Data!W146)-Inputs!$C$34)^2)+(((0)-Inputs!$C$35)^2))/(2*Inputs!$C$36^2)))+Inputs!$C$37*(0.55*SIN(2*PI()*(Scenario_Data!W146)/Inputs!$C$39)+0.35*COS(2*PI()*(0)/Inputs!$C$40)+0.2*SIN(2*PI()*((Scenario_Data!W146)+(0))/(0.5*(Inputs!$C$39+Inputs!$C$40))))+Inputs!$C$38*SIN(2*PI()*(Scenario_Data!W146)/Inputs!$C$39)*SIN(2*PI()*(0)/Inputs!$C$40)+-Inputs!$C$41*EXP(-(((0)-Inputs!$C$43)^2)/(2*Inputs!$C$44^2))*EXP(-(((Scenario_Data!W146)-Inputs!$C$42)^2)/(2*Inputs!$C$45^2))+Inputs!$C$48*(0.7*(0.45*SIN(2*PI()*(((Scenario_Data!W146)/Inputs!$C$49)+Inputs!$C$47*0.137))+0.35*COS(2*PI()*(((0)/Inputs!$C$50)+Inputs!$C$47*0.173))+0.2*SIN(2*PI()*((((Scenario_Data!W146)+(0))/(0.5*(Inputs!$C$49+Inputs!$C$50)))+Inputs!$C$47*0.097)))+0.3*(2*((SIN(((Scenario_Data!W146)*12.9898+(0)*78.233+Inputs!$C$47*37.719))*43758.5453)-INT((SIN(((Scenario_Data!W146)*12.9898+(0)*78.233+Inputs!$C$47*37.719))*43758.5453)))-1)))))/Inputs!$C$21*1000000</f>
        <v/>
      </c>
      <c r="AG146">
        <f>Scenario_Data!T146</f>
        <v/>
      </c>
      <c r="AH146">
        <f>2*(SQRT((Inputs!$C$52+(Scenario_Data!B146))^2+Inputs!$C$52^2-2*(Inputs!$C$52+(Scenario_Data!B146))*Inputs!$C$52*COS(SQRT((Scenario_Data!T146)^2+Inputs!$C$6^2)/Inputs!$C$52))*1000)/Inputs!$C$21*1000000</f>
        <v/>
      </c>
      <c r="AI146">
        <f>Scenario_Data!U146</f>
        <v/>
      </c>
      <c r="AJ146">
        <f>2*(SQRT((Inputs!$C$52+(Scenario_Data!C146))^2+Inputs!$C$52^2-2*(Inputs!$C$52+(Scenario_Data!C146))*Inputs!$C$52*COS(SQRT((Scenario_Data!U146)^2+Inputs!$C$6^2)/Inputs!$C$52))*1000)/Inputs!$C$21*1000000</f>
        <v/>
      </c>
      <c r="AK146">
        <f>Scenario_Data!V146</f>
        <v/>
      </c>
      <c r="AL146">
        <f>2*(SQRT((Inputs!$C$52+(Scenario_Data!D146))^2+Inputs!$C$52^2-2*(Inputs!$C$52+(Scenario_Data!D146))*Inputs!$C$52*COS(SQRT((Scenario_Data!V146)^2+Inputs!$C$6^2)/Inputs!$C$52))*1000)/Inputs!$C$21*1000000</f>
        <v/>
      </c>
      <c r="AM146">
        <f>Scenario_Data!W146</f>
        <v/>
      </c>
      <c r="AN146">
        <f>2*(SQRT((Inputs!$C$52+(Scenario_Data!E146))^2+Inputs!$C$52^2-2*(Inputs!$C$52+(Scenario_Data!E146))*Inputs!$C$52*COS(SQRT((Scenario_Data!W146)^2+Inputs!$C$6^2)/Inputs!$C$52))*1000)/Inputs!$C$21*1000000</f>
        <v/>
      </c>
      <c r="AP146">
        <f>Scenario_Data!T146</f>
        <v/>
      </c>
      <c r="AQ146">
        <f>2*(SQRT((Inputs!$C$52+(Scenario_Data!B146))^2+(Inputs!$C$52+((IF(OR(Inputs!$C$27=TRUE,Inputs!$C$27="TRUE",Inputs!$C$27=1),1,0)*(Inputs!$C$51*(115*EXP(-(((Inputs!$C$6)-25)^2)/(4.5^2))+70*EXP(-(((Inputs!$C$6)+38)^2)/(7^2))*(0.55+0.45*SIN(2*PI()*(Scenario_Data!T146)/45))+24*SIN(2*PI()*(Inputs!$C$6)/9+(Scenario_Data!T146)/18)*EXP(-(((Inputs!$C$6)+5)^2)/(22^2))+18*SIN(2*PI()*(Scenario_Data!T146)/70))+Inputs!$C$28*EXP(-(((Scenario_Data!T146)-Inputs!$C$29)^2)/(2*Inputs!$C$31^2))*EXP(-(((Inputs!$C$6)-Inputs!$C$30)^2)/(2*Inputs!$C$32^2))+-Inputs!$C$33*EXP(-(((((Scenario_Data!T146)-Inputs!$C$34)^2)+(((Inputs!$C$6)-Inputs!$C$35)^2))/(2*Inputs!$C$36^2)))+Inputs!$C$37*(0.55*SIN(2*PI()*(Scenario_Data!T146)/Inputs!$C$39)+0.35*COS(2*PI()*(Inputs!$C$6)/Inputs!$C$40)+0.2*SIN(2*PI()*((Scenario_Data!T146)+(Inputs!$C$6))/(0.5*(Inputs!$C$39+Inputs!$C$40))))+Inputs!$C$38*SIN(2*PI()*(Scenario_Data!T146)/Inputs!$C$39)*SIN(2*PI()*(Inputs!$C$6)/Inputs!$C$40)+-Inputs!$C$41*EXP(-(((Inputs!$C$6)-Inputs!$C$43)^2)/(2*Inputs!$C$44^2))*EXP(-(((Scenario_Data!T146)-Inputs!$C$42)^2)/(2*Inputs!$C$45^2))+Inputs!$C$48*(0.7*(0.45*SIN(2*PI()*(((Scenario_Data!T146)/Inputs!$C$49)+Inputs!$C$47*0.137))+0.35*COS(2*PI()*(((Inputs!$C$6)/Inputs!$C$50)+Inputs!$C$47*0.173))+0.2*SIN(2*PI()*((((Scenario_Data!T146)+(Inputs!$C$6))/(0.5*(Inputs!$C$49+Inputs!$C$50)))+Inputs!$C$47*0.097)))+0.3*(2*((SIN(((Scenario_Data!T146)*12.9898+(Inputs!$C$6)*78.233+Inputs!$C$47*37.719))*43758.5453)-INT((SIN(((Scenario_Data!T146)*12.9898+(Inputs!$C$6)*78.233+Inputs!$C$47*37.719))*43758.5453)))-1))))/1000))^2-2*(Inputs!$C$52+(Scenario_Data!B146))*(Inputs!$C$52+((IF(OR(Inputs!$C$27=TRUE,Inputs!$C$27="TRUE",Inputs!$C$27=1),1,0)*(Inputs!$C$51*(115*EXP(-(((Inputs!$C$6)-25)^2)/(4.5^2))+70*EXP(-(((Inputs!$C$6)+38)^2)/(7^2))*(0.55+0.45*SIN(2*PI()*(Scenario_Data!T146)/45))+24*SIN(2*PI()*(Inputs!$C$6)/9+(Scenario_Data!T146)/18)*EXP(-(((Inputs!$C$6)+5)^2)/(22^2))+18*SIN(2*PI()*(Scenario_Data!T146)/70))+Inputs!$C$28*EXP(-(((Scenario_Data!T146)-Inputs!$C$29)^2)/(2*Inputs!$C$31^2))*EXP(-(((Inputs!$C$6)-Inputs!$C$30)^2)/(2*Inputs!$C$32^2))+-Inputs!$C$33*EXP(-(((((Scenario_Data!T146)-Inputs!$C$34)^2)+(((Inputs!$C$6)-Inputs!$C$35)^2))/(2*Inputs!$C$36^2)))+Inputs!$C$37*(0.55*SIN(2*PI()*(Scenario_Data!T146)/Inputs!$C$39)+0.35*COS(2*PI()*(Inputs!$C$6)/Inputs!$C$40)+0.2*SIN(2*PI()*((Scenario_Data!T146)+(Inputs!$C$6))/(0.5*(Inputs!$C$39+Inputs!$C$40))))+Inputs!$C$38*SIN(2*PI()*(Scenario_Data!T146)/Inputs!$C$39)*SIN(2*PI()*(Inputs!$C$6)/Inputs!$C$40)+-Inputs!$C$41*EXP(-(((Inputs!$C$6)-Inputs!$C$43)^2)/(2*Inputs!$C$44^2))*EXP(-(((Scenario_Data!T146)-Inputs!$C$42)^2)/(2*Inputs!$C$45^2))+Inputs!$C$48*(0.7*(0.45*SIN(2*PI()*(((Scenario_Data!T146)/Inputs!$C$49)+Inputs!$C$47*0.137))+0.35*COS(2*PI()*(((Inputs!$C$6)/Inputs!$C$50)+Inputs!$C$47*0.173))+0.2*SIN(2*PI()*((((Scenario_Data!T146)+(Inputs!$C$6))/(0.5*(Inputs!$C$49+Inputs!$C$50)))+Inputs!$C$47*0.097)))+0.3*(2*((SIN(((Scenario_Data!T146)*12.9898+(Inputs!$C$6)*78.233+Inputs!$C$47*37.719))*43758.5453)-INT((SIN(((Scenario_Data!T146)*12.9898+(Inputs!$C$6)*78.233+Inputs!$C$47*37.719))*43758.5453)))-1))))/1000))*COS(SQRT((Scenario_Data!T146)^2+Inputs!$C$6^2)/Inputs!$C$52))*1000)/Inputs!$C$21*1000000</f>
        <v/>
      </c>
      <c r="AR146">
        <f>Scenario_Data!U146</f>
        <v/>
      </c>
      <c r="AS146">
        <f>2*(SQRT((Inputs!$C$52+(Scenario_Data!C146))^2+(Inputs!$C$52+((IF(OR(Inputs!$C$27=TRUE,Inputs!$C$27="TRUE",Inputs!$C$27=1),1,0)*(Inputs!$C$51*(115*EXP(-(((Inputs!$C$6)-25)^2)/(4.5^2))+70*EXP(-(((Inputs!$C$6)+38)^2)/(7^2))*(0.55+0.45*SIN(2*PI()*(Scenario_Data!U146)/45))+24*SIN(2*PI()*(Inputs!$C$6)/9+(Scenario_Data!U146)/18)*EXP(-(((Inputs!$C$6)+5)^2)/(22^2))+18*SIN(2*PI()*(Scenario_Data!U146)/70))+Inputs!$C$28*EXP(-(((Scenario_Data!U146)-Inputs!$C$29)^2)/(2*Inputs!$C$31^2))*EXP(-(((Inputs!$C$6)-Inputs!$C$30)^2)/(2*Inputs!$C$32^2))+-Inputs!$C$33*EXP(-(((((Scenario_Data!U146)-Inputs!$C$34)^2)+(((Inputs!$C$6)-Inputs!$C$35)^2))/(2*Inputs!$C$36^2)))+Inputs!$C$37*(0.55*SIN(2*PI()*(Scenario_Data!U146)/Inputs!$C$39)+0.35*COS(2*PI()*(Inputs!$C$6)/Inputs!$C$40)+0.2*SIN(2*PI()*((Scenario_Data!U146)+(Inputs!$C$6))/(0.5*(Inputs!$C$39+Inputs!$C$40))))+Inputs!$C$38*SIN(2*PI()*(Scenario_Data!U146)/Inputs!$C$39)*SIN(2*PI()*(Inputs!$C$6)/Inputs!$C$40)+-Inputs!$C$41*EXP(-(((Inputs!$C$6)-Inputs!$C$43)^2)/(2*Inputs!$C$44^2))*EXP(-(((Scenario_Data!U146)-Inputs!$C$42)^2)/(2*Inputs!$C$45^2))+Inputs!$C$48*(0.7*(0.45*SIN(2*PI()*(((Scenario_Data!U146)/Inputs!$C$49)+Inputs!$C$47*0.137))+0.35*COS(2*PI()*(((Inputs!$C$6)/Inputs!$C$50)+Inputs!$C$47*0.173))+0.2*SIN(2*PI()*((((Scenario_Data!U146)+(Inputs!$C$6))/(0.5*(Inputs!$C$49+Inputs!$C$50)))+Inputs!$C$47*0.097)))+0.3*(2*((SIN(((Scenario_Data!U146)*12.9898+(Inputs!$C$6)*78.233+Inputs!$C$47*37.719))*43758.5453)-INT((SIN(((Scenario_Data!U146)*12.9898+(Inputs!$C$6)*78.233+Inputs!$C$47*37.719))*43758.5453)))-1))))/1000))^2-2*(Inputs!$C$52+(Scenario_Data!C146))*(Inputs!$C$52+((IF(OR(Inputs!$C$27=TRUE,Inputs!$C$27="TRUE",Inputs!$C$27=1),1,0)*(Inputs!$C$51*(115*EXP(-(((Inputs!$C$6)-25)^2)/(4.5^2))+70*EXP(-(((Inputs!$C$6)+38)^2)/(7^2))*(0.55+0.45*SIN(2*PI()*(Scenario_Data!U146)/45))+24*SIN(2*PI()*(Inputs!$C$6)/9+(Scenario_Data!U146)/18)*EXP(-(((Inputs!$C$6)+5)^2)/(22^2))+18*SIN(2*PI()*(Scenario_Data!U146)/70))+Inputs!$C$28*EXP(-(((Scenario_Data!U146)-Inputs!$C$29)^2)/(2*Inputs!$C$31^2))*EXP(-(((Inputs!$C$6)-Inputs!$C$30)^2)/(2*Inputs!$C$32^2))+-Inputs!$C$33*EXP(-(((((Scenario_Data!U146)-Inputs!$C$34)^2)+(((Inputs!$C$6)-Inputs!$C$35)^2))/(2*Inputs!$C$36^2)))+Inputs!$C$37*(0.55*SIN(2*PI()*(Scenario_Data!U146)/Inputs!$C$39)+0.35*COS(2*PI()*(Inputs!$C$6)/Inputs!$C$40)+0.2*SIN(2*PI()*((Scenario_Data!U146)+(Inputs!$C$6))/(0.5*(Inputs!$C$39+Inputs!$C$40))))+Inputs!$C$38*SIN(2*PI()*(Scenario_Data!U146)/Inputs!$C$39)*SIN(2*PI()*(Inputs!$C$6)/Inputs!$C$40)+-Inputs!$C$41*EXP(-(((Inputs!$C$6)-Inputs!$C$43)^2)/(2*Inputs!$C$44^2))*EXP(-(((Scenario_Data!U146)-Inputs!$C$42)^2)/(2*Inputs!$C$45^2))+Inputs!$C$48*(0.7*(0.45*SIN(2*PI()*(((Scenario_Data!U146)/Inputs!$C$49)+Inputs!$C$47*0.137))+0.35*COS(2*PI()*(((Inputs!$C$6)/Inputs!$C$50)+Inputs!$C$47*0.173))+0.2*SIN(2*PI()*((((Scenario_Data!U146)+(Inputs!$C$6))/(0.5*(Inputs!$C$49+Inputs!$C$50)))+Inputs!$C$47*0.097)))+0.3*(2*((SIN(((Scenario_Data!U146)*12.9898+(Inputs!$C$6)*78.233+Inputs!$C$47*37.719))*43758.5453)-INT((SIN(((Scenario_Data!U146)*12.9898+(Inputs!$C$6)*78.233+Inputs!$C$47*37.719))*43758.5453)))-1))))/1000))*COS(SQRT((Scenario_Data!U146)^2+Inputs!$C$6^2)/Inputs!$C$52))*1000)/Inputs!$C$21*1000000</f>
        <v/>
      </c>
      <c r="AT146">
        <f>Scenario_Data!V146</f>
        <v/>
      </c>
      <c r="AU146">
        <f>2*(SQRT((Inputs!$C$52+(Scenario_Data!D146))^2+(Inputs!$C$52+((IF(OR(Inputs!$C$27=TRUE,Inputs!$C$27="TRUE",Inputs!$C$27=1),1,0)*(Inputs!$C$51*(115*EXP(-(((Inputs!$C$6)-25)^2)/(4.5^2))+70*EXP(-(((Inputs!$C$6)+38)^2)/(7^2))*(0.55+0.45*SIN(2*PI()*(Scenario_Data!V146)/45))+24*SIN(2*PI()*(Inputs!$C$6)/9+(Scenario_Data!V146)/18)*EXP(-(((Inputs!$C$6)+5)^2)/(22^2))+18*SIN(2*PI()*(Scenario_Data!V146)/70))+Inputs!$C$28*EXP(-(((Scenario_Data!V146)-Inputs!$C$29)^2)/(2*Inputs!$C$31^2))*EXP(-(((Inputs!$C$6)-Inputs!$C$30)^2)/(2*Inputs!$C$32^2))+-Inputs!$C$33*EXP(-(((((Scenario_Data!V146)-Inputs!$C$34)^2)+(((Inputs!$C$6)-Inputs!$C$35)^2))/(2*Inputs!$C$36^2)))+Inputs!$C$37*(0.55*SIN(2*PI()*(Scenario_Data!V146)/Inputs!$C$39)+0.35*COS(2*PI()*(Inputs!$C$6)/Inputs!$C$40)+0.2*SIN(2*PI()*((Scenario_Data!V146)+(Inputs!$C$6))/(0.5*(Inputs!$C$39+Inputs!$C$40))))+Inputs!$C$38*SIN(2*PI()*(Scenario_Data!V146)/Inputs!$C$39)*SIN(2*PI()*(Inputs!$C$6)/Inputs!$C$40)+-Inputs!$C$41*EXP(-(((Inputs!$C$6)-Inputs!$C$43)^2)/(2*Inputs!$C$44^2))*EXP(-(((Scenario_Data!V146)-Inputs!$C$42)^2)/(2*Inputs!$C$45^2))+Inputs!$C$48*(0.7*(0.45*SIN(2*PI()*(((Scenario_Data!V146)/Inputs!$C$49)+Inputs!$C$47*0.137))+0.35*COS(2*PI()*(((Inputs!$C$6)/Inputs!$C$50)+Inputs!$C$47*0.173))+0.2*SIN(2*PI()*((((Scenario_Data!V146)+(Inputs!$C$6))/(0.5*(Inputs!$C$49+Inputs!$C$50)))+Inputs!$C$47*0.097)))+0.3*(2*((SIN(((Scenario_Data!V146)*12.9898+(Inputs!$C$6)*78.233+Inputs!$C$47*37.719))*43758.5453)-INT((SIN(((Scenario_Data!V146)*12.9898+(Inputs!$C$6)*78.233+Inputs!$C$47*37.719))*43758.5453)))-1))))/1000))^2-2*(Inputs!$C$52+(Scenario_Data!D146))*(Inputs!$C$52+((IF(OR(Inputs!$C$27=TRUE,Inputs!$C$27="TRUE",Inputs!$C$27=1),1,0)*(Inputs!$C$51*(115*EXP(-(((Inputs!$C$6)-25)^2)/(4.5^2))+70*EXP(-(((Inputs!$C$6)+38)^2)/(7^2))*(0.55+0.45*SIN(2*PI()*(Scenario_Data!V146)/45))+24*SIN(2*PI()*(Inputs!$C$6)/9+(Scenario_Data!V146)/18)*EXP(-(((Inputs!$C$6)+5)^2)/(22^2))+18*SIN(2*PI()*(Scenario_Data!V146)/70))+Inputs!$C$28*EXP(-(((Scenario_Data!V146)-Inputs!$C$29)^2)/(2*Inputs!$C$31^2))*EXP(-(((Inputs!$C$6)-Inputs!$C$30)^2)/(2*Inputs!$C$32^2))+-Inputs!$C$33*EXP(-(((((Scenario_Data!V146)-Inputs!$C$34)^2)+(((Inputs!$C$6)-Inputs!$C$35)^2))/(2*Inputs!$C$36^2)))+Inputs!$C$37*(0.55*SIN(2*PI()*(Scenario_Data!V146)/Inputs!$C$39)+0.35*COS(2*PI()*(Inputs!$C$6)/Inputs!$C$40)+0.2*SIN(2*PI()*((Scenario_Data!V146)+(Inputs!$C$6))/(0.5*(Inputs!$C$39+Inputs!$C$40))))+Inputs!$C$38*SIN(2*PI()*(Scenario_Data!V146)/Inputs!$C$39)*SIN(2*PI()*(Inputs!$C$6)/Inputs!$C$40)+-Inputs!$C$41*EXP(-(((Inputs!$C$6)-Inputs!$C$43)^2)/(2*Inputs!$C$44^2))*EXP(-(((Scenario_Data!V146)-Inputs!$C$42)^2)/(2*Inputs!$C$45^2))+Inputs!$C$48*(0.7*(0.45*SIN(2*PI()*(((Scenario_Data!V146)/Inputs!$C$49)+Inputs!$C$47*0.137))+0.35*COS(2*PI()*(((Inputs!$C$6)/Inputs!$C$50)+Inputs!$C$47*0.173))+0.2*SIN(2*PI()*((((Scenario_Data!V146)+(Inputs!$C$6))/(0.5*(Inputs!$C$49+Inputs!$C$50)))+Inputs!$C$47*0.097)))+0.3*(2*((SIN(((Scenario_Data!V146)*12.9898+(Inputs!$C$6)*78.233+Inputs!$C$47*37.719))*43758.5453)-INT((SIN(((Scenario_Data!V146)*12.9898+(Inputs!$C$6)*78.233+Inputs!$C$47*37.719))*43758.5453)))-1))))/1000))*COS(SQRT((Scenario_Data!V146)^2+Inputs!$C$6^2)/Inputs!$C$52))*1000)/Inputs!$C$21*1000000</f>
        <v/>
      </c>
      <c r="AV146">
        <f>Scenario_Data!W146</f>
        <v/>
      </c>
      <c r="AW146">
        <f>2*(SQRT((Inputs!$C$52+(Scenario_Data!E146))^2+(Inputs!$C$52+((IF(OR(Inputs!$C$27=TRUE,Inputs!$C$27="TRUE",Inputs!$C$27=1),1,0)*(Inputs!$C$51*(115*EXP(-(((Inputs!$C$6)-25)^2)/(4.5^2))+70*EXP(-(((Inputs!$C$6)+38)^2)/(7^2))*(0.55+0.45*SIN(2*PI()*(Scenario_Data!W146)/45))+24*SIN(2*PI()*(Inputs!$C$6)/9+(Scenario_Data!W146)/18)*EXP(-(((Inputs!$C$6)+5)^2)/(22^2))+18*SIN(2*PI()*(Scenario_Data!W146)/70))+Inputs!$C$28*EXP(-(((Scenario_Data!W146)-Inputs!$C$29)^2)/(2*Inputs!$C$31^2))*EXP(-(((Inputs!$C$6)-Inputs!$C$30)^2)/(2*Inputs!$C$32^2))+-Inputs!$C$33*EXP(-(((((Scenario_Data!W146)-Inputs!$C$34)^2)+(((Inputs!$C$6)-Inputs!$C$35)^2))/(2*Inputs!$C$36^2)))+Inputs!$C$37*(0.55*SIN(2*PI()*(Scenario_Data!W146)/Inputs!$C$39)+0.35*COS(2*PI()*(Inputs!$C$6)/Inputs!$C$40)+0.2*SIN(2*PI()*((Scenario_Data!W146)+(Inputs!$C$6))/(0.5*(Inputs!$C$39+Inputs!$C$40))))+Inputs!$C$38*SIN(2*PI()*(Scenario_Data!W146)/Inputs!$C$39)*SIN(2*PI()*(Inputs!$C$6)/Inputs!$C$40)+-Inputs!$C$41*EXP(-(((Inputs!$C$6)-Inputs!$C$43)^2)/(2*Inputs!$C$44^2))*EXP(-(((Scenario_Data!W146)-Inputs!$C$42)^2)/(2*Inputs!$C$45^2))+Inputs!$C$48*(0.7*(0.45*SIN(2*PI()*(((Scenario_Data!W146)/Inputs!$C$49)+Inputs!$C$47*0.137))+0.35*COS(2*PI()*(((Inputs!$C$6)/Inputs!$C$50)+Inputs!$C$47*0.173))+0.2*SIN(2*PI()*((((Scenario_Data!W146)+(Inputs!$C$6))/(0.5*(Inputs!$C$49+Inputs!$C$50)))+Inputs!$C$47*0.097)))+0.3*(2*((SIN(((Scenario_Data!W146)*12.9898+(Inputs!$C$6)*78.233+Inputs!$C$47*37.719))*43758.5453)-INT((SIN(((Scenario_Data!W146)*12.9898+(Inputs!$C$6)*78.233+Inputs!$C$47*37.719))*43758.5453)))-1))))/1000))^2-2*(Inputs!$C$52+(Scenario_Data!E146))*(Inputs!$C$52+((IF(OR(Inputs!$C$27=TRUE,Inputs!$C$27="TRUE",Inputs!$C$27=1),1,0)*(Inputs!$C$51*(115*EXP(-(((Inputs!$C$6)-25)^2)/(4.5^2))+70*EXP(-(((Inputs!$C$6)+38)^2)/(7^2))*(0.55+0.45*SIN(2*PI()*(Scenario_Data!W146)/45))+24*SIN(2*PI()*(Inputs!$C$6)/9+(Scenario_Data!W146)/18)*EXP(-(((Inputs!$C$6)+5)^2)/(22^2))+18*SIN(2*PI()*(Scenario_Data!W146)/70))+Inputs!$C$28*EXP(-(((Scenario_Data!W146)-Inputs!$C$29)^2)/(2*Inputs!$C$31^2))*EXP(-(((Inputs!$C$6)-Inputs!$C$30)^2)/(2*Inputs!$C$32^2))+-Inputs!$C$33*EXP(-(((((Scenario_Data!W146)-Inputs!$C$34)^2)+(((Inputs!$C$6)-Inputs!$C$35)^2))/(2*Inputs!$C$36^2)))+Inputs!$C$37*(0.55*SIN(2*PI()*(Scenario_Data!W146)/Inputs!$C$39)+0.35*COS(2*PI()*(Inputs!$C$6)/Inputs!$C$40)+0.2*SIN(2*PI()*((Scenario_Data!W146)+(Inputs!$C$6))/(0.5*(Inputs!$C$39+Inputs!$C$40))))+Inputs!$C$38*SIN(2*PI()*(Scenario_Data!W146)/Inputs!$C$39)*SIN(2*PI()*(Inputs!$C$6)/Inputs!$C$40)+-Inputs!$C$41*EXP(-(((Inputs!$C$6)-Inputs!$C$43)^2)/(2*Inputs!$C$44^2))*EXP(-(((Scenario_Data!W146)-Inputs!$C$42)^2)/(2*Inputs!$C$45^2))+Inputs!$C$48*(0.7*(0.45*SIN(2*PI()*(((Scenario_Data!W146)/Inputs!$C$49)+Inputs!$C$47*0.137))+0.35*COS(2*PI()*(((Inputs!$C$6)/Inputs!$C$50)+Inputs!$C$47*0.173))+0.2*SIN(2*PI()*((((Scenario_Data!W146)+(Inputs!$C$6))/(0.5*(Inputs!$C$49+Inputs!$C$50)))+Inputs!$C$47*0.097)))+0.3*(2*((SIN(((Scenario_Data!W146)*12.9898+(Inputs!$C$6)*78.233+Inputs!$C$47*37.719))*43758.5453)-INT((SIN(((Scenario_Data!W146)*12.9898+(Inputs!$C$6)*78.233+Inputs!$C$47*37.719))*43758.5453)))-1))))/1000))*COS(SQRT((Scenario_Data!W146)^2+Inputs!$C$6^2)/Inputs!$C$52))*1000)/Inputs!$C$21*1000000</f>
        <v/>
      </c>
    </row>
    <row r="147">
      <c r="A147">
        <f>Chart_Data!K147</f>
        <v/>
      </c>
      <c r="B147">
        <f>Chart_Data!N147-Chart_Data!L147</f>
        <v/>
      </c>
      <c r="D147">
        <f>Chart_Data!G147</f>
        <v/>
      </c>
      <c r="E147">
        <f>Chart_Data!H147</f>
        <v/>
      </c>
      <c r="F147">
        <f>Chart_Data!I147</f>
        <v/>
      </c>
      <c r="G147">
        <f>Chart_Data!J147</f>
        <v/>
      </c>
      <c r="I147">
        <f>Scenario_Data!A147</f>
        <v/>
      </c>
      <c r="J147">
        <f>Scenario_Data!H147-(((SQRT((Inputs!$C$52+(Inputs!$H$6))^2+Inputs!$C$52^2-2*(Inputs!$C$52+(Inputs!$H$6))*Inputs!$C$52*COS(SQRT((Scenario_Data!T147)^2+Inputs!$C$6^2)/Inputs!$C$52)))-(Inputs!$H$6))*1000/Inputs!$C$12)</f>
        <v/>
      </c>
      <c r="K147">
        <f>Scenario_Data!I147-(((SQRT((Inputs!$C$52+(Inputs!$H$7))^2+Inputs!$C$52^2-2*(Inputs!$C$52+(Inputs!$H$7))*Inputs!$C$52*COS(SQRT((Scenario_Data!U147)^2+Inputs!$C$6^2)/Inputs!$C$52)))-(Inputs!$H$7))*1000/Inputs!$C$12)</f>
        <v/>
      </c>
      <c r="L147">
        <f>Scenario_Data!J147-(((SQRT((Inputs!$C$52+(Inputs!$H$8))^2+Inputs!$C$52^2-2*(Inputs!$C$52+(Inputs!$H$8))*Inputs!$C$52*COS(SQRT((Scenario_Data!V147)^2+Inputs!$C$6^2)/Inputs!$C$52)))-(Inputs!$H$8))*1000/Inputs!$C$12)</f>
        <v/>
      </c>
      <c r="M147">
        <f>Scenario_Data!K147-(((SQRT((Inputs!$C$52+(Inputs!$H$9))^2+Inputs!$C$52^2-2*(Inputs!$C$52+(Inputs!$H$9))*Inputs!$C$52*COS(SQRT((Scenario_Data!W147)^2+Inputs!$C$6^2)/Inputs!$C$52)))-(Inputs!$H$9))*1000/Inputs!$C$12)</f>
        <v/>
      </c>
      <c r="O147">
        <f>Scenario_Data!T147</f>
        <v/>
      </c>
      <c r="P147">
        <f>2*(Scenario_Data!B147*1000)/Inputs!$C$21*1000000</f>
        <v/>
      </c>
      <c r="Q147">
        <f>Scenario_Data!U147</f>
        <v/>
      </c>
      <c r="R147">
        <f>2*(Scenario_Data!C147*1000)/Inputs!$C$21*1000000</f>
        <v/>
      </c>
      <c r="S147">
        <f>Scenario_Data!V147</f>
        <v/>
      </c>
      <c r="T147">
        <f>2*(Scenario_Data!D147*1000)/Inputs!$C$21*1000000</f>
        <v/>
      </c>
      <c r="U147">
        <f>Scenario_Data!W147</f>
        <v/>
      </c>
      <c r="V147">
        <f>2*(Scenario_Data!E147*1000)/Inputs!$C$21*1000000</f>
        <v/>
      </c>
      <c r="X147">
        <f>Scenario_Data!T147</f>
        <v/>
      </c>
      <c r="Y147">
        <f>2*((Scenario_Data!B147*1000)-(IF(OR(Inputs!$C$27=TRUE,Inputs!$C$27="TRUE",Inputs!$C$27=1),1,0)*(Inputs!$C$51*(115*EXP(-(((0)-25)^2)/(4.5^2))+70*EXP(-(((0)+38)^2)/(7^2))*(0.55+0.45*SIN(2*PI()*(Scenario_Data!T147)/45))+24*SIN(2*PI()*(0)/9+(Scenario_Data!T147)/18)*EXP(-(((0)+5)^2)/(22^2))+18*SIN(2*PI()*(Scenario_Data!T147)/70))+Inputs!$C$28*EXP(-(((Scenario_Data!T147)-Inputs!$C$29)^2)/(2*Inputs!$C$31^2))*EXP(-(((0)-Inputs!$C$30)^2)/(2*Inputs!$C$32^2))+-Inputs!$C$33*EXP(-(((((Scenario_Data!T147)-Inputs!$C$34)^2)+(((0)-Inputs!$C$35)^2))/(2*Inputs!$C$36^2)))+Inputs!$C$37*(0.55*SIN(2*PI()*(Scenario_Data!T147)/Inputs!$C$39)+0.35*COS(2*PI()*(0)/Inputs!$C$40)+0.2*SIN(2*PI()*((Scenario_Data!T147)+(0))/(0.5*(Inputs!$C$39+Inputs!$C$40))))+Inputs!$C$38*SIN(2*PI()*(Scenario_Data!T147)/Inputs!$C$39)*SIN(2*PI()*(0)/Inputs!$C$40)+-Inputs!$C$41*EXP(-(((0)-Inputs!$C$43)^2)/(2*Inputs!$C$44^2))*EXP(-(((Scenario_Data!T147)-Inputs!$C$42)^2)/(2*Inputs!$C$45^2))+Inputs!$C$48*(0.7*(0.45*SIN(2*PI()*(((Scenario_Data!T147)/Inputs!$C$49)+Inputs!$C$47*0.137))+0.35*COS(2*PI()*(((0)/Inputs!$C$50)+Inputs!$C$47*0.173))+0.2*SIN(2*PI()*((((Scenario_Data!T147)+(0))/(0.5*(Inputs!$C$49+Inputs!$C$50)))+Inputs!$C$47*0.097)))+0.3*(2*((SIN(((Scenario_Data!T147)*12.9898+(0)*78.233+Inputs!$C$47*37.719))*43758.5453)-INT((SIN(((Scenario_Data!T147)*12.9898+(0)*78.233+Inputs!$C$47*37.719))*43758.5453)))-1)))))/Inputs!$C$21*1000000</f>
        <v/>
      </c>
      <c r="Z147">
        <f>Scenario_Data!U147</f>
        <v/>
      </c>
      <c r="AA147">
        <f>2*((Scenario_Data!C147*1000)-(IF(OR(Inputs!$C$27=TRUE,Inputs!$C$27="TRUE",Inputs!$C$27=1),1,0)*(Inputs!$C$51*(115*EXP(-(((0)-25)^2)/(4.5^2))+70*EXP(-(((0)+38)^2)/(7^2))*(0.55+0.45*SIN(2*PI()*(Scenario_Data!U147)/45))+24*SIN(2*PI()*(0)/9+(Scenario_Data!U147)/18)*EXP(-(((0)+5)^2)/(22^2))+18*SIN(2*PI()*(Scenario_Data!U147)/70))+Inputs!$C$28*EXP(-(((Scenario_Data!U147)-Inputs!$C$29)^2)/(2*Inputs!$C$31^2))*EXP(-(((0)-Inputs!$C$30)^2)/(2*Inputs!$C$32^2))+-Inputs!$C$33*EXP(-(((((Scenario_Data!U147)-Inputs!$C$34)^2)+(((0)-Inputs!$C$35)^2))/(2*Inputs!$C$36^2)))+Inputs!$C$37*(0.55*SIN(2*PI()*(Scenario_Data!U147)/Inputs!$C$39)+0.35*COS(2*PI()*(0)/Inputs!$C$40)+0.2*SIN(2*PI()*((Scenario_Data!U147)+(0))/(0.5*(Inputs!$C$39+Inputs!$C$40))))+Inputs!$C$38*SIN(2*PI()*(Scenario_Data!U147)/Inputs!$C$39)*SIN(2*PI()*(0)/Inputs!$C$40)+-Inputs!$C$41*EXP(-(((0)-Inputs!$C$43)^2)/(2*Inputs!$C$44^2))*EXP(-(((Scenario_Data!U147)-Inputs!$C$42)^2)/(2*Inputs!$C$45^2))+Inputs!$C$48*(0.7*(0.45*SIN(2*PI()*(((Scenario_Data!U147)/Inputs!$C$49)+Inputs!$C$47*0.137))+0.35*COS(2*PI()*(((0)/Inputs!$C$50)+Inputs!$C$47*0.173))+0.2*SIN(2*PI()*((((Scenario_Data!U147)+(0))/(0.5*(Inputs!$C$49+Inputs!$C$50)))+Inputs!$C$47*0.097)))+0.3*(2*((SIN(((Scenario_Data!U147)*12.9898+(0)*78.233+Inputs!$C$47*37.719))*43758.5453)-INT((SIN(((Scenario_Data!U147)*12.9898+(0)*78.233+Inputs!$C$47*37.719))*43758.5453)))-1)))))/Inputs!$C$21*1000000</f>
        <v/>
      </c>
      <c r="AB147">
        <f>Scenario_Data!V147</f>
        <v/>
      </c>
      <c r="AC147">
        <f>2*((Scenario_Data!D147*1000)-(IF(OR(Inputs!$C$27=TRUE,Inputs!$C$27="TRUE",Inputs!$C$27=1),1,0)*(Inputs!$C$51*(115*EXP(-(((0)-25)^2)/(4.5^2))+70*EXP(-(((0)+38)^2)/(7^2))*(0.55+0.45*SIN(2*PI()*(Scenario_Data!V147)/45))+24*SIN(2*PI()*(0)/9+(Scenario_Data!V147)/18)*EXP(-(((0)+5)^2)/(22^2))+18*SIN(2*PI()*(Scenario_Data!V147)/70))+Inputs!$C$28*EXP(-(((Scenario_Data!V147)-Inputs!$C$29)^2)/(2*Inputs!$C$31^2))*EXP(-(((0)-Inputs!$C$30)^2)/(2*Inputs!$C$32^2))+-Inputs!$C$33*EXP(-(((((Scenario_Data!V147)-Inputs!$C$34)^2)+(((0)-Inputs!$C$35)^2))/(2*Inputs!$C$36^2)))+Inputs!$C$37*(0.55*SIN(2*PI()*(Scenario_Data!V147)/Inputs!$C$39)+0.35*COS(2*PI()*(0)/Inputs!$C$40)+0.2*SIN(2*PI()*((Scenario_Data!V147)+(0))/(0.5*(Inputs!$C$39+Inputs!$C$40))))+Inputs!$C$38*SIN(2*PI()*(Scenario_Data!V147)/Inputs!$C$39)*SIN(2*PI()*(0)/Inputs!$C$40)+-Inputs!$C$41*EXP(-(((0)-Inputs!$C$43)^2)/(2*Inputs!$C$44^2))*EXP(-(((Scenario_Data!V147)-Inputs!$C$42)^2)/(2*Inputs!$C$45^2))+Inputs!$C$48*(0.7*(0.45*SIN(2*PI()*(((Scenario_Data!V147)/Inputs!$C$49)+Inputs!$C$47*0.137))+0.35*COS(2*PI()*(((0)/Inputs!$C$50)+Inputs!$C$47*0.173))+0.2*SIN(2*PI()*((((Scenario_Data!V147)+(0))/(0.5*(Inputs!$C$49+Inputs!$C$50)))+Inputs!$C$47*0.097)))+0.3*(2*((SIN(((Scenario_Data!V147)*12.9898+(0)*78.233+Inputs!$C$47*37.719))*43758.5453)-INT((SIN(((Scenario_Data!V147)*12.9898+(0)*78.233+Inputs!$C$47*37.719))*43758.5453)))-1)))))/Inputs!$C$21*1000000</f>
        <v/>
      </c>
      <c r="AD147">
        <f>Scenario_Data!W147</f>
        <v/>
      </c>
      <c r="AE147">
        <f>2*((Scenario_Data!E147*1000)-(IF(OR(Inputs!$C$27=TRUE,Inputs!$C$27="TRUE",Inputs!$C$27=1),1,0)*(Inputs!$C$51*(115*EXP(-(((0)-25)^2)/(4.5^2))+70*EXP(-(((0)+38)^2)/(7^2))*(0.55+0.45*SIN(2*PI()*(Scenario_Data!W147)/45))+24*SIN(2*PI()*(0)/9+(Scenario_Data!W147)/18)*EXP(-(((0)+5)^2)/(22^2))+18*SIN(2*PI()*(Scenario_Data!W147)/70))+Inputs!$C$28*EXP(-(((Scenario_Data!W147)-Inputs!$C$29)^2)/(2*Inputs!$C$31^2))*EXP(-(((0)-Inputs!$C$30)^2)/(2*Inputs!$C$32^2))+-Inputs!$C$33*EXP(-(((((Scenario_Data!W147)-Inputs!$C$34)^2)+(((0)-Inputs!$C$35)^2))/(2*Inputs!$C$36^2)))+Inputs!$C$37*(0.55*SIN(2*PI()*(Scenario_Data!W147)/Inputs!$C$39)+0.35*COS(2*PI()*(0)/Inputs!$C$40)+0.2*SIN(2*PI()*((Scenario_Data!W147)+(0))/(0.5*(Inputs!$C$39+Inputs!$C$40))))+Inputs!$C$38*SIN(2*PI()*(Scenario_Data!W147)/Inputs!$C$39)*SIN(2*PI()*(0)/Inputs!$C$40)+-Inputs!$C$41*EXP(-(((0)-Inputs!$C$43)^2)/(2*Inputs!$C$44^2))*EXP(-(((Scenario_Data!W147)-Inputs!$C$42)^2)/(2*Inputs!$C$45^2))+Inputs!$C$48*(0.7*(0.45*SIN(2*PI()*(((Scenario_Data!W147)/Inputs!$C$49)+Inputs!$C$47*0.137))+0.35*COS(2*PI()*(((0)/Inputs!$C$50)+Inputs!$C$47*0.173))+0.2*SIN(2*PI()*((((Scenario_Data!W147)+(0))/(0.5*(Inputs!$C$49+Inputs!$C$50)))+Inputs!$C$47*0.097)))+0.3*(2*((SIN(((Scenario_Data!W147)*12.9898+(0)*78.233+Inputs!$C$47*37.719))*43758.5453)-INT((SIN(((Scenario_Data!W147)*12.9898+(0)*78.233+Inputs!$C$47*37.719))*43758.5453)))-1)))))/Inputs!$C$21*1000000</f>
        <v/>
      </c>
      <c r="AG147">
        <f>Scenario_Data!T147</f>
        <v/>
      </c>
      <c r="AH147">
        <f>2*(SQRT((Inputs!$C$52+(Scenario_Data!B147))^2+Inputs!$C$52^2-2*(Inputs!$C$52+(Scenario_Data!B147))*Inputs!$C$52*COS(SQRT((Scenario_Data!T147)^2+Inputs!$C$6^2)/Inputs!$C$52))*1000)/Inputs!$C$21*1000000</f>
        <v/>
      </c>
      <c r="AI147">
        <f>Scenario_Data!U147</f>
        <v/>
      </c>
      <c r="AJ147">
        <f>2*(SQRT((Inputs!$C$52+(Scenario_Data!C147))^2+Inputs!$C$52^2-2*(Inputs!$C$52+(Scenario_Data!C147))*Inputs!$C$52*COS(SQRT((Scenario_Data!U147)^2+Inputs!$C$6^2)/Inputs!$C$52))*1000)/Inputs!$C$21*1000000</f>
        <v/>
      </c>
      <c r="AK147">
        <f>Scenario_Data!V147</f>
        <v/>
      </c>
      <c r="AL147">
        <f>2*(SQRT((Inputs!$C$52+(Scenario_Data!D147))^2+Inputs!$C$52^2-2*(Inputs!$C$52+(Scenario_Data!D147))*Inputs!$C$52*COS(SQRT((Scenario_Data!V147)^2+Inputs!$C$6^2)/Inputs!$C$52))*1000)/Inputs!$C$21*1000000</f>
        <v/>
      </c>
      <c r="AM147">
        <f>Scenario_Data!W147</f>
        <v/>
      </c>
      <c r="AN147">
        <f>2*(SQRT((Inputs!$C$52+(Scenario_Data!E147))^2+Inputs!$C$52^2-2*(Inputs!$C$52+(Scenario_Data!E147))*Inputs!$C$52*COS(SQRT((Scenario_Data!W147)^2+Inputs!$C$6^2)/Inputs!$C$52))*1000)/Inputs!$C$21*1000000</f>
        <v/>
      </c>
      <c r="AP147">
        <f>Scenario_Data!T147</f>
        <v/>
      </c>
      <c r="AQ147">
        <f>2*(SQRT((Inputs!$C$52+(Scenario_Data!B147))^2+(Inputs!$C$52+((IF(OR(Inputs!$C$27=TRUE,Inputs!$C$27="TRUE",Inputs!$C$27=1),1,0)*(Inputs!$C$51*(115*EXP(-(((Inputs!$C$6)-25)^2)/(4.5^2))+70*EXP(-(((Inputs!$C$6)+38)^2)/(7^2))*(0.55+0.45*SIN(2*PI()*(Scenario_Data!T147)/45))+24*SIN(2*PI()*(Inputs!$C$6)/9+(Scenario_Data!T147)/18)*EXP(-(((Inputs!$C$6)+5)^2)/(22^2))+18*SIN(2*PI()*(Scenario_Data!T147)/70))+Inputs!$C$28*EXP(-(((Scenario_Data!T147)-Inputs!$C$29)^2)/(2*Inputs!$C$31^2))*EXP(-(((Inputs!$C$6)-Inputs!$C$30)^2)/(2*Inputs!$C$32^2))+-Inputs!$C$33*EXP(-(((((Scenario_Data!T147)-Inputs!$C$34)^2)+(((Inputs!$C$6)-Inputs!$C$35)^2))/(2*Inputs!$C$36^2)))+Inputs!$C$37*(0.55*SIN(2*PI()*(Scenario_Data!T147)/Inputs!$C$39)+0.35*COS(2*PI()*(Inputs!$C$6)/Inputs!$C$40)+0.2*SIN(2*PI()*((Scenario_Data!T147)+(Inputs!$C$6))/(0.5*(Inputs!$C$39+Inputs!$C$40))))+Inputs!$C$38*SIN(2*PI()*(Scenario_Data!T147)/Inputs!$C$39)*SIN(2*PI()*(Inputs!$C$6)/Inputs!$C$40)+-Inputs!$C$41*EXP(-(((Inputs!$C$6)-Inputs!$C$43)^2)/(2*Inputs!$C$44^2))*EXP(-(((Scenario_Data!T147)-Inputs!$C$42)^2)/(2*Inputs!$C$45^2))+Inputs!$C$48*(0.7*(0.45*SIN(2*PI()*(((Scenario_Data!T147)/Inputs!$C$49)+Inputs!$C$47*0.137))+0.35*COS(2*PI()*(((Inputs!$C$6)/Inputs!$C$50)+Inputs!$C$47*0.173))+0.2*SIN(2*PI()*((((Scenario_Data!T147)+(Inputs!$C$6))/(0.5*(Inputs!$C$49+Inputs!$C$50)))+Inputs!$C$47*0.097)))+0.3*(2*((SIN(((Scenario_Data!T147)*12.9898+(Inputs!$C$6)*78.233+Inputs!$C$47*37.719))*43758.5453)-INT((SIN(((Scenario_Data!T147)*12.9898+(Inputs!$C$6)*78.233+Inputs!$C$47*37.719))*43758.5453)))-1))))/1000))^2-2*(Inputs!$C$52+(Scenario_Data!B147))*(Inputs!$C$52+((IF(OR(Inputs!$C$27=TRUE,Inputs!$C$27="TRUE",Inputs!$C$27=1),1,0)*(Inputs!$C$51*(115*EXP(-(((Inputs!$C$6)-25)^2)/(4.5^2))+70*EXP(-(((Inputs!$C$6)+38)^2)/(7^2))*(0.55+0.45*SIN(2*PI()*(Scenario_Data!T147)/45))+24*SIN(2*PI()*(Inputs!$C$6)/9+(Scenario_Data!T147)/18)*EXP(-(((Inputs!$C$6)+5)^2)/(22^2))+18*SIN(2*PI()*(Scenario_Data!T147)/70))+Inputs!$C$28*EXP(-(((Scenario_Data!T147)-Inputs!$C$29)^2)/(2*Inputs!$C$31^2))*EXP(-(((Inputs!$C$6)-Inputs!$C$30)^2)/(2*Inputs!$C$32^2))+-Inputs!$C$33*EXP(-(((((Scenario_Data!T147)-Inputs!$C$34)^2)+(((Inputs!$C$6)-Inputs!$C$35)^2))/(2*Inputs!$C$36^2)))+Inputs!$C$37*(0.55*SIN(2*PI()*(Scenario_Data!T147)/Inputs!$C$39)+0.35*COS(2*PI()*(Inputs!$C$6)/Inputs!$C$40)+0.2*SIN(2*PI()*((Scenario_Data!T147)+(Inputs!$C$6))/(0.5*(Inputs!$C$39+Inputs!$C$40))))+Inputs!$C$38*SIN(2*PI()*(Scenario_Data!T147)/Inputs!$C$39)*SIN(2*PI()*(Inputs!$C$6)/Inputs!$C$40)+-Inputs!$C$41*EXP(-(((Inputs!$C$6)-Inputs!$C$43)^2)/(2*Inputs!$C$44^2))*EXP(-(((Scenario_Data!T147)-Inputs!$C$42)^2)/(2*Inputs!$C$45^2))+Inputs!$C$48*(0.7*(0.45*SIN(2*PI()*(((Scenario_Data!T147)/Inputs!$C$49)+Inputs!$C$47*0.137))+0.35*COS(2*PI()*(((Inputs!$C$6)/Inputs!$C$50)+Inputs!$C$47*0.173))+0.2*SIN(2*PI()*((((Scenario_Data!T147)+(Inputs!$C$6))/(0.5*(Inputs!$C$49+Inputs!$C$50)))+Inputs!$C$47*0.097)))+0.3*(2*((SIN(((Scenario_Data!T147)*12.9898+(Inputs!$C$6)*78.233+Inputs!$C$47*37.719))*43758.5453)-INT((SIN(((Scenario_Data!T147)*12.9898+(Inputs!$C$6)*78.233+Inputs!$C$47*37.719))*43758.5453)))-1))))/1000))*COS(SQRT((Scenario_Data!T147)^2+Inputs!$C$6^2)/Inputs!$C$52))*1000)/Inputs!$C$21*1000000</f>
        <v/>
      </c>
      <c r="AR147">
        <f>Scenario_Data!U147</f>
        <v/>
      </c>
      <c r="AS147">
        <f>2*(SQRT((Inputs!$C$52+(Scenario_Data!C147))^2+(Inputs!$C$52+((IF(OR(Inputs!$C$27=TRUE,Inputs!$C$27="TRUE",Inputs!$C$27=1),1,0)*(Inputs!$C$51*(115*EXP(-(((Inputs!$C$6)-25)^2)/(4.5^2))+70*EXP(-(((Inputs!$C$6)+38)^2)/(7^2))*(0.55+0.45*SIN(2*PI()*(Scenario_Data!U147)/45))+24*SIN(2*PI()*(Inputs!$C$6)/9+(Scenario_Data!U147)/18)*EXP(-(((Inputs!$C$6)+5)^2)/(22^2))+18*SIN(2*PI()*(Scenario_Data!U147)/70))+Inputs!$C$28*EXP(-(((Scenario_Data!U147)-Inputs!$C$29)^2)/(2*Inputs!$C$31^2))*EXP(-(((Inputs!$C$6)-Inputs!$C$30)^2)/(2*Inputs!$C$32^2))+-Inputs!$C$33*EXP(-(((((Scenario_Data!U147)-Inputs!$C$34)^2)+(((Inputs!$C$6)-Inputs!$C$35)^2))/(2*Inputs!$C$36^2)))+Inputs!$C$37*(0.55*SIN(2*PI()*(Scenario_Data!U147)/Inputs!$C$39)+0.35*COS(2*PI()*(Inputs!$C$6)/Inputs!$C$40)+0.2*SIN(2*PI()*((Scenario_Data!U147)+(Inputs!$C$6))/(0.5*(Inputs!$C$39+Inputs!$C$40))))+Inputs!$C$38*SIN(2*PI()*(Scenario_Data!U147)/Inputs!$C$39)*SIN(2*PI()*(Inputs!$C$6)/Inputs!$C$40)+-Inputs!$C$41*EXP(-(((Inputs!$C$6)-Inputs!$C$43)^2)/(2*Inputs!$C$44^2))*EXP(-(((Scenario_Data!U147)-Inputs!$C$42)^2)/(2*Inputs!$C$45^2))+Inputs!$C$48*(0.7*(0.45*SIN(2*PI()*(((Scenario_Data!U147)/Inputs!$C$49)+Inputs!$C$47*0.137))+0.35*COS(2*PI()*(((Inputs!$C$6)/Inputs!$C$50)+Inputs!$C$47*0.173))+0.2*SIN(2*PI()*((((Scenario_Data!U147)+(Inputs!$C$6))/(0.5*(Inputs!$C$49+Inputs!$C$50)))+Inputs!$C$47*0.097)))+0.3*(2*((SIN(((Scenario_Data!U147)*12.9898+(Inputs!$C$6)*78.233+Inputs!$C$47*37.719))*43758.5453)-INT((SIN(((Scenario_Data!U147)*12.9898+(Inputs!$C$6)*78.233+Inputs!$C$47*37.719))*43758.5453)))-1))))/1000))^2-2*(Inputs!$C$52+(Scenario_Data!C147))*(Inputs!$C$52+((IF(OR(Inputs!$C$27=TRUE,Inputs!$C$27="TRUE",Inputs!$C$27=1),1,0)*(Inputs!$C$51*(115*EXP(-(((Inputs!$C$6)-25)^2)/(4.5^2))+70*EXP(-(((Inputs!$C$6)+38)^2)/(7^2))*(0.55+0.45*SIN(2*PI()*(Scenario_Data!U147)/45))+24*SIN(2*PI()*(Inputs!$C$6)/9+(Scenario_Data!U147)/18)*EXP(-(((Inputs!$C$6)+5)^2)/(22^2))+18*SIN(2*PI()*(Scenario_Data!U147)/70))+Inputs!$C$28*EXP(-(((Scenario_Data!U147)-Inputs!$C$29)^2)/(2*Inputs!$C$31^2))*EXP(-(((Inputs!$C$6)-Inputs!$C$30)^2)/(2*Inputs!$C$32^2))+-Inputs!$C$33*EXP(-(((((Scenario_Data!U147)-Inputs!$C$34)^2)+(((Inputs!$C$6)-Inputs!$C$35)^2))/(2*Inputs!$C$36^2)))+Inputs!$C$37*(0.55*SIN(2*PI()*(Scenario_Data!U147)/Inputs!$C$39)+0.35*COS(2*PI()*(Inputs!$C$6)/Inputs!$C$40)+0.2*SIN(2*PI()*((Scenario_Data!U147)+(Inputs!$C$6))/(0.5*(Inputs!$C$39+Inputs!$C$40))))+Inputs!$C$38*SIN(2*PI()*(Scenario_Data!U147)/Inputs!$C$39)*SIN(2*PI()*(Inputs!$C$6)/Inputs!$C$40)+-Inputs!$C$41*EXP(-(((Inputs!$C$6)-Inputs!$C$43)^2)/(2*Inputs!$C$44^2))*EXP(-(((Scenario_Data!U147)-Inputs!$C$42)^2)/(2*Inputs!$C$45^2))+Inputs!$C$48*(0.7*(0.45*SIN(2*PI()*(((Scenario_Data!U147)/Inputs!$C$49)+Inputs!$C$47*0.137))+0.35*COS(2*PI()*(((Inputs!$C$6)/Inputs!$C$50)+Inputs!$C$47*0.173))+0.2*SIN(2*PI()*((((Scenario_Data!U147)+(Inputs!$C$6))/(0.5*(Inputs!$C$49+Inputs!$C$50)))+Inputs!$C$47*0.097)))+0.3*(2*((SIN(((Scenario_Data!U147)*12.9898+(Inputs!$C$6)*78.233+Inputs!$C$47*37.719))*43758.5453)-INT((SIN(((Scenario_Data!U147)*12.9898+(Inputs!$C$6)*78.233+Inputs!$C$47*37.719))*43758.5453)))-1))))/1000))*COS(SQRT((Scenario_Data!U147)^2+Inputs!$C$6^2)/Inputs!$C$52))*1000)/Inputs!$C$21*1000000</f>
        <v/>
      </c>
      <c r="AT147">
        <f>Scenario_Data!V147</f>
        <v/>
      </c>
      <c r="AU147">
        <f>2*(SQRT((Inputs!$C$52+(Scenario_Data!D147))^2+(Inputs!$C$52+((IF(OR(Inputs!$C$27=TRUE,Inputs!$C$27="TRUE",Inputs!$C$27=1),1,0)*(Inputs!$C$51*(115*EXP(-(((Inputs!$C$6)-25)^2)/(4.5^2))+70*EXP(-(((Inputs!$C$6)+38)^2)/(7^2))*(0.55+0.45*SIN(2*PI()*(Scenario_Data!V147)/45))+24*SIN(2*PI()*(Inputs!$C$6)/9+(Scenario_Data!V147)/18)*EXP(-(((Inputs!$C$6)+5)^2)/(22^2))+18*SIN(2*PI()*(Scenario_Data!V147)/70))+Inputs!$C$28*EXP(-(((Scenario_Data!V147)-Inputs!$C$29)^2)/(2*Inputs!$C$31^2))*EXP(-(((Inputs!$C$6)-Inputs!$C$30)^2)/(2*Inputs!$C$32^2))+-Inputs!$C$33*EXP(-(((((Scenario_Data!V147)-Inputs!$C$34)^2)+(((Inputs!$C$6)-Inputs!$C$35)^2))/(2*Inputs!$C$36^2)))+Inputs!$C$37*(0.55*SIN(2*PI()*(Scenario_Data!V147)/Inputs!$C$39)+0.35*COS(2*PI()*(Inputs!$C$6)/Inputs!$C$40)+0.2*SIN(2*PI()*((Scenario_Data!V147)+(Inputs!$C$6))/(0.5*(Inputs!$C$39+Inputs!$C$40))))+Inputs!$C$38*SIN(2*PI()*(Scenario_Data!V147)/Inputs!$C$39)*SIN(2*PI()*(Inputs!$C$6)/Inputs!$C$40)+-Inputs!$C$41*EXP(-(((Inputs!$C$6)-Inputs!$C$43)^2)/(2*Inputs!$C$44^2))*EXP(-(((Scenario_Data!V147)-Inputs!$C$42)^2)/(2*Inputs!$C$45^2))+Inputs!$C$48*(0.7*(0.45*SIN(2*PI()*(((Scenario_Data!V147)/Inputs!$C$49)+Inputs!$C$47*0.137))+0.35*COS(2*PI()*(((Inputs!$C$6)/Inputs!$C$50)+Inputs!$C$47*0.173))+0.2*SIN(2*PI()*((((Scenario_Data!V147)+(Inputs!$C$6))/(0.5*(Inputs!$C$49+Inputs!$C$50)))+Inputs!$C$47*0.097)))+0.3*(2*((SIN(((Scenario_Data!V147)*12.9898+(Inputs!$C$6)*78.233+Inputs!$C$47*37.719))*43758.5453)-INT((SIN(((Scenario_Data!V147)*12.9898+(Inputs!$C$6)*78.233+Inputs!$C$47*37.719))*43758.5453)))-1))))/1000))^2-2*(Inputs!$C$52+(Scenario_Data!D147))*(Inputs!$C$52+((IF(OR(Inputs!$C$27=TRUE,Inputs!$C$27="TRUE",Inputs!$C$27=1),1,0)*(Inputs!$C$51*(115*EXP(-(((Inputs!$C$6)-25)^2)/(4.5^2))+70*EXP(-(((Inputs!$C$6)+38)^2)/(7^2))*(0.55+0.45*SIN(2*PI()*(Scenario_Data!V147)/45))+24*SIN(2*PI()*(Inputs!$C$6)/9+(Scenario_Data!V147)/18)*EXP(-(((Inputs!$C$6)+5)^2)/(22^2))+18*SIN(2*PI()*(Scenario_Data!V147)/70))+Inputs!$C$28*EXP(-(((Scenario_Data!V147)-Inputs!$C$29)^2)/(2*Inputs!$C$31^2))*EXP(-(((Inputs!$C$6)-Inputs!$C$30)^2)/(2*Inputs!$C$32^2))+-Inputs!$C$33*EXP(-(((((Scenario_Data!V147)-Inputs!$C$34)^2)+(((Inputs!$C$6)-Inputs!$C$35)^2))/(2*Inputs!$C$36^2)))+Inputs!$C$37*(0.55*SIN(2*PI()*(Scenario_Data!V147)/Inputs!$C$39)+0.35*COS(2*PI()*(Inputs!$C$6)/Inputs!$C$40)+0.2*SIN(2*PI()*((Scenario_Data!V147)+(Inputs!$C$6))/(0.5*(Inputs!$C$39+Inputs!$C$40))))+Inputs!$C$38*SIN(2*PI()*(Scenario_Data!V147)/Inputs!$C$39)*SIN(2*PI()*(Inputs!$C$6)/Inputs!$C$40)+-Inputs!$C$41*EXP(-(((Inputs!$C$6)-Inputs!$C$43)^2)/(2*Inputs!$C$44^2))*EXP(-(((Scenario_Data!V147)-Inputs!$C$42)^2)/(2*Inputs!$C$45^2))+Inputs!$C$48*(0.7*(0.45*SIN(2*PI()*(((Scenario_Data!V147)/Inputs!$C$49)+Inputs!$C$47*0.137))+0.35*COS(2*PI()*(((Inputs!$C$6)/Inputs!$C$50)+Inputs!$C$47*0.173))+0.2*SIN(2*PI()*((((Scenario_Data!V147)+(Inputs!$C$6))/(0.5*(Inputs!$C$49+Inputs!$C$50)))+Inputs!$C$47*0.097)))+0.3*(2*((SIN(((Scenario_Data!V147)*12.9898+(Inputs!$C$6)*78.233+Inputs!$C$47*37.719))*43758.5453)-INT((SIN(((Scenario_Data!V147)*12.9898+(Inputs!$C$6)*78.233+Inputs!$C$47*37.719))*43758.5453)))-1))))/1000))*COS(SQRT((Scenario_Data!V147)^2+Inputs!$C$6^2)/Inputs!$C$52))*1000)/Inputs!$C$21*1000000</f>
        <v/>
      </c>
      <c r="AV147">
        <f>Scenario_Data!W147</f>
        <v/>
      </c>
      <c r="AW147">
        <f>2*(SQRT((Inputs!$C$52+(Scenario_Data!E147))^2+(Inputs!$C$52+((IF(OR(Inputs!$C$27=TRUE,Inputs!$C$27="TRUE",Inputs!$C$27=1),1,0)*(Inputs!$C$51*(115*EXP(-(((Inputs!$C$6)-25)^2)/(4.5^2))+70*EXP(-(((Inputs!$C$6)+38)^2)/(7^2))*(0.55+0.45*SIN(2*PI()*(Scenario_Data!W147)/45))+24*SIN(2*PI()*(Inputs!$C$6)/9+(Scenario_Data!W147)/18)*EXP(-(((Inputs!$C$6)+5)^2)/(22^2))+18*SIN(2*PI()*(Scenario_Data!W147)/70))+Inputs!$C$28*EXP(-(((Scenario_Data!W147)-Inputs!$C$29)^2)/(2*Inputs!$C$31^2))*EXP(-(((Inputs!$C$6)-Inputs!$C$30)^2)/(2*Inputs!$C$32^2))+-Inputs!$C$33*EXP(-(((((Scenario_Data!W147)-Inputs!$C$34)^2)+(((Inputs!$C$6)-Inputs!$C$35)^2))/(2*Inputs!$C$36^2)))+Inputs!$C$37*(0.55*SIN(2*PI()*(Scenario_Data!W147)/Inputs!$C$39)+0.35*COS(2*PI()*(Inputs!$C$6)/Inputs!$C$40)+0.2*SIN(2*PI()*((Scenario_Data!W147)+(Inputs!$C$6))/(0.5*(Inputs!$C$39+Inputs!$C$40))))+Inputs!$C$38*SIN(2*PI()*(Scenario_Data!W147)/Inputs!$C$39)*SIN(2*PI()*(Inputs!$C$6)/Inputs!$C$40)+-Inputs!$C$41*EXP(-(((Inputs!$C$6)-Inputs!$C$43)^2)/(2*Inputs!$C$44^2))*EXP(-(((Scenario_Data!W147)-Inputs!$C$42)^2)/(2*Inputs!$C$45^2))+Inputs!$C$48*(0.7*(0.45*SIN(2*PI()*(((Scenario_Data!W147)/Inputs!$C$49)+Inputs!$C$47*0.137))+0.35*COS(2*PI()*(((Inputs!$C$6)/Inputs!$C$50)+Inputs!$C$47*0.173))+0.2*SIN(2*PI()*((((Scenario_Data!W147)+(Inputs!$C$6))/(0.5*(Inputs!$C$49+Inputs!$C$50)))+Inputs!$C$47*0.097)))+0.3*(2*((SIN(((Scenario_Data!W147)*12.9898+(Inputs!$C$6)*78.233+Inputs!$C$47*37.719))*43758.5453)-INT((SIN(((Scenario_Data!W147)*12.9898+(Inputs!$C$6)*78.233+Inputs!$C$47*37.719))*43758.5453)))-1))))/1000))^2-2*(Inputs!$C$52+(Scenario_Data!E147))*(Inputs!$C$52+((IF(OR(Inputs!$C$27=TRUE,Inputs!$C$27="TRUE",Inputs!$C$27=1),1,0)*(Inputs!$C$51*(115*EXP(-(((Inputs!$C$6)-25)^2)/(4.5^2))+70*EXP(-(((Inputs!$C$6)+38)^2)/(7^2))*(0.55+0.45*SIN(2*PI()*(Scenario_Data!W147)/45))+24*SIN(2*PI()*(Inputs!$C$6)/9+(Scenario_Data!W147)/18)*EXP(-(((Inputs!$C$6)+5)^2)/(22^2))+18*SIN(2*PI()*(Scenario_Data!W147)/70))+Inputs!$C$28*EXP(-(((Scenario_Data!W147)-Inputs!$C$29)^2)/(2*Inputs!$C$31^2))*EXP(-(((Inputs!$C$6)-Inputs!$C$30)^2)/(2*Inputs!$C$32^2))+-Inputs!$C$33*EXP(-(((((Scenario_Data!W147)-Inputs!$C$34)^2)+(((Inputs!$C$6)-Inputs!$C$35)^2))/(2*Inputs!$C$36^2)))+Inputs!$C$37*(0.55*SIN(2*PI()*(Scenario_Data!W147)/Inputs!$C$39)+0.35*COS(2*PI()*(Inputs!$C$6)/Inputs!$C$40)+0.2*SIN(2*PI()*((Scenario_Data!W147)+(Inputs!$C$6))/(0.5*(Inputs!$C$39+Inputs!$C$40))))+Inputs!$C$38*SIN(2*PI()*(Scenario_Data!W147)/Inputs!$C$39)*SIN(2*PI()*(Inputs!$C$6)/Inputs!$C$40)+-Inputs!$C$41*EXP(-(((Inputs!$C$6)-Inputs!$C$43)^2)/(2*Inputs!$C$44^2))*EXP(-(((Scenario_Data!W147)-Inputs!$C$42)^2)/(2*Inputs!$C$45^2))+Inputs!$C$48*(0.7*(0.45*SIN(2*PI()*(((Scenario_Data!W147)/Inputs!$C$49)+Inputs!$C$47*0.137))+0.35*COS(2*PI()*(((Inputs!$C$6)/Inputs!$C$50)+Inputs!$C$47*0.173))+0.2*SIN(2*PI()*((((Scenario_Data!W147)+(Inputs!$C$6))/(0.5*(Inputs!$C$49+Inputs!$C$50)))+Inputs!$C$47*0.097)))+0.3*(2*((SIN(((Scenario_Data!W147)*12.9898+(Inputs!$C$6)*78.233+Inputs!$C$47*37.719))*43758.5453)-INT((SIN(((Scenario_Data!W147)*12.9898+(Inputs!$C$6)*78.233+Inputs!$C$47*37.719))*43758.5453)))-1))))/1000))*COS(SQRT((Scenario_Data!W147)^2+Inputs!$C$6^2)/Inputs!$C$52))*1000)/Inputs!$C$21*1000000</f>
        <v/>
      </c>
    </row>
    <row r="148">
      <c r="A148">
        <f>Chart_Data!K148</f>
        <v/>
      </c>
      <c r="B148">
        <f>Chart_Data!N148-Chart_Data!L148</f>
        <v/>
      </c>
      <c r="D148">
        <f>Chart_Data!G148</f>
        <v/>
      </c>
      <c r="E148">
        <f>Chart_Data!H148</f>
        <v/>
      </c>
      <c r="F148">
        <f>Chart_Data!I148</f>
        <v/>
      </c>
      <c r="G148">
        <f>Chart_Data!J148</f>
        <v/>
      </c>
      <c r="I148">
        <f>Scenario_Data!A148</f>
        <v/>
      </c>
      <c r="J148">
        <f>Scenario_Data!H148-(((SQRT((Inputs!$C$52+(Inputs!$H$6))^2+Inputs!$C$52^2-2*(Inputs!$C$52+(Inputs!$H$6))*Inputs!$C$52*COS(SQRT((Scenario_Data!T148)^2+Inputs!$C$6^2)/Inputs!$C$52)))-(Inputs!$H$6))*1000/Inputs!$C$12)</f>
        <v/>
      </c>
      <c r="K148">
        <f>Scenario_Data!I148-(((SQRT((Inputs!$C$52+(Inputs!$H$7))^2+Inputs!$C$52^2-2*(Inputs!$C$52+(Inputs!$H$7))*Inputs!$C$52*COS(SQRT((Scenario_Data!U148)^2+Inputs!$C$6^2)/Inputs!$C$52)))-(Inputs!$H$7))*1000/Inputs!$C$12)</f>
        <v/>
      </c>
      <c r="L148">
        <f>Scenario_Data!J148-(((SQRT((Inputs!$C$52+(Inputs!$H$8))^2+Inputs!$C$52^2-2*(Inputs!$C$52+(Inputs!$H$8))*Inputs!$C$52*COS(SQRT((Scenario_Data!V148)^2+Inputs!$C$6^2)/Inputs!$C$52)))-(Inputs!$H$8))*1000/Inputs!$C$12)</f>
        <v/>
      </c>
      <c r="M148">
        <f>Scenario_Data!K148-(((SQRT((Inputs!$C$52+(Inputs!$H$9))^2+Inputs!$C$52^2-2*(Inputs!$C$52+(Inputs!$H$9))*Inputs!$C$52*COS(SQRT((Scenario_Data!W148)^2+Inputs!$C$6^2)/Inputs!$C$52)))-(Inputs!$H$9))*1000/Inputs!$C$12)</f>
        <v/>
      </c>
      <c r="O148">
        <f>Scenario_Data!T148</f>
        <v/>
      </c>
      <c r="P148">
        <f>2*(Scenario_Data!B148*1000)/Inputs!$C$21*1000000</f>
        <v/>
      </c>
      <c r="Q148">
        <f>Scenario_Data!U148</f>
        <v/>
      </c>
      <c r="R148">
        <f>2*(Scenario_Data!C148*1000)/Inputs!$C$21*1000000</f>
        <v/>
      </c>
      <c r="S148">
        <f>Scenario_Data!V148</f>
        <v/>
      </c>
      <c r="T148">
        <f>2*(Scenario_Data!D148*1000)/Inputs!$C$21*1000000</f>
        <v/>
      </c>
      <c r="U148">
        <f>Scenario_Data!W148</f>
        <v/>
      </c>
      <c r="V148">
        <f>2*(Scenario_Data!E148*1000)/Inputs!$C$21*1000000</f>
        <v/>
      </c>
      <c r="X148">
        <f>Scenario_Data!T148</f>
        <v/>
      </c>
      <c r="Y148">
        <f>2*((Scenario_Data!B148*1000)-(IF(OR(Inputs!$C$27=TRUE,Inputs!$C$27="TRUE",Inputs!$C$27=1),1,0)*(Inputs!$C$51*(115*EXP(-(((0)-25)^2)/(4.5^2))+70*EXP(-(((0)+38)^2)/(7^2))*(0.55+0.45*SIN(2*PI()*(Scenario_Data!T148)/45))+24*SIN(2*PI()*(0)/9+(Scenario_Data!T148)/18)*EXP(-(((0)+5)^2)/(22^2))+18*SIN(2*PI()*(Scenario_Data!T148)/70))+Inputs!$C$28*EXP(-(((Scenario_Data!T148)-Inputs!$C$29)^2)/(2*Inputs!$C$31^2))*EXP(-(((0)-Inputs!$C$30)^2)/(2*Inputs!$C$32^2))+-Inputs!$C$33*EXP(-(((((Scenario_Data!T148)-Inputs!$C$34)^2)+(((0)-Inputs!$C$35)^2))/(2*Inputs!$C$36^2)))+Inputs!$C$37*(0.55*SIN(2*PI()*(Scenario_Data!T148)/Inputs!$C$39)+0.35*COS(2*PI()*(0)/Inputs!$C$40)+0.2*SIN(2*PI()*((Scenario_Data!T148)+(0))/(0.5*(Inputs!$C$39+Inputs!$C$40))))+Inputs!$C$38*SIN(2*PI()*(Scenario_Data!T148)/Inputs!$C$39)*SIN(2*PI()*(0)/Inputs!$C$40)+-Inputs!$C$41*EXP(-(((0)-Inputs!$C$43)^2)/(2*Inputs!$C$44^2))*EXP(-(((Scenario_Data!T148)-Inputs!$C$42)^2)/(2*Inputs!$C$45^2))+Inputs!$C$48*(0.7*(0.45*SIN(2*PI()*(((Scenario_Data!T148)/Inputs!$C$49)+Inputs!$C$47*0.137))+0.35*COS(2*PI()*(((0)/Inputs!$C$50)+Inputs!$C$47*0.173))+0.2*SIN(2*PI()*((((Scenario_Data!T148)+(0))/(0.5*(Inputs!$C$49+Inputs!$C$50)))+Inputs!$C$47*0.097)))+0.3*(2*((SIN(((Scenario_Data!T148)*12.9898+(0)*78.233+Inputs!$C$47*37.719))*43758.5453)-INT((SIN(((Scenario_Data!T148)*12.9898+(0)*78.233+Inputs!$C$47*37.719))*43758.5453)))-1)))))/Inputs!$C$21*1000000</f>
        <v/>
      </c>
      <c r="Z148">
        <f>Scenario_Data!U148</f>
        <v/>
      </c>
      <c r="AA148">
        <f>2*((Scenario_Data!C148*1000)-(IF(OR(Inputs!$C$27=TRUE,Inputs!$C$27="TRUE",Inputs!$C$27=1),1,0)*(Inputs!$C$51*(115*EXP(-(((0)-25)^2)/(4.5^2))+70*EXP(-(((0)+38)^2)/(7^2))*(0.55+0.45*SIN(2*PI()*(Scenario_Data!U148)/45))+24*SIN(2*PI()*(0)/9+(Scenario_Data!U148)/18)*EXP(-(((0)+5)^2)/(22^2))+18*SIN(2*PI()*(Scenario_Data!U148)/70))+Inputs!$C$28*EXP(-(((Scenario_Data!U148)-Inputs!$C$29)^2)/(2*Inputs!$C$31^2))*EXP(-(((0)-Inputs!$C$30)^2)/(2*Inputs!$C$32^2))+-Inputs!$C$33*EXP(-(((((Scenario_Data!U148)-Inputs!$C$34)^2)+(((0)-Inputs!$C$35)^2))/(2*Inputs!$C$36^2)))+Inputs!$C$37*(0.55*SIN(2*PI()*(Scenario_Data!U148)/Inputs!$C$39)+0.35*COS(2*PI()*(0)/Inputs!$C$40)+0.2*SIN(2*PI()*((Scenario_Data!U148)+(0))/(0.5*(Inputs!$C$39+Inputs!$C$40))))+Inputs!$C$38*SIN(2*PI()*(Scenario_Data!U148)/Inputs!$C$39)*SIN(2*PI()*(0)/Inputs!$C$40)+-Inputs!$C$41*EXP(-(((0)-Inputs!$C$43)^2)/(2*Inputs!$C$44^2))*EXP(-(((Scenario_Data!U148)-Inputs!$C$42)^2)/(2*Inputs!$C$45^2))+Inputs!$C$48*(0.7*(0.45*SIN(2*PI()*(((Scenario_Data!U148)/Inputs!$C$49)+Inputs!$C$47*0.137))+0.35*COS(2*PI()*(((0)/Inputs!$C$50)+Inputs!$C$47*0.173))+0.2*SIN(2*PI()*((((Scenario_Data!U148)+(0))/(0.5*(Inputs!$C$49+Inputs!$C$50)))+Inputs!$C$47*0.097)))+0.3*(2*((SIN(((Scenario_Data!U148)*12.9898+(0)*78.233+Inputs!$C$47*37.719))*43758.5453)-INT((SIN(((Scenario_Data!U148)*12.9898+(0)*78.233+Inputs!$C$47*37.719))*43758.5453)))-1)))))/Inputs!$C$21*1000000</f>
        <v/>
      </c>
      <c r="AB148">
        <f>Scenario_Data!V148</f>
        <v/>
      </c>
      <c r="AC148">
        <f>2*((Scenario_Data!D148*1000)-(IF(OR(Inputs!$C$27=TRUE,Inputs!$C$27="TRUE",Inputs!$C$27=1),1,0)*(Inputs!$C$51*(115*EXP(-(((0)-25)^2)/(4.5^2))+70*EXP(-(((0)+38)^2)/(7^2))*(0.55+0.45*SIN(2*PI()*(Scenario_Data!V148)/45))+24*SIN(2*PI()*(0)/9+(Scenario_Data!V148)/18)*EXP(-(((0)+5)^2)/(22^2))+18*SIN(2*PI()*(Scenario_Data!V148)/70))+Inputs!$C$28*EXP(-(((Scenario_Data!V148)-Inputs!$C$29)^2)/(2*Inputs!$C$31^2))*EXP(-(((0)-Inputs!$C$30)^2)/(2*Inputs!$C$32^2))+-Inputs!$C$33*EXP(-(((((Scenario_Data!V148)-Inputs!$C$34)^2)+(((0)-Inputs!$C$35)^2))/(2*Inputs!$C$36^2)))+Inputs!$C$37*(0.55*SIN(2*PI()*(Scenario_Data!V148)/Inputs!$C$39)+0.35*COS(2*PI()*(0)/Inputs!$C$40)+0.2*SIN(2*PI()*((Scenario_Data!V148)+(0))/(0.5*(Inputs!$C$39+Inputs!$C$40))))+Inputs!$C$38*SIN(2*PI()*(Scenario_Data!V148)/Inputs!$C$39)*SIN(2*PI()*(0)/Inputs!$C$40)+-Inputs!$C$41*EXP(-(((0)-Inputs!$C$43)^2)/(2*Inputs!$C$44^2))*EXP(-(((Scenario_Data!V148)-Inputs!$C$42)^2)/(2*Inputs!$C$45^2))+Inputs!$C$48*(0.7*(0.45*SIN(2*PI()*(((Scenario_Data!V148)/Inputs!$C$49)+Inputs!$C$47*0.137))+0.35*COS(2*PI()*(((0)/Inputs!$C$50)+Inputs!$C$47*0.173))+0.2*SIN(2*PI()*((((Scenario_Data!V148)+(0))/(0.5*(Inputs!$C$49+Inputs!$C$50)))+Inputs!$C$47*0.097)))+0.3*(2*((SIN(((Scenario_Data!V148)*12.9898+(0)*78.233+Inputs!$C$47*37.719))*43758.5453)-INT((SIN(((Scenario_Data!V148)*12.9898+(0)*78.233+Inputs!$C$47*37.719))*43758.5453)))-1)))))/Inputs!$C$21*1000000</f>
        <v/>
      </c>
      <c r="AD148">
        <f>Scenario_Data!W148</f>
        <v/>
      </c>
      <c r="AE148">
        <f>2*((Scenario_Data!E148*1000)-(IF(OR(Inputs!$C$27=TRUE,Inputs!$C$27="TRUE",Inputs!$C$27=1),1,0)*(Inputs!$C$51*(115*EXP(-(((0)-25)^2)/(4.5^2))+70*EXP(-(((0)+38)^2)/(7^2))*(0.55+0.45*SIN(2*PI()*(Scenario_Data!W148)/45))+24*SIN(2*PI()*(0)/9+(Scenario_Data!W148)/18)*EXP(-(((0)+5)^2)/(22^2))+18*SIN(2*PI()*(Scenario_Data!W148)/70))+Inputs!$C$28*EXP(-(((Scenario_Data!W148)-Inputs!$C$29)^2)/(2*Inputs!$C$31^2))*EXP(-(((0)-Inputs!$C$30)^2)/(2*Inputs!$C$32^2))+-Inputs!$C$33*EXP(-(((((Scenario_Data!W148)-Inputs!$C$34)^2)+(((0)-Inputs!$C$35)^2))/(2*Inputs!$C$36^2)))+Inputs!$C$37*(0.55*SIN(2*PI()*(Scenario_Data!W148)/Inputs!$C$39)+0.35*COS(2*PI()*(0)/Inputs!$C$40)+0.2*SIN(2*PI()*((Scenario_Data!W148)+(0))/(0.5*(Inputs!$C$39+Inputs!$C$40))))+Inputs!$C$38*SIN(2*PI()*(Scenario_Data!W148)/Inputs!$C$39)*SIN(2*PI()*(0)/Inputs!$C$40)+-Inputs!$C$41*EXP(-(((0)-Inputs!$C$43)^2)/(2*Inputs!$C$44^2))*EXP(-(((Scenario_Data!W148)-Inputs!$C$42)^2)/(2*Inputs!$C$45^2))+Inputs!$C$48*(0.7*(0.45*SIN(2*PI()*(((Scenario_Data!W148)/Inputs!$C$49)+Inputs!$C$47*0.137))+0.35*COS(2*PI()*(((0)/Inputs!$C$50)+Inputs!$C$47*0.173))+0.2*SIN(2*PI()*((((Scenario_Data!W148)+(0))/(0.5*(Inputs!$C$49+Inputs!$C$50)))+Inputs!$C$47*0.097)))+0.3*(2*((SIN(((Scenario_Data!W148)*12.9898+(0)*78.233+Inputs!$C$47*37.719))*43758.5453)-INT((SIN(((Scenario_Data!W148)*12.9898+(0)*78.233+Inputs!$C$47*37.719))*43758.5453)))-1)))))/Inputs!$C$21*1000000</f>
        <v/>
      </c>
      <c r="AG148">
        <f>Scenario_Data!T148</f>
        <v/>
      </c>
      <c r="AH148">
        <f>2*(SQRT((Inputs!$C$52+(Scenario_Data!B148))^2+Inputs!$C$52^2-2*(Inputs!$C$52+(Scenario_Data!B148))*Inputs!$C$52*COS(SQRT((Scenario_Data!T148)^2+Inputs!$C$6^2)/Inputs!$C$52))*1000)/Inputs!$C$21*1000000</f>
        <v/>
      </c>
      <c r="AI148">
        <f>Scenario_Data!U148</f>
        <v/>
      </c>
      <c r="AJ148">
        <f>2*(SQRT((Inputs!$C$52+(Scenario_Data!C148))^2+Inputs!$C$52^2-2*(Inputs!$C$52+(Scenario_Data!C148))*Inputs!$C$52*COS(SQRT((Scenario_Data!U148)^2+Inputs!$C$6^2)/Inputs!$C$52))*1000)/Inputs!$C$21*1000000</f>
        <v/>
      </c>
      <c r="AK148">
        <f>Scenario_Data!V148</f>
        <v/>
      </c>
      <c r="AL148">
        <f>2*(SQRT((Inputs!$C$52+(Scenario_Data!D148))^2+Inputs!$C$52^2-2*(Inputs!$C$52+(Scenario_Data!D148))*Inputs!$C$52*COS(SQRT((Scenario_Data!V148)^2+Inputs!$C$6^2)/Inputs!$C$52))*1000)/Inputs!$C$21*1000000</f>
        <v/>
      </c>
      <c r="AM148">
        <f>Scenario_Data!W148</f>
        <v/>
      </c>
      <c r="AN148">
        <f>2*(SQRT((Inputs!$C$52+(Scenario_Data!E148))^2+Inputs!$C$52^2-2*(Inputs!$C$52+(Scenario_Data!E148))*Inputs!$C$52*COS(SQRT((Scenario_Data!W148)^2+Inputs!$C$6^2)/Inputs!$C$52))*1000)/Inputs!$C$21*1000000</f>
        <v/>
      </c>
      <c r="AP148">
        <f>Scenario_Data!T148</f>
        <v/>
      </c>
      <c r="AQ148">
        <f>2*(SQRT((Inputs!$C$52+(Scenario_Data!B148))^2+(Inputs!$C$52+((IF(OR(Inputs!$C$27=TRUE,Inputs!$C$27="TRUE",Inputs!$C$27=1),1,0)*(Inputs!$C$51*(115*EXP(-(((Inputs!$C$6)-25)^2)/(4.5^2))+70*EXP(-(((Inputs!$C$6)+38)^2)/(7^2))*(0.55+0.45*SIN(2*PI()*(Scenario_Data!T148)/45))+24*SIN(2*PI()*(Inputs!$C$6)/9+(Scenario_Data!T148)/18)*EXP(-(((Inputs!$C$6)+5)^2)/(22^2))+18*SIN(2*PI()*(Scenario_Data!T148)/70))+Inputs!$C$28*EXP(-(((Scenario_Data!T148)-Inputs!$C$29)^2)/(2*Inputs!$C$31^2))*EXP(-(((Inputs!$C$6)-Inputs!$C$30)^2)/(2*Inputs!$C$32^2))+-Inputs!$C$33*EXP(-(((((Scenario_Data!T148)-Inputs!$C$34)^2)+(((Inputs!$C$6)-Inputs!$C$35)^2))/(2*Inputs!$C$36^2)))+Inputs!$C$37*(0.55*SIN(2*PI()*(Scenario_Data!T148)/Inputs!$C$39)+0.35*COS(2*PI()*(Inputs!$C$6)/Inputs!$C$40)+0.2*SIN(2*PI()*((Scenario_Data!T148)+(Inputs!$C$6))/(0.5*(Inputs!$C$39+Inputs!$C$40))))+Inputs!$C$38*SIN(2*PI()*(Scenario_Data!T148)/Inputs!$C$39)*SIN(2*PI()*(Inputs!$C$6)/Inputs!$C$40)+-Inputs!$C$41*EXP(-(((Inputs!$C$6)-Inputs!$C$43)^2)/(2*Inputs!$C$44^2))*EXP(-(((Scenario_Data!T148)-Inputs!$C$42)^2)/(2*Inputs!$C$45^2))+Inputs!$C$48*(0.7*(0.45*SIN(2*PI()*(((Scenario_Data!T148)/Inputs!$C$49)+Inputs!$C$47*0.137))+0.35*COS(2*PI()*(((Inputs!$C$6)/Inputs!$C$50)+Inputs!$C$47*0.173))+0.2*SIN(2*PI()*((((Scenario_Data!T148)+(Inputs!$C$6))/(0.5*(Inputs!$C$49+Inputs!$C$50)))+Inputs!$C$47*0.097)))+0.3*(2*((SIN(((Scenario_Data!T148)*12.9898+(Inputs!$C$6)*78.233+Inputs!$C$47*37.719))*43758.5453)-INT((SIN(((Scenario_Data!T148)*12.9898+(Inputs!$C$6)*78.233+Inputs!$C$47*37.719))*43758.5453)))-1))))/1000))^2-2*(Inputs!$C$52+(Scenario_Data!B148))*(Inputs!$C$52+((IF(OR(Inputs!$C$27=TRUE,Inputs!$C$27="TRUE",Inputs!$C$27=1),1,0)*(Inputs!$C$51*(115*EXP(-(((Inputs!$C$6)-25)^2)/(4.5^2))+70*EXP(-(((Inputs!$C$6)+38)^2)/(7^2))*(0.55+0.45*SIN(2*PI()*(Scenario_Data!T148)/45))+24*SIN(2*PI()*(Inputs!$C$6)/9+(Scenario_Data!T148)/18)*EXP(-(((Inputs!$C$6)+5)^2)/(22^2))+18*SIN(2*PI()*(Scenario_Data!T148)/70))+Inputs!$C$28*EXP(-(((Scenario_Data!T148)-Inputs!$C$29)^2)/(2*Inputs!$C$31^2))*EXP(-(((Inputs!$C$6)-Inputs!$C$30)^2)/(2*Inputs!$C$32^2))+-Inputs!$C$33*EXP(-(((((Scenario_Data!T148)-Inputs!$C$34)^2)+(((Inputs!$C$6)-Inputs!$C$35)^2))/(2*Inputs!$C$36^2)))+Inputs!$C$37*(0.55*SIN(2*PI()*(Scenario_Data!T148)/Inputs!$C$39)+0.35*COS(2*PI()*(Inputs!$C$6)/Inputs!$C$40)+0.2*SIN(2*PI()*((Scenario_Data!T148)+(Inputs!$C$6))/(0.5*(Inputs!$C$39+Inputs!$C$40))))+Inputs!$C$38*SIN(2*PI()*(Scenario_Data!T148)/Inputs!$C$39)*SIN(2*PI()*(Inputs!$C$6)/Inputs!$C$40)+-Inputs!$C$41*EXP(-(((Inputs!$C$6)-Inputs!$C$43)^2)/(2*Inputs!$C$44^2))*EXP(-(((Scenario_Data!T148)-Inputs!$C$42)^2)/(2*Inputs!$C$45^2))+Inputs!$C$48*(0.7*(0.45*SIN(2*PI()*(((Scenario_Data!T148)/Inputs!$C$49)+Inputs!$C$47*0.137))+0.35*COS(2*PI()*(((Inputs!$C$6)/Inputs!$C$50)+Inputs!$C$47*0.173))+0.2*SIN(2*PI()*((((Scenario_Data!T148)+(Inputs!$C$6))/(0.5*(Inputs!$C$49+Inputs!$C$50)))+Inputs!$C$47*0.097)))+0.3*(2*((SIN(((Scenario_Data!T148)*12.9898+(Inputs!$C$6)*78.233+Inputs!$C$47*37.719))*43758.5453)-INT((SIN(((Scenario_Data!T148)*12.9898+(Inputs!$C$6)*78.233+Inputs!$C$47*37.719))*43758.5453)))-1))))/1000))*COS(SQRT((Scenario_Data!T148)^2+Inputs!$C$6^2)/Inputs!$C$52))*1000)/Inputs!$C$21*1000000</f>
        <v/>
      </c>
      <c r="AR148">
        <f>Scenario_Data!U148</f>
        <v/>
      </c>
      <c r="AS148">
        <f>2*(SQRT((Inputs!$C$52+(Scenario_Data!C148))^2+(Inputs!$C$52+((IF(OR(Inputs!$C$27=TRUE,Inputs!$C$27="TRUE",Inputs!$C$27=1),1,0)*(Inputs!$C$51*(115*EXP(-(((Inputs!$C$6)-25)^2)/(4.5^2))+70*EXP(-(((Inputs!$C$6)+38)^2)/(7^2))*(0.55+0.45*SIN(2*PI()*(Scenario_Data!U148)/45))+24*SIN(2*PI()*(Inputs!$C$6)/9+(Scenario_Data!U148)/18)*EXP(-(((Inputs!$C$6)+5)^2)/(22^2))+18*SIN(2*PI()*(Scenario_Data!U148)/70))+Inputs!$C$28*EXP(-(((Scenario_Data!U148)-Inputs!$C$29)^2)/(2*Inputs!$C$31^2))*EXP(-(((Inputs!$C$6)-Inputs!$C$30)^2)/(2*Inputs!$C$32^2))+-Inputs!$C$33*EXP(-(((((Scenario_Data!U148)-Inputs!$C$34)^2)+(((Inputs!$C$6)-Inputs!$C$35)^2))/(2*Inputs!$C$36^2)))+Inputs!$C$37*(0.55*SIN(2*PI()*(Scenario_Data!U148)/Inputs!$C$39)+0.35*COS(2*PI()*(Inputs!$C$6)/Inputs!$C$40)+0.2*SIN(2*PI()*((Scenario_Data!U148)+(Inputs!$C$6))/(0.5*(Inputs!$C$39+Inputs!$C$40))))+Inputs!$C$38*SIN(2*PI()*(Scenario_Data!U148)/Inputs!$C$39)*SIN(2*PI()*(Inputs!$C$6)/Inputs!$C$40)+-Inputs!$C$41*EXP(-(((Inputs!$C$6)-Inputs!$C$43)^2)/(2*Inputs!$C$44^2))*EXP(-(((Scenario_Data!U148)-Inputs!$C$42)^2)/(2*Inputs!$C$45^2))+Inputs!$C$48*(0.7*(0.45*SIN(2*PI()*(((Scenario_Data!U148)/Inputs!$C$49)+Inputs!$C$47*0.137))+0.35*COS(2*PI()*(((Inputs!$C$6)/Inputs!$C$50)+Inputs!$C$47*0.173))+0.2*SIN(2*PI()*((((Scenario_Data!U148)+(Inputs!$C$6))/(0.5*(Inputs!$C$49+Inputs!$C$50)))+Inputs!$C$47*0.097)))+0.3*(2*((SIN(((Scenario_Data!U148)*12.9898+(Inputs!$C$6)*78.233+Inputs!$C$47*37.719))*43758.5453)-INT((SIN(((Scenario_Data!U148)*12.9898+(Inputs!$C$6)*78.233+Inputs!$C$47*37.719))*43758.5453)))-1))))/1000))^2-2*(Inputs!$C$52+(Scenario_Data!C148))*(Inputs!$C$52+((IF(OR(Inputs!$C$27=TRUE,Inputs!$C$27="TRUE",Inputs!$C$27=1),1,0)*(Inputs!$C$51*(115*EXP(-(((Inputs!$C$6)-25)^2)/(4.5^2))+70*EXP(-(((Inputs!$C$6)+38)^2)/(7^2))*(0.55+0.45*SIN(2*PI()*(Scenario_Data!U148)/45))+24*SIN(2*PI()*(Inputs!$C$6)/9+(Scenario_Data!U148)/18)*EXP(-(((Inputs!$C$6)+5)^2)/(22^2))+18*SIN(2*PI()*(Scenario_Data!U148)/70))+Inputs!$C$28*EXP(-(((Scenario_Data!U148)-Inputs!$C$29)^2)/(2*Inputs!$C$31^2))*EXP(-(((Inputs!$C$6)-Inputs!$C$30)^2)/(2*Inputs!$C$32^2))+-Inputs!$C$33*EXP(-(((((Scenario_Data!U148)-Inputs!$C$34)^2)+(((Inputs!$C$6)-Inputs!$C$35)^2))/(2*Inputs!$C$36^2)))+Inputs!$C$37*(0.55*SIN(2*PI()*(Scenario_Data!U148)/Inputs!$C$39)+0.35*COS(2*PI()*(Inputs!$C$6)/Inputs!$C$40)+0.2*SIN(2*PI()*((Scenario_Data!U148)+(Inputs!$C$6))/(0.5*(Inputs!$C$39+Inputs!$C$40))))+Inputs!$C$38*SIN(2*PI()*(Scenario_Data!U148)/Inputs!$C$39)*SIN(2*PI()*(Inputs!$C$6)/Inputs!$C$40)+-Inputs!$C$41*EXP(-(((Inputs!$C$6)-Inputs!$C$43)^2)/(2*Inputs!$C$44^2))*EXP(-(((Scenario_Data!U148)-Inputs!$C$42)^2)/(2*Inputs!$C$45^2))+Inputs!$C$48*(0.7*(0.45*SIN(2*PI()*(((Scenario_Data!U148)/Inputs!$C$49)+Inputs!$C$47*0.137))+0.35*COS(2*PI()*(((Inputs!$C$6)/Inputs!$C$50)+Inputs!$C$47*0.173))+0.2*SIN(2*PI()*((((Scenario_Data!U148)+(Inputs!$C$6))/(0.5*(Inputs!$C$49+Inputs!$C$50)))+Inputs!$C$47*0.097)))+0.3*(2*((SIN(((Scenario_Data!U148)*12.9898+(Inputs!$C$6)*78.233+Inputs!$C$47*37.719))*43758.5453)-INT((SIN(((Scenario_Data!U148)*12.9898+(Inputs!$C$6)*78.233+Inputs!$C$47*37.719))*43758.5453)))-1))))/1000))*COS(SQRT((Scenario_Data!U148)^2+Inputs!$C$6^2)/Inputs!$C$52))*1000)/Inputs!$C$21*1000000</f>
        <v/>
      </c>
      <c r="AT148">
        <f>Scenario_Data!V148</f>
        <v/>
      </c>
      <c r="AU148">
        <f>2*(SQRT((Inputs!$C$52+(Scenario_Data!D148))^2+(Inputs!$C$52+((IF(OR(Inputs!$C$27=TRUE,Inputs!$C$27="TRUE",Inputs!$C$27=1),1,0)*(Inputs!$C$51*(115*EXP(-(((Inputs!$C$6)-25)^2)/(4.5^2))+70*EXP(-(((Inputs!$C$6)+38)^2)/(7^2))*(0.55+0.45*SIN(2*PI()*(Scenario_Data!V148)/45))+24*SIN(2*PI()*(Inputs!$C$6)/9+(Scenario_Data!V148)/18)*EXP(-(((Inputs!$C$6)+5)^2)/(22^2))+18*SIN(2*PI()*(Scenario_Data!V148)/70))+Inputs!$C$28*EXP(-(((Scenario_Data!V148)-Inputs!$C$29)^2)/(2*Inputs!$C$31^2))*EXP(-(((Inputs!$C$6)-Inputs!$C$30)^2)/(2*Inputs!$C$32^2))+-Inputs!$C$33*EXP(-(((((Scenario_Data!V148)-Inputs!$C$34)^2)+(((Inputs!$C$6)-Inputs!$C$35)^2))/(2*Inputs!$C$36^2)))+Inputs!$C$37*(0.55*SIN(2*PI()*(Scenario_Data!V148)/Inputs!$C$39)+0.35*COS(2*PI()*(Inputs!$C$6)/Inputs!$C$40)+0.2*SIN(2*PI()*((Scenario_Data!V148)+(Inputs!$C$6))/(0.5*(Inputs!$C$39+Inputs!$C$40))))+Inputs!$C$38*SIN(2*PI()*(Scenario_Data!V148)/Inputs!$C$39)*SIN(2*PI()*(Inputs!$C$6)/Inputs!$C$40)+-Inputs!$C$41*EXP(-(((Inputs!$C$6)-Inputs!$C$43)^2)/(2*Inputs!$C$44^2))*EXP(-(((Scenario_Data!V148)-Inputs!$C$42)^2)/(2*Inputs!$C$45^2))+Inputs!$C$48*(0.7*(0.45*SIN(2*PI()*(((Scenario_Data!V148)/Inputs!$C$49)+Inputs!$C$47*0.137))+0.35*COS(2*PI()*(((Inputs!$C$6)/Inputs!$C$50)+Inputs!$C$47*0.173))+0.2*SIN(2*PI()*((((Scenario_Data!V148)+(Inputs!$C$6))/(0.5*(Inputs!$C$49+Inputs!$C$50)))+Inputs!$C$47*0.097)))+0.3*(2*((SIN(((Scenario_Data!V148)*12.9898+(Inputs!$C$6)*78.233+Inputs!$C$47*37.719))*43758.5453)-INT((SIN(((Scenario_Data!V148)*12.9898+(Inputs!$C$6)*78.233+Inputs!$C$47*37.719))*43758.5453)))-1))))/1000))^2-2*(Inputs!$C$52+(Scenario_Data!D148))*(Inputs!$C$52+((IF(OR(Inputs!$C$27=TRUE,Inputs!$C$27="TRUE",Inputs!$C$27=1),1,0)*(Inputs!$C$51*(115*EXP(-(((Inputs!$C$6)-25)^2)/(4.5^2))+70*EXP(-(((Inputs!$C$6)+38)^2)/(7^2))*(0.55+0.45*SIN(2*PI()*(Scenario_Data!V148)/45))+24*SIN(2*PI()*(Inputs!$C$6)/9+(Scenario_Data!V148)/18)*EXP(-(((Inputs!$C$6)+5)^2)/(22^2))+18*SIN(2*PI()*(Scenario_Data!V148)/70))+Inputs!$C$28*EXP(-(((Scenario_Data!V148)-Inputs!$C$29)^2)/(2*Inputs!$C$31^2))*EXP(-(((Inputs!$C$6)-Inputs!$C$30)^2)/(2*Inputs!$C$32^2))+-Inputs!$C$33*EXP(-(((((Scenario_Data!V148)-Inputs!$C$34)^2)+(((Inputs!$C$6)-Inputs!$C$35)^2))/(2*Inputs!$C$36^2)))+Inputs!$C$37*(0.55*SIN(2*PI()*(Scenario_Data!V148)/Inputs!$C$39)+0.35*COS(2*PI()*(Inputs!$C$6)/Inputs!$C$40)+0.2*SIN(2*PI()*((Scenario_Data!V148)+(Inputs!$C$6))/(0.5*(Inputs!$C$39+Inputs!$C$40))))+Inputs!$C$38*SIN(2*PI()*(Scenario_Data!V148)/Inputs!$C$39)*SIN(2*PI()*(Inputs!$C$6)/Inputs!$C$40)+-Inputs!$C$41*EXP(-(((Inputs!$C$6)-Inputs!$C$43)^2)/(2*Inputs!$C$44^2))*EXP(-(((Scenario_Data!V148)-Inputs!$C$42)^2)/(2*Inputs!$C$45^2))+Inputs!$C$48*(0.7*(0.45*SIN(2*PI()*(((Scenario_Data!V148)/Inputs!$C$49)+Inputs!$C$47*0.137))+0.35*COS(2*PI()*(((Inputs!$C$6)/Inputs!$C$50)+Inputs!$C$47*0.173))+0.2*SIN(2*PI()*((((Scenario_Data!V148)+(Inputs!$C$6))/(0.5*(Inputs!$C$49+Inputs!$C$50)))+Inputs!$C$47*0.097)))+0.3*(2*((SIN(((Scenario_Data!V148)*12.9898+(Inputs!$C$6)*78.233+Inputs!$C$47*37.719))*43758.5453)-INT((SIN(((Scenario_Data!V148)*12.9898+(Inputs!$C$6)*78.233+Inputs!$C$47*37.719))*43758.5453)))-1))))/1000))*COS(SQRT((Scenario_Data!V148)^2+Inputs!$C$6^2)/Inputs!$C$52))*1000)/Inputs!$C$21*1000000</f>
        <v/>
      </c>
      <c r="AV148">
        <f>Scenario_Data!W148</f>
        <v/>
      </c>
      <c r="AW148">
        <f>2*(SQRT((Inputs!$C$52+(Scenario_Data!E148))^2+(Inputs!$C$52+((IF(OR(Inputs!$C$27=TRUE,Inputs!$C$27="TRUE",Inputs!$C$27=1),1,0)*(Inputs!$C$51*(115*EXP(-(((Inputs!$C$6)-25)^2)/(4.5^2))+70*EXP(-(((Inputs!$C$6)+38)^2)/(7^2))*(0.55+0.45*SIN(2*PI()*(Scenario_Data!W148)/45))+24*SIN(2*PI()*(Inputs!$C$6)/9+(Scenario_Data!W148)/18)*EXP(-(((Inputs!$C$6)+5)^2)/(22^2))+18*SIN(2*PI()*(Scenario_Data!W148)/70))+Inputs!$C$28*EXP(-(((Scenario_Data!W148)-Inputs!$C$29)^2)/(2*Inputs!$C$31^2))*EXP(-(((Inputs!$C$6)-Inputs!$C$30)^2)/(2*Inputs!$C$32^2))+-Inputs!$C$33*EXP(-(((((Scenario_Data!W148)-Inputs!$C$34)^2)+(((Inputs!$C$6)-Inputs!$C$35)^2))/(2*Inputs!$C$36^2)))+Inputs!$C$37*(0.55*SIN(2*PI()*(Scenario_Data!W148)/Inputs!$C$39)+0.35*COS(2*PI()*(Inputs!$C$6)/Inputs!$C$40)+0.2*SIN(2*PI()*((Scenario_Data!W148)+(Inputs!$C$6))/(0.5*(Inputs!$C$39+Inputs!$C$40))))+Inputs!$C$38*SIN(2*PI()*(Scenario_Data!W148)/Inputs!$C$39)*SIN(2*PI()*(Inputs!$C$6)/Inputs!$C$40)+-Inputs!$C$41*EXP(-(((Inputs!$C$6)-Inputs!$C$43)^2)/(2*Inputs!$C$44^2))*EXP(-(((Scenario_Data!W148)-Inputs!$C$42)^2)/(2*Inputs!$C$45^2))+Inputs!$C$48*(0.7*(0.45*SIN(2*PI()*(((Scenario_Data!W148)/Inputs!$C$49)+Inputs!$C$47*0.137))+0.35*COS(2*PI()*(((Inputs!$C$6)/Inputs!$C$50)+Inputs!$C$47*0.173))+0.2*SIN(2*PI()*((((Scenario_Data!W148)+(Inputs!$C$6))/(0.5*(Inputs!$C$49+Inputs!$C$50)))+Inputs!$C$47*0.097)))+0.3*(2*((SIN(((Scenario_Data!W148)*12.9898+(Inputs!$C$6)*78.233+Inputs!$C$47*37.719))*43758.5453)-INT((SIN(((Scenario_Data!W148)*12.9898+(Inputs!$C$6)*78.233+Inputs!$C$47*37.719))*43758.5453)))-1))))/1000))^2-2*(Inputs!$C$52+(Scenario_Data!E148))*(Inputs!$C$52+((IF(OR(Inputs!$C$27=TRUE,Inputs!$C$27="TRUE",Inputs!$C$27=1),1,0)*(Inputs!$C$51*(115*EXP(-(((Inputs!$C$6)-25)^2)/(4.5^2))+70*EXP(-(((Inputs!$C$6)+38)^2)/(7^2))*(0.55+0.45*SIN(2*PI()*(Scenario_Data!W148)/45))+24*SIN(2*PI()*(Inputs!$C$6)/9+(Scenario_Data!W148)/18)*EXP(-(((Inputs!$C$6)+5)^2)/(22^2))+18*SIN(2*PI()*(Scenario_Data!W148)/70))+Inputs!$C$28*EXP(-(((Scenario_Data!W148)-Inputs!$C$29)^2)/(2*Inputs!$C$31^2))*EXP(-(((Inputs!$C$6)-Inputs!$C$30)^2)/(2*Inputs!$C$32^2))+-Inputs!$C$33*EXP(-(((((Scenario_Data!W148)-Inputs!$C$34)^2)+(((Inputs!$C$6)-Inputs!$C$35)^2))/(2*Inputs!$C$36^2)))+Inputs!$C$37*(0.55*SIN(2*PI()*(Scenario_Data!W148)/Inputs!$C$39)+0.35*COS(2*PI()*(Inputs!$C$6)/Inputs!$C$40)+0.2*SIN(2*PI()*((Scenario_Data!W148)+(Inputs!$C$6))/(0.5*(Inputs!$C$39+Inputs!$C$40))))+Inputs!$C$38*SIN(2*PI()*(Scenario_Data!W148)/Inputs!$C$39)*SIN(2*PI()*(Inputs!$C$6)/Inputs!$C$40)+-Inputs!$C$41*EXP(-(((Inputs!$C$6)-Inputs!$C$43)^2)/(2*Inputs!$C$44^2))*EXP(-(((Scenario_Data!W148)-Inputs!$C$42)^2)/(2*Inputs!$C$45^2))+Inputs!$C$48*(0.7*(0.45*SIN(2*PI()*(((Scenario_Data!W148)/Inputs!$C$49)+Inputs!$C$47*0.137))+0.35*COS(2*PI()*(((Inputs!$C$6)/Inputs!$C$50)+Inputs!$C$47*0.173))+0.2*SIN(2*PI()*((((Scenario_Data!W148)+(Inputs!$C$6))/(0.5*(Inputs!$C$49+Inputs!$C$50)))+Inputs!$C$47*0.097)))+0.3*(2*((SIN(((Scenario_Data!W148)*12.9898+(Inputs!$C$6)*78.233+Inputs!$C$47*37.719))*43758.5453)-INT((SIN(((Scenario_Data!W148)*12.9898+(Inputs!$C$6)*78.233+Inputs!$C$47*37.719))*43758.5453)))-1))))/1000))*COS(SQRT((Scenario_Data!W148)^2+Inputs!$C$6^2)/Inputs!$C$52))*1000)/Inputs!$C$21*1000000</f>
        <v/>
      </c>
    </row>
    <row r="149">
      <c r="A149">
        <f>Chart_Data!K149</f>
        <v/>
      </c>
      <c r="B149">
        <f>Chart_Data!N149-Chart_Data!L149</f>
        <v/>
      </c>
      <c r="D149">
        <f>Chart_Data!G149</f>
        <v/>
      </c>
      <c r="E149">
        <f>Chart_Data!H149</f>
        <v/>
      </c>
      <c r="F149">
        <f>Chart_Data!I149</f>
        <v/>
      </c>
      <c r="G149">
        <f>Chart_Data!J149</f>
        <v/>
      </c>
      <c r="I149">
        <f>Scenario_Data!A149</f>
        <v/>
      </c>
      <c r="J149">
        <f>Scenario_Data!H149-(((SQRT((Inputs!$C$52+(Inputs!$H$6))^2+Inputs!$C$52^2-2*(Inputs!$C$52+(Inputs!$H$6))*Inputs!$C$52*COS(SQRT((Scenario_Data!T149)^2+Inputs!$C$6^2)/Inputs!$C$52)))-(Inputs!$H$6))*1000/Inputs!$C$12)</f>
        <v/>
      </c>
      <c r="K149">
        <f>Scenario_Data!I149-(((SQRT((Inputs!$C$52+(Inputs!$H$7))^2+Inputs!$C$52^2-2*(Inputs!$C$52+(Inputs!$H$7))*Inputs!$C$52*COS(SQRT((Scenario_Data!U149)^2+Inputs!$C$6^2)/Inputs!$C$52)))-(Inputs!$H$7))*1000/Inputs!$C$12)</f>
        <v/>
      </c>
      <c r="L149">
        <f>Scenario_Data!J149-(((SQRT((Inputs!$C$52+(Inputs!$H$8))^2+Inputs!$C$52^2-2*(Inputs!$C$52+(Inputs!$H$8))*Inputs!$C$52*COS(SQRT((Scenario_Data!V149)^2+Inputs!$C$6^2)/Inputs!$C$52)))-(Inputs!$H$8))*1000/Inputs!$C$12)</f>
        <v/>
      </c>
      <c r="M149">
        <f>Scenario_Data!K149-(((SQRT((Inputs!$C$52+(Inputs!$H$9))^2+Inputs!$C$52^2-2*(Inputs!$C$52+(Inputs!$H$9))*Inputs!$C$52*COS(SQRT((Scenario_Data!W149)^2+Inputs!$C$6^2)/Inputs!$C$52)))-(Inputs!$H$9))*1000/Inputs!$C$12)</f>
        <v/>
      </c>
      <c r="O149">
        <f>Scenario_Data!T149</f>
        <v/>
      </c>
      <c r="P149">
        <f>2*(Scenario_Data!B149*1000)/Inputs!$C$21*1000000</f>
        <v/>
      </c>
      <c r="Q149">
        <f>Scenario_Data!U149</f>
        <v/>
      </c>
      <c r="R149">
        <f>2*(Scenario_Data!C149*1000)/Inputs!$C$21*1000000</f>
        <v/>
      </c>
      <c r="S149">
        <f>Scenario_Data!V149</f>
        <v/>
      </c>
      <c r="T149">
        <f>2*(Scenario_Data!D149*1000)/Inputs!$C$21*1000000</f>
        <v/>
      </c>
      <c r="U149">
        <f>Scenario_Data!W149</f>
        <v/>
      </c>
      <c r="V149">
        <f>2*(Scenario_Data!E149*1000)/Inputs!$C$21*1000000</f>
        <v/>
      </c>
      <c r="X149">
        <f>Scenario_Data!T149</f>
        <v/>
      </c>
      <c r="Y149">
        <f>2*((Scenario_Data!B149*1000)-(IF(OR(Inputs!$C$27=TRUE,Inputs!$C$27="TRUE",Inputs!$C$27=1),1,0)*(Inputs!$C$51*(115*EXP(-(((0)-25)^2)/(4.5^2))+70*EXP(-(((0)+38)^2)/(7^2))*(0.55+0.45*SIN(2*PI()*(Scenario_Data!T149)/45))+24*SIN(2*PI()*(0)/9+(Scenario_Data!T149)/18)*EXP(-(((0)+5)^2)/(22^2))+18*SIN(2*PI()*(Scenario_Data!T149)/70))+Inputs!$C$28*EXP(-(((Scenario_Data!T149)-Inputs!$C$29)^2)/(2*Inputs!$C$31^2))*EXP(-(((0)-Inputs!$C$30)^2)/(2*Inputs!$C$32^2))+-Inputs!$C$33*EXP(-(((((Scenario_Data!T149)-Inputs!$C$34)^2)+(((0)-Inputs!$C$35)^2))/(2*Inputs!$C$36^2)))+Inputs!$C$37*(0.55*SIN(2*PI()*(Scenario_Data!T149)/Inputs!$C$39)+0.35*COS(2*PI()*(0)/Inputs!$C$40)+0.2*SIN(2*PI()*((Scenario_Data!T149)+(0))/(0.5*(Inputs!$C$39+Inputs!$C$40))))+Inputs!$C$38*SIN(2*PI()*(Scenario_Data!T149)/Inputs!$C$39)*SIN(2*PI()*(0)/Inputs!$C$40)+-Inputs!$C$41*EXP(-(((0)-Inputs!$C$43)^2)/(2*Inputs!$C$44^2))*EXP(-(((Scenario_Data!T149)-Inputs!$C$42)^2)/(2*Inputs!$C$45^2))+Inputs!$C$48*(0.7*(0.45*SIN(2*PI()*(((Scenario_Data!T149)/Inputs!$C$49)+Inputs!$C$47*0.137))+0.35*COS(2*PI()*(((0)/Inputs!$C$50)+Inputs!$C$47*0.173))+0.2*SIN(2*PI()*((((Scenario_Data!T149)+(0))/(0.5*(Inputs!$C$49+Inputs!$C$50)))+Inputs!$C$47*0.097)))+0.3*(2*((SIN(((Scenario_Data!T149)*12.9898+(0)*78.233+Inputs!$C$47*37.719))*43758.5453)-INT((SIN(((Scenario_Data!T149)*12.9898+(0)*78.233+Inputs!$C$47*37.719))*43758.5453)))-1)))))/Inputs!$C$21*1000000</f>
        <v/>
      </c>
      <c r="Z149">
        <f>Scenario_Data!U149</f>
        <v/>
      </c>
      <c r="AA149">
        <f>2*((Scenario_Data!C149*1000)-(IF(OR(Inputs!$C$27=TRUE,Inputs!$C$27="TRUE",Inputs!$C$27=1),1,0)*(Inputs!$C$51*(115*EXP(-(((0)-25)^2)/(4.5^2))+70*EXP(-(((0)+38)^2)/(7^2))*(0.55+0.45*SIN(2*PI()*(Scenario_Data!U149)/45))+24*SIN(2*PI()*(0)/9+(Scenario_Data!U149)/18)*EXP(-(((0)+5)^2)/(22^2))+18*SIN(2*PI()*(Scenario_Data!U149)/70))+Inputs!$C$28*EXP(-(((Scenario_Data!U149)-Inputs!$C$29)^2)/(2*Inputs!$C$31^2))*EXP(-(((0)-Inputs!$C$30)^2)/(2*Inputs!$C$32^2))+-Inputs!$C$33*EXP(-(((((Scenario_Data!U149)-Inputs!$C$34)^2)+(((0)-Inputs!$C$35)^2))/(2*Inputs!$C$36^2)))+Inputs!$C$37*(0.55*SIN(2*PI()*(Scenario_Data!U149)/Inputs!$C$39)+0.35*COS(2*PI()*(0)/Inputs!$C$40)+0.2*SIN(2*PI()*((Scenario_Data!U149)+(0))/(0.5*(Inputs!$C$39+Inputs!$C$40))))+Inputs!$C$38*SIN(2*PI()*(Scenario_Data!U149)/Inputs!$C$39)*SIN(2*PI()*(0)/Inputs!$C$40)+-Inputs!$C$41*EXP(-(((0)-Inputs!$C$43)^2)/(2*Inputs!$C$44^2))*EXP(-(((Scenario_Data!U149)-Inputs!$C$42)^2)/(2*Inputs!$C$45^2))+Inputs!$C$48*(0.7*(0.45*SIN(2*PI()*(((Scenario_Data!U149)/Inputs!$C$49)+Inputs!$C$47*0.137))+0.35*COS(2*PI()*(((0)/Inputs!$C$50)+Inputs!$C$47*0.173))+0.2*SIN(2*PI()*((((Scenario_Data!U149)+(0))/(0.5*(Inputs!$C$49+Inputs!$C$50)))+Inputs!$C$47*0.097)))+0.3*(2*((SIN(((Scenario_Data!U149)*12.9898+(0)*78.233+Inputs!$C$47*37.719))*43758.5453)-INT((SIN(((Scenario_Data!U149)*12.9898+(0)*78.233+Inputs!$C$47*37.719))*43758.5453)))-1)))))/Inputs!$C$21*1000000</f>
        <v/>
      </c>
      <c r="AB149">
        <f>Scenario_Data!V149</f>
        <v/>
      </c>
      <c r="AC149">
        <f>2*((Scenario_Data!D149*1000)-(IF(OR(Inputs!$C$27=TRUE,Inputs!$C$27="TRUE",Inputs!$C$27=1),1,0)*(Inputs!$C$51*(115*EXP(-(((0)-25)^2)/(4.5^2))+70*EXP(-(((0)+38)^2)/(7^2))*(0.55+0.45*SIN(2*PI()*(Scenario_Data!V149)/45))+24*SIN(2*PI()*(0)/9+(Scenario_Data!V149)/18)*EXP(-(((0)+5)^2)/(22^2))+18*SIN(2*PI()*(Scenario_Data!V149)/70))+Inputs!$C$28*EXP(-(((Scenario_Data!V149)-Inputs!$C$29)^2)/(2*Inputs!$C$31^2))*EXP(-(((0)-Inputs!$C$30)^2)/(2*Inputs!$C$32^2))+-Inputs!$C$33*EXP(-(((((Scenario_Data!V149)-Inputs!$C$34)^2)+(((0)-Inputs!$C$35)^2))/(2*Inputs!$C$36^2)))+Inputs!$C$37*(0.55*SIN(2*PI()*(Scenario_Data!V149)/Inputs!$C$39)+0.35*COS(2*PI()*(0)/Inputs!$C$40)+0.2*SIN(2*PI()*((Scenario_Data!V149)+(0))/(0.5*(Inputs!$C$39+Inputs!$C$40))))+Inputs!$C$38*SIN(2*PI()*(Scenario_Data!V149)/Inputs!$C$39)*SIN(2*PI()*(0)/Inputs!$C$40)+-Inputs!$C$41*EXP(-(((0)-Inputs!$C$43)^2)/(2*Inputs!$C$44^2))*EXP(-(((Scenario_Data!V149)-Inputs!$C$42)^2)/(2*Inputs!$C$45^2))+Inputs!$C$48*(0.7*(0.45*SIN(2*PI()*(((Scenario_Data!V149)/Inputs!$C$49)+Inputs!$C$47*0.137))+0.35*COS(2*PI()*(((0)/Inputs!$C$50)+Inputs!$C$47*0.173))+0.2*SIN(2*PI()*((((Scenario_Data!V149)+(0))/(0.5*(Inputs!$C$49+Inputs!$C$50)))+Inputs!$C$47*0.097)))+0.3*(2*((SIN(((Scenario_Data!V149)*12.9898+(0)*78.233+Inputs!$C$47*37.719))*43758.5453)-INT((SIN(((Scenario_Data!V149)*12.9898+(0)*78.233+Inputs!$C$47*37.719))*43758.5453)))-1)))))/Inputs!$C$21*1000000</f>
        <v/>
      </c>
      <c r="AD149">
        <f>Scenario_Data!W149</f>
        <v/>
      </c>
      <c r="AE149">
        <f>2*((Scenario_Data!E149*1000)-(IF(OR(Inputs!$C$27=TRUE,Inputs!$C$27="TRUE",Inputs!$C$27=1),1,0)*(Inputs!$C$51*(115*EXP(-(((0)-25)^2)/(4.5^2))+70*EXP(-(((0)+38)^2)/(7^2))*(0.55+0.45*SIN(2*PI()*(Scenario_Data!W149)/45))+24*SIN(2*PI()*(0)/9+(Scenario_Data!W149)/18)*EXP(-(((0)+5)^2)/(22^2))+18*SIN(2*PI()*(Scenario_Data!W149)/70))+Inputs!$C$28*EXP(-(((Scenario_Data!W149)-Inputs!$C$29)^2)/(2*Inputs!$C$31^2))*EXP(-(((0)-Inputs!$C$30)^2)/(2*Inputs!$C$32^2))+-Inputs!$C$33*EXP(-(((((Scenario_Data!W149)-Inputs!$C$34)^2)+(((0)-Inputs!$C$35)^2))/(2*Inputs!$C$36^2)))+Inputs!$C$37*(0.55*SIN(2*PI()*(Scenario_Data!W149)/Inputs!$C$39)+0.35*COS(2*PI()*(0)/Inputs!$C$40)+0.2*SIN(2*PI()*((Scenario_Data!W149)+(0))/(0.5*(Inputs!$C$39+Inputs!$C$40))))+Inputs!$C$38*SIN(2*PI()*(Scenario_Data!W149)/Inputs!$C$39)*SIN(2*PI()*(0)/Inputs!$C$40)+-Inputs!$C$41*EXP(-(((0)-Inputs!$C$43)^2)/(2*Inputs!$C$44^2))*EXP(-(((Scenario_Data!W149)-Inputs!$C$42)^2)/(2*Inputs!$C$45^2))+Inputs!$C$48*(0.7*(0.45*SIN(2*PI()*(((Scenario_Data!W149)/Inputs!$C$49)+Inputs!$C$47*0.137))+0.35*COS(2*PI()*(((0)/Inputs!$C$50)+Inputs!$C$47*0.173))+0.2*SIN(2*PI()*((((Scenario_Data!W149)+(0))/(0.5*(Inputs!$C$49+Inputs!$C$50)))+Inputs!$C$47*0.097)))+0.3*(2*((SIN(((Scenario_Data!W149)*12.9898+(0)*78.233+Inputs!$C$47*37.719))*43758.5453)-INT((SIN(((Scenario_Data!W149)*12.9898+(0)*78.233+Inputs!$C$47*37.719))*43758.5453)))-1)))))/Inputs!$C$21*1000000</f>
        <v/>
      </c>
      <c r="AG149">
        <f>Scenario_Data!T149</f>
        <v/>
      </c>
      <c r="AH149">
        <f>2*(SQRT((Inputs!$C$52+(Scenario_Data!B149))^2+Inputs!$C$52^2-2*(Inputs!$C$52+(Scenario_Data!B149))*Inputs!$C$52*COS(SQRT((Scenario_Data!T149)^2+Inputs!$C$6^2)/Inputs!$C$52))*1000)/Inputs!$C$21*1000000</f>
        <v/>
      </c>
      <c r="AI149">
        <f>Scenario_Data!U149</f>
        <v/>
      </c>
      <c r="AJ149">
        <f>2*(SQRT((Inputs!$C$52+(Scenario_Data!C149))^2+Inputs!$C$52^2-2*(Inputs!$C$52+(Scenario_Data!C149))*Inputs!$C$52*COS(SQRT((Scenario_Data!U149)^2+Inputs!$C$6^2)/Inputs!$C$52))*1000)/Inputs!$C$21*1000000</f>
        <v/>
      </c>
      <c r="AK149">
        <f>Scenario_Data!V149</f>
        <v/>
      </c>
      <c r="AL149">
        <f>2*(SQRT((Inputs!$C$52+(Scenario_Data!D149))^2+Inputs!$C$52^2-2*(Inputs!$C$52+(Scenario_Data!D149))*Inputs!$C$52*COS(SQRT((Scenario_Data!V149)^2+Inputs!$C$6^2)/Inputs!$C$52))*1000)/Inputs!$C$21*1000000</f>
        <v/>
      </c>
      <c r="AM149">
        <f>Scenario_Data!W149</f>
        <v/>
      </c>
      <c r="AN149">
        <f>2*(SQRT((Inputs!$C$52+(Scenario_Data!E149))^2+Inputs!$C$52^2-2*(Inputs!$C$52+(Scenario_Data!E149))*Inputs!$C$52*COS(SQRT((Scenario_Data!W149)^2+Inputs!$C$6^2)/Inputs!$C$52))*1000)/Inputs!$C$21*1000000</f>
        <v/>
      </c>
      <c r="AP149">
        <f>Scenario_Data!T149</f>
        <v/>
      </c>
      <c r="AQ149">
        <f>2*(SQRT((Inputs!$C$52+(Scenario_Data!B149))^2+(Inputs!$C$52+((IF(OR(Inputs!$C$27=TRUE,Inputs!$C$27="TRUE",Inputs!$C$27=1),1,0)*(Inputs!$C$51*(115*EXP(-(((Inputs!$C$6)-25)^2)/(4.5^2))+70*EXP(-(((Inputs!$C$6)+38)^2)/(7^2))*(0.55+0.45*SIN(2*PI()*(Scenario_Data!T149)/45))+24*SIN(2*PI()*(Inputs!$C$6)/9+(Scenario_Data!T149)/18)*EXP(-(((Inputs!$C$6)+5)^2)/(22^2))+18*SIN(2*PI()*(Scenario_Data!T149)/70))+Inputs!$C$28*EXP(-(((Scenario_Data!T149)-Inputs!$C$29)^2)/(2*Inputs!$C$31^2))*EXP(-(((Inputs!$C$6)-Inputs!$C$30)^2)/(2*Inputs!$C$32^2))+-Inputs!$C$33*EXP(-(((((Scenario_Data!T149)-Inputs!$C$34)^2)+(((Inputs!$C$6)-Inputs!$C$35)^2))/(2*Inputs!$C$36^2)))+Inputs!$C$37*(0.55*SIN(2*PI()*(Scenario_Data!T149)/Inputs!$C$39)+0.35*COS(2*PI()*(Inputs!$C$6)/Inputs!$C$40)+0.2*SIN(2*PI()*((Scenario_Data!T149)+(Inputs!$C$6))/(0.5*(Inputs!$C$39+Inputs!$C$40))))+Inputs!$C$38*SIN(2*PI()*(Scenario_Data!T149)/Inputs!$C$39)*SIN(2*PI()*(Inputs!$C$6)/Inputs!$C$40)+-Inputs!$C$41*EXP(-(((Inputs!$C$6)-Inputs!$C$43)^2)/(2*Inputs!$C$44^2))*EXP(-(((Scenario_Data!T149)-Inputs!$C$42)^2)/(2*Inputs!$C$45^2))+Inputs!$C$48*(0.7*(0.45*SIN(2*PI()*(((Scenario_Data!T149)/Inputs!$C$49)+Inputs!$C$47*0.137))+0.35*COS(2*PI()*(((Inputs!$C$6)/Inputs!$C$50)+Inputs!$C$47*0.173))+0.2*SIN(2*PI()*((((Scenario_Data!T149)+(Inputs!$C$6))/(0.5*(Inputs!$C$49+Inputs!$C$50)))+Inputs!$C$47*0.097)))+0.3*(2*((SIN(((Scenario_Data!T149)*12.9898+(Inputs!$C$6)*78.233+Inputs!$C$47*37.719))*43758.5453)-INT((SIN(((Scenario_Data!T149)*12.9898+(Inputs!$C$6)*78.233+Inputs!$C$47*37.719))*43758.5453)))-1))))/1000))^2-2*(Inputs!$C$52+(Scenario_Data!B149))*(Inputs!$C$52+((IF(OR(Inputs!$C$27=TRUE,Inputs!$C$27="TRUE",Inputs!$C$27=1),1,0)*(Inputs!$C$51*(115*EXP(-(((Inputs!$C$6)-25)^2)/(4.5^2))+70*EXP(-(((Inputs!$C$6)+38)^2)/(7^2))*(0.55+0.45*SIN(2*PI()*(Scenario_Data!T149)/45))+24*SIN(2*PI()*(Inputs!$C$6)/9+(Scenario_Data!T149)/18)*EXP(-(((Inputs!$C$6)+5)^2)/(22^2))+18*SIN(2*PI()*(Scenario_Data!T149)/70))+Inputs!$C$28*EXP(-(((Scenario_Data!T149)-Inputs!$C$29)^2)/(2*Inputs!$C$31^2))*EXP(-(((Inputs!$C$6)-Inputs!$C$30)^2)/(2*Inputs!$C$32^2))+-Inputs!$C$33*EXP(-(((((Scenario_Data!T149)-Inputs!$C$34)^2)+(((Inputs!$C$6)-Inputs!$C$35)^2))/(2*Inputs!$C$36^2)))+Inputs!$C$37*(0.55*SIN(2*PI()*(Scenario_Data!T149)/Inputs!$C$39)+0.35*COS(2*PI()*(Inputs!$C$6)/Inputs!$C$40)+0.2*SIN(2*PI()*((Scenario_Data!T149)+(Inputs!$C$6))/(0.5*(Inputs!$C$39+Inputs!$C$40))))+Inputs!$C$38*SIN(2*PI()*(Scenario_Data!T149)/Inputs!$C$39)*SIN(2*PI()*(Inputs!$C$6)/Inputs!$C$40)+-Inputs!$C$41*EXP(-(((Inputs!$C$6)-Inputs!$C$43)^2)/(2*Inputs!$C$44^2))*EXP(-(((Scenario_Data!T149)-Inputs!$C$42)^2)/(2*Inputs!$C$45^2))+Inputs!$C$48*(0.7*(0.45*SIN(2*PI()*(((Scenario_Data!T149)/Inputs!$C$49)+Inputs!$C$47*0.137))+0.35*COS(2*PI()*(((Inputs!$C$6)/Inputs!$C$50)+Inputs!$C$47*0.173))+0.2*SIN(2*PI()*((((Scenario_Data!T149)+(Inputs!$C$6))/(0.5*(Inputs!$C$49+Inputs!$C$50)))+Inputs!$C$47*0.097)))+0.3*(2*((SIN(((Scenario_Data!T149)*12.9898+(Inputs!$C$6)*78.233+Inputs!$C$47*37.719))*43758.5453)-INT((SIN(((Scenario_Data!T149)*12.9898+(Inputs!$C$6)*78.233+Inputs!$C$47*37.719))*43758.5453)))-1))))/1000))*COS(SQRT((Scenario_Data!T149)^2+Inputs!$C$6^2)/Inputs!$C$52))*1000)/Inputs!$C$21*1000000</f>
        <v/>
      </c>
      <c r="AR149">
        <f>Scenario_Data!U149</f>
        <v/>
      </c>
      <c r="AS149">
        <f>2*(SQRT((Inputs!$C$52+(Scenario_Data!C149))^2+(Inputs!$C$52+((IF(OR(Inputs!$C$27=TRUE,Inputs!$C$27="TRUE",Inputs!$C$27=1),1,0)*(Inputs!$C$51*(115*EXP(-(((Inputs!$C$6)-25)^2)/(4.5^2))+70*EXP(-(((Inputs!$C$6)+38)^2)/(7^2))*(0.55+0.45*SIN(2*PI()*(Scenario_Data!U149)/45))+24*SIN(2*PI()*(Inputs!$C$6)/9+(Scenario_Data!U149)/18)*EXP(-(((Inputs!$C$6)+5)^2)/(22^2))+18*SIN(2*PI()*(Scenario_Data!U149)/70))+Inputs!$C$28*EXP(-(((Scenario_Data!U149)-Inputs!$C$29)^2)/(2*Inputs!$C$31^2))*EXP(-(((Inputs!$C$6)-Inputs!$C$30)^2)/(2*Inputs!$C$32^2))+-Inputs!$C$33*EXP(-(((((Scenario_Data!U149)-Inputs!$C$34)^2)+(((Inputs!$C$6)-Inputs!$C$35)^2))/(2*Inputs!$C$36^2)))+Inputs!$C$37*(0.55*SIN(2*PI()*(Scenario_Data!U149)/Inputs!$C$39)+0.35*COS(2*PI()*(Inputs!$C$6)/Inputs!$C$40)+0.2*SIN(2*PI()*((Scenario_Data!U149)+(Inputs!$C$6))/(0.5*(Inputs!$C$39+Inputs!$C$40))))+Inputs!$C$38*SIN(2*PI()*(Scenario_Data!U149)/Inputs!$C$39)*SIN(2*PI()*(Inputs!$C$6)/Inputs!$C$40)+-Inputs!$C$41*EXP(-(((Inputs!$C$6)-Inputs!$C$43)^2)/(2*Inputs!$C$44^2))*EXP(-(((Scenario_Data!U149)-Inputs!$C$42)^2)/(2*Inputs!$C$45^2))+Inputs!$C$48*(0.7*(0.45*SIN(2*PI()*(((Scenario_Data!U149)/Inputs!$C$49)+Inputs!$C$47*0.137))+0.35*COS(2*PI()*(((Inputs!$C$6)/Inputs!$C$50)+Inputs!$C$47*0.173))+0.2*SIN(2*PI()*((((Scenario_Data!U149)+(Inputs!$C$6))/(0.5*(Inputs!$C$49+Inputs!$C$50)))+Inputs!$C$47*0.097)))+0.3*(2*((SIN(((Scenario_Data!U149)*12.9898+(Inputs!$C$6)*78.233+Inputs!$C$47*37.719))*43758.5453)-INT((SIN(((Scenario_Data!U149)*12.9898+(Inputs!$C$6)*78.233+Inputs!$C$47*37.719))*43758.5453)))-1))))/1000))^2-2*(Inputs!$C$52+(Scenario_Data!C149))*(Inputs!$C$52+((IF(OR(Inputs!$C$27=TRUE,Inputs!$C$27="TRUE",Inputs!$C$27=1),1,0)*(Inputs!$C$51*(115*EXP(-(((Inputs!$C$6)-25)^2)/(4.5^2))+70*EXP(-(((Inputs!$C$6)+38)^2)/(7^2))*(0.55+0.45*SIN(2*PI()*(Scenario_Data!U149)/45))+24*SIN(2*PI()*(Inputs!$C$6)/9+(Scenario_Data!U149)/18)*EXP(-(((Inputs!$C$6)+5)^2)/(22^2))+18*SIN(2*PI()*(Scenario_Data!U149)/70))+Inputs!$C$28*EXP(-(((Scenario_Data!U149)-Inputs!$C$29)^2)/(2*Inputs!$C$31^2))*EXP(-(((Inputs!$C$6)-Inputs!$C$30)^2)/(2*Inputs!$C$32^2))+-Inputs!$C$33*EXP(-(((((Scenario_Data!U149)-Inputs!$C$34)^2)+(((Inputs!$C$6)-Inputs!$C$35)^2))/(2*Inputs!$C$36^2)))+Inputs!$C$37*(0.55*SIN(2*PI()*(Scenario_Data!U149)/Inputs!$C$39)+0.35*COS(2*PI()*(Inputs!$C$6)/Inputs!$C$40)+0.2*SIN(2*PI()*((Scenario_Data!U149)+(Inputs!$C$6))/(0.5*(Inputs!$C$39+Inputs!$C$40))))+Inputs!$C$38*SIN(2*PI()*(Scenario_Data!U149)/Inputs!$C$39)*SIN(2*PI()*(Inputs!$C$6)/Inputs!$C$40)+-Inputs!$C$41*EXP(-(((Inputs!$C$6)-Inputs!$C$43)^2)/(2*Inputs!$C$44^2))*EXP(-(((Scenario_Data!U149)-Inputs!$C$42)^2)/(2*Inputs!$C$45^2))+Inputs!$C$48*(0.7*(0.45*SIN(2*PI()*(((Scenario_Data!U149)/Inputs!$C$49)+Inputs!$C$47*0.137))+0.35*COS(2*PI()*(((Inputs!$C$6)/Inputs!$C$50)+Inputs!$C$47*0.173))+0.2*SIN(2*PI()*((((Scenario_Data!U149)+(Inputs!$C$6))/(0.5*(Inputs!$C$49+Inputs!$C$50)))+Inputs!$C$47*0.097)))+0.3*(2*((SIN(((Scenario_Data!U149)*12.9898+(Inputs!$C$6)*78.233+Inputs!$C$47*37.719))*43758.5453)-INT((SIN(((Scenario_Data!U149)*12.9898+(Inputs!$C$6)*78.233+Inputs!$C$47*37.719))*43758.5453)))-1))))/1000))*COS(SQRT((Scenario_Data!U149)^2+Inputs!$C$6^2)/Inputs!$C$52))*1000)/Inputs!$C$21*1000000</f>
        <v/>
      </c>
      <c r="AT149">
        <f>Scenario_Data!V149</f>
        <v/>
      </c>
      <c r="AU149">
        <f>2*(SQRT((Inputs!$C$52+(Scenario_Data!D149))^2+(Inputs!$C$52+((IF(OR(Inputs!$C$27=TRUE,Inputs!$C$27="TRUE",Inputs!$C$27=1),1,0)*(Inputs!$C$51*(115*EXP(-(((Inputs!$C$6)-25)^2)/(4.5^2))+70*EXP(-(((Inputs!$C$6)+38)^2)/(7^2))*(0.55+0.45*SIN(2*PI()*(Scenario_Data!V149)/45))+24*SIN(2*PI()*(Inputs!$C$6)/9+(Scenario_Data!V149)/18)*EXP(-(((Inputs!$C$6)+5)^2)/(22^2))+18*SIN(2*PI()*(Scenario_Data!V149)/70))+Inputs!$C$28*EXP(-(((Scenario_Data!V149)-Inputs!$C$29)^2)/(2*Inputs!$C$31^2))*EXP(-(((Inputs!$C$6)-Inputs!$C$30)^2)/(2*Inputs!$C$32^2))+-Inputs!$C$33*EXP(-(((((Scenario_Data!V149)-Inputs!$C$34)^2)+(((Inputs!$C$6)-Inputs!$C$35)^2))/(2*Inputs!$C$36^2)))+Inputs!$C$37*(0.55*SIN(2*PI()*(Scenario_Data!V149)/Inputs!$C$39)+0.35*COS(2*PI()*(Inputs!$C$6)/Inputs!$C$40)+0.2*SIN(2*PI()*((Scenario_Data!V149)+(Inputs!$C$6))/(0.5*(Inputs!$C$39+Inputs!$C$40))))+Inputs!$C$38*SIN(2*PI()*(Scenario_Data!V149)/Inputs!$C$39)*SIN(2*PI()*(Inputs!$C$6)/Inputs!$C$40)+-Inputs!$C$41*EXP(-(((Inputs!$C$6)-Inputs!$C$43)^2)/(2*Inputs!$C$44^2))*EXP(-(((Scenario_Data!V149)-Inputs!$C$42)^2)/(2*Inputs!$C$45^2))+Inputs!$C$48*(0.7*(0.45*SIN(2*PI()*(((Scenario_Data!V149)/Inputs!$C$49)+Inputs!$C$47*0.137))+0.35*COS(2*PI()*(((Inputs!$C$6)/Inputs!$C$50)+Inputs!$C$47*0.173))+0.2*SIN(2*PI()*((((Scenario_Data!V149)+(Inputs!$C$6))/(0.5*(Inputs!$C$49+Inputs!$C$50)))+Inputs!$C$47*0.097)))+0.3*(2*((SIN(((Scenario_Data!V149)*12.9898+(Inputs!$C$6)*78.233+Inputs!$C$47*37.719))*43758.5453)-INT((SIN(((Scenario_Data!V149)*12.9898+(Inputs!$C$6)*78.233+Inputs!$C$47*37.719))*43758.5453)))-1))))/1000))^2-2*(Inputs!$C$52+(Scenario_Data!D149))*(Inputs!$C$52+((IF(OR(Inputs!$C$27=TRUE,Inputs!$C$27="TRUE",Inputs!$C$27=1),1,0)*(Inputs!$C$51*(115*EXP(-(((Inputs!$C$6)-25)^2)/(4.5^2))+70*EXP(-(((Inputs!$C$6)+38)^2)/(7^2))*(0.55+0.45*SIN(2*PI()*(Scenario_Data!V149)/45))+24*SIN(2*PI()*(Inputs!$C$6)/9+(Scenario_Data!V149)/18)*EXP(-(((Inputs!$C$6)+5)^2)/(22^2))+18*SIN(2*PI()*(Scenario_Data!V149)/70))+Inputs!$C$28*EXP(-(((Scenario_Data!V149)-Inputs!$C$29)^2)/(2*Inputs!$C$31^2))*EXP(-(((Inputs!$C$6)-Inputs!$C$30)^2)/(2*Inputs!$C$32^2))+-Inputs!$C$33*EXP(-(((((Scenario_Data!V149)-Inputs!$C$34)^2)+(((Inputs!$C$6)-Inputs!$C$35)^2))/(2*Inputs!$C$36^2)))+Inputs!$C$37*(0.55*SIN(2*PI()*(Scenario_Data!V149)/Inputs!$C$39)+0.35*COS(2*PI()*(Inputs!$C$6)/Inputs!$C$40)+0.2*SIN(2*PI()*((Scenario_Data!V149)+(Inputs!$C$6))/(0.5*(Inputs!$C$39+Inputs!$C$40))))+Inputs!$C$38*SIN(2*PI()*(Scenario_Data!V149)/Inputs!$C$39)*SIN(2*PI()*(Inputs!$C$6)/Inputs!$C$40)+-Inputs!$C$41*EXP(-(((Inputs!$C$6)-Inputs!$C$43)^2)/(2*Inputs!$C$44^2))*EXP(-(((Scenario_Data!V149)-Inputs!$C$42)^2)/(2*Inputs!$C$45^2))+Inputs!$C$48*(0.7*(0.45*SIN(2*PI()*(((Scenario_Data!V149)/Inputs!$C$49)+Inputs!$C$47*0.137))+0.35*COS(2*PI()*(((Inputs!$C$6)/Inputs!$C$50)+Inputs!$C$47*0.173))+0.2*SIN(2*PI()*((((Scenario_Data!V149)+(Inputs!$C$6))/(0.5*(Inputs!$C$49+Inputs!$C$50)))+Inputs!$C$47*0.097)))+0.3*(2*((SIN(((Scenario_Data!V149)*12.9898+(Inputs!$C$6)*78.233+Inputs!$C$47*37.719))*43758.5453)-INT((SIN(((Scenario_Data!V149)*12.9898+(Inputs!$C$6)*78.233+Inputs!$C$47*37.719))*43758.5453)))-1))))/1000))*COS(SQRT((Scenario_Data!V149)^2+Inputs!$C$6^2)/Inputs!$C$52))*1000)/Inputs!$C$21*1000000</f>
        <v/>
      </c>
      <c r="AV149">
        <f>Scenario_Data!W149</f>
        <v/>
      </c>
      <c r="AW149">
        <f>2*(SQRT((Inputs!$C$52+(Scenario_Data!E149))^2+(Inputs!$C$52+((IF(OR(Inputs!$C$27=TRUE,Inputs!$C$27="TRUE",Inputs!$C$27=1),1,0)*(Inputs!$C$51*(115*EXP(-(((Inputs!$C$6)-25)^2)/(4.5^2))+70*EXP(-(((Inputs!$C$6)+38)^2)/(7^2))*(0.55+0.45*SIN(2*PI()*(Scenario_Data!W149)/45))+24*SIN(2*PI()*(Inputs!$C$6)/9+(Scenario_Data!W149)/18)*EXP(-(((Inputs!$C$6)+5)^2)/(22^2))+18*SIN(2*PI()*(Scenario_Data!W149)/70))+Inputs!$C$28*EXP(-(((Scenario_Data!W149)-Inputs!$C$29)^2)/(2*Inputs!$C$31^2))*EXP(-(((Inputs!$C$6)-Inputs!$C$30)^2)/(2*Inputs!$C$32^2))+-Inputs!$C$33*EXP(-(((((Scenario_Data!W149)-Inputs!$C$34)^2)+(((Inputs!$C$6)-Inputs!$C$35)^2))/(2*Inputs!$C$36^2)))+Inputs!$C$37*(0.55*SIN(2*PI()*(Scenario_Data!W149)/Inputs!$C$39)+0.35*COS(2*PI()*(Inputs!$C$6)/Inputs!$C$40)+0.2*SIN(2*PI()*((Scenario_Data!W149)+(Inputs!$C$6))/(0.5*(Inputs!$C$39+Inputs!$C$40))))+Inputs!$C$38*SIN(2*PI()*(Scenario_Data!W149)/Inputs!$C$39)*SIN(2*PI()*(Inputs!$C$6)/Inputs!$C$40)+-Inputs!$C$41*EXP(-(((Inputs!$C$6)-Inputs!$C$43)^2)/(2*Inputs!$C$44^2))*EXP(-(((Scenario_Data!W149)-Inputs!$C$42)^2)/(2*Inputs!$C$45^2))+Inputs!$C$48*(0.7*(0.45*SIN(2*PI()*(((Scenario_Data!W149)/Inputs!$C$49)+Inputs!$C$47*0.137))+0.35*COS(2*PI()*(((Inputs!$C$6)/Inputs!$C$50)+Inputs!$C$47*0.173))+0.2*SIN(2*PI()*((((Scenario_Data!W149)+(Inputs!$C$6))/(0.5*(Inputs!$C$49+Inputs!$C$50)))+Inputs!$C$47*0.097)))+0.3*(2*((SIN(((Scenario_Data!W149)*12.9898+(Inputs!$C$6)*78.233+Inputs!$C$47*37.719))*43758.5453)-INT((SIN(((Scenario_Data!W149)*12.9898+(Inputs!$C$6)*78.233+Inputs!$C$47*37.719))*43758.5453)))-1))))/1000))^2-2*(Inputs!$C$52+(Scenario_Data!E149))*(Inputs!$C$52+((IF(OR(Inputs!$C$27=TRUE,Inputs!$C$27="TRUE",Inputs!$C$27=1),1,0)*(Inputs!$C$51*(115*EXP(-(((Inputs!$C$6)-25)^2)/(4.5^2))+70*EXP(-(((Inputs!$C$6)+38)^2)/(7^2))*(0.55+0.45*SIN(2*PI()*(Scenario_Data!W149)/45))+24*SIN(2*PI()*(Inputs!$C$6)/9+(Scenario_Data!W149)/18)*EXP(-(((Inputs!$C$6)+5)^2)/(22^2))+18*SIN(2*PI()*(Scenario_Data!W149)/70))+Inputs!$C$28*EXP(-(((Scenario_Data!W149)-Inputs!$C$29)^2)/(2*Inputs!$C$31^2))*EXP(-(((Inputs!$C$6)-Inputs!$C$30)^2)/(2*Inputs!$C$32^2))+-Inputs!$C$33*EXP(-(((((Scenario_Data!W149)-Inputs!$C$34)^2)+(((Inputs!$C$6)-Inputs!$C$35)^2))/(2*Inputs!$C$36^2)))+Inputs!$C$37*(0.55*SIN(2*PI()*(Scenario_Data!W149)/Inputs!$C$39)+0.35*COS(2*PI()*(Inputs!$C$6)/Inputs!$C$40)+0.2*SIN(2*PI()*((Scenario_Data!W149)+(Inputs!$C$6))/(0.5*(Inputs!$C$39+Inputs!$C$40))))+Inputs!$C$38*SIN(2*PI()*(Scenario_Data!W149)/Inputs!$C$39)*SIN(2*PI()*(Inputs!$C$6)/Inputs!$C$40)+-Inputs!$C$41*EXP(-(((Inputs!$C$6)-Inputs!$C$43)^2)/(2*Inputs!$C$44^2))*EXP(-(((Scenario_Data!W149)-Inputs!$C$42)^2)/(2*Inputs!$C$45^2))+Inputs!$C$48*(0.7*(0.45*SIN(2*PI()*(((Scenario_Data!W149)/Inputs!$C$49)+Inputs!$C$47*0.137))+0.35*COS(2*PI()*(((Inputs!$C$6)/Inputs!$C$50)+Inputs!$C$47*0.173))+0.2*SIN(2*PI()*((((Scenario_Data!W149)+(Inputs!$C$6))/(0.5*(Inputs!$C$49+Inputs!$C$50)))+Inputs!$C$47*0.097)))+0.3*(2*((SIN(((Scenario_Data!W149)*12.9898+(Inputs!$C$6)*78.233+Inputs!$C$47*37.719))*43758.5453)-INT((SIN(((Scenario_Data!W149)*12.9898+(Inputs!$C$6)*78.233+Inputs!$C$47*37.719))*43758.5453)))-1))))/1000))*COS(SQRT((Scenario_Data!W149)^2+Inputs!$C$6^2)/Inputs!$C$52))*1000)/Inputs!$C$21*1000000</f>
        <v/>
      </c>
    </row>
    <row r="150">
      <c r="A150">
        <f>Chart_Data!K150</f>
        <v/>
      </c>
      <c r="B150">
        <f>Chart_Data!N150-Chart_Data!L150</f>
        <v/>
      </c>
      <c r="D150">
        <f>Chart_Data!G150</f>
        <v/>
      </c>
      <c r="E150">
        <f>Chart_Data!H150</f>
        <v/>
      </c>
      <c r="F150">
        <f>Chart_Data!I150</f>
        <v/>
      </c>
      <c r="G150">
        <f>Chart_Data!J150</f>
        <v/>
      </c>
      <c r="I150">
        <f>Scenario_Data!A150</f>
        <v/>
      </c>
      <c r="J150">
        <f>Scenario_Data!H150-(((SQRT((Inputs!$C$52+(Inputs!$H$6))^2+Inputs!$C$52^2-2*(Inputs!$C$52+(Inputs!$H$6))*Inputs!$C$52*COS(SQRT((Scenario_Data!T150)^2+Inputs!$C$6^2)/Inputs!$C$52)))-(Inputs!$H$6))*1000/Inputs!$C$12)</f>
        <v/>
      </c>
      <c r="K150">
        <f>Scenario_Data!I150-(((SQRT((Inputs!$C$52+(Inputs!$H$7))^2+Inputs!$C$52^2-2*(Inputs!$C$52+(Inputs!$H$7))*Inputs!$C$52*COS(SQRT((Scenario_Data!U150)^2+Inputs!$C$6^2)/Inputs!$C$52)))-(Inputs!$H$7))*1000/Inputs!$C$12)</f>
        <v/>
      </c>
      <c r="L150">
        <f>Scenario_Data!J150-(((SQRT((Inputs!$C$52+(Inputs!$H$8))^2+Inputs!$C$52^2-2*(Inputs!$C$52+(Inputs!$H$8))*Inputs!$C$52*COS(SQRT((Scenario_Data!V150)^2+Inputs!$C$6^2)/Inputs!$C$52)))-(Inputs!$H$8))*1000/Inputs!$C$12)</f>
        <v/>
      </c>
      <c r="M150">
        <f>Scenario_Data!K150-(((SQRT((Inputs!$C$52+(Inputs!$H$9))^2+Inputs!$C$52^2-2*(Inputs!$C$52+(Inputs!$H$9))*Inputs!$C$52*COS(SQRT((Scenario_Data!W150)^2+Inputs!$C$6^2)/Inputs!$C$52)))-(Inputs!$H$9))*1000/Inputs!$C$12)</f>
        <v/>
      </c>
      <c r="O150">
        <f>Scenario_Data!T150</f>
        <v/>
      </c>
      <c r="P150">
        <f>2*(Scenario_Data!B150*1000)/Inputs!$C$21*1000000</f>
        <v/>
      </c>
      <c r="Q150">
        <f>Scenario_Data!U150</f>
        <v/>
      </c>
      <c r="R150">
        <f>2*(Scenario_Data!C150*1000)/Inputs!$C$21*1000000</f>
        <v/>
      </c>
      <c r="S150">
        <f>Scenario_Data!V150</f>
        <v/>
      </c>
      <c r="T150">
        <f>2*(Scenario_Data!D150*1000)/Inputs!$C$21*1000000</f>
        <v/>
      </c>
      <c r="U150">
        <f>Scenario_Data!W150</f>
        <v/>
      </c>
      <c r="V150">
        <f>2*(Scenario_Data!E150*1000)/Inputs!$C$21*1000000</f>
        <v/>
      </c>
      <c r="X150">
        <f>Scenario_Data!T150</f>
        <v/>
      </c>
      <c r="Y150">
        <f>2*((Scenario_Data!B150*1000)-(IF(OR(Inputs!$C$27=TRUE,Inputs!$C$27="TRUE",Inputs!$C$27=1),1,0)*(Inputs!$C$51*(115*EXP(-(((0)-25)^2)/(4.5^2))+70*EXP(-(((0)+38)^2)/(7^2))*(0.55+0.45*SIN(2*PI()*(Scenario_Data!T150)/45))+24*SIN(2*PI()*(0)/9+(Scenario_Data!T150)/18)*EXP(-(((0)+5)^2)/(22^2))+18*SIN(2*PI()*(Scenario_Data!T150)/70))+Inputs!$C$28*EXP(-(((Scenario_Data!T150)-Inputs!$C$29)^2)/(2*Inputs!$C$31^2))*EXP(-(((0)-Inputs!$C$30)^2)/(2*Inputs!$C$32^2))+-Inputs!$C$33*EXP(-(((((Scenario_Data!T150)-Inputs!$C$34)^2)+(((0)-Inputs!$C$35)^2))/(2*Inputs!$C$36^2)))+Inputs!$C$37*(0.55*SIN(2*PI()*(Scenario_Data!T150)/Inputs!$C$39)+0.35*COS(2*PI()*(0)/Inputs!$C$40)+0.2*SIN(2*PI()*((Scenario_Data!T150)+(0))/(0.5*(Inputs!$C$39+Inputs!$C$40))))+Inputs!$C$38*SIN(2*PI()*(Scenario_Data!T150)/Inputs!$C$39)*SIN(2*PI()*(0)/Inputs!$C$40)+-Inputs!$C$41*EXP(-(((0)-Inputs!$C$43)^2)/(2*Inputs!$C$44^2))*EXP(-(((Scenario_Data!T150)-Inputs!$C$42)^2)/(2*Inputs!$C$45^2))+Inputs!$C$48*(0.7*(0.45*SIN(2*PI()*(((Scenario_Data!T150)/Inputs!$C$49)+Inputs!$C$47*0.137))+0.35*COS(2*PI()*(((0)/Inputs!$C$50)+Inputs!$C$47*0.173))+0.2*SIN(2*PI()*((((Scenario_Data!T150)+(0))/(0.5*(Inputs!$C$49+Inputs!$C$50)))+Inputs!$C$47*0.097)))+0.3*(2*((SIN(((Scenario_Data!T150)*12.9898+(0)*78.233+Inputs!$C$47*37.719))*43758.5453)-INT((SIN(((Scenario_Data!T150)*12.9898+(0)*78.233+Inputs!$C$47*37.719))*43758.5453)))-1)))))/Inputs!$C$21*1000000</f>
        <v/>
      </c>
      <c r="Z150">
        <f>Scenario_Data!U150</f>
        <v/>
      </c>
      <c r="AA150">
        <f>2*((Scenario_Data!C150*1000)-(IF(OR(Inputs!$C$27=TRUE,Inputs!$C$27="TRUE",Inputs!$C$27=1),1,0)*(Inputs!$C$51*(115*EXP(-(((0)-25)^2)/(4.5^2))+70*EXP(-(((0)+38)^2)/(7^2))*(0.55+0.45*SIN(2*PI()*(Scenario_Data!U150)/45))+24*SIN(2*PI()*(0)/9+(Scenario_Data!U150)/18)*EXP(-(((0)+5)^2)/(22^2))+18*SIN(2*PI()*(Scenario_Data!U150)/70))+Inputs!$C$28*EXP(-(((Scenario_Data!U150)-Inputs!$C$29)^2)/(2*Inputs!$C$31^2))*EXP(-(((0)-Inputs!$C$30)^2)/(2*Inputs!$C$32^2))+-Inputs!$C$33*EXP(-(((((Scenario_Data!U150)-Inputs!$C$34)^2)+(((0)-Inputs!$C$35)^2))/(2*Inputs!$C$36^2)))+Inputs!$C$37*(0.55*SIN(2*PI()*(Scenario_Data!U150)/Inputs!$C$39)+0.35*COS(2*PI()*(0)/Inputs!$C$40)+0.2*SIN(2*PI()*((Scenario_Data!U150)+(0))/(0.5*(Inputs!$C$39+Inputs!$C$40))))+Inputs!$C$38*SIN(2*PI()*(Scenario_Data!U150)/Inputs!$C$39)*SIN(2*PI()*(0)/Inputs!$C$40)+-Inputs!$C$41*EXP(-(((0)-Inputs!$C$43)^2)/(2*Inputs!$C$44^2))*EXP(-(((Scenario_Data!U150)-Inputs!$C$42)^2)/(2*Inputs!$C$45^2))+Inputs!$C$48*(0.7*(0.45*SIN(2*PI()*(((Scenario_Data!U150)/Inputs!$C$49)+Inputs!$C$47*0.137))+0.35*COS(2*PI()*(((0)/Inputs!$C$50)+Inputs!$C$47*0.173))+0.2*SIN(2*PI()*((((Scenario_Data!U150)+(0))/(0.5*(Inputs!$C$49+Inputs!$C$50)))+Inputs!$C$47*0.097)))+0.3*(2*((SIN(((Scenario_Data!U150)*12.9898+(0)*78.233+Inputs!$C$47*37.719))*43758.5453)-INT((SIN(((Scenario_Data!U150)*12.9898+(0)*78.233+Inputs!$C$47*37.719))*43758.5453)))-1)))))/Inputs!$C$21*1000000</f>
        <v/>
      </c>
      <c r="AB150">
        <f>Scenario_Data!V150</f>
        <v/>
      </c>
      <c r="AC150">
        <f>2*((Scenario_Data!D150*1000)-(IF(OR(Inputs!$C$27=TRUE,Inputs!$C$27="TRUE",Inputs!$C$27=1),1,0)*(Inputs!$C$51*(115*EXP(-(((0)-25)^2)/(4.5^2))+70*EXP(-(((0)+38)^2)/(7^2))*(0.55+0.45*SIN(2*PI()*(Scenario_Data!V150)/45))+24*SIN(2*PI()*(0)/9+(Scenario_Data!V150)/18)*EXP(-(((0)+5)^2)/(22^2))+18*SIN(2*PI()*(Scenario_Data!V150)/70))+Inputs!$C$28*EXP(-(((Scenario_Data!V150)-Inputs!$C$29)^2)/(2*Inputs!$C$31^2))*EXP(-(((0)-Inputs!$C$30)^2)/(2*Inputs!$C$32^2))+-Inputs!$C$33*EXP(-(((((Scenario_Data!V150)-Inputs!$C$34)^2)+(((0)-Inputs!$C$35)^2))/(2*Inputs!$C$36^2)))+Inputs!$C$37*(0.55*SIN(2*PI()*(Scenario_Data!V150)/Inputs!$C$39)+0.35*COS(2*PI()*(0)/Inputs!$C$40)+0.2*SIN(2*PI()*((Scenario_Data!V150)+(0))/(0.5*(Inputs!$C$39+Inputs!$C$40))))+Inputs!$C$38*SIN(2*PI()*(Scenario_Data!V150)/Inputs!$C$39)*SIN(2*PI()*(0)/Inputs!$C$40)+-Inputs!$C$41*EXP(-(((0)-Inputs!$C$43)^2)/(2*Inputs!$C$44^2))*EXP(-(((Scenario_Data!V150)-Inputs!$C$42)^2)/(2*Inputs!$C$45^2))+Inputs!$C$48*(0.7*(0.45*SIN(2*PI()*(((Scenario_Data!V150)/Inputs!$C$49)+Inputs!$C$47*0.137))+0.35*COS(2*PI()*(((0)/Inputs!$C$50)+Inputs!$C$47*0.173))+0.2*SIN(2*PI()*((((Scenario_Data!V150)+(0))/(0.5*(Inputs!$C$49+Inputs!$C$50)))+Inputs!$C$47*0.097)))+0.3*(2*((SIN(((Scenario_Data!V150)*12.9898+(0)*78.233+Inputs!$C$47*37.719))*43758.5453)-INT((SIN(((Scenario_Data!V150)*12.9898+(0)*78.233+Inputs!$C$47*37.719))*43758.5453)))-1)))))/Inputs!$C$21*1000000</f>
        <v/>
      </c>
      <c r="AD150">
        <f>Scenario_Data!W150</f>
        <v/>
      </c>
      <c r="AE150">
        <f>2*((Scenario_Data!E150*1000)-(IF(OR(Inputs!$C$27=TRUE,Inputs!$C$27="TRUE",Inputs!$C$27=1),1,0)*(Inputs!$C$51*(115*EXP(-(((0)-25)^2)/(4.5^2))+70*EXP(-(((0)+38)^2)/(7^2))*(0.55+0.45*SIN(2*PI()*(Scenario_Data!W150)/45))+24*SIN(2*PI()*(0)/9+(Scenario_Data!W150)/18)*EXP(-(((0)+5)^2)/(22^2))+18*SIN(2*PI()*(Scenario_Data!W150)/70))+Inputs!$C$28*EXP(-(((Scenario_Data!W150)-Inputs!$C$29)^2)/(2*Inputs!$C$31^2))*EXP(-(((0)-Inputs!$C$30)^2)/(2*Inputs!$C$32^2))+-Inputs!$C$33*EXP(-(((((Scenario_Data!W150)-Inputs!$C$34)^2)+(((0)-Inputs!$C$35)^2))/(2*Inputs!$C$36^2)))+Inputs!$C$37*(0.55*SIN(2*PI()*(Scenario_Data!W150)/Inputs!$C$39)+0.35*COS(2*PI()*(0)/Inputs!$C$40)+0.2*SIN(2*PI()*((Scenario_Data!W150)+(0))/(0.5*(Inputs!$C$39+Inputs!$C$40))))+Inputs!$C$38*SIN(2*PI()*(Scenario_Data!W150)/Inputs!$C$39)*SIN(2*PI()*(0)/Inputs!$C$40)+-Inputs!$C$41*EXP(-(((0)-Inputs!$C$43)^2)/(2*Inputs!$C$44^2))*EXP(-(((Scenario_Data!W150)-Inputs!$C$42)^2)/(2*Inputs!$C$45^2))+Inputs!$C$48*(0.7*(0.45*SIN(2*PI()*(((Scenario_Data!W150)/Inputs!$C$49)+Inputs!$C$47*0.137))+0.35*COS(2*PI()*(((0)/Inputs!$C$50)+Inputs!$C$47*0.173))+0.2*SIN(2*PI()*((((Scenario_Data!W150)+(0))/(0.5*(Inputs!$C$49+Inputs!$C$50)))+Inputs!$C$47*0.097)))+0.3*(2*((SIN(((Scenario_Data!W150)*12.9898+(0)*78.233+Inputs!$C$47*37.719))*43758.5453)-INT((SIN(((Scenario_Data!W150)*12.9898+(0)*78.233+Inputs!$C$47*37.719))*43758.5453)))-1)))))/Inputs!$C$21*1000000</f>
        <v/>
      </c>
      <c r="AG150">
        <f>Scenario_Data!T150</f>
        <v/>
      </c>
      <c r="AH150">
        <f>2*(SQRT((Inputs!$C$52+(Scenario_Data!B150))^2+Inputs!$C$52^2-2*(Inputs!$C$52+(Scenario_Data!B150))*Inputs!$C$52*COS(SQRT((Scenario_Data!T150)^2+Inputs!$C$6^2)/Inputs!$C$52))*1000)/Inputs!$C$21*1000000</f>
        <v/>
      </c>
      <c r="AI150">
        <f>Scenario_Data!U150</f>
        <v/>
      </c>
      <c r="AJ150">
        <f>2*(SQRT((Inputs!$C$52+(Scenario_Data!C150))^2+Inputs!$C$52^2-2*(Inputs!$C$52+(Scenario_Data!C150))*Inputs!$C$52*COS(SQRT((Scenario_Data!U150)^2+Inputs!$C$6^2)/Inputs!$C$52))*1000)/Inputs!$C$21*1000000</f>
        <v/>
      </c>
      <c r="AK150">
        <f>Scenario_Data!V150</f>
        <v/>
      </c>
      <c r="AL150">
        <f>2*(SQRT((Inputs!$C$52+(Scenario_Data!D150))^2+Inputs!$C$52^2-2*(Inputs!$C$52+(Scenario_Data!D150))*Inputs!$C$52*COS(SQRT((Scenario_Data!V150)^2+Inputs!$C$6^2)/Inputs!$C$52))*1000)/Inputs!$C$21*1000000</f>
        <v/>
      </c>
      <c r="AM150">
        <f>Scenario_Data!W150</f>
        <v/>
      </c>
      <c r="AN150">
        <f>2*(SQRT((Inputs!$C$52+(Scenario_Data!E150))^2+Inputs!$C$52^2-2*(Inputs!$C$52+(Scenario_Data!E150))*Inputs!$C$52*COS(SQRT((Scenario_Data!W150)^2+Inputs!$C$6^2)/Inputs!$C$52))*1000)/Inputs!$C$21*1000000</f>
        <v/>
      </c>
      <c r="AP150">
        <f>Scenario_Data!T150</f>
        <v/>
      </c>
      <c r="AQ150">
        <f>2*(SQRT((Inputs!$C$52+(Scenario_Data!B150))^2+(Inputs!$C$52+((IF(OR(Inputs!$C$27=TRUE,Inputs!$C$27="TRUE",Inputs!$C$27=1),1,0)*(Inputs!$C$51*(115*EXP(-(((Inputs!$C$6)-25)^2)/(4.5^2))+70*EXP(-(((Inputs!$C$6)+38)^2)/(7^2))*(0.55+0.45*SIN(2*PI()*(Scenario_Data!T150)/45))+24*SIN(2*PI()*(Inputs!$C$6)/9+(Scenario_Data!T150)/18)*EXP(-(((Inputs!$C$6)+5)^2)/(22^2))+18*SIN(2*PI()*(Scenario_Data!T150)/70))+Inputs!$C$28*EXP(-(((Scenario_Data!T150)-Inputs!$C$29)^2)/(2*Inputs!$C$31^2))*EXP(-(((Inputs!$C$6)-Inputs!$C$30)^2)/(2*Inputs!$C$32^2))+-Inputs!$C$33*EXP(-(((((Scenario_Data!T150)-Inputs!$C$34)^2)+(((Inputs!$C$6)-Inputs!$C$35)^2))/(2*Inputs!$C$36^2)))+Inputs!$C$37*(0.55*SIN(2*PI()*(Scenario_Data!T150)/Inputs!$C$39)+0.35*COS(2*PI()*(Inputs!$C$6)/Inputs!$C$40)+0.2*SIN(2*PI()*((Scenario_Data!T150)+(Inputs!$C$6))/(0.5*(Inputs!$C$39+Inputs!$C$40))))+Inputs!$C$38*SIN(2*PI()*(Scenario_Data!T150)/Inputs!$C$39)*SIN(2*PI()*(Inputs!$C$6)/Inputs!$C$40)+-Inputs!$C$41*EXP(-(((Inputs!$C$6)-Inputs!$C$43)^2)/(2*Inputs!$C$44^2))*EXP(-(((Scenario_Data!T150)-Inputs!$C$42)^2)/(2*Inputs!$C$45^2))+Inputs!$C$48*(0.7*(0.45*SIN(2*PI()*(((Scenario_Data!T150)/Inputs!$C$49)+Inputs!$C$47*0.137))+0.35*COS(2*PI()*(((Inputs!$C$6)/Inputs!$C$50)+Inputs!$C$47*0.173))+0.2*SIN(2*PI()*((((Scenario_Data!T150)+(Inputs!$C$6))/(0.5*(Inputs!$C$49+Inputs!$C$50)))+Inputs!$C$47*0.097)))+0.3*(2*((SIN(((Scenario_Data!T150)*12.9898+(Inputs!$C$6)*78.233+Inputs!$C$47*37.719))*43758.5453)-INT((SIN(((Scenario_Data!T150)*12.9898+(Inputs!$C$6)*78.233+Inputs!$C$47*37.719))*43758.5453)))-1))))/1000))^2-2*(Inputs!$C$52+(Scenario_Data!B150))*(Inputs!$C$52+((IF(OR(Inputs!$C$27=TRUE,Inputs!$C$27="TRUE",Inputs!$C$27=1),1,0)*(Inputs!$C$51*(115*EXP(-(((Inputs!$C$6)-25)^2)/(4.5^2))+70*EXP(-(((Inputs!$C$6)+38)^2)/(7^2))*(0.55+0.45*SIN(2*PI()*(Scenario_Data!T150)/45))+24*SIN(2*PI()*(Inputs!$C$6)/9+(Scenario_Data!T150)/18)*EXP(-(((Inputs!$C$6)+5)^2)/(22^2))+18*SIN(2*PI()*(Scenario_Data!T150)/70))+Inputs!$C$28*EXP(-(((Scenario_Data!T150)-Inputs!$C$29)^2)/(2*Inputs!$C$31^2))*EXP(-(((Inputs!$C$6)-Inputs!$C$30)^2)/(2*Inputs!$C$32^2))+-Inputs!$C$33*EXP(-(((((Scenario_Data!T150)-Inputs!$C$34)^2)+(((Inputs!$C$6)-Inputs!$C$35)^2))/(2*Inputs!$C$36^2)))+Inputs!$C$37*(0.55*SIN(2*PI()*(Scenario_Data!T150)/Inputs!$C$39)+0.35*COS(2*PI()*(Inputs!$C$6)/Inputs!$C$40)+0.2*SIN(2*PI()*((Scenario_Data!T150)+(Inputs!$C$6))/(0.5*(Inputs!$C$39+Inputs!$C$40))))+Inputs!$C$38*SIN(2*PI()*(Scenario_Data!T150)/Inputs!$C$39)*SIN(2*PI()*(Inputs!$C$6)/Inputs!$C$40)+-Inputs!$C$41*EXP(-(((Inputs!$C$6)-Inputs!$C$43)^2)/(2*Inputs!$C$44^2))*EXP(-(((Scenario_Data!T150)-Inputs!$C$42)^2)/(2*Inputs!$C$45^2))+Inputs!$C$48*(0.7*(0.45*SIN(2*PI()*(((Scenario_Data!T150)/Inputs!$C$49)+Inputs!$C$47*0.137))+0.35*COS(2*PI()*(((Inputs!$C$6)/Inputs!$C$50)+Inputs!$C$47*0.173))+0.2*SIN(2*PI()*((((Scenario_Data!T150)+(Inputs!$C$6))/(0.5*(Inputs!$C$49+Inputs!$C$50)))+Inputs!$C$47*0.097)))+0.3*(2*((SIN(((Scenario_Data!T150)*12.9898+(Inputs!$C$6)*78.233+Inputs!$C$47*37.719))*43758.5453)-INT((SIN(((Scenario_Data!T150)*12.9898+(Inputs!$C$6)*78.233+Inputs!$C$47*37.719))*43758.5453)))-1))))/1000))*COS(SQRT((Scenario_Data!T150)^2+Inputs!$C$6^2)/Inputs!$C$52))*1000)/Inputs!$C$21*1000000</f>
        <v/>
      </c>
      <c r="AR150">
        <f>Scenario_Data!U150</f>
        <v/>
      </c>
      <c r="AS150">
        <f>2*(SQRT((Inputs!$C$52+(Scenario_Data!C150))^2+(Inputs!$C$52+((IF(OR(Inputs!$C$27=TRUE,Inputs!$C$27="TRUE",Inputs!$C$27=1),1,0)*(Inputs!$C$51*(115*EXP(-(((Inputs!$C$6)-25)^2)/(4.5^2))+70*EXP(-(((Inputs!$C$6)+38)^2)/(7^2))*(0.55+0.45*SIN(2*PI()*(Scenario_Data!U150)/45))+24*SIN(2*PI()*(Inputs!$C$6)/9+(Scenario_Data!U150)/18)*EXP(-(((Inputs!$C$6)+5)^2)/(22^2))+18*SIN(2*PI()*(Scenario_Data!U150)/70))+Inputs!$C$28*EXP(-(((Scenario_Data!U150)-Inputs!$C$29)^2)/(2*Inputs!$C$31^2))*EXP(-(((Inputs!$C$6)-Inputs!$C$30)^2)/(2*Inputs!$C$32^2))+-Inputs!$C$33*EXP(-(((((Scenario_Data!U150)-Inputs!$C$34)^2)+(((Inputs!$C$6)-Inputs!$C$35)^2))/(2*Inputs!$C$36^2)))+Inputs!$C$37*(0.55*SIN(2*PI()*(Scenario_Data!U150)/Inputs!$C$39)+0.35*COS(2*PI()*(Inputs!$C$6)/Inputs!$C$40)+0.2*SIN(2*PI()*((Scenario_Data!U150)+(Inputs!$C$6))/(0.5*(Inputs!$C$39+Inputs!$C$40))))+Inputs!$C$38*SIN(2*PI()*(Scenario_Data!U150)/Inputs!$C$39)*SIN(2*PI()*(Inputs!$C$6)/Inputs!$C$40)+-Inputs!$C$41*EXP(-(((Inputs!$C$6)-Inputs!$C$43)^2)/(2*Inputs!$C$44^2))*EXP(-(((Scenario_Data!U150)-Inputs!$C$42)^2)/(2*Inputs!$C$45^2))+Inputs!$C$48*(0.7*(0.45*SIN(2*PI()*(((Scenario_Data!U150)/Inputs!$C$49)+Inputs!$C$47*0.137))+0.35*COS(2*PI()*(((Inputs!$C$6)/Inputs!$C$50)+Inputs!$C$47*0.173))+0.2*SIN(2*PI()*((((Scenario_Data!U150)+(Inputs!$C$6))/(0.5*(Inputs!$C$49+Inputs!$C$50)))+Inputs!$C$47*0.097)))+0.3*(2*((SIN(((Scenario_Data!U150)*12.9898+(Inputs!$C$6)*78.233+Inputs!$C$47*37.719))*43758.5453)-INT((SIN(((Scenario_Data!U150)*12.9898+(Inputs!$C$6)*78.233+Inputs!$C$47*37.719))*43758.5453)))-1))))/1000))^2-2*(Inputs!$C$52+(Scenario_Data!C150))*(Inputs!$C$52+((IF(OR(Inputs!$C$27=TRUE,Inputs!$C$27="TRUE",Inputs!$C$27=1),1,0)*(Inputs!$C$51*(115*EXP(-(((Inputs!$C$6)-25)^2)/(4.5^2))+70*EXP(-(((Inputs!$C$6)+38)^2)/(7^2))*(0.55+0.45*SIN(2*PI()*(Scenario_Data!U150)/45))+24*SIN(2*PI()*(Inputs!$C$6)/9+(Scenario_Data!U150)/18)*EXP(-(((Inputs!$C$6)+5)^2)/(22^2))+18*SIN(2*PI()*(Scenario_Data!U150)/70))+Inputs!$C$28*EXP(-(((Scenario_Data!U150)-Inputs!$C$29)^2)/(2*Inputs!$C$31^2))*EXP(-(((Inputs!$C$6)-Inputs!$C$30)^2)/(2*Inputs!$C$32^2))+-Inputs!$C$33*EXP(-(((((Scenario_Data!U150)-Inputs!$C$34)^2)+(((Inputs!$C$6)-Inputs!$C$35)^2))/(2*Inputs!$C$36^2)))+Inputs!$C$37*(0.55*SIN(2*PI()*(Scenario_Data!U150)/Inputs!$C$39)+0.35*COS(2*PI()*(Inputs!$C$6)/Inputs!$C$40)+0.2*SIN(2*PI()*((Scenario_Data!U150)+(Inputs!$C$6))/(0.5*(Inputs!$C$39+Inputs!$C$40))))+Inputs!$C$38*SIN(2*PI()*(Scenario_Data!U150)/Inputs!$C$39)*SIN(2*PI()*(Inputs!$C$6)/Inputs!$C$40)+-Inputs!$C$41*EXP(-(((Inputs!$C$6)-Inputs!$C$43)^2)/(2*Inputs!$C$44^2))*EXP(-(((Scenario_Data!U150)-Inputs!$C$42)^2)/(2*Inputs!$C$45^2))+Inputs!$C$48*(0.7*(0.45*SIN(2*PI()*(((Scenario_Data!U150)/Inputs!$C$49)+Inputs!$C$47*0.137))+0.35*COS(2*PI()*(((Inputs!$C$6)/Inputs!$C$50)+Inputs!$C$47*0.173))+0.2*SIN(2*PI()*((((Scenario_Data!U150)+(Inputs!$C$6))/(0.5*(Inputs!$C$49+Inputs!$C$50)))+Inputs!$C$47*0.097)))+0.3*(2*((SIN(((Scenario_Data!U150)*12.9898+(Inputs!$C$6)*78.233+Inputs!$C$47*37.719))*43758.5453)-INT((SIN(((Scenario_Data!U150)*12.9898+(Inputs!$C$6)*78.233+Inputs!$C$47*37.719))*43758.5453)))-1))))/1000))*COS(SQRT((Scenario_Data!U150)^2+Inputs!$C$6^2)/Inputs!$C$52))*1000)/Inputs!$C$21*1000000</f>
        <v/>
      </c>
      <c r="AT150">
        <f>Scenario_Data!V150</f>
        <v/>
      </c>
      <c r="AU150">
        <f>2*(SQRT((Inputs!$C$52+(Scenario_Data!D150))^2+(Inputs!$C$52+((IF(OR(Inputs!$C$27=TRUE,Inputs!$C$27="TRUE",Inputs!$C$27=1),1,0)*(Inputs!$C$51*(115*EXP(-(((Inputs!$C$6)-25)^2)/(4.5^2))+70*EXP(-(((Inputs!$C$6)+38)^2)/(7^2))*(0.55+0.45*SIN(2*PI()*(Scenario_Data!V150)/45))+24*SIN(2*PI()*(Inputs!$C$6)/9+(Scenario_Data!V150)/18)*EXP(-(((Inputs!$C$6)+5)^2)/(22^2))+18*SIN(2*PI()*(Scenario_Data!V150)/70))+Inputs!$C$28*EXP(-(((Scenario_Data!V150)-Inputs!$C$29)^2)/(2*Inputs!$C$31^2))*EXP(-(((Inputs!$C$6)-Inputs!$C$30)^2)/(2*Inputs!$C$32^2))+-Inputs!$C$33*EXP(-(((((Scenario_Data!V150)-Inputs!$C$34)^2)+(((Inputs!$C$6)-Inputs!$C$35)^2))/(2*Inputs!$C$36^2)))+Inputs!$C$37*(0.55*SIN(2*PI()*(Scenario_Data!V150)/Inputs!$C$39)+0.35*COS(2*PI()*(Inputs!$C$6)/Inputs!$C$40)+0.2*SIN(2*PI()*((Scenario_Data!V150)+(Inputs!$C$6))/(0.5*(Inputs!$C$39+Inputs!$C$40))))+Inputs!$C$38*SIN(2*PI()*(Scenario_Data!V150)/Inputs!$C$39)*SIN(2*PI()*(Inputs!$C$6)/Inputs!$C$40)+-Inputs!$C$41*EXP(-(((Inputs!$C$6)-Inputs!$C$43)^2)/(2*Inputs!$C$44^2))*EXP(-(((Scenario_Data!V150)-Inputs!$C$42)^2)/(2*Inputs!$C$45^2))+Inputs!$C$48*(0.7*(0.45*SIN(2*PI()*(((Scenario_Data!V150)/Inputs!$C$49)+Inputs!$C$47*0.137))+0.35*COS(2*PI()*(((Inputs!$C$6)/Inputs!$C$50)+Inputs!$C$47*0.173))+0.2*SIN(2*PI()*((((Scenario_Data!V150)+(Inputs!$C$6))/(0.5*(Inputs!$C$49+Inputs!$C$50)))+Inputs!$C$47*0.097)))+0.3*(2*((SIN(((Scenario_Data!V150)*12.9898+(Inputs!$C$6)*78.233+Inputs!$C$47*37.719))*43758.5453)-INT((SIN(((Scenario_Data!V150)*12.9898+(Inputs!$C$6)*78.233+Inputs!$C$47*37.719))*43758.5453)))-1))))/1000))^2-2*(Inputs!$C$52+(Scenario_Data!D150))*(Inputs!$C$52+((IF(OR(Inputs!$C$27=TRUE,Inputs!$C$27="TRUE",Inputs!$C$27=1),1,0)*(Inputs!$C$51*(115*EXP(-(((Inputs!$C$6)-25)^2)/(4.5^2))+70*EXP(-(((Inputs!$C$6)+38)^2)/(7^2))*(0.55+0.45*SIN(2*PI()*(Scenario_Data!V150)/45))+24*SIN(2*PI()*(Inputs!$C$6)/9+(Scenario_Data!V150)/18)*EXP(-(((Inputs!$C$6)+5)^2)/(22^2))+18*SIN(2*PI()*(Scenario_Data!V150)/70))+Inputs!$C$28*EXP(-(((Scenario_Data!V150)-Inputs!$C$29)^2)/(2*Inputs!$C$31^2))*EXP(-(((Inputs!$C$6)-Inputs!$C$30)^2)/(2*Inputs!$C$32^2))+-Inputs!$C$33*EXP(-(((((Scenario_Data!V150)-Inputs!$C$34)^2)+(((Inputs!$C$6)-Inputs!$C$35)^2))/(2*Inputs!$C$36^2)))+Inputs!$C$37*(0.55*SIN(2*PI()*(Scenario_Data!V150)/Inputs!$C$39)+0.35*COS(2*PI()*(Inputs!$C$6)/Inputs!$C$40)+0.2*SIN(2*PI()*((Scenario_Data!V150)+(Inputs!$C$6))/(0.5*(Inputs!$C$39+Inputs!$C$40))))+Inputs!$C$38*SIN(2*PI()*(Scenario_Data!V150)/Inputs!$C$39)*SIN(2*PI()*(Inputs!$C$6)/Inputs!$C$40)+-Inputs!$C$41*EXP(-(((Inputs!$C$6)-Inputs!$C$43)^2)/(2*Inputs!$C$44^2))*EXP(-(((Scenario_Data!V150)-Inputs!$C$42)^2)/(2*Inputs!$C$45^2))+Inputs!$C$48*(0.7*(0.45*SIN(2*PI()*(((Scenario_Data!V150)/Inputs!$C$49)+Inputs!$C$47*0.137))+0.35*COS(2*PI()*(((Inputs!$C$6)/Inputs!$C$50)+Inputs!$C$47*0.173))+0.2*SIN(2*PI()*((((Scenario_Data!V150)+(Inputs!$C$6))/(0.5*(Inputs!$C$49+Inputs!$C$50)))+Inputs!$C$47*0.097)))+0.3*(2*((SIN(((Scenario_Data!V150)*12.9898+(Inputs!$C$6)*78.233+Inputs!$C$47*37.719))*43758.5453)-INT((SIN(((Scenario_Data!V150)*12.9898+(Inputs!$C$6)*78.233+Inputs!$C$47*37.719))*43758.5453)))-1))))/1000))*COS(SQRT((Scenario_Data!V150)^2+Inputs!$C$6^2)/Inputs!$C$52))*1000)/Inputs!$C$21*1000000</f>
        <v/>
      </c>
      <c r="AV150">
        <f>Scenario_Data!W150</f>
        <v/>
      </c>
      <c r="AW150">
        <f>2*(SQRT((Inputs!$C$52+(Scenario_Data!E150))^2+(Inputs!$C$52+((IF(OR(Inputs!$C$27=TRUE,Inputs!$C$27="TRUE",Inputs!$C$27=1),1,0)*(Inputs!$C$51*(115*EXP(-(((Inputs!$C$6)-25)^2)/(4.5^2))+70*EXP(-(((Inputs!$C$6)+38)^2)/(7^2))*(0.55+0.45*SIN(2*PI()*(Scenario_Data!W150)/45))+24*SIN(2*PI()*(Inputs!$C$6)/9+(Scenario_Data!W150)/18)*EXP(-(((Inputs!$C$6)+5)^2)/(22^2))+18*SIN(2*PI()*(Scenario_Data!W150)/70))+Inputs!$C$28*EXP(-(((Scenario_Data!W150)-Inputs!$C$29)^2)/(2*Inputs!$C$31^2))*EXP(-(((Inputs!$C$6)-Inputs!$C$30)^2)/(2*Inputs!$C$32^2))+-Inputs!$C$33*EXP(-(((((Scenario_Data!W150)-Inputs!$C$34)^2)+(((Inputs!$C$6)-Inputs!$C$35)^2))/(2*Inputs!$C$36^2)))+Inputs!$C$37*(0.55*SIN(2*PI()*(Scenario_Data!W150)/Inputs!$C$39)+0.35*COS(2*PI()*(Inputs!$C$6)/Inputs!$C$40)+0.2*SIN(2*PI()*((Scenario_Data!W150)+(Inputs!$C$6))/(0.5*(Inputs!$C$39+Inputs!$C$40))))+Inputs!$C$38*SIN(2*PI()*(Scenario_Data!W150)/Inputs!$C$39)*SIN(2*PI()*(Inputs!$C$6)/Inputs!$C$40)+-Inputs!$C$41*EXP(-(((Inputs!$C$6)-Inputs!$C$43)^2)/(2*Inputs!$C$44^2))*EXP(-(((Scenario_Data!W150)-Inputs!$C$42)^2)/(2*Inputs!$C$45^2))+Inputs!$C$48*(0.7*(0.45*SIN(2*PI()*(((Scenario_Data!W150)/Inputs!$C$49)+Inputs!$C$47*0.137))+0.35*COS(2*PI()*(((Inputs!$C$6)/Inputs!$C$50)+Inputs!$C$47*0.173))+0.2*SIN(2*PI()*((((Scenario_Data!W150)+(Inputs!$C$6))/(0.5*(Inputs!$C$49+Inputs!$C$50)))+Inputs!$C$47*0.097)))+0.3*(2*((SIN(((Scenario_Data!W150)*12.9898+(Inputs!$C$6)*78.233+Inputs!$C$47*37.719))*43758.5453)-INT((SIN(((Scenario_Data!W150)*12.9898+(Inputs!$C$6)*78.233+Inputs!$C$47*37.719))*43758.5453)))-1))))/1000))^2-2*(Inputs!$C$52+(Scenario_Data!E150))*(Inputs!$C$52+((IF(OR(Inputs!$C$27=TRUE,Inputs!$C$27="TRUE",Inputs!$C$27=1),1,0)*(Inputs!$C$51*(115*EXP(-(((Inputs!$C$6)-25)^2)/(4.5^2))+70*EXP(-(((Inputs!$C$6)+38)^2)/(7^2))*(0.55+0.45*SIN(2*PI()*(Scenario_Data!W150)/45))+24*SIN(2*PI()*(Inputs!$C$6)/9+(Scenario_Data!W150)/18)*EXP(-(((Inputs!$C$6)+5)^2)/(22^2))+18*SIN(2*PI()*(Scenario_Data!W150)/70))+Inputs!$C$28*EXP(-(((Scenario_Data!W150)-Inputs!$C$29)^2)/(2*Inputs!$C$31^2))*EXP(-(((Inputs!$C$6)-Inputs!$C$30)^2)/(2*Inputs!$C$32^2))+-Inputs!$C$33*EXP(-(((((Scenario_Data!W150)-Inputs!$C$34)^2)+(((Inputs!$C$6)-Inputs!$C$35)^2))/(2*Inputs!$C$36^2)))+Inputs!$C$37*(0.55*SIN(2*PI()*(Scenario_Data!W150)/Inputs!$C$39)+0.35*COS(2*PI()*(Inputs!$C$6)/Inputs!$C$40)+0.2*SIN(2*PI()*((Scenario_Data!W150)+(Inputs!$C$6))/(0.5*(Inputs!$C$39+Inputs!$C$40))))+Inputs!$C$38*SIN(2*PI()*(Scenario_Data!W150)/Inputs!$C$39)*SIN(2*PI()*(Inputs!$C$6)/Inputs!$C$40)+-Inputs!$C$41*EXP(-(((Inputs!$C$6)-Inputs!$C$43)^2)/(2*Inputs!$C$44^2))*EXP(-(((Scenario_Data!W150)-Inputs!$C$42)^2)/(2*Inputs!$C$45^2))+Inputs!$C$48*(0.7*(0.45*SIN(2*PI()*(((Scenario_Data!W150)/Inputs!$C$49)+Inputs!$C$47*0.137))+0.35*COS(2*PI()*(((Inputs!$C$6)/Inputs!$C$50)+Inputs!$C$47*0.173))+0.2*SIN(2*PI()*((((Scenario_Data!W150)+(Inputs!$C$6))/(0.5*(Inputs!$C$49+Inputs!$C$50)))+Inputs!$C$47*0.097)))+0.3*(2*((SIN(((Scenario_Data!W150)*12.9898+(Inputs!$C$6)*78.233+Inputs!$C$47*37.719))*43758.5453)-INT((SIN(((Scenario_Data!W150)*12.9898+(Inputs!$C$6)*78.233+Inputs!$C$47*37.719))*43758.5453)))-1))))/1000))*COS(SQRT((Scenario_Data!W150)^2+Inputs!$C$6^2)/Inputs!$C$52))*1000)/Inputs!$C$21*1000000</f>
        <v/>
      </c>
    </row>
    <row r="151">
      <c r="A151">
        <f>Chart_Data!K151</f>
        <v/>
      </c>
      <c r="B151">
        <f>Chart_Data!N151-Chart_Data!L151</f>
        <v/>
      </c>
      <c r="D151">
        <f>Chart_Data!G151</f>
        <v/>
      </c>
      <c r="E151">
        <f>Chart_Data!H151</f>
        <v/>
      </c>
      <c r="F151">
        <f>Chart_Data!I151</f>
        <v/>
      </c>
      <c r="G151">
        <f>Chart_Data!J151</f>
        <v/>
      </c>
      <c r="I151">
        <f>Scenario_Data!A151</f>
        <v/>
      </c>
      <c r="J151">
        <f>Scenario_Data!H151-(((SQRT((Inputs!$C$52+(Inputs!$H$6))^2+Inputs!$C$52^2-2*(Inputs!$C$52+(Inputs!$H$6))*Inputs!$C$52*COS(SQRT((Scenario_Data!T151)^2+Inputs!$C$6^2)/Inputs!$C$52)))-(Inputs!$H$6))*1000/Inputs!$C$12)</f>
        <v/>
      </c>
      <c r="K151">
        <f>Scenario_Data!I151-(((SQRT((Inputs!$C$52+(Inputs!$H$7))^2+Inputs!$C$52^2-2*(Inputs!$C$52+(Inputs!$H$7))*Inputs!$C$52*COS(SQRT((Scenario_Data!U151)^2+Inputs!$C$6^2)/Inputs!$C$52)))-(Inputs!$H$7))*1000/Inputs!$C$12)</f>
        <v/>
      </c>
      <c r="L151">
        <f>Scenario_Data!J151-(((SQRT((Inputs!$C$52+(Inputs!$H$8))^2+Inputs!$C$52^2-2*(Inputs!$C$52+(Inputs!$H$8))*Inputs!$C$52*COS(SQRT((Scenario_Data!V151)^2+Inputs!$C$6^2)/Inputs!$C$52)))-(Inputs!$H$8))*1000/Inputs!$C$12)</f>
        <v/>
      </c>
      <c r="M151">
        <f>Scenario_Data!K151-(((SQRT((Inputs!$C$52+(Inputs!$H$9))^2+Inputs!$C$52^2-2*(Inputs!$C$52+(Inputs!$H$9))*Inputs!$C$52*COS(SQRT((Scenario_Data!W151)^2+Inputs!$C$6^2)/Inputs!$C$52)))-(Inputs!$H$9))*1000/Inputs!$C$12)</f>
        <v/>
      </c>
      <c r="O151">
        <f>Scenario_Data!T151</f>
        <v/>
      </c>
      <c r="P151">
        <f>2*(Scenario_Data!B151*1000)/Inputs!$C$21*1000000</f>
        <v/>
      </c>
      <c r="Q151">
        <f>Scenario_Data!U151</f>
        <v/>
      </c>
      <c r="R151">
        <f>2*(Scenario_Data!C151*1000)/Inputs!$C$21*1000000</f>
        <v/>
      </c>
      <c r="S151">
        <f>Scenario_Data!V151</f>
        <v/>
      </c>
      <c r="T151">
        <f>2*(Scenario_Data!D151*1000)/Inputs!$C$21*1000000</f>
        <v/>
      </c>
      <c r="U151">
        <f>Scenario_Data!W151</f>
        <v/>
      </c>
      <c r="V151">
        <f>2*(Scenario_Data!E151*1000)/Inputs!$C$21*1000000</f>
        <v/>
      </c>
      <c r="X151">
        <f>Scenario_Data!T151</f>
        <v/>
      </c>
      <c r="Y151">
        <f>2*((Scenario_Data!B151*1000)-(IF(OR(Inputs!$C$27=TRUE,Inputs!$C$27="TRUE",Inputs!$C$27=1),1,0)*(Inputs!$C$51*(115*EXP(-(((0)-25)^2)/(4.5^2))+70*EXP(-(((0)+38)^2)/(7^2))*(0.55+0.45*SIN(2*PI()*(Scenario_Data!T151)/45))+24*SIN(2*PI()*(0)/9+(Scenario_Data!T151)/18)*EXP(-(((0)+5)^2)/(22^2))+18*SIN(2*PI()*(Scenario_Data!T151)/70))+Inputs!$C$28*EXP(-(((Scenario_Data!T151)-Inputs!$C$29)^2)/(2*Inputs!$C$31^2))*EXP(-(((0)-Inputs!$C$30)^2)/(2*Inputs!$C$32^2))+-Inputs!$C$33*EXP(-(((((Scenario_Data!T151)-Inputs!$C$34)^2)+(((0)-Inputs!$C$35)^2))/(2*Inputs!$C$36^2)))+Inputs!$C$37*(0.55*SIN(2*PI()*(Scenario_Data!T151)/Inputs!$C$39)+0.35*COS(2*PI()*(0)/Inputs!$C$40)+0.2*SIN(2*PI()*((Scenario_Data!T151)+(0))/(0.5*(Inputs!$C$39+Inputs!$C$40))))+Inputs!$C$38*SIN(2*PI()*(Scenario_Data!T151)/Inputs!$C$39)*SIN(2*PI()*(0)/Inputs!$C$40)+-Inputs!$C$41*EXP(-(((0)-Inputs!$C$43)^2)/(2*Inputs!$C$44^2))*EXP(-(((Scenario_Data!T151)-Inputs!$C$42)^2)/(2*Inputs!$C$45^2))+Inputs!$C$48*(0.7*(0.45*SIN(2*PI()*(((Scenario_Data!T151)/Inputs!$C$49)+Inputs!$C$47*0.137))+0.35*COS(2*PI()*(((0)/Inputs!$C$50)+Inputs!$C$47*0.173))+0.2*SIN(2*PI()*((((Scenario_Data!T151)+(0))/(0.5*(Inputs!$C$49+Inputs!$C$50)))+Inputs!$C$47*0.097)))+0.3*(2*((SIN(((Scenario_Data!T151)*12.9898+(0)*78.233+Inputs!$C$47*37.719))*43758.5453)-INT((SIN(((Scenario_Data!T151)*12.9898+(0)*78.233+Inputs!$C$47*37.719))*43758.5453)))-1)))))/Inputs!$C$21*1000000</f>
        <v/>
      </c>
      <c r="Z151">
        <f>Scenario_Data!U151</f>
        <v/>
      </c>
      <c r="AA151">
        <f>2*((Scenario_Data!C151*1000)-(IF(OR(Inputs!$C$27=TRUE,Inputs!$C$27="TRUE",Inputs!$C$27=1),1,0)*(Inputs!$C$51*(115*EXP(-(((0)-25)^2)/(4.5^2))+70*EXP(-(((0)+38)^2)/(7^2))*(0.55+0.45*SIN(2*PI()*(Scenario_Data!U151)/45))+24*SIN(2*PI()*(0)/9+(Scenario_Data!U151)/18)*EXP(-(((0)+5)^2)/(22^2))+18*SIN(2*PI()*(Scenario_Data!U151)/70))+Inputs!$C$28*EXP(-(((Scenario_Data!U151)-Inputs!$C$29)^2)/(2*Inputs!$C$31^2))*EXP(-(((0)-Inputs!$C$30)^2)/(2*Inputs!$C$32^2))+-Inputs!$C$33*EXP(-(((((Scenario_Data!U151)-Inputs!$C$34)^2)+(((0)-Inputs!$C$35)^2))/(2*Inputs!$C$36^2)))+Inputs!$C$37*(0.55*SIN(2*PI()*(Scenario_Data!U151)/Inputs!$C$39)+0.35*COS(2*PI()*(0)/Inputs!$C$40)+0.2*SIN(2*PI()*((Scenario_Data!U151)+(0))/(0.5*(Inputs!$C$39+Inputs!$C$40))))+Inputs!$C$38*SIN(2*PI()*(Scenario_Data!U151)/Inputs!$C$39)*SIN(2*PI()*(0)/Inputs!$C$40)+-Inputs!$C$41*EXP(-(((0)-Inputs!$C$43)^2)/(2*Inputs!$C$44^2))*EXP(-(((Scenario_Data!U151)-Inputs!$C$42)^2)/(2*Inputs!$C$45^2))+Inputs!$C$48*(0.7*(0.45*SIN(2*PI()*(((Scenario_Data!U151)/Inputs!$C$49)+Inputs!$C$47*0.137))+0.35*COS(2*PI()*(((0)/Inputs!$C$50)+Inputs!$C$47*0.173))+0.2*SIN(2*PI()*((((Scenario_Data!U151)+(0))/(0.5*(Inputs!$C$49+Inputs!$C$50)))+Inputs!$C$47*0.097)))+0.3*(2*((SIN(((Scenario_Data!U151)*12.9898+(0)*78.233+Inputs!$C$47*37.719))*43758.5453)-INT((SIN(((Scenario_Data!U151)*12.9898+(0)*78.233+Inputs!$C$47*37.719))*43758.5453)))-1)))))/Inputs!$C$21*1000000</f>
        <v/>
      </c>
      <c r="AB151">
        <f>Scenario_Data!V151</f>
        <v/>
      </c>
      <c r="AC151">
        <f>2*((Scenario_Data!D151*1000)-(IF(OR(Inputs!$C$27=TRUE,Inputs!$C$27="TRUE",Inputs!$C$27=1),1,0)*(Inputs!$C$51*(115*EXP(-(((0)-25)^2)/(4.5^2))+70*EXP(-(((0)+38)^2)/(7^2))*(0.55+0.45*SIN(2*PI()*(Scenario_Data!V151)/45))+24*SIN(2*PI()*(0)/9+(Scenario_Data!V151)/18)*EXP(-(((0)+5)^2)/(22^2))+18*SIN(2*PI()*(Scenario_Data!V151)/70))+Inputs!$C$28*EXP(-(((Scenario_Data!V151)-Inputs!$C$29)^2)/(2*Inputs!$C$31^2))*EXP(-(((0)-Inputs!$C$30)^2)/(2*Inputs!$C$32^2))+-Inputs!$C$33*EXP(-(((((Scenario_Data!V151)-Inputs!$C$34)^2)+(((0)-Inputs!$C$35)^2))/(2*Inputs!$C$36^2)))+Inputs!$C$37*(0.55*SIN(2*PI()*(Scenario_Data!V151)/Inputs!$C$39)+0.35*COS(2*PI()*(0)/Inputs!$C$40)+0.2*SIN(2*PI()*((Scenario_Data!V151)+(0))/(0.5*(Inputs!$C$39+Inputs!$C$40))))+Inputs!$C$38*SIN(2*PI()*(Scenario_Data!V151)/Inputs!$C$39)*SIN(2*PI()*(0)/Inputs!$C$40)+-Inputs!$C$41*EXP(-(((0)-Inputs!$C$43)^2)/(2*Inputs!$C$44^2))*EXP(-(((Scenario_Data!V151)-Inputs!$C$42)^2)/(2*Inputs!$C$45^2))+Inputs!$C$48*(0.7*(0.45*SIN(2*PI()*(((Scenario_Data!V151)/Inputs!$C$49)+Inputs!$C$47*0.137))+0.35*COS(2*PI()*(((0)/Inputs!$C$50)+Inputs!$C$47*0.173))+0.2*SIN(2*PI()*((((Scenario_Data!V151)+(0))/(0.5*(Inputs!$C$49+Inputs!$C$50)))+Inputs!$C$47*0.097)))+0.3*(2*((SIN(((Scenario_Data!V151)*12.9898+(0)*78.233+Inputs!$C$47*37.719))*43758.5453)-INT((SIN(((Scenario_Data!V151)*12.9898+(0)*78.233+Inputs!$C$47*37.719))*43758.5453)))-1)))))/Inputs!$C$21*1000000</f>
        <v/>
      </c>
      <c r="AD151">
        <f>Scenario_Data!W151</f>
        <v/>
      </c>
      <c r="AE151">
        <f>2*((Scenario_Data!E151*1000)-(IF(OR(Inputs!$C$27=TRUE,Inputs!$C$27="TRUE",Inputs!$C$27=1),1,0)*(Inputs!$C$51*(115*EXP(-(((0)-25)^2)/(4.5^2))+70*EXP(-(((0)+38)^2)/(7^2))*(0.55+0.45*SIN(2*PI()*(Scenario_Data!W151)/45))+24*SIN(2*PI()*(0)/9+(Scenario_Data!W151)/18)*EXP(-(((0)+5)^2)/(22^2))+18*SIN(2*PI()*(Scenario_Data!W151)/70))+Inputs!$C$28*EXP(-(((Scenario_Data!W151)-Inputs!$C$29)^2)/(2*Inputs!$C$31^2))*EXP(-(((0)-Inputs!$C$30)^2)/(2*Inputs!$C$32^2))+-Inputs!$C$33*EXP(-(((((Scenario_Data!W151)-Inputs!$C$34)^2)+(((0)-Inputs!$C$35)^2))/(2*Inputs!$C$36^2)))+Inputs!$C$37*(0.55*SIN(2*PI()*(Scenario_Data!W151)/Inputs!$C$39)+0.35*COS(2*PI()*(0)/Inputs!$C$40)+0.2*SIN(2*PI()*((Scenario_Data!W151)+(0))/(0.5*(Inputs!$C$39+Inputs!$C$40))))+Inputs!$C$38*SIN(2*PI()*(Scenario_Data!W151)/Inputs!$C$39)*SIN(2*PI()*(0)/Inputs!$C$40)+-Inputs!$C$41*EXP(-(((0)-Inputs!$C$43)^2)/(2*Inputs!$C$44^2))*EXP(-(((Scenario_Data!W151)-Inputs!$C$42)^2)/(2*Inputs!$C$45^2))+Inputs!$C$48*(0.7*(0.45*SIN(2*PI()*(((Scenario_Data!W151)/Inputs!$C$49)+Inputs!$C$47*0.137))+0.35*COS(2*PI()*(((0)/Inputs!$C$50)+Inputs!$C$47*0.173))+0.2*SIN(2*PI()*((((Scenario_Data!W151)+(0))/(0.5*(Inputs!$C$49+Inputs!$C$50)))+Inputs!$C$47*0.097)))+0.3*(2*((SIN(((Scenario_Data!W151)*12.9898+(0)*78.233+Inputs!$C$47*37.719))*43758.5453)-INT((SIN(((Scenario_Data!W151)*12.9898+(0)*78.233+Inputs!$C$47*37.719))*43758.5453)))-1)))))/Inputs!$C$21*1000000</f>
        <v/>
      </c>
      <c r="AG151">
        <f>Scenario_Data!T151</f>
        <v/>
      </c>
      <c r="AH151">
        <f>2*(SQRT((Inputs!$C$52+(Scenario_Data!B151))^2+Inputs!$C$52^2-2*(Inputs!$C$52+(Scenario_Data!B151))*Inputs!$C$52*COS(SQRT((Scenario_Data!T151)^2+Inputs!$C$6^2)/Inputs!$C$52))*1000)/Inputs!$C$21*1000000</f>
        <v/>
      </c>
      <c r="AI151">
        <f>Scenario_Data!U151</f>
        <v/>
      </c>
      <c r="AJ151">
        <f>2*(SQRT((Inputs!$C$52+(Scenario_Data!C151))^2+Inputs!$C$52^2-2*(Inputs!$C$52+(Scenario_Data!C151))*Inputs!$C$52*COS(SQRT((Scenario_Data!U151)^2+Inputs!$C$6^2)/Inputs!$C$52))*1000)/Inputs!$C$21*1000000</f>
        <v/>
      </c>
      <c r="AK151">
        <f>Scenario_Data!V151</f>
        <v/>
      </c>
      <c r="AL151">
        <f>2*(SQRT((Inputs!$C$52+(Scenario_Data!D151))^2+Inputs!$C$52^2-2*(Inputs!$C$52+(Scenario_Data!D151))*Inputs!$C$52*COS(SQRT((Scenario_Data!V151)^2+Inputs!$C$6^2)/Inputs!$C$52))*1000)/Inputs!$C$21*1000000</f>
        <v/>
      </c>
      <c r="AM151">
        <f>Scenario_Data!W151</f>
        <v/>
      </c>
      <c r="AN151">
        <f>2*(SQRT((Inputs!$C$52+(Scenario_Data!E151))^2+Inputs!$C$52^2-2*(Inputs!$C$52+(Scenario_Data!E151))*Inputs!$C$52*COS(SQRT((Scenario_Data!W151)^2+Inputs!$C$6^2)/Inputs!$C$52))*1000)/Inputs!$C$21*1000000</f>
        <v/>
      </c>
      <c r="AP151">
        <f>Scenario_Data!T151</f>
        <v/>
      </c>
      <c r="AQ151">
        <f>2*(SQRT((Inputs!$C$52+(Scenario_Data!B151))^2+(Inputs!$C$52+((IF(OR(Inputs!$C$27=TRUE,Inputs!$C$27="TRUE",Inputs!$C$27=1),1,0)*(Inputs!$C$51*(115*EXP(-(((Inputs!$C$6)-25)^2)/(4.5^2))+70*EXP(-(((Inputs!$C$6)+38)^2)/(7^2))*(0.55+0.45*SIN(2*PI()*(Scenario_Data!T151)/45))+24*SIN(2*PI()*(Inputs!$C$6)/9+(Scenario_Data!T151)/18)*EXP(-(((Inputs!$C$6)+5)^2)/(22^2))+18*SIN(2*PI()*(Scenario_Data!T151)/70))+Inputs!$C$28*EXP(-(((Scenario_Data!T151)-Inputs!$C$29)^2)/(2*Inputs!$C$31^2))*EXP(-(((Inputs!$C$6)-Inputs!$C$30)^2)/(2*Inputs!$C$32^2))+-Inputs!$C$33*EXP(-(((((Scenario_Data!T151)-Inputs!$C$34)^2)+(((Inputs!$C$6)-Inputs!$C$35)^2))/(2*Inputs!$C$36^2)))+Inputs!$C$37*(0.55*SIN(2*PI()*(Scenario_Data!T151)/Inputs!$C$39)+0.35*COS(2*PI()*(Inputs!$C$6)/Inputs!$C$40)+0.2*SIN(2*PI()*((Scenario_Data!T151)+(Inputs!$C$6))/(0.5*(Inputs!$C$39+Inputs!$C$40))))+Inputs!$C$38*SIN(2*PI()*(Scenario_Data!T151)/Inputs!$C$39)*SIN(2*PI()*(Inputs!$C$6)/Inputs!$C$40)+-Inputs!$C$41*EXP(-(((Inputs!$C$6)-Inputs!$C$43)^2)/(2*Inputs!$C$44^2))*EXP(-(((Scenario_Data!T151)-Inputs!$C$42)^2)/(2*Inputs!$C$45^2))+Inputs!$C$48*(0.7*(0.45*SIN(2*PI()*(((Scenario_Data!T151)/Inputs!$C$49)+Inputs!$C$47*0.137))+0.35*COS(2*PI()*(((Inputs!$C$6)/Inputs!$C$50)+Inputs!$C$47*0.173))+0.2*SIN(2*PI()*((((Scenario_Data!T151)+(Inputs!$C$6))/(0.5*(Inputs!$C$49+Inputs!$C$50)))+Inputs!$C$47*0.097)))+0.3*(2*((SIN(((Scenario_Data!T151)*12.9898+(Inputs!$C$6)*78.233+Inputs!$C$47*37.719))*43758.5453)-INT((SIN(((Scenario_Data!T151)*12.9898+(Inputs!$C$6)*78.233+Inputs!$C$47*37.719))*43758.5453)))-1))))/1000))^2-2*(Inputs!$C$52+(Scenario_Data!B151))*(Inputs!$C$52+((IF(OR(Inputs!$C$27=TRUE,Inputs!$C$27="TRUE",Inputs!$C$27=1),1,0)*(Inputs!$C$51*(115*EXP(-(((Inputs!$C$6)-25)^2)/(4.5^2))+70*EXP(-(((Inputs!$C$6)+38)^2)/(7^2))*(0.55+0.45*SIN(2*PI()*(Scenario_Data!T151)/45))+24*SIN(2*PI()*(Inputs!$C$6)/9+(Scenario_Data!T151)/18)*EXP(-(((Inputs!$C$6)+5)^2)/(22^2))+18*SIN(2*PI()*(Scenario_Data!T151)/70))+Inputs!$C$28*EXP(-(((Scenario_Data!T151)-Inputs!$C$29)^2)/(2*Inputs!$C$31^2))*EXP(-(((Inputs!$C$6)-Inputs!$C$30)^2)/(2*Inputs!$C$32^2))+-Inputs!$C$33*EXP(-(((((Scenario_Data!T151)-Inputs!$C$34)^2)+(((Inputs!$C$6)-Inputs!$C$35)^2))/(2*Inputs!$C$36^2)))+Inputs!$C$37*(0.55*SIN(2*PI()*(Scenario_Data!T151)/Inputs!$C$39)+0.35*COS(2*PI()*(Inputs!$C$6)/Inputs!$C$40)+0.2*SIN(2*PI()*((Scenario_Data!T151)+(Inputs!$C$6))/(0.5*(Inputs!$C$39+Inputs!$C$40))))+Inputs!$C$38*SIN(2*PI()*(Scenario_Data!T151)/Inputs!$C$39)*SIN(2*PI()*(Inputs!$C$6)/Inputs!$C$40)+-Inputs!$C$41*EXP(-(((Inputs!$C$6)-Inputs!$C$43)^2)/(2*Inputs!$C$44^2))*EXP(-(((Scenario_Data!T151)-Inputs!$C$42)^2)/(2*Inputs!$C$45^2))+Inputs!$C$48*(0.7*(0.45*SIN(2*PI()*(((Scenario_Data!T151)/Inputs!$C$49)+Inputs!$C$47*0.137))+0.35*COS(2*PI()*(((Inputs!$C$6)/Inputs!$C$50)+Inputs!$C$47*0.173))+0.2*SIN(2*PI()*((((Scenario_Data!T151)+(Inputs!$C$6))/(0.5*(Inputs!$C$49+Inputs!$C$50)))+Inputs!$C$47*0.097)))+0.3*(2*((SIN(((Scenario_Data!T151)*12.9898+(Inputs!$C$6)*78.233+Inputs!$C$47*37.719))*43758.5453)-INT((SIN(((Scenario_Data!T151)*12.9898+(Inputs!$C$6)*78.233+Inputs!$C$47*37.719))*43758.5453)))-1))))/1000))*COS(SQRT((Scenario_Data!T151)^2+Inputs!$C$6^2)/Inputs!$C$52))*1000)/Inputs!$C$21*1000000</f>
        <v/>
      </c>
      <c r="AR151">
        <f>Scenario_Data!U151</f>
        <v/>
      </c>
      <c r="AS151">
        <f>2*(SQRT((Inputs!$C$52+(Scenario_Data!C151))^2+(Inputs!$C$52+((IF(OR(Inputs!$C$27=TRUE,Inputs!$C$27="TRUE",Inputs!$C$27=1),1,0)*(Inputs!$C$51*(115*EXP(-(((Inputs!$C$6)-25)^2)/(4.5^2))+70*EXP(-(((Inputs!$C$6)+38)^2)/(7^2))*(0.55+0.45*SIN(2*PI()*(Scenario_Data!U151)/45))+24*SIN(2*PI()*(Inputs!$C$6)/9+(Scenario_Data!U151)/18)*EXP(-(((Inputs!$C$6)+5)^2)/(22^2))+18*SIN(2*PI()*(Scenario_Data!U151)/70))+Inputs!$C$28*EXP(-(((Scenario_Data!U151)-Inputs!$C$29)^2)/(2*Inputs!$C$31^2))*EXP(-(((Inputs!$C$6)-Inputs!$C$30)^2)/(2*Inputs!$C$32^2))+-Inputs!$C$33*EXP(-(((((Scenario_Data!U151)-Inputs!$C$34)^2)+(((Inputs!$C$6)-Inputs!$C$35)^2))/(2*Inputs!$C$36^2)))+Inputs!$C$37*(0.55*SIN(2*PI()*(Scenario_Data!U151)/Inputs!$C$39)+0.35*COS(2*PI()*(Inputs!$C$6)/Inputs!$C$40)+0.2*SIN(2*PI()*((Scenario_Data!U151)+(Inputs!$C$6))/(0.5*(Inputs!$C$39+Inputs!$C$40))))+Inputs!$C$38*SIN(2*PI()*(Scenario_Data!U151)/Inputs!$C$39)*SIN(2*PI()*(Inputs!$C$6)/Inputs!$C$40)+-Inputs!$C$41*EXP(-(((Inputs!$C$6)-Inputs!$C$43)^2)/(2*Inputs!$C$44^2))*EXP(-(((Scenario_Data!U151)-Inputs!$C$42)^2)/(2*Inputs!$C$45^2))+Inputs!$C$48*(0.7*(0.45*SIN(2*PI()*(((Scenario_Data!U151)/Inputs!$C$49)+Inputs!$C$47*0.137))+0.35*COS(2*PI()*(((Inputs!$C$6)/Inputs!$C$50)+Inputs!$C$47*0.173))+0.2*SIN(2*PI()*((((Scenario_Data!U151)+(Inputs!$C$6))/(0.5*(Inputs!$C$49+Inputs!$C$50)))+Inputs!$C$47*0.097)))+0.3*(2*((SIN(((Scenario_Data!U151)*12.9898+(Inputs!$C$6)*78.233+Inputs!$C$47*37.719))*43758.5453)-INT((SIN(((Scenario_Data!U151)*12.9898+(Inputs!$C$6)*78.233+Inputs!$C$47*37.719))*43758.5453)))-1))))/1000))^2-2*(Inputs!$C$52+(Scenario_Data!C151))*(Inputs!$C$52+((IF(OR(Inputs!$C$27=TRUE,Inputs!$C$27="TRUE",Inputs!$C$27=1),1,0)*(Inputs!$C$51*(115*EXP(-(((Inputs!$C$6)-25)^2)/(4.5^2))+70*EXP(-(((Inputs!$C$6)+38)^2)/(7^2))*(0.55+0.45*SIN(2*PI()*(Scenario_Data!U151)/45))+24*SIN(2*PI()*(Inputs!$C$6)/9+(Scenario_Data!U151)/18)*EXP(-(((Inputs!$C$6)+5)^2)/(22^2))+18*SIN(2*PI()*(Scenario_Data!U151)/70))+Inputs!$C$28*EXP(-(((Scenario_Data!U151)-Inputs!$C$29)^2)/(2*Inputs!$C$31^2))*EXP(-(((Inputs!$C$6)-Inputs!$C$30)^2)/(2*Inputs!$C$32^2))+-Inputs!$C$33*EXP(-(((((Scenario_Data!U151)-Inputs!$C$34)^2)+(((Inputs!$C$6)-Inputs!$C$35)^2))/(2*Inputs!$C$36^2)))+Inputs!$C$37*(0.55*SIN(2*PI()*(Scenario_Data!U151)/Inputs!$C$39)+0.35*COS(2*PI()*(Inputs!$C$6)/Inputs!$C$40)+0.2*SIN(2*PI()*((Scenario_Data!U151)+(Inputs!$C$6))/(0.5*(Inputs!$C$39+Inputs!$C$40))))+Inputs!$C$38*SIN(2*PI()*(Scenario_Data!U151)/Inputs!$C$39)*SIN(2*PI()*(Inputs!$C$6)/Inputs!$C$40)+-Inputs!$C$41*EXP(-(((Inputs!$C$6)-Inputs!$C$43)^2)/(2*Inputs!$C$44^2))*EXP(-(((Scenario_Data!U151)-Inputs!$C$42)^2)/(2*Inputs!$C$45^2))+Inputs!$C$48*(0.7*(0.45*SIN(2*PI()*(((Scenario_Data!U151)/Inputs!$C$49)+Inputs!$C$47*0.137))+0.35*COS(2*PI()*(((Inputs!$C$6)/Inputs!$C$50)+Inputs!$C$47*0.173))+0.2*SIN(2*PI()*((((Scenario_Data!U151)+(Inputs!$C$6))/(0.5*(Inputs!$C$49+Inputs!$C$50)))+Inputs!$C$47*0.097)))+0.3*(2*((SIN(((Scenario_Data!U151)*12.9898+(Inputs!$C$6)*78.233+Inputs!$C$47*37.719))*43758.5453)-INT((SIN(((Scenario_Data!U151)*12.9898+(Inputs!$C$6)*78.233+Inputs!$C$47*37.719))*43758.5453)))-1))))/1000))*COS(SQRT((Scenario_Data!U151)^2+Inputs!$C$6^2)/Inputs!$C$52))*1000)/Inputs!$C$21*1000000</f>
        <v/>
      </c>
      <c r="AT151">
        <f>Scenario_Data!V151</f>
        <v/>
      </c>
      <c r="AU151">
        <f>2*(SQRT((Inputs!$C$52+(Scenario_Data!D151))^2+(Inputs!$C$52+((IF(OR(Inputs!$C$27=TRUE,Inputs!$C$27="TRUE",Inputs!$C$27=1),1,0)*(Inputs!$C$51*(115*EXP(-(((Inputs!$C$6)-25)^2)/(4.5^2))+70*EXP(-(((Inputs!$C$6)+38)^2)/(7^2))*(0.55+0.45*SIN(2*PI()*(Scenario_Data!V151)/45))+24*SIN(2*PI()*(Inputs!$C$6)/9+(Scenario_Data!V151)/18)*EXP(-(((Inputs!$C$6)+5)^2)/(22^2))+18*SIN(2*PI()*(Scenario_Data!V151)/70))+Inputs!$C$28*EXP(-(((Scenario_Data!V151)-Inputs!$C$29)^2)/(2*Inputs!$C$31^2))*EXP(-(((Inputs!$C$6)-Inputs!$C$30)^2)/(2*Inputs!$C$32^2))+-Inputs!$C$33*EXP(-(((((Scenario_Data!V151)-Inputs!$C$34)^2)+(((Inputs!$C$6)-Inputs!$C$35)^2))/(2*Inputs!$C$36^2)))+Inputs!$C$37*(0.55*SIN(2*PI()*(Scenario_Data!V151)/Inputs!$C$39)+0.35*COS(2*PI()*(Inputs!$C$6)/Inputs!$C$40)+0.2*SIN(2*PI()*((Scenario_Data!V151)+(Inputs!$C$6))/(0.5*(Inputs!$C$39+Inputs!$C$40))))+Inputs!$C$38*SIN(2*PI()*(Scenario_Data!V151)/Inputs!$C$39)*SIN(2*PI()*(Inputs!$C$6)/Inputs!$C$40)+-Inputs!$C$41*EXP(-(((Inputs!$C$6)-Inputs!$C$43)^2)/(2*Inputs!$C$44^2))*EXP(-(((Scenario_Data!V151)-Inputs!$C$42)^2)/(2*Inputs!$C$45^2))+Inputs!$C$48*(0.7*(0.45*SIN(2*PI()*(((Scenario_Data!V151)/Inputs!$C$49)+Inputs!$C$47*0.137))+0.35*COS(2*PI()*(((Inputs!$C$6)/Inputs!$C$50)+Inputs!$C$47*0.173))+0.2*SIN(2*PI()*((((Scenario_Data!V151)+(Inputs!$C$6))/(0.5*(Inputs!$C$49+Inputs!$C$50)))+Inputs!$C$47*0.097)))+0.3*(2*((SIN(((Scenario_Data!V151)*12.9898+(Inputs!$C$6)*78.233+Inputs!$C$47*37.719))*43758.5453)-INT((SIN(((Scenario_Data!V151)*12.9898+(Inputs!$C$6)*78.233+Inputs!$C$47*37.719))*43758.5453)))-1))))/1000))^2-2*(Inputs!$C$52+(Scenario_Data!D151))*(Inputs!$C$52+((IF(OR(Inputs!$C$27=TRUE,Inputs!$C$27="TRUE",Inputs!$C$27=1),1,0)*(Inputs!$C$51*(115*EXP(-(((Inputs!$C$6)-25)^2)/(4.5^2))+70*EXP(-(((Inputs!$C$6)+38)^2)/(7^2))*(0.55+0.45*SIN(2*PI()*(Scenario_Data!V151)/45))+24*SIN(2*PI()*(Inputs!$C$6)/9+(Scenario_Data!V151)/18)*EXP(-(((Inputs!$C$6)+5)^2)/(22^2))+18*SIN(2*PI()*(Scenario_Data!V151)/70))+Inputs!$C$28*EXP(-(((Scenario_Data!V151)-Inputs!$C$29)^2)/(2*Inputs!$C$31^2))*EXP(-(((Inputs!$C$6)-Inputs!$C$30)^2)/(2*Inputs!$C$32^2))+-Inputs!$C$33*EXP(-(((((Scenario_Data!V151)-Inputs!$C$34)^2)+(((Inputs!$C$6)-Inputs!$C$35)^2))/(2*Inputs!$C$36^2)))+Inputs!$C$37*(0.55*SIN(2*PI()*(Scenario_Data!V151)/Inputs!$C$39)+0.35*COS(2*PI()*(Inputs!$C$6)/Inputs!$C$40)+0.2*SIN(2*PI()*((Scenario_Data!V151)+(Inputs!$C$6))/(0.5*(Inputs!$C$39+Inputs!$C$40))))+Inputs!$C$38*SIN(2*PI()*(Scenario_Data!V151)/Inputs!$C$39)*SIN(2*PI()*(Inputs!$C$6)/Inputs!$C$40)+-Inputs!$C$41*EXP(-(((Inputs!$C$6)-Inputs!$C$43)^2)/(2*Inputs!$C$44^2))*EXP(-(((Scenario_Data!V151)-Inputs!$C$42)^2)/(2*Inputs!$C$45^2))+Inputs!$C$48*(0.7*(0.45*SIN(2*PI()*(((Scenario_Data!V151)/Inputs!$C$49)+Inputs!$C$47*0.137))+0.35*COS(2*PI()*(((Inputs!$C$6)/Inputs!$C$50)+Inputs!$C$47*0.173))+0.2*SIN(2*PI()*((((Scenario_Data!V151)+(Inputs!$C$6))/(0.5*(Inputs!$C$49+Inputs!$C$50)))+Inputs!$C$47*0.097)))+0.3*(2*((SIN(((Scenario_Data!V151)*12.9898+(Inputs!$C$6)*78.233+Inputs!$C$47*37.719))*43758.5453)-INT((SIN(((Scenario_Data!V151)*12.9898+(Inputs!$C$6)*78.233+Inputs!$C$47*37.719))*43758.5453)))-1))))/1000))*COS(SQRT((Scenario_Data!V151)^2+Inputs!$C$6^2)/Inputs!$C$52))*1000)/Inputs!$C$21*1000000</f>
        <v/>
      </c>
      <c r="AV151">
        <f>Scenario_Data!W151</f>
        <v/>
      </c>
      <c r="AW151">
        <f>2*(SQRT((Inputs!$C$52+(Scenario_Data!E151))^2+(Inputs!$C$52+((IF(OR(Inputs!$C$27=TRUE,Inputs!$C$27="TRUE",Inputs!$C$27=1),1,0)*(Inputs!$C$51*(115*EXP(-(((Inputs!$C$6)-25)^2)/(4.5^2))+70*EXP(-(((Inputs!$C$6)+38)^2)/(7^2))*(0.55+0.45*SIN(2*PI()*(Scenario_Data!W151)/45))+24*SIN(2*PI()*(Inputs!$C$6)/9+(Scenario_Data!W151)/18)*EXP(-(((Inputs!$C$6)+5)^2)/(22^2))+18*SIN(2*PI()*(Scenario_Data!W151)/70))+Inputs!$C$28*EXP(-(((Scenario_Data!W151)-Inputs!$C$29)^2)/(2*Inputs!$C$31^2))*EXP(-(((Inputs!$C$6)-Inputs!$C$30)^2)/(2*Inputs!$C$32^2))+-Inputs!$C$33*EXP(-(((((Scenario_Data!W151)-Inputs!$C$34)^2)+(((Inputs!$C$6)-Inputs!$C$35)^2))/(2*Inputs!$C$36^2)))+Inputs!$C$37*(0.55*SIN(2*PI()*(Scenario_Data!W151)/Inputs!$C$39)+0.35*COS(2*PI()*(Inputs!$C$6)/Inputs!$C$40)+0.2*SIN(2*PI()*((Scenario_Data!W151)+(Inputs!$C$6))/(0.5*(Inputs!$C$39+Inputs!$C$40))))+Inputs!$C$38*SIN(2*PI()*(Scenario_Data!W151)/Inputs!$C$39)*SIN(2*PI()*(Inputs!$C$6)/Inputs!$C$40)+-Inputs!$C$41*EXP(-(((Inputs!$C$6)-Inputs!$C$43)^2)/(2*Inputs!$C$44^2))*EXP(-(((Scenario_Data!W151)-Inputs!$C$42)^2)/(2*Inputs!$C$45^2))+Inputs!$C$48*(0.7*(0.45*SIN(2*PI()*(((Scenario_Data!W151)/Inputs!$C$49)+Inputs!$C$47*0.137))+0.35*COS(2*PI()*(((Inputs!$C$6)/Inputs!$C$50)+Inputs!$C$47*0.173))+0.2*SIN(2*PI()*((((Scenario_Data!W151)+(Inputs!$C$6))/(0.5*(Inputs!$C$49+Inputs!$C$50)))+Inputs!$C$47*0.097)))+0.3*(2*((SIN(((Scenario_Data!W151)*12.9898+(Inputs!$C$6)*78.233+Inputs!$C$47*37.719))*43758.5453)-INT((SIN(((Scenario_Data!W151)*12.9898+(Inputs!$C$6)*78.233+Inputs!$C$47*37.719))*43758.5453)))-1))))/1000))^2-2*(Inputs!$C$52+(Scenario_Data!E151))*(Inputs!$C$52+((IF(OR(Inputs!$C$27=TRUE,Inputs!$C$27="TRUE",Inputs!$C$27=1),1,0)*(Inputs!$C$51*(115*EXP(-(((Inputs!$C$6)-25)^2)/(4.5^2))+70*EXP(-(((Inputs!$C$6)+38)^2)/(7^2))*(0.55+0.45*SIN(2*PI()*(Scenario_Data!W151)/45))+24*SIN(2*PI()*(Inputs!$C$6)/9+(Scenario_Data!W151)/18)*EXP(-(((Inputs!$C$6)+5)^2)/(22^2))+18*SIN(2*PI()*(Scenario_Data!W151)/70))+Inputs!$C$28*EXP(-(((Scenario_Data!W151)-Inputs!$C$29)^2)/(2*Inputs!$C$31^2))*EXP(-(((Inputs!$C$6)-Inputs!$C$30)^2)/(2*Inputs!$C$32^2))+-Inputs!$C$33*EXP(-(((((Scenario_Data!W151)-Inputs!$C$34)^2)+(((Inputs!$C$6)-Inputs!$C$35)^2))/(2*Inputs!$C$36^2)))+Inputs!$C$37*(0.55*SIN(2*PI()*(Scenario_Data!W151)/Inputs!$C$39)+0.35*COS(2*PI()*(Inputs!$C$6)/Inputs!$C$40)+0.2*SIN(2*PI()*((Scenario_Data!W151)+(Inputs!$C$6))/(0.5*(Inputs!$C$39+Inputs!$C$40))))+Inputs!$C$38*SIN(2*PI()*(Scenario_Data!W151)/Inputs!$C$39)*SIN(2*PI()*(Inputs!$C$6)/Inputs!$C$40)+-Inputs!$C$41*EXP(-(((Inputs!$C$6)-Inputs!$C$43)^2)/(2*Inputs!$C$44^2))*EXP(-(((Scenario_Data!W151)-Inputs!$C$42)^2)/(2*Inputs!$C$45^2))+Inputs!$C$48*(0.7*(0.45*SIN(2*PI()*(((Scenario_Data!W151)/Inputs!$C$49)+Inputs!$C$47*0.137))+0.35*COS(2*PI()*(((Inputs!$C$6)/Inputs!$C$50)+Inputs!$C$47*0.173))+0.2*SIN(2*PI()*((((Scenario_Data!W151)+(Inputs!$C$6))/(0.5*(Inputs!$C$49+Inputs!$C$50)))+Inputs!$C$47*0.097)))+0.3*(2*((SIN(((Scenario_Data!W151)*12.9898+(Inputs!$C$6)*78.233+Inputs!$C$47*37.719))*43758.5453)-INT((SIN(((Scenario_Data!W151)*12.9898+(Inputs!$C$6)*78.233+Inputs!$C$47*37.719))*43758.5453)))-1))))/1000))*COS(SQRT((Scenario_Data!W151)^2+Inputs!$C$6^2)/Inputs!$C$52))*1000)/Inputs!$C$21*1000000</f>
        <v/>
      </c>
    </row>
    <row r="152">
      <c r="A152">
        <f>Chart_Data!K152</f>
        <v/>
      </c>
      <c r="B152">
        <f>Chart_Data!N152-Chart_Data!L152</f>
        <v/>
      </c>
      <c r="D152">
        <f>Chart_Data!G152</f>
        <v/>
      </c>
      <c r="E152">
        <f>Chart_Data!H152</f>
        <v/>
      </c>
      <c r="F152">
        <f>Chart_Data!I152</f>
        <v/>
      </c>
      <c r="G152">
        <f>Chart_Data!J152</f>
        <v/>
      </c>
      <c r="I152">
        <f>Scenario_Data!A152</f>
        <v/>
      </c>
      <c r="J152">
        <f>Scenario_Data!H152-(((SQRT((Inputs!$C$52+(Inputs!$H$6))^2+Inputs!$C$52^2-2*(Inputs!$C$52+(Inputs!$H$6))*Inputs!$C$52*COS(SQRT((Scenario_Data!T152)^2+Inputs!$C$6^2)/Inputs!$C$52)))-(Inputs!$H$6))*1000/Inputs!$C$12)</f>
        <v/>
      </c>
      <c r="K152">
        <f>Scenario_Data!I152-(((SQRT((Inputs!$C$52+(Inputs!$H$7))^2+Inputs!$C$52^2-2*(Inputs!$C$52+(Inputs!$H$7))*Inputs!$C$52*COS(SQRT((Scenario_Data!U152)^2+Inputs!$C$6^2)/Inputs!$C$52)))-(Inputs!$H$7))*1000/Inputs!$C$12)</f>
        <v/>
      </c>
      <c r="L152">
        <f>Scenario_Data!J152-(((SQRT((Inputs!$C$52+(Inputs!$H$8))^2+Inputs!$C$52^2-2*(Inputs!$C$52+(Inputs!$H$8))*Inputs!$C$52*COS(SQRT((Scenario_Data!V152)^2+Inputs!$C$6^2)/Inputs!$C$52)))-(Inputs!$H$8))*1000/Inputs!$C$12)</f>
        <v/>
      </c>
      <c r="M152">
        <f>Scenario_Data!K152-(((SQRT((Inputs!$C$52+(Inputs!$H$9))^2+Inputs!$C$52^2-2*(Inputs!$C$52+(Inputs!$H$9))*Inputs!$C$52*COS(SQRT((Scenario_Data!W152)^2+Inputs!$C$6^2)/Inputs!$C$52)))-(Inputs!$H$9))*1000/Inputs!$C$12)</f>
        <v/>
      </c>
      <c r="O152">
        <f>Scenario_Data!T152</f>
        <v/>
      </c>
      <c r="P152">
        <f>2*(Scenario_Data!B152*1000)/Inputs!$C$21*1000000</f>
        <v/>
      </c>
      <c r="Q152">
        <f>Scenario_Data!U152</f>
        <v/>
      </c>
      <c r="R152">
        <f>2*(Scenario_Data!C152*1000)/Inputs!$C$21*1000000</f>
        <v/>
      </c>
      <c r="S152">
        <f>Scenario_Data!V152</f>
        <v/>
      </c>
      <c r="T152">
        <f>2*(Scenario_Data!D152*1000)/Inputs!$C$21*1000000</f>
        <v/>
      </c>
      <c r="U152">
        <f>Scenario_Data!W152</f>
        <v/>
      </c>
      <c r="V152">
        <f>2*(Scenario_Data!E152*1000)/Inputs!$C$21*1000000</f>
        <v/>
      </c>
      <c r="X152">
        <f>Scenario_Data!T152</f>
        <v/>
      </c>
      <c r="Y152">
        <f>2*((Scenario_Data!B152*1000)-(IF(OR(Inputs!$C$27=TRUE,Inputs!$C$27="TRUE",Inputs!$C$27=1),1,0)*(Inputs!$C$51*(115*EXP(-(((0)-25)^2)/(4.5^2))+70*EXP(-(((0)+38)^2)/(7^2))*(0.55+0.45*SIN(2*PI()*(Scenario_Data!T152)/45))+24*SIN(2*PI()*(0)/9+(Scenario_Data!T152)/18)*EXP(-(((0)+5)^2)/(22^2))+18*SIN(2*PI()*(Scenario_Data!T152)/70))+Inputs!$C$28*EXP(-(((Scenario_Data!T152)-Inputs!$C$29)^2)/(2*Inputs!$C$31^2))*EXP(-(((0)-Inputs!$C$30)^2)/(2*Inputs!$C$32^2))+-Inputs!$C$33*EXP(-(((((Scenario_Data!T152)-Inputs!$C$34)^2)+(((0)-Inputs!$C$35)^2))/(2*Inputs!$C$36^2)))+Inputs!$C$37*(0.55*SIN(2*PI()*(Scenario_Data!T152)/Inputs!$C$39)+0.35*COS(2*PI()*(0)/Inputs!$C$40)+0.2*SIN(2*PI()*((Scenario_Data!T152)+(0))/(0.5*(Inputs!$C$39+Inputs!$C$40))))+Inputs!$C$38*SIN(2*PI()*(Scenario_Data!T152)/Inputs!$C$39)*SIN(2*PI()*(0)/Inputs!$C$40)+-Inputs!$C$41*EXP(-(((0)-Inputs!$C$43)^2)/(2*Inputs!$C$44^2))*EXP(-(((Scenario_Data!T152)-Inputs!$C$42)^2)/(2*Inputs!$C$45^2))+Inputs!$C$48*(0.7*(0.45*SIN(2*PI()*(((Scenario_Data!T152)/Inputs!$C$49)+Inputs!$C$47*0.137))+0.35*COS(2*PI()*(((0)/Inputs!$C$50)+Inputs!$C$47*0.173))+0.2*SIN(2*PI()*((((Scenario_Data!T152)+(0))/(0.5*(Inputs!$C$49+Inputs!$C$50)))+Inputs!$C$47*0.097)))+0.3*(2*((SIN(((Scenario_Data!T152)*12.9898+(0)*78.233+Inputs!$C$47*37.719))*43758.5453)-INT((SIN(((Scenario_Data!T152)*12.9898+(0)*78.233+Inputs!$C$47*37.719))*43758.5453)))-1)))))/Inputs!$C$21*1000000</f>
        <v/>
      </c>
      <c r="Z152">
        <f>Scenario_Data!U152</f>
        <v/>
      </c>
      <c r="AA152">
        <f>2*((Scenario_Data!C152*1000)-(IF(OR(Inputs!$C$27=TRUE,Inputs!$C$27="TRUE",Inputs!$C$27=1),1,0)*(Inputs!$C$51*(115*EXP(-(((0)-25)^2)/(4.5^2))+70*EXP(-(((0)+38)^2)/(7^2))*(0.55+0.45*SIN(2*PI()*(Scenario_Data!U152)/45))+24*SIN(2*PI()*(0)/9+(Scenario_Data!U152)/18)*EXP(-(((0)+5)^2)/(22^2))+18*SIN(2*PI()*(Scenario_Data!U152)/70))+Inputs!$C$28*EXP(-(((Scenario_Data!U152)-Inputs!$C$29)^2)/(2*Inputs!$C$31^2))*EXP(-(((0)-Inputs!$C$30)^2)/(2*Inputs!$C$32^2))+-Inputs!$C$33*EXP(-(((((Scenario_Data!U152)-Inputs!$C$34)^2)+(((0)-Inputs!$C$35)^2))/(2*Inputs!$C$36^2)))+Inputs!$C$37*(0.55*SIN(2*PI()*(Scenario_Data!U152)/Inputs!$C$39)+0.35*COS(2*PI()*(0)/Inputs!$C$40)+0.2*SIN(2*PI()*((Scenario_Data!U152)+(0))/(0.5*(Inputs!$C$39+Inputs!$C$40))))+Inputs!$C$38*SIN(2*PI()*(Scenario_Data!U152)/Inputs!$C$39)*SIN(2*PI()*(0)/Inputs!$C$40)+-Inputs!$C$41*EXP(-(((0)-Inputs!$C$43)^2)/(2*Inputs!$C$44^2))*EXP(-(((Scenario_Data!U152)-Inputs!$C$42)^2)/(2*Inputs!$C$45^2))+Inputs!$C$48*(0.7*(0.45*SIN(2*PI()*(((Scenario_Data!U152)/Inputs!$C$49)+Inputs!$C$47*0.137))+0.35*COS(2*PI()*(((0)/Inputs!$C$50)+Inputs!$C$47*0.173))+0.2*SIN(2*PI()*((((Scenario_Data!U152)+(0))/(0.5*(Inputs!$C$49+Inputs!$C$50)))+Inputs!$C$47*0.097)))+0.3*(2*((SIN(((Scenario_Data!U152)*12.9898+(0)*78.233+Inputs!$C$47*37.719))*43758.5453)-INT((SIN(((Scenario_Data!U152)*12.9898+(0)*78.233+Inputs!$C$47*37.719))*43758.5453)))-1)))))/Inputs!$C$21*1000000</f>
        <v/>
      </c>
      <c r="AB152">
        <f>Scenario_Data!V152</f>
        <v/>
      </c>
      <c r="AC152">
        <f>2*((Scenario_Data!D152*1000)-(IF(OR(Inputs!$C$27=TRUE,Inputs!$C$27="TRUE",Inputs!$C$27=1),1,0)*(Inputs!$C$51*(115*EXP(-(((0)-25)^2)/(4.5^2))+70*EXP(-(((0)+38)^2)/(7^2))*(0.55+0.45*SIN(2*PI()*(Scenario_Data!V152)/45))+24*SIN(2*PI()*(0)/9+(Scenario_Data!V152)/18)*EXP(-(((0)+5)^2)/(22^2))+18*SIN(2*PI()*(Scenario_Data!V152)/70))+Inputs!$C$28*EXP(-(((Scenario_Data!V152)-Inputs!$C$29)^2)/(2*Inputs!$C$31^2))*EXP(-(((0)-Inputs!$C$30)^2)/(2*Inputs!$C$32^2))+-Inputs!$C$33*EXP(-(((((Scenario_Data!V152)-Inputs!$C$34)^2)+(((0)-Inputs!$C$35)^2))/(2*Inputs!$C$36^2)))+Inputs!$C$37*(0.55*SIN(2*PI()*(Scenario_Data!V152)/Inputs!$C$39)+0.35*COS(2*PI()*(0)/Inputs!$C$40)+0.2*SIN(2*PI()*((Scenario_Data!V152)+(0))/(0.5*(Inputs!$C$39+Inputs!$C$40))))+Inputs!$C$38*SIN(2*PI()*(Scenario_Data!V152)/Inputs!$C$39)*SIN(2*PI()*(0)/Inputs!$C$40)+-Inputs!$C$41*EXP(-(((0)-Inputs!$C$43)^2)/(2*Inputs!$C$44^2))*EXP(-(((Scenario_Data!V152)-Inputs!$C$42)^2)/(2*Inputs!$C$45^2))+Inputs!$C$48*(0.7*(0.45*SIN(2*PI()*(((Scenario_Data!V152)/Inputs!$C$49)+Inputs!$C$47*0.137))+0.35*COS(2*PI()*(((0)/Inputs!$C$50)+Inputs!$C$47*0.173))+0.2*SIN(2*PI()*((((Scenario_Data!V152)+(0))/(0.5*(Inputs!$C$49+Inputs!$C$50)))+Inputs!$C$47*0.097)))+0.3*(2*((SIN(((Scenario_Data!V152)*12.9898+(0)*78.233+Inputs!$C$47*37.719))*43758.5453)-INT((SIN(((Scenario_Data!V152)*12.9898+(0)*78.233+Inputs!$C$47*37.719))*43758.5453)))-1)))))/Inputs!$C$21*1000000</f>
        <v/>
      </c>
      <c r="AD152">
        <f>Scenario_Data!W152</f>
        <v/>
      </c>
      <c r="AE152">
        <f>2*((Scenario_Data!E152*1000)-(IF(OR(Inputs!$C$27=TRUE,Inputs!$C$27="TRUE",Inputs!$C$27=1),1,0)*(Inputs!$C$51*(115*EXP(-(((0)-25)^2)/(4.5^2))+70*EXP(-(((0)+38)^2)/(7^2))*(0.55+0.45*SIN(2*PI()*(Scenario_Data!W152)/45))+24*SIN(2*PI()*(0)/9+(Scenario_Data!W152)/18)*EXP(-(((0)+5)^2)/(22^2))+18*SIN(2*PI()*(Scenario_Data!W152)/70))+Inputs!$C$28*EXP(-(((Scenario_Data!W152)-Inputs!$C$29)^2)/(2*Inputs!$C$31^2))*EXP(-(((0)-Inputs!$C$30)^2)/(2*Inputs!$C$32^2))+-Inputs!$C$33*EXP(-(((((Scenario_Data!W152)-Inputs!$C$34)^2)+(((0)-Inputs!$C$35)^2))/(2*Inputs!$C$36^2)))+Inputs!$C$37*(0.55*SIN(2*PI()*(Scenario_Data!W152)/Inputs!$C$39)+0.35*COS(2*PI()*(0)/Inputs!$C$40)+0.2*SIN(2*PI()*((Scenario_Data!W152)+(0))/(0.5*(Inputs!$C$39+Inputs!$C$40))))+Inputs!$C$38*SIN(2*PI()*(Scenario_Data!W152)/Inputs!$C$39)*SIN(2*PI()*(0)/Inputs!$C$40)+-Inputs!$C$41*EXP(-(((0)-Inputs!$C$43)^2)/(2*Inputs!$C$44^2))*EXP(-(((Scenario_Data!W152)-Inputs!$C$42)^2)/(2*Inputs!$C$45^2))+Inputs!$C$48*(0.7*(0.45*SIN(2*PI()*(((Scenario_Data!W152)/Inputs!$C$49)+Inputs!$C$47*0.137))+0.35*COS(2*PI()*(((0)/Inputs!$C$50)+Inputs!$C$47*0.173))+0.2*SIN(2*PI()*((((Scenario_Data!W152)+(0))/(0.5*(Inputs!$C$49+Inputs!$C$50)))+Inputs!$C$47*0.097)))+0.3*(2*((SIN(((Scenario_Data!W152)*12.9898+(0)*78.233+Inputs!$C$47*37.719))*43758.5453)-INT((SIN(((Scenario_Data!W152)*12.9898+(0)*78.233+Inputs!$C$47*37.719))*43758.5453)))-1)))))/Inputs!$C$21*1000000</f>
        <v/>
      </c>
      <c r="AG152">
        <f>Scenario_Data!T152</f>
        <v/>
      </c>
      <c r="AH152">
        <f>2*(SQRT((Inputs!$C$52+(Scenario_Data!B152))^2+Inputs!$C$52^2-2*(Inputs!$C$52+(Scenario_Data!B152))*Inputs!$C$52*COS(SQRT((Scenario_Data!T152)^2+Inputs!$C$6^2)/Inputs!$C$52))*1000)/Inputs!$C$21*1000000</f>
        <v/>
      </c>
      <c r="AI152">
        <f>Scenario_Data!U152</f>
        <v/>
      </c>
      <c r="AJ152">
        <f>2*(SQRT((Inputs!$C$52+(Scenario_Data!C152))^2+Inputs!$C$52^2-2*(Inputs!$C$52+(Scenario_Data!C152))*Inputs!$C$52*COS(SQRT((Scenario_Data!U152)^2+Inputs!$C$6^2)/Inputs!$C$52))*1000)/Inputs!$C$21*1000000</f>
        <v/>
      </c>
      <c r="AK152">
        <f>Scenario_Data!V152</f>
        <v/>
      </c>
      <c r="AL152">
        <f>2*(SQRT((Inputs!$C$52+(Scenario_Data!D152))^2+Inputs!$C$52^2-2*(Inputs!$C$52+(Scenario_Data!D152))*Inputs!$C$52*COS(SQRT((Scenario_Data!V152)^2+Inputs!$C$6^2)/Inputs!$C$52))*1000)/Inputs!$C$21*1000000</f>
        <v/>
      </c>
      <c r="AM152">
        <f>Scenario_Data!W152</f>
        <v/>
      </c>
      <c r="AN152">
        <f>2*(SQRT((Inputs!$C$52+(Scenario_Data!E152))^2+Inputs!$C$52^2-2*(Inputs!$C$52+(Scenario_Data!E152))*Inputs!$C$52*COS(SQRT((Scenario_Data!W152)^2+Inputs!$C$6^2)/Inputs!$C$52))*1000)/Inputs!$C$21*1000000</f>
        <v/>
      </c>
      <c r="AP152">
        <f>Scenario_Data!T152</f>
        <v/>
      </c>
      <c r="AQ152">
        <f>2*(SQRT((Inputs!$C$52+(Scenario_Data!B152))^2+(Inputs!$C$52+((IF(OR(Inputs!$C$27=TRUE,Inputs!$C$27="TRUE",Inputs!$C$27=1),1,0)*(Inputs!$C$51*(115*EXP(-(((Inputs!$C$6)-25)^2)/(4.5^2))+70*EXP(-(((Inputs!$C$6)+38)^2)/(7^2))*(0.55+0.45*SIN(2*PI()*(Scenario_Data!T152)/45))+24*SIN(2*PI()*(Inputs!$C$6)/9+(Scenario_Data!T152)/18)*EXP(-(((Inputs!$C$6)+5)^2)/(22^2))+18*SIN(2*PI()*(Scenario_Data!T152)/70))+Inputs!$C$28*EXP(-(((Scenario_Data!T152)-Inputs!$C$29)^2)/(2*Inputs!$C$31^2))*EXP(-(((Inputs!$C$6)-Inputs!$C$30)^2)/(2*Inputs!$C$32^2))+-Inputs!$C$33*EXP(-(((((Scenario_Data!T152)-Inputs!$C$34)^2)+(((Inputs!$C$6)-Inputs!$C$35)^2))/(2*Inputs!$C$36^2)))+Inputs!$C$37*(0.55*SIN(2*PI()*(Scenario_Data!T152)/Inputs!$C$39)+0.35*COS(2*PI()*(Inputs!$C$6)/Inputs!$C$40)+0.2*SIN(2*PI()*((Scenario_Data!T152)+(Inputs!$C$6))/(0.5*(Inputs!$C$39+Inputs!$C$40))))+Inputs!$C$38*SIN(2*PI()*(Scenario_Data!T152)/Inputs!$C$39)*SIN(2*PI()*(Inputs!$C$6)/Inputs!$C$40)+-Inputs!$C$41*EXP(-(((Inputs!$C$6)-Inputs!$C$43)^2)/(2*Inputs!$C$44^2))*EXP(-(((Scenario_Data!T152)-Inputs!$C$42)^2)/(2*Inputs!$C$45^2))+Inputs!$C$48*(0.7*(0.45*SIN(2*PI()*(((Scenario_Data!T152)/Inputs!$C$49)+Inputs!$C$47*0.137))+0.35*COS(2*PI()*(((Inputs!$C$6)/Inputs!$C$50)+Inputs!$C$47*0.173))+0.2*SIN(2*PI()*((((Scenario_Data!T152)+(Inputs!$C$6))/(0.5*(Inputs!$C$49+Inputs!$C$50)))+Inputs!$C$47*0.097)))+0.3*(2*((SIN(((Scenario_Data!T152)*12.9898+(Inputs!$C$6)*78.233+Inputs!$C$47*37.719))*43758.5453)-INT((SIN(((Scenario_Data!T152)*12.9898+(Inputs!$C$6)*78.233+Inputs!$C$47*37.719))*43758.5453)))-1))))/1000))^2-2*(Inputs!$C$52+(Scenario_Data!B152))*(Inputs!$C$52+((IF(OR(Inputs!$C$27=TRUE,Inputs!$C$27="TRUE",Inputs!$C$27=1),1,0)*(Inputs!$C$51*(115*EXP(-(((Inputs!$C$6)-25)^2)/(4.5^2))+70*EXP(-(((Inputs!$C$6)+38)^2)/(7^2))*(0.55+0.45*SIN(2*PI()*(Scenario_Data!T152)/45))+24*SIN(2*PI()*(Inputs!$C$6)/9+(Scenario_Data!T152)/18)*EXP(-(((Inputs!$C$6)+5)^2)/(22^2))+18*SIN(2*PI()*(Scenario_Data!T152)/70))+Inputs!$C$28*EXP(-(((Scenario_Data!T152)-Inputs!$C$29)^2)/(2*Inputs!$C$31^2))*EXP(-(((Inputs!$C$6)-Inputs!$C$30)^2)/(2*Inputs!$C$32^2))+-Inputs!$C$33*EXP(-(((((Scenario_Data!T152)-Inputs!$C$34)^2)+(((Inputs!$C$6)-Inputs!$C$35)^2))/(2*Inputs!$C$36^2)))+Inputs!$C$37*(0.55*SIN(2*PI()*(Scenario_Data!T152)/Inputs!$C$39)+0.35*COS(2*PI()*(Inputs!$C$6)/Inputs!$C$40)+0.2*SIN(2*PI()*((Scenario_Data!T152)+(Inputs!$C$6))/(0.5*(Inputs!$C$39+Inputs!$C$40))))+Inputs!$C$38*SIN(2*PI()*(Scenario_Data!T152)/Inputs!$C$39)*SIN(2*PI()*(Inputs!$C$6)/Inputs!$C$40)+-Inputs!$C$41*EXP(-(((Inputs!$C$6)-Inputs!$C$43)^2)/(2*Inputs!$C$44^2))*EXP(-(((Scenario_Data!T152)-Inputs!$C$42)^2)/(2*Inputs!$C$45^2))+Inputs!$C$48*(0.7*(0.45*SIN(2*PI()*(((Scenario_Data!T152)/Inputs!$C$49)+Inputs!$C$47*0.137))+0.35*COS(2*PI()*(((Inputs!$C$6)/Inputs!$C$50)+Inputs!$C$47*0.173))+0.2*SIN(2*PI()*((((Scenario_Data!T152)+(Inputs!$C$6))/(0.5*(Inputs!$C$49+Inputs!$C$50)))+Inputs!$C$47*0.097)))+0.3*(2*((SIN(((Scenario_Data!T152)*12.9898+(Inputs!$C$6)*78.233+Inputs!$C$47*37.719))*43758.5453)-INT((SIN(((Scenario_Data!T152)*12.9898+(Inputs!$C$6)*78.233+Inputs!$C$47*37.719))*43758.5453)))-1))))/1000))*COS(SQRT((Scenario_Data!T152)^2+Inputs!$C$6^2)/Inputs!$C$52))*1000)/Inputs!$C$21*1000000</f>
        <v/>
      </c>
      <c r="AR152">
        <f>Scenario_Data!U152</f>
        <v/>
      </c>
      <c r="AS152">
        <f>2*(SQRT((Inputs!$C$52+(Scenario_Data!C152))^2+(Inputs!$C$52+((IF(OR(Inputs!$C$27=TRUE,Inputs!$C$27="TRUE",Inputs!$C$27=1),1,0)*(Inputs!$C$51*(115*EXP(-(((Inputs!$C$6)-25)^2)/(4.5^2))+70*EXP(-(((Inputs!$C$6)+38)^2)/(7^2))*(0.55+0.45*SIN(2*PI()*(Scenario_Data!U152)/45))+24*SIN(2*PI()*(Inputs!$C$6)/9+(Scenario_Data!U152)/18)*EXP(-(((Inputs!$C$6)+5)^2)/(22^2))+18*SIN(2*PI()*(Scenario_Data!U152)/70))+Inputs!$C$28*EXP(-(((Scenario_Data!U152)-Inputs!$C$29)^2)/(2*Inputs!$C$31^2))*EXP(-(((Inputs!$C$6)-Inputs!$C$30)^2)/(2*Inputs!$C$32^2))+-Inputs!$C$33*EXP(-(((((Scenario_Data!U152)-Inputs!$C$34)^2)+(((Inputs!$C$6)-Inputs!$C$35)^2))/(2*Inputs!$C$36^2)))+Inputs!$C$37*(0.55*SIN(2*PI()*(Scenario_Data!U152)/Inputs!$C$39)+0.35*COS(2*PI()*(Inputs!$C$6)/Inputs!$C$40)+0.2*SIN(2*PI()*((Scenario_Data!U152)+(Inputs!$C$6))/(0.5*(Inputs!$C$39+Inputs!$C$40))))+Inputs!$C$38*SIN(2*PI()*(Scenario_Data!U152)/Inputs!$C$39)*SIN(2*PI()*(Inputs!$C$6)/Inputs!$C$40)+-Inputs!$C$41*EXP(-(((Inputs!$C$6)-Inputs!$C$43)^2)/(2*Inputs!$C$44^2))*EXP(-(((Scenario_Data!U152)-Inputs!$C$42)^2)/(2*Inputs!$C$45^2))+Inputs!$C$48*(0.7*(0.45*SIN(2*PI()*(((Scenario_Data!U152)/Inputs!$C$49)+Inputs!$C$47*0.137))+0.35*COS(2*PI()*(((Inputs!$C$6)/Inputs!$C$50)+Inputs!$C$47*0.173))+0.2*SIN(2*PI()*((((Scenario_Data!U152)+(Inputs!$C$6))/(0.5*(Inputs!$C$49+Inputs!$C$50)))+Inputs!$C$47*0.097)))+0.3*(2*((SIN(((Scenario_Data!U152)*12.9898+(Inputs!$C$6)*78.233+Inputs!$C$47*37.719))*43758.5453)-INT((SIN(((Scenario_Data!U152)*12.9898+(Inputs!$C$6)*78.233+Inputs!$C$47*37.719))*43758.5453)))-1))))/1000))^2-2*(Inputs!$C$52+(Scenario_Data!C152))*(Inputs!$C$52+((IF(OR(Inputs!$C$27=TRUE,Inputs!$C$27="TRUE",Inputs!$C$27=1),1,0)*(Inputs!$C$51*(115*EXP(-(((Inputs!$C$6)-25)^2)/(4.5^2))+70*EXP(-(((Inputs!$C$6)+38)^2)/(7^2))*(0.55+0.45*SIN(2*PI()*(Scenario_Data!U152)/45))+24*SIN(2*PI()*(Inputs!$C$6)/9+(Scenario_Data!U152)/18)*EXP(-(((Inputs!$C$6)+5)^2)/(22^2))+18*SIN(2*PI()*(Scenario_Data!U152)/70))+Inputs!$C$28*EXP(-(((Scenario_Data!U152)-Inputs!$C$29)^2)/(2*Inputs!$C$31^2))*EXP(-(((Inputs!$C$6)-Inputs!$C$30)^2)/(2*Inputs!$C$32^2))+-Inputs!$C$33*EXP(-(((((Scenario_Data!U152)-Inputs!$C$34)^2)+(((Inputs!$C$6)-Inputs!$C$35)^2))/(2*Inputs!$C$36^2)))+Inputs!$C$37*(0.55*SIN(2*PI()*(Scenario_Data!U152)/Inputs!$C$39)+0.35*COS(2*PI()*(Inputs!$C$6)/Inputs!$C$40)+0.2*SIN(2*PI()*((Scenario_Data!U152)+(Inputs!$C$6))/(0.5*(Inputs!$C$39+Inputs!$C$40))))+Inputs!$C$38*SIN(2*PI()*(Scenario_Data!U152)/Inputs!$C$39)*SIN(2*PI()*(Inputs!$C$6)/Inputs!$C$40)+-Inputs!$C$41*EXP(-(((Inputs!$C$6)-Inputs!$C$43)^2)/(2*Inputs!$C$44^2))*EXP(-(((Scenario_Data!U152)-Inputs!$C$42)^2)/(2*Inputs!$C$45^2))+Inputs!$C$48*(0.7*(0.45*SIN(2*PI()*(((Scenario_Data!U152)/Inputs!$C$49)+Inputs!$C$47*0.137))+0.35*COS(2*PI()*(((Inputs!$C$6)/Inputs!$C$50)+Inputs!$C$47*0.173))+0.2*SIN(2*PI()*((((Scenario_Data!U152)+(Inputs!$C$6))/(0.5*(Inputs!$C$49+Inputs!$C$50)))+Inputs!$C$47*0.097)))+0.3*(2*((SIN(((Scenario_Data!U152)*12.9898+(Inputs!$C$6)*78.233+Inputs!$C$47*37.719))*43758.5453)-INT((SIN(((Scenario_Data!U152)*12.9898+(Inputs!$C$6)*78.233+Inputs!$C$47*37.719))*43758.5453)))-1))))/1000))*COS(SQRT((Scenario_Data!U152)^2+Inputs!$C$6^2)/Inputs!$C$52))*1000)/Inputs!$C$21*1000000</f>
        <v/>
      </c>
      <c r="AT152">
        <f>Scenario_Data!V152</f>
        <v/>
      </c>
      <c r="AU152">
        <f>2*(SQRT((Inputs!$C$52+(Scenario_Data!D152))^2+(Inputs!$C$52+((IF(OR(Inputs!$C$27=TRUE,Inputs!$C$27="TRUE",Inputs!$C$27=1),1,0)*(Inputs!$C$51*(115*EXP(-(((Inputs!$C$6)-25)^2)/(4.5^2))+70*EXP(-(((Inputs!$C$6)+38)^2)/(7^2))*(0.55+0.45*SIN(2*PI()*(Scenario_Data!V152)/45))+24*SIN(2*PI()*(Inputs!$C$6)/9+(Scenario_Data!V152)/18)*EXP(-(((Inputs!$C$6)+5)^2)/(22^2))+18*SIN(2*PI()*(Scenario_Data!V152)/70))+Inputs!$C$28*EXP(-(((Scenario_Data!V152)-Inputs!$C$29)^2)/(2*Inputs!$C$31^2))*EXP(-(((Inputs!$C$6)-Inputs!$C$30)^2)/(2*Inputs!$C$32^2))+-Inputs!$C$33*EXP(-(((((Scenario_Data!V152)-Inputs!$C$34)^2)+(((Inputs!$C$6)-Inputs!$C$35)^2))/(2*Inputs!$C$36^2)))+Inputs!$C$37*(0.55*SIN(2*PI()*(Scenario_Data!V152)/Inputs!$C$39)+0.35*COS(2*PI()*(Inputs!$C$6)/Inputs!$C$40)+0.2*SIN(2*PI()*((Scenario_Data!V152)+(Inputs!$C$6))/(0.5*(Inputs!$C$39+Inputs!$C$40))))+Inputs!$C$38*SIN(2*PI()*(Scenario_Data!V152)/Inputs!$C$39)*SIN(2*PI()*(Inputs!$C$6)/Inputs!$C$40)+-Inputs!$C$41*EXP(-(((Inputs!$C$6)-Inputs!$C$43)^2)/(2*Inputs!$C$44^2))*EXP(-(((Scenario_Data!V152)-Inputs!$C$42)^2)/(2*Inputs!$C$45^2))+Inputs!$C$48*(0.7*(0.45*SIN(2*PI()*(((Scenario_Data!V152)/Inputs!$C$49)+Inputs!$C$47*0.137))+0.35*COS(2*PI()*(((Inputs!$C$6)/Inputs!$C$50)+Inputs!$C$47*0.173))+0.2*SIN(2*PI()*((((Scenario_Data!V152)+(Inputs!$C$6))/(0.5*(Inputs!$C$49+Inputs!$C$50)))+Inputs!$C$47*0.097)))+0.3*(2*((SIN(((Scenario_Data!V152)*12.9898+(Inputs!$C$6)*78.233+Inputs!$C$47*37.719))*43758.5453)-INT((SIN(((Scenario_Data!V152)*12.9898+(Inputs!$C$6)*78.233+Inputs!$C$47*37.719))*43758.5453)))-1))))/1000))^2-2*(Inputs!$C$52+(Scenario_Data!D152))*(Inputs!$C$52+((IF(OR(Inputs!$C$27=TRUE,Inputs!$C$27="TRUE",Inputs!$C$27=1),1,0)*(Inputs!$C$51*(115*EXP(-(((Inputs!$C$6)-25)^2)/(4.5^2))+70*EXP(-(((Inputs!$C$6)+38)^2)/(7^2))*(0.55+0.45*SIN(2*PI()*(Scenario_Data!V152)/45))+24*SIN(2*PI()*(Inputs!$C$6)/9+(Scenario_Data!V152)/18)*EXP(-(((Inputs!$C$6)+5)^2)/(22^2))+18*SIN(2*PI()*(Scenario_Data!V152)/70))+Inputs!$C$28*EXP(-(((Scenario_Data!V152)-Inputs!$C$29)^2)/(2*Inputs!$C$31^2))*EXP(-(((Inputs!$C$6)-Inputs!$C$30)^2)/(2*Inputs!$C$32^2))+-Inputs!$C$33*EXP(-(((((Scenario_Data!V152)-Inputs!$C$34)^2)+(((Inputs!$C$6)-Inputs!$C$35)^2))/(2*Inputs!$C$36^2)))+Inputs!$C$37*(0.55*SIN(2*PI()*(Scenario_Data!V152)/Inputs!$C$39)+0.35*COS(2*PI()*(Inputs!$C$6)/Inputs!$C$40)+0.2*SIN(2*PI()*((Scenario_Data!V152)+(Inputs!$C$6))/(0.5*(Inputs!$C$39+Inputs!$C$40))))+Inputs!$C$38*SIN(2*PI()*(Scenario_Data!V152)/Inputs!$C$39)*SIN(2*PI()*(Inputs!$C$6)/Inputs!$C$40)+-Inputs!$C$41*EXP(-(((Inputs!$C$6)-Inputs!$C$43)^2)/(2*Inputs!$C$44^2))*EXP(-(((Scenario_Data!V152)-Inputs!$C$42)^2)/(2*Inputs!$C$45^2))+Inputs!$C$48*(0.7*(0.45*SIN(2*PI()*(((Scenario_Data!V152)/Inputs!$C$49)+Inputs!$C$47*0.137))+0.35*COS(2*PI()*(((Inputs!$C$6)/Inputs!$C$50)+Inputs!$C$47*0.173))+0.2*SIN(2*PI()*((((Scenario_Data!V152)+(Inputs!$C$6))/(0.5*(Inputs!$C$49+Inputs!$C$50)))+Inputs!$C$47*0.097)))+0.3*(2*((SIN(((Scenario_Data!V152)*12.9898+(Inputs!$C$6)*78.233+Inputs!$C$47*37.719))*43758.5453)-INT((SIN(((Scenario_Data!V152)*12.9898+(Inputs!$C$6)*78.233+Inputs!$C$47*37.719))*43758.5453)))-1))))/1000))*COS(SQRT((Scenario_Data!V152)^2+Inputs!$C$6^2)/Inputs!$C$52))*1000)/Inputs!$C$21*1000000</f>
        <v/>
      </c>
      <c r="AV152">
        <f>Scenario_Data!W152</f>
        <v/>
      </c>
      <c r="AW152">
        <f>2*(SQRT((Inputs!$C$52+(Scenario_Data!E152))^2+(Inputs!$C$52+((IF(OR(Inputs!$C$27=TRUE,Inputs!$C$27="TRUE",Inputs!$C$27=1),1,0)*(Inputs!$C$51*(115*EXP(-(((Inputs!$C$6)-25)^2)/(4.5^2))+70*EXP(-(((Inputs!$C$6)+38)^2)/(7^2))*(0.55+0.45*SIN(2*PI()*(Scenario_Data!W152)/45))+24*SIN(2*PI()*(Inputs!$C$6)/9+(Scenario_Data!W152)/18)*EXP(-(((Inputs!$C$6)+5)^2)/(22^2))+18*SIN(2*PI()*(Scenario_Data!W152)/70))+Inputs!$C$28*EXP(-(((Scenario_Data!W152)-Inputs!$C$29)^2)/(2*Inputs!$C$31^2))*EXP(-(((Inputs!$C$6)-Inputs!$C$30)^2)/(2*Inputs!$C$32^2))+-Inputs!$C$33*EXP(-(((((Scenario_Data!W152)-Inputs!$C$34)^2)+(((Inputs!$C$6)-Inputs!$C$35)^2))/(2*Inputs!$C$36^2)))+Inputs!$C$37*(0.55*SIN(2*PI()*(Scenario_Data!W152)/Inputs!$C$39)+0.35*COS(2*PI()*(Inputs!$C$6)/Inputs!$C$40)+0.2*SIN(2*PI()*((Scenario_Data!W152)+(Inputs!$C$6))/(0.5*(Inputs!$C$39+Inputs!$C$40))))+Inputs!$C$38*SIN(2*PI()*(Scenario_Data!W152)/Inputs!$C$39)*SIN(2*PI()*(Inputs!$C$6)/Inputs!$C$40)+-Inputs!$C$41*EXP(-(((Inputs!$C$6)-Inputs!$C$43)^2)/(2*Inputs!$C$44^2))*EXP(-(((Scenario_Data!W152)-Inputs!$C$42)^2)/(2*Inputs!$C$45^2))+Inputs!$C$48*(0.7*(0.45*SIN(2*PI()*(((Scenario_Data!W152)/Inputs!$C$49)+Inputs!$C$47*0.137))+0.35*COS(2*PI()*(((Inputs!$C$6)/Inputs!$C$50)+Inputs!$C$47*0.173))+0.2*SIN(2*PI()*((((Scenario_Data!W152)+(Inputs!$C$6))/(0.5*(Inputs!$C$49+Inputs!$C$50)))+Inputs!$C$47*0.097)))+0.3*(2*((SIN(((Scenario_Data!W152)*12.9898+(Inputs!$C$6)*78.233+Inputs!$C$47*37.719))*43758.5453)-INT((SIN(((Scenario_Data!W152)*12.9898+(Inputs!$C$6)*78.233+Inputs!$C$47*37.719))*43758.5453)))-1))))/1000))^2-2*(Inputs!$C$52+(Scenario_Data!E152))*(Inputs!$C$52+((IF(OR(Inputs!$C$27=TRUE,Inputs!$C$27="TRUE",Inputs!$C$27=1),1,0)*(Inputs!$C$51*(115*EXP(-(((Inputs!$C$6)-25)^2)/(4.5^2))+70*EXP(-(((Inputs!$C$6)+38)^2)/(7^2))*(0.55+0.45*SIN(2*PI()*(Scenario_Data!W152)/45))+24*SIN(2*PI()*(Inputs!$C$6)/9+(Scenario_Data!W152)/18)*EXP(-(((Inputs!$C$6)+5)^2)/(22^2))+18*SIN(2*PI()*(Scenario_Data!W152)/70))+Inputs!$C$28*EXP(-(((Scenario_Data!W152)-Inputs!$C$29)^2)/(2*Inputs!$C$31^2))*EXP(-(((Inputs!$C$6)-Inputs!$C$30)^2)/(2*Inputs!$C$32^2))+-Inputs!$C$33*EXP(-(((((Scenario_Data!W152)-Inputs!$C$34)^2)+(((Inputs!$C$6)-Inputs!$C$35)^2))/(2*Inputs!$C$36^2)))+Inputs!$C$37*(0.55*SIN(2*PI()*(Scenario_Data!W152)/Inputs!$C$39)+0.35*COS(2*PI()*(Inputs!$C$6)/Inputs!$C$40)+0.2*SIN(2*PI()*((Scenario_Data!W152)+(Inputs!$C$6))/(0.5*(Inputs!$C$39+Inputs!$C$40))))+Inputs!$C$38*SIN(2*PI()*(Scenario_Data!W152)/Inputs!$C$39)*SIN(2*PI()*(Inputs!$C$6)/Inputs!$C$40)+-Inputs!$C$41*EXP(-(((Inputs!$C$6)-Inputs!$C$43)^2)/(2*Inputs!$C$44^2))*EXP(-(((Scenario_Data!W152)-Inputs!$C$42)^2)/(2*Inputs!$C$45^2))+Inputs!$C$48*(0.7*(0.45*SIN(2*PI()*(((Scenario_Data!W152)/Inputs!$C$49)+Inputs!$C$47*0.137))+0.35*COS(2*PI()*(((Inputs!$C$6)/Inputs!$C$50)+Inputs!$C$47*0.173))+0.2*SIN(2*PI()*((((Scenario_Data!W152)+(Inputs!$C$6))/(0.5*(Inputs!$C$49+Inputs!$C$50)))+Inputs!$C$47*0.097)))+0.3*(2*((SIN(((Scenario_Data!W152)*12.9898+(Inputs!$C$6)*78.233+Inputs!$C$47*37.719))*43758.5453)-INT((SIN(((Scenario_Data!W152)*12.9898+(Inputs!$C$6)*78.233+Inputs!$C$47*37.719))*43758.5453)))-1))))/1000))*COS(SQRT((Scenario_Data!W152)^2+Inputs!$C$6^2)/Inputs!$C$52))*1000)/Inputs!$C$21*1000000</f>
        <v/>
      </c>
    </row>
    <row r="153">
      <c r="A153">
        <f>Chart_Data!K153</f>
        <v/>
      </c>
      <c r="B153">
        <f>Chart_Data!N153-Chart_Data!L153</f>
        <v/>
      </c>
      <c r="D153">
        <f>Chart_Data!G153</f>
        <v/>
      </c>
      <c r="E153">
        <f>Chart_Data!H153</f>
        <v/>
      </c>
      <c r="F153">
        <f>Chart_Data!I153</f>
        <v/>
      </c>
      <c r="G153">
        <f>Chart_Data!J153</f>
        <v/>
      </c>
      <c r="I153">
        <f>Scenario_Data!A153</f>
        <v/>
      </c>
      <c r="J153">
        <f>Scenario_Data!H153-(((SQRT((Inputs!$C$52+(Inputs!$H$6))^2+Inputs!$C$52^2-2*(Inputs!$C$52+(Inputs!$H$6))*Inputs!$C$52*COS(SQRT((Scenario_Data!T153)^2+Inputs!$C$6^2)/Inputs!$C$52)))-(Inputs!$H$6))*1000/Inputs!$C$12)</f>
        <v/>
      </c>
      <c r="K153">
        <f>Scenario_Data!I153-(((SQRT((Inputs!$C$52+(Inputs!$H$7))^2+Inputs!$C$52^2-2*(Inputs!$C$52+(Inputs!$H$7))*Inputs!$C$52*COS(SQRT((Scenario_Data!U153)^2+Inputs!$C$6^2)/Inputs!$C$52)))-(Inputs!$H$7))*1000/Inputs!$C$12)</f>
        <v/>
      </c>
      <c r="L153">
        <f>Scenario_Data!J153-(((SQRT((Inputs!$C$52+(Inputs!$H$8))^2+Inputs!$C$52^2-2*(Inputs!$C$52+(Inputs!$H$8))*Inputs!$C$52*COS(SQRT((Scenario_Data!V153)^2+Inputs!$C$6^2)/Inputs!$C$52)))-(Inputs!$H$8))*1000/Inputs!$C$12)</f>
        <v/>
      </c>
      <c r="M153">
        <f>Scenario_Data!K153-(((SQRT((Inputs!$C$52+(Inputs!$H$9))^2+Inputs!$C$52^2-2*(Inputs!$C$52+(Inputs!$H$9))*Inputs!$C$52*COS(SQRT((Scenario_Data!W153)^2+Inputs!$C$6^2)/Inputs!$C$52)))-(Inputs!$H$9))*1000/Inputs!$C$12)</f>
        <v/>
      </c>
      <c r="O153">
        <f>Scenario_Data!T153</f>
        <v/>
      </c>
      <c r="P153">
        <f>2*(Scenario_Data!B153*1000)/Inputs!$C$21*1000000</f>
        <v/>
      </c>
      <c r="Q153">
        <f>Scenario_Data!U153</f>
        <v/>
      </c>
      <c r="R153">
        <f>2*(Scenario_Data!C153*1000)/Inputs!$C$21*1000000</f>
        <v/>
      </c>
      <c r="S153">
        <f>Scenario_Data!V153</f>
        <v/>
      </c>
      <c r="T153">
        <f>2*(Scenario_Data!D153*1000)/Inputs!$C$21*1000000</f>
        <v/>
      </c>
      <c r="U153">
        <f>Scenario_Data!W153</f>
        <v/>
      </c>
      <c r="V153">
        <f>2*(Scenario_Data!E153*1000)/Inputs!$C$21*1000000</f>
        <v/>
      </c>
      <c r="X153">
        <f>Scenario_Data!T153</f>
        <v/>
      </c>
      <c r="Y153">
        <f>2*((Scenario_Data!B153*1000)-(IF(OR(Inputs!$C$27=TRUE,Inputs!$C$27="TRUE",Inputs!$C$27=1),1,0)*(Inputs!$C$51*(115*EXP(-(((0)-25)^2)/(4.5^2))+70*EXP(-(((0)+38)^2)/(7^2))*(0.55+0.45*SIN(2*PI()*(Scenario_Data!T153)/45))+24*SIN(2*PI()*(0)/9+(Scenario_Data!T153)/18)*EXP(-(((0)+5)^2)/(22^2))+18*SIN(2*PI()*(Scenario_Data!T153)/70))+Inputs!$C$28*EXP(-(((Scenario_Data!T153)-Inputs!$C$29)^2)/(2*Inputs!$C$31^2))*EXP(-(((0)-Inputs!$C$30)^2)/(2*Inputs!$C$32^2))+-Inputs!$C$33*EXP(-(((((Scenario_Data!T153)-Inputs!$C$34)^2)+(((0)-Inputs!$C$35)^2))/(2*Inputs!$C$36^2)))+Inputs!$C$37*(0.55*SIN(2*PI()*(Scenario_Data!T153)/Inputs!$C$39)+0.35*COS(2*PI()*(0)/Inputs!$C$40)+0.2*SIN(2*PI()*((Scenario_Data!T153)+(0))/(0.5*(Inputs!$C$39+Inputs!$C$40))))+Inputs!$C$38*SIN(2*PI()*(Scenario_Data!T153)/Inputs!$C$39)*SIN(2*PI()*(0)/Inputs!$C$40)+-Inputs!$C$41*EXP(-(((0)-Inputs!$C$43)^2)/(2*Inputs!$C$44^2))*EXP(-(((Scenario_Data!T153)-Inputs!$C$42)^2)/(2*Inputs!$C$45^2))+Inputs!$C$48*(0.7*(0.45*SIN(2*PI()*(((Scenario_Data!T153)/Inputs!$C$49)+Inputs!$C$47*0.137))+0.35*COS(2*PI()*(((0)/Inputs!$C$50)+Inputs!$C$47*0.173))+0.2*SIN(2*PI()*((((Scenario_Data!T153)+(0))/(0.5*(Inputs!$C$49+Inputs!$C$50)))+Inputs!$C$47*0.097)))+0.3*(2*((SIN(((Scenario_Data!T153)*12.9898+(0)*78.233+Inputs!$C$47*37.719))*43758.5453)-INT((SIN(((Scenario_Data!T153)*12.9898+(0)*78.233+Inputs!$C$47*37.719))*43758.5453)))-1)))))/Inputs!$C$21*1000000</f>
        <v/>
      </c>
      <c r="Z153">
        <f>Scenario_Data!U153</f>
        <v/>
      </c>
      <c r="AA153">
        <f>2*((Scenario_Data!C153*1000)-(IF(OR(Inputs!$C$27=TRUE,Inputs!$C$27="TRUE",Inputs!$C$27=1),1,0)*(Inputs!$C$51*(115*EXP(-(((0)-25)^2)/(4.5^2))+70*EXP(-(((0)+38)^2)/(7^2))*(0.55+0.45*SIN(2*PI()*(Scenario_Data!U153)/45))+24*SIN(2*PI()*(0)/9+(Scenario_Data!U153)/18)*EXP(-(((0)+5)^2)/(22^2))+18*SIN(2*PI()*(Scenario_Data!U153)/70))+Inputs!$C$28*EXP(-(((Scenario_Data!U153)-Inputs!$C$29)^2)/(2*Inputs!$C$31^2))*EXP(-(((0)-Inputs!$C$30)^2)/(2*Inputs!$C$32^2))+-Inputs!$C$33*EXP(-(((((Scenario_Data!U153)-Inputs!$C$34)^2)+(((0)-Inputs!$C$35)^2))/(2*Inputs!$C$36^2)))+Inputs!$C$37*(0.55*SIN(2*PI()*(Scenario_Data!U153)/Inputs!$C$39)+0.35*COS(2*PI()*(0)/Inputs!$C$40)+0.2*SIN(2*PI()*((Scenario_Data!U153)+(0))/(0.5*(Inputs!$C$39+Inputs!$C$40))))+Inputs!$C$38*SIN(2*PI()*(Scenario_Data!U153)/Inputs!$C$39)*SIN(2*PI()*(0)/Inputs!$C$40)+-Inputs!$C$41*EXP(-(((0)-Inputs!$C$43)^2)/(2*Inputs!$C$44^2))*EXP(-(((Scenario_Data!U153)-Inputs!$C$42)^2)/(2*Inputs!$C$45^2))+Inputs!$C$48*(0.7*(0.45*SIN(2*PI()*(((Scenario_Data!U153)/Inputs!$C$49)+Inputs!$C$47*0.137))+0.35*COS(2*PI()*(((0)/Inputs!$C$50)+Inputs!$C$47*0.173))+0.2*SIN(2*PI()*((((Scenario_Data!U153)+(0))/(0.5*(Inputs!$C$49+Inputs!$C$50)))+Inputs!$C$47*0.097)))+0.3*(2*((SIN(((Scenario_Data!U153)*12.9898+(0)*78.233+Inputs!$C$47*37.719))*43758.5453)-INT((SIN(((Scenario_Data!U153)*12.9898+(0)*78.233+Inputs!$C$47*37.719))*43758.5453)))-1)))))/Inputs!$C$21*1000000</f>
        <v/>
      </c>
      <c r="AB153">
        <f>Scenario_Data!V153</f>
        <v/>
      </c>
      <c r="AC153">
        <f>2*((Scenario_Data!D153*1000)-(IF(OR(Inputs!$C$27=TRUE,Inputs!$C$27="TRUE",Inputs!$C$27=1),1,0)*(Inputs!$C$51*(115*EXP(-(((0)-25)^2)/(4.5^2))+70*EXP(-(((0)+38)^2)/(7^2))*(0.55+0.45*SIN(2*PI()*(Scenario_Data!V153)/45))+24*SIN(2*PI()*(0)/9+(Scenario_Data!V153)/18)*EXP(-(((0)+5)^2)/(22^2))+18*SIN(2*PI()*(Scenario_Data!V153)/70))+Inputs!$C$28*EXP(-(((Scenario_Data!V153)-Inputs!$C$29)^2)/(2*Inputs!$C$31^2))*EXP(-(((0)-Inputs!$C$30)^2)/(2*Inputs!$C$32^2))+-Inputs!$C$33*EXP(-(((((Scenario_Data!V153)-Inputs!$C$34)^2)+(((0)-Inputs!$C$35)^2))/(2*Inputs!$C$36^2)))+Inputs!$C$37*(0.55*SIN(2*PI()*(Scenario_Data!V153)/Inputs!$C$39)+0.35*COS(2*PI()*(0)/Inputs!$C$40)+0.2*SIN(2*PI()*((Scenario_Data!V153)+(0))/(0.5*(Inputs!$C$39+Inputs!$C$40))))+Inputs!$C$38*SIN(2*PI()*(Scenario_Data!V153)/Inputs!$C$39)*SIN(2*PI()*(0)/Inputs!$C$40)+-Inputs!$C$41*EXP(-(((0)-Inputs!$C$43)^2)/(2*Inputs!$C$44^2))*EXP(-(((Scenario_Data!V153)-Inputs!$C$42)^2)/(2*Inputs!$C$45^2))+Inputs!$C$48*(0.7*(0.45*SIN(2*PI()*(((Scenario_Data!V153)/Inputs!$C$49)+Inputs!$C$47*0.137))+0.35*COS(2*PI()*(((0)/Inputs!$C$50)+Inputs!$C$47*0.173))+0.2*SIN(2*PI()*((((Scenario_Data!V153)+(0))/(0.5*(Inputs!$C$49+Inputs!$C$50)))+Inputs!$C$47*0.097)))+0.3*(2*((SIN(((Scenario_Data!V153)*12.9898+(0)*78.233+Inputs!$C$47*37.719))*43758.5453)-INT((SIN(((Scenario_Data!V153)*12.9898+(0)*78.233+Inputs!$C$47*37.719))*43758.5453)))-1)))))/Inputs!$C$21*1000000</f>
        <v/>
      </c>
      <c r="AD153">
        <f>Scenario_Data!W153</f>
        <v/>
      </c>
      <c r="AE153">
        <f>2*((Scenario_Data!E153*1000)-(IF(OR(Inputs!$C$27=TRUE,Inputs!$C$27="TRUE",Inputs!$C$27=1),1,0)*(Inputs!$C$51*(115*EXP(-(((0)-25)^2)/(4.5^2))+70*EXP(-(((0)+38)^2)/(7^2))*(0.55+0.45*SIN(2*PI()*(Scenario_Data!W153)/45))+24*SIN(2*PI()*(0)/9+(Scenario_Data!W153)/18)*EXP(-(((0)+5)^2)/(22^2))+18*SIN(2*PI()*(Scenario_Data!W153)/70))+Inputs!$C$28*EXP(-(((Scenario_Data!W153)-Inputs!$C$29)^2)/(2*Inputs!$C$31^2))*EXP(-(((0)-Inputs!$C$30)^2)/(2*Inputs!$C$32^2))+-Inputs!$C$33*EXP(-(((((Scenario_Data!W153)-Inputs!$C$34)^2)+(((0)-Inputs!$C$35)^2))/(2*Inputs!$C$36^2)))+Inputs!$C$37*(0.55*SIN(2*PI()*(Scenario_Data!W153)/Inputs!$C$39)+0.35*COS(2*PI()*(0)/Inputs!$C$40)+0.2*SIN(2*PI()*((Scenario_Data!W153)+(0))/(0.5*(Inputs!$C$39+Inputs!$C$40))))+Inputs!$C$38*SIN(2*PI()*(Scenario_Data!W153)/Inputs!$C$39)*SIN(2*PI()*(0)/Inputs!$C$40)+-Inputs!$C$41*EXP(-(((0)-Inputs!$C$43)^2)/(2*Inputs!$C$44^2))*EXP(-(((Scenario_Data!W153)-Inputs!$C$42)^2)/(2*Inputs!$C$45^2))+Inputs!$C$48*(0.7*(0.45*SIN(2*PI()*(((Scenario_Data!W153)/Inputs!$C$49)+Inputs!$C$47*0.137))+0.35*COS(2*PI()*(((0)/Inputs!$C$50)+Inputs!$C$47*0.173))+0.2*SIN(2*PI()*((((Scenario_Data!W153)+(0))/(0.5*(Inputs!$C$49+Inputs!$C$50)))+Inputs!$C$47*0.097)))+0.3*(2*((SIN(((Scenario_Data!W153)*12.9898+(0)*78.233+Inputs!$C$47*37.719))*43758.5453)-INT((SIN(((Scenario_Data!W153)*12.9898+(0)*78.233+Inputs!$C$47*37.719))*43758.5453)))-1)))))/Inputs!$C$21*1000000</f>
        <v/>
      </c>
      <c r="AG153">
        <f>Scenario_Data!T153</f>
        <v/>
      </c>
      <c r="AH153">
        <f>2*(SQRT((Inputs!$C$52+(Scenario_Data!B153))^2+Inputs!$C$52^2-2*(Inputs!$C$52+(Scenario_Data!B153))*Inputs!$C$52*COS(SQRT((Scenario_Data!T153)^2+Inputs!$C$6^2)/Inputs!$C$52))*1000)/Inputs!$C$21*1000000</f>
        <v/>
      </c>
      <c r="AI153">
        <f>Scenario_Data!U153</f>
        <v/>
      </c>
      <c r="AJ153">
        <f>2*(SQRT((Inputs!$C$52+(Scenario_Data!C153))^2+Inputs!$C$52^2-2*(Inputs!$C$52+(Scenario_Data!C153))*Inputs!$C$52*COS(SQRT((Scenario_Data!U153)^2+Inputs!$C$6^2)/Inputs!$C$52))*1000)/Inputs!$C$21*1000000</f>
        <v/>
      </c>
      <c r="AK153">
        <f>Scenario_Data!V153</f>
        <v/>
      </c>
      <c r="AL153">
        <f>2*(SQRT((Inputs!$C$52+(Scenario_Data!D153))^2+Inputs!$C$52^2-2*(Inputs!$C$52+(Scenario_Data!D153))*Inputs!$C$52*COS(SQRT((Scenario_Data!V153)^2+Inputs!$C$6^2)/Inputs!$C$52))*1000)/Inputs!$C$21*1000000</f>
        <v/>
      </c>
      <c r="AM153">
        <f>Scenario_Data!W153</f>
        <v/>
      </c>
      <c r="AN153">
        <f>2*(SQRT((Inputs!$C$52+(Scenario_Data!E153))^2+Inputs!$C$52^2-2*(Inputs!$C$52+(Scenario_Data!E153))*Inputs!$C$52*COS(SQRT((Scenario_Data!W153)^2+Inputs!$C$6^2)/Inputs!$C$52))*1000)/Inputs!$C$21*1000000</f>
        <v/>
      </c>
      <c r="AP153">
        <f>Scenario_Data!T153</f>
        <v/>
      </c>
      <c r="AQ153">
        <f>2*(SQRT((Inputs!$C$52+(Scenario_Data!B153))^2+(Inputs!$C$52+((IF(OR(Inputs!$C$27=TRUE,Inputs!$C$27="TRUE",Inputs!$C$27=1),1,0)*(Inputs!$C$51*(115*EXP(-(((Inputs!$C$6)-25)^2)/(4.5^2))+70*EXP(-(((Inputs!$C$6)+38)^2)/(7^2))*(0.55+0.45*SIN(2*PI()*(Scenario_Data!T153)/45))+24*SIN(2*PI()*(Inputs!$C$6)/9+(Scenario_Data!T153)/18)*EXP(-(((Inputs!$C$6)+5)^2)/(22^2))+18*SIN(2*PI()*(Scenario_Data!T153)/70))+Inputs!$C$28*EXP(-(((Scenario_Data!T153)-Inputs!$C$29)^2)/(2*Inputs!$C$31^2))*EXP(-(((Inputs!$C$6)-Inputs!$C$30)^2)/(2*Inputs!$C$32^2))+-Inputs!$C$33*EXP(-(((((Scenario_Data!T153)-Inputs!$C$34)^2)+(((Inputs!$C$6)-Inputs!$C$35)^2))/(2*Inputs!$C$36^2)))+Inputs!$C$37*(0.55*SIN(2*PI()*(Scenario_Data!T153)/Inputs!$C$39)+0.35*COS(2*PI()*(Inputs!$C$6)/Inputs!$C$40)+0.2*SIN(2*PI()*((Scenario_Data!T153)+(Inputs!$C$6))/(0.5*(Inputs!$C$39+Inputs!$C$40))))+Inputs!$C$38*SIN(2*PI()*(Scenario_Data!T153)/Inputs!$C$39)*SIN(2*PI()*(Inputs!$C$6)/Inputs!$C$40)+-Inputs!$C$41*EXP(-(((Inputs!$C$6)-Inputs!$C$43)^2)/(2*Inputs!$C$44^2))*EXP(-(((Scenario_Data!T153)-Inputs!$C$42)^2)/(2*Inputs!$C$45^2))+Inputs!$C$48*(0.7*(0.45*SIN(2*PI()*(((Scenario_Data!T153)/Inputs!$C$49)+Inputs!$C$47*0.137))+0.35*COS(2*PI()*(((Inputs!$C$6)/Inputs!$C$50)+Inputs!$C$47*0.173))+0.2*SIN(2*PI()*((((Scenario_Data!T153)+(Inputs!$C$6))/(0.5*(Inputs!$C$49+Inputs!$C$50)))+Inputs!$C$47*0.097)))+0.3*(2*((SIN(((Scenario_Data!T153)*12.9898+(Inputs!$C$6)*78.233+Inputs!$C$47*37.719))*43758.5453)-INT((SIN(((Scenario_Data!T153)*12.9898+(Inputs!$C$6)*78.233+Inputs!$C$47*37.719))*43758.5453)))-1))))/1000))^2-2*(Inputs!$C$52+(Scenario_Data!B153))*(Inputs!$C$52+((IF(OR(Inputs!$C$27=TRUE,Inputs!$C$27="TRUE",Inputs!$C$27=1),1,0)*(Inputs!$C$51*(115*EXP(-(((Inputs!$C$6)-25)^2)/(4.5^2))+70*EXP(-(((Inputs!$C$6)+38)^2)/(7^2))*(0.55+0.45*SIN(2*PI()*(Scenario_Data!T153)/45))+24*SIN(2*PI()*(Inputs!$C$6)/9+(Scenario_Data!T153)/18)*EXP(-(((Inputs!$C$6)+5)^2)/(22^2))+18*SIN(2*PI()*(Scenario_Data!T153)/70))+Inputs!$C$28*EXP(-(((Scenario_Data!T153)-Inputs!$C$29)^2)/(2*Inputs!$C$31^2))*EXP(-(((Inputs!$C$6)-Inputs!$C$30)^2)/(2*Inputs!$C$32^2))+-Inputs!$C$33*EXP(-(((((Scenario_Data!T153)-Inputs!$C$34)^2)+(((Inputs!$C$6)-Inputs!$C$35)^2))/(2*Inputs!$C$36^2)))+Inputs!$C$37*(0.55*SIN(2*PI()*(Scenario_Data!T153)/Inputs!$C$39)+0.35*COS(2*PI()*(Inputs!$C$6)/Inputs!$C$40)+0.2*SIN(2*PI()*((Scenario_Data!T153)+(Inputs!$C$6))/(0.5*(Inputs!$C$39+Inputs!$C$40))))+Inputs!$C$38*SIN(2*PI()*(Scenario_Data!T153)/Inputs!$C$39)*SIN(2*PI()*(Inputs!$C$6)/Inputs!$C$40)+-Inputs!$C$41*EXP(-(((Inputs!$C$6)-Inputs!$C$43)^2)/(2*Inputs!$C$44^2))*EXP(-(((Scenario_Data!T153)-Inputs!$C$42)^2)/(2*Inputs!$C$45^2))+Inputs!$C$48*(0.7*(0.45*SIN(2*PI()*(((Scenario_Data!T153)/Inputs!$C$49)+Inputs!$C$47*0.137))+0.35*COS(2*PI()*(((Inputs!$C$6)/Inputs!$C$50)+Inputs!$C$47*0.173))+0.2*SIN(2*PI()*((((Scenario_Data!T153)+(Inputs!$C$6))/(0.5*(Inputs!$C$49+Inputs!$C$50)))+Inputs!$C$47*0.097)))+0.3*(2*((SIN(((Scenario_Data!T153)*12.9898+(Inputs!$C$6)*78.233+Inputs!$C$47*37.719))*43758.5453)-INT((SIN(((Scenario_Data!T153)*12.9898+(Inputs!$C$6)*78.233+Inputs!$C$47*37.719))*43758.5453)))-1))))/1000))*COS(SQRT((Scenario_Data!T153)^2+Inputs!$C$6^2)/Inputs!$C$52))*1000)/Inputs!$C$21*1000000</f>
        <v/>
      </c>
      <c r="AR153">
        <f>Scenario_Data!U153</f>
        <v/>
      </c>
      <c r="AS153">
        <f>2*(SQRT((Inputs!$C$52+(Scenario_Data!C153))^2+(Inputs!$C$52+((IF(OR(Inputs!$C$27=TRUE,Inputs!$C$27="TRUE",Inputs!$C$27=1),1,0)*(Inputs!$C$51*(115*EXP(-(((Inputs!$C$6)-25)^2)/(4.5^2))+70*EXP(-(((Inputs!$C$6)+38)^2)/(7^2))*(0.55+0.45*SIN(2*PI()*(Scenario_Data!U153)/45))+24*SIN(2*PI()*(Inputs!$C$6)/9+(Scenario_Data!U153)/18)*EXP(-(((Inputs!$C$6)+5)^2)/(22^2))+18*SIN(2*PI()*(Scenario_Data!U153)/70))+Inputs!$C$28*EXP(-(((Scenario_Data!U153)-Inputs!$C$29)^2)/(2*Inputs!$C$31^2))*EXP(-(((Inputs!$C$6)-Inputs!$C$30)^2)/(2*Inputs!$C$32^2))+-Inputs!$C$33*EXP(-(((((Scenario_Data!U153)-Inputs!$C$34)^2)+(((Inputs!$C$6)-Inputs!$C$35)^2))/(2*Inputs!$C$36^2)))+Inputs!$C$37*(0.55*SIN(2*PI()*(Scenario_Data!U153)/Inputs!$C$39)+0.35*COS(2*PI()*(Inputs!$C$6)/Inputs!$C$40)+0.2*SIN(2*PI()*((Scenario_Data!U153)+(Inputs!$C$6))/(0.5*(Inputs!$C$39+Inputs!$C$40))))+Inputs!$C$38*SIN(2*PI()*(Scenario_Data!U153)/Inputs!$C$39)*SIN(2*PI()*(Inputs!$C$6)/Inputs!$C$40)+-Inputs!$C$41*EXP(-(((Inputs!$C$6)-Inputs!$C$43)^2)/(2*Inputs!$C$44^2))*EXP(-(((Scenario_Data!U153)-Inputs!$C$42)^2)/(2*Inputs!$C$45^2))+Inputs!$C$48*(0.7*(0.45*SIN(2*PI()*(((Scenario_Data!U153)/Inputs!$C$49)+Inputs!$C$47*0.137))+0.35*COS(2*PI()*(((Inputs!$C$6)/Inputs!$C$50)+Inputs!$C$47*0.173))+0.2*SIN(2*PI()*((((Scenario_Data!U153)+(Inputs!$C$6))/(0.5*(Inputs!$C$49+Inputs!$C$50)))+Inputs!$C$47*0.097)))+0.3*(2*((SIN(((Scenario_Data!U153)*12.9898+(Inputs!$C$6)*78.233+Inputs!$C$47*37.719))*43758.5453)-INT((SIN(((Scenario_Data!U153)*12.9898+(Inputs!$C$6)*78.233+Inputs!$C$47*37.719))*43758.5453)))-1))))/1000))^2-2*(Inputs!$C$52+(Scenario_Data!C153))*(Inputs!$C$52+((IF(OR(Inputs!$C$27=TRUE,Inputs!$C$27="TRUE",Inputs!$C$27=1),1,0)*(Inputs!$C$51*(115*EXP(-(((Inputs!$C$6)-25)^2)/(4.5^2))+70*EXP(-(((Inputs!$C$6)+38)^2)/(7^2))*(0.55+0.45*SIN(2*PI()*(Scenario_Data!U153)/45))+24*SIN(2*PI()*(Inputs!$C$6)/9+(Scenario_Data!U153)/18)*EXP(-(((Inputs!$C$6)+5)^2)/(22^2))+18*SIN(2*PI()*(Scenario_Data!U153)/70))+Inputs!$C$28*EXP(-(((Scenario_Data!U153)-Inputs!$C$29)^2)/(2*Inputs!$C$31^2))*EXP(-(((Inputs!$C$6)-Inputs!$C$30)^2)/(2*Inputs!$C$32^2))+-Inputs!$C$33*EXP(-(((((Scenario_Data!U153)-Inputs!$C$34)^2)+(((Inputs!$C$6)-Inputs!$C$35)^2))/(2*Inputs!$C$36^2)))+Inputs!$C$37*(0.55*SIN(2*PI()*(Scenario_Data!U153)/Inputs!$C$39)+0.35*COS(2*PI()*(Inputs!$C$6)/Inputs!$C$40)+0.2*SIN(2*PI()*((Scenario_Data!U153)+(Inputs!$C$6))/(0.5*(Inputs!$C$39+Inputs!$C$40))))+Inputs!$C$38*SIN(2*PI()*(Scenario_Data!U153)/Inputs!$C$39)*SIN(2*PI()*(Inputs!$C$6)/Inputs!$C$40)+-Inputs!$C$41*EXP(-(((Inputs!$C$6)-Inputs!$C$43)^2)/(2*Inputs!$C$44^2))*EXP(-(((Scenario_Data!U153)-Inputs!$C$42)^2)/(2*Inputs!$C$45^2))+Inputs!$C$48*(0.7*(0.45*SIN(2*PI()*(((Scenario_Data!U153)/Inputs!$C$49)+Inputs!$C$47*0.137))+0.35*COS(2*PI()*(((Inputs!$C$6)/Inputs!$C$50)+Inputs!$C$47*0.173))+0.2*SIN(2*PI()*((((Scenario_Data!U153)+(Inputs!$C$6))/(0.5*(Inputs!$C$49+Inputs!$C$50)))+Inputs!$C$47*0.097)))+0.3*(2*((SIN(((Scenario_Data!U153)*12.9898+(Inputs!$C$6)*78.233+Inputs!$C$47*37.719))*43758.5453)-INT((SIN(((Scenario_Data!U153)*12.9898+(Inputs!$C$6)*78.233+Inputs!$C$47*37.719))*43758.5453)))-1))))/1000))*COS(SQRT((Scenario_Data!U153)^2+Inputs!$C$6^2)/Inputs!$C$52))*1000)/Inputs!$C$21*1000000</f>
        <v/>
      </c>
      <c r="AT153">
        <f>Scenario_Data!V153</f>
        <v/>
      </c>
      <c r="AU153">
        <f>2*(SQRT((Inputs!$C$52+(Scenario_Data!D153))^2+(Inputs!$C$52+((IF(OR(Inputs!$C$27=TRUE,Inputs!$C$27="TRUE",Inputs!$C$27=1),1,0)*(Inputs!$C$51*(115*EXP(-(((Inputs!$C$6)-25)^2)/(4.5^2))+70*EXP(-(((Inputs!$C$6)+38)^2)/(7^2))*(0.55+0.45*SIN(2*PI()*(Scenario_Data!V153)/45))+24*SIN(2*PI()*(Inputs!$C$6)/9+(Scenario_Data!V153)/18)*EXP(-(((Inputs!$C$6)+5)^2)/(22^2))+18*SIN(2*PI()*(Scenario_Data!V153)/70))+Inputs!$C$28*EXP(-(((Scenario_Data!V153)-Inputs!$C$29)^2)/(2*Inputs!$C$31^2))*EXP(-(((Inputs!$C$6)-Inputs!$C$30)^2)/(2*Inputs!$C$32^2))+-Inputs!$C$33*EXP(-(((((Scenario_Data!V153)-Inputs!$C$34)^2)+(((Inputs!$C$6)-Inputs!$C$35)^2))/(2*Inputs!$C$36^2)))+Inputs!$C$37*(0.55*SIN(2*PI()*(Scenario_Data!V153)/Inputs!$C$39)+0.35*COS(2*PI()*(Inputs!$C$6)/Inputs!$C$40)+0.2*SIN(2*PI()*((Scenario_Data!V153)+(Inputs!$C$6))/(0.5*(Inputs!$C$39+Inputs!$C$40))))+Inputs!$C$38*SIN(2*PI()*(Scenario_Data!V153)/Inputs!$C$39)*SIN(2*PI()*(Inputs!$C$6)/Inputs!$C$40)+-Inputs!$C$41*EXP(-(((Inputs!$C$6)-Inputs!$C$43)^2)/(2*Inputs!$C$44^2))*EXP(-(((Scenario_Data!V153)-Inputs!$C$42)^2)/(2*Inputs!$C$45^2))+Inputs!$C$48*(0.7*(0.45*SIN(2*PI()*(((Scenario_Data!V153)/Inputs!$C$49)+Inputs!$C$47*0.137))+0.35*COS(2*PI()*(((Inputs!$C$6)/Inputs!$C$50)+Inputs!$C$47*0.173))+0.2*SIN(2*PI()*((((Scenario_Data!V153)+(Inputs!$C$6))/(0.5*(Inputs!$C$49+Inputs!$C$50)))+Inputs!$C$47*0.097)))+0.3*(2*((SIN(((Scenario_Data!V153)*12.9898+(Inputs!$C$6)*78.233+Inputs!$C$47*37.719))*43758.5453)-INT((SIN(((Scenario_Data!V153)*12.9898+(Inputs!$C$6)*78.233+Inputs!$C$47*37.719))*43758.5453)))-1))))/1000))^2-2*(Inputs!$C$52+(Scenario_Data!D153))*(Inputs!$C$52+((IF(OR(Inputs!$C$27=TRUE,Inputs!$C$27="TRUE",Inputs!$C$27=1),1,0)*(Inputs!$C$51*(115*EXP(-(((Inputs!$C$6)-25)^2)/(4.5^2))+70*EXP(-(((Inputs!$C$6)+38)^2)/(7^2))*(0.55+0.45*SIN(2*PI()*(Scenario_Data!V153)/45))+24*SIN(2*PI()*(Inputs!$C$6)/9+(Scenario_Data!V153)/18)*EXP(-(((Inputs!$C$6)+5)^2)/(22^2))+18*SIN(2*PI()*(Scenario_Data!V153)/70))+Inputs!$C$28*EXP(-(((Scenario_Data!V153)-Inputs!$C$29)^2)/(2*Inputs!$C$31^2))*EXP(-(((Inputs!$C$6)-Inputs!$C$30)^2)/(2*Inputs!$C$32^2))+-Inputs!$C$33*EXP(-(((((Scenario_Data!V153)-Inputs!$C$34)^2)+(((Inputs!$C$6)-Inputs!$C$35)^2))/(2*Inputs!$C$36^2)))+Inputs!$C$37*(0.55*SIN(2*PI()*(Scenario_Data!V153)/Inputs!$C$39)+0.35*COS(2*PI()*(Inputs!$C$6)/Inputs!$C$40)+0.2*SIN(2*PI()*((Scenario_Data!V153)+(Inputs!$C$6))/(0.5*(Inputs!$C$39+Inputs!$C$40))))+Inputs!$C$38*SIN(2*PI()*(Scenario_Data!V153)/Inputs!$C$39)*SIN(2*PI()*(Inputs!$C$6)/Inputs!$C$40)+-Inputs!$C$41*EXP(-(((Inputs!$C$6)-Inputs!$C$43)^2)/(2*Inputs!$C$44^2))*EXP(-(((Scenario_Data!V153)-Inputs!$C$42)^2)/(2*Inputs!$C$45^2))+Inputs!$C$48*(0.7*(0.45*SIN(2*PI()*(((Scenario_Data!V153)/Inputs!$C$49)+Inputs!$C$47*0.137))+0.35*COS(2*PI()*(((Inputs!$C$6)/Inputs!$C$50)+Inputs!$C$47*0.173))+0.2*SIN(2*PI()*((((Scenario_Data!V153)+(Inputs!$C$6))/(0.5*(Inputs!$C$49+Inputs!$C$50)))+Inputs!$C$47*0.097)))+0.3*(2*((SIN(((Scenario_Data!V153)*12.9898+(Inputs!$C$6)*78.233+Inputs!$C$47*37.719))*43758.5453)-INT((SIN(((Scenario_Data!V153)*12.9898+(Inputs!$C$6)*78.233+Inputs!$C$47*37.719))*43758.5453)))-1))))/1000))*COS(SQRT((Scenario_Data!V153)^2+Inputs!$C$6^2)/Inputs!$C$52))*1000)/Inputs!$C$21*1000000</f>
        <v/>
      </c>
      <c r="AV153">
        <f>Scenario_Data!W153</f>
        <v/>
      </c>
      <c r="AW153">
        <f>2*(SQRT((Inputs!$C$52+(Scenario_Data!E153))^2+(Inputs!$C$52+((IF(OR(Inputs!$C$27=TRUE,Inputs!$C$27="TRUE",Inputs!$C$27=1),1,0)*(Inputs!$C$51*(115*EXP(-(((Inputs!$C$6)-25)^2)/(4.5^2))+70*EXP(-(((Inputs!$C$6)+38)^2)/(7^2))*(0.55+0.45*SIN(2*PI()*(Scenario_Data!W153)/45))+24*SIN(2*PI()*(Inputs!$C$6)/9+(Scenario_Data!W153)/18)*EXP(-(((Inputs!$C$6)+5)^2)/(22^2))+18*SIN(2*PI()*(Scenario_Data!W153)/70))+Inputs!$C$28*EXP(-(((Scenario_Data!W153)-Inputs!$C$29)^2)/(2*Inputs!$C$31^2))*EXP(-(((Inputs!$C$6)-Inputs!$C$30)^2)/(2*Inputs!$C$32^2))+-Inputs!$C$33*EXP(-(((((Scenario_Data!W153)-Inputs!$C$34)^2)+(((Inputs!$C$6)-Inputs!$C$35)^2))/(2*Inputs!$C$36^2)))+Inputs!$C$37*(0.55*SIN(2*PI()*(Scenario_Data!W153)/Inputs!$C$39)+0.35*COS(2*PI()*(Inputs!$C$6)/Inputs!$C$40)+0.2*SIN(2*PI()*((Scenario_Data!W153)+(Inputs!$C$6))/(0.5*(Inputs!$C$39+Inputs!$C$40))))+Inputs!$C$38*SIN(2*PI()*(Scenario_Data!W153)/Inputs!$C$39)*SIN(2*PI()*(Inputs!$C$6)/Inputs!$C$40)+-Inputs!$C$41*EXP(-(((Inputs!$C$6)-Inputs!$C$43)^2)/(2*Inputs!$C$44^2))*EXP(-(((Scenario_Data!W153)-Inputs!$C$42)^2)/(2*Inputs!$C$45^2))+Inputs!$C$48*(0.7*(0.45*SIN(2*PI()*(((Scenario_Data!W153)/Inputs!$C$49)+Inputs!$C$47*0.137))+0.35*COS(2*PI()*(((Inputs!$C$6)/Inputs!$C$50)+Inputs!$C$47*0.173))+0.2*SIN(2*PI()*((((Scenario_Data!W153)+(Inputs!$C$6))/(0.5*(Inputs!$C$49+Inputs!$C$50)))+Inputs!$C$47*0.097)))+0.3*(2*((SIN(((Scenario_Data!W153)*12.9898+(Inputs!$C$6)*78.233+Inputs!$C$47*37.719))*43758.5453)-INT((SIN(((Scenario_Data!W153)*12.9898+(Inputs!$C$6)*78.233+Inputs!$C$47*37.719))*43758.5453)))-1))))/1000))^2-2*(Inputs!$C$52+(Scenario_Data!E153))*(Inputs!$C$52+((IF(OR(Inputs!$C$27=TRUE,Inputs!$C$27="TRUE",Inputs!$C$27=1),1,0)*(Inputs!$C$51*(115*EXP(-(((Inputs!$C$6)-25)^2)/(4.5^2))+70*EXP(-(((Inputs!$C$6)+38)^2)/(7^2))*(0.55+0.45*SIN(2*PI()*(Scenario_Data!W153)/45))+24*SIN(2*PI()*(Inputs!$C$6)/9+(Scenario_Data!W153)/18)*EXP(-(((Inputs!$C$6)+5)^2)/(22^2))+18*SIN(2*PI()*(Scenario_Data!W153)/70))+Inputs!$C$28*EXP(-(((Scenario_Data!W153)-Inputs!$C$29)^2)/(2*Inputs!$C$31^2))*EXP(-(((Inputs!$C$6)-Inputs!$C$30)^2)/(2*Inputs!$C$32^2))+-Inputs!$C$33*EXP(-(((((Scenario_Data!W153)-Inputs!$C$34)^2)+(((Inputs!$C$6)-Inputs!$C$35)^2))/(2*Inputs!$C$36^2)))+Inputs!$C$37*(0.55*SIN(2*PI()*(Scenario_Data!W153)/Inputs!$C$39)+0.35*COS(2*PI()*(Inputs!$C$6)/Inputs!$C$40)+0.2*SIN(2*PI()*((Scenario_Data!W153)+(Inputs!$C$6))/(0.5*(Inputs!$C$39+Inputs!$C$40))))+Inputs!$C$38*SIN(2*PI()*(Scenario_Data!W153)/Inputs!$C$39)*SIN(2*PI()*(Inputs!$C$6)/Inputs!$C$40)+-Inputs!$C$41*EXP(-(((Inputs!$C$6)-Inputs!$C$43)^2)/(2*Inputs!$C$44^2))*EXP(-(((Scenario_Data!W153)-Inputs!$C$42)^2)/(2*Inputs!$C$45^2))+Inputs!$C$48*(0.7*(0.45*SIN(2*PI()*(((Scenario_Data!W153)/Inputs!$C$49)+Inputs!$C$47*0.137))+0.35*COS(2*PI()*(((Inputs!$C$6)/Inputs!$C$50)+Inputs!$C$47*0.173))+0.2*SIN(2*PI()*((((Scenario_Data!W153)+(Inputs!$C$6))/(0.5*(Inputs!$C$49+Inputs!$C$50)))+Inputs!$C$47*0.097)))+0.3*(2*((SIN(((Scenario_Data!W153)*12.9898+(Inputs!$C$6)*78.233+Inputs!$C$47*37.719))*43758.5453)-INT((SIN(((Scenario_Data!W153)*12.9898+(Inputs!$C$6)*78.233+Inputs!$C$47*37.719))*43758.5453)))-1))))/1000))*COS(SQRT((Scenario_Data!W153)^2+Inputs!$C$6^2)/Inputs!$C$52))*1000)/Inputs!$C$21*1000000</f>
        <v/>
      </c>
    </row>
    <row r="154">
      <c r="A154">
        <f>Chart_Data!K154</f>
        <v/>
      </c>
      <c r="B154">
        <f>Chart_Data!N154-Chart_Data!L154</f>
        <v/>
      </c>
      <c r="D154">
        <f>Chart_Data!G154</f>
        <v/>
      </c>
      <c r="E154">
        <f>Chart_Data!H154</f>
        <v/>
      </c>
      <c r="F154">
        <f>Chart_Data!I154</f>
        <v/>
      </c>
      <c r="G154">
        <f>Chart_Data!J154</f>
        <v/>
      </c>
      <c r="I154">
        <f>Scenario_Data!A154</f>
        <v/>
      </c>
      <c r="J154">
        <f>Scenario_Data!H154-(((SQRT((Inputs!$C$52+(Inputs!$H$6))^2+Inputs!$C$52^2-2*(Inputs!$C$52+(Inputs!$H$6))*Inputs!$C$52*COS(SQRT((Scenario_Data!T154)^2+Inputs!$C$6^2)/Inputs!$C$52)))-(Inputs!$H$6))*1000/Inputs!$C$12)</f>
        <v/>
      </c>
      <c r="K154">
        <f>Scenario_Data!I154-(((SQRT((Inputs!$C$52+(Inputs!$H$7))^2+Inputs!$C$52^2-2*(Inputs!$C$52+(Inputs!$H$7))*Inputs!$C$52*COS(SQRT((Scenario_Data!U154)^2+Inputs!$C$6^2)/Inputs!$C$52)))-(Inputs!$H$7))*1000/Inputs!$C$12)</f>
        <v/>
      </c>
      <c r="L154">
        <f>Scenario_Data!J154-(((SQRT((Inputs!$C$52+(Inputs!$H$8))^2+Inputs!$C$52^2-2*(Inputs!$C$52+(Inputs!$H$8))*Inputs!$C$52*COS(SQRT((Scenario_Data!V154)^2+Inputs!$C$6^2)/Inputs!$C$52)))-(Inputs!$H$8))*1000/Inputs!$C$12)</f>
        <v/>
      </c>
      <c r="M154">
        <f>Scenario_Data!K154-(((SQRT((Inputs!$C$52+(Inputs!$H$9))^2+Inputs!$C$52^2-2*(Inputs!$C$52+(Inputs!$H$9))*Inputs!$C$52*COS(SQRT((Scenario_Data!W154)^2+Inputs!$C$6^2)/Inputs!$C$52)))-(Inputs!$H$9))*1000/Inputs!$C$12)</f>
        <v/>
      </c>
      <c r="O154">
        <f>Scenario_Data!T154</f>
        <v/>
      </c>
      <c r="P154">
        <f>2*(Scenario_Data!B154*1000)/Inputs!$C$21*1000000</f>
        <v/>
      </c>
      <c r="Q154">
        <f>Scenario_Data!U154</f>
        <v/>
      </c>
      <c r="R154">
        <f>2*(Scenario_Data!C154*1000)/Inputs!$C$21*1000000</f>
        <v/>
      </c>
      <c r="S154">
        <f>Scenario_Data!V154</f>
        <v/>
      </c>
      <c r="T154">
        <f>2*(Scenario_Data!D154*1000)/Inputs!$C$21*1000000</f>
        <v/>
      </c>
      <c r="U154">
        <f>Scenario_Data!W154</f>
        <v/>
      </c>
      <c r="V154">
        <f>2*(Scenario_Data!E154*1000)/Inputs!$C$21*1000000</f>
        <v/>
      </c>
      <c r="X154">
        <f>Scenario_Data!T154</f>
        <v/>
      </c>
      <c r="Y154">
        <f>2*((Scenario_Data!B154*1000)-(IF(OR(Inputs!$C$27=TRUE,Inputs!$C$27="TRUE",Inputs!$C$27=1),1,0)*(Inputs!$C$51*(115*EXP(-(((0)-25)^2)/(4.5^2))+70*EXP(-(((0)+38)^2)/(7^2))*(0.55+0.45*SIN(2*PI()*(Scenario_Data!T154)/45))+24*SIN(2*PI()*(0)/9+(Scenario_Data!T154)/18)*EXP(-(((0)+5)^2)/(22^2))+18*SIN(2*PI()*(Scenario_Data!T154)/70))+Inputs!$C$28*EXP(-(((Scenario_Data!T154)-Inputs!$C$29)^2)/(2*Inputs!$C$31^2))*EXP(-(((0)-Inputs!$C$30)^2)/(2*Inputs!$C$32^2))+-Inputs!$C$33*EXP(-(((((Scenario_Data!T154)-Inputs!$C$34)^2)+(((0)-Inputs!$C$35)^2))/(2*Inputs!$C$36^2)))+Inputs!$C$37*(0.55*SIN(2*PI()*(Scenario_Data!T154)/Inputs!$C$39)+0.35*COS(2*PI()*(0)/Inputs!$C$40)+0.2*SIN(2*PI()*((Scenario_Data!T154)+(0))/(0.5*(Inputs!$C$39+Inputs!$C$40))))+Inputs!$C$38*SIN(2*PI()*(Scenario_Data!T154)/Inputs!$C$39)*SIN(2*PI()*(0)/Inputs!$C$40)+-Inputs!$C$41*EXP(-(((0)-Inputs!$C$43)^2)/(2*Inputs!$C$44^2))*EXP(-(((Scenario_Data!T154)-Inputs!$C$42)^2)/(2*Inputs!$C$45^2))+Inputs!$C$48*(0.7*(0.45*SIN(2*PI()*(((Scenario_Data!T154)/Inputs!$C$49)+Inputs!$C$47*0.137))+0.35*COS(2*PI()*(((0)/Inputs!$C$50)+Inputs!$C$47*0.173))+0.2*SIN(2*PI()*((((Scenario_Data!T154)+(0))/(0.5*(Inputs!$C$49+Inputs!$C$50)))+Inputs!$C$47*0.097)))+0.3*(2*((SIN(((Scenario_Data!T154)*12.9898+(0)*78.233+Inputs!$C$47*37.719))*43758.5453)-INT((SIN(((Scenario_Data!T154)*12.9898+(0)*78.233+Inputs!$C$47*37.719))*43758.5453)))-1)))))/Inputs!$C$21*1000000</f>
        <v/>
      </c>
      <c r="Z154">
        <f>Scenario_Data!U154</f>
        <v/>
      </c>
      <c r="AA154">
        <f>2*((Scenario_Data!C154*1000)-(IF(OR(Inputs!$C$27=TRUE,Inputs!$C$27="TRUE",Inputs!$C$27=1),1,0)*(Inputs!$C$51*(115*EXP(-(((0)-25)^2)/(4.5^2))+70*EXP(-(((0)+38)^2)/(7^2))*(0.55+0.45*SIN(2*PI()*(Scenario_Data!U154)/45))+24*SIN(2*PI()*(0)/9+(Scenario_Data!U154)/18)*EXP(-(((0)+5)^2)/(22^2))+18*SIN(2*PI()*(Scenario_Data!U154)/70))+Inputs!$C$28*EXP(-(((Scenario_Data!U154)-Inputs!$C$29)^2)/(2*Inputs!$C$31^2))*EXP(-(((0)-Inputs!$C$30)^2)/(2*Inputs!$C$32^2))+-Inputs!$C$33*EXP(-(((((Scenario_Data!U154)-Inputs!$C$34)^2)+(((0)-Inputs!$C$35)^2))/(2*Inputs!$C$36^2)))+Inputs!$C$37*(0.55*SIN(2*PI()*(Scenario_Data!U154)/Inputs!$C$39)+0.35*COS(2*PI()*(0)/Inputs!$C$40)+0.2*SIN(2*PI()*((Scenario_Data!U154)+(0))/(0.5*(Inputs!$C$39+Inputs!$C$40))))+Inputs!$C$38*SIN(2*PI()*(Scenario_Data!U154)/Inputs!$C$39)*SIN(2*PI()*(0)/Inputs!$C$40)+-Inputs!$C$41*EXP(-(((0)-Inputs!$C$43)^2)/(2*Inputs!$C$44^2))*EXP(-(((Scenario_Data!U154)-Inputs!$C$42)^2)/(2*Inputs!$C$45^2))+Inputs!$C$48*(0.7*(0.45*SIN(2*PI()*(((Scenario_Data!U154)/Inputs!$C$49)+Inputs!$C$47*0.137))+0.35*COS(2*PI()*(((0)/Inputs!$C$50)+Inputs!$C$47*0.173))+0.2*SIN(2*PI()*((((Scenario_Data!U154)+(0))/(0.5*(Inputs!$C$49+Inputs!$C$50)))+Inputs!$C$47*0.097)))+0.3*(2*((SIN(((Scenario_Data!U154)*12.9898+(0)*78.233+Inputs!$C$47*37.719))*43758.5453)-INT((SIN(((Scenario_Data!U154)*12.9898+(0)*78.233+Inputs!$C$47*37.719))*43758.5453)))-1)))))/Inputs!$C$21*1000000</f>
        <v/>
      </c>
      <c r="AB154">
        <f>Scenario_Data!V154</f>
        <v/>
      </c>
      <c r="AC154">
        <f>2*((Scenario_Data!D154*1000)-(IF(OR(Inputs!$C$27=TRUE,Inputs!$C$27="TRUE",Inputs!$C$27=1),1,0)*(Inputs!$C$51*(115*EXP(-(((0)-25)^2)/(4.5^2))+70*EXP(-(((0)+38)^2)/(7^2))*(0.55+0.45*SIN(2*PI()*(Scenario_Data!V154)/45))+24*SIN(2*PI()*(0)/9+(Scenario_Data!V154)/18)*EXP(-(((0)+5)^2)/(22^2))+18*SIN(2*PI()*(Scenario_Data!V154)/70))+Inputs!$C$28*EXP(-(((Scenario_Data!V154)-Inputs!$C$29)^2)/(2*Inputs!$C$31^2))*EXP(-(((0)-Inputs!$C$30)^2)/(2*Inputs!$C$32^2))+-Inputs!$C$33*EXP(-(((((Scenario_Data!V154)-Inputs!$C$34)^2)+(((0)-Inputs!$C$35)^2))/(2*Inputs!$C$36^2)))+Inputs!$C$37*(0.55*SIN(2*PI()*(Scenario_Data!V154)/Inputs!$C$39)+0.35*COS(2*PI()*(0)/Inputs!$C$40)+0.2*SIN(2*PI()*((Scenario_Data!V154)+(0))/(0.5*(Inputs!$C$39+Inputs!$C$40))))+Inputs!$C$38*SIN(2*PI()*(Scenario_Data!V154)/Inputs!$C$39)*SIN(2*PI()*(0)/Inputs!$C$40)+-Inputs!$C$41*EXP(-(((0)-Inputs!$C$43)^2)/(2*Inputs!$C$44^2))*EXP(-(((Scenario_Data!V154)-Inputs!$C$42)^2)/(2*Inputs!$C$45^2))+Inputs!$C$48*(0.7*(0.45*SIN(2*PI()*(((Scenario_Data!V154)/Inputs!$C$49)+Inputs!$C$47*0.137))+0.35*COS(2*PI()*(((0)/Inputs!$C$50)+Inputs!$C$47*0.173))+0.2*SIN(2*PI()*((((Scenario_Data!V154)+(0))/(0.5*(Inputs!$C$49+Inputs!$C$50)))+Inputs!$C$47*0.097)))+0.3*(2*((SIN(((Scenario_Data!V154)*12.9898+(0)*78.233+Inputs!$C$47*37.719))*43758.5453)-INT((SIN(((Scenario_Data!V154)*12.9898+(0)*78.233+Inputs!$C$47*37.719))*43758.5453)))-1)))))/Inputs!$C$21*1000000</f>
        <v/>
      </c>
      <c r="AD154">
        <f>Scenario_Data!W154</f>
        <v/>
      </c>
      <c r="AE154">
        <f>2*((Scenario_Data!E154*1000)-(IF(OR(Inputs!$C$27=TRUE,Inputs!$C$27="TRUE",Inputs!$C$27=1),1,0)*(Inputs!$C$51*(115*EXP(-(((0)-25)^2)/(4.5^2))+70*EXP(-(((0)+38)^2)/(7^2))*(0.55+0.45*SIN(2*PI()*(Scenario_Data!W154)/45))+24*SIN(2*PI()*(0)/9+(Scenario_Data!W154)/18)*EXP(-(((0)+5)^2)/(22^2))+18*SIN(2*PI()*(Scenario_Data!W154)/70))+Inputs!$C$28*EXP(-(((Scenario_Data!W154)-Inputs!$C$29)^2)/(2*Inputs!$C$31^2))*EXP(-(((0)-Inputs!$C$30)^2)/(2*Inputs!$C$32^2))+-Inputs!$C$33*EXP(-(((((Scenario_Data!W154)-Inputs!$C$34)^2)+(((0)-Inputs!$C$35)^2))/(2*Inputs!$C$36^2)))+Inputs!$C$37*(0.55*SIN(2*PI()*(Scenario_Data!W154)/Inputs!$C$39)+0.35*COS(2*PI()*(0)/Inputs!$C$40)+0.2*SIN(2*PI()*((Scenario_Data!W154)+(0))/(0.5*(Inputs!$C$39+Inputs!$C$40))))+Inputs!$C$38*SIN(2*PI()*(Scenario_Data!W154)/Inputs!$C$39)*SIN(2*PI()*(0)/Inputs!$C$40)+-Inputs!$C$41*EXP(-(((0)-Inputs!$C$43)^2)/(2*Inputs!$C$44^2))*EXP(-(((Scenario_Data!W154)-Inputs!$C$42)^2)/(2*Inputs!$C$45^2))+Inputs!$C$48*(0.7*(0.45*SIN(2*PI()*(((Scenario_Data!W154)/Inputs!$C$49)+Inputs!$C$47*0.137))+0.35*COS(2*PI()*(((0)/Inputs!$C$50)+Inputs!$C$47*0.173))+0.2*SIN(2*PI()*((((Scenario_Data!W154)+(0))/(0.5*(Inputs!$C$49+Inputs!$C$50)))+Inputs!$C$47*0.097)))+0.3*(2*((SIN(((Scenario_Data!W154)*12.9898+(0)*78.233+Inputs!$C$47*37.719))*43758.5453)-INT((SIN(((Scenario_Data!W154)*12.9898+(0)*78.233+Inputs!$C$47*37.719))*43758.5453)))-1)))))/Inputs!$C$21*1000000</f>
        <v/>
      </c>
      <c r="AG154">
        <f>Scenario_Data!T154</f>
        <v/>
      </c>
      <c r="AH154">
        <f>2*(SQRT((Inputs!$C$52+(Scenario_Data!B154))^2+Inputs!$C$52^2-2*(Inputs!$C$52+(Scenario_Data!B154))*Inputs!$C$52*COS(SQRT((Scenario_Data!T154)^2+Inputs!$C$6^2)/Inputs!$C$52))*1000)/Inputs!$C$21*1000000</f>
        <v/>
      </c>
      <c r="AI154">
        <f>Scenario_Data!U154</f>
        <v/>
      </c>
      <c r="AJ154">
        <f>2*(SQRT((Inputs!$C$52+(Scenario_Data!C154))^2+Inputs!$C$52^2-2*(Inputs!$C$52+(Scenario_Data!C154))*Inputs!$C$52*COS(SQRT((Scenario_Data!U154)^2+Inputs!$C$6^2)/Inputs!$C$52))*1000)/Inputs!$C$21*1000000</f>
        <v/>
      </c>
      <c r="AK154">
        <f>Scenario_Data!V154</f>
        <v/>
      </c>
      <c r="AL154">
        <f>2*(SQRT((Inputs!$C$52+(Scenario_Data!D154))^2+Inputs!$C$52^2-2*(Inputs!$C$52+(Scenario_Data!D154))*Inputs!$C$52*COS(SQRT((Scenario_Data!V154)^2+Inputs!$C$6^2)/Inputs!$C$52))*1000)/Inputs!$C$21*1000000</f>
        <v/>
      </c>
      <c r="AM154">
        <f>Scenario_Data!W154</f>
        <v/>
      </c>
      <c r="AN154">
        <f>2*(SQRT((Inputs!$C$52+(Scenario_Data!E154))^2+Inputs!$C$52^2-2*(Inputs!$C$52+(Scenario_Data!E154))*Inputs!$C$52*COS(SQRT((Scenario_Data!W154)^2+Inputs!$C$6^2)/Inputs!$C$52))*1000)/Inputs!$C$21*1000000</f>
        <v/>
      </c>
      <c r="AP154">
        <f>Scenario_Data!T154</f>
        <v/>
      </c>
      <c r="AQ154">
        <f>2*(SQRT((Inputs!$C$52+(Scenario_Data!B154))^2+(Inputs!$C$52+((IF(OR(Inputs!$C$27=TRUE,Inputs!$C$27="TRUE",Inputs!$C$27=1),1,0)*(Inputs!$C$51*(115*EXP(-(((Inputs!$C$6)-25)^2)/(4.5^2))+70*EXP(-(((Inputs!$C$6)+38)^2)/(7^2))*(0.55+0.45*SIN(2*PI()*(Scenario_Data!T154)/45))+24*SIN(2*PI()*(Inputs!$C$6)/9+(Scenario_Data!T154)/18)*EXP(-(((Inputs!$C$6)+5)^2)/(22^2))+18*SIN(2*PI()*(Scenario_Data!T154)/70))+Inputs!$C$28*EXP(-(((Scenario_Data!T154)-Inputs!$C$29)^2)/(2*Inputs!$C$31^2))*EXP(-(((Inputs!$C$6)-Inputs!$C$30)^2)/(2*Inputs!$C$32^2))+-Inputs!$C$33*EXP(-(((((Scenario_Data!T154)-Inputs!$C$34)^2)+(((Inputs!$C$6)-Inputs!$C$35)^2))/(2*Inputs!$C$36^2)))+Inputs!$C$37*(0.55*SIN(2*PI()*(Scenario_Data!T154)/Inputs!$C$39)+0.35*COS(2*PI()*(Inputs!$C$6)/Inputs!$C$40)+0.2*SIN(2*PI()*((Scenario_Data!T154)+(Inputs!$C$6))/(0.5*(Inputs!$C$39+Inputs!$C$40))))+Inputs!$C$38*SIN(2*PI()*(Scenario_Data!T154)/Inputs!$C$39)*SIN(2*PI()*(Inputs!$C$6)/Inputs!$C$40)+-Inputs!$C$41*EXP(-(((Inputs!$C$6)-Inputs!$C$43)^2)/(2*Inputs!$C$44^2))*EXP(-(((Scenario_Data!T154)-Inputs!$C$42)^2)/(2*Inputs!$C$45^2))+Inputs!$C$48*(0.7*(0.45*SIN(2*PI()*(((Scenario_Data!T154)/Inputs!$C$49)+Inputs!$C$47*0.137))+0.35*COS(2*PI()*(((Inputs!$C$6)/Inputs!$C$50)+Inputs!$C$47*0.173))+0.2*SIN(2*PI()*((((Scenario_Data!T154)+(Inputs!$C$6))/(0.5*(Inputs!$C$49+Inputs!$C$50)))+Inputs!$C$47*0.097)))+0.3*(2*((SIN(((Scenario_Data!T154)*12.9898+(Inputs!$C$6)*78.233+Inputs!$C$47*37.719))*43758.5453)-INT((SIN(((Scenario_Data!T154)*12.9898+(Inputs!$C$6)*78.233+Inputs!$C$47*37.719))*43758.5453)))-1))))/1000))^2-2*(Inputs!$C$52+(Scenario_Data!B154))*(Inputs!$C$52+((IF(OR(Inputs!$C$27=TRUE,Inputs!$C$27="TRUE",Inputs!$C$27=1),1,0)*(Inputs!$C$51*(115*EXP(-(((Inputs!$C$6)-25)^2)/(4.5^2))+70*EXP(-(((Inputs!$C$6)+38)^2)/(7^2))*(0.55+0.45*SIN(2*PI()*(Scenario_Data!T154)/45))+24*SIN(2*PI()*(Inputs!$C$6)/9+(Scenario_Data!T154)/18)*EXP(-(((Inputs!$C$6)+5)^2)/(22^2))+18*SIN(2*PI()*(Scenario_Data!T154)/70))+Inputs!$C$28*EXP(-(((Scenario_Data!T154)-Inputs!$C$29)^2)/(2*Inputs!$C$31^2))*EXP(-(((Inputs!$C$6)-Inputs!$C$30)^2)/(2*Inputs!$C$32^2))+-Inputs!$C$33*EXP(-(((((Scenario_Data!T154)-Inputs!$C$34)^2)+(((Inputs!$C$6)-Inputs!$C$35)^2))/(2*Inputs!$C$36^2)))+Inputs!$C$37*(0.55*SIN(2*PI()*(Scenario_Data!T154)/Inputs!$C$39)+0.35*COS(2*PI()*(Inputs!$C$6)/Inputs!$C$40)+0.2*SIN(2*PI()*((Scenario_Data!T154)+(Inputs!$C$6))/(0.5*(Inputs!$C$39+Inputs!$C$40))))+Inputs!$C$38*SIN(2*PI()*(Scenario_Data!T154)/Inputs!$C$39)*SIN(2*PI()*(Inputs!$C$6)/Inputs!$C$40)+-Inputs!$C$41*EXP(-(((Inputs!$C$6)-Inputs!$C$43)^2)/(2*Inputs!$C$44^2))*EXP(-(((Scenario_Data!T154)-Inputs!$C$42)^2)/(2*Inputs!$C$45^2))+Inputs!$C$48*(0.7*(0.45*SIN(2*PI()*(((Scenario_Data!T154)/Inputs!$C$49)+Inputs!$C$47*0.137))+0.35*COS(2*PI()*(((Inputs!$C$6)/Inputs!$C$50)+Inputs!$C$47*0.173))+0.2*SIN(2*PI()*((((Scenario_Data!T154)+(Inputs!$C$6))/(0.5*(Inputs!$C$49+Inputs!$C$50)))+Inputs!$C$47*0.097)))+0.3*(2*((SIN(((Scenario_Data!T154)*12.9898+(Inputs!$C$6)*78.233+Inputs!$C$47*37.719))*43758.5453)-INT((SIN(((Scenario_Data!T154)*12.9898+(Inputs!$C$6)*78.233+Inputs!$C$47*37.719))*43758.5453)))-1))))/1000))*COS(SQRT((Scenario_Data!T154)^2+Inputs!$C$6^2)/Inputs!$C$52))*1000)/Inputs!$C$21*1000000</f>
        <v/>
      </c>
      <c r="AR154">
        <f>Scenario_Data!U154</f>
        <v/>
      </c>
      <c r="AS154">
        <f>2*(SQRT((Inputs!$C$52+(Scenario_Data!C154))^2+(Inputs!$C$52+((IF(OR(Inputs!$C$27=TRUE,Inputs!$C$27="TRUE",Inputs!$C$27=1),1,0)*(Inputs!$C$51*(115*EXP(-(((Inputs!$C$6)-25)^2)/(4.5^2))+70*EXP(-(((Inputs!$C$6)+38)^2)/(7^2))*(0.55+0.45*SIN(2*PI()*(Scenario_Data!U154)/45))+24*SIN(2*PI()*(Inputs!$C$6)/9+(Scenario_Data!U154)/18)*EXP(-(((Inputs!$C$6)+5)^2)/(22^2))+18*SIN(2*PI()*(Scenario_Data!U154)/70))+Inputs!$C$28*EXP(-(((Scenario_Data!U154)-Inputs!$C$29)^2)/(2*Inputs!$C$31^2))*EXP(-(((Inputs!$C$6)-Inputs!$C$30)^2)/(2*Inputs!$C$32^2))+-Inputs!$C$33*EXP(-(((((Scenario_Data!U154)-Inputs!$C$34)^2)+(((Inputs!$C$6)-Inputs!$C$35)^2))/(2*Inputs!$C$36^2)))+Inputs!$C$37*(0.55*SIN(2*PI()*(Scenario_Data!U154)/Inputs!$C$39)+0.35*COS(2*PI()*(Inputs!$C$6)/Inputs!$C$40)+0.2*SIN(2*PI()*((Scenario_Data!U154)+(Inputs!$C$6))/(0.5*(Inputs!$C$39+Inputs!$C$40))))+Inputs!$C$38*SIN(2*PI()*(Scenario_Data!U154)/Inputs!$C$39)*SIN(2*PI()*(Inputs!$C$6)/Inputs!$C$40)+-Inputs!$C$41*EXP(-(((Inputs!$C$6)-Inputs!$C$43)^2)/(2*Inputs!$C$44^2))*EXP(-(((Scenario_Data!U154)-Inputs!$C$42)^2)/(2*Inputs!$C$45^2))+Inputs!$C$48*(0.7*(0.45*SIN(2*PI()*(((Scenario_Data!U154)/Inputs!$C$49)+Inputs!$C$47*0.137))+0.35*COS(2*PI()*(((Inputs!$C$6)/Inputs!$C$50)+Inputs!$C$47*0.173))+0.2*SIN(2*PI()*((((Scenario_Data!U154)+(Inputs!$C$6))/(0.5*(Inputs!$C$49+Inputs!$C$50)))+Inputs!$C$47*0.097)))+0.3*(2*((SIN(((Scenario_Data!U154)*12.9898+(Inputs!$C$6)*78.233+Inputs!$C$47*37.719))*43758.5453)-INT((SIN(((Scenario_Data!U154)*12.9898+(Inputs!$C$6)*78.233+Inputs!$C$47*37.719))*43758.5453)))-1))))/1000))^2-2*(Inputs!$C$52+(Scenario_Data!C154))*(Inputs!$C$52+((IF(OR(Inputs!$C$27=TRUE,Inputs!$C$27="TRUE",Inputs!$C$27=1),1,0)*(Inputs!$C$51*(115*EXP(-(((Inputs!$C$6)-25)^2)/(4.5^2))+70*EXP(-(((Inputs!$C$6)+38)^2)/(7^2))*(0.55+0.45*SIN(2*PI()*(Scenario_Data!U154)/45))+24*SIN(2*PI()*(Inputs!$C$6)/9+(Scenario_Data!U154)/18)*EXP(-(((Inputs!$C$6)+5)^2)/(22^2))+18*SIN(2*PI()*(Scenario_Data!U154)/70))+Inputs!$C$28*EXP(-(((Scenario_Data!U154)-Inputs!$C$29)^2)/(2*Inputs!$C$31^2))*EXP(-(((Inputs!$C$6)-Inputs!$C$30)^2)/(2*Inputs!$C$32^2))+-Inputs!$C$33*EXP(-(((((Scenario_Data!U154)-Inputs!$C$34)^2)+(((Inputs!$C$6)-Inputs!$C$35)^2))/(2*Inputs!$C$36^2)))+Inputs!$C$37*(0.55*SIN(2*PI()*(Scenario_Data!U154)/Inputs!$C$39)+0.35*COS(2*PI()*(Inputs!$C$6)/Inputs!$C$40)+0.2*SIN(2*PI()*((Scenario_Data!U154)+(Inputs!$C$6))/(0.5*(Inputs!$C$39+Inputs!$C$40))))+Inputs!$C$38*SIN(2*PI()*(Scenario_Data!U154)/Inputs!$C$39)*SIN(2*PI()*(Inputs!$C$6)/Inputs!$C$40)+-Inputs!$C$41*EXP(-(((Inputs!$C$6)-Inputs!$C$43)^2)/(2*Inputs!$C$44^2))*EXP(-(((Scenario_Data!U154)-Inputs!$C$42)^2)/(2*Inputs!$C$45^2))+Inputs!$C$48*(0.7*(0.45*SIN(2*PI()*(((Scenario_Data!U154)/Inputs!$C$49)+Inputs!$C$47*0.137))+0.35*COS(2*PI()*(((Inputs!$C$6)/Inputs!$C$50)+Inputs!$C$47*0.173))+0.2*SIN(2*PI()*((((Scenario_Data!U154)+(Inputs!$C$6))/(0.5*(Inputs!$C$49+Inputs!$C$50)))+Inputs!$C$47*0.097)))+0.3*(2*((SIN(((Scenario_Data!U154)*12.9898+(Inputs!$C$6)*78.233+Inputs!$C$47*37.719))*43758.5453)-INT((SIN(((Scenario_Data!U154)*12.9898+(Inputs!$C$6)*78.233+Inputs!$C$47*37.719))*43758.5453)))-1))))/1000))*COS(SQRT((Scenario_Data!U154)^2+Inputs!$C$6^2)/Inputs!$C$52))*1000)/Inputs!$C$21*1000000</f>
        <v/>
      </c>
      <c r="AT154">
        <f>Scenario_Data!V154</f>
        <v/>
      </c>
      <c r="AU154">
        <f>2*(SQRT((Inputs!$C$52+(Scenario_Data!D154))^2+(Inputs!$C$52+((IF(OR(Inputs!$C$27=TRUE,Inputs!$C$27="TRUE",Inputs!$C$27=1),1,0)*(Inputs!$C$51*(115*EXP(-(((Inputs!$C$6)-25)^2)/(4.5^2))+70*EXP(-(((Inputs!$C$6)+38)^2)/(7^2))*(0.55+0.45*SIN(2*PI()*(Scenario_Data!V154)/45))+24*SIN(2*PI()*(Inputs!$C$6)/9+(Scenario_Data!V154)/18)*EXP(-(((Inputs!$C$6)+5)^2)/(22^2))+18*SIN(2*PI()*(Scenario_Data!V154)/70))+Inputs!$C$28*EXP(-(((Scenario_Data!V154)-Inputs!$C$29)^2)/(2*Inputs!$C$31^2))*EXP(-(((Inputs!$C$6)-Inputs!$C$30)^2)/(2*Inputs!$C$32^2))+-Inputs!$C$33*EXP(-(((((Scenario_Data!V154)-Inputs!$C$34)^2)+(((Inputs!$C$6)-Inputs!$C$35)^2))/(2*Inputs!$C$36^2)))+Inputs!$C$37*(0.55*SIN(2*PI()*(Scenario_Data!V154)/Inputs!$C$39)+0.35*COS(2*PI()*(Inputs!$C$6)/Inputs!$C$40)+0.2*SIN(2*PI()*((Scenario_Data!V154)+(Inputs!$C$6))/(0.5*(Inputs!$C$39+Inputs!$C$40))))+Inputs!$C$38*SIN(2*PI()*(Scenario_Data!V154)/Inputs!$C$39)*SIN(2*PI()*(Inputs!$C$6)/Inputs!$C$40)+-Inputs!$C$41*EXP(-(((Inputs!$C$6)-Inputs!$C$43)^2)/(2*Inputs!$C$44^2))*EXP(-(((Scenario_Data!V154)-Inputs!$C$42)^2)/(2*Inputs!$C$45^2))+Inputs!$C$48*(0.7*(0.45*SIN(2*PI()*(((Scenario_Data!V154)/Inputs!$C$49)+Inputs!$C$47*0.137))+0.35*COS(2*PI()*(((Inputs!$C$6)/Inputs!$C$50)+Inputs!$C$47*0.173))+0.2*SIN(2*PI()*((((Scenario_Data!V154)+(Inputs!$C$6))/(0.5*(Inputs!$C$49+Inputs!$C$50)))+Inputs!$C$47*0.097)))+0.3*(2*((SIN(((Scenario_Data!V154)*12.9898+(Inputs!$C$6)*78.233+Inputs!$C$47*37.719))*43758.5453)-INT((SIN(((Scenario_Data!V154)*12.9898+(Inputs!$C$6)*78.233+Inputs!$C$47*37.719))*43758.5453)))-1))))/1000))^2-2*(Inputs!$C$52+(Scenario_Data!D154))*(Inputs!$C$52+((IF(OR(Inputs!$C$27=TRUE,Inputs!$C$27="TRUE",Inputs!$C$27=1),1,0)*(Inputs!$C$51*(115*EXP(-(((Inputs!$C$6)-25)^2)/(4.5^2))+70*EXP(-(((Inputs!$C$6)+38)^2)/(7^2))*(0.55+0.45*SIN(2*PI()*(Scenario_Data!V154)/45))+24*SIN(2*PI()*(Inputs!$C$6)/9+(Scenario_Data!V154)/18)*EXP(-(((Inputs!$C$6)+5)^2)/(22^2))+18*SIN(2*PI()*(Scenario_Data!V154)/70))+Inputs!$C$28*EXP(-(((Scenario_Data!V154)-Inputs!$C$29)^2)/(2*Inputs!$C$31^2))*EXP(-(((Inputs!$C$6)-Inputs!$C$30)^2)/(2*Inputs!$C$32^2))+-Inputs!$C$33*EXP(-(((((Scenario_Data!V154)-Inputs!$C$34)^2)+(((Inputs!$C$6)-Inputs!$C$35)^2))/(2*Inputs!$C$36^2)))+Inputs!$C$37*(0.55*SIN(2*PI()*(Scenario_Data!V154)/Inputs!$C$39)+0.35*COS(2*PI()*(Inputs!$C$6)/Inputs!$C$40)+0.2*SIN(2*PI()*((Scenario_Data!V154)+(Inputs!$C$6))/(0.5*(Inputs!$C$39+Inputs!$C$40))))+Inputs!$C$38*SIN(2*PI()*(Scenario_Data!V154)/Inputs!$C$39)*SIN(2*PI()*(Inputs!$C$6)/Inputs!$C$40)+-Inputs!$C$41*EXP(-(((Inputs!$C$6)-Inputs!$C$43)^2)/(2*Inputs!$C$44^2))*EXP(-(((Scenario_Data!V154)-Inputs!$C$42)^2)/(2*Inputs!$C$45^2))+Inputs!$C$48*(0.7*(0.45*SIN(2*PI()*(((Scenario_Data!V154)/Inputs!$C$49)+Inputs!$C$47*0.137))+0.35*COS(2*PI()*(((Inputs!$C$6)/Inputs!$C$50)+Inputs!$C$47*0.173))+0.2*SIN(2*PI()*((((Scenario_Data!V154)+(Inputs!$C$6))/(0.5*(Inputs!$C$49+Inputs!$C$50)))+Inputs!$C$47*0.097)))+0.3*(2*((SIN(((Scenario_Data!V154)*12.9898+(Inputs!$C$6)*78.233+Inputs!$C$47*37.719))*43758.5453)-INT((SIN(((Scenario_Data!V154)*12.9898+(Inputs!$C$6)*78.233+Inputs!$C$47*37.719))*43758.5453)))-1))))/1000))*COS(SQRT((Scenario_Data!V154)^2+Inputs!$C$6^2)/Inputs!$C$52))*1000)/Inputs!$C$21*1000000</f>
        <v/>
      </c>
      <c r="AV154">
        <f>Scenario_Data!W154</f>
        <v/>
      </c>
      <c r="AW154">
        <f>2*(SQRT((Inputs!$C$52+(Scenario_Data!E154))^2+(Inputs!$C$52+((IF(OR(Inputs!$C$27=TRUE,Inputs!$C$27="TRUE",Inputs!$C$27=1),1,0)*(Inputs!$C$51*(115*EXP(-(((Inputs!$C$6)-25)^2)/(4.5^2))+70*EXP(-(((Inputs!$C$6)+38)^2)/(7^2))*(0.55+0.45*SIN(2*PI()*(Scenario_Data!W154)/45))+24*SIN(2*PI()*(Inputs!$C$6)/9+(Scenario_Data!W154)/18)*EXP(-(((Inputs!$C$6)+5)^2)/(22^2))+18*SIN(2*PI()*(Scenario_Data!W154)/70))+Inputs!$C$28*EXP(-(((Scenario_Data!W154)-Inputs!$C$29)^2)/(2*Inputs!$C$31^2))*EXP(-(((Inputs!$C$6)-Inputs!$C$30)^2)/(2*Inputs!$C$32^2))+-Inputs!$C$33*EXP(-(((((Scenario_Data!W154)-Inputs!$C$34)^2)+(((Inputs!$C$6)-Inputs!$C$35)^2))/(2*Inputs!$C$36^2)))+Inputs!$C$37*(0.55*SIN(2*PI()*(Scenario_Data!W154)/Inputs!$C$39)+0.35*COS(2*PI()*(Inputs!$C$6)/Inputs!$C$40)+0.2*SIN(2*PI()*((Scenario_Data!W154)+(Inputs!$C$6))/(0.5*(Inputs!$C$39+Inputs!$C$40))))+Inputs!$C$38*SIN(2*PI()*(Scenario_Data!W154)/Inputs!$C$39)*SIN(2*PI()*(Inputs!$C$6)/Inputs!$C$40)+-Inputs!$C$41*EXP(-(((Inputs!$C$6)-Inputs!$C$43)^2)/(2*Inputs!$C$44^2))*EXP(-(((Scenario_Data!W154)-Inputs!$C$42)^2)/(2*Inputs!$C$45^2))+Inputs!$C$48*(0.7*(0.45*SIN(2*PI()*(((Scenario_Data!W154)/Inputs!$C$49)+Inputs!$C$47*0.137))+0.35*COS(2*PI()*(((Inputs!$C$6)/Inputs!$C$50)+Inputs!$C$47*0.173))+0.2*SIN(2*PI()*((((Scenario_Data!W154)+(Inputs!$C$6))/(0.5*(Inputs!$C$49+Inputs!$C$50)))+Inputs!$C$47*0.097)))+0.3*(2*((SIN(((Scenario_Data!W154)*12.9898+(Inputs!$C$6)*78.233+Inputs!$C$47*37.719))*43758.5453)-INT((SIN(((Scenario_Data!W154)*12.9898+(Inputs!$C$6)*78.233+Inputs!$C$47*37.719))*43758.5453)))-1))))/1000))^2-2*(Inputs!$C$52+(Scenario_Data!E154))*(Inputs!$C$52+((IF(OR(Inputs!$C$27=TRUE,Inputs!$C$27="TRUE",Inputs!$C$27=1),1,0)*(Inputs!$C$51*(115*EXP(-(((Inputs!$C$6)-25)^2)/(4.5^2))+70*EXP(-(((Inputs!$C$6)+38)^2)/(7^2))*(0.55+0.45*SIN(2*PI()*(Scenario_Data!W154)/45))+24*SIN(2*PI()*(Inputs!$C$6)/9+(Scenario_Data!W154)/18)*EXP(-(((Inputs!$C$6)+5)^2)/(22^2))+18*SIN(2*PI()*(Scenario_Data!W154)/70))+Inputs!$C$28*EXP(-(((Scenario_Data!W154)-Inputs!$C$29)^2)/(2*Inputs!$C$31^2))*EXP(-(((Inputs!$C$6)-Inputs!$C$30)^2)/(2*Inputs!$C$32^2))+-Inputs!$C$33*EXP(-(((((Scenario_Data!W154)-Inputs!$C$34)^2)+(((Inputs!$C$6)-Inputs!$C$35)^2))/(2*Inputs!$C$36^2)))+Inputs!$C$37*(0.55*SIN(2*PI()*(Scenario_Data!W154)/Inputs!$C$39)+0.35*COS(2*PI()*(Inputs!$C$6)/Inputs!$C$40)+0.2*SIN(2*PI()*((Scenario_Data!W154)+(Inputs!$C$6))/(0.5*(Inputs!$C$39+Inputs!$C$40))))+Inputs!$C$38*SIN(2*PI()*(Scenario_Data!W154)/Inputs!$C$39)*SIN(2*PI()*(Inputs!$C$6)/Inputs!$C$40)+-Inputs!$C$41*EXP(-(((Inputs!$C$6)-Inputs!$C$43)^2)/(2*Inputs!$C$44^2))*EXP(-(((Scenario_Data!W154)-Inputs!$C$42)^2)/(2*Inputs!$C$45^2))+Inputs!$C$48*(0.7*(0.45*SIN(2*PI()*(((Scenario_Data!W154)/Inputs!$C$49)+Inputs!$C$47*0.137))+0.35*COS(2*PI()*(((Inputs!$C$6)/Inputs!$C$50)+Inputs!$C$47*0.173))+0.2*SIN(2*PI()*((((Scenario_Data!W154)+(Inputs!$C$6))/(0.5*(Inputs!$C$49+Inputs!$C$50)))+Inputs!$C$47*0.097)))+0.3*(2*((SIN(((Scenario_Data!W154)*12.9898+(Inputs!$C$6)*78.233+Inputs!$C$47*37.719))*43758.5453)-INT((SIN(((Scenario_Data!W154)*12.9898+(Inputs!$C$6)*78.233+Inputs!$C$47*37.719))*43758.5453)))-1))))/1000))*COS(SQRT((Scenario_Data!W154)^2+Inputs!$C$6^2)/Inputs!$C$52))*1000)/Inputs!$C$21*1000000</f>
        <v/>
      </c>
    </row>
    <row r="155">
      <c r="A155">
        <f>Chart_Data!K155</f>
        <v/>
      </c>
      <c r="B155">
        <f>Chart_Data!N155-Chart_Data!L155</f>
        <v/>
      </c>
      <c r="D155">
        <f>Chart_Data!G155</f>
        <v/>
      </c>
      <c r="E155">
        <f>Chart_Data!H155</f>
        <v/>
      </c>
      <c r="F155">
        <f>Chart_Data!I155</f>
        <v/>
      </c>
      <c r="G155">
        <f>Chart_Data!J155</f>
        <v/>
      </c>
      <c r="I155">
        <f>Scenario_Data!A155</f>
        <v/>
      </c>
      <c r="J155">
        <f>Scenario_Data!H155-(((SQRT((Inputs!$C$52+(Inputs!$H$6))^2+Inputs!$C$52^2-2*(Inputs!$C$52+(Inputs!$H$6))*Inputs!$C$52*COS(SQRT((Scenario_Data!T155)^2+Inputs!$C$6^2)/Inputs!$C$52)))-(Inputs!$H$6))*1000/Inputs!$C$12)</f>
        <v/>
      </c>
      <c r="K155">
        <f>Scenario_Data!I155-(((SQRT((Inputs!$C$52+(Inputs!$H$7))^2+Inputs!$C$52^2-2*(Inputs!$C$52+(Inputs!$H$7))*Inputs!$C$52*COS(SQRT((Scenario_Data!U155)^2+Inputs!$C$6^2)/Inputs!$C$52)))-(Inputs!$H$7))*1000/Inputs!$C$12)</f>
        <v/>
      </c>
      <c r="L155">
        <f>Scenario_Data!J155-(((SQRT((Inputs!$C$52+(Inputs!$H$8))^2+Inputs!$C$52^2-2*(Inputs!$C$52+(Inputs!$H$8))*Inputs!$C$52*COS(SQRT((Scenario_Data!V155)^2+Inputs!$C$6^2)/Inputs!$C$52)))-(Inputs!$H$8))*1000/Inputs!$C$12)</f>
        <v/>
      </c>
      <c r="M155">
        <f>Scenario_Data!K155-(((SQRT((Inputs!$C$52+(Inputs!$H$9))^2+Inputs!$C$52^2-2*(Inputs!$C$52+(Inputs!$H$9))*Inputs!$C$52*COS(SQRT((Scenario_Data!W155)^2+Inputs!$C$6^2)/Inputs!$C$52)))-(Inputs!$H$9))*1000/Inputs!$C$12)</f>
        <v/>
      </c>
      <c r="O155">
        <f>Scenario_Data!T155</f>
        <v/>
      </c>
      <c r="P155">
        <f>2*(Scenario_Data!B155*1000)/Inputs!$C$21*1000000</f>
        <v/>
      </c>
      <c r="Q155">
        <f>Scenario_Data!U155</f>
        <v/>
      </c>
      <c r="R155">
        <f>2*(Scenario_Data!C155*1000)/Inputs!$C$21*1000000</f>
        <v/>
      </c>
      <c r="S155">
        <f>Scenario_Data!V155</f>
        <v/>
      </c>
      <c r="T155">
        <f>2*(Scenario_Data!D155*1000)/Inputs!$C$21*1000000</f>
        <v/>
      </c>
      <c r="U155">
        <f>Scenario_Data!W155</f>
        <v/>
      </c>
      <c r="V155">
        <f>2*(Scenario_Data!E155*1000)/Inputs!$C$21*1000000</f>
        <v/>
      </c>
      <c r="X155">
        <f>Scenario_Data!T155</f>
        <v/>
      </c>
      <c r="Y155">
        <f>2*((Scenario_Data!B155*1000)-(IF(OR(Inputs!$C$27=TRUE,Inputs!$C$27="TRUE",Inputs!$C$27=1),1,0)*(Inputs!$C$51*(115*EXP(-(((0)-25)^2)/(4.5^2))+70*EXP(-(((0)+38)^2)/(7^2))*(0.55+0.45*SIN(2*PI()*(Scenario_Data!T155)/45))+24*SIN(2*PI()*(0)/9+(Scenario_Data!T155)/18)*EXP(-(((0)+5)^2)/(22^2))+18*SIN(2*PI()*(Scenario_Data!T155)/70))+Inputs!$C$28*EXP(-(((Scenario_Data!T155)-Inputs!$C$29)^2)/(2*Inputs!$C$31^2))*EXP(-(((0)-Inputs!$C$30)^2)/(2*Inputs!$C$32^2))+-Inputs!$C$33*EXP(-(((((Scenario_Data!T155)-Inputs!$C$34)^2)+(((0)-Inputs!$C$35)^2))/(2*Inputs!$C$36^2)))+Inputs!$C$37*(0.55*SIN(2*PI()*(Scenario_Data!T155)/Inputs!$C$39)+0.35*COS(2*PI()*(0)/Inputs!$C$40)+0.2*SIN(2*PI()*((Scenario_Data!T155)+(0))/(0.5*(Inputs!$C$39+Inputs!$C$40))))+Inputs!$C$38*SIN(2*PI()*(Scenario_Data!T155)/Inputs!$C$39)*SIN(2*PI()*(0)/Inputs!$C$40)+-Inputs!$C$41*EXP(-(((0)-Inputs!$C$43)^2)/(2*Inputs!$C$44^2))*EXP(-(((Scenario_Data!T155)-Inputs!$C$42)^2)/(2*Inputs!$C$45^2))+Inputs!$C$48*(0.7*(0.45*SIN(2*PI()*(((Scenario_Data!T155)/Inputs!$C$49)+Inputs!$C$47*0.137))+0.35*COS(2*PI()*(((0)/Inputs!$C$50)+Inputs!$C$47*0.173))+0.2*SIN(2*PI()*((((Scenario_Data!T155)+(0))/(0.5*(Inputs!$C$49+Inputs!$C$50)))+Inputs!$C$47*0.097)))+0.3*(2*((SIN(((Scenario_Data!T155)*12.9898+(0)*78.233+Inputs!$C$47*37.719))*43758.5453)-INT((SIN(((Scenario_Data!T155)*12.9898+(0)*78.233+Inputs!$C$47*37.719))*43758.5453)))-1)))))/Inputs!$C$21*1000000</f>
        <v/>
      </c>
      <c r="Z155">
        <f>Scenario_Data!U155</f>
        <v/>
      </c>
      <c r="AA155">
        <f>2*((Scenario_Data!C155*1000)-(IF(OR(Inputs!$C$27=TRUE,Inputs!$C$27="TRUE",Inputs!$C$27=1),1,0)*(Inputs!$C$51*(115*EXP(-(((0)-25)^2)/(4.5^2))+70*EXP(-(((0)+38)^2)/(7^2))*(0.55+0.45*SIN(2*PI()*(Scenario_Data!U155)/45))+24*SIN(2*PI()*(0)/9+(Scenario_Data!U155)/18)*EXP(-(((0)+5)^2)/(22^2))+18*SIN(2*PI()*(Scenario_Data!U155)/70))+Inputs!$C$28*EXP(-(((Scenario_Data!U155)-Inputs!$C$29)^2)/(2*Inputs!$C$31^2))*EXP(-(((0)-Inputs!$C$30)^2)/(2*Inputs!$C$32^2))+-Inputs!$C$33*EXP(-(((((Scenario_Data!U155)-Inputs!$C$34)^2)+(((0)-Inputs!$C$35)^2))/(2*Inputs!$C$36^2)))+Inputs!$C$37*(0.55*SIN(2*PI()*(Scenario_Data!U155)/Inputs!$C$39)+0.35*COS(2*PI()*(0)/Inputs!$C$40)+0.2*SIN(2*PI()*((Scenario_Data!U155)+(0))/(0.5*(Inputs!$C$39+Inputs!$C$40))))+Inputs!$C$38*SIN(2*PI()*(Scenario_Data!U155)/Inputs!$C$39)*SIN(2*PI()*(0)/Inputs!$C$40)+-Inputs!$C$41*EXP(-(((0)-Inputs!$C$43)^2)/(2*Inputs!$C$44^2))*EXP(-(((Scenario_Data!U155)-Inputs!$C$42)^2)/(2*Inputs!$C$45^2))+Inputs!$C$48*(0.7*(0.45*SIN(2*PI()*(((Scenario_Data!U155)/Inputs!$C$49)+Inputs!$C$47*0.137))+0.35*COS(2*PI()*(((0)/Inputs!$C$50)+Inputs!$C$47*0.173))+0.2*SIN(2*PI()*((((Scenario_Data!U155)+(0))/(0.5*(Inputs!$C$49+Inputs!$C$50)))+Inputs!$C$47*0.097)))+0.3*(2*((SIN(((Scenario_Data!U155)*12.9898+(0)*78.233+Inputs!$C$47*37.719))*43758.5453)-INT((SIN(((Scenario_Data!U155)*12.9898+(0)*78.233+Inputs!$C$47*37.719))*43758.5453)))-1)))))/Inputs!$C$21*1000000</f>
        <v/>
      </c>
      <c r="AB155">
        <f>Scenario_Data!V155</f>
        <v/>
      </c>
      <c r="AC155">
        <f>2*((Scenario_Data!D155*1000)-(IF(OR(Inputs!$C$27=TRUE,Inputs!$C$27="TRUE",Inputs!$C$27=1),1,0)*(Inputs!$C$51*(115*EXP(-(((0)-25)^2)/(4.5^2))+70*EXP(-(((0)+38)^2)/(7^2))*(0.55+0.45*SIN(2*PI()*(Scenario_Data!V155)/45))+24*SIN(2*PI()*(0)/9+(Scenario_Data!V155)/18)*EXP(-(((0)+5)^2)/(22^2))+18*SIN(2*PI()*(Scenario_Data!V155)/70))+Inputs!$C$28*EXP(-(((Scenario_Data!V155)-Inputs!$C$29)^2)/(2*Inputs!$C$31^2))*EXP(-(((0)-Inputs!$C$30)^2)/(2*Inputs!$C$32^2))+-Inputs!$C$33*EXP(-(((((Scenario_Data!V155)-Inputs!$C$34)^2)+(((0)-Inputs!$C$35)^2))/(2*Inputs!$C$36^2)))+Inputs!$C$37*(0.55*SIN(2*PI()*(Scenario_Data!V155)/Inputs!$C$39)+0.35*COS(2*PI()*(0)/Inputs!$C$40)+0.2*SIN(2*PI()*((Scenario_Data!V155)+(0))/(0.5*(Inputs!$C$39+Inputs!$C$40))))+Inputs!$C$38*SIN(2*PI()*(Scenario_Data!V155)/Inputs!$C$39)*SIN(2*PI()*(0)/Inputs!$C$40)+-Inputs!$C$41*EXP(-(((0)-Inputs!$C$43)^2)/(2*Inputs!$C$44^2))*EXP(-(((Scenario_Data!V155)-Inputs!$C$42)^2)/(2*Inputs!$C$45^2))+Inputs!$C$48*(0.7*(0.45*SIN(2*PI()*(((Scenario_Data!V155)/Inputs!$C$49)+Inputs!$C$47*0.137))+0.35*COS(2*PI()*(((0)/Inputs!$C$50)+Inputs!$C$47*0.173))+0.2*SIN(2*PI()*((((Scenario_Data!V155)+(0))/(0.5*(Inputs!$C$49+Inputs!$C$50)))+Inputs!$C$47*0.097)))+0.3*(2*((SIN(((Scenario_Data!V155)*12.9898+(0)*78.233+Inputs!$C$47*37.719))*43758.5453)-INT((SIN(((Scenario_Data!V155)*12.9898+(0)*78.233+Inputs!$C$47*37.719))*43758.5453)))-1)))))/Inputs!$C$21*1000000</f>
        <v/>
      </c>
      <c r="AD155">
        <f>Scenario_Data!W155</f>
        <v/>
      </c>
      <c r="AE155">
        <f>2*((Scenario_Data!E155*1000)-(IF(OR(Inputs!$C$27=TRUE,Inputs!$C$27="TRUE",Inputs!$C$27=1),1,0)*(Inputs!$C$51*(115*EXP(-(((0)-25)^2)/(4.5^2))+70*EXP(-(((0)+38)^2)/(7^2))*(0.55+0.45*SIN(2*PI()*(Scenario_Data!W155)/45))+24*SIN(2*PI()*(0)/9+(Scenario_Data!W155)/18)*EXP(-(((0)+5)^2)/(22^2))+18*SIN(2*PI()*(Scenario_Data!W155)/70))+Inputs!$C$28*EXP(-(((Scenario_Data!W155)-Inputs!$C$29)^2)/(2*Inputs!$C$31^2))*EXP(-(((0)-Inputs!$C$30)^2)/(2*Inputs!$C$32^2))+-Inputs!$C$33*EXP(-(((((Scenario_Data!W155)-Inputs!$C$34)^2)+(((0)-Inputs!$C$35)^2))/(2*Inputs!$C$36^2)))+Inputs!$C$37*(0.55*SIN(2*PI()*(Scenario_Data!W155)/Inputs!$C$39)+0.35*COS(2*PI()*(0)/Inputs!$C$40)+0.2*SIN(2*PI()*((Scenario_Data!W155)+(0))/(0.5*(Inputs!$C$39+Inputs!$C$40))))+Inputs!$C$38*SIN(2*PI()*(Scenario_Data!W155)/Inputs!$C$39)*SIN(2*PI()*(0)/Inputs!$C$40)+-Inputs!$C$41*EXP(-(((0)-Inputs!$C$43)^2)/(2*Inputs!$C$44^2))*EXP(-(((Scenario_Data!W155)-Inputs!$C$42)^2)/(2*Inputs!$C$45^2))+Inputs!$C$48*(0.7*(0.45*SIN(2*PI()*(((Scenario_Data!W155)/Inputs!$C$49)+Inputs!$C$47*0.137))+0.35*COS(2*PI()*(((0)/Inputs!$C$50)+Inputs!$C$47*0.173))+0.2*SIN(2*PI()*((((Scenario_Data!W155)+(0))/(0.5*(Inputs!$C$49+Inputs!$C$50)))+Inputs!$C$47*0.097)))+0.3*(2*((SIN(((Scenario_Data!W155)*12.9898+(0)*78.233+Inputs!$C$47*37.719))*43758.5453)-INT((SIN(((Scenario_Data!W155)*12.9898+(0)*78.233+Inputs!$C$47*37.719))*43758.5453)))-1)))))/Inputs!$C$21*1000000</f>
        <v/>
      </c>
      <c r="AG155">
        <f>Scenario_Data!T155</f>
        <v/>
      </c>
      <c r="AH155">
        <f>2*(SQRT((Inputs!$C$52+(Scenario_Data!B155))^2+Inputs!$C$52^2-2*(Inputs!$C$52+(Scenario_Data!B155))*Inputs!$C$52*COS(SQRT((Scenario_Data!T155)^2+Inputs!$C$6^2)/Inputs!$C$52))*1000)/Inputs!$C$21*1000000</f>
        <v/>
      </c>
      <c r="AI155">
        <f>Scenario_Data!U155</f>
        <v/>
      </c>
      <c r="AJ155">
        <f>2*(SQRT((Inputs!$C$52+(Scenario_Data!C155))^2+Inputs!$C$52^2-2*(Inputs!$C$52+(Scenario_Data!C155))*Inputs!$C$52*COS(SQRT((Scenario_Data!U155)^2+Inputs!$C$6^2)/Inputs!$C$52))*1000)/Inputs!$C$21*1000000</f>
        <v/>
      </c>
      <c r="AK155">
        <f>Scenario_Data!V155</f>
        <v/>
      </c>
      <c r="AL155">
        <f>2*(SQRT((Inputs!$C$52+(Scenario_Data!D155))^2+Inputs!$C$52^2-2*(Inputs!$C$52+(Scenario_Data!D155))*Inputs!$C$52*COS(SQRT((Scenario_Data!V155)^2+Inputs!$C$6^2)/Inputs!$C$52))*1000)/Inputs!$C$21*1000000</f>
        <v/>
      </c>
      <c r="AM155">
        <f>Scenario_Data!W155</f>
        <v/>
      </c>
      <c r="AN155">
        <f>2*(SQRT((Inputs!$C$52+(Scenario_Data!E155))^2+Inputs!$C$52^2-2*(Inputs!$C$52+(Scenario_Data!E155))*Inputs!$C$52*COS(SQRT((Scenario_Data!W155)^2+Inputs!$C$6^2)/Inputs!$C$52))*1000)/Inputs!$C$21*1000000</f>
        <v/>
      </c>
      <c r="AP155">
        <f>Scenario_Data!T155</f>
        <v/>
      </c>
      <c r="AQ155">
        <f>2*(SQRT((Inputs!$C$52+(Scenario_Data!B155))^2+(Inputs!$C$52+((IF(OR(Inputs!$C$27=TRUE,Inputs!$C$27="TRUE",Inputs!$C$27=1),1,0)*(Inputs!$C$51*(115*EXP(-(((Inputs!$C$6)-25)^2)/(4.5^2))+70*EXP(-(((Inputs!$C$6)+38)^2)/(7^2))*(0.55+0.45*SIN(2*PI()*(Scenario_Data!T155)/45))+24*SIN(2*PI()*(Inputs!$C$6)/9+(Scenario_Data!T155)/18)*EXP(-(((Inputs!$C$6)+5)^2)/(22^2))+18*SIN(2*PI()*(Scenario_Data!T155)/70))+Inputs!$C$28*EXP(-(((Scenario_Data!T155)-Inputs!$C$29)^2)/(2*Inputs!$C$31^2))*EXP(-(((Inputs!$C$6)-Inputs!$C$30)^2)/(2*Inputs!$C$32^2))+-Inputs!$C$33*EXP(-(((((Scenario_Data!T155)-Inputs!$C$34)^2)+(((Inputs!$C$6)-Inputs!$C$35)^2))/(2*Inputs!$C$36^2)))+Inputs!$C$37*(0.55*SIN(2*PI()*(Scenario_Data!T155)/Inputs!$C$39)+0.35*COS(2*PI()*(Inputs!$C$6)/Inputs!$C$40)+0.2*SIN(2*PI()*((Scenario_Data!T155)+(Inputs!$C$6))/(0.5*(Inputs!$C$39+Inputs!$C$40))))+Inputs!$C$38*SIN(2*PI()*(Scenario_Data!T155)/Inputs!$C$39)*SIN(2*PI()*(Inputs!$C$6)/Inputs!$C$40)+-Inputs!$C$41*EXP(-(((Inputs!$C$6)-Inputs!$C$43)^2)/(2*Inputs!$C$44^2))*EXP(-(((Scenario_Data!T155)-Inputs!$C$42)^2)/(2*Inputs!$C$45^2))+Inputs!$C$48*(0.7*(0.45*SIN(2*PI()*(((Scenario_Data!T155)/Inputs!$C$49)+Inputs!$C$47*0.137))+0.35*COS(2*PI()*(((Inputs!$C$6)/Inputs!$C$50)+Inputs!$C$47*0.173))+0.2*SIN(2*PI()*((((Scenario_Data!T155)+(Inputs!$C$6))/(0.5*(Inputs!$C$49+Inputs!$C$50)))+Inputs!$C$47*0.097)))+0.3*(2*((SIN(((Scenario_Data!T155)*12.9898+(Inputs!$C$6)*78.233+Inputs!$C$47*37.719))*43758.5453)-INT((SIN(((Scenario_Data!T155)*12.9898+(Inputs!$C$6)*78.233+Inputs!$C$47*37.719))*43758.5453)))-1))))/1000))^2-2*(Inputs!$C$52+(Scenario_Data!B155))*(Inputs!$C$52+((IF(OR(Inputs!$C$27=TRUE,Inputs!$C$27="TRUE",Inputs!$C$27=1),1,0)*(Inputs!$C$51*(115*EXP(-(((Inputs!$C$6)-25)^2)/(4.5^2))+70*EXP(-(((Inputs!$C$6)+38)^2)/(7^2))*(0.55+0.45*SIN(2*PI()*(Scenario_Data!T155)/45))+24*SIN(2*PI()*(Inputs!$C$6)/9+(Scenario_Data!T155)/18)*EXP(-(((Inputs!$C$6)+5)^2)/(22^2))+18*SIN(2*PI()*(Scenario_Data!T155)/70))+Inputs!$C$28*EXP(-(((Scenario_Data!T155)-Inputs!$C$29)^2)/(2*Inputs!$C$31^2))*EXP(-(((Inputs!$C$6)-Inputs!$C$30)^2)/(2*Inputs!$C$32^2))+-Inputs!$C$33*EXP(-(((((Scenario_Data!T155)-Inputs!$C$34)^2)+(((Inputs!$C$6)-Inputs!$C$35)^2))/(2*Inputs!$C$36^2)))+Inputs!$C$37*(0.55*SIN(2*PI()*(Scenario_Data!T155)/Inputs!$C$39)+0.35*COS(2*PI()*(Inputs!$C$6)/Inputs!$C$40)+0.2*SIN(2*PI()*((Scenario_Data!T155)+(Inputs!$C$6))/(0.5*(Inputs!$C$39+Inputs!$C$40))))+Inputs!$C$38*SIN(2*PI()*(Scenario_Data!T155)/Inputs!$C$39)*SIN(2*PI()*(Inputs!$C$6)/Inputs!$C$40)+-Inputs!$C$41*EXP(-(((Inputs!$C$6)-Inputs!$C$43)^2)/(2*Inputs!$C$44^2))*EXP(-(((Scenario_Data!T155)-Inputs!$C$42)^2)/(2*Inputs!$C$45^2))+Inputs!$C$48*(0.7*(0.45*SIN(2*PI()*(((Scenario_Data!T155)/Inputs!$C$49)+Inputs!$C$47*0.137))+0.35*COS(2*PI()*(((Inputs!$C$6)/Inputs!$C$50)+Inputs!$C$47*0.173))+0.2*SIN(2*PI()*((((Scenario_Data!T155)+(Inputs!$C$6))/(0.5*(Inputs!$C$49+Inputs!$C$50)))+Inputs!$C$47*0.097)))+0.3*(2*((SIN(((Scenario_Data!T155)*12.9898+(Inputs!$C$6)*78.233+Inputs!$C$47*37.719))*43758.5453)-INT((SIN(((Scenario_Data!T155)*12.9898+(Inputs!$C$6)*78.233+Inputs!$C$47*37.719))*43758.5453)))-1))))/1000))*COS(SQRT((Scenario_Data!T155)^2+Inputs!$C$6^2)/Inputs!$C$52))*1000)/Inputs!$C$21*1000000</f>
        <v/>
      </c>
      <c r="AR155">
        <f>Scenario_Data!U155</f>
        <v/>
      </c>
      <c r="AS155">
        <f>2*(SQRT((Inputs!$C$52+(Scenario_Data!C155))^2+(Inputs!$C$52+((IF(OR(Inputs!$C$27=TRUE,Inputs!$C$27="TRUE",Inputs!$C$27=1),1,0)*(Inputs!$C$51*(115*EXP(-(((Inputs!$C$6)-25)^2)/(4.5^2))+70*EXP(-(((Inputs!$C$6)+38)^2)/(7^2))*(0.55+0.45*SIN(2*PI()*(Scenario_Data!U155)/45))+24*SIN(2*PI()*(Inputs!$C$6)/9+(Scenario_Data!U155)/18)*EXP(-(((Inputs!$C$6)+5)^2)/(22^2))+18*SIN(2*PI()*(Scenario_Data!U155)/70))+Inputs!$C$28*EXP(-(((Scenario_Data!U155)-Inputs!$C$29)^2)/(2*Inputs!$C$31^2))*EXP(-(((Inputs!$C$6)-Inputs!$C$30)^2)/(2*Inputs!$C$32^2))+-Inputs!$C$33*EXP(-(((((Scenario_Data!U155)-Inputs!$C$34)^2)+(((Inputs!$C$6)-Inputs!$C$35)^2))/(2*Inputs!$C$36^2)))+Inputs!$C$37*(0.55*SIN(2*PI()*(Scenario_Data!U155)/Inputs!$C$39)+0.35*COS(2*PI()*(Inputs!$C$6)/Inputs!$C$40)+0.2*SIN(2*PI()*((Scenario_Data!U155)+(Inputs!$C$6))/(0.5*(Inputs!$C$39+Inputs!$C$40))))+Inputs!$C$38*SIN(2*PI()*(Scenario_Data!U155)/Inputs!$C$39)*SIN(2*PI()*(Inputs!$C$6)/Inputs!$C$40)+-Inputs!$C$41*EXP(-(((Inputs!$C$6)-Inputs!$C$43)^2)/(2*Inputs!$C$44^2))*EXP(-(((Scenario_Data!U155)-Inputs!$C$42)^2)/(2*Inputs!$C$45^2))+Inputs!$C$48*(0.7*(0.45*SIN(2*PI()*(((Scenario_Data!U155)/Inputs!$C$49)+Inputs!$C$47*0.137))+0.35*COS(2*PI()*(((Inputs!$C$6)/Inputs!$C$50)+Inputs!$C$47*0.173))+0.2*SIN(2*PI()*((((Scenario_Data!U155)+(Inputs!$C$6))/(0.5*(Inputs!$C$49+Inputs!$C$50)))+Inputs!$C$47*0.097)))+0.3*(2*((SIN(((Scenario_Data!U155)*12.9898+(Inputs!$C$6)*78.233+Inputs!$C$47*37.719))*43758.5453)-INT((SIN(((Scenario_Data!U155)*12.9898+(Inputs!$C$6)*78.233+Inputs!$C$47*37.719))*43758.5453)))-1))))/1000))^2-2*(Inputs!$C$52+(Scenario_Data!C155))*(Inputs!$C$52+((IF(OR(Inputs!$C$27=TRUE,Inputs!$C$27="TRUE",Inputs!$C$27=1),1,0)*(Inputs!$C$51*(115*EXP(-(((Inputs!$C$6)-25)^2)/(4.5^2))+70*EXP(-(((Inputs!$C$6)+38)^2)/(7^2))*(0.55+0.45*SIN(2*PI()*(Scenario_Data!U155)/45))+24*SIN(2*PI()*(Inputs!$C$6)/9+(Scenario_Data!U155)/18)*EXP(-(((Inputs!$C$6)+5)^2)/(22^2))+18*SIN(2*PI()*(Scenario_Data!U155)/70))+Inputs!$C$28*EXP(-(((Scenario_Data!U155)-Inputs!$C$29)^2)/(2*Inputs!$C$31^2))*EXP(-(((Inputs!$C$6)-Inputs!$C$30)^2)/(2*Inputs!$C$32^2))+-Inputs!$C$33*EXP(-(((((Scenario_Data!U155)-Inputs!$C$34)^2)+(((Inputs!$C$6)-Inputs!$C$35)^2))/(2*Inputs!$C$36^2)))+Inputs!$C$37*(0.55*SIN(2*PI()*(Scenario_Data!U155)/Inputs!$C$39)+0.35*COS(2*PI()*(Inputs!$C$6)/Inputs!$C$40)+0.2*SIN(2*PI()*((Scenario_Data!U155)+(Inputs!$C$6))/(0.5*(Inputs!$C$39+Inputs!$C$40))))+Inputs!$C$38*SIN(2*PI()*(Scenario_Data!U155)/Inputs!$C$39)*SIN(2*PI()*(Inputs!$C$6)/Inputs!$C$40)+-Inputs!$C$41*EXP(-(((Inputs!$C$6)-Inputs!$C$43)^2)/(2*Inputs!$C$44^2))*EXP(-(((Scenario_Data!U155)-Inputs!$C$42)^2)/(2*Inputs!$C$45^2))+Inputs!$C$48*(0.7*(0.45*SIN(2*PI()*(((Scenario_Data!U155)/Inputs!$C$49)+Inputs!$C$47*0.137))+0.35*COS(2*PI()*(((Inputs!$C$6)/Inputs!$C$50)+Inputs!$C$47*0.173))+0.2*SIN(2*PI()*((((Scenario_Data!U155)+(Inputs!$C$6))/(0.5*(Inputs!$C$49+Inputs!$C$50)))+Inputs!$C$47*0.097)))+0.3*(2*((SIN(((Scenario_Data!U155)*12.9898+(Inputs!$C$6)*78.233+Inputs!$C$47*37.719))*43758.5453)-INT((SIN(((Scenario_Data!U155)*12.9898+(Inputs!$C$6)*78.233+Inputs!$C$47*37.719))*43758.5453)))-1))))/1000))*COS(SQRT((Scenario_Data!U155)^2+Inputs!$C$6^2)/Inputs!$C$52))*1000)/Inputs!$C$21*1000000</f>
        <v/>
      </c>
      <c r="AT155">
        <f>Scenario_Data!V155</f>
        <v/>
      </c>
      <c r="AU155">
        <f>2*(SQRT((Inputs!$C$52+(Scenario_Data!D155))^2+(Inputs!$C$52+((IF(OR(Inputs!$C$27=TRUE,Inputs!$C$27="TRUE",Inputs!$C$27=1),1,0)*(Inputs!$C$51*(115*EXP(-(((Inputs!$C$6)-25)^2)/(4.5^2))+70*EXP(-(((Inputs!$C$6)+38)^2)/(7^2))*(0.55+0.45*SIN(2*PI()*(Scenario_Data!V155)/45))+24*SIN(2*PI()*(Inputs!$C$6)/9+(Scenario_Data!V155)/18)*EXP(-(((Inputs!$C$6)+5)^2)/(22^2))+18*SIN(2*PI()*(Scenario_Data!V155)/70))+Inputs!$C$28*EXP(-(((Scenario_Data!V155)-Inputs!$C$29)^2)/(2*Inputs!$C$31^2))*EXP(-(((Inputs!$C$6)-Inputs!$C$30)^2)/(2*Inputs!$C$32^2))+-Inputs!$C$33*EXP(-(((((Scenario_Data!V155)-Inputs!$C$34)^2)+(((Inputs!$C$6)-Inputs!$C$35)^2))/(2*Inputs!$C$36^2)))+Inputs!$C$37*(0.55*SIN(2*PI()*(Scenario_Data!V155)/Inputs!$C$39)+0.35*COS(2*PI()*(Inputs!$C$6)/Inputs!$C$40)+0.2*SIN(2*PI()*((Scenario_Data!V155)+(Inputs!$C$6))/(0.5*(Inputs!$C$39+Inputs!$C$40))))+Inputs!$C$38*SIN(2*PI()*(Scenario_Data!V155)/Inputs!$C$39)*SIN(2*PI()*(Inputs!$C$6)/Inputs!$C$40)+-Inputs!$C$41*EXP(-(((Inputs!$C$6)-Inputs!$C$43)^2)/(2*Inputs!$C$44^2))*EXP(-(((Scenario_Data!V155)-Inputs!$C$42)^2)/(2*Inputs!$C$45^2))+Inputs!$C$48*(0.7*(0.45*SIN(2*PI()*(((Scenario_Data!V155)/Inputs!$C$49)+Inputs!$C$47*0.137))+0.35*COS(2*PI()*(((Inputs!$C$6)/Inputs!$C$50)+Inputs!$C$47*0.173))+0.2*SIN(2*PI()*((((Scenario_Data!V155)+(Inputs!$C$6))/(0.5*(Inputs!$C$49+Inputs!$C$50)))+Inputs!$C$47*0.097)))+0.3*(2*((SIN(((Scenario_Data!V155)*12.9898+(Inputs!$C$6)*78.233+Inputs!$C$47*37.719))*43758.5453)-INT((SIN(((Scenario_Data!V155)*12.9898+(Inputs!$C$6)*78.233+Inputs!$C$47*37.719))*43758.5453)))-1))))/1000))^2-2*(Inputs!$C$52+(Scenario_Data!D155))*(Inputs!$C$52+((IF(OR(Inputs!$C$27=TRUE,Inputs!$C$27="TRUE",Inputs!$C$27=1),1,0)*(Inputs!$C$51*(115*EXP(-(((Inputs!$C$6)-25)^2)/(4.5^2))+70*EXP(-(((Inputs!$C$6)+38)^2)/(7^2))*(0.55+0.45*SIN(2*PI()*(Scenario_Data!V155)/45))+24*SIN(2*PI()*(Inputs!$C$6)/9+(Scenario_Data!V155)/18)*EXP(-(((Inputs!$C$6)+5)^2)/(22^2))+18*SIN(2*PI()*(Scenario_Data!V155)/70))+Inputs!$C$28*EXP(-(((Scenario_Data!V155)-Inputs!$C$29)^2)/(2*Inputs!$C$31^2))*EXP(-(((Inputs!$C$6)-Inputs!$C$30)^2)/(2*Inputs!$C$32^2))+-Inputs!$C$33*EXP(-(((((Scenario_Data!V155)-Inputs!$C$34)^2)+(((Inputs!$C$6)-Inputs!$C$35)^2))/(2*Inputs!$C$36^2)))+Inputs!$C$37*(0.55*SIN(2*PI()*(Scenario_Data!V155)/Inputs!$C$39)+0.35*COS(2*PI()*(Inputs!$C$6)/Inputs!$C$40)+0.2*SIN(2*PI()*((Scenario_Data!V155)+(Inputs!$C$6))/(0.5*(Inputs!$C$39+Inputs!$C$40))))+Inputs!$C$38*SIN(2*PI()*(Scenario_Data!V155)/Inputs!$C$39)*SIN(2*PI()*(Inputs!$C$6)/Inputs!$C$40)+-Inputs!$C$41*EXP(-(((Inputs!$C$6)-Inputs!$C$43)^2)/(2*Inputs!$C$44^2))*EXP(-(((Scenario_Data!V155)-Inputs!$C$42)^2)/(2*Inputs!$C$45^2))+Inputs!$C$48*(0.7*(0.45*SIN(2*PI()*(((Scenario_Data!V155)/Inputs!$C$49)+Inputs!$C$47*0.137))+0.35*COS(2*PI()*(((Inputs!$C$6)/Inputs!$C$50)+Inputs!$C$47*0.173))+0.2*SIN(2*PI()*((((Scenario_Data!V155)+(Inputs!$C$6))/(0.5*(Inputs!$C$49+Inputs!$C$50)))+Inputs!$C$47*0.097)))+0.3*(2*((SIN(((Scenario_Data!V155)*12.9898+(Inputs!$C$6)*78.233+Inputs!$C$47*37.719))*43758.5453)-INT((SIN(((Scenario_Data!V155)*12.9898+(Inputs!$C$6)*78.233+Inputs!$C$47*37.719))*43758.5453)))-1))))/1000))*COS(SQRT((Scenario_Data!V155)^2+Inputs!$C$6^2)/Inputs!$C$52))*1000)/Inputs!$C$21*1000000</f>
        <v/>
      </c>
      <c r="AV155">
        <f>Scenario_Data!W155</f>
        <v/>
      </c>
      <c r="AW155">
        <f>2*(SQRT((Inputs!$C$52+(Scenario_Data!E155))^2+(Inputs!$C$52+((IF(OR(Inputs!$C$27=TRUE,Inputs!$C$27="TRUE",Inputs!$C$27=1),1,0)*(Inputs!$C$51*(115*EXP(-(((Inputs!$C$6)-25)^2)/(4.5^2))+70*EXP(-(((Inputs!$C$6)+38)^2)/(7^2))*(0.55+0.45*SIN(2*PI()*(Scenario_Data!W155)/45))+24*SIN(2*PI()*(Inputs!$C$6)/9+(Scenario_Data!W155)/18)*EXP(-(((Inputs!$C$6)+5)^2)/(22^2))+18*SIN(2*PI()*(Scenario_Data!W155)/70))+Inputs!$C$28*EXP(-(((Scenario_Data!W155)-Inputs!$C$29)^2)/(2*Inputs!$C$31^2))*EXP(-(((Inputs!$C$6)-Inputs!$C$30)^2)/(2*Inputs!$C$32^2))+-Inputs!$C$33*EXP(-(((((Scenario_Data!W155)-Inputs!$C$34)^2)+(((Inputs!$C$6)-Inputs!$C$35)^2))/(2*Inputs!$C$36^2)))+Inputs!$C$37*(0.55*SIN(2*PI()*(Scenario_Data!W155)/Inputs!$C$39)+0.35*COS(2*PI()*(Inputs!$C$6)/Inputs!$C$40)+0.2*SIN(2*PI()*((Scenario_Data!W155)+(Inputs!$C$6))/(0.5*(Inputs!$C$39+Inputs!$C$40))))+Inputs!$C$38*SIN(2*PI()*(Scenario_Data!W155)/Inputs!$C$39)*SIN(2*PI()*(Inputs!$C$6)/Inputs!$C$40)+-Inputs!$C$41*EXP(-(((Inputs!$C$6)-Inputs!$C$43)^2)/(2*Inputs!$C$44^2))*EXP(-(((Scenario_Data!W155)-Inputs!$C$42)^2)/(2*Inputs!$C$45^2))+Inputs!$C$48*(0.7*(0.45*SIN(2*PI()*(((Scenario_Data!W155)/Inputs!$C$49)+Inputs!$C$47*0.137))+0.35*COS(2*PI()*(((Inputs!$C$6)/Inputs!$C$50)+Inputs!$C$47*0.173))+0.2*SIN(2*PI()*((((Scenario_Data!W155)+(Inputs!$C$6))/(0.5*(Inputs!$C$49+Inputs!$C$50)))+Inputs!$C$47*0.097)))+0.3*(2*((SIN(((Scenario_Data!W155)*12.9898+(Inputs!$C$6)*78.233+Inputs!$C$47*37.719))*43758.5453)-INT((SIN(((Scenario_Data!W155)*12.9898+(Inputs!$C$6)*78.233+Inputs!$C$47*37.719))*43758.5453)))-1))))/1000))^2-2*(Inputs!$C$52+(Scenario_Data!E155))*(Inputs!$C$52+((IF(OR(Inputs!$C$27=TRUE,Inputs!$C$27="TRUE",Inputs!$C$27=1),1,0)*(Inputs!$C$51*(115*EXP(-(((Inputs!$C$6)-25)^2)/(4.5^2))+70*EXP(-(((Inputs!$C$6)+38)^2)/(7^2))*(0.55+0.45*SIN(2*PI()*(Scenario_Data!W155)/45))+24*SIN(2*PI()*(Inputs!$C$6)/9+(Scenario_Data!W155)/18)*EXP(-(((Inputs!$C$6)+5)^2)/(22^2))+18*SIN(2*PI()*(Scenario_Data!W155)/70))+Inputs!$C$28*EXP(-(((Scenario_Data!W155)-Inputs!$C$29)^2)/(2*Inputs!$C$31^2))*EXP(-(((Inputs!$C$6)-Inputs!$C$30)^2)/(2*Inputs!$C$32^2))+-Inputs!$C$33*EXP(-(((((Scenario_Data!W155)-Inputs!$C$34)^2)+(((Inputs!$C$6)-Inputs!$C$35)^2))/(2*Inputs!$C$36^2)))+Inputs!$C$37*(0.55*SIN(2*PI()*(Scenario_Data!W155)/Inputs!$C$39)+0.35*COS(2*PI()*(Inputs!$C$6)/Inputs!$C$40)+0.2*SIN(2*PI()*((Scenario_Data!W155)+(Inputs!$C$6))/(0.5*(Inputs!$C$39+Inputs!$C$40))))+Inputs!$C$38*SIN(2*PI()*(Scenario_Data!W155)/Inputs!$C$39)*SIN(2*PI()*(Inputs!$C$6)/Inputs!$C$40)+-Inputs!$C$41*EXP(-(((Inputs!$C$6)-Inputs!$C$43)^2)/(2*Inputs!$C$44^2))*EXP(-(((Scenario_Data!W155)-Inputs!$C$42)^2)/(2*Inputs!$C$45^2))+Inputs!$C$48*(0.7*(0.45*SIN(2*PI()*(((Scenario_Data!W155)/Inputs!$C$49)+Inputs!$C$47*0.137))+0.35*COS(2*PI()*(((Inputs!$C$6)/Inputs!$C$50)+Inputs!$C$47*0.173))+0.2*SIN(2*PI()*((((Scenario_Data!W155)+(Inputs!$C$6))/(0.5*(Inputs!$C$49+Inputs!$C$50)))+Inputs!$C$47*0.097)))+0.3*(2*((SIN(((Scenario_Data!W155)*12.9898+(Inputs!$C$6)*78.233+Inputs!$C$47*37.719))*43758.5453)-INT((SIN(((Scenario_Data!W155)*12.9898+(Inputs!$C$6)*78.233+Inputs!$C$47*37.719))*43758.5453)))-1))))/1000))*COS(SQRT((Scenario_Data!W155)^2+Inputs!$C$6^2)/Inputs!$C$52))*1000)/Inputs!$C$21*1000000</f>
        <v/>
      </c>
    </row>
    <row r="156">
      <c r="A156">
        <f>Chart_Data!K156</f>
        <v/>
      </c>
      <c r="B156">
        <f>Chart_Data!N156-Chart_Data!L156</f>
        <v/>
      </c>
      <c r="D156">
        <f>Chart_Data!G156</f>
        <v/>
      </c>
      <c r="E156">
        <f>Chart_Data!H156</f>
        <v/>
      </c>
      <c r="F156">
        <f>Chart_Data!I156</f>
        <v/>
      </c>
      <c r="G156">
        <f>Chart_Data!J156</f>
        <v/>
      </c>
      <c r="I156">
        <f>Scenario_Data!A156</f>
        <v/>
      </c>
      <c r="J156">
        <f>Scenario_Data!H156-(((SQRT((Inputs!$C$52+(Inputs!$H$6))^2+Inputs!$C$52^2-2*(Inputs!$C$52+(Inputs!$H$6))*Inputs!$C$52*COS(SQRT((Scenario_Data!T156)^2+Inputs!$C$6^2)/Inputs!$C$52)))-(Inputs!$H$6))*1000/Inputs!$C$12)</f>
        <v/>
      </c>
      <c r="K156">
        <f>Scenario_Data!I156-(((SQRT((Inputs!$C$52+(Inputs!$H$7))^2+Inputs!$C$52^2-2*(Inputs!$C$52+(Inputs!$H$7))*Inputs!$C$52*COS(SQRT((Scenario_Data!U156)^2+Inputs!$C$6^2)/Inputs!$C$52)))-(Inputs!$H$7))*1000/Inputs!$C$12)</f>
        <v/>
      </c>
      <c r="L156">
        <f>Scenario_Data!J156-(((SQRT((Inputs!$C$52+(Inputs!$H$8))^2+Inputs!$C$52^2-2*(Inputs!$C$52+(Inputs!$H$8))*Inputs!$C$52*COS(SQRT((Scenario_Data!V156)^2+Inputs!$C$6^2)/Inputs!$C$52)))-(Inputs!$H$8))*1000/Inputs!$C$12)</f>
        <v/>
      </c>
      <c r="M156">
        <f>Scenario_Data!K156-(((SQRT((Inputs!$C$52+(Inputs!$H$9))^2+Inputs!$C$52^2-2*(Inputs!$C$52+(Inputs!$H$9))*Inputs!$C$52*COS(SQRT((Scenario_Data!W156)^2+Inputs!$C$6^2)/Inputs!$C$52)))-(Inputs!$H$9))*1000/Inputs!$C$12)</f>
        <v/>
      </c>
      <c r="O156">
        <f>Scenario_Data!T156</f>
        <v/>
      </c>
      <c r="P156">
        <f>2*(Scenario_Data!B156*1000)/Inputs!$C$21*1000000</f>
        <v/>
      </c>
      <c r="Q156">
        <f>Scenario_Data!U156</f>
        <v/>
      </c>
      <c r="R156">
        <f>2*(Scenario_Data!C156*1000)/Inputs!$C$21*1000000</f>
        <v/>
      </c>
      <c r="S156">
        <f>Scenario_Data!V156</f>
        <v/>
      </c>
      <c r="T156">
        <f>2*(Scenario_Data!D156*1000)/Inputs!$C$21*1000000</f>
        <v/>
      </c>
      <c r="U156">
        <f>Scenario_Data!W156</f>
        <v/>
      </c>
      <c r="V156">
        <f>2*(Scenario_Data!E156*1000)/Inputs!$C$21*1000000</f>
        <v/>
      </c>
      <c r="X156">
        <f>Scenario_Data!T156</f>
        <v/>
      </c>
      <c r="Y156">
        <f>2*((Scenario_Data!B156*1000)-(IF(OR(Inputs!$C$27=TRUE,Inputs!$C$27="TRUE",Inputs!$C$27=1),1,0)*(Inputs!$C$51*(115*EXP(-(((0)-25)^2)/(4.5^2))+70*EXP(-(((0)+38)^2)/(7^2))*(0.55+0.45*SIN(2*PI()*(Scenario_Data!T156)/45))+24*SIN(2*PI()*(0)/9+(Scenario_Data!T156)/18)*EXP(-(((0)+5)^2)/(22^2))+18*SIN(2*PI()*(Scenario_Data!T156)/70))+Inputs!$C$28*EXP(-(((Scenario_Data!T156)-Inputs!$C$29)^2)/(2*Inputs!$C$31^2))*EXP(-(((0)-Inputs!$C$30)^2)/(2*Inputs!$C$32^2))+-Inputs!$C$33*EXP(-(((((Scenario_Data!T156)-Inputs!$C$34)^2)+(((0)-Inputs!$C$35)^2))/(2*Inputs!$C$36^2)))+Inputs!$C$37*(0.55*SIN(2*PI()*(Scenario_Data!T156)/Inputs!$C$39)+0.35*COS(2*PI()*(0)/Inputs!$C$40)+0.2*SIN(2*PI()*((Scenario_Data!T156)+(0))/(0.5*(Inputs!$C$39+Inputs!$C$40))))+Inputs!$C$38*SIN(2*PI()*(Scenario_Data!T156)/Inputs!$C$39)*SIN(2*PI()*(0)/Inputs!$C$40)+-Inputs!$C$41*EXP(-(((0)-Inputs!$C$43)^2)/(2*Inputs!$C$44^2))*EXP(-(((Scenario_Data!T156)-Inputs!$C$42)^2)/(2*Inputs!$C$45^2))+Inputs!$C$48*(0.7*(0.45*SIN(2*PI()*(((Scenario_Data!T156)/Inputs!$C$49)+Inputs!$C$47*0.137))+0.35*COS(2*PI()*(((0)/Inputs!$C$50)+Inputs!$C$47*0.173))+0.2*SIN(2*PI()*((((Scenario_Data!T156)+(0))/(0.5*(Inputs!$C$49+Inputs!$C$50)))+Inputs!$C$47*0.097)))+0.3*(2*((SIN(((Scenario_Data!T156)*12.9898+(0)*78.233+Inputs!$C$47*37.719))*43758.5453)-INT((SIN(((Scenario_Data!T156)*12.9898+(0)*78.233+Inputs!$C$47*37.719))*43758.5453)))-1)))))/Inputs!$C$21*1000000</f>
        <v/>
      </c>
      <c r="Z156">
        <f>Scenario_Data!U156</f>
        <v/>
      </c>
      <c r="AA156">
        <f>2*((Scenario_Data!C156*1000)-(IF(OR(Inputs!$C$27=TRUE,Inputs!$C$27="TRUE",Inputs!$C$27=1),1,0)*(Inputs!$C$51*(115*EXP(-(((0)-25)^2)/(4.5^2))+70*EXP(-(((0)+38)^2)/(7^2))*(0.55+0.45*SIN(2*PI()*(Scenario_Data!U156)/45))+24*SIN(2*PI()*(0)/9+(Scenario_Data!U156)/18)*EXP(-(((0)+5)^2)/(22^2))+18*SIN(2*PI()*(Scenario_Data!U156)/70))+Inputs!$C$28*EXP(-(((Scenario_Data!U156)-Inputs!$C$29)^2)/(2*Inputs!$C$31^2))*EXP(-(((0)-Inputs!$C$30)^2)/(2*Inputs!$C$32^2))+-Inputs!$C$33*EXP(-(((((Scenario_Data!U156)-Inputs!$C$34)^2)+(((0)-Inputs!$C$35)^2))/(2*Inputs!$C$36^2)))+Inputs!$C$37*(0.55*SIN(2*PI()*(Scenario_Data!U156)/Inputs!$C$39)+0.35*COS(2*PI()*(0)/Inputs!$C$40)+0.2*SIN(2*PI()*((Scenario_Data!U156)+(0))/(0.5*(Inputs!$C$39+Inputs!$C$40))))+Inputs!$C$38*SIN(2*PI()*(Scenario_Data!U156)/Inputs!$C$39)*SIN(2*PI()*(0)/Inputs!$C$40)+-Inputs!$C$41*EXP(-(((0)-Inputs!$C$43)^2)/(2*Inputs!$C$44^2))*EXP(-(((Scenario_Data!U156)-Inputs!$C$42)^2)/(2*Inputs!$C$45^2))+Inputs!$C$48*(0.7*(0.45*SIN(2*PI()*(((Scenario_Data!U156)/Inputs!$C$49)+Inputs!$C$47*0.137))+0.35*COS(2*PI()*(((0)/Inputs!$C$50)+Inputs!$C$47*0.173))+0.2*SIN(2*PI()*((((Scenario_Data!U156)+(0))/(0.5*(Inputs!$C$49+Inputs!$C$50)))+Inputs!$C$47*0.097)))+0.3*(2*((SIN(((Scenario_Data!U156)*12.9898+(0)*78.233+Inputs!$C$47*37.719))*43758.5453)-INT((SIN(((Scenario_Data!U156)*12.9898+(0)*78.233+Inputs!$C$47*37.719))*43758.5453)))-1)))))/Inputs!$C$21*1000000</f>
        <v/>
      </c>
      <c r="AB156">
        <f>Scenario_Data!V156</f>
        <v/>
      </c>
      <c r="AC156">
        <f>2*((Scenario_Data!D156*1000)-(IF(OR(Inputs!$C$27=TRUE,Inputs!$C$27="TRUE",Inputs!$C$27=1),1,0)*(Inputs!$C$51*(115*EXP(-(((0)-25)^2)/(4.5^2))+70*EXP(-(((0)+38)^2)/(7^2))*(0.55+0.45*SIN(2*PI()*(Scenario_Data!V156)/45))+24*SIN(2*PI()*(0)/9+(Scenario_Data!V156)/18)*EXP(-(((0)+5)^2)/(22^2))+18*SIN(2*PI()*(Scenario_Data!V156)/70))+Inputs!$C$28*EXP(-(((Scenario_Data!V156)-Inputs!$C$29)^2)/(2*Inputs!$C$31^2))*EXP(-(((0)-Inputs!$C$30)^2)/(2*Inputs!$C$32^2))+-Inputs!$C$33*EXP(-(((((Scenario_Data!V156)-Inputs!$C$34)^2)+(((0)-Inputs!$C$35)^2))/(2*Inputs!$C$36^2)))+Inputs!$C$37*(0.55*SIN(2*PI()*(Scenario_Data!V156)/Inputs!$C$39)+0.35*COS(2*PI()*(0)/Inputs!$C$40)+0.2*SIN(2*PI()*((Scenario_Data!V156)+(0))/(0.5*(Inputs!$C$39+Inputs!$C$40))))+Inputs!$C$38*SIN(2*PI()*(Scenario_Data!V156)/Inputs!$C$39)*SIN(2*PI()*(0)/Inputs!$C$40)+-Inputs!$C$41*EXP(-(((0)-Inputs!$C$43)^2)/(2*Inputs!$C$44^2))*EXP(-(((Scenario_Data!V156)-Inputs!$C$42)^2)/(2*Inputs!$C$45^2))+Inputs!$C$48*(0.7*(0.45*SIN(2*PI()*(((Scenario_Data!V156)/Inputs!$C$49)+Inputs!$C$47*0.137))+0.35*COS(2*PI()*(((0)/Inputs!$C$50)+Inputs!$C$47*0.173))+0.2*SIN(2*PI()*((((Scenario_Data!V156)+(0))/(0.5*(Inputs!$C$49+Inputs!$C$50)))+Inputs!$C$47*0.097)))+0.3*(2*((SIN(((Scenario_Data!V156)*12.9898+(0)*78.233+Inputs!$C$47*37.719))*43758.5453)-INT((SIN(((Scenario_Data!V156)*12.9898+(0)*78.233+Inputs!$C$47*37.719))*43758.5453)))-1)))))/Inputs!$C$21*1000000</f>
        <v/>
      </c>
      <c r="AD156">
        <f>Scenario_Data!W156</f>
        <v/>
      </c>
      <c r="AE156">
        <f>2*((Scenario_Data!E156*1000)-(IF(OR(Inputs!$C$27=TRUE,Inputs!$C$27="TRUE",Inputs!$C$27=1),1,0)*(Inputs!$C$51*(115*EXP(-(((0)-25)^2)/(4.5^2))+70*EXP(-(((0)+38)^2)/(7^2))*(0.55+0.45*SIN(2*PI()*(Scenario_Data!W156)/45))+24*SIN(2*PI()*(0)/9+(Scenario_Data!W156)/18)*EXP(-(((0)+5)^2)/(22^2))+18*SIN(2*PI()*(Scenario_Data!W156)/70))+Inputs!$C$28*EXP(-(((Scenario_Data!W156)-Inputs!$C$29)^2)/(2*Inputs!$C$31^2))*EXP(-(((0)-Inputs!$C$30)^2)/(2*Inputs!$C$32^2))+-Inputs!$C$33*EXP(-(((((Scenario_Data!W156)-Inputs!$C$34)^2)+(((0)-Inputs!$C$35)^2))/(2*Inputs!$C$36^2)))+Inputs!$C$37*(0.55*SIN(2*PI()*(Scenario_Data!W156)/Inputs!$C$39)+0.35*COS(2*PI()*(0)/Inputs!$C$40)+0.2*SIN(2*PI()*((Scenario_Data!W156)+(0))/(0.5*(Inputs!$C$39+Inputs!$C$40))))+Inputs!$C$38*SIN(2*PI()*(Scenario_Data!W156)/Inputs!$C$39)*SIN(2*PI()*(0)/Inputs!$C$40)+-Inputs!$C$41*EXP(-(((0)-Inputs!$C$43)^2)/(2*Inputs!$C$44^2))*EXP(-(((Scenario_Data!W156)-Inputs!$C$42)^2)/(2*Inputs!$C$45^2))+Inputs!$C$48*(0.7*(0.45*SIN(2*PI()*(((Scenario_Data!W156)/Inputs!$C$49)+Inputs!$C$47*0.137))+0.35*COS(2*PI()*(((0)/Inputs!$C$50)+Inputs!$C$47*0.173))+0.2*SIN(2*PI()*((((Scenario_Data!W156)+(0))/(0.5*(Inputs!$C$49+Inputs!$C$50)))+Inputs!$C$47*0.097)))+0.3*(2*((SIN(((Scenario_Data!W156)*12.9898+(0)*78.233+Inputs!$C$47*37.719))*43758.5453)-INT((SIN(((Scenario_Data!W156)*12.9898+(0)*78.233+Inputs!$C$47*37.719))*43758.5453)))-1)))))/Inputs!$C$21*1000000</f>
        <v/>
      </c>
      <c r="AG156">
        <f>Scenario_Data!T156</f>
        <v/>
      </c>
      <c r="AH156">
        <f>2*(SQRT((Inputs!$C$52+(Scenario_Data!B156))^2+Inputs!$C$52^2-2*(Inputs!$C$52+(Scenario_Data!B156))*Inputs!$C$52*COS(SQRT((Scenario_Data!T156)^2+Inputs!$C$6^2)/Inputs!$C$52))*1000)/Inputs!$C$21*1000000</f>
        <v/>
      </c>
      <c r="AI156">
        <f>Scenario_Data!U156</f>
        <v/>
      </c>
      <c r="AJ156">
        <f>2*(SQRT((Inputs!$C$52+(Scenario_Data!C156))^2+Inputs!$C$52^2-2*(Inputs!$C$52+(Scenario_Data!C156))*Inputs!$C$52*COS(SQRT((Scenario_Data!U156)^2+Inputs!$C$6^2)/Inputs!$C$52))*1000)/Inputs!$C$21*1000000</f>
        <v/>
      </c>
      <c r="AK156">
        <f>Scenario_Data!V156</f>
        <v/>
      </c>
      <c r="AL156">
        <f>2*(SQRT((Inputs!$C$52+(Scenario_Data!D156))^2+Inputs!$C$52^2-2*(Inputs!$C$52+(Scenario_Data!D156))*Inputs!$C$52*COS(SQRT((Scenario_Data!V156)^2+Inputs!$C$6^2)/Inputs!$C$52))*1000)/Inputs!$C$21*1000000</f>
        <v/>
      </c>
      <c r="AM156">
        <f>Scenario_Data!W156</f>
        <v/>
      </c>
      <c r="AN156">
        <f>2*(SQRT((Inputs!$C$52+(Scenario_Data!E156))^2+Inputs!$C$52^2-2*(Inputs!$C$52+(Scenario_Data!E156))*Inputs!$C$52*COS(SQRT((Scenario_Data!W156)^2+Inputs!$C$6^2)/Inputs!$C$52))*1000)/Inputs!$C$21*1000000</f>
        <v/>
      </c>
      <c r="AP156">
        <f>Scenario_Data!T156</f>
        <v/>
      </c>
      <c r="AQ156">
        <f>2*(SQRT((Inputs!$C$52+(Scenario_Data!B156))^2+(Inputs!$C$52+((IF(OR(Inputs!$C$27=TRUE,Inputs!$C$27="TRUE",Inputs!$C$27=1),1,0)*(Inputs!$C$51*(115*EXP(-(((Inputs!$C$6)-25)^2)/(4.5^2))+70*EXP(-(((Inputs!$C$6)+38)^2)/(7^2))*(0.55+0.45*SIN(2*PI()*(Scenario_Data!T156)/45))+24*SIN(2*PI()*(Inputs!$C$6)/9+(Scenario_Data!T156)/18)*EXP(-(((Inputs!$C$6)+5)^2)/(22^2))+18*SIN(2*PI()*(Scenario_Data!T156)/70))+Inputs!$C$28*EXP(-(((Scenario_Data!T156)-Inputs!$C$29)^2)/(2*Inputs!$C$31^2))*EXP(-(((Inputs!$C$6)-Inputs!$C$30)^2)/(2*Inputs!$C$32^2))+-Inputs!$C$33*EXP(-(((((Scenario_Data!T156)-Inputs!$C$34)^2)+(((Inputs!$C$6)-Inputs!$C$35)^2))/(2*Inputs!$C$36^2)))+Inputs!$C$37*(0.55*SIN(2*PI()*(Scenario_Data!T156)/Inputs!$C$39)+0.35*COS(2*PI()*(Inputs!$C$6)/Inputs!$C$40)+0.2*SIN(2*PI()*((Scenario_Data!T156)+(Inputs!$C$6))/(0.5*(Inputs!$C$39+Inputs!$C$40))))+Inputs!$C$38*SIN(2*PI()*(Scenario_Data!T156)/Inputs!$C$39)*SIN(2*PI()*(Inputs!$C$6)/Inputs!$C$40)+-Inputs!$C$41*EXP(-(((Inputs!$C$6)-Inputs!$C$43)^2)/(2*Inputs!$C$44^2))*EXP(-(((Scenario_Data!T156)-Inputs!$C$42)^2)/(2*Inputs!$C$45^2))+Inputs!$C$48*(0.7*(0.45*SIN(2*PI()*(((Scenario_Data!T156)/Inputs!$C$49)+Inputs!$C$47*0.137))+0.35*COS(2*PI()*(((Inputs!$C$6)/Inputs!$C$50)+Inputs!$C$47*0.173))+0.2*SIN(2*PI()*((((Scenario_Data!T156)+(Inputs!$C$6))/(0.5*(Inputs!$C$49+Inputs!$C$50)))+Inputs!$C$47*0.097)))+0.3*(2*((SIN(((Scenario_Data!T156)*12.9898+(Inputs!$C$6)*78.233+Inputs!$C$47*37.719))*43758.5453)-INT((SIN(((Scenario_Data!T156)*12.9898+(Inputs!$C$6)*78.233+Inputs!$C$47*37.719))*43758.5453)))-1))))/1000))^2-2*(Inputs!$C$52+(Scenario_Data!B156))*(Inputs!$C$52+((IF(OR(Inputs!$C$27=TRUE,Inputs!$C$27="TRUE",Inputs!$C$27=1),1,0)*(Inputs!$C$51*(115*EXP(-(((Inputs!$C$6)-25)^2)/(4.5^2))+70*EXP(-(((Inputs!$C$6)+38)^2)/(7^2))*(0.55+0.45*SIN(2*PI()*(Scenario_Data!T156)/45))+24*SIN(2*PI()*(Inputs!$C$6)/9+(Scenario_Data!T156)/18)*EXP(-(((Inputs!$C$6)+5)^2)/(22^2))+18*SIN(2*PI()*(Scenario_Data!T156)/70))+Inputs!$C$28*EXP(-(((Scenario_Data!T156)-Inputs!$C$29)^2)/(2*Inputs!$C$31^2))*EXP(-(((Inputs!$C$6)-Inputs!$C$30)^2)/(2*Inputs!$C$32^2))+-Inputs!$C$33*EXP(-(((((Scenario_Data!T156)-Inputs!$C$34)^2)+(((Inputs!$C$6)-Inputs!$C$35)^2))/(2*Inputs!$C$36^2)))+Inputs!$C$37*(0.55*SIN(2*PI()*(Scenario_Data!T156)/Inputs!$C$39)+0.35*COS(2*PI()*(Inputs!$C$6)/Inputs!$C$40)+0.2*SIN(2*PI()*((Scenario_Data!T156)+(Inputs!$C$6))/(0.5*(Inputs!$C$39+Inputs!$C$40))))+Inputs!$C$38*SIN(2*PI()*(Scenario_Data!T156)/Inputs!$C$39)*SIN(2*PI()*(Inputs!$C$6)/Inputs!$C$40)+-Inputs!$C$41*EXP(-(((Inputs!$C$6)-Inputs!$C$43)^2)/(2*Inputs!$C$44^2))*EXP(-(((Scenario_Data!T156)-Inputs!$C$42)^2)/(2*Inputs!$C$45^2))+Inputs!$C$48*(0.7*(0.45*SIN(2*PI()*(((Scenario_Data!T156)/Inputs!$C$49)+Inputs!$C$47*0.137))+0.35*COS(2*PI()*(((Inputs!$C$6)/Inputs!$C$50)+Inputs!$C$47*0.173))+0.2*SIN(2*PI()*((((Scenario_Data!T156)+(Inputs!$C$6))/(0.5*(Inputs!$C$49+Inputs!$C$50)))+Inputs!$C$47*0.097)))+0.3*(2*((SIN(((Scenario_Data!T156)*12.9898+(Inputs!$C$6)*78.233+Inputs!$C$47*37.719))*43758.5453)-INT((SIN(((Scenario_Data!T156)*12.9898+(Inputs!$C$6)*78.233+Inputs!$C$47*37.719))*43758.5453)))-1))))/1000))*COS(SQRT((Scenario_Data!T156)^2+Inputs!$C$6^2)/Inputs!$C$52))*1000)/Inputs!$C$21*1000000</f>
        <v/>
      </c>
      <c r="AR156">
        <f>Scenario_Data!U156</f>
        <v/>
      </c>
      <c r="AS156">
        <f>2*(SQRT((Inputs!$C$52+(Scenario_Data!C156))^2+(Inputs!$C$52+((IF(OR(Inputs!$C$27=TRUE,Inputs!$C$27="TRUE",Inputs!$C$27=1),1,0)*(Inputs!$C$51*(115*EXP(-(((Inputs!$C$6)-25)^2)/(4.5^2))+70*EXP(-(((Inputs!$C$6)+38)^2)/(7^2))*(0.55+0.45*SIN(2*PI()*(Scenario_Data!U156)/45))+24*SIN(2*PI()*(Inputs!$C$6)/9+(Scenario_Data!U156)/18)*EXP(-(((Inputs!$C$6)+5)^2)/(22^2))+18*SIN(2*PI()*(Scenario_Data!U156)/70))+Inputs!$C$28*EXP(-(((Scenario_Data!U156)-Inputs!$C$29)^2)/(2*Inputs!$C$31^2))*EXP(-(((Inputs!$C$6)-Inputs!$C$30)^2)/(2*Inputs!$C$32^2))+-Inputs!$C$33*EXP(-(((((Scenario_Data!U156)-Inputs!$C$34)^2)+(((Inputs!$C$6)-Inputs!$C$35)^2))/(2*Inputs!$C$36^2)))+Inputs!$C$37*(0.55*SIN(2*PI()*(Scenario_Data!U156)/Inputs!$C$39)+0.35*COS(2*PI()*(Inputs!$C$6)/Inputs!$C$40)+0.2*SIN(2*PI()*((Scenario_Data!U156)+(Inputs!$C$6))/(0.5*(Inputs!$C$39+Inputs!$C$40))))+Inputs!$C$38*SIN(2*PI()*(Scenario_Data!U156)/Inputs!$C$39)*SIN(2*PI()*(Inputs!$C$6)/Inputs!$C$40)+-Inputs!$C$41*EXP(-(((Inputs!$C$6)-Inputs!$C$43)^2)/(2*Inputs!$C$44^2))*EXP(-(((Scenario_Data!U156)-Inputs!$C$42)^2)/(2*Inputs!$C$45^2))+Inputs!$C$48*(0.7*(0.45*SIN(2*PI()*(((Scenario_Data!U156)/Inputs!$C$49)+Inputs!$C$47*0.137))+0.35*COS(2*PI()*(((Inputs!$C$6)/Inputs!$C$50)+Inputs!$C$47*0.173))+0.2*SIN(2*PI()*((((Scenario_Data!U156)+(Inputs!$C$6))/(0.5*(Inputs!$C$49+Inputs!$C$50)))+Inputs!$C$47*0.097)))+0.3*(2*((SIN(((Scenario_Data!U156)*12.9898+(Inputs!$C$6)*78.233+Inputs!$C$47*37.719))*43758.5453)-INT((SIN(((Scenario_Data!U156)*12.9898+(Inputs!$C$6)*78.233+Inputs!$C$47*37.719))*43758.5453)))-1))))/1000))^2-2*(Inputs!$C$52+(Scenario_Data!C156))*(Inputs!$C$52+((IF(OR(Inputs!$C$27=TRUE,Inputs!$C$27="TRUE",Inputs!$C$27=1),1,0)*(Inputs!$C$51*(115*EXP(-(((Inputs!$C$6)-25)^2)/(4.5^2))+70*EXP(-(((Inputs!$C$6)+38)^2)/(7^2))*(0.55+0.45*SIN(2*PI()*(Scenario_Data!U156)/45))+24*SIN(2*PI()*(Inputs!$C$6)/9+(Scenario_Data!U156)/18)*EXP(-(((Inputs!$C$6)+5)^2)/(22^2))+18*SIN(2*PI()*(Scenario_Data!U156)/70))+Inputs!$C$28*EXP(-(((Scenario_Data!U156)-Inputs!$C$29)^2)/(2*Inputs!$C$31^2))*EXP(-(((Inputs!$C$6)-Inputs!$C$30)^2)/(2*Inputs!$C$32^2))+-Inputs!$C$33*EXP(-(((((Scenario_Data!U156)-Inputs!$C$34)^2)+(((Inputs!$C$6)-Inputs!$C$35)^2))/(2*Inputs!$C$36^2)))+Inputs!$C$37*(0.55*SIN(2*PI()*(Scenario_Data!U156)/Inputs!$C$39)+0.35*COS(2*PI()*(Inputs!$C$6)/Inputs!$C$40)+0.2*SIN(2*PI()*((Scenario_Data!U156)+(Inputs!$C$6))/(0.5*(Inputs!$C$39+Inputs!$C$40))))+Inputs!$C$38*SIN(2*PI()*(Scenario_Data!U156)/Inputs!$C$39)*SIN(2*PI()*(Inputs!$C$6)/Inputs!$C$40)+-Inputs!$C$41*EXP(-(((Inputs!$C$6)-Inputs!$C$43)^2)/(2*Inputs!$C$44^2))*EXP(-(((Scenario_Data!U156)-Inputs!$C$42)^2)/(2*Inputs!$C$45^2))+Inputs!$C$48*(0.7*(0.45*SIN(2*PI()*(((Scenario_Data!U156)/Inputs!$C$49)+Inputs!$C$47*0.137))+0.35*COS(2*PI()*(((Inputs!$C$6)/Inputs!$C$50)+Inputs!$C$47*0.173))+0.2*SIN(2*PI()*((((Scenario_Data!U156)+(Inputs!$C$6))/(0.5*(Inputs!$C$49+Inputs!$C$50)))+Inputs!$C$47*0.097)))+0.3*(2*((SIN(((Scenario_Data!U156)*12.9898+(Inputs!$C$6)*78.233+Inputs!$C$47*37.719))*43758.5453)-INT((SIN(((Scenario_Data!U156)*12.9898+(Inputs!$C$6)*78.233+Inputs!$C$47*37.719))*43758.5453)))-1))))/1000))*COS(SQRT((Scenario_Data!U156)^2+Inputs!$C$6^2)/Inputs!$C$52))*1000)/Inputs!$C$21*1000000</f>
        <v/>
      </c>
      <c r="AT156">
        <f>Scenario_Data!V156</f>
        <v/>
      </c>
      <c r="AU156">
        <f>2*(SQRT((Inputs!$C$52+(Scenario_Data!D156))^2+(Inputs!$C$52+((IF(OR(Inputs!$C$27=TRUE,Inputs!$C$27="TRUE",Inputs!$C$27=1),1,0)*(Inputs!$C$51*(115*EXP(-(((Inputs!$C$6)-25)^2)/(4.5^2))+70*EXP(-(((Inputs!$C$6)+38)^2)/(7^2))*(0.55+0.45*SIN(2*PI()*(Scenario_Data!V156)/45))+24*SIN(2*PI()*(Inputs!$C$6)/9+(Scenario_Data!V156)/18)*EXP(-(((Inputs!$C$6)+5)^2)/(22^2))+18*SIN(2*PI()*(Scenario_Data!V156)/70))+Inputs!$C$28*EXP(-(((Scenario_Data!V156)-Inputs!$C$29)^2)/(2*Inputs!$C$31^2))*EXP(-(((Inputs!$C$6)-Inputs!$C$30)^2)/(2*Inputs!$C$32^2))+-Inputs!$C$33*EXP(-(((((Scenario_Data!V156)-Inputs!$C$34)^2)+(((Inputs!$C$6)-Inputs!$C$35)^2))/(2*Inputs!$C$36^2)))+Inputs!$C$37*(0.55*SIN(2*PI()*(Scenario_Data!V156)/Inputs!$C$39)+0.35*COS(2*PI()*(Inputs!$C$6)/Inputs!$C$40)+0.2*SIN(2*PI()*((Scenario_Data!V156)+(Inputs!$C$6))/(0.5*(Inputs!$C$39+Inputs!$C$40))))+Inputs!$C$38*SIN(2*PI()*(Scenario_Data!V156)/Inputs!$C$39)*SIN(2*PI()*(Inputs!$C$6)/Inputs!$C$40)+-Inputs!$C$41*EXP(-(((Inputs!$C$6)-Inputs!$C$43)^2)/(2*Inputs!$C$44^2))*EXP(-(((Scenario_Data!V156)-Inputs!$C$42)^2)/(2*Inputs!$C$45^2))+Inputs!$C$48*(0.7*(0.45*SIN(2*PI()*(((Scenario_Data!V156)/Inputs!$C$49)+Inputs!$C$47*0.137))+0.35*COS(2*PI()*(((Inputs!$C$6)/Inputs!$C$50)+Inputs!$C$47*0.173))+0.2*SIN(2*PI()*((((Scenario_Data!V156)+(Inputs!$C$6))/(0.5*(Inputs!$C$49+Inputs!$C$50)))+Inputs!$C$47*0.097)))+0.3*(2*((SIN(((Scenario_Data!V156)*12.9898+(Inputs!$C$6)*78.233+Inputs!$C$47*37.719))*43758.5453)-INT((SIN(((Scenario_Data!V156)*12.9898+(Inputs!$C$6)*78.233+Inputs!$C$47*37.719))*43758.5453)))-1))))/1000))^2-2*(Inputs!$C$52+(Scenario_Data!D156))*(Inputs!$C$52+((IF(OR(Inputs!$C$27=TRUE,Inputs!$C$27="TRUE",Inputs!$C$27=1),1,0)*(Inputs!$C$51*(115*EXP(-(((Inputs!$C$6)-25)^2)/(4.5^2))+70*EXP(-(((Inputs!$C$6)+38)^2)/(7^2))*(0.55+0.45*SIN(2*PI()*(Scenario_Data!V156)/45))+24*SIN(2*PI()*(Inputs!$C$6)/9+(Scenario_Data!V156)/18)*EXP(-(((Inputs!$C$6)+5)^2)/(22^2))+18*SIN(2*PI()*(Scenario_Data!V156)/70))+Inputs!$C$28*EXP(-(((Scenario_Data!V156)-Inputs!$C$29)^2)/(2*Inputs!$C$31^2))*EXP(-(((Inputs!$C$6)-Inputs!$C$30)^2)/(2*Inputs!$C$32^2))+-Inputs!$C$33*EXP(-(((((Scenario_Data!V156)-Inputs!$C$34)^2)+(((Inputs!$C$6)-Inputs!$C$35)^2))/(2*Inputs!$C$36^2)))+Inputs!$C$37*(0.55*SIN(2*PI()*(Scenario_Data!V156)/Inputs!$C$39)+0.35*COS(2*PI()*(Inputs!$C$6)/Inputs!$C$40)+0.2*SIN(2*PI()*((Scenario_Data!V156)+(Inputs!$C$6))/(0.5*(Inputs!$C$39+Inputs!$C$40))))+Inputs!$C$38*SIN(2*PI()*(Scenario_Data!V156)/Inputs!$C$39)*SIN(2*PI()*(Inputs!$C$6)/Inputs!$C$40)+-Inputs!$C$41*EXP(-(((Inputs!$C$6)-Inputs!$C$43)^2)/(2*Inputs!$C$44^2))*EXP(-(((Scenario_Data!V156)-Inputs!$C$42)^2)/(2*Inputs!$C$45^2))+Inputs!$C$48*(0.7*(0.45*SIN(2*PI()*(((Scenario_Data!V156)/Inputs!$C$49)+Inputs!$C$47*0.137))+0.35*COS(2*PI()*(((Inputs!$C$6)/Inputs!$C$50)+Inputs!$C$47*0.173))+0.2*SIN(2*PI()*((((Scenario_Data!V156)+(Inputs!$C$6))/(0.5*(Inputs!$C$49+Inputs!$C$50)))+Inputs!$C$47*0.097)))+0.3*(2*((SIN(((Scenario_Data!V156)*12.9898+(Inputs!$C$6)*78.233+Inputs!$C$47*37.719))*43758.5453)-INT((SIN(((Scenario_Data!V156)*12.9898+(Inputs!$C$6)*78.233+Inputs!$C$47*37.719))*43758.5453)))-1))))/1000))*COS(SQRT((Scenario_Data!V156)^2+Inputs!$C$6^2)/Inputs!$C$52))*1000)/Inputs!$C$21*1000000</f>
        <v/>
      </c>
      <c r="AV156">
        <f>Scenario_Data!W156</f>
        <v/>
      </c>
      <c r="AW156">
        <f>2*(SQRT((Inputs!$C$52+(Scenario_Data!E156))^2+(Inputs!$C$52+((IF(OR(Inputs!$C$27=TRUE,Inputs!$C$27="TRUE",Inputs!$C$27=1),1,0)*(Inputs!$C$51*(115*EXP(-(((Inputs!$C$6)-25)^2)/(4.5^2))+70*EXP(-(((Inputs!$C$6)+38)^2)/(7^2))*(0.55+0.45*SIN(2*PI()*(Scenario_Data!W156)/45))+24*SIN(2*PI()*(Inputs!$C$6)/9+(Scenario_Data!W156)/18)*EXP(-(((Inputs!$C$6)+5)^2)/(22^2))+18*SIN(2*PI()*(Scenario_Data!W156)/70))+Inputs!$C$28*EXP(-(((Scenario_Data!W156)-Inputs!$C$29)^2)/(2*Inputs!$C$31^2))*EXP(-(((Inputs!$C$6)-Inputs!$C$30)^2)/(2*Inputs!$C$32^2))+-Inputs!$C$33*EXP(-(((((Scenario_Data!W156)-Inputs!$C$34)^2)+(((Inputs!$C$6)-Inputs!$C$35)^2))/(2*Inputs!$C$36^2)))+Inputs!$C$37*(0.55*SIN(2*PI()*(Scenario_Data!W156)/Inputs!$C$39)+0.35*COS(2*PI()*(Inputs!$C$6)/Inputs!$C$40)+0.2*SIN(2*PI()*((Scenario_Data!W156)+(Inputs!$C$6))/(0.5*(Inputs!$C$39+Inputs!$C$40))))+Inputs!$C$38*SIN(2*PI()*(Scenario_Data!W156)/Inputs!$C$39)*SIN(2*PI()*(Inputs!$C$6)/Inputs!$C$40)+-Inputs!$C$41*EXP(-(((Inputs!$C$6)-Inputs!$C$43)^2)/(2*Inputs!$C$44^2))*EXP(-(((Scenario_Data!W156)-Inputs!$C$42)^2)/(2*Inputs!$C$45^2))+Inputs!$C$48*(0.7*(0.45*SIN(2*PI()*(((Scenario_Data!W156)/Inputs!$C$49)+Inputs!$C$47*0.137))+0.35*COS(2*PI()*(((Inputs!$C$6)/Inputs!$C$50)+Inputs!$C$47*0.173))+0.2*SIN(2*PI()*((((Scenario_Data!W156)+(Inputs!$C$6))/(0.5*(Inputs!$C$49+Inputs!$C$50)))+Inputs!$C$47*0.097)))+0.3*(2*((SIN(((Scenario_Data!W156)*12.9898+(Inputs!$C$6)*78.233+Inputs!$C$47*37.719))*43758.5453)-INT((SIN(((Scenario_Data!W156)*12.9898+(Inputs!$C$6)*78.233+Inputs!$C$47*37.719))*43758.5453)))-1))))/1000))^2-2*(Inputs!$C$52+(Scenario_Data!E156))*(Inputs!$C$52+((IF(OR(Inputs!$C$27=TRUE,Inputs!$C$27="TRUE",Inputs!$C$27=1),1,0)*(Inputs!$C$51*(115*EXP(-(((Inputs!$C$6)-25)^2)/(4.5^2))+70*EXP(-(((Inputs!$C$6)+38)^2)/(7^2))*(0.55+0.45*SIN(2*PI()*(Scenario_Data!W156)/45))+24*SIN(2*PI()*(Inputs!$C$6)/9+(Scenario_Data!W156)/18)*EXP(-(((Inputs!$C$6)+5)^2)/(22^2))+18*SIN(2*PI()*(Scenario_Data!W156)/70))+Inputs!$C$28*EXP(-(((Scenario_Data!W156)-Inputs!$C$29)^2)/(2*Inputs!$C$31^2))*EXP(-(((Inputs!$C$6)-Inputs!$C$30)^2)/(2*Inputs!$C$32^2))+-Inputs!$C$33*EXP(-(((((Scenario_Data!W156)-Inputs!$C$34)^2)+(((Inputs!$C$6)-Inputs!$C$35)^2))/(2*Inputs!$C$36^2)))+Inputs!$C$37*(0.55*SIN(2*PI()*(Scenario_Data!W156)/Inputs!$C$39)+0.35*COS(2*PI()*(Inputs!$C$6)/Inputs!$C$40)+0.2*SIN(2*PI()*((Scenario_Data!W156)+(Inputs!$C$6))/(0.5*(Inputs!$C$39+Inputs!$C$40))))+Inputs!$C$38*SIN(2*PI()*(Scenario_Data!W156)/Inputs!$C$39)*SIN(2*PI()*(Inputs!$C$6)/Inputs!$C$40)+-Inputs!$C$41*EXP(-(((Inputs!$C$6)-Inputs!$C$43)^2)/(2*Inputs!$C$44^2))*EXP(-(((Scenario_Data!W156)-Inputs!$C$42)^2)/(2*Inputs!$C$45^2))+Inputs!$C$48*(0.7*(0.45*SIN(2*PI()*(((Scenario_Data!W156)/Inputs!$C$49)+Inputs!$C$47*0.137))+0.35*COS(2*PI()*(((Inputs!$C$6)/Inputs!$C$50)+Inputs!$C$47*0.173))+0.2*SIN(2*PI()*((((Scenario_Data!W156)+(Inputs!$C$6))/(0.5*(Inputs!$C$49+Inputs!$C$50)))+Inputs!$C$47*0.097)))+0.3*(2*((SIN(((Scenario_Data!W156)*12.9898+(Inputs!$C$6)*78.233+Inputs!$C$47*37.719))*43758.5453)-INT((SIN(((Scenario_Data!W156)*12.9898+(Inputs!$C$6)*78.233+Inputs!$C$47*37.719))*43758.5453)))-1))))/1000))*COS(SQRT((Scenario_Data!W156)^2+Inputs!$C$6^2)/Inputs!$C$52))*1000)/Inputs!$C$21*1000000</f>
        <v/>
      </c>
    </row>
    <row r="157">
      <c r="A157">
        <f>Chart_Data!K157</f>
        <v/>
      </c>
      <c r="B157">
        <f>Chart_Data!N157-Chart_Data!L157</f>
        <v/>
      </c>
      <c r="D157">
        <f>Chart_Data!G157</f>
        <v/>
      </c>
      <c r="E157">
        <f>Chart_Data!H157</f>
        <v/>
      </c>
      <c r="F157">
        <f>Chart_Data!I157</f>
        <v/>
      </c>
      <c r="G157">
        <f>Chart_Data!J157</f>
        <v/>
      </c>
      <c r="I157">
        <f>Scenario_Data!A157</f>
        <v/>
      </c>
      <c r="J157">
        <f>Scenario_Data!H157-(((SQRT((Inputs!$C$52+(Inputs!$H$6))^2+Inputs!$C$52^2-2*(Inputs!$C$52+(Inputs!$H$6))*Inputs!$C$52*COS(SQRT((Scenario_Data!T157)^2+Inputs!$C$6^2)/Inputs!$C$52)))-(Inputs!$H$6))*1000/Inputs!$C$12)</f>
        <v/>
      </c>
      <c r="K157">
        <f>Scenario_Data!I157-(((SQRT((Inputs!$C$52+(Inputs!$H$7))^2+Inputs!$C$52^2-2*(Inputs!$C$52+(Inputs!$H$7))*Inputs!$C$52*COS(SQRT((Scenario_Data!U157)^2+Inputs!$C$6^2)/Inputs!$C$52)))-(Inputs!$H$7))*1000/Inputs!$C$12)</f>
        <v/>
      </c>
      <c r="L157">
        <f>Scenario_Data!J157-(((SQRT((Inputs!$C$52+(Inputs!$H$8))^2+Inputs!$C$52^2-2*(Inputs!$C$52+(Inputs!$H$8))*Inputs!$C$52*COS(SQRT((Scenario_Data!V157)^2+Inputs!$C$6^2)/Inputs!$C$52)))-(Inputs!$H$8))*1000/Inputs!$C$12)</f>
        <v/>
      </c>
      <c r="M157">
        <f>Scenario_Data!K157-(((SQRT((Inputs!$C$52+(Inputs!$H$9))^2+Inputs!$C$52^2-2*(Inputs!$C$52+(Inputs!$H$9))*Inputs!$C$52*COS(SQRT((Scenario_Data!W157)^2+Inputs!$C$6^2)/Inputs!$C$52)))-(Inputs!$H$9))*1000/Inputs!$C$12)</f>
        <v/>
      </c>
      <c r="O157">
        <f>Scenario_Data!T157</f>
        <v/>
      </c>
      <c r="P157">
        <f>2*(Scenario_Data!B157*1000)/Inputs!$C$21*1000000</f>
        <v/>
      </c>
      <c r="Q157">
        <f>Scenario_Data!U157</f>
        <v/>
      </c>
      <c r="R157">
        <f>2*(Scenario_Data!C157*1000)/Inputs!$C$21*1000000</f>
        <v/>
      </c>
      <c r="S157">
        <f>Scenario_Data!V157</f>
        <v/>
      </c>
      <c r="T157">
        <f>2*(Scenario_Data!D157*1000)/Inputs!$C$21*1000000</f>
        <v/>
      </c>
      <c r="U157">
        <f>Scenario_Data!W157</f>
        <v/>
      </c>
      <c r="V157">
        <f>2*(Scenario_Data!E157*1000)/Inputs!$C$21*1000000</f>
        <v/>
      </c>
      <c r="X157">
        <f>Scenario_Data!T157</f>
        <v/>
      </c>
      <c r="Y157">
        <f>2*((Scenario_Data!B157*1000)-(IF(OR(Inputs!$C$27=TRUE,Inputs!$C$27="TRUE",Inputs!$C$27=1),1,0)*(Inputs!$C$51*(115*EXP(-(((0)-25)^2)/(4.5^2))+70*EXP(-(((0)+38)^2)/(7^2))*(0.55+0.45*SIN(2*PI()*(Scenario_Data!T157)/45))+24*SIN(2*PI()*(0)/9+(Scenario_Data!T157)/18)*EXP(-(((0)+5)^2)/(22^2))+18*SIN(2*PI()*(Scenario_Data!T157)/70))+Inputs!$C$28*EXP(-(((Scenario_Data!T157)-Inputs!$C$29)^2)/(2*Inputs!$C$31^2))*EXP(-(((0)-Inputs!$C$30)^2)/(2*Inputs!$C$32^2))+-Inputs!$C$33*EXP(-(((((Scenario_Data!T157)-Inputs!$C$34)^2)+(((0)-Inputs!$C$35)^2))/(2*Inputs!$C$36^2)))+Inputs!$C$37*(0.55*SIN(2*PI()*(Scenario_Data!T157)/Inputs!$C$39)+0.35*COS(2*PI()*(0)/Inputs!$C$40)+0.2*SIN(2*PI()*((Scenario_Data!T157)+(0))/(0.5*(Inputs!$C$39+Inputs!$C$40))))+Inputs!$C$38*SIN(2*PI()*(Scenario_Data!T157)/Inputs!$C$39)*SIN(2*PI()*(0)/Inputs!$C$40)+-Inputs!$C$41*EXP(-(((0)-Inputs!$C$43)^2)/(2*Inputs!$C$44^2))*EXP(-(((Scenario_Data!T157)-Inputs!$C$42)^2)/(2*Inputs!$C$45^2))+Inputs!$C$48*(0.7*(0.45*SIN(2*PI()*(((Scenario_Data!T157)/Inputs!$C$49)+Inputs!$C$47*0.137))+0.35*COS(2*PI()*(((0)/Inputs!$C$50)+Inputs!$C$47*0.173))+0.2*SIN(2*PI()*((((Scenario_Data!T157)+(0))/(0.5*(Inputs!$C$49+Inputs!$C$50)))+Inputs!$C$47*0.097)))+0.3*(2*((SIN(((Scenario_Data!T157)*12.9898+(0)*78.233+Inputs!$C$47*37.719))*43758.5453)-INT((SIN(((Scenario_Data!T157)*12.9898+(0)*78.233+Inputs!$C$47*37.719))*43758.5453)))-1)))))/Inputs!$C$21*1000000</f>
        <v/>
      </c>
      <c r="Z157">
        <f>Scenario_Data!U157</f>
        <v/>
      </c>
      <c r="AA157">
        <f>2*((Scenario_Data!C157*1000)-(IF(OR(Inputs!$C$27=TRUE,Inputs!$C$27="TRUE",Inputs!$C$27=1),1,0)*(Inputs!$C$51*(115*EXP(-(((0)-25)^2)/(4.5^2))+70*EXP(-(((0)+38)^2)/(7^2))*(0.55+0.45*SIN(2*PI()*(Scenario_Data!U157)/45))+24*SIN(2*PI()*(0)/9+(Scenario_Data!U157)/18)*EXP(-(((0)+5)^2)/(22^2))+18*SIN(2*PI()*(Scenario_Data!U157)/70))+Inputs!$C$28*EXP(-(((Scenario_Data!U157)-Inputs!$C$29)^2)/(2*Inputs!$C$31^2))*EXP(-(((0)-Inputs!$C$30)^2)/(2*Inputs!$C$32^2))+-Inputs!$C$33*EXP(-(((((Scenario_Data!U157)-Inputs!$C$34)^2)+(((0)-Inputs!$C$35)^2))/(2*Inputs!$C$36^2)))+Inputs!$C$37*(0.55*SIN(2*PI()*(Scenario_Data!U157)/Inputs!$C$39)+0.35*COS(2*PI()*(0)/Inputs!$C$40)+0.2*SIN(2*PI()*((Scenario_Data!U157)+(0))/(0.5*(Inputs!$C$39+Inputs!$C$40))))+Inputs!$C$38*SIN(2*PI()*(Scenario_Data!U157)/Inputs!$C$39)*SIN(2*PI()*(0)/Inputs!$C$40)+-Inputs!$C$41*EXP(-(((0)-Inputs!$C$43)^2)/(2*Inputs!$C$44^2))*EXP(-(((Scenario_Data!U157)-Inputs!$C$42)^2)/(2*Inputs!$C$45^2))+Inputs!$C$48*(0.7*(0.45*SIN(2*PI()*(((Scenario_Data!U157)/Inputs!$C$49)+Inputs!$C$47*0.137))+0.35*COS(2*PI()*(((0)/Inputs!$C$50)+Inputs!$C$47*0.173))+0.2*SIN(2*PI()*((((Scenario_Data!U157)+(0))/(0.5*(Inputs!$C$49+Inputs!$C$50)))+Inputs!$C$47*0.097)))+0.3*(2*((SIN(((Scenario_Data!U157)*12.9898+(0)*78.233+Inputs!$C$47*37.719))*43758.5453)-INT((SIN(((Scenario_Data!U157)*12.9898+(0)*78.233+Inputs!$C$47*37.719))*43758.5453)))-1)))))/Inputs!$C$21*1000000</f>
        <v/>
      </c>
      <c r="AB157">
        <f>Scenario_Data!V157</f>
        <v/>
      </c>
      <c r="AC157">
        <f>2*((Scenario_Data!D157*1000)-(IF(OR(Inputs!$C$27=TRUE,Inputs!$C$27="TRUE",Inputs!$C$27=1),1,0)*(Inputs!$C$51*(115*EXP(-(((0)-25)^2)/(4.5^2))+70*EXP(-(((0)+38)^2)/(7^2))*(0.55+0.45*SIN(2*PI()*(Scenario_Data!V157)/45))+24*SIN(2*PI()*(0)/9+(Scenario_Data!V157)/18)*EXP(-(((0)+5)^2)/(22^2))+18*SIN(2*PI()*(Scenario_Data!V157)/70))+Inputs!$C$28*EXP(-(((Scenario_Data!V157)-Inputs!$C$29)^2)/(2*Inputs!$C$31^2))*EXP(-(((0)-Inputs!$C$30)^2)/(2*Inputs!$C$32^2))+-Inputs!$C$33*EXP(-(((((Scenario_Data!V157)-Inputs!$C$34)^2)+(((0)-Inputs!$C$35)^2))/(2*Inputs!$C$36^2)))+Inputs!$C$37*(0.55*SIN(2*PI()*(Scenario_Data!V157)/Inputs!$C$39)+0.35*COS(2*PI()*(0)/Inputs!$C$40)+0.2*SIN(2*PI()*((Scenario_Data!V157)+(0))/(0.5*(Inputs!$C$39+Inputs!$C$40))))+Inputs!$C$38*SIN(2*PI()*(Scenario_Data!V157)/Inputs!$C$39)*SIN(2*PI()*(0)/Inputs!$C$40)+-Inputs!$C$41*EXP(-(((0)-Inputs!$C$43)^2)/(2*Inputs!$C$44^2))*EXP(-(((Scenario_Data!V157)-Inputs!$C$42)^2)/(2*Inputs!$C$45^2))+Inputs!$C$48*(0.7*(0.45*SIN(2*PI()*(((Scenario_Data!V157)/Inputs!$C$49)+Inputs!$C$47*0.137))+0.35*COS(2*PI()*(((0)/Inputs!$C$50)+Inputs!$C$47*0.173))+0.2*SIN(2*PI()*((((Scenario_Data!V157)+(0))/(0.5*(Inputs!$C$49+Inputs!$C$50)))+Inputs!$C$47*0.097)))+0.3*(2*((SIN(((Scenario_Data!V157)*12.9898+(0)*78.233+Inputs!$C$47*37.719))*43758.5453)-INT((SIN(((Scenario_Data!V157)*12.9898+(0)*78.233+Inputs!$C$47*37.719))*43758.5453)))-1)))))/Inputs!$C$21*1000000</f>
        <v/>
      </c>
      <c r="AD157">
        <f>Scenario_Data!W157</f>
        <v/>
      </c>
      <c r="AE157">
        <f>2*((Scenario_Data!E157*1000)-(IF(OR(Inputs!$C$27=TRUE,Inputs!$C$27="TRUE",Inputs!$C$27=1),1,0)*(Inputs!$C$51*(115*EXP(-(((0)-25)^2)/(4.5^2))+70*EXP(-(((0)+38)^2)/(7^2))*(0.55+0.45*SIN(2*PI()*(Scenario_Data!W157)/45))+24*SIN(2*PI()*(0)/9+(Scenario_Data!W157)/18)*EXP(-(((0)+5)^2)/(22^2))+18*SIN(2*PI()*(Scenario_Data!W157)/70))+Inputs!$C$28*EXP(-(((Scenario_Data!W157)-Inputs!$C$29)^2)/(2*Inputs!$C$31^2))*EXP(-(((0)-Inputs!$C$30)^2)/(2*Inputs!$C$32^2))+-Inputs!$C$33*EXP(-(((((Scenario_Data!W157)-Inputs!$C$34)^2)+(((0)-Inputs!$C$35)^2))/(2*Inputs!$C$36^2)))+Inputs!$C$37*(0.55*SIN(2*PI()*(Scenario_Data!W157)/Inputs!$C$39)+0.35*COS(2*PI()*(0)/Inputs!$C$40)+0.2*SIN(2*PI()*((Scenario_Data!W157)+(0))/(0.5*(Inputs!$C$39+Inputs!$C$40))))+Inputs!$C$38*SIN(2*PI()*(Scenario_Data!W157)/Inputs!$C$39)*SIN(2*PI()*(0)/Inputs!$C$40)+-Inputs!$C$41*EXP(-(((0)-Inputs!$C$43)^2)/(2*Inputs!$C$44^2))*EXP(-(((Scenario_Data!W157)-Inputs!$C$42)^2)/(2*Inputs!$C$45^2))+Inputs!$C$48*(0.7*(0.45*SIN(2*PI()*(((Scenario_Data!W157)/Inputs!$C$49)+Inputs!$C$47*0.137))+0.35*COS(2*PI()*(((0)/Inputs!$C$50)+Inputs!$C$47*0.173))+0.2*SIN(2*PI()*((((Scenario_Data!W157)+(0))/(0.5*(Inputs!$C$49+Inputs!$C$50)))+Inputs!$C$47*0.097)))+0.3*(2*((SIN(((Scenario_Data!W157)*12.9898+(0)*78.233+Inputs!$C$47*37.719))*43758.5453)-INT((SIN(((Scenario_Data!W157)*12.9898+(0)*78.233+Inputs!$C$47*37.719))*43758.5453)))-1)))))/Inputs!$C$21*1000000</f>
        <v/>
      </c>
      <c r="AG157">
        <f>Scenario_Data!T157</f>
        <v/>
      </c>
      <c r="AH157">
        <f>2*(SQRT((Inputs!$C$52+(Scenario_Data!B157))^2+Inputs!$C$52^2-2*(Inputs!$C$52+(Scenario_Data!B157))*Inputs!$C$52*COS(SQRT((Scenario_Data!T157)^2+Inputs!$C$6^2)/Inputs!$C$52))*1000)/Inputs!$C$21*1000000</f>
        <v/>
      </c>
      <c r="AI157">
        <f>Scenario_Data!U157</f>
        <v/>
      </c>
      <c r="AJ157">
        <f>2*(SQRT((Inputs!$C$52+(Scenario_Data!C157))^2+Inputs!$C$52^2-2*(Inputs!$C$52+(Scenario_Data!C157))*Inputs!$C$52*COS(SQRT((Scenario_Data!U157)^2+Inputs!$C$6^2)/Inputs!$C$52))*1000)/Inputs!$C$21*1000000</f>
        <v/>
      </c>
      <c r="AK157">
        <f>Scenario_Data!V157</f>
        <v/>
      </c>
      <c r="AL157">
        <f>2*(SQRT((Inputs!$C$52+(Scenario_Data!D157))^2+Inputs!$C$52^2-2*(Inputs!$C$52+(Scenario_Data!D157))*Inputs!$C$52*COS(SQRT((Scenario_Data!V157)^2+Inputs!$C$6^2)/Inputs!$C$52))*1000)/Inputs!$C$21*1000000</f>
        <v/>
      </c>
      <c r="AM157">
        <f>Scenario_Data!W157</f>
        <v/>
      </c>
      <c r="AN157">
        <f>2*(SQRT((Inputs!$C$52+(Scenario_Data!E157))^2+Inputs!$C$52^2-2*(Inputs!$C$52+(Scenario_Data!E157))*Inputs!$C$52*COS(SQRT((Scenario_Data!W157)^2+Inputs!$C$6^2)/Inputs!$C$52))*1000)/Inputs!$C$21*1000000</f>
        <v/>
      </c>
      <c r="AP157">
        <f>Scenario_Data!T157</f>
        <v/>
      </c>
      <c r="AQ157">
        <f>2*(SQRT((Inputs!$C$52+(Scenario_Data!B157))^2+(Inputs!$C$52+((IF(OR(Inputs!$C$27=TRUE,Inputs!$C$27="TRUE",Inputs!$C$27=1),1,0)*(Inputs!$C$51*(115*EXP(-(((Inputs!$C$6)-25)^2)/(4.5^2))+70*EXP(-(((Inputs!$C$6)+38)^2)/(7^2))*(0.55+0.45*SIN(2*PI()*(Scenario_Data!T157)/45))+24*SIN(2*PI()*(Inputs!$C$6)/9+(Scenario_Data!T157)/18)*EXP(-(((Inputs!$C$6)+5)^2)/(22^2))+18*SIN(2*PI()*(Scenario_Data!T157)/70))+Inputs!$C$28*EXP(-(((Scenario_Data!T157)-Inputs!$C$29)^2)/(2*Inputs!$C$31^2))*EXP(-(((Inputs!$C$6)-Inputs!$C$30)^2)/(2*Inputs!$C$32^2))+-Inputs!$C$33*EXP(-(((((Scenario_Data!T157)-Inputs!$C$34)^2)+(((Inputs!$C$6)-Inputs!$C$35)^2))/(2*Inputs!$C$36^2)))+Inputs!$C$37*(0.55*SIN(2*PI()*(Scenario_Data!T157)/Inputs!$C$39)+0.35*COS(2*PI()*(Inputs!$C$6)/Inputs!$C$40)+0.2*SIN(2*PI()*((Scenario_Data!T157)+(Inputs!$C$6))/(0.5*(Inputs!$C$39+Inputs!$C$40))))+Inputs!$C$38*SIN(2*PI()*(Scenario_Data!T157)/Inputs!$C$39)*SIN(2*PI()*(Inputs!$C$6)/Inputs!$C$40)+-Inputs!$C$41*EXP(-(((Inputs!$C$6)-Inputs!$C$43)^2)/(2*Inputs!$C$44^2))*EXP(-(((Scenario_Data!T157)-Inputs!$C$42)^2)/(2*Inputs!$C$45^2))+Inputs!$C$48*(0.7*(0.45*SIN(2*PI()*(((Scenario_Data!T157)/Inputs!$C$49)+Inputs!$C$47*0.137))+0.35*COS(2*PI()*(((Inputs!$C$6)/Inputs!$C$50)+Inputs!$C$47*0.173))+0.2*SIN(2*PI()*((((Scenario_Data!T157)+(Inputs!$C$6))/(0.5*(Inputs!$C$49+Inputs!$C$50)))+Inputs!$C$47*0.097)))+0.3*(2*((SIN(((Scenario_Data!T157)*12.9898+(Inputs!$C$6)*78.233+Inputs!$C$47*37.719))*43758.5453)-INT((SIN(((Scenario_Data!T157)*12.9898+(Inputs!$C$6)*78.233+Inputs!$C$47*37.719))*43758.5453)))-1))))/1000))^2-2*(Inputs!$C$52+(Scenario_Data!B157))*(Inputs!$C$52+((IF(OR(Inputs!$C$27=TRUE,Inputs!$C$27="TRUE",Inputs!$C$27=1),1,0)*(Inputs!$C$51*(115*EXP(-(((Inputs!$C$6)-25)^2)/(4.5^2))+70*EXP(-(((Inputs!$C$6)+38)^2)/(7^2))*(0.55+0.45*SIN(2*PI()*(Scenario_Data!T157)/45))+24*SIN(2*PI()*(Inputs!$C$6)/9+(Scenario_Data!T157)/18)*EXP(-(((Inputs!$C$6)+5)^2)/(22^2))+18*SIN(2*PI()*(Scenario_Data!T157)/70))+Inputs!$C$28*EXP(-(((Scenario_Data!T157)-Inputs!$C$29)^2)/(2*Inputs!$C$31^2))*EXP(-(((Inputs!$C$6)-Inputs!$C$30)^2)/(2*Inputs!$C$32^2))+-Inputs!$C$33*EXP(-(((((Scenario_Data!T157)-Inputs!$C$34)^2)+(((Inputs!$C$6)-Inputs!$C$35)^2))/(2*Inputs!$C$36^2)))+Inputs!$C$37*(0.55*SIN(2*PI()*(Scenario_Data!T157)/Inputs!$C$39)+0.35*COS(2*PI()*(Inputs!$C$6)/Inputs!$C$40)+0.2*SIN(2*PI()*((Scenario_Data!T157)+(Inputs!$C$6))/(0.5*(Inputs!$C$39+Inputs!$C$40))))+Inputs!$C$38*SIN(2*PI()*(Scenario_Data!T157)/Inputs!$C$39)*SIN(2*PI()*(Inputs!$C$6)/Inputs!$C$40)+-Inputs!$C$41*EXP(-(((Inputs!$C$6)-Inputs!$C$43)^2)/(2*Inputs!$C$44^2))*EXP(-(((Scenario_Data!T157)-Inputs!$C$42)^2)/(2*Inputs!$C$45^2))+Inputs!$C$48*(0.7*(0.45*SIN(2*PI()*(((Scenario_Data!T157)/Inputs!$C$49)+Inputs!$C$47*0.137))+0.35*COS(2*PI()*(((Inputs!$C$6)/Inputs!$C$50)+Inputs!$C$47*0.173))+0.2*SIN(2*PI()*((((Scenario_Data!T157)+(Inputs!$C$6))/(0.5*(Inputs!$C$49+Inputs!$C$50)))+Inputs!$C$47*0.097)))+0.3*(2*((SIN(((Scenario_Data!T157)*12.9898+(Inputs!$C$6)*78.233+Inputs!$C$47*37.719))*43758.5453)-INT((SIN(((Scenario_Data!T157)*12.9898+(Inputs!$C$6)*78.233+Inputs!$C$47*37.719))*43758.5453)))-1))))/1000))*COS(SQRT((Scenario_Data!T157)^2+Inputs!$C$6^2)/Inputs!$C$52))*1000)/Inputs!$C$21*1000000</f>
        <v/>
      </c>
      <c r="AR157">
        <f>Scenario_Data!U157</f>
        <v/>
      </c>
      <c r="AS157">
        <f>2*(SQRT((Inputs!$C$52+(Scenario_Data!C157))^2+(Inputs!$C$52+((IF(OR(Inputs!$C$27=TRUE,Inputs!$C$27="TRUE",Inputs!$C$27=1),1,0)*(Inputs!$C$51*(115*EXP(-(((Inputs!$C$6)-25)^2)/(4.5^2))+70*EXP(-(((Inputs!$C$6)+38)^2)/(7^2))*(0.55+0.45*SIN(2*PI()*(Scenario_Data!U157)/45))+24*SIN(2*PI()*(Inputs!$C$6)/9+(Scenario_Data!U157)/18)*EXP(-(((Inputs!$C$6)+5)^2)/(22^2))+18*SIN(2*PI()*(Scenario_Data!U157)/70))+Inputs!$C$28*EXP(-(((Scenario_Data!U157)-Inputs!$C$29)^2)/(2*Inputs!$C$31^2))*EXP(-(((Inputs!$C$6)-Inputs!$C$30)^2)/(2*Inputs!$C$32^2))+-Inputs!$C$33*EXP(-(((((Scenario_Data!U157)-Inputs!$C$34)^2)+(((Inputs!$C$6)-Inputs!$C$35)^2))/(2*Inputs!$C$36^2)))+Inputs!$C$37*(0.55*SIN(2*PI()*(Scenario_Data!U157)/Inputs!$C$39)+0.35*COS(2*PI()*(Inputs!$C$6)/Inputs!$C$40)+0.2*SIN(2*PI()*((Scenario_Data!U157)+(Inputs!$C$6))/(0.5*(Inputs!$C$39+Inputs!$C$40))))+Inputs!$C$38*SIN(2*PI()*(Scenario_Data!U157)/Inputs!$C$39)*SIN(2*PI()*(Inputs!$C$6)/Inputs!$C$40)+-Inputs!$C$41*EXP(-(((Inputs!$C$6)-Inputs!$C$43)^2)/(2*Inputs!$C$44^2))*EXP(-(((Scenario_Data!U157)-Inputs!$C$42)^2)/(2*Inputs!$C$45^2))+Inputs!$C$48*(0.7*(0.45*SIN(2*PI()*(((Scenario_Data!U157)/Inputs!$C$49)+Inputs!$C$47*0.137))+0.35*COS(2*PI()*(((Inputs!$C$6)/Inputs!$C$50)+Inputs!$C$47*0.173))+0.2*SIN(2*PI()*((((Scenario_Data!U157)+(Inputs!$C$6))/(0.5*(Inputs!$C$49+Inputs!$C$50)))+Inputs!$C$47*0.097)))+0.3*(2*((SIN(((Scenario_Data!U157)*12.9898+(Inputs!$C$6)*78.233+Inputs!$C$47*37.719))*43758.5453)-INT((SIN(((Scenario_Data!U157)*12.9898+(Inputs!$C$6)*78.233+Inputs!$C$47*37.719))*43758.5453)))-1))))/1000))^2-2*(Inputs!$C$52+(Scenario_Data!C157))*(Inputs!$C$52+((IF(OR(Inputs!$C$27=TRUE,Inputs!$C$27="TRUE",Inputs!$C$27=1),1,0)*(Inputs!$C$51*(115*EXP(-(((Inputs!$C$6)-25)^2)/(4.5^2))+70*EXP(-(((Inputs!$C$6)+38)^2)/(7^2))*(0.55+0.45*SIN(2*PI()*(Scenario_Data!U157)/45))+24*SIN(2*PI()*(Inputs!$C$6)/9+(Scenario_Data!U157)/18)*EXP(-(((Inputs!$C$6)+5)^2)/(22^2))+18*SIN(2*PI()*(Scenario_Data!U157)/70))+Inputs!$C$28*EXP(-(((Scenario_Data!U157)-Inputs!$C$29)^2)/(2*Inputs!$C$31^2))*EXP(-(((Inputs!$C$6)-Inputs!$C$30)^2)/(2*Inputs!$C$32^2))+-Inputs!$C$33*EXP(-(((((Scenario_Data!U157)-Inputs!$C$34)^2)+(((Inputs!$C$6)-Inputs!$C$35)^2))/(2*Inputs!$C$36^2)))+Inputs!$C$37*(0.55*SIN(2*PI()*(Scenario_Data!U157)/Inputs!$C$39)+0.35*COS(2*PI()*(Inputs!$C$6)/Inputs!$C$40)+0.2*SIN(2*PI()*((Scenario_Data!U157)+(Inputs!$C$6))/(0.5*(Inputs!$C$39+Inputs!$C$40))))+Inputs!$C$38*SIN(2*PI()*(Scenario_Data!U157)/Inputs!$C$39)*SIN(2*PI()*(Inputs!$C$6)/Inputs!$C$40)+-Inputs!$C$41*EXP(-(((Inputs!$C$6)-Inputs!$C$43)^2)/(2*Inputs!$C$44^2))*EXP(-(((Scenario_Data!U157)-Inputs!$C$42)^2)/(2*Inputs!$C$45^2))+Inputs!$C$48*(0.7*(0.45*SIN(2*PI()*(((Scenario_Data!U157)/Inputs!$C$49)+Inputs!$C$47*0.137))+0.35*COS(2*PI()*(((Inputs!$C$6)/Inputs!$C$50)+Inputs!$C$47*0.173))+0.2*SIN(2*PI()*((((Scenario_Data!U157)+(Inputs!$C$6))/(0.5*(Inputs!$C$49+Inputs!$C$50)))+Inputs!$C$47*0.097)))+0.3*(2*((SIN(((Scenario_Data!U157)*12.9898+(Inputs!$C$6)*78.233+Inputs!$C$47*37.719))*43758.5453)-INT((SIN(((Scenario_Data!U157)*12.9898+(Inputs!$C$6)*78.233+Inputs!$C$47*37.719))*43758.5453)))-1))))/1000))*COS(SQRT((Scenario_Data!U157)^2+Inputs!$C$6^2)/Inputs!$C$52))*1000)/Inputs!$C$21*1000000</f>
        <v/>
      </c>
      <c r="AT157">
        <f>Scenario_Data!V157</f>
        <v/>
      </c>
      <c r="AU157">
        <f>2*(SQRT((Inputs!$C$52+(Scenario_Data!D157))^2+(Inputs!$C$52+((IF(OR(Inputs!$C$27=TRUE,Inputs!$C$27="TRUE",Inputs!$C$27=1),1,0)*(Inputs!$C$51*(115*EXP(-(((Inputs!$C$6)-25)^2)/(4.5^2))+70*EXP(-(((Inputs!$C$6)+38)^2)/(7^2))*(0.55+0.45*SIN(2*PI()*(Scenario_Data!V157)/45))+24*SIN(2*PI()*(Inputs!$C$6)/9+(Scenario_Data!V157)/18)*EXP(-(((Inputs!$C$6)+5)^2)/(22^2))+18*SIN(2*PI()*(Scenario_Data!V157)/70))+Inputs!$C$28*EXP(-(((Scenario_Data!V157)-Inputs!$C$29)^2)/(2*Inputs!$C$31^2))*EXP(-(((Inputs!$C$6)-Inputs!$C$30)^2)/(2*Inputs!$C$32^2))+-Inputs!$C$33*EXP(-(((((Scenario_Data!V157)-Inputs!$C$34)^2)+(((Inputs!$C$6)-Inputs!$C$35)^2))/(2*Inputs!$C$36^2)))+Inputs!$C$37*(0.55*SIN(2*PI()*(Scenario_Data!V157)/Inputs!$C$39)+0.35*COS(2*PI()*(Inputs!$C$6)/Inputs!$C$40)+0.2*SIN(2*PI()*((Scenario_Data!V157)+(Inputs!$C$6))/(0.5*(Inputs!$C$39+Inputs!$C$40))))+Inputs!$C$38*SIN(2*PI()*(Scenario_Data!V157)/Inputs!$C$39)*SIN(2*PI()*(Inputs!$C$6)/Inputs!$C$40)+-Inputs!$C$41*EXP(-(((Inputs!$C$6)-Inputs!$C$43)^2)/(2*Inputs!$C$44^2))*EXP(-(((Scenario_Data!V157)-Inputs!$C$42)^2)/(2*Inputs!$C$45^2))+Inputs!$C$48*(0.7*(0.45*SIN(2*PI()*(((Scenario_Data!V157)/Inputs!$C$49)+Inputs!$C$47*0.137))+0.35*COS(2*PI()*(((Inputs!$C$6)/Inputs!$C$50)+Inputs!$C$47*0.173))+0.2*SIN(2*PI()*((((Scenario_Data!V157)+(Inputs!$C$6))/(0.5*(Inputs!$C$49+Inputs!$C$50)))+Inputs!$C$47*0.097)))+0.3*(2*((SIN(((Scenario_Data!V157)*12.9898+(Inputs!$C$6)*78.233+Inputs!$C$47*37.719))*43758.5453)-INT((SIN(((Scenario_Data!V157)*12.9898+(Inputs!$C$6)*78.233+Inputs!$C$47*37.719))*43758.5453)))-1))))/1000))^2-2*(Inputs!$C$52+(Scenario_Data!D157))*(Inputs!$C$52+((IF(OR(Inputs!$C$27=TRUE,Inputs!$C$27="TRUE",Inputs!$C$27=1),1,0)*(Inputs!$C$51*(115*EXP(-(((Inputs!$C$6)-25)^2)/(4.5^2))+70*EXP(-(((Inputs!$C$6)+38)^2)/(7^2))*(0.55+0.45*SIN(2*PI()*(Scenario_Data!V157)/45))+24*SIN(2*PI()*(Inputs!$C$6)/9+(Scenario_Data!V157)/18)*EXP(-(((Inputs!$C$6)+5)^2)/(22^2))+18*SIN(2*PI()*(Scenario_Data!V157)/70))+Inputs!$C$28*EXP(-(((Scenario_Data!V157)-Inputs!$C$29)^2)/(2*Inputs!$C$31^2))*EXP(-(((Inputs!$C$6)-Inputs!$C$30)^2)/(2*Inputs!$C$32^2))+-Inputs!$C$33*EXP(-(((((Scenario_Data!V157)-Inputs!$C$34)^2)+(((Inputs!$C$6)-Inputs!$C$35)^2))/(2*Inputs!$C$36^2)))+Inputs!$C$37*(0.55*SIN(2*PI()*(Scenario_Data!V157)/Inputs!$C$39)+0.35*COS(2*PI()*(Inputs!$C$6)/Inputs!$C$40)+0.2*SIN(2*PI()*((Scenario_Data!V157)+(Inputs!$C$6))/(0.5*(Inputs!$C$39+Inputs!$C$40))))+Inputs!$C$38*SIN(2*PI()*(Scenario_Data!V157)/Inputs!$C$39)*SIN(2*PI()*(Inputs!$C$6)/Inputs!$C$40)+-Inputs!$C$41*EXP(-(((Inputs!$C$6)-Inputs!$C$43)^2)/(2*Inputs!$C$44^2))*EXP(-(((Scenario_Data!V157)-Inputs!$C$42)^2)/(2*Inputs!$C$45^2))+Inputs!$C$48*(0.7*(0.45*SIN(2*PI()*(((Scenario_Data!V157)/Inputs!$C$49)+Inputs!$C$47*0.137))+0.35*COS(2*PI()*(((Inputs!$C$6)/Inputs!$C$50)+Inputs!$C$47*0.173))+0.2*SIN(2*PI()*((((Scenario_Data!V157)+(Inputs!$C$6))/(0.5*(Inputs!$C$49+Inputs!$C$50)))+Inputs!$C$47*0.097)))+0.3*(2*((SIN(((Scenario_Data!V157)*12.9898+(Inputs!$C$6)*78.233+Inputs!$C$47*37.719))*43758.5453)-INT((SIN(((Scenario_Data!V157)*12.9898+(Inputs!$C$6)*78.233+Inputs!$C$47*37.719))*43758.5453)))-1))))/1000))*COS(SQRT((Scenario_Data!V157)^2+Inputs!$C$6^2)/Inputs!$C$52))*1000)/Inputs!$C$21*1000000</f>
        <v/>
      </c>
      <c r="AV157">
        <f>Scenario_Data!W157</f>
        <v/>
      </c>
      <c r="AW157">
        <f>2*(SQRT((Inputs!$C$52+(Scenario_Data!E157))^2+(Inputs!$C$52+((IF(OR(Inputs!$C$27=TRUE,Inputs!$C$27="TRUE",Inputs!$C$27=1),1,0)*(Inputs!$C$51*(115*EXP(-(((Inputs!$C$6)-25)^2)/(4.5^2))+70*EXP(-(((Inputs!$C$6)+38)^2)/(7^2))*(0.55+0.45*SIN(2*PI()*(Scenario_Data!W157)/45))+24*SIN(2*PI()*(Inputs!$C$6)/9+(Scenario_Data!W157)/18)*EXP(-(((Inputs!$C$6)+5)^2)/(22^2))+18*SIN(2*PI()*(Scenario_Data!W157)/70))+Inputs!$C$28*EXP(-(((Scenario_Data!W157)-Inputs!$C$29)^2)/(2*Inputs!$C$31^2))*EXP(-(((Inputs!$C$6)-Inputs!$C$30)^2)/(2*Inputs!$C$32^2))+-Inputs!$C$33*EXP(-(((((Scenario_Data!W157)-Inputs!$C$34)^2)+(((Inputs!$C$6)-Inputs!$C$35)^2))/(2*Inputs!$C$36^2)))+Inputs!$C$37*(0.55*SIN(2*PI()*(Scenario_Data!W157)/Inputs!$C$39)+0.35*COS(2*PI()*(Inputs!$C$6)/Inputs!$C$40)+0.2*SIN(2*PI()*((Scenario_Data!W157)+(Inputs!$C$6))/(0.5*(Inputs!$C$39+Inputs!$C$40))))+Inputs!$C$38*SIN(2*PI()*(Scenario_Data!W157)/Inputs!$C$39)*SIN(2*PI()*(Inputs!$C$6)/Inputs!$C$40)+-Inputs!$C$41*EXP(-(((Inputs!$C$6)-Inputs!$C$43)^2)/(2*Inputs!$C$44^2))*EXP(-(((Scenario_Data!W157)-Inputs!$C$42)^2)/(2*Inputs!$C$45^2))+Inputs!$C$48*(0.7*(0.45*SIN(2*PI()*(((Scenario_Data!W157)/Inputs!$C$49)+Inputs!$C$47*0.137))+0.35*COS(2*PI()*(((Inputs!$C$6)/Inputs!$C$50)+Inputs!$C$47*0.173))+0.2*SIN(2*PI()*((((Scenario_Data!W157)+(Inputs!$C$6))/(0.5*(Inputs!$C$49+Inputs!$C$50)))+Inputs!$C$47*0.097)))+0.3*(2*((SIN(((Scenario_Data!W157)*12.9898+(Inputs!$C$6)*78.233+Inputs!$C$47*37.719))*43758.5453)-INT((SIN(((Scenario_Data!W157)*12.9898+(Inputs!$C$6)*78.233+Inputs!$C$47*37.719))*43758.5453)))-1))))/1000))^2-2*(Inputs!$C$52+(Scenario_Data!E157))*(Inputs!$C$52+((IF(OR(Inputs!$C$27=TRUE,Inputs!$C$27="TRUE",Inputs!$C$27=1),1,0)*(Inputs!$C$51*(115*EXP(-(((Inputs!$C$6)-25)^2)/(4.5^2))+70*EXP(-(((Inputs!$C$6)+38)^2)/(7^2))*(0.55+0.45*SIN(2*PI()*(Scenario_Data!W157)/45))+24*SIN(2*PI()*(Inputs!$C$6)/9+(Scenario_Data!W157)/18)*EXP(-(((Inputs!$C$6)+5)^2)/(22^2))+18*SIN(2*PI()*(Scenario_Data!W157)/70))+Inputs!$C$28*EXP(-(((Scenario_Data!W157)-Inputs!$C$29)^2)/(2*Inputs!$C$31^2))*EXP(-(((Inputs!$C$6)-Inputs!$C$30)^2)/(2*Inputs!$C$32^2))+-Inputs!$C$33*EXP(-(((((Scenario_Data!W157)-Inputs!$C$34)^2)+(((Inputs!$C$6)-Inputs!$C$35)^2))/(2*Inputs!$C$36^2)))+Inputs!$C$37*(0.55*SIN(2*PI()*(Scenario_Data!W157)/Inputs!$C$39)+0.35*COS(2*PI()*(Inputs!$C$6)/Inputs!$C$40)+0.2*SIN(2*PI()*((Scenario_Data!W157)+(Inputs!$C$6))/(0.5*(Inputs!$C$39+Inputs!$C$40))))+Inputs!$C$38*SIN(2*PI()*(Scenario_Data!W157)/Inputs!$C$39)*SIN(2*PI()*(Inputs!$C$6)/Inputs!$C$40)+-Inputs!$C$41*EXP(-(((Inputs!$C$6)-Inputs!$C$43)^2)/(2*Inputs!$C$44^2))*EXP(-(((Scenario_Data!W157)-Inputs!$C$42)^2)/(2*Inputs!$C$45^2))+Inputs!$C$48*(0.7*(0.45*SIN(2*PI()*(((Scenario_Data!W157)/Inputs!$C$49)+Inputs!$C$47*0.137))+0.35*COS(2*PI()*(((Inputs!$C$6)/Inputs!$C$50)+Inputs!$C$47*0.173))+0.2*SIN(2*PI()*((((Scenario_Data!W157)+(Inputs!$C$6))/(0.5*(Inputs!$C$49+Inputs!$C$50)))+Inputs!$C$47*0.097)))+0.3*(2*((SIN(((Scenario_Data!W157)*12.9898+(Inputs!$C$6)*78.233+Inputs!$C$47*37.719))*43758.5453)-INT((SIN(((Scenario_Data!W157)*12.9898+(Inputs!$C$6)*78.233+Inputs!$C$47*37.719))*43758.5453)))-1))))/1000))*COS(SQRT((Scenario_Data!W157)^2+Inputs!$C$6^2)/Inputs!$C$52))*1000)/Inputs!$C$21*1000000</f>
        <v/>
      </c>
    </row>
    <row r="158">
      <c r="A158">
        <f>Chart_Data!K158</f>
        <v/>
      </c>
      <c r="B158">
        <f>Chart_Data!N158-Chart_Data!L158</f>
        <v/>
      </c>
      <c r="D158">
        <f>Chart_Data!G158</f>
        <v/>
      </c>
      <c r="E158">
        <f>Chart_Data!H158</f>
        <v/>
      </c>
      <c r="F158">
        <f>Chart_Data!I158</f>
        <v/>
      </c>
      <c r="G158">
        <f>Chart_Data!J158</f>
        <v/>
      </c>
      <c r="I158">
        <f>Scenario_Data!A158</f>
        <v/>
      </c>
      <c r="J158">
        <f>Scenario_Data!H158-(((SQRT((Inputs!$C$52+(Inputs!$H$6))^2+Inputs!$C$52^2-2*(Inputs!$C$52+(Inputs!$H$6))*Inputs!$C$52*COS(SQRT((Scenario_Data!T158)^2+Inputs!$C$6^2)/Inputs!$C$52)))-(Inputs!$H$6))*1000/Inputs!$C$12)</f>
        <v/>
      </c>
      <c r="K158">
        <f>Scenario_Data!I158-(((SQRT((Inputs!$C$52+(Inputs!$H$7))^2+Inputs!$C$52^2-2*(Inputs!$C$52+(Inputs!$H$7))*Inputs!$C$52*COS(SQRT((Scenario_Data!U158)^2+Inputs!$C$6^2)/Inputs!$C$52)))-(Inputs!$H$7))*1000/Inputs!$C$12)</f>
        <v/>
      </c>
      <c r="L158">
        <f>Scenario_Data!J158-(((SQRT((Inputs!$C$52+(Inputs!$H$8))^2+Inputs!$C$52^2-2*(Inputs!$C$52+(Inputs!$H$8))*Inputs!$C$52*COS(SQRT((Scenario_Data!V158)^2+Inputs!$C$6^2)/Inputs!$C$52)))-(Inputs!$H$8))*1000/Inputs!$C$12)</f>
        <v/>
      </c>
      <c r="M158">
        <f>Scenario_Data!K158-(((SQRT((Inputs!$C$52+(Inputs!$H$9))^2+Inputs!$C$52^2-2*(Inputs!$C$52+(Inputs!$H$9))*Inputs!$C$52*COS(SQRT((Scenario_Data!W158)^2+Inputs!$C$6^2)/Inputs!$C$52)))-(Inputs!$H$9))*1000/Inputs!$C$12)</f>
        <v/>
      </c>
      <c r="O158">
        <f>Scenario_Data!T158</f>
        <v/>
      </c>
      <c r="P158">
        <f>2*(Scenario_Data!B158*1000)/Inputs!$C$21*1000000</f>
        <v/>
      </c>
      <c r="Q158">
        <f>Scenario_Data!U158</f>
        <v/>
      </c>
      <c r="R158">
        <f>2*(Scenario_Data!C158*1000)/Inputs!$C$21*1000000</f>
        <v/>
      </c>
      <c r="S158">
        <f>Scenario_Data!V158</f>
        <v/>
      </c>
      <c r="T158">
        <f>2*(Scenario_Data!D158*1000)/Inputs!$C$21*1000000</f>
        <v/>
      </c>
      <c r="U158">
        <f>Scenario_Data!W158</f>
        <v/>
      </c>
      <c r="V158">
        <f>2*(Scenario_Data!E158*1000)/Inputs!$C$21*1000000</f>
        <v/>
      </c>
      <c r="X158">
        <f>Scenario_Data!T158</f>
        <v/>
      </c>
      <c r="Y158">
        <f>2*((Scenario_Data!B158*1000)-(IF(OR(Inputs!$C$27=TRUE,Inputs!$C$27="TRUE",Inputs!$C$27=1),1,0)*(Inputs!$C$51*(115*EXP(-(((0)-25)^2)/(4.5^2))+70*EXP(-(((0)+38)^2)/(7^2))*(0.55+0.45*SIN(2*PI()*(Scenario_Data!T158)/45))+24*SIN(2*PI()*(0)/9+(Scenario_Data!T158)/18)*EXP(-(((0)+5)^2)/(22^2))+18*SIN(2*PI()*(Scenario_Data!T158)/70))+Inputs!$C$28*EXP(-(((Scenario_Data!T158)-Inputs!$C$29)^2)/(2*Inputs!$C$31^2))*EXP(-(((0)-Inputs!$C$30)^2)/(2*Inputs!$C$32^2))+-Inputs!$C$33*EXP(-(((((Scenario_Data!T158)-Inputs!$C$34)^2)+(((0)-Inputs!$C$35)^2))/(2*Inputs!$C$36^2)))+Inputs!$C$37*(0.55*SIN(2*PI()*(Scenario_Data!T158)/Inputs!$C$39)+0.35*COS(2*PI()*(0)/Inputs!$C$40)+0.2*SIN(2*PI()*((Scenario_Data!T158)+(0))/(0.5*(Inputs!$C$39+Inputs!$C$40))))+Inputs!$C$38*SIN(2*PI()*(Scenario_Data!T158)/Inputs!$C$39)*SIN(2*PI()*(0)/Inputs!$C$40)+-Inputs!$C$41*EXP(-(((0)-Inputs!$C$43)^2)/(2*Inputs!$C$44^2))*EXP(-(((Scenario_Data!T158)-Inputs!$C$42)^2)/(2*Inputs!$C$45^2))+Inputs!$C$48*(0.7*(0.45*SIN(2*PI()*(((Scenario_Data!T158)/Inputs!$C$49)+Inputs!$C$47*0.137))+0.35*COS(2*PI()*(((0)/Inputs!$C$50)+Inputs!$C$47*0.173))+0.2*SIN(2*PI()*((((Scenario_Data!T158)+(0))/(0.5*(Inputs!$C$49+Inputs!$C$50)))+Inputs!$C$47*0.097)))+0.3*(2*((SIN(((Scenario_Data!T158)*12.9898+(0)*78.233+Inputs!$C$47*37.719))*43758.5453)-INT((SIN(((Scenario_Data!T158)*12.9898+(0)*78.233+Inputs!$C$47*37.719))*43758.5453)))-1)))))/Inputs!$C$21*1000000</f>
        <v/>
      </c>
      <c r="Z158">
        <f>Scenario_Data!U158</f>
        <v/>
      </c>
      <c r="AA158">
        <f>2*((Scenario_Data!C158*1000)-(IF(OR(Inputs!$C$27=TRUE,Inputs!$C$27="TRUE",Inputs!$C$27=1),1,0)*(Inputs!$C$51*(115*EXP(-(((0)-25)^2)/(4.5^2))+70*EXP(-(((0)+38)^2)/(7^2))*(0.55+0.45*SIN(2*PI()*(Scenario_Data!U158)/45))+24*SIN(2*PI()*(0)/9+(Scenario_Data!U158)/18)*EXP(-(((0)+5)^2)/(22^2))+18*SIN(2*PI()*(Scenario_Data!U158)/70))+Inputs!$C$28*EXP(-(((Scenario_Data!U158)-Inputs!$C$29)^2)/(2*Inputs!$C$31^2))*EXP(-(((0)-Inputs!$C$30)^2)/(2*Inputs!$C$32^2))+-Inputs!$C$33*EXP(-(((((Scenario_Data!U158)-Inputs!$C$34)^2)+(((0)-Inputs!$C$35)^2))/(2*Inputs!$C$36^2)))+Inputs!$C$37*(0.55*SIN(2*PI()*(Scenario_Data!U158)/Inputs!$C$39)+0.35*COS(2*PI()*(0)/Inputs!$C$40)+0.2*SIN(2*PI()*((Scenario_Data!U158)+(0))/(0.5*(Inputs!$C$39+Inputs!$C$40))))+Inputs!$C$38*SIN(2*PI()*(Scenario_Data!U158)/Inputs!$C$39)*SIN(2*PI()*(0)/Inputs!$C$40)+-Inputs!$C$41*EXP(-(((0)-Inputs!$C$43)^2)/(2*Inputs!$C$44^2))*EXP(-(((Scenario_Data!U158)-Inputs!$C$42)^2)/(2*Inputs!$C$45^2))+Inputs!$C$48*(0.7*(0.45*SIN(2*PI()*(((Scenario_Data!U158)/Inputs!$C$49)+Inputs!$C$47*0.137))+0.35*COS(2*PI()*(((0)/Inputs!$C$50)+Inputs!$C$47*0.173))+0.2*SIN(2*PI()*((((Scenario_Data!U158)+(0))/(0.5*(Inputs!$C$49+Inputs!$C$50)))+Inputs!$C$47*0.097)))+0.3*(2*((SIN(((Scenario_Data!U158)*12.9898+(0)*78.233+Inputs!$C$47*37.719))*43758.5453)-INT((SIN(((Scenario_Data!U158)*12.9898+(0)*78.233+Inputs!$C$47*37.719))*43758.5453)))-1)))))/Inputs!$C$21*1000000</f>
        <v/>
      </c>
      <c r="AB158">
        <f>Scenario_Data!V158</f>
        <v/>
      </c>
      <c r="AC158">
        <f>2*((Scenario_Data!D158*1000)-(IF(OR(Inputs!$C$27=TRUE,Inputs!$C$27="TRUE",Inputs!$C$27=1),1,0)*(Inputs!$C$51*(115*EXP(-(((0)-25)^2)/(4.5^2))+70*EXP(-(((0)+38)^2)/(7^2))*(0.55+0.45*SIN(2*PI()*(Scenario_Data!V158)/45))+24*SIN(2*PI()*(0)/9+(Scenario_Data!V158)/18)*EXP(-(((0)+5)^2)/(22^2))+18*SIN(2*PI()*(Scenario_Data!V158)/70))+Inputs!$C$28*EXP(-(((Scenario_Data!V158)-Inputs!$C$29)^2)/(2*Inputs!$C$31^2))*EXP(-(((0)-Inputs!$C$30)^2)/(2*Inputs!$C$32^2))+-Inputs!$C$33*EXP(-(((((Scenario_Data!V158)-Inputs!$C$34)^2)+(((0)-Inputs!$C$35)^2))/(2*Inputs!$C$36^2)))+Inputs!$C$37*(0.55*SIN(2*PI()*(Scenario_Data!V158)/Inputs!$C$39)+0.35*COS(2*PI()*(0)/Inputs!$C$40)+0.2*SIN(2*PI()*((Scenario_Data!V158)+(0))/(0.5*(Inputs!$C$39+Inputs!$C$40))))+Inputs!$C$38*SIN(2*PI()*(Scenario_Data!V158)/Inputs!$C$39)*SIN(2*PI()*(0)/Inputs!$C$40)+-Inputs!$C$41*EXP(-(((0)-Inputs!$C$43)^2)/(2*Inputs!$C$44^2))*EXP(-(((Scenario_Data!V158)-Inputs!$C$42)^2)/(2*Inputs!$C$45^2))+Inputs!$C$48*(0.7*(0.45*SIN(2*PI()*(((Scenario_Data!V158)/Inputs!$C$49)+Inputs!$C$47*0.137))+0.35*COS(2*PI()*(((0)/Inputs!$C$50)+Inputs!$C$47*0.173))+0.2*SIN(2*PI()*((((Scenario_Data!V158)+(0))/(0.5*(Inputs!$C$49+Inputs!$C$50)))+Inputs!$C$47*0.097)))+0.3*(2*((SIN(((Scenario_Data!V158)*12.9898+(0)*78.233+Inputs!$C$47*37.719))*43758.5453)-INT((SIN(((Scenario_Data!V158)*12.9898+(0)*78.233+Inputs!$C$47*37.719))*43758.5453)))-1)))))/Inputs!$C$21*1000000</f>
        <v/>
      </c>
      <c r="AD158">
        <f>Scenario_Data!W158</f>
        <v/>
      </c>
      <c r="AE158">
        <f>2*((Scenario_Data!E158*1000)-(IF(OR(Inputs!$C$27=TRUE,Inputs!$C$27="TRUE",Inputs!$C$27=1),1,0)*(Inputs!$C$51*(115*EXP(-(((0)-25)^2)/(4.5^2))+70*EXP(-(((0)+38)^2)/(7^2))*(0.55+0.45*SIN(2*PI()*(Scenario_Data!W158)/45))+24*SIN(2*PI()*(0)/9+(Scenario_Data!W158)/18)*EXP(-(((0)+5)^2)/(22^2))+18*SIN(2*PI()*(Scenario_Data!W158)/70))+Inputs!$C$28*EXP(-(((Scenario_Data!W158)-Inputs!$C$29)^2)/(2*Inputs!$C$31^2))*EXP(-(((0)-Inputs!$C$30)^2)/(2*Inputs!$C$32^2))+-Inputs!$C$33*EXP(-(((((Scenario_Data!W158)-Inputs!$C$34)^2)+(((0)-Inputs!$C$35)^2))/(2*Inputs!$C$36^2)))+Inputs!$C$37*(0.55*SIN(2*PI()*(Scenario_Data!W158)/Inputs!$C$39)+0.35*COS(2*PI()*(0)/Inputs!$C$40)+0.2*SIN(2*PI()*((Scenario_Data!W158)+(0))/(0.5*(Inputs!$C$39+Inputs!$C$40))))+Inputs!$C$38*SIN(2*PI()*(Scenario_Data!W158)/Inputs!$C$39)*SIN(2*PI()*(0)/Inputs!$C$40)+-Inputs!$C$41*EXP(-(((0)-Inputs!$C$43)^2)/(2*Inputs!$C$44^2))*EXP(-(((Scenario_Data!W158)-Inputs!$C$42)^2)/(2*Inputs!$C$45^2))+Inputs!$C$48*(0.7*(0.45*SIN(2*PI()*(((Scenario_Data!W158)/Inputs!$C$49)+Inputs!$C$47*0.137))+0.35*COS(2*PI()*(((0)/Inputs!$C$50)+Inputs!$C$47*0.173))+0.2*SIN(2*PI()*((((Scenario_Data!W158)+(0))/(0.5*(Inputs!$C$49+Inputs!$C$50)))+Inputs!$C$47*0.097)))+0.3*(2*((SIN(((Scenario_Data!W158)*12.9898+(0)*78.233+Inputs!$C$47*37.719))*43758.5453)-INT((SIN(((Scenario_Data!W158)*12.9898+(0)*78.233+Inputs!$C$47*37.719))*43758.5453)))-1)))))/Inputs!$C$21*1000000</f>
        <v/>
      </c>
      <c r="AG158">
        <f>Scenario_Data!T158</f>
        <v/>
      </c>
      <c r="AH158">
        <f>2*(SQRT((Inputs!$C$52+(Scenario_Data!B158))^2+Inputs!$C$52^2-2*(Inputs!$C$52+(Scenario_Data!B158))*Inputs!$C$52*COS(SQRT((Scenario_Data!T158)^2+Inputs!$C$6^2)/Inputs!$C$52))*1000)/Inputs!$C$21*1000000</f>
        <v/>
      </c>
      <c r="AI158">
        <f>Scenario_Data!U158</f>
        <v/>
      </c>
      <c r="AJ158">
        <f>2*(SQRT((Inputs!$C$52+(Scenario_Data!C158))^2+Inputs!$C$52^2-2*(Inputs!$C$52+(Scenario_Data!C158))*Inputs!$C$52*COS(SQRT((Scenario_Data!U158)^2+Inputs!$C$6^2)/Inputs!$C$52))*1000)/Inputs!$C$21*1000000</f>
        <v/>
      </c>
      <c r="AK158">
        <f>Scenario_Data!V158</f>
        <v/>
      </c>
      <c r="AL158">
        <f>2*(SQRT((Inputs!$C$52+(Scenario_Data!D158))^2+Inputs!$C$52^2-2*(Inputs!$C$52+(Scenario_Data!D158))*Inputs!$C$52*COS(SQRT((Scenario_Data!V158)^2+Inputs!$C$6^2)/Inputs!$C$52))*1000)/Inputs!$C$21*1000000</f>
        <v/>
      </c>
      <c r="AM158">
        <f>Scenario_Data!W158</f>
        <v/>
      </c>
      <c r="AN158">
        <f>2*(SQRT((Inputs!$C$52+(Scenario_Data!E158))^2+Inputs!$C$52^2-2*(Inputs!$C$52+(Scenario_Data!E158))*Inputs!$C$52*COS(SQRT((Scenario_Data!W158)^2+Inputs!$C$6^2)/Inputs!$C$52))*1000)/Inputs!$C$21*1000000</f>
        <v/>
      </c>
      <c r="AP158">
        <f>Scenario_Data!T158</f>
        <v/>
      </c>
      <c r="AQ158">
        <f>2*(SQRT((Inputs!$C$52+(Scenario_Data!B158))^2+(Inputs!$C$52+((IF(OR(Inputs!$C$27=TRUE,Inputs!$C$27="TRUE",Inputs!$C$27=1),1,0)*(Inputs!$C$51*(115*EXP(-(((Inputs!$C$6)-25)^2)/(4.5^2))+70*EXP(-(((Inputs!$C$6)+38)^2)/(7^2))*(0.55+0.45*SIN(2*PI()*(Scenario_Data!T158)/45))+24*SIN(2*PI()*(Inputs!$C$6)/9+(Scenario_Data!T158)/18)*EXP(-(((Inputs!$C$6)+5)^2)/(22^2))+18*SIN(2*PI()*(Scenario_Data!T158)/70))+Inputs!$C$28*EXP(-(((Scenario_Data!T158)-Inputs!$C$29)^2)/(2*Inputs!$C$31^2))*EXP(-(((Inputs!$C$6)-Inputs!$C$30)^2)/(2*Inputs!$C$32^2))+-Inputs!$C$33*EXP(-(((((Scenario_Data!T158)-Inputs!$C$34)^2)+(((Inputs!$C$6)-Inputs!$C$35)^2))/(2*Inputs!$C$36^2)))+Inputs!$C$37*(0.55*SIN(2*PI()*(Scenario_Data!T158)/Inputs!$C$39)+0.35*COS(2*PI()*(Inputs!$C$6)/Inputs!$C$40)+0.2*SIN(2*PI()*((Scenario_Data!T158)+(Inputs!$C$6))/(0.5*(Inputs!$C$39+Inputs!$C$40))))+Inputs!$C$38*SIN(2*PI()*(Scenario_Data!T158)/Inputs!$C$39)*SIN(2*PI()*(Inputs!$C$6)/Inputs!$C$40)+-Inputs!$C$41*EXP(-(((Inputs!$C$6)-Inputs!$C$43)^2)/(2*Inputs!$C$44^2))*EXP(-(((Scenario_Data!T158)-Inputs!$C$42)^2)/(2*Inputs!$C$45^2))+Inputs!$C$48*(0.7*(0.45*SIN(2*PI()*(((Scenario_Data!T158)/Inputs!$C$49)+Inputs!$C$47*0.137))+0.35*COS(2*PI()*(((Inputs!$C$6)/Inputs!$C$50)+Inputs!$C$47*0.173))+0.2*SIN(2*PI()*((((Scenario_Data!T158)+(Inputs!$C$6))/(0.5*(Inputs!$C$49+Inputs!$C$50)))+Inputs!$C$47*0.097)))+0.3*(2*((SIN(((Scenario_Data!T158)*12.9898+(Inputs!$C$6)*78.233+Inputs!$C$47*37.719))*43758.5453)-INT((SIN(((Scenario_Data!T158)*12.9898+(Inputs!$C$6)*78.233+Inputs!$C$47*37.719))*43758.5453)))-1))))/1000))^2-2*(Inputs!$C$52+(Scenario_Data!B158))*(Inputs!$C$52+((IF(OR(Inputs!$C$27=TRUE,Inputs!$C$27="TRUE",Inputs!$C$27=1),1,0)*(Inputs!$C$51*(115*EXP(-(((Inputs!$C$6)-25)^2)/(4.5^2))+70*EXP(-(((Inputs!$C$6)+38)^2)/(7^2))*(0.55+0.45*SIN(2*PI()*(Scenario_Data!T158)/45))+24*SIN(2*PI()*(Inputs!$C$6)/9+(Scenario_Data!T158)/18)*EXP(-(((Inputs!$C$6)+5)^2)/(22^2))+18*SIN(2*PI()*(Scenario_Data!T158)/70))+Inputs!$C$28*EXP(-(((Scenario_Data!T158)-Inputs!$C$29)^2)/(2*Inputs!$C$31^2))*EXP(-(((Inputs!$C$6)-Inputs!$C$30)^2)/(2*Inputs!$C$32^2))+-Inputs!$C$33*EXP(-(((((Scenario_Data!T158)-Inputs!$C$34)^2)+(((Inputs!$C$6)-Inputs!$C$35)^2))/(2*Inputs!$C$36^2)))+Inputs!$C$37*(0.55*SIN(2*PI()*(Scenario_Data!T158)/Inputs!$C$39)+0.35*COS(2*PI()*(Inputs!$C$6)/Inputs!$C$40)+0.2*SIN(2*PI()*((Scenario_Data!T158)+(Inputs!$C$6))/(0.5*(Inputs!$C$39+Inputs!$C$40))))+Inputs!$C$38*SIN(2*PI()*(Scenario_Data!T158)/Inputs!$C$39)*SIN(2*PI()*(Inputs!$C$6)/Inputs!$C$40)+-Inputs!$C$41*EXP(-(((Inputs!$C$6)-Inputs!$C$43)^2)/(2*Inputs!$C$44^2))*EXP(-(((Scenario_Data!T158)-Inputs!$C$42)^2)/(2*Inputs!$C$45^2))+Inputs!$C$48*(0.7*(0.45*SIN(2*PI()*(((Scenario_Data!T158)/Inputs!$C$49)+Inputs!$C$47*0.137))+0.35*COS(2*PI()*(((Inputs!$C$6)/Inputs!$C$50)+Inputs!$C$47*0.173))+0.2*SIN(2*PI()*((((Scenario_Data!T158)+(Inputs!$C$6))/(0.5*(Inputs!$C$49+Inputs!$C$50)))+Inputs!$C$47*0.097)))+0.3*(2*((SIN(((Scenario_Data!T158)*12.9898+(Inputs!$C$6)*78.233+Inputs!$C$47*37.719))*43758.5453)-INT((SIN(((Scenario_Data!T158)*12.9898+(Inputs!$C$6)*78.233+Inputs!$C$47*37.719))*43758.5453)))-1))))/1000))*COS(SQRT((Scenario_Data!T158)^2+Inputs!$C$6^2)/Inputs!$C$52))*1000)/Inputs!$C$21*1000000</f>
        <v/>
      </c>
      <c r="AR158">
        <f>Scenario_Data!U158</f>
        <v/>
      </c>
      <c r="AS158">
        <f>2*(SQRT((Inputs!$C$52+(Scenario_Data!C158))^2+(Inputs!$C$52+((IF(OR(Inputs!$C$27=TRUE,Inputs!$C$27="TRUE",Inputs!$C$27=1),1,0)*(Inputs!$C$51*(115*EXP(-(((Inputs!$C$6)-25)^2)/(4.5^2))+70*EXP(-(((Inputs!$C$6)+38)^2)/(7^2))*(0.55+0.45*SIN(2*PI()*(Scenario_Data!U158)/45))+24*SIN(2*PI()*(Inputs!$C$6)/9+(Scenario_Data!U158)/18)*EXP(-(((Inputs!$C$6)+5)^2)/(22^2))+18*SIN(2*PI()*(Scenario_Data!U158)/70))+Inputs!$C$28*EXP(-(((Scenario_Data!U158)-Inputs!$C$29)^2)/(2*Inputs!$C$31^2))*EXP(-(((Inputs!$C$6)-Inputs!$C$30)^2)/(2*Inputs!$C$32^2))+-Inputs!$C$33*EXP(-(((((Scenario_Data!U158)-Inputs!$C$34)^2)+(((Inputs!$C$6)-Inputs!$C$35)^2))/(2*Inputs!$C$36^2)))+Inputs!$C$37*(0.55*SIN(2*PI()*(Scenario_Data!U158)/Inputs!$C$39)+0.35*COS(2*PI()*(Inputs!$C$6)/Inputs!$C$40)+0.2*SIN(2*PI()*((Scenario_Data!U158)+(Inputs!$C$6))/(0.5*(Inputs!$C$39+Inputs!$C$40))))+Inputs!$C$38*SIN(2*PI()*(Scenario_Data!U158)/Inputs!$C$39)*SIN(2*PI()*(Inputs!$C$6)/Inputs!$C$40)+-Inputs!$C$41*EXP(-(((Inputs!$C$6)-Inputs!$C$43)^2)/(2*Inputs!$C$44^2))*EXP(-(((Scenario_Data!U158)-Inputs!$C$42)^2)/(2*Inputs!$C$45^2))+Inputs!$C$48*(0.7*(0.45*SIN(2*PI()*(((Scenario_Data!U158)/Inputs!$C$49)+Inputs!$C$47*0.137))+0.35*COS(2*PI()*(((Inputs!$C$6)/Inputs!$C$50)+Inputs!$C$47*0.173))+0.2*SIN(2*PI()*((((Scenario_Data!U158)+(Inputs!$C$6))/(0.5*(Inputs!$C$49+Inputs!$C$50)))+Inputs!$C$47*0.097)))+0.3*(2*((SIN(((Scenario_Data!U158)*12.9898+(Inputs!$C$6)*78.233+Inputs!$C$47*37.719))*43758.5453)-INT((SIN(((Scenario_Data!U158)*12.9898+(Inputs!$C$6)*78.233+Inputs!$C$47*37.719))*43758.5453)))-1))))/1000))^2-2*(Inputs!$C$52+(Scenario_Data!C158))*(Inputs!$C$52+((IF(OR(Inputs!$C$27=TRUE,Inputs!$C$27="TRUE",Inputs!$C$27=1),1,0)*(Inputs!$C$51*(115*EXP(-(((Inputs!$C$6)-25)^2)/(4.5^2))+70*EXP(-(((Inputs!$C$6)+38)^2)/(7^2))*(0.55+0.45*SIN(2*PI()*(Scenario_Data!U158)/45))+24*SIN(2*PI()*(Inputs!$C$6)/9+(Scenario_Data!U158)/18)*EXP(-(((Inputs!$C$6)+5)^2)/(22^2))+18*SIN(2*PI()*(Scenario_Data!U158)/70))+Inputs!$C$28*EXP(-(((Scenario_Data!U158)-Inputs!$C$29)^2)/(2*Inputs!$C$31^2))*EXP(-(((Inputs!$C$6)-Inputs!$C$30)^2)/(2*Inputs!$C$32^2))+-Inputs!$C$33*EXP(-(((((Scenario_Data!U158)-Inputs!$C$34)^2)+(((Inputs!$C$6)-Inputs!$C$35)^2))/(2*Inputs!$C$36^2)))+Inputs!$C$37*(0.55*SIN(2*PI()*(Scenario_Data!U158)/Inputs!$C$39)+0.35*COS(2*PI()*(Inputs!$C$6)/Inputs!$C$40)+0.2*SIN(2*PI()*((Scenario_Data!U158)+(Inputs!$C$6))/(0.5*(Inputs!$C$39+Inputs!$C$40))))+Inputs!$C$38*SIN(2*PI()*(Scenario_Data!U158)/Inputs!$C$39)*SIN(2*PI()*(Inputs!$C$6)/Inputs!$C$40)+-Inputs!$C$41*EXP(-(((Inputs!$C$6)-Inputs!$C$43)^2)/(2*Inputs!$C$44^2))*EXP(-(((Scenario_Data!U158)-Inputs!$C$42)^2)/(2*Inputs!$C$45^2))+Inputs!$C$48*(0.7*(0.45*SIN(2*PI()*(((Scenario_Data!U158)/Inputs!$C$49)+Inputs!$C$47*0.137))+0.35*COS(2*PI()*(((Inputs!$C$6)/Inputs!$C$50)+Inputs!$C$47*0.173))+0.2*SIN(2*PI()*((((Scenario_Data!U158)+(Inputs!$C$6))/(0.5*(Inputs!$C$49+Inputs!$C$50)))+Inputs!$C$47*0.097)))+0.3*(2*((SIN(((Scenario_Data!U158)*12.9898+(Inputs!$C$6)*78.233+Inputs!$C$47*37.719))*43758.5453)-INT((SIN(((Scenario_Data!U158)*12.9898+(Inputs!$C$6)*78.233+Inputs!$C$47*37.719))*43758.5453)))-1))))/1000))*COS(SQRT((Scenario_Data!U158)^2+Inputs!$C$6^2)/Inputs!$C$52))*1000)/Inputs!$C$21*1000000</f>
        <v/>
      </c>
      <c r="AT158">
        <f>Scenario_Data!V158</f>
        <v/>
      </c>
      <c r="AU158">
        <f>2*(SQRT((Inputs!$C$52+(Scenario_Data!D158))^2+(Inputs!$C$52+((IF(OR(Inputs!$C$27=TRUE,Inputs!$C$27="TRUE",Inputs!$C$27=1),1,0)*(Inputs!$C$51*(115*EXP(-(((Inputs!$C$6)-25)^2)/(4.5^2))+70*EXP(-(((Inputs!$C$6)+38)^2)/(7^2))*(0.55+0.45*SIN(2*PI()*(Scenario_Data!V158)/45))+24*SIN(2*PI()*(Inputs!$C$6)/9+(Scenario_Data!V158)/18)*EXP(-(((Inputs!$C$6)+5)^2)/(22^2))+18*SIN(2*PI()*(Scenario_Data!V158)/70))+Inputs!$C$28*EXP(-(((Scenario_Data!V158)-Inputs!$C$29)^2)/(2*Inputs!$C$31^2))*EXP(-(((Inputs!$C$6)-Inputs!$C$30)^2)/(2*Inputs!$C$32^2))+-Inputs!$C$33*EXP(-(((((Scenario_Data!V158)-Inputs!$C$34)^2)+(((Inputs!$C$6)-Inputs!$C$35)^2))/(2*Inputs!$C$36^2)))+Inputs!$C$37*(0.55*SIN(2*PI()*(Scenario_Data!V158)/Inputs!$C$39)+0.35*COS(2*PI()*(Inputs!$C$6)/Inputs!$C$40)+0.2*SIN(2*PI()*((Scenario_Data!V158)+(Inputs!$C$6))/(0.5*(Inputs!$C$39+Inputs!$C$40))))+Inputs!$C$38*SIN(2*PI()*(Scenario_Data!V158)/Inputs!$C$39)*SIN(2*PI()*(Inputs!$C$6)/Inputs!$C$40)+-Inputs!$C$41*EXP(-(((Inputs!$C$6)-Inputs!$C$43)^2)/(2*Inputs!$C$44^2))*EXP(-(((Scenario_Data!V158)-Inputs!$C$42)^2)/(2*Inputs!$C$45^2))+Inputs!$C$48*(0.7*(0.45*SIN(2*PI()*(((Scenario_Data!V158)/Inputs!$C$49)+Inputs!$C$47*0.137))+0.35*COS(2*PI()*(((Inputs!$C$6)/Inputs!$C$50)+Inputs!$C$47*0.173))+0.2*SIN(2*PI()*((((Scenario_Data!V158)+(Inputs!$C$6))/(0.5*(Inputs!$C$49+Inputs!$C$50)))+Inputs!$C$47*0.097)))+0.3*(2*((SIN(((Scenario_Data!V158)*12.9898+(Inputs!$C$6)*78.233+Inputs!$C$47*37.719))*43758.5453)-INT((SIN(((Scenario_Data!V158)*12.9898+(Inputs!$C$6)*78.233+Inputs!$C$47*37.719))*43758.5453)))-1))))/1000))^2-2*(Inputs!$C$52+(Scenario_Data!D158))*(Inputs!$C$52+((IF(OR(Inputs!$C$27=TRUE,Inputs!$C$27="TRUE",Inputs!$C$27=1),1,0)*(Inputs!$C$51*(115*EXP(-(((Inputs!$C$6)-25)^2)/(4.5^2))+70*EXP(-(((Inputs!$C$6)+38)^2)/(7^2))*(0.55+0.45*SIN(2*PI()*(Scenario_Data!V158)/45))+24*SIN(2*PI()*(Inputs!$C$6)/9+(Scenario_Data!V158)/18)*EXP(-(((Inputs!$C$6)+5)^2)/(22^2))+18*SIN(2*PI()*(Scenario_Data!V158)/70))+Inputs!$C$28*EXP(-(((Scenario_Data!V158)-Inputs!$C$29)^2)/(2*Inputs!$C$31^2))*EXP(-(((Inputs!$C$6)-Inputs!$C$30)^2)/(2*Inputs!$C$32^2))+-Inputs!$C$33*EXP(-(((((Scenario_Data!V158)-Inputs!$C$34)^2)+(((Inputs!$C$6)-Inputs!$C$35)^2))/(2*Inputs!$C$36^2)))+Inputs!$C$37*(0.55*SIN(2*PI()*(Scenario_Data!V158)/Inputs!$C$39)+0.35*COS(2*PI()*(Inputs!$C$6)/Inputs!$C$40)+0.2*SIN(2*PI()*((Scenario_Data!V158)+(Inputs!$C$6))/(0.5*(Inputs!$C$39+Inputs!$C$40))))+Inputs!$C$38*SIN(2*PI()*(Scenario_Data!V158)/Inputs!$C$39)*SIN(2*PI()*(Inputs!$C$6)/Inputs!$C$40)+-Inputs!$C$41*EXP(-(((Inputs!$C$6)-Inputs!$C$43)^2)/(2*Inputs!$C$44^2))*EXP(-(((Scenario_Data!V158)-Inputs!$C$42)^2)/(2*Inputs!$C$45^2))+Inputs!$C$48*(0.7*(0.45*SIN(2*PI()*(((Scenario_Data!V158)/Inputs!$C$49)+Inputs!$C$47*0.137))+0.35*COS(2*PI()*(((Inputs!$C$6)/Inputs!$C$50)+Inputs!$C$47*0.173))+0.2*SIN(2*PI()*((((Scenario_Data!V158)+(Inputs!$C$6))/(0.5*(Inputs!$C$49+Inputs!$C$50)))+Inputs!$C$47*0.097)))+0.3*(2*((SIN(((Scenario_Data!V158)*12.9898+(Inputs!$C$6)*78.233+Inputs!$C$47*37.719))*43758.5453)-INT((SIN(((Scenario_Data!V158)*12.9898+(Inputs!$C$6)*78.233+Inputs!$C$47*37.719))*43758.5453)))-1))))/1000))*COS(SQRT((Scenario_Data!V158)^2+Inputs!$C$6^2)/Inputs!$C$52))*1000)/Inputs!$C$21*1000000</f>
        <v/>
      </c>
      <c r="AV158">
        <f>Scenario_Data!W158</f>
        <v/>
      </c>
      <c r="AW158">
        <f>2*(SQRT((Inputs!$C$52+(Scenario_Data!E158))^2+(Inputs!$C$52+((IF(OR(Inputs!$C$27=TRUE,Inputs!$C$27="TRUE",Inputs!$C$27=1),1,0)*(Inputs!$C$51*(115*EXP(-(((Inputs!$C$6)-25)^2)/(4.5^2))+70*EXP(-(((Inputs!$C$6)+38)^2)/(7^2))*(0.55+0.45*SIN(2*PI()*(Scenario_Data!W158)/45))+24*SIN(2*PI()*(Inputs!$C$6)/9+(Scenario_Data!W158)/18)*EXP(-(((Inputs!$C$6)+5)^2)/(22^2))+18*SIN(2*PI()*(Scenario_Data!W158)/70))+Inputs!$C$28*EXP(-(((Scenario_Data!W158)-Inputs!$C$29)^2)/(2*Inputs!$C$31^2))*EXP(-(((Inputs!$C$6)-Inputs!$C$30)^2)/(2*Inputs!$C$32^2))+-Inputs!$C$33*EXP(-(((((Scenario_Data!W158)-Inputs!$C$34)^2)+(((Inputs!$C$6)-Inputs!$C$35)^2))/(2*Inputs!$C$36^2)))+Inputs!$C$37*(0.55*SIN(2*PI()*(Scenario_Data!W158)/Inputs!$C$39)+0.35*COS(2*PI()*(Inputs!$C$6)/Inputs!$C$40)+0.2*SIN(2*PI()*((Scenario_Data!W158)+(Inputs!$C$6))/(0.5*(Inputs!$C$39+Inputs!$C$40))))+Inputs!$C$38*SIN(2*PI()*(Scenario_Data!W158)/Inputs!$C$39)*SIN(2*PI()*(Inputs!$C$6)/Inputs!$C$40)+-Inputs!$C$41*EXP(-(((Inputs!$C$6)-Inputs!$C$43)^2)/(2*Inputs!$C$44^2))*EXP(-(((Scenario_Data!W158)-Inputs!$C$42)^2)/(2*Inputs!$C$45^2))+Inputs!$C$48*(0.7*(0.45*SIN(2*PI()*(((Scenario_Data!W158)/Inputs!$C$49)+Inputs!$C$47*0.137))+0.35*COS(2*PI()*(((Inputs!$C$6)/Inputs!$C$50)+Inputs!$C$47*0.173))+0.2*SIN(2*PI()*((((Scenario_Data!W158)+(Inputs!$C$6))/(0.5*(Inputs!$C$49+Inputs!$C$50)))+Inputs!$C$47*0.097)))+0.3*(2*((SIN(((Scenario_Data!W158)*12.9898+(Inputs!$C$6)*78.233+Inputs!$C$47*37.719))*43758.5453)-INT((SIN(((Scenario_Data!W158)*12.9898+(Inputs!$C$6)*78.233+Inputs!$C$47*37.719))*43758.5453)))-1))))/1000))^2-2*(Inputs!$C$52+(Scenario_Data!E158))*(Inputs!$C$52+((IF(OR(Inputs!$C$27=TRUE,Inputs!$C$27="TRUE",Inputs!$C$27=1),1,0)*(Inputs!$C$51*(115*EXP(-(((Inputs!$C$6)-25)^2)/(4.5^2))+70*EXP(-(((Inputs!$C$6)+38)^2)/(7^2))*(0.55+0.45*SIN(2*PI()*(Scenario_Data!W158)/45))+24*SIN(2*PI()*(Inputs!$C$6)/9+(Scenario_Data!W158)/18)*EXP(-(((Inputs!$C$6)+5)^2)/(22^2))+18*SIN(2*PI()*(Scenario_Data!W158)/70))+Inputs!$C$28*EXP(-(((Scenario_Data!W158)-Inputs!$C$29)^2)/(2*Inputs!$C$31^2))*EXP(-(((Inputs!$C$6)-Inputs!$C$30)^2)/(2*Inputs!$C$32^2))+-Inputs!$C$33*EXP(-(((((Scenario_Data!W158)-Inputs!$C$34)^2)+(((Inputs!$C$6)-Inputs!$C$35)^2))/(2*Inputs!$C$36^2)))+Inputs!$C$37*(0.55*SIN(2*PI()*(Scenario_Data!W158)/Inputs!$C$39)+0.35*COS(2*PI()*(Inputs!$C$6)/Inputs!$C$40)+0.2*SIN(2*PI()*((Scenario_Data!W158)+(Inputs!$C$6))/(0.5*(Inputs!$C$39+Inputs!$C$40))))+Inputs!$C$38*SIN(2*PI()*(Scenario_Data!W158)/Inputs!$C$39)*SIN(2*PI()*(Inputs!$C$6)/Inputs!$C$40)+-Inputs!$C$41*EXP(-(((Inputs!$C$6)-Inputs!$C$43)^2)/(2*Inputs!$C$44^2))*EXP(-(((Scenario_Data!W158)-Inputs!$C$42)^2)/(2*Inputs!$C$45^2))+Inputs!$C$48*(0.7*(0.45*SIN(2*PI()*(((Scenario_Data!W158)/Inputs!$C$49)+Inputs!$C$47*0.137))+0.35*COS(2*PI()*(((Inputs!$C$6)/Inputs!$C$50)+Inputs!$C$47*0.173))+0.2*SIN(2*PI()*((((Scenario_Data!W158)+(Inputs!$C$6))/(0.5*(Inputs!$C$49+Inputs!$C$50)))+Inputs!$C$47*0.097)))+0.3*(2*((SIN(((Scenario_Data!W158)*12.9898+(Inputs!$C$6)*78.233+Inputs!$C$47*37.719))*43758.5453)-INT((SIN(((Scenario_Data!W158)*12.9898+(Inputs!$C$6)*78.233+Inputs!$C$47*37.719))*43758.5453)))-1))))/1000))*COS(SQRT((Scenario_Data!W158)^2+Inputs!$C$6^2)/Inputs!$C$52))*1000)/Inputs!$C$21*1000000</f>
        <v/>
      </c>
    </row>
    <row r="159">
      <c r="A159">
        <f>Chart_Data!K159</f>
        <v/>
      </c>
      <c r="B159">
        <f>Chart_Data!N159-Chart_Data!L159</f>
        <v/>
      </c>
      <c r="D159">
        <f>Chart_Data!G159</f>
        <v/>
      </c>
      <c r="E159">
        <f>Chart_Data!H159</f>
        <v/>
      </c>
      <c r="F159">
        <f>Chart_Data!I159</f>
        <v/>
      </c>
      <c r="G159">
        <f>Chart_Data!J159</f>
        <v/>
      </c>
      <c r="I159">
        <f>Scenario_Data!A159</f>
        <v/>
      </c>
      <c r="J159">
        <f>Scenario_Data!H159-(((SQRT((Inputs!$C$52+(Inputs!$H$6))^2+Inputs!$C$52^2-2*(Inputs!$C$52+(Inputs!$H$6))*Inputs!$C$52*COS(SQRT((Scenario_Data!T159)^2+Inputs!$C$6^2)/Inputs!$C$52)))-(Inputs!$H$6))*1000/Inputs!$C$12)</f>
        <v/>
      </c>
      <c r="K159">
        <f>Scenario_Data!I159-(((SQRT((Inputs!$C$52+(Inputs!$H$7))^2+Inputs!$C$52^2-2*(Inputs!$C$52+(Inputs!$H$7))*Inputs!$C$52*COS(SQRT((Scenario_Data!U159)^2+Inputs!$C$6^2)/Inputs!$C$52)))-(Inputs!$H$7))*1000/Inputs!$C$12)</f>
        <v/>
      </c>
      <c r="L159">
        <f>Scenario_Data!J159-(((SQRT((Inputs!$C$52+(Inputs!$H$8))^2+Inputs!$C$52^2-2*(Inputs!$C$52+(Inputs!$H$8))*Inputs!$C$52*COS(SQRT((Scenario_Data!V159)^2+Inputs!$C$6^2)/Inputs!$C$52)))-(Inputs!$H$8))*1000/Inputs!$C$12)</f>
        <v/>
      </c>
      <c r="M159">
        <f>Scenario_Data!K159-(((SQRT((Inputs!$C$52+(Inputs!$H$9))^2+Inputs!$C$52^2-2*(Inputs!$C$52+(Inputs!$H$9))*Inputs!$C$52*COS(SQRT((Scenario_Data!W159)^2+Inputs!$C$6^2)/Inputs!$C$52)))-(Inputs!$H$9))*1000/Inputs!$C$12)</f>
        <v/>
      </c>
      <c r="O159">
        <f>Scenario_Data!T159</f>
        <v/>
      </c>
      <c r="P159">
        <f>2*(Scenario_Data!B159*1000)/Inputs!$C$21*1000000</f>
        <v/>
      </c>
      <c r="Q159">
        <f>Scenario_Data!U159</f>
        <v/>
      </c>
      <c r="R159">
        <f>2*(Scenario_Data!C159*1000)/Inputs!$C$21*1000000</f>
        <v/>
      </c>
      <c r="S159">
        <f>Scenario_Data!V159</f>
        <v/>
      </c>
      <c r="T159">
        <f>2*(Scenario_Data!D159*1000)/Inputs!$C$21*1000000</f>
        <v/>
      </c>
      <c r="U159">
        <f>Scenario_Data!W159</f>
        <v/>
      </c>
      <c r="V159">
        <f>2*(Scenario_Data!E159*1000)/Inputs!$C$21*1000000</f>
        <v/>
      </c>
      <c r="X159">
        <f>Scenario_Data!T159</f>
        <v/>
      </c>
      <c r="Y159">
        <f>2*((Scenario_Data!B159*1000)-(IF(OR(Inputs!$C$27=TRUE,Inputs!$C$27="TRUE",Inputs!$C$27=1),1,0)*(Inputs!$C$51*(115*EXP(-(((0)-25)^2)/(4.5^2))+70*EXP(-(((0)+38)^2)/(7^2))*(0.55+0.45*SIN(2*PI()*(Scenario_Data!T159)/45))+24*SIN(2*PI()*(0)/9+(Scenario_Data!T159)/18)*EXP(-(((0)+5)^2)/(22^2))+18*SIN(2*PI()*(Scenario_Data!T159)/70))+Inputs!$C$28*EXP(-(((Scenario_Data!T159)-Inputs!$C$29)^2)/(2*Inputs!$C$31^2))*EXP(-(((0)-Inputs!$C$30)^2)/(2*Inputs!$C$32^2))+-Inputs!$C$33*EXP(-(((((Scenario_Data!T159)-Inputs!$C$34)^2)+(((0)-Inputs!$C$35)^2))/(2*Inputs!$C$36^2)))+Inputs!$C$37*(0.55*SIN(2*PI()*(Scenario_Data!T159)/Inputs!$C$39)+0.35*COS(2*PI()*(0)/Inputs!$C$40)+0.2*SIN(2*PI()*((Scenario_Data!T159)+(0))/(0.5*(Inputs!$C$39+Inputs!$C$40))))+Inputs!$C$38*SIN(2*PI()*(Scenario_Data!T159)/Inputs!$C$39)*SIN(2*PI()*(0)/Inputs!$C$40)+-Inputs!$C$41*EXP(-(((0)-Inputs!$C$43)^2)/(2*Inputs!$C$44^2))*EXP(-(((Scenario_Data!T159)-Inputs!$C$42)^2)/(2*Inputs!$C$45^2))+Inputs!$C$48*(0.7*(0.45*SIN(2*PI()*(((Scenario_Data!T159)/Inputs!$C$49)+Inputs!$C$47*0.137))+0.35*COS(2*PI()*(((0)/Inputs!$C$50)+Inputs!$C$47*0.173))+0.2*SIN(2*PI()*((((Scenario_Data!T159)+(0))/(0.5*(Inputs!$C$49+Inputs!$C$50)))+Inputs!$C$47*0.097)))+0.3*(2*((SIN(((Scenario_Data!T159)*12.9898+(0)*78.233+Inputs!$C$47*37.719))*43758.5453)-INT((SIN(((Scenario_Data!T159)*12.9898+(0)*78.233+Inputs!$C$47*37.719))*43758.5453)))-1)))))/Inputs!$C$21*1000000</f>
        <v/>
      </c>
      <c r="Z159">
        <f>Scenario_Data!U159</f>
        <v/>
      </c>
      <c r="AA159">
        <f>2*((Scenario_Data!C159*1000)-(IF(OR(Inputs!$C$27=TRUE,Inputs!$C$27="TRUE",Inputs!$C$27=1),1,0)*(Inputs!$C$51*(115*EXP(-(((0)-25)^2)/(4.5^2))+70*EXP(-(((0)+38)^2)/(7^2))*(0.55+0.45*SIN(2*PI()*(Scenario_Data!U159)/45))+24*SIN(2*PI()*(0)/9+(Scenario_Data!U159)/18)*EXP(-(((0)+5)^2)/(22^2))+18*SIN(2*PI()*(Scenario_Data!U159)/70))+Inputs!$C$28*EXP(-(((Scenario_Data!U159)-Inputs!$C$29)^2)/(2*Inputs!$C$31^2))*EXP(-(((0)-Inputs!$C$30)^2)/(2*Inputs!$C$32^2))+-Inputs!$C$33*EXP(-(((((Scenario_Data!U159)-Inputs!$C$34)^2)+(((0)-Inputs!$C$35)^2))/(2*Inputs!$C$36^2)))+Inputs!$C$37*(0.55*SIN(2*PI()*(Scenario_Data!U159)/Inputs!$C$39)+0.35*COS(2*PI()*(0)/Inputs!$C$40)+0.2*SIN(2*PI()*((Scenario_Data!U159)+(0))/(0.5*(Inputs!$C$39+Inputs!$C$40))))+Inputs!$C$38*SIN(2*PI()*(Scenario_Data!U159)/Inputs!$C$39)*SIN(2*PI()*(0)/Inputs!$C$40)+-Inputs!$C$41*EXP(-(((0)-Inputs!$C$43)^2)/(2*Inputs!$C$44^2))*EXP(-(((Scenario_Data!U159)-Inputs!$C$42)^2)/(2*Inputs!$C$45^2))+Inputs!$C$48*(0.7*(0.45*SIN(2*PI()*(((Scenario_Data!U159)/Inputs!$C$49)+Inputs!$C$47*0.137))+0.35*COS(2*PI()*(((0)/Inputs!$C$50)+Inputs!$C$47*0.173))+0.2*SIN(2*PI()*((((Scenario_Data!U159)+(0))/(0.5*(Inputs!$C$49+Inputs!$C$50)))+Inputs!$C$47*0.097)))+0.3*(2*((SIN(((Scenario_Data!U159)*12.9898+(0)*78.233+Inputs!$C$47*37.719))*43758.5453)-INT((SIN(((Scenario_Data!U159)*12.9898+(0)*78.233+Inputs!$C$47*37.719))*43758.5453)))-1)))))/Inputs!$C$21*1000000</f>
        <v/>
      </c>
      <c r="AB159">
        <f>Scenario_Data!V159</f>
        <v/>
      </c>
      <c r="AC159">
        <f>2*((Scenario_Data!D159*1000)-(IF(OR(Inputs!$C$27=TRUE,Inputs!$C$27="TRUE",Inputs!$C$27=1),1,0)*(Inputs!$C$51*(115*EXP(-(((0)-25)^2)/(4.5^2))+70*EXP(-(((0)+38)^2)/(7^2))*(0.55+0.45*SIN(2*PI()*(Scenario_Data!V159)/45))+24*SIN(2*PI()*(0)/9+(Scenario_Data!V159)/18)*EXP(-(((0)+5)^2)/(22^2))+18*SIN(2*PI()*(Scenario_Data!V159)/70))+Inputs!$C$28*EXP(-(((Scenario_Data!V159)-Inputs!$C$29)^2)/(2*Inputs!$C$31^2))*EXP(-(((0)-Inputs!$C$30)^2)/(2*Inputs!$C$32^2))+-Inputs!$C$33*EXP(-(((((Scenario_Data!V159)-Inputs!$C$34)^2)+(((0)-Inputs!$C$35)^2))/(2*Inputs!$C$36^2)))+Inputs!$C$37*(0.55*SIN(2*PI()*(Scenario_Data!V159)/Inputs!$C$39)+0.35*COS(2*PI()*(0)/Inputs!$C$40)+0.2*SIN(2*PI()*((Scenario_Data!V159)+(0))/(0.5*(Inputs!$C$39+Inputs!$C$40))))+Inputs!$C$38*SIN(2*PI()*(Scenario_Data!V159)/Inputs!$C$39)*SIN(2*PI()*(0)/Inputs!$C$40)+-Inputs!$C$41*EXP(-(((0)-Inputs!$C$43)^2)/(2*Inputs!$C$44^2))*EXP(-(((Scenario_Data!V159)-Inputs!$C$42)^2)/(2*Inputs!$C$45^2))+Inputs!$C$48*(0.7*(0.45*SIN(2*PI()*(((Scenario_Data!V159)/Inputs!$C$49)+Inputs!$C$47*0.137))+0.35*COS(2*PI()*(((0)/Inputs!$C$50)+Inputs!$C$47*0.173))+0.2*SIN(2*PI()*((((Scenario_Data!V159)+(0))/(0.5*(Inputs!$C$49+Inputs!$C$50)))+Inputs!$C$47*0.097)))+0.3*(2*((SIN(((Scenario_Data!V159)*12.9898+(0)*78.233+Inputs!$C$47*37.719))*43758.5453)-INT((SIN(((Scenario_Data!V159)*12.9898+(0)*78.233+Inputs!$C$47*37.719))*43758.5453)))-1)))))/Inputs!$C$21*1000000</f>
        <v/>
      </c>
      <c r="AD159">
        <f>Scenario_Data!W159</f>
        <v/>
      </c>
      <c r="AE159">
        <f>2*((Scenario_Data!E159*1000)-(IF(OR(Inputs!$C$27=TRUE,Inputs!$C$27="TRUE",Inputs!$C$27=1),1,0)*(Inputs!$C$51*(115*EXP(-(((0)-25)^2)/(4.5^2))+70*EXP(-(((0)+38)^2)/(7^2))*(0.55+0.45*SIN(2*PI()*(Scenario_Data!W159)/45))+24*SIN(2*PI()*(0)/9+(Scenario_Data!W159)/18)*EXP(-(((0)+5)^2)/(22^2))+18*SIN(2*PI()*(Scenario_Data!W159)/70))+Inputs!$C$28*EXP(-(((Scenario_Data!W159)-Inputs!$C$29)^2)/(2*Inputs!$C$31^2))*EXP(-(((0)-Inputs!$C$30)^2)/(2*Inputs!$C$32^2))+-Inputs!$C$33*EXP(-(((((Scenario_Data!W159)-Inputs!$C$34)^2)+(((0)-Inputs!$C$35)^2))/(2*Inputs!$C$36^2)))+Inputs!$C$37*(0.55*SIN(2*PI()*(Scenario_Data!W159)/Inputs!$C$39)+0.35*COS(2*PI()*(0)/Inputs!$C$40)+0.2*SIN(2*PI()*((Scenario_Data!W159)+(0))/(0.5*(Inputs!$C$39+Inputs!$C$40))))+Inputs!$C$38*SIN(2*PI()*(Scenario_Data!W159)/Inputs!$C$39)*SIN(2*PI()*(0)/Inputs!$C$40)+-Inputs!$C$41*EXP(-(((0)-Inputs!$C$43)^2)/(2*Inputs!$C$44^2))*EXP(-(((Scenario_Data!W159)-Inputs!$C$42)^2)/(2*Inputs!$C$45^2))+Inputs!$C$48*(0.7*(0.45*SIN(2*PI()*(((Scenario_Data!W159)/Inputs!$C$49)+Inputs!$C$47*0.137))+0.35*COS(2*PI()*(((0)/Inputs!$C$50)+Inputs!$C$47*0.173))+0.2*SIN(2*PI()*((((Scenario_Data!W159)+(0))/(0.5*(Inputs!$C$49+Inputs!$C$50)))+Inputs!$C$47*0.097)))+0.3*(2*((SIN(((Scenario_Data!W159)*12.9898+(0)*78.233+Inputs!$C$47*37.719))*43758.5453)-INT((SIN(((Scenario_Data!W159)*12.9898+(0)*78.233+Inputs!$C$47*37.719))*43758.5453)))-1)))))/Inputs!$C$21*1000000</f>
        <v/>
      </c>
      <c r="AG159">
        <f>Scenario_Data!T159</f>
        <v/>
      </c>
      <c r="AH159">
        <f>2*(SQRT((Inputs!$C$52+(Scenario_Data!B159))^2+Inputs!$C$52^2-2*(Inputs!$C$52+(Scenario_Data!B159))*Inputs!$C$52*COS(SQRT((Scenario_Data!T159)^2+Inputs!$C$6^2)/Inputs!$C$52))*1000)/Inputs!$C$21*1000000</f>
        <v/>
      </c>
      <c r="AI159">
        <f>Scenario_Data!U159</f>
        <v/>
      </c>
      <c r="AJ159">
        <f>2*(SQRT((Inputs!$C$52+(Scenario_Data!C159))^2+Inputs!$C$52^2-2*(Inputs!$C$52+(Scenario_Data!C159))*Inputs!$C$52*COS(SQRT((Scenario_Data!U159)^2+Inputs!$C$6^2)/Inputs!$C$52))*1000)/Inputs!$C$21*1000000</f>
        <v/>
      </c>
      <c r="AK159">
        <f>Scenario_Data!V159</f>
        <v/>
      </c>
      <c r="AL159">
        <f>2*(SQRT((Inputs!$C$52+(Scenario_Data!D159))^2+Inputs!$C$52^2-2*(Inputs!$C$52+(Scenario_Data!D159))*Inputs!$C$52*COS(SQRT((Scenario_Data!V159)^2+Inputs!$C$6^2)/Inputs!$C$52))*1000)/Inputs!$C$21*1000000</f>
        <v/>
      </c>
      <c r="AM159">
        <f>Scenario_Data!W159</f>
        <v/>
      </c>
      <c r="AN159">
        <f>2*(SQRT((Inputs!$C$52+(Scenario_Data!E159))^2+Inputs!$C$52^2-2*(Inputs!$C$52+(Scenario_Data!E159))*Inputs!$C$52*COS(SQRT((Scenario_Data!W159)^2+Inputs!$C$6^2)/Inputs!$C$52))*1000)/Inputs!$C$21*1000000</f>
        <v/>
      </c>
      <c r="AP159">
        <f>Scenario_Data!T159</f>
        <v/>
      </c>
      <c r="AQ159">
        <f>2*(SQRT((Inputs!$C$52+(Scenario_Data!B159))^2+(Inputs!$C$52+((IF(OR(Inputs!$C$27=TRUE,Inputs!$C$27="TRUE",Inputs!$C$27=1),1,0)*(Inputs!$C$51*(115*EXP(-(((Inputs!$C$6)-25)^2)/(4.5^2))+70*EXP(-(((Inputs!$C$6)+38)^2)/(7^2))*(0.55+0.45*SIN(2*PI()*(Scenario_Data!T159)/45))+24*SIN(2*PI()*(Inputs!$C$6)/9+(Scenario_Data!T159)/18)*EXP(-(((Inputs!$C$6)+5)^2)/(22^2))+18*SIN(2*PI()*(Scenario_Data!T159)/70))+Inputs!$C$28*EXP(-(((Scenario_Data!T159)-Inputs!$C$29)^2)/(2*Inputs!$C$31^2))*EXP(-(((Inputs!$C$6)-Inputs!$C$30)^2)/(2*Inputs!$C$32^2))+-Inputs!$C$33*EXP(-(((((Scenario_Data!T159)-Inputs!$C$34)^2)+(((Inputs!$C$6)-Inputs!$C$35)^2))/(2*Inputs!$C$36^2)))+Inputs!$C$37*(0.55*SIN(2*PI()*(Scenario_Data!T159)/Inputs!$C$39)+0.35*COS(2*PI()*(Inputs!$C$6)/Inputs!$C$40)+0.2*SIN(2*PI()*((Scenario_Data!T159)+(Inputs!$C$6))/(0.5*(Inputs!$C$39+Inputs!$C$40))))+Inputs!$C$38*SIN(2*PI()*(Scenario_Data!T159)/Inputs!$C$39)*SIN(2*PI()*(Inputs!$C$6)/Inputs!$C$40)+-Inputs!$C$41*EXP(-(((Inputs!$C$6)-Inputs!$C$43)^2)/(2*Inputs!$C$44^2))*EXP(-(((Scenario_Data!T159)-Inputs!$C$42)^2)/(2*Inputs!$C$45^2))+Inputs!$C$48*(0.7*(0.45*SIN(2*PI()*(((Scenario_Data!T159)/Inputs!$C$49)+Inputs!$C$47*0.137))+0.35*COS(2*PI()*(((Inputs!$C$6)/Inputs!$C$50)+Inputs!$C$47*0.173))+0.2*SIN(2*PI()*((((Scenario_Data!T159)+(Inputs!$C$6))/(0.5*(Inputs!$C$49+Inputs!$C$50)))+Inputs!$C$47*0.097)))+0.3*(2*((SIN(((Scenario_Data!T159)*12.9898+(Inputs!$C$6)*78.233+Inputs!$C$47*37.719))*43758.5453)-INT((SIN(((Scenario_Data!T159)*12.9898+(Inputs!$C$6)*78.233+Inputs!$C$47*37.719))*43758.5453)))-1))))/1000))^2-2*(Inputs!$C$52+(Scenario_Data!B159))*(Inputs!$C$52+((IF(OR(Inputs!$C$27=TRUE,Inputs!$C$27="TRUE",Inputs!$C$27=1),1,0)*(Inputs!$C$51*(115*EXP(-(((Inputs!$C$6)-25)^2)/(4.5^2))+70*EXP(-(((Inputs!$C$6)+38)^2)/(7^2))*(0.55+0.45*SIN(2*PI()*(Scenario_Data!T159)/45))+24*SIN(2*PI()*(Inputs!$C$6)/9+(Scenario_Data!T159)/18)*EXP(-(((Inputs!$C$6)+5)^2)/(22^2))+18*SIN(2*PI()*(Scenario_Data!T159)/70))+Inputs!$C$28*EXP(-(((Scenario_Data!T159)-Inputs!$C$29)^2)/(2*Inputs!$C$31^2))*EXP(-(((Inputs!$C$6)-Inputs!$C$30)^2)/(2*Inputs!$C$32^2))+-Inputs!$C$33*EXP(-(((((Scenario_Data!T159)-Inputs!$C$34)^2)+(((Inputs!$C$6)-Inputs!$C$35)^2))/(2*Inputs!$C$36^2)))+Inputs!$C$37*(0.55*SIN(2*PI()*(Scenario_Data!T159)/Inputs!$C$39)+0.35*COS(2*PI()*(Inputs!$C$6)/Inputs!$C$40)+0.2*SIN(2*PI()*((Scenario_Data!T159)+(Inputs!$C$6))/(0.5*(Inputs!$C$39+Inputs!$C$40))))+Inputs!$C$38*SIN(2*PI()*(Scenario_Data!T159)/Inputs!$C$39)*SIN(2*PI()*(Inputs!$C$6)/Inputs!$C$40)+-Inputs!$C$41*EXP(-(((Inputs!$C$6)-Inputs!$C$43)^2)/(2*Inputs!$C$44^2))*EXP(-(((Scenario_Data!T159)-Inputs!$C$42)^2)/(2*Inputs!$C$45^2))+Inputs!$C$48*(0.7*(0.45*SIN(2*PI()*(((Scenario_Data!T159)/Inputs!$C$49)+Inputs!$C$47*0.137))+0.35*COS(2*PI()*(((Inputs!$C$6)/Inputs!$C$50)+Inputs!$C$47*0.173))+0.2*SIN(2*PI()*((((Scenario_Data!T159)+(Inputs!$C$6))/(0.5*(Inputs!$C$49+Inputs!$C$50)))+Inputs!$C$47*0.097)))+0.3*(2*((SIN(((Scenario_Data!T159)*12.9898+(Inputs!$C$6)*78.233+Inputs!$C$47*37.719))*43758.5453)-INT((SIN(((Scenario_Data!T159)*12.9898+(Inputs!$C$6)*78.233+Inputs!$C$47*37.719))*43758.5453)))-1))))/1000))*COS(SQRT((Scenario_Data!T159)^2+Inputs!$C$6^2)/Inputs!$C$52))*1000)/Inputs!$C$21*1000000</f>
        <v/>
      </c>
      <c r="AR159">
        <f>Scenario_Data!U159</f>
        <v/>
      </c>
      <c r="AS159">
        <f>2*(SQRT((Inputs!$C$52+(Scenario_Data!C159))^2+(Inputs!$C$52+((IF(OR(Inputs!$C$27=TRUE,Inputs!$C$27="TRUE",Inputs!$C$27=1),1,0)*(Inputs!$C$51*(115*EXP(-(((Inputs!$C$6)-25)^2)/(4.5^2))+70*EXP(-(((Inputs!$C$6)+38)^2)/(7^2))*(0.55+0.45*SIN(2*PI()*(Scenario_Data!U159)/45))+24*SIN(2*PI()*(Inputs!$C$6)/9+(Scenario_Data!U159)/18)*EXP(-(((Inputs!$C$6)+5)^2)/(22^2))+18*SIN(2*PI()*(Scenario_Data!U159)/70))+Inputs!$C$28*EXP(-(((Scenario_Data!U159)-Inputs!$C$29)^2)/(2*Inputs!$C$31^2))*EXP(-(((Inputs!$C$6)-Inputs!$C$30)^2)/(2*Inputs!$C$32^2))+-Inputs!$C$33*EXP(-(((((Scenario_Data!U159)-Inputs!$C$34)^2)+(((Inputs!$C$6)-Inputs!$C$35)^2))/(2*Inputs!$C$36^2)))+Inputs!$C$37*(0.55*SIN(2*PI()*(Scenario_Data!U159)/Inputs!$C$39)+0.35*COS(2*PI()*(Inputs!$C$6)/Inputs!$C$40)+0.2*SIN(2*PI()*((Scenario_Data!U159)+(Inputs!$C$6))/(0.5*(Inputs!$C$39+Inputs!$C$40))))+Inputs!$C$38*SIN(2*PI()*(Scenario_Data!U159)/Inputs!$C$39)*SIN(2*PI()*(Inputs!$C$6)/Inputs!$C$40)+-Inputs!$C$41*EXP(-(((Inputs!$C$6)-Inputs!$C$43)^2)/(2*Inputs!$C$44^2))*EXP(-(((Scenario_Data!U159)-Inputs!$C$42)^2)/(2*Inputs!$C$45^2))+Inputs!$C$48*(0.7*(0.45*SIN(2*PI()*(((Scenario_Data!U159)/Inputs!$C$49)+Inputs!$C$47*0.137))+0.35*COS(2*PI()*(((Inputs!$C$6)/Inputs!$C$50)+Inputs!$C$47*0.173))+0.2*SIN(2*PI()*((((Scenario_Data!U159)+(Inputs!$C$6))/(0.5*(Inputs!$C$49+Inputs!$C$50)))+Inputs!$C$47*0.097)))+0.3*(2*((SIN(((Scenario_Data!U159)*12.9898+(Inputs!$C$6)*78.233+Inputs!$C$47*37.719))*43758.5453)-INT((SIN(((Scenario_Data!U159)*12.9898+(Inputs!$C$6)*78.233+Inputs!$C$47*37.719))*43758.5453)))-1))))/1000))^2-2*(Inputs!$C$52+(Scenario_Data!C159))*(Inputs!$C$52+((IF(OR(Inputs!$C$27=TRUE,Inputs!$C$27="TRUE",Inputs!$C$27=1),1,0)*(Inputs!$C$51*(115*EXP(-(((Inputs!$C$6)-25)^2)/(4.5^2))+70*EXP(-(((Inputs!$C$6)+38)^2)/(7^2))*(0.55+0.45*SIN(2*PI()*(Scenario_Data!U159)/45))+24*SIN(2*PI()*(Inputs!$C$6)/9+(Scenario_Data!U159)/18)*EXP(-(((Inputs!$C$6)+5)^2)/(22^2))+18*SIN(2*PI()*(Scenario_Data!U159)/70))+Inputs!$C$28*EXP(-(((Scenario_Data!U159)-Inputs!$C$29)^2)/(2*Inputs!$C$31^2))*EXP(-(((Inputs!$C$6)-Inputs!$C$30)^2)/(2*Inputs!$C$32^2))+-Inputs!$C$33*EXP(-(((((Scenario_Data!U159)-Inputs!$C$34)^2)+(((Inputs!$C$6)-Inputs!$C$35)^2))/(2*Inputs!$C$36^2)))+Inputs!$C$37*(0.55*SIN(2*PI()*(Scenario_Data!U159)/Inputs!$C$39)+0.35*COS(2*PI()*(Inputs!$C$6)/Inputs!$C$40)+0.2*SIN(2*PI()*((Scenario_Data!U159)+(Inputs!$C$6))/(0.5*(Inputs!$C$39+Inputs!$C$40))))+Inputs!$C$38*SIN(2*PI()*(Scenario_Data!U159)/Inputs!$C$39)*SIN(2*PI()*(Inputs!$C$6)/Inputs!$C$40)+-Inputs!$C$41*EXP(-(((Inputs!$C$6)-Inputs!$C$43)^2)/(2*Inputs!$C$44^2))*EXP(-(((Scenario_Data!U159)-Inputs!$C$42)^2)/(2*Inputs!$C$45^2))+Inputs!$C$48*(0.7*(0.45*SIN(2*PI()*(((Scenario_Data!U159)/Inputs!$C$49)+Inputs!$C$47*0.137))+0.35*COS(2*PI()*(((Inputs!$C$6)/Inputs!$C$50)+Inputs!$C$47*0.173))+0.2*SIN(2*PI()*((((Scenario_Data!U159)+(Inputs!$C$6))/(0.5*(Inputs!$C$49+Inputs!$C$50)))+Inputs!$C$47*0.097)))+0.3*(2*((SIN(((Scenario_Data!U159)*12.9898+(Inputs!$C$6)*78.233+Inputs!$C$47*37.719))*43758.5453)-INT((SIN(((Scenario_Data!U159)*12.9898+(Inputs!$C$6)*78.233+Inputs!$C$47*37.719))*43758.5453)))-1))))/1000))*COS(SQRT((Scenario_Data!U159)^2+Inputs!$C$6^2)/Inputs!$C$52))*1000)/Inputs!$C$21*1000000</f>
        <v/>
      </c>
      <c r="AT159">
        <f>Scenario_Data!V159</f>
        <v/>
      </c>
      <c r="AU159">
        <f>2*(SQRT((Inputs!$C$52+(Scenario_Data!D159))^2+(Inputs!$C$52+((IF(OR(Inputs!$C$27=TRUE,Inputs!$C$27="TRUE",Inputs!$C$27=1),1,0)*(Inputs!$C$51*(115*EXP(-(((Inputs!$C$6)-25)^2)/(4.5^2))+70*EXP(-(((Inputs!$C$6)+38)^2)/(7^2))*(0.55+0.45*SIN(2*PI()*(Scenario_Data!V159)/45))+24*SIN(2*PI()*(Inputs!$C$6)/9+(Scenario_Data!V159)/18)*EXP(-(((Inputs!$C$6)+5)^2)/(22^2))+18*SIN(2*PI()*(Scenario_Data!V159)/70))+Inputs!$C$28*EXP(-(((Scenario_Data!V159)-Inputs!$C$29)^2)/(2*Inputs!$C$31^2))*EXP(-(((Inputs!$C$6)-Inputs!$C$30)^2)/(2*Inputs!$C$32^2))+-Inputs!$C$33*EXP(-(((((Scenario_Data!V159)-Inputs!$C$34)^2)+(((Inputs!$C$6)-Inputs!$C$35)^2))/(2*Inputs!$C$36^2)))+Inputs!$C$37*(0.55*SIN(2*PI()*(Scenario_Data!V159)/Inputs!$C$39)+0.35*COS(2*PI()*(Inputs!$C$6)/Inputs!$C$40)+0.2*SIN(2*PI()*((Scenario_Data!V159)+(Inputs!$C$6))/(0.5*(Inputs!$C$39+Inputs!$C$40))))+Inputs!$C$38*SIN(2*PI()*(Scenario_Data!V159)/Inputs!$C$39)*SIN(2*PI()*(Inputs!$C$6)/Inputs!$C$40)+-Inputs!$C$41*EXP(-(((Inputs!$C$6)-Inputs!$C$43)^2)/(2*Inputs!$C$44^2))*EXP(-(((Scenario_Data!V159)-Inputs!$C$42)^2)/(2*Inputs!$C$45^2))+Inputs!$C$48*(0.7*(0.45*SIN(2*PI()*(((Scenario_Data!V159)/Inputs!$C$49)+Inputs!$C$47*0.137))+0.35*COS(2*PI()*(((Inputs!$C$6)/Inputs!$C$50)+Inputs!$C$47*0.173))+0.2*SIN(2*PI()*((((Scenario_Data!V159)+(Inputs!$C$6))/(0.5*(Inputs!$C$49+Inputs!$C$50)))+Inputs!$C$47*0.097)))+0.3*(2*((SIN(((Scenario_Data!V159)*12.9898+(Inputs!$C$6)*78.233+Inputs!$C$47*37.719))*43758.5453)-INT((SIN(((Scenario_Data!V159)*12.9898+(Inputs!$C$6)*78.233+Inputs!$C$47*37.719))*43758.5453)))-1))))/1000))^2-2*(Inputs!$C$52+(Scenario_Data!D159))*(Inputs!$C$52+((IF(OR(Inputs!$C$27=TRUE,Inputs!$C$27="TRUE",Inputs!$C$27=1),1,0)*(Inputs!$C$51*(115*EXP(-(((Inputs!$C$6)-25)^2)/(4.5^2))+70*EXP(-(((Inputs!$C$6)+38)^2)/(7^2))*(0.55+0.45*SIN(2*PI()*(Scenario_Data!V159)/45))+24*SIN(2*PI()*(Inputs!$C$6)/9+(Scenario_Data!V159)/18)*EXP(-(((Inputs!$C$6)+5)^2)/(22^2))+18*SIN(2*PI()*(Scenario_Data!V159)/70))+Inputs!$C$28*EXP(-(((Scenario_Data!V159)-Inputs!$C$29)^2)/(2*Inputs!$C$31^2))*EXP(-(((Inputs!$C$6)-Inputs!$C$30)^2)/(2*Inputs!$C$32^2))+-Inputs!$C$33*EXP(-(((((Scenario_Data!V159)-Inputs!$C$34)^2)+(((Inputs!$C$6)-Inputs!$C$35)^2))/(2*Inputs!$C$36^2)))+Inputs!$C$37*(0.55*SIN(2*PI()*(Scenario_Data!V159)/Inputs!$C$39)+0.35*COS(2*PI()*(Inputs!$C$6)/Inputs!$C$40)+0.2*SIN(2*PI()*((Scenario_Data!V159)+(Inputs!$C$6))/(0.5*(Inputs!$C$39+Inputs!$C$40))))+Inputs!$C$38*SIN(2*PI()*(Scenario_Data!V159)/Inputs!$C$39)*SIN(2*PI()*(Inputs!$C$6)/Inputs!$C$40)+-Inputs!$C$41*EXP(-(((Inputs!$C$6)-Inputs!$C$43)^2)/(2*Inputs!$C$44^2))*EXP(-(((Scenario_Data!V159)-Inputs!$C$42)^2)/(2*Inputs!$C$45^2))+Inputs!$C$48*(0.7*(0.45*SIN(2*PI()*(((Scenario_Data!V159)/Inputs!$C$49)+Inputs!$C$47*0.137))+0.35*COS(2*PI()*(((Inputs!$C$6)/Inputs!$C$50)+Inputs!$C$47*0.173))+0.2*SIN(2*PI()*((((Scenario_Data!V159)+(Inputs!$C$6))/(0.5*(Inputs!$C$49+Inputs!$C$50)))+Inputs!$C$47*0.097)))+0.3*(2*((SIN(((Scenario_Data!V159)*12.9898+(Inputs!$C$6)*78.233+Inputs!$C$47*37.719))*43758.5453)-INT((SIN(((Scenario_Data!V159)*12.9898+(Inputs!$C$6)*78.233+Inputs!$C$47*37.719))*43758.5453)))-1))))/1000))*COS(SQRT((Scenario_Data!V159)^2+Inputs!$C$6^2)/Inputs!$C$52))*1000)/Inputs!$C$21*1000000</f>
        <v/>
      </c>
      <c r="AV159">
        <f>Scenario_Data!W159</f>
        <v/>
      </c>
      <c r="AW159">
        <f>2*(SQRT((Inputs!$C$52+(Scenario_Data!E159))^2+(Inputs!$C$52+((IF(OR(Inputs!$C$27=TRUE,Inputs!$C$27="TRUE",Inputs!$C$27=1),1,0)*(Inputs!$C$51*(115*EXP(-(((Inputs!$C$6)-25)^2)/(4.5^2))+70*EXP(-(((Inputs!$C$6)+38)^2)/(7^2))*(0.55+0.45*SIN(2*PI()*(Scenario_Data!W159)/45))+24*SIN(2*PI()*(Inputs!$C$6)/9+(Scenario_Data!W159)/18)*EXP(-(((Inputs!$C$6)+5)^2)/(22^2))+18*SIN(2*PI()*(Scenario_Data!W159)/70))+Inputs!$C$28*EXP(-(((Scenario_Data!W159)-Inputs!$C$29)^2)/(2*Inputs!$C$31^2))*EXP(-(((Inputs!$C$6)-Inputs!$C$30)^2)/(2*Inputs!$C$32^2))+-Inputs!$C$33*EXP(-(((((Scenario_Data!W159)-Inputs!$C$34)^2)+(((Inputs!$C$6)-Inputs!$C$35)^2))/(2*Inputs!$C$36^2)))+Inputs!$C$37*(0.55*SIN(2*PI()*(Scenario_Data!W159)/Inputs!$C$39)+0.35*COS(2*PI()*(Inputs!$C$6)/Inputs!$C$40)+0.2*SIN(2*PI()*((Scenario_Data!W159)+(Inputs!$C$6))/(0.5*(Inputs!$C$39+Inputs!$C$40))))+Inputs!$C$38*SIN(2*PI()*(Scenario_Data!W159)/Inputs!$C$39)*SIN(2*PI()*(Inputs!$C$6)/Inputs!$C$40)+-Inputs!$C$41*EXP(-(((Inputs!$C$6)-Inputs!$C$43)^2)/(2*Inputs!$C$44^2))*EXP(-(((Scenario_Data!W159)-Inputs!$C$42)^2)/(2*Inputs!$C$45^2))+Inputs!$C$48*(0.7*(0.45*SIN(2*PI()*(((Scenario_Data!W159)/Inputs!$C$49)+Inputs!$C$47*0.137))+0.35*COS(2*PI()*(((Inputs!$C$6)/Inputs!$C$50)+Inputs!$C$47*0.173))+0.2*SIN(2*PI()*((((Scenario_Data!W159)+(Inputs!$C$6))/(0.5*(Inputs!$C$49+Inputs!$C$50)))+Inputs!$C$47*0.097)))+0.3*(2*((SIN(((Scenario_Data!W159)*12.9898+(Inputs!$C$6)*78.233+Inputs!$C$47*37.719))*43758.5453)-INT((SIN(((Scenario_Data!W159)*12.9898+(Inputs!$C$6)*78.233+Inputs!$C$47*37.719))*43758.5453)))-1))))/1000))^2-2*(Inputs!$C$52+(Scenario_Data!E159))*(Inputs!$C$52+((IF(OR(Inputs!$C$27=TRUE,Inputs!$C$27="TRUE",Inputs!$C$27=1),1,0)*(Inputs!$C$51*(115*EXP(-(((Inputs!$C$6)-25)^2)/(4.5^2))+70*EXP(-(((Inputs!$C$6)+38)^2)/(7^2))*(0.55+0.45*SIN(2*PI()*(Scenario_Data!W159)/45))+24*SIN(2*PI()*(Inputs!$C$6)/9+(Scenario_Data!W159)/18)*EXP(-(((Inputs!$C$6)+5)^2)/(22^2))+18*SIN(2*PI()*(Scenario_Data!W159)/70))+Inputs!$C$28*EXP(-(((Scenario_Data!W159)-Inputs!$C$29)^2)/(2*Inputs!$C$31^2))*EXP(-(((Inputs!$C$6)-Inputs!$C$30)^2)/(2*Inputs!$C$32^2))+-Inputs!$C$33*EXP(-(((((Scenario_Data!W159)-Inputs!$C$34)^2)+(((Inputs!$C$6)-Inputs!$C$35)^2))/(2*Inputs!$C$36^2)))+Inputs!$C$37*(0.55*SIN(2*PI()*(Scenario_Data!W159)/Inputs!$C$39)+0.35*COS(2*PI()*(Inputs!$C$6)/Inputs!$C$40)+0.2*SIN(2*PI()*((Scenario_Data!W159)+(Inputs!$C$6))/(0.5*(Inputs!$C$39+Inputs!$C$40))))+Inputs!$C$38*SIN(2*PI()*(Scenario_Data!W159)/Inputs!$C$39)*SIN(2*PI()*(Inputs!$C$6)/Inputs!$C$40)+-Inputs!$C$41*EXP(-(((Inputs!$C$6)-Inputs!$C$43)^2)/(2*Inputs!$C$44^2))*EXP(-(((Scenario_Data!W159)-Inputs!$C$42)^2)/(2*Inputs!$C$45^2))+Inputs!$C$48*(0.7*(0.45*SIN(2*PI()*(((Scenario_Data!W159)/Inputs!$C$49)+Inputs!$C$47*0.137))+0.35*COS(2*PI()*(((Inputs!$C$6)/Inputs!$C$50)+Inputs!$C$47*0.173))+0.2*SIN(2*PI()*((((Scenario_Data!W159)+(Inputs!$C$6))/(0.5*(Inputs!$C$49+Inputs!$C$50)))+Inputs!$C$47*0.097)))+0.3*(2*((SIN(((Scenario_Data!W159)*12.9898+(Inputs!$C$6)*78.233+Inputs!$C$47*37.719))*43758.5453)-INT((SIN(((Scenario_Data!W159)*12.9898+(Inputs!$C$6)*78.233+Inputs!$C$47*37.719))*43758.5453)))-1))))/1000))*COS(SQRT((Scenario_Data!W159)^2+Inputs!$C$6^2)/Inputs!$C$52))*1000)/Inputs!$C$21*1000000</f>
        <v/>
      </c>
    </row>
    <row r="160">
      <c r="A160">
        <f>Chart_Data!K160</f>
        <v/>
      </c>
      <c r="B160">
        <f>Chart_Data!N160-Chart_Data!L160</f>
        <v/>
      </c>
      <c r="D160">
        <f>Chart_Data!G160</f>
        <v/>
      </c>
      <c r="E160">
        <f>Chart_Data!H160</f>
        <v/>
      </c>
      <c r="F160">
        <f>Chart_Data!I160</f>
        <v/>
      </c>
      <c r="G160">
        <f>Chart_Data!J160</f>
        <v/>
      </c>
      <c r="I160">
        <f>Scenario_Data!A160</f>
        <v/>
      </c>
      <c r="J160">
        <f>Scenario_Data!H160-(((SQRT((Inputs!$C$52+(Inputs!$H$6))^2+Inputs!$C$52^2-2*(Inputs!$C$52+(Inputs!$H$6))*Inputs!$C$52*COS(SQRT((Scenario_Data!T160)^2+Inputs!$C$6^2)/Inputs!$C$52)))-(Inputs!$H$6))*1000/Inputs!$C$12)</f>
        <v/>
      </c>
      <c r="K160">
        <f>Scenario_Data!I160-(((SQRT((Inputs!$C$52+(Inputs!$H$7))^2+Inputs!$C$52^2-2*(Inputs!$C$52+(Inputs!$H$7))*Inputs!$C$52*COS(SQRT((Scenario_Data!U160)^2+Inputs!$C$6^2)/Inputs!$C$52)))-(Inputs!$H$7))*1000/Inputs!$C$12)</f>
        <v/>
      </c>
      <c r="L160">
        <f>Scenario_Data!J160-(((SQRT((Inputs!$C$52+(Inputs!$H$8))^2+Inputs!$C$52^2-2*(Inputs!$C$52+(Inputs!$H$8))*Inputs!$C$52*COS(SQRT((Scenario_Data!V160)^2+Inputs!$C$6^2)/Inputs!$C$52)))-(Inputs!$H$8))*1000/Inputs!$C$12)</f>
        <v/>
      </c>
      <c r="M160">
        <f>Scenario_Data!K160-(((SQRT((Inputs!$C$52+(Inputs!$H$9))^2+Inputs!$C$52^2-2*(Inputs!$C$52+(Inputs!$H$9))*Inputs!$C$52*COS(SQRT((Scenario_Data!W160)^2+Inputs!$C$6^2)/Inputs!$C$52)))-(Inputs!$H$9))*1000/Inputs!$C$12)</f>
        <v/>
      </c>
      <c r="O160">
        <f>Scenario_Data!T160</f>
        <v/>
      </c>
      <c r="P160">
        <f>2*(Scenario_Data!B160*1000)/Inputs!$C$21*1000000</f>
        <v/>
      </c>
      <c r="Q160">
        <f>Scenario_Data!U160</f>
        <v/>
      </c>
      <c r="R160">
        <f>2*(Scenario_Data!C160*1000)/Inputs!$C$21*1000000</f>
        <v/>
      </c>
      <c r="S160">
        <f>Scenario_Data!V160</f>
        <v/>
      </c>
      <c r="T160">
        <f>2*(Scenario_Data!D160*1000)/Inputs!$C$21*1000000</f>
        <v/>
      </c>
      <c r="U160">
        <f>Scenario_Data!W160</f>
        <v/>
      </c>
      <c r="V160">
        <f>2*(Scenario_Data!E160*1000)/Inputs!$C$21*1000000</f>
        <v/>
      </c>
      <c r="X160">
        <f>Scenario_Data!T160</f>
        <v/>
      </c>
      <c r="Y160">
        <f>2*((Scenario_Data!B160*1000)-(IF(OR(Inputs!$C$27=TRUE,Inputs!$C$27="TRUE",Inputs!$C$27=1),1,0)*(Inputs!$C$51*(115*EXP(-(((0)-25)^2)/(4.5^2))+70*EXP(-(((0)+38)^2)/(7^2))*(0.55+0.45*SIN(2*PI()*(Scenario_Data!T160)/45))+24*SIN(2*PI()*(0)/9+(Scenario_Data!T160)/18)*EXP(-(((0)+5)^2)/(22^2))+18*SIN(2*PI()*(Scenario_Data!T160)/70))+Inputs!$C$28*EXP(-(((Scenario_Data!T160)-Inputs!$C$29)^2)/(2*Inputs!$C$31^2))*EXP(-(((0)-Inputs!$C$30)^2)/(2*Inputs!$C$32^2))+-Inputs!$C$33*EXP(-(((((Scenario_Data!T160)-Inputs!$C$34)^2)+(((0)-Inputs!$C$35)^2))/(2*Inputs!$C$36^2)))+Inputs!$C$37*(0.55*SIN(2*PI()*(Scenario_Data!T160)/Inputs!$C$39)+0.35*COS(2*PI()*(0)/Inputs!$C$40)+0.2*SIN(2*PI()*((Scenario_Data!T160)+(0))/(0.5*(Inputs!$C$39+Inputs!$C$40))))+Inputs!$C$38*SIN(2*PI()*(Scenario_Data!T160)/Inputs!$C$39)*SIN(2*PI()*(0)/Inputs!$C$40)+-Inputs!$C$41*EXP(-(((0)-Inputs!$C$43)^2)/(2*Inputs!$C$44^2))*EXP(-(((Scenario_Data!T160)-Inputs!$C$42)^2)/(2*Inputs!$C$45^2))+Inputs!$C$48*(0.7*(0.45*SIN(2*PI()*(((Scenario_Data!T160)/Inputs!$C$49)+Inputs!$C$47*0.137))+0.35*COS(2*PI()*(((0)/Inputs!$C$50)+Inputs!$C$47*0.173))+0.2*SIN(2*PI()*((((Scenario_Data!T160)+(0))/(0.5*(Inputs!$C$49+Inputs!$C$50)))+Inputs!$C$47*0.097)))+0.3*(2*((SIN(((Scenario_Data!T160)*12.9898+(0)*78.233+Inputs!$C$47*37.719))*43758.5453)-INT((SIN(((Scenario_Data!T160)*12.9898+(0)*78.233+Inputs!$C$47*37.719))*43758.5453)))-1)))))/Inputs!$C$21*1000000</f>
        <v/>
      </c>
      <c r="Z160">
        <f>Scenario_Data!U160</f>
        <v/>
      </c>
      <c r="AA160">
        <f>2*((Scenario_Data!C160*1000)-(IF(OR(Inputs!$C$27=TRUE,Inputs!$C$27="TRUE",Inputs!$C$27=1),1,0)*(Inputs!$C$51*(115*EXP(-(((0)-25)^2)/(4.5^2))+70*EXP(-(((0)+38)^2)/(7^2))*(0.55+0.45*SIN(2*PI()*(Scenario_Data!U160)/45))+24*SIN(2*PI()*(0)/9+(Scenario_Data!U160)/18)*EXP(-(((0)+5)^2)/(22^2))+18*SIN(2*PI()*(Scenario_Data!U160)/70))+Inputs!$C$28*EXP(-(((Scenario_Data!U160)-Inputs!$C$29)^2)/(2*Inputs!$C$31^2))*EXP(-(((0)-Inputs!$C$30)^2)/(2*Inputs!$C$32^2))+-Inputs!$C$33*EXP(-(((((Scenario_Data!U160)-Inputs!$C$34)^2)+(((0)-Inputs!$C$35)^2))/(2*Inputs!$C$36^2)))+Inputs!$C$37*(0.55*SIN(2*PI()*(Scenario_Data!U160)/Inputs!$C$39)+0.35*COS(2*PI()*(0)/Inputs!$C$40)+0.2*SIN(2*PI()*((Scenario_Data!U160)+(0))/(0.5*(Inputs!$C$39+Inputs!$C$40))))+Inputs!$C$38*SIN(2*PI()*(Scenario_Data!U160)/Inputs!$C$39)*SIN(2*PI()*(0)/Inputs!$C$40)+-Inputs!$C$41*EXP(-(((0)-Inputs!$C$43)^2)/(2*Inputs!$C$44^2))*EXP(-(((Scenario_Data!U160)-Inputs!$C$42)^2)/(2*Inputs!$C$45^2))+Inputs!$C$48*(0.7*(0.45*SIN(2*PI()*(((Scenario_Data!U160)/Inputs!$C$49)+Inputs!$C$47*0.137))+0.35*COS(2*PI()*(((0)/Inputs!$C$50)+Inputs!$C$47*0.173))+0.2*SIN(2*PI()*((((Scenario_Data!U160)+(0))/(0.5*(Inputs!$C$49+Inputs!$C$50)))+Inputs!$C$47*0.097)))+0.3*(2*((SIN(((Scenario_Data!U160)*12.9898+(0)*78.233+Inputs!$C$47*37.719))*43758.5453)-INT((SIN(((Scenario_Data!U160)*12.9898+(0)*78.233+Inputs!$C$47*37.719))*43758.5453)))-1)))))/Inputs!$C$21*1000000</f>
        <v/>
      </c>
      <c r="AB160">
        <f>Scenario_Data!V160</f>
        <v/>
      </c>
      <c r="AC160">
        <f>2*((Scenario_Data!D160*1000)-(IF(OR(Inputs!$C$27=TRUE,Inputs!$C$27="TRUE",Inputs!$C$27=1),1,0)*(Inputs!$C$51*(115*EXP(-(((0)-25)^2)/(4.5^2))+70*EXP(-(((0)+38)^2)/(7^2))*(0.55+0.45*SIN(2*PI()*(Scenario_Data!V160)/45))+24*SIN(2*PI()*(0)/9+(Scenario_Data!V160)/18)*EXP(-(((0)+5)^2)/(22^2))+18*SIN(2*PI()*(Scenario_Data!V160)/70))+Inputs!$C$28*EXP(-(((Scenario_Data!V160)-Inputs!$C$29)^2)/(2*Inputs!$C$31^2))*EXP(-(((0)-Inputs!$C$30)^2)/(2*Inputs!$C$32^2))+-Inputs!$C$33*EXP(-(((((Scenario_Data!V160)-Inputs!$C$34)^2)+(((0)-Inputs!$C$35)^2))/(2*Inputs!$C$36^2)))+Inputs!$C$37*(0.55*SIN(2*PI()*(Scenario_Data!V160)/Inputs!$C$39)+0.35*COS(2*PI()*(0)/Inputs!$C$40)+0.2*SIN(2*PI()*((Scenario_Data!V160)+(0))/(0.5*(Inputs!$C$39+Inputs!$C$40))))+Inputs!$C$38*SIN(2*PI()*(Scenario_Data!V160)/Inputs!$C$39)*SIN(2*PI()*(0)/Inputs!$C$40)+-Inputs!$C$41*EXP(-(((0)-Inputs!$C$43)^2)/(2*Inputs!$C$44^2))*EXP(-(((Scenario_Data!V160)-Inputs!$C$42)^2)/(2*Inputs!$C$45^2))+Inputs!$C$48*(0.7*(0.45*SIN(2*PI()*(((Scenario_Data!V160)/Inputs!$C$49)+Inputs!$C$47*0.137))+0.35*COS(2*PI()*(((0)/Inputs!$C$50)+Inputs!$C$47*0.173))+0.2*SIN(2*PI()*((((Scenario_Data!V160)+(0))/(0.5*(Inputs!$C$49+Inputs!$C$50)))+Inputs!$C$47*0.097)))+0.3*(2*((SIN(((Scenario_Data!V160)*12.9898+(0)*78.233+Inputs!$C$47*37.719))*43758.5453)-INT((SIN(((Scenario_Data!V160)*12.9898+(0)*78.233+Inputs!$C$47*37.719))*43758.5453)))-1)))))/Inputs!$C$21*1000000</f>
        <v/>
      </c>
      <c r="AD160">
        <f>Scenario_Data!W160</f>
        <v/>
      </c>
      <c r="AE160">
        <f>2*((Scenario_Data!E160*1000)-(IF(OR(Inputs!$C$27=TRUE,Inputs!$C$27="TRUE",Inputs!$C$27=1),1,0)*(Inputs!$C$51*(115*EXP(-(((0)-25)^2)/(4.5^2))+70*EXP(-(((0)+38)^2)/(7^2))*(0.55+0.45*SIN(2*PI()*(Scenario_Data!W160)/45))+24*SIN(2*PI()*(0)/9+(Scenario_Data!W160)/18)*EXP(-(((0)+5)^2)/(22^2))+18*SIN(2*PI()*(Scenario_Data!W160)/70))+Inputs!$C$28*EXP(-(((Scenario_Data!W160)-Inputs!$C$29)^2)/(2*Inputs!$C$31^2))*EXP(-(((0)-Inputs!$C$30)^2)/(2*Inputs!$C$32^2))+-Inputs!$C$33*EXP(-(((((Scenario_Data!W160)-Inputs!$C$34)^2)+(((0)-Inputs!$C$35)^2))/(2*Inputs!$C$36^2)))+Inputs!$C$37*(0.55*SIN(2*PI()*(Scenario_Data!W160)/Inputs!$C$39)+0.35*COS(2*PI()*(0)/Inputs!$C$40)+0.2*SIN(2*PI()*((Scenario_Data!W160)+(0))/(0.5*(Inputs!$C$39+Inputs!$C$40))))+Inputs!$C$38*SIN(2*PI()*(Scenario_Data!W160)/Inputs!$C$39)*SIN(2*PI()*(0)/Inputs!$C$40)+-Inputs!$C$41*EXP(-(((0)-Inputs!$C$43)^2)/(2*Inputs!$C$44^2))*EXP(-(((Scenario_Data!W160)-Inputs!$C$42)^2)/(2*Inputs!$C$45^2))+Inputs!$C$48*(0.7*(0.45*SIN(2*PI()*(((Scenario_Data!W160)/Inputs!$C$49)+Inputs!$C$47*0.137))+0.35*COS(2*PI()*(((0)/Inputs!$C$50)+Inputs!$C$47*0.173))+0.2*SIN(2*PI()*((((Scenario_Data!W160)+(0))/(0.5*(Inputs!$C$49+Inputs!$C$50)))+Inputs!$C$47*0.097)))+0.3*(2*((SIN(((Scenario_Data!W160)*12.9898+(0)*78.233+Inputs!$C$47*37.719))*43758.5453)-INT((SIN(((Scenario_Data!W160)*12.9898+(0)*78.233+Inputs!$C$47*37.719))*43758.5453)))-1)))))/Inputs!$C$21*1000000</f>
        <v/>
      </c>
      <c r="AG160">
        <f>Scenario_Data!T160</f>
        <v/>
      </c>
      <c r="AH160">
        <f>2*(SQRT((Inputs!$C$52+(Scenario_Data!B160))^2+Inputs!$C$52^2-2*(Inputs!$C$52+(Scenario_Data!B160))*Inputs!$C$52*COS(SQRT((Scenario_Data!T160)^2+Inputs!$C$6^2)/Inputs!$C$52))*1000)/Inputs!$C$21*1000000</f>
        <v/>
      </c>
      <c r="AI160">
        <f>Scenario_Data!U160</f>
        <v/>
      </c>
      <c r="AJ160">
        <f>2*(SQRT((Inputs!$C$52+(Scenario_Data!C160))^2+Inputs!$C$52^2-2*(Inputs!$C$52+(Scenario_Data!C160))*Inputs!$C$52*COS(SQRT((Scenario_Data!U160)^2+Inputs!$C$6^2)/Inputs!$C$52))*1000)/Inputs!$C$21*1000000</f>
        <v/>
      </c>
      <c r="AK160">
        <f>Scenario_Data!V160</f>
        <v/>
      </c>
      <c r="AL160">
        <f>2*(SQRT((Inputs!$C$52+(Scenario_Data!D160))^2+Inputs!$C$52^2-2*(Inputs!$C$52+(Scenario_Data!D160))*Inputs!$C$52*COS(SQRT((Scenario_Data!V160)^2+Inputs!$C$6^2)/Inputs!$C$52))*1000)/Inputs!$C$21*1000000</f>
        <v/>
      </c>
      <c r="AM160">
        <f>Scenario_Data!W160</f>
        <v/>
      </c>
      <c r="AN160">
        <f>2*(SQRT((Inputs!$C$52+(Scenario_Data!E160))^2+Inputs!$C$52^2-2*(Inputs!$C$52+(Scenario_Data!E160))*Inputs!$C$52*COS(SQRT((Scenario_Data!W160)^2+Inputs!$C$6^2)/Inputs!$C$52))*1000)/Inputs!$C$21*1000000</f>
        <v/>
      </c>
      <c r="AP160">
        <f>Scenario_Data!T160</f>
        <v/>
      </c>
      <c r="AQ160">
        <f>2*(SQRT((Inputs!$C$52+(Scenario_Data!B160))^2+(Inputs!$C$52+((IF(OR(Inputs!$C$27=TRUE,Inputs!$C$27="TRUE",Inputs!$C$27=1),1,0)*(Inputs!$C$51*(115*EXP(-(((Inputs!$C$6)-25)^2)/(4.5^2))+70*EXP(-(((Inputs!$C$6)+38)^2)/(7^2))*(0.55+0.45*SIN(2*PI()*(Scenario_Data!T160)/45))+24*SIN(2*PI()*(Inputs!$C$6)/9+(Scenario_Data!T160)/18)*EXP(-(((Inputs!$C$6)+5)^2)/(22^2))+18*SIN(2*PI()*(Scenario_Data!T160)/70))+Inputs!$C$28*EXP(-(((Scenario_Data!T160)-Inputs!$C$29)^2)/(2*Inputs!$C$31^2))*EXP(-(((Inputs!$C$6)-Inputs!$C$30)^2)/(2*Inputs!$C$32^2))+-Inputs!$C$33*EXP(-(((((Scenario_Data!T160)-Inputs!$C$34)^2)+(((Inputs!$C$6)-Inputs!$C$35)^2))/(2*Inputs!$C$36^2)))+Inputs!$C$37*(0.55*SIN(2*PI()*(Scenario_Data!T160)/Inputs!$C$39)+0.35*COS(2*PI()*(Inputs!$C$6)/Inputs!$C$40)+0.2*SIN(2*PI()*((Scenario_Data!T160)+(Inputs!$C$6))/(0.5*(Inputs!$C$39+Inputs!$C$40))))+Inputs!$C$38*SIN(2*PI()*(Scenario_Data!T160)/Inputs!$C$39)*SIN(2*PI()*(Inputs!$C$6)/Inputs!$C$40)+-Inputs!$C$41*EXP(-(((Inputs!$C$6)-Inputs!$C$43)^2)/(2*Inputs!$C$44^2))*EXP(-(((Scenario_Data!T160)-Inputs!$C$42)^2)/(2*Inputs!$C$45^2))+Inputs!$C$48*(0.7*(0.45*SIN(2*PI()*(((Scenario_Data!T160)/Inputs!$C$49)+Inputs!$C$47*0.137))+0.35*COS(2*PI()*(((Inputs!$C$6)/Inputs!$C$50)+Inputs!$C$47*0.173))+0.2*SIN(2*PI()*((((Scenario_Data!T160)+(Inputs!$C$6))/(0.5*(Inputs!$C$49+Inputs!$C$50)))+Inputs!$C$47*0.097)))+0.3*(2*((SIN(((Scenario_Data!T160)*12.9898+(Inputs!$C$6)*78.233+Inputs!$C$47*37.719))*43758.5453)-INT((SIN(((Scenario_Data!T160)*12.9898+(Inputs!$C$6)*78.233+Inputs!$C$47*37.719))*43758.5453)))-1))))/1000))^2-2*(Inputs!$C$52+(Scenario_Data!B160))*(Inputs!$C$52+((IF(OR(Inputs!$C$27=TRUE,Inputs!$C$27="TRUE",Inputs!$C$27=1),1,0)*(Inputs!$C$51*(115*EXP(-(((Inputs!$C$6)-25)^2)/(4.5^2))+70*EXP(-(((Inputs!$C$6)+38)^2)/(7^2))*(0.55+0.45*SIN(2*PI()*(Scenario_Data!T160)/45))+24*SIN(2*PI()*(Inputs!$C$6)/9+(Scenario_Data!T160)/18)*EXP(-(((Inputs!$C$6)+5)^2)/(22^2))+18*SIN(2*PI()*(Scenario_Data!T160)/70))+Inputs!$C$28*EXP(-(((Scenario_Data!T160)-Inputs!$C$29)^2)/(2*Inputs!$C$31^2))*EXP(-(((Inputs!$C$6)-Inputs!$C$30)^2)/(2*Inputs!$C$32^2))+-Inputs!$C$33*EXP(-(((((Scenario_Data!T160)-Inputs!$C$34)^2)+(((Inputs!$C$6)-Inputs!$C$35)^2))/(2*Inputs!$C$36^2)))+Inputs!$C$37*(0.55*SIN(2*PI()*(Scenario_Data!T160)/Inputs!$C$39)+0.35*COS(2*PI()*(Inputs!$C$6)/Inputs!$C$40)+0.2*SIN(2*PI()*((Scenario_Data!T160)+(Inputs!$C$6))/(0.5*(Inputs!$C$39+Inputs!$C$40))))+Inputs!$C$38*SIN(2*PI()*(Scenario_Data!T160)/Inputs!$C$39)*SIN(2*PI()*(Inputs!$C$6)/Inputs!$C$40)+-Inputs!$C$41*EXP(-(((Inputs!$C$6)-Inputs!$C$43)^2)/(2*Inputs!$C$44^2))*EXP(-(((Scenario_Data!T160)-Inputs!$C$42)^2)/(2*Inputs!$C$45^2))+Inputs!$C$48*(0.7*(0.45*SIN(2*PI()*(((Scenario_Data!T160)/Inputs!$C$49)+Inputs!$C$47*0.137))+0.35*COS(2*PI()*(((Inputs!$C$6)/Inputs!$C$50)+Inputs!$C$47*0.173))+0.2*SIN(2*PI()*((((Scenario_Data!T160)+(Inputs!$C$6))/(0.5*(Inputs!$C$49+Inputs!$C$50)))+Inputs!$C$47*0.097)))+0.3*(2*((SIN(((Scenario_Data!T160)*12.9898+(Inputs!$C$6)*78.233+Inputs!$C$47*37.719))*43758.5453)-INT((SIN(((Scenario_Data!T160)*12.9898+(Inputs!$C$6)*78.233+Inputs!$C$47*37.719))*43758.5453)))-1))))/1000))*COS(SQRT((Scenario_Data!T160)^2+Inputs!$C$6^2)/Inputs!$C$52))*1000)/Inputs!$C$21*1000000</f>
        <v/>
      </c>
      <c r="AR160">
        <f>Scenario_Data!U160</f>
        <v/>
      </c>
      <c r="AS160">
        <f>2*(SQRT((Inputs!$C$52+(Scenario_Data!C160))^2+(Inputs!$C$52+((IF(OR(Inputs!$C$27=TRUE,Inputs!$C$27="TRUE",Inputs!$C$27=1),1,0)*(Inputs!$C$51*(115*EXP(-(((Inputs!$C$6)-25)^2)/(4.5^2))+70*EXP(-(((Inputs!$C$6)+38)^2)/(7^2))*(0.55+0.45*SIN(2*PI()*(Scenario_Data!U160)/45))+24*SIN(2*PI()*(Inputs!$C$6)/9+(Scenario_Data!U160)/18)*EXP(-(((Inputs!$C$6)+5)^2)/(22^2))+18*SIN(2*PI()*(Scenario_Data!U160)/70))+Inputs!$C$28*EXP(-(((Scenario_Data!U160)-Inputs!$C$29)^2)/(2*Inputs!$C$31^2))*EXP(-(((Inputs!$C$6)-Inputs!$C$30)^2)/(2*Inputs!$C$32^2))+-Inputs!$C$33*EXP(-(((((Scenario_Data!U160)-Inputs!$C$34)^2)+(((Inputs!$C$6)-Inputs!$C$35)^2))/(2*Inputs!$C$36^2)))+Inputs!$C$37*(0.55*SIN(2*PI()*(Scenario_Data!U160)/Inputs!$C$39)+0.35*COS(2*PI()*(Inputs!$C$6)/Inputs!$C$40)+0.2*SIN(2*PI()*((Scenario_Data!U160)+(Inputs!$C$6))/(0.5*(Inputs!$C$39+Inputs!$C$40))))+Inputs!$C$38*SIN(2*PI()*(Scenario_Data!U160)/Inputs!$C$39)*SIN(2*PI()*(Inputs!$C$6)/Inputs!$C$40)+-Inputs!$C$41*EXP(-(((Inputs!$C$6)-Inputs!$C$43)^2)/(2*Inputs!$C$44^2))*EXP(-(((Scenario_Data!U160)-Inputs!$C$42)^2)/(2*Inputs!$C$45^2))+Inputs!$C$48*(0.7*(0.45*SIN(2*PI()*(((Scenario_Data!U160)/Inputs!$C$49)+Inputs!$C$47*0.137))+0.35*COS(2*PI()*(((Inputs!$C$6)/Inputs!$C$50)+Inputs!$C$47*0.173))+0.2*SIN(2*PI()*((((Scenario_Data!U160)+(Inputs!$C$6))/(0.5*(Inputs!$C$49+Inputs!$C$50)))+Inputs!$C$47*0.097)))+0.3*(2*((SIN(((Scenario_Data!U160)*12.9898+(Inputs!$C$6)*78.233+Inputs!$C$47*37.719))*43758.5453)-INT((SIN(((Scenario_Data!U160)*12.9898+(Inputs!$C$6)*78.233+Inputs!$C$47*37.719))*43758.5453)))-1))))/1000))^2-2*(Inputs!$C$52+(Scenario_Data!C160))*(Inputs!$C$52+((IF(OR(Inputs!$C$27=TRUE,Inputs!$C$27="TRUE",Inputs!$C$27=1),1,0)*(Inputs!$C$51*(115*EXP(-(((Inputs!$C$6)-25)^2)/(4.5^2))+70*EXP(-(((Inputs!$C$6)+38)^2)/(7^2))*(0.55+0.45*SIN(2*PI()*(Scenario_Data!U160)/45))+24*SIN(2*PI()*(Inputs!$C$6)/9+(Scenario_Data!U160)/18)*EXP(-(((Inputs!$C$6)+5)^2)/(22^2))+18*SIN(2*PI()*(Scenario_Data!U160)/70))+Inputs!$C$28*EXP(-(((Scenario_Data!U160)-Inputs!$C$29)^2)/(2*Inputs!$C$31^2))*EXP(-(((Inputs!$C$6)-Inputs!$C$30)^2)/(2*Inputs!$C$32^2))+-Inputs!$C$33*EXP(-(((((Scenario_Data!U160)-Inputs!$C$34)^2)+(((Inputs!$C$6)-Inputs!$C$35)^2))/(2*Inputs!$C$36^2)))+Inputs!$C$37*(0.55*SIN(2*PI()*(Scenario_Data!U160)/Inputs!$C$39)+0.35*COS(2*PI()*(Inputs!$C$6)/Inputs!$C$40)+0.2*SIN(2*PI()*((Scenario_Data!U160)+(Inputs!$C$6))/(0.5*(Inputs!$C$39+Inputs!$C$40))))+Inputs!$C$38*SIN(2*PI()*(Scenario_Data!U160)/Inputs!$C$39)*SIN(2*PI()*(Inputs!$C$6)/Inputs!$C$40)+-Inputs!$C$41*EXP(-(((Inputs!$C$6)-Inputs!$C$43)^2)/(2*Inputs!$C$44^2))*EXP(-(((Scenario_Data!U160)-Inputs!$C$42)^2)/(2*Inputs!$C$45^2))+Inputs!$C$48*(0.7*(0.45*SIN(2*PI()*(((Scenario_Data!U160)/Inputs!$C$49)+Inputs!$C$47*0.137))+0.35*COS(2*PI()*(((Inputs!$C$6)/Inputs!$C$50)+Inputs!$C$47*0.173))+0.2*SIN(2*PI()*((((Scenario_Data!U160)+(Inputs!$C$6))/(0.5*(Inputs!$C$49+Inputs!$C$50)))+Inputs!$C$47*0.097)))+0.3*(2*((SIN(((Scenario_Data!U160)*12.9898+(Inputs!$C$6)*78.233+Inputs!$C$47*37.719))*43758.5453)-INT((SIN(((Scenario_Data!U160)*12.9898+(Inputs!$C$6)*78.233+Inputs!$C$47*37.719))*43758.5453)))-1))))/1000))*COS(SQRT((Scenario_Data!U160)^2+Inputs!$C$6^2)/Inputs!$C$52))*1000)/Inputs!$C$21*1000000</f>
        <v/>
      </c>
      <c r="AT160">
        <f>Scenario_Data!V160</f>
        <v/>
      </c>
      <c r="AU160">
        <f>2*(SQRT((Inputs!$C$52+(Scenario_Data!D160))^2+(Inputs!$C$52+((IF(OR(Inputs!$C$27=TRUE,Inputs!$C$27="TRUE",Inputs!$C$27=1),1,0)*(Inputs!$C$51*(115*EXP(-(((Inputs!$C$6)-25)^2)/(4.5^2))+70*EXP(-(((Inputs!$C$6)+38)^2)/(7^2))*(0.55+0.45*SIN(2*PI()*(Scenario_Data!V160)/45))+24*SIN(2*PI()*(Inputs!$C$6)/9+(Scenario_Data!V160)/18)*EXP(-(((Inputs!$C$6)+5)^2)/(22^2))+18*SIN(2*PI()*(Scenario_Data!V160)/70))+Inputs!$C$28*EXP(-(((Scenario_Data!V160)-Inputs!$C$29)^2)/(2*Inputs!$C$31^2))*EXP(-(((Inputs!$C$6)-Inputs!$C$30)^2)/(2*Inputs!$C$32^2))+-Inputs!$C$33*EXP(-(((((Scenario_Data!V160)-Inputs!$C$34)^2)+(((Inputs!$C$6)-Inputs!$C$35)^2))/(2*Inputs!$C$36^2)))+Inputs!$C$37*(0.55*SIN(2*PI()*(Scenario_Data!V160)/Inputs!$C$39)+0.35*COS(2*PI()*(Inputs!$C$6)/Inputs!$C$40)+0.2*SIN(2*PI()*((Scenario_Data!V160)+(Inputs!$C$6))/(0.5*(Inputs!$C$39+Inputs!$C$40))))+Inputs!$C$38*SIN(2*PI()*(Scenario_Data!V160)/Inputs!$C$39)*SIN(2*PI()*(Inputs!$C$6)/Inputs!$C$40)+-Inputs!$C$41*EXP(-(((Inputs!$C$6)-Inputs!$C$43)^2)/(2*Inputs!$C$44^2))*EXP(-(((Scenario_Data!V160)-Inputs!$C$42)^2)/(2*Inputs!$C$45^2))+Inputs!$C$48*(0.7*(0.45*SIN(2*PI()*(((Scenario_Data!V160)/Inputs!$C$49)+Inputs!$C$47*0.137))+0.35*COS(2*PI()*(((Inputs!$C$6)/Inputs!$C$50)+Inputs!$C$47*0.173))+0.2*SIN(2*PI()*((((Scenario_Data!V160)+(Inputs!$C$6))/(0.5*(Inputs!$C$49+Inputs!$C$50)))+Inputs!$C$47*0.097)))+0.3*(2*((SIN(((Scenario_Data!V160)*12.9898+(Inputs!$C$6)*78.233+Inputs!$C$47*37.719))*43758.5453)-INT((SIN(((Scenario_Data!V160)*12.9898+(Inputs!$C$6)*78.233+Inputs!$C$47*37.719))*43758.5453)))-1))))/1000))^2-2*(Inputs!$C$52+(Scenario_Data!D160))*(Inputs!$C$52+((IF(OR(Inputs!$C$27=TRUE,Inputs!$C$27="TRUE",Inputs!$C$27=1),1,0)*(Inputs!$C$51*(115*EXP(-(((Inputs!$C$6)-25)^2)/(4.5^2))+70*EXP(-(((Inputs!$C$6)+38)^2)/(7^2))*(0.55+0.45*SIN(2*PI()*(Scenario_Data!V160)/45))+24*SIN(2*PI()*(Inputs!$C$6)/9+(Scenario_Data!V160)/18)*EXP(-(((Inputs!$C$6)+5)^2)/(22^2))+18*SIN(2*PI()*(Scenario_Data!V160)/70))+Inputs!$C$28*EXP(-(((Scenario_Data!V160)-Inputs!$C$29)^2)/(2*Inputs!$C$31^2))*EXP(-(((Inputs!$C$6)-Inputs!$C$30)^2)/(2*Inputs!$C$32^2))+-Inputs!$C$33*EXP(-(((((Scenario_Data!V160)-Inputs!$C$34)^2)+(((Inputs!$C$6)-Inputs!$C$35)^2))/(2*Inputs!$C$36^2)))+Inputs!$C$37*(0.55*SIN(2*PI()*(Scenario_Data!V160)/Inputs!$C$39)+0.35*COS(2*PI()*(Inputs!$C$6)/Inputs!$C$40)+0.2*SIN(2*PI()*((Scenario_Data!V160)+(Inputs!$C$6))/(0.5*(Inputs!$C$39+Inputs!$C$40))))+Inputs!$C$38*SIN(2*PI()*(Scenario_Data!V160)/Inputs!$C$39)*SIN(2*PI()*(Inputs!$C$6)/Inputs!$C$40)+-Inputs!$C$41*EXP(-(((Inputs!$C$6)-Inputs!$C$43)^2)/(2*Inputs!$C$44^2))*EXP(-(((Scenario_Data!V160)-Inputs!$C$42)^2)/(2*Inputs!$C$45^2))+Inputs!$C$48*(0.7*(0.45*SIN(2*PI()*(((Scenario_Data!V160)/Inputs!$C$49)+Inputs!$C$47*0.137))+0.35*COS(2*PI()*(((Inputs!$C$6)/Inputs!$C$50)+Inputs!$C$47*0.173))+0.2*SIN(2*PI()*((((Scenario_Data!V160)+(Inputs!$C$6))/(0.5*(Inputs!$C$49+Inputs!$C$50)))+Inputs!$C$47*0.097)))+0.3*(2*((SIN(((Scenario_Data!V160)*12.9898+(Inputs!$C$6)*78.233+Inputs!$C$47*37.719))*43758.5453)-INT((SIN(((Scenario_Data!V160)*12.9898+(Inputs!$C$6)*78.233+Inputs!$C$47*37.719))*43758.5453)))-1))))/1000))*COS(SQRT((Scenario_Data!V160)^2+Inputs!$C$6^2)/Inputs!$C$52))*1000)/Inputs!$C$21*1000000</f>
        <v/>
      </c>
      <c r="AV160">
        <f>Scenario_Data!W160</f>
        <v/>
      </c>
      <c r="AW160">
        <f>2*(SQRT((Inputs!$C$52+(Scenario_Data!E160))^2+(Inputs!$C$52+((IF(OR(Inputs!$C$27=TRUE,Inputs!$C$27="TRUE",Inputs!$C$27=1),1,0)*(Inputs!$C$51*(115*EXP(-(((Inputs!$C$6)-25)^2)/(4.5^2))+70*EXP(-(((Inputs!$C$6)+38)^2)/(7^2))*(0.55+0.45*SIN(2*PI()*(Scenario_Data!W160)/45))+24*SIN(2*PI()*(Inputs!$C$6)/9+(Scenario_Data!W160)/18)*EXP(-(((Inputs!$C$6)+5)^2)/(22^2))+18*SIN(2*PI()*(Scenario_Data!W160)/70))+Inputs!$C$28*EXP(-(((Scenario_Data!W160)-Inputs!$C$29)^2)/(2*Inputs!$C$31^2))*EXP(-(((Inputs!$C$6)-Inputs!$C$30)^2)/(2*Inputs!$C$32^2))+-Inputs!$C$33*EXP(-(((((Scenario_Data!W160)-Inputs!$C$34)^2)+(((Inputs!$C$6)-Inputs!$C$35)^2))/(2*Inputs!$C$36^2)))+Inputs!$C$37*(0.55*SIN(2*PI()*(Scenario_Data!W160)/Inputs!$C$39)+0.35*COS(2*PI()*(Inputs!$C$6)/Inputs!$C$40)+0.2*SIN(2*PI()*((Scenario_Data!W160)+(Inputs!$C$6))/(0.5*(Inputs!$C$39+Inputs!$C$40))))+Inputs!$C$38*SIN(2*PI()*(Scenario_Data!W160)/Inputs!$C$39)*SIN(2*PI()*(Inputs!$C$6)/Inputs!$C$40)+-Inputs!$C$41*EXP(-(((Inputs!$C$6)-Inputs!$C$43)^2)/(2*Inputs!$C$44^2))*EXP(-(((Scenario_Data!W160)-Inputs!$C$42)^2)/(2*Inputs!$C$45^2))+Inputs!$C$48*(0.7*(0.45*SIN(2*PI()*(((Scenario_Data!W160)/Inputs!$C$49)+Inputs!$C$47*0.137))+0.35*COS(2*PI()*(((Inputs!$C$6)/Inputs!$C$50)+Inputs!$C$47*0.173))+0.2*SIN(2*PI()*((((Scenario_Data!W160)+(Inputs!$C$6))/(0.5*(Inputs!$C$49+Inputs!$C$50)))+Inputs!$C$47*0.097)))+0.3*(2*((SIN(((Scenario_Data!W160)*12.9898+(Inputs!$C$6)*78.233+Inputs!$C$47*37.719))*43758.5453)-INT((SIN(((Scenario_Data!W160)*12.9898+(Inputs!$C$6)*78.233+Inputs!$C$47*37.719))*43758.5453)))-1))))/1000))^2-2*(Inputs!$C$52+(Scenario_Data!E160))*(Inputs!$C$52+((IF(OR(Inputs!$C$27=TRUE,Inputs!$C$27="TRUE",Inputs!$C$27=1),1,0)*(Inputs!$C$51*(115*EXP(-(((Inputs!$C$6)-25)^2)/(4.5^2))+70*EXP(-(((Inputs!$C$6)+38)^2)/(7^2))*(0.55+0.45*SIN(2*PI()*(Scenario_Data!W160)/45))+24*SIN(2*PI()*(Inputs!$C$6)/9+(Scenario_Data!W160)/18)*EXP(-(((Inputs!$C$6)+5)^2)/(22^2))+18*SIN(2*PI()*(Scenario_Data!W160)/70))+Inputs!$C$28*EXP(-(((Scenario_Data!W160)-Inputs!$C$29)^2)/(2*Inputs!$C$31^2))*EXP(-(((Inputs!$C$6)-Inputs!$C$30)^2)/(2*Inputs!$C$32^2))+-Inputs!$C$33*EXP(-(((((Scenario_Data!W160)-Inputs!$C$34)^2)+(((Inputs!$C$6)-Inputs!$C$35)^2))/(2*Inputs!$C$36^2)))+Inputs!$C$37*(0.55*SIN(2*PI()*(Scenario_Data!W160)/Inputs!$C$39)+0.35*COS(2*PI()*(Inputs!$C$6)/Inputs!$C$40)+0.2*SIN(2*PI()*((Scenario_Data!W160)+(Inputs!$C$6))/(0.5*(Inputs!$C$39+Inputs!$C$40))))+Inputs!$C$38*SIN(2*PI()*(Scenario_Data!W160)/Inputs!$C$39)*SIN(2*PI()*(Inputs!$C$6)/Inputs!$C$40)+-Inputs!$C$41*EXP(-(((Inputs!$C$6)-Inputs!$C$43)^2)/(2*Inputs!$C$44^2))*EXP(-(((Scenario_Data!W160)-Inputs!$C$42)^2)/(2*Inputs!$C$45^2))+Inputs!$C$48*(0.7*(0.45*SIN(2*PI()*(((Scenario_Data!W160)/Inputs!$C$49)+Inputs!$C$47*0.137))+0.35*COS(2*PI()*(((Inputs!$C$6)/Inputs!$C$50)+Inputs!$C$47*0.173))+0.2*SIN(2*PI()*((((Scenario_Data!W160)+(Inputs!$C$6))/(0.5*(Inputs!$C$49+Inputs!$C$50)))+Inputs!$C$47*0.097)))+0.3*(2*((SIN(((Scenario_Data!W160)*12.9898+(Inputs!$C$6)*78.233+Inputs!$C$47*37.719))*43758.5453)-INT((SIN(((Scenario_Data!W160)*12.9898+(Inputs!$C$6)*78.233+Inputs!$C$47*37.719))*43758.5453)))-1))))/1000))*COS(SQRT((Scenario_Data!W160)^2+Inputs!$C$6^2)/Inputs!$C$52))*1000)/Inputs!$C$21*1000000</f>
        <v/>
      </c>
    </row>
    <row r="161">
      <c r="A161">
        <f>Chart_Data!K161</f>
        <v/>
      </c>
      <c r="B161">
        <f>Chart_Data!N161-Chart_Data!L161</f>
        <v/>
      </c>
      <c r="D161">
        <f>Chart_Data!G161</f>
        <v/>
      </c>
      <c r="E161">
        <f>Chart_Data!H161</f>
        <v/>
      </c>
      <c r="F161">
        <f>Chart_Data!I161</f>
        <v/>
      </c>
      <c r="G161">
        <f>Chart_Data!J161</f>
        <v/>
      </c>
      <c r="I161">
        <f>Scenario_Data!A161</f>
        <v/>
      </c>
      <c r="J161">
        <f>Scenario_Data!H161-(((SQRT((Inputs!$C$52+(Inputs!$H$6))^2+Inputs!$C$52^2-2*(Inputs!$C$52+(Inputs!$H$6))*Inputs!$C$52*COS(SQRT((Scenario_Data!T161)^2+Inputs!$C$6^2)/Inputs!$C$52)))-(Inputs!$H$6))*1000/Inputs!$C$12)</f>
        <v/>
      </c>
      <c r="K161">
        <f>Scenario_Data!I161-(((SQRT((Inputs!$C$52+(Inputs!$H$7))^2+Inputs!$C$52^2-2*(Inputs!$C$52+(Inputs!$H$7))*Inputs!$C$52*COS(SQRT((Scenario_Data!U161)^2+Inputs!$C$6^2)/Inputs!$C$52)))-(Inputs!$H$7))*1000/Inputs!$C$12)</f>
        <v/>
      </c>
      <c r="L161">
        <f>Scenario_Data!J161-(((SQRT((Inputs!$C$52+(Inputs!$H$8))^2+Inputs!$C$52^2-2*(Inputs!$C$52+(Inputs!$H$8))*Inputs!$C$52*COS(SQRT((Scenario_Data!V161)^2+Inputs!$C$6^2)/Inputs!$C$52)))-(Inputs!$H$8))*1000/Inputs!$C$12)</f>
        <v/>
      </c>
      <c r="M161">
        <f>Scenario_Data!K161-(((SQRT((Inputs!$C$52+(Inputs!$H$9))^2+Inputs!$C$52^2-2*(Inputs!$C$52+(Inputs!$H$9))*Inputs!$C$52*COS(SQRT((Scenario_Data!W161)^2+Inputs!$C$6^2)/Inputs!$C$52)))-(Inputs!$H$9))*1000/Inputs!$C$12)</f>
        <v/>
      </c>
      <c r="O161">
        <f>Scenario_Data!T161</f>
        <v/>
      </c>
      <c r="P161">
        <f>2*(Scenario_Data!B161*1000)/Inputs!$C$21*1000000</f>
        <v/>
      </c>
      <c r="Q161">
        <f>Scenario_Data!U161</f>
        <v/>
      </c>
      <c r="R161">
        <f>2*(Scenario_Data!C161*1000)/Inputs!$C$21*1000000</f>
        <v/>
      </c>
      <c r="S161">
        <f>Scenario_Data!V161</f>
        <v/>
      </c>
      <c r="T161">
        <f>2*(Scenario_Data!D161*1000)/Inputs!$C$21*1000000</f>
        <v/>
      </c>
      <c r="U161">
        <f>Scenario_Data!W161</f>
        <v/>
      </c>
      <c r="V161">
        <f>2*(Scenario_Data!E161*1000)/Inputs!$C$21*1000000</f>
        <v/>
      </c>
      <c r="X161">
        <f>Scenario_Data!T161</f>
        <v/>
      </c>
      <c r="Y161">
        <f>2*((Scenario_Data!B161*1000)-(IF(OR(Inputs!$C$27=TRUE,Inputs!$C$27="TRUE",Inputs!$C$27=1),1,0)*(Inputs!$C$51*(115*EXP(-(((0)-25)^2)/(4.5^2))+70*EXP(-(((0)+38)^2)/(7^2))*(0.55+0.45*SIN(2*PI()*(Scenario_Data!T161)/45))+24*SIN(2*PI()*(0)/9+(Scenario_Data!T161)/18)*EXP(-(((0)+5)^2)/(22^2))+18*SIN(2*PI()*(Scenario_Data!T161)/70))+Inputs!$C$28*EXP(-(((Scenario_Data!T161)-Inputs!$C$29)^2)/(2*Inputs!$C$31^2))*EXP(-(((0)-Inputs!$C$30)^2)/(2*Inputs!$C$32^2))+-Inputs!$C$33*EXP(-(((((Scenario_Data!T161)-Inputs!$C$34)^2)+(((0)-Inputs!$C$35)^2))/(2*Inputs!$C$36^2)))+Inputs!$C$37*(0.55*SIN(2*PI()*(Scenario_Data!T161)/Inputs!$C$39)+0.35*COS(2*PI()*(0)/Inputs!$C$40)+0.2*SIN(2*PI()*((Scenario_Data!T161)+(0))/(0.5*(Inputs!$C$39+Inputs!$C$40))))+Inputs!$C$38*SIN(2*PI()*(Scenario_Data!T161)/Inputs!$C$39)*SIN(2*PI()*(0)/Inputs!$C$40)+-Inputs!$C$41*EXP(-(((0)-Inputs!$C$43)^2)/(2*Inputs!$C$44^2))*EXP(-(((Scenario_Data!T161)-Inputs!$C$42)^2)/(2*Inputs!$C$45^2))+Inputs!$C$48*(0.7*(0.45*SIN(2*PI()*(((Scenario_Data!T161)/Inputs!$C$49)+Inputs!$C$47*0.137))+0.35*COS(2*PI()*(((0)/Inputs!$C$50)+Inputs!$C$47*0.173))+0.2*SIN(2*PI()*((((Scenario_Data!T161)+(0))/(0.5*(Inputs!$C$49+Inputs!$C$50)))+Inputs!$C$47*0.097)))+0.3*(2*((SIN(((Scenario_Data!T161)*12.9898+(0)*78.233+Inputs!$C$47*37.719))*43758.5453)-INT((SIN(((Scenario_Data!T161)*12.9898+(0)*78.233+Inputs!$C$47*37.719))*43758.5453)))-1)))))/Inputs!$C$21*1000000</f>
        <v/>
      </c>
      <c r="Z161">
        <f>Scenario_Data!U161</f>
        <v/>
      </c>
      <c r="AA161">
        <f>2*((Scenario_Data!C161*1000)-(IF(OR(Inputs!$C$27=TRUE,Inputs!$C$27="TRUE",Inputs!$C$27=1),1,0)*(Inputs!$C$51*(115*EXP(-(((0)-25)^2)/(4.5^2))+70*EXP(-(((0)+38)^2)/(7^2))*(0.55+0.45*SIN(2*PI()*(Scenario_Data!U161)/45))+24*SIN(2*PI()*(0)/9+(Scenario_Data!U161)/18)*EXP(-(((0)+5)^2)/(22^2))+18*SIN(2*PI()*(Scenario_Data!U161)/70))+Inputs!$C$28*EXP(-(((Scenario_Data!U161)-Inputs!$C$29)^2)/(2*Inputs!$C$31^2))*EXP(-(((0)-Inputs!$C$30)^2)/(2*Inputs!$C$32^2))+-Inputs!$C$33*EXP(-(((((Scenario_Data!U161)-Inputs!$C$34)^2)+(((0)-Inputs!$C$35)^2))/(2*Inputs!$C$36^2)))+Inputs!$C$37*(0.55*SIN(2*PI()*(Scenario_Data!U161)/Inputs!$C$39)+0.35*COS(2*PI()*(0)/Inputs!$C$40)+0.2*SIN(2*PI()*((Scenario_Data!U161)+(0))/(0.5*(Inputs!$C$39+Inputs!$C$40))))+Inputs!$C$38*SIN(2*PI()*(Scenario_Data!U161)/Inputs!$C$39)*SIN(2*PI()*(0)/Inputs!$C$40)+-Inputs!$C$41*EXP(-(((0)-Inputs!$C$43)^2)/(2*Inputs!$C$44^2))*EXP(-(((Scenario_Data!U161)-Inputs!$C$42)^2)/(2*Inputs!$C$45^2))+Inputs!$C$48*(0.7*(0.45*SIN(2*PI()*(((Scenario_Data!U161)/Inputs!$C$49)+Inputs!$C$47*0.137))+0.35*COS(2*PI()*(((0)/Inputs!$C$50)+Inputs!$C$47*0.173))+0.2*SIN(2*PI()*((((Scenario_Data!U161)+(0))/(0.5*(Inputs!$C$49+Inputs!$C$50)))+Inputs!$C$47*0.097)))+0.3*(2*((SIN(((Scenario_Data!U161)*12.9898+(0)*78.233+Inputs!$C$47*37.719))*43758.5453)-INT((SIN(((Scenario_Data!U161)*12.9898+(0)*78.233+Inputs!$C$47*37.719))*43758.5453)))-1)))))/Inputs!$C$21*1000000</f>
        <v/>
      </c>
      <c r="AB161">
        <f>Scenario_Data!V161</f>
        <v/>
      </c>
      <c r="AC161">
        <f>2*((Scenario_Data!D161*1000)-(IF(OR(Inputs!$C$27=TRUE,Inputs!$C$27="TRUE",Inputs!$C$27=1),1,0)*(Inputs!$C$51*(115*EXP(-(((0)-25)^2)/(4.5^2))+70*EXP(-(((0)+38)^2)/(7^2))*(0.55+0.45*SIN(2*PI()*(Scenario_Data!V161)/45))+24*SIN(2*PI()*(0)/9+(Scenario_Data!V161)/18)*EXP(-(((0)+5)^2)/(22^2))+18*SIN(2*PI()*(Scenario_Data!V161)/70))+Inputs!$C$28*EXP(-(((Scenario_Data!V161)-Inputs!$C$29)^2)/(2*Inputs!$C$31^2))*EXP(-(((0)-Inputs!$C$30)^2)/(2*Inputs!$C$32^2))+-Inputs!$C$33*EXP(-(((((Scenario_Data!V161)-Inputs!$C$34)^2)+(((0)-Inputs!$C$35)^2))/(2*Inputs!$C$36^2)))+Inputs!$C$37*(0.55*SIN(2*PI()*(Scenario_Data!V161)/Inputs!$C$39)+0.35*COS(2*PI()*(0)/Inputs!$C$40)+0.2*SIN(2*PI()*((Scenario_Data!V161)+(0))/(0.5*(Inputs!$C$39+Inputs!$C$40))))+Inputs!$C$38*SIN(2*PI()*(Scenario_Data!V161)/Inputs!$C$39)*SIN(2*PI()*(0)/Inputs!$C$40)+-Inputs!$C$41*EXP(-(((0)-Inputs!$C$43)^2)/(2*Inputs!$C$44^2))*EXP(-(((Scenario_Data!V161)-Inputs!$C$42)^2)/(2*Inputs!$C$45^2))+Inputs!$C$48*(0.7*(0.45*SIN(2*PI()*(((Scenario_Data!V161)/Inputs!$C$49)+Inputs!$C$47*0.137))+0.35*COS(2*PI()*(((0)/Inputs!$C$50)+Inputs!$C$47*0.173))+0.2*SIN(2*PI()*((((Scenario_Data!V161)+(0))/(0.5*(Inputs!$C$49+Inputs!$C$50)))+Inputs!$C$47*0.097)))+0.3*(2*((SIN(((Scenario_Data!V161)*12.9898+(0)*78.233+Inputs!$C$47*37.719))*43758.5453)-INT((SIN(((Scenario_Data!V161)*12.9898+(0)*78.233+Inputs!$C$47*37.719))*43758.5453)))-1)))))/Inputs!$C$21*1000000</f>
        <v/>
      </c>
      <c r="AD161">
        <f>Scenario_Data!W161</f>
        <v/>
      </c>
      <c r="AE161">
        <f>2*((Scenario_Data!E161*1000)-(IF(OR(Inputs!$C$27=TRUE,Inputs!$C$27="TRUE",Inputs!$C$27=1),1,0)*(Inputs!$C$51*(115*EXP(-(((0)-25)^2)/(4.5^2))+70*EXP(-(((0)+38)^2)/(7^2))*(0.55+0.45*SIN(2*PI()*(Scenario_Data!W161)/45))+24*SIN(2*PI()*(0)/9+(Scenario_Data!W161)/18)*EXP(-(((0)+5)^2)/(22^2))+18*SIN(2*PI()*(Scenario_Data!W161)/70))+Inputs!$C$28*EXP(-(((Scenario_Data!W161)-Inputs!$C$29)^2)/(2*Inputs!$C$31^2))*EXP(-(((0)-Inputs!$C$30)^2)/(2*Inputs!$C$32^2))+-Inputs!$C$33*EXP(-(((((Scenario_Data!W161)-Inputs!$C$34)^2)+(((0)-Inputs!$C$35)^2))/(2*Inputs!$C$36^2)))+Inputs!$C$37*(0.55*SIN(2*PI()*(Scenario_Data!W161)/Inputs!$C$39)+0.35*COS(2*PI()*(0)/Inputs!$C$40)+0.2*SIN(2*PI()*((Scenario_Data!W161)+(0))/(0.5*(Inputs!$C$39+Inputs!$C$40))))+Inputs!$C$38*SIN(2*PI()*(Scenario_Data!W161)/Inputs!$C$39)*SIN(2*PI()*(0)/Inputs!$C$40)+-Inputs!$C$41*EXP(-(((0)-Inputs!$C$43)^2)/(2*Inputs!$C$44^2))*EXP(-(((Scenario_Data!W161)-Inputs!$C$42)^2)/(2*Inputs!$C$45^2))+Inputs!$C$48*(0.7*(0.45*SIN(2*PI()*(((Scenario_Data!W161)/Inputs!$C$49)+Inputs!$C$47*0.137))+0.35*COS(2*PI()*(((0)/Inputs!$C$50)+Inputs!$C$47*0.173))+0.2*SIN(2*PI()*((((Scenario_Data!W161)+(0))/(0.5*(Inputs!$C$49+Inputs!$C$50)))+Inputs!$C$47*0.097)))+0.3*(2*((SIN(((Scenario_Data!W161)*12.9898+(0)*78.233+Inputs!$C$47*37.719))*43758.5453)-INT((SIN(((Scenario_Data!W161)*12.9898+(0)*78.233+Inputs!$C$47*37.719))*43758.5453)))-1)))))/Inputs!$C$21*1000000</f>
        <v/>
      </c>
      <c r="AG161">
        <f>Scenario_Data!T161</f>
        <v/>
      </c>
      <c r="AH161">
        <f>2*(SQRT((Inputs!$C$52+(Scenario_Data!B161))^2+Inputs!$C$52^2-2*(Inputs!$C$52+(Scenario_Data!B161))*Inputs!$C$52*COS(SQRT((Scenario_Data!T161)^2+Inputs!$C$6^2)/Inputs!$C$52))*1000)/Inputs!$C$21*1000000</f>
        <v/>
      </c>
      <c r="AI161">
        <f>Scenario_Data!U161</f>
        <v/>
      </c>
      <c r="AJ161">
        <f>2*(SQRT((Inputs!$C$52+(Scenario_Data!C161))^2+Inputs!$C$52^2-2*(Inputs!$C$52+(Scenario_Data!C161))*Inputs!$C$52*COS(SQRT((Scenario_Data!U161)^2+Inputs!$C$6^2)/Inputs!$C$52))*1000)/Inputs!$C$21*1000000</f>
        <v/>
      </c>
      <c r="AK161">
        <f>Scenario_Data!V161</f>
        <v/>
      </c>
      <c r="AL161">
        <f>2*(SQRT((Inputs!$C$52+(Scenario_Data!D161))^2+Inputs!$C$52^2-2*(Inputs!$C$52+(Scenario_Data!D161))*Inputs!$C$52*COS(SQRT((Scenario_Data!V161)^2+Inputs!$C$6^2)/Inputs!$C$52))*1000)/Inputs!$C$21*1000000</f>
        <v/>
      </c>
      <c r="AM161">
        <f>Scenario_Data!W161</f>
        <v/>
      </c>
      <c r="AN161">
        <f>2*(SQRT((Inputs!$C$52+(Scenario_Data!E161))^2+Inputs!$C$52^2-2*(Inputs!$C$52+(Scenario_Data!E161))*Inputs!$C$52*COS(SQRT((Scenario_Data!W161)^2+Inputs!$C$6^2)/Inputs!$C$52))*1000)/Inputs!$C$21*1000000</f>
        <v/>
      </c>
      <c r="AP161">
        <f>Scenario_Data!T161</f>
        <v/>
      </c>
      <c r="AQ161">
        <f>2*(SQRT((Inputs!$C$52+(Scenario_Data!B161))^2+(Inputs!$C$52+((IF(OR(Inputs!$C$27=TRUE,Inputs!$C$27="TRUE",Inputs!$C$27=1),1,0)*(Inputs!$C$51*(115*EXP(-(((Inputs!$C$6)-25)^2)/(4.5^2))+70*EXP(-(((Inputs!$C$6)+38)^2)/(7^2))*(0.55+0.45*SIN(2*PI()*(Scenario_Data!T161)/45))+24*SIN(2*PI()*(Inputs!$C$6)/9+(Scenario_Data!T161)/18)*EXP(-(((Inputs!$C$6)+5)^2)/(22^2))+18*SIN(2*PI()*(Scenario_Data!T161)/70))+Inputs!$C$28*EXP(-(((Scenario_Data!T161)-Inputs!$C$29)^2)/(2*Inputs!$C$31^2))*EXP(-(((Inputs!$C$6)-Inputs!$C$30)^2)/(2*Inputs!$C$32^2))+-Inputs!$C$33*EXP(-(((((Scenario_Data!T161)-Inputs!$C$34)^2)+(((Inputs!$C$6)-Inputs!$C$35)^2))/(2*Inputs!$C$36^2)))+Inputs!$C$37*(0.55*SIN(2*PI()*(Scenario_Data!T161)/Inputs!$C$39)+0.35*COS(2*PI()*(Inputs!$C$6)/Inputs!$C$40)+0.2*SIN(2*PI()*((Scenario_Data!T161)+(Inputs!$C$6))/(0.5*(Inputs!$C$39+Inputs!$C$40))))+Inputs!$C$38*SIN(2*PI()*(Scenario_Data!T161)/Inputs!$C$39)*SIN(2*PI()*(Inputs!$C$6)/Inputs!$C$40)+-Inputs!$C$41*EXP(-(((Inputs!$C$6)-Inputs!$C$43)^2)/(2*Inputs!$C$44^2))*EXP(-(((Scenario_Data!T161)-Inputs!$C$42)^2)/(2*Inputs!$C$45^2))+Inputs!$C$48*(0.7*(0.45*SIN(2*PI()*(((Scenario_Data!T161)/Inputs!$C$49)+Inputs!$C$47*0.137))+0.35*COS(2*PI()*(((Inputs!$C$6)/Inputs!$C$50)+Inputs!$C$47*0.173))+0.2*SIN(2*PI()*((((Scenario_Data!T161)+(Inputs!$C$6))/(0.5*(Inputs!$C$49+Inputs!$C$50)))+Inputs!$C$47*0.097)))+0.3*(2*((SIN(((Scenario_Data!T161)*12.9898+(Inputs!$C$6)*78.233+Inputs!$C$47*37.719))*43758.5453)-INT((SIN(((Scenario_Data!T161)*12.9898+(Inputs!$C$6)*78.233+Inputs!$C$47*37.719))*43758.5453)))-1))))/1000))^2-2*(Inputs!$C$52+(Scenario_Data!B161))*(Inputs!$C$52+((IF(OR(Inputs!$C$27=TRUE,Inputs!$C$27="TRUE",Inputs!$C$27=1),1,0)*(Inputs!$C$51*(115*EXP(-(((Inputs!$C$6)-25)^2)/(4.5^2))+70*EXP(-(((Inputs!$C$6)+38)^2)/(7^2))*(0.55+0.45*SIN(2*PI()*(Scenario_Data!T161)/45))+24*SIN(2*PI()*(Inputs!$C$6)/9+(Scenario_Data!T161)/18)*EXP(-(((Inputs!$C$6)+5)^2)/(22^2))+18*SIN(2*PI()*(Scenario_Data!T161)/70))+Inputs!$C$28*EXP(-(((Scenario_Data!T161)-Inputs!$C$29)^2)/(2*Inputs!$C$31^2))*EXP(-(((Inputs!$C$6)-Inputs!$C$30)^2)/(2*Inputs!$C$32^2))+-Inputs!$C$33*EXP(-(((((Scenario_Data!T161)-Inputs!$C$34)^2)+(((Inputs!$C$6)-Inputs!$C$35)^2))/(2*Inputs!$C$36^2)))+Inputs!$C$37*(0.55*SIN(2*PI()*(Scenario_Data!T161)/Inputs!$C$39)+0.35*COS(2*PI()*(Inputs!$C$6)/Inputs!$C$40)+0.2*SIN(2*PI()*((Scenario_Data!T161)+(Inputs!$C$6))/(0.5*(Inputs!$C$39+Inputs!$C$40))))+Inputs!$C$38*SIN(2*PI()*(Scenario_Data!T161)/Inputs!$C$39)*SIN(2*PI()*(Inputs!$C$6)/Inputs!$C$40)+-Inputs!$C$41*EXP(-(((Inputs!$C$6)-Inputs!$C$43)^2)/(2*Inputs!$C$44^2))*EXP(-(((Scenario_Data!T161)-Inputs!$C$42)^2)/(2*Inputs!$C$45^2))+Inputs!$C$48*(0.7*(0.45*SIN(2*PI()*(((Scenario_Data!T161)/Inputs!$C$49)+Inputs!$C$47*0.137))+0.35*COS(2*PI()*(((Inputs!$C$6)/Inputs!$C$50)+Inputs!$C$47*0.173))+0.2*SIN(2*PI()*((((Scenario_Data!T161)+(Inputs!$C$6))/(0.5*(Inputs!$C$49+Inputs!$C$50)))+Inputs!$C$47*0.097)))+0.3*(2*((SIN(((Scenario_Data!T161)*12.9898+(Inputs!$C$6)*78.233+Inputs!$C$47*37.719))*43758.5453)-INT((SIN(((Scenario_Data!T161)*12.9898+(Inputs!$C$6)*78.233+Inputs!$C$47*37.719))*43758.5453)))-1))))/1000))*COS(SQRT((Scenario_Data!T161)^2+Inputs!$C$6^2)/Inputs!$C$52))*1000)/Inputs!$C$21*1000000</f>
        <v/>
      </c>
      <c r="AR161">
        <f>Scenario_Data!U161</f>
        <v/>
      </c>
      <c r="AS161">
        <f>2*(SQRT((Inputs!$C$52+(Scenario_Data!C161))^2+(Inputs!$C$52+((IF(OR(Inputs!$C$27=TRUE,Inputs!$C$27="TRUE",Inputs!$C$27=1),1,0)*(Inputs!$C$51*(115*EXP(-(((Inputs!$C$6)-25)^2)/(4.5^2))+70*EXP(-(((Inputs!$C$6)+38)^2)/(7^2))*(0.55+0.45*SIN(2*PI()*(Scenario_Data!U161)/45))+24*SIN(2*PI()*(Inputs!$C$6)/9+(Scenario_Data!U161)/18)*EXP(-(((Inputs!$C$6)+5)^2)/(22^2))+18*SIN(2*PI()*(Scenario_Data!U161)/70))+Inputs!$C$28*EXP(-(((Scenario_Data!U161)-Inputs!$C$29)^2)/(2*Inputs!$C$31^2))*EXP(-(((Inputs!$C$6)-Inputs!$C$30)^2)/(2*Inputs!$C$32^2))+-Inputs!$C$33*EXP(-(((((Scenario_Data!U161)-Inputs!$C$34)^2)+(((Inputs!$C$6)-Inputs!$C$35)^2))/(2*Inputs!$C$36^2)))+Inputs!$C$37*(0.55*SIN(2*PI()*(Scenario_Data!U161)/Inputs!$C$39)+0.35*COS(2*PI()*(Inputs!$C$6)/Inputs!$C$40)+0.2*SIN(2*PI()*((Scenario_Data!U161)+(Inputs!$C$6))/(0.5*(Inputs!$C$39+Inputs!$C$40))))+Inputs!$C$38*SIN(2*PI()*(Scenario_Data!U161)/Inputs!$C$39)*SIN(2*PI()*(Inputs!$C$6)/Inputs!$C$40)+-Inputs!$C$41*EXP(-(((Inputs!$C$6)-Inputs!$C$43)^2)/(2*Inputs!$C$44^2))*EXP(-(((Scenario_Data!U161)-Inputs!$C$42)^2)/(2*Inputs!$C$45^2))+Inputs!$C$48*(0.7*(0.45*SIN(2*PI()*(((Scenario_Data!U161)/Inputs!$C$49)+Inputs!$C$47*0.137))+0.35*COS(2*PI()*(((Inputs!$C$6)/Inputs!$C$50)+Inputs!$C$47*0.173))+0.2*SIN(2*PI()*((((Scenario_Data!U161)+(Inputs!$C$6))/(0.5*(Inputs!$C$49+Inputs!$C$50)))+Inputs!$C$47*0.097)))+0.3*(2*((SIN(((Scenario_Data!U161)*12.9898+(Inputs!$C$6)*78.233+Inputs!$C$47*37.719))*43758.5453)-INT((SIN(((Scenario_Data!U161)*12.9898+(Inputs!$C$6)*78.233+Inputs!$C$47*37.719))*43758.5453)))-1))))/1000))^2-2*(Inputs!$C$52+(Scenario_Data!C161))*(Inputs!$C$52+((IF(OR(Inputs!$C$27=TRUE,Inputs!$C$27="TRUE",Inputs!$C$27=1),1,0)*(Inputs!$C$51*(115*EXP(-(((Inputs!$C$6)-25)^2)/(4.5^2))+70*EXP(-(((Inputs!$C$6)+38)^2)/(7^2))*(0.55+0.45*SIN(2*PI()*(Scenario_Data!U161)/45))+24*SIN(2*PI()*(Inputs!$C$6)/9+(Scenario_Data!U161)/18)*EXP(-(((Inputs!$C$6)+5)^2)/(22^2))+18*SIN(2*PI()*(Scenario_Data!U161)/70))+Inputs!$C$28*EXP(-(((Scenario_Data!U161)-Inputs!$C$29)^2)/(2*Inputs!$C$31^2))*EXP(-(((Inputs!$C$6)-Inputs!$C$30)^2)/(2*Inputs!$C$32^2))+-Inputs!$C$33*EXP(-(((((Scenario_Data!U161)-Inputs!$C$34)^2)+(((Inputs!$C$6)-Inputs!$C$35)^2))/(2*Inputs!$C$36^2)))+Inputs!$C$37*(0.55*SIN(2*PI()*(Scenario_Data!U161)/Inputs!$C$39)+0.35*COS(2*PI()*(Inputs!$C$6)/Inputs!$C$40)+0.2*SIN(2*PI()*((Scenario_Data!U161)+(Inputs!$C$6))/(0.5*(Inputs!$C$39+Inputs!$C$40))))+Inputs!$C$38*SIN(2*PI()*(Scenario_Data!U161)/Inputs!$C$39)*SIN(2*PI()*(Inputs!$C$6)/Inputs!$C$40)+-Inputs!$C$41*EXP(-(((Inputs!$C$6)-Inputs!$C$43)^2)/(2*Inputs!$C$44^2))*EXP(-(((Scenario_Data!U161)-Inputs!$C$42)^2)/(2*Inputs!$C$45^2))+Inputs!$C$48*(0.7*(0.45*SIN(2*PI()*(((Scenario_Data!U161)/Inputs!$C$49)+Inputs!$C$47*0.137))+0.35*COS(2*PI()*(((Inputs!$C$6)/Inputs!$C$50)+Inputs!$C$47*0.173))+0.2*SIN(2*PI()*((((Scenario_Data!U161)+(Inputs!$C$6))/(0.5*(Inputs!$C$49+Inputs!$C$50)))+Inputs!$C$47*0.097)))+0.3*(2*((SIN(((Scenario_Data!U161)*12.9898+(Inputs!$C$6)*78.233+Inputs!$C$47*37.719))*43758.5453)-INT((SIN(((Scenario_Data!U161)*12.9898+(Inputs!$C$6)*78.233+Inputs!$C$47*37.719))*43758.5453)))-1))))/1000))*COS(SQRT((Scenario_Data!U161)^2+Inputs!$C$6^2)/Inputs!$C$52))*1000)/Inputs!$C$21*1000000</f>
        <v/>
      </c>
      <c r="AT161">
        <f>Scenario_Data!V161</f>
        <v/>
      </c>
      <c r="AU161">
        <f>2*(SQRT((Inputs!$C$52+(Scenario_Data!D161))^2+(Inputs!$C$52+((IF(OR(Inputs!$C$27=TRUE,Inputs!$C$27="TRUE",Inputs!$C$27=1),1,0)*(Inputs!$C$51*(115*EXP(-(((Inputs!$C$6)-25)^2)/(4.5^2))+70*EXP(-(((Inputs!$C$6)+38)^2)/(7^2))*(0.55+0.45*SIN(2*PI()*(Scenario_Data!V161)/45))+24*SIN(2*PI()*(Inputs!$C$6)/9+(Scenario_Data!V161)/18)*EXP(-(((Inputs!$C$6)+5)^2)/(22^2))+18*SIN(2*PI()*(Scenario_Data!V161)/70))+Inputs!$C$28*EXP(-(((Scenario_Data!V161)-Inputs!$C$29)^2)/(2*Inputs!$C$31^2))*EXP(-(((Inputs!$C$6)-Inputs!$C$30)^2)/(2*Inputs!$C$32^2))+-Inputs!$C$33*EXP(-(((((Scenario_Data!V161)-Inputs!$C$34)^2)+(((Inputs!$C$6)-Inputs!$C$35)^2))/(2*Inputs!$C$36^2)))+Inputs!$C$37*(0.55*SIN(2*PI()*(Scenario_Data!V161)/Inputs!$C$39)+0.35*COS(2*PI()*(Inputs!$C$6)/Inputs!$C$40)+0.2*SIN(2*PI()*((Scenario_Data!V161)+(Inputs!$C$6))/(0.5*(Inputs!$C$39+Inputs!$C$40))))+Inputs!$C$38*SIN(2*PI()*(Scenario_Data!V161)/Inputs!$C$39)*SIN(2*PI()*(Inputs!$C$6)/Inputs!$C$40)+-Inputs!$C$41*EXP(-(((Inputs!$C$6)-Inputs!$C$43)^2)/(2*Inputs!$C$44^2))*EXP(-(((Scenario_Data!V161)-Inputs!$C$42)^2)/(2*Inputs!$C$45^2))+Inputs!$C$48*(0.7*(0.45*SIN(2*PI()*(((Scenario_Data!V161)/Inputs!$C$49)+Inputs!$C$47*0.137))+0.35*COS(2*PI()*(((Inputs!$C$6)/Inputs!$C$50)+Inputs!$C$47*0.173))+0.2*SIN(2*PI()*((((Scenario_Data!V161)+(Inputs!$C$6))/(0.5*(Inputs!$C$49+Inputs!$C$50)))+Inputs!$C$47*0.097)))+0.3*(2*((SIN(((Scenario_Data!V161)*12.9898+(Inputs!$C$6)*78.233+Inputs!$C$47*37.719))*43758.5453)-INT((SIN(((Scenario_Data!V161)*12.9898+(Inputs!$C$6)*78.233+Inputs!$C$47*37.719))*43758.5453)))-1))))/1000))^2-2*(Inputs!$C$52+(Scenario_Data!D161))*(Inputs!$C$52+((IF(OR(Inputs!$C$27=TRUE,Inputs!$C$27="TRUE",Inputs!$C$27=1),1,0)*(Inputs!$C$51*(115*EXP(-(((Inputs!$C$6)-25)^2)/(4.5^2))+70*EXP(-(((Inputs!$C$6)+38)^2)/(7^2))*(0.55+0.45*SIN(2*PI()*(Scenario_Data!V161)/45))+24*SIN(2*PI()*(Inputs!$C$6)/9+(Scenario_Data!V161)/18)*EXP(-(((Inputs!$C$6)+5)^2)/(22^2))+18*SIN(2*PI()*(Scenario_Data!V161)/70))+Inputs!$C$28*EXP(-(((Scenario_Data!V161)-Inputs!$C$29)^2)/(2*Inputs!$C$31^2))*EXP(-(((Inputs!$C$6)-Inputs!$C$30)^2)/(2*Inputs!$C$32^2))+-Inputs!$C$33*EXP(-(((((Scenario_Data!V161)-Inputs!$C$34)^2)+(((Inputs!$C$6)-Inputs!$C$35)^2))/(2*Inputs!$C$36^2)))+Inputs!$C$37*(0.55*SIN(2*PI()*(Scenario_Data!V161)/Inputs!$C$39)+0.35*COS(2*PI()*(Inputs!$C$6)/Inputs!$C$40)+0.2*SIN(2*PI()*((Scenario_Data!V161)+(Inputs!$C$6))/(0.5*(Inputs!$C$39+Inputs!$C$40))))+Inputs!$C$38*SIN(2*PI()*(Scenario_Data!V161)/Inputs!$C$39)*SIN(2*PI()*(Inputs!$C$6)/Inputs!$C$40)+-Inputs!$C$41*EXP(-(((Inputs!$C$6)-Inputs!$C$43)^2)/(2*Inputs!$C$44^2))*EXP(-(((Scenario_Data!V161)-Inputs!$C$42)^2)/(2*Inputs!$C$45^2))+Inputs!$C$48*(0.7*(0.45*SIN(2*PI()*(((Scenario_Data!V161)/Inputs!$C$49)+Inputs!$C$47*0.137))+0.35*COS(2*PI()*(((Inputs!$C$6)/Inputs!$C$50)+Inputs!$C$47*0.173))+0.2*SIN(2*PI()*((((Scenario_Data!V161)+(Inputs!$C$6))/(0.5*(Inputs!$C$49+Inputs!$C$50)))+Inputs!$C$47*0.097)))+0.3*(2*((SIN(((Scenario_Data!V161)*12.9898+(Inputs!$C$6)*78.233+Inputs!$C$47*37.719))*43758.5453)-INT((SIN(((Scenario_Data!V161)*12.9898+(Inputs!$C$6)*78.233+Inputs!$C$47*37.719))*43758.5453)))-1))))/1000))*COS(SQRT((Scenario_Data!V161)^2+Inputs!$C$6^2)/Inputs!$C$52))*1000)/Inputs!$C$21*1000000</f>
        <v/>
      </c>
      <c r="AV161">
        <f>Scenario_Data!W161</f>
        <v/>
      </c>
      <c r="AW161">
        <f>2*(SQRT((Inputs!$C$52+(Scenario_Data!E161))^2+(Inputs!$C$52+((IF(OR(Inputs!$C$27=TRUE,Inputs!$C$27="TRUE",Inputs!$C$27=1),1,0)*(Inputs!$C$51*(115*EXP(-(((Inputs!$C$6)-25)^2)/(4.5^2))+70*EXP(-(((Inputs!$C$6)+38)^2)/(7^2))*(0.55+0.45*SIN(2*PI()*(Scenario_Data!W161)/45))+24*SIN(2*PI()*(Inputs!$C$6)/9+(Scenario_Data!W161)/18)*EXP(-(((Inputs!$C$6)+5)^2)/(22^2))+18*SIN(2*PI()*(Scenario_Data!W161)/70))+Inputs!$C$28*EXP(-(((Scenario_Data!W161)-Inputs!$C$29)^2)/(2*Inputs!$C$31^2))*EXP(-(((Inputs!$C$6)-Inputs!$C$30)^2)/(2*Inputs!$C$32^2))+-Inputs!$C$33*EXP(-(((((Scenario_Data!W161)-Inputs!$C$34)^2)+(((Inputs!$C$6)-Inputs!$C$35)^2))/(2*Inputs!$C$36^2)))+Inputs!$C$37*(0.55*SIN(2*PI()*(Scenario_Data!W161)/Inputs!$C$39)+0.35*COS(2*PI()*(Inputs!$C$6)/Inputs!$C$40)+0.2*SIN(2*PI()*((Scenario_Data!W161)+(Inputs!$C$6))/(0.5*(Inputs!$C$39+Inputs!$C$40))))+Inputs!$C$38*SIN(2*PI()*(Scenario_Data!W161)/Inputs!$C$39)*SIN(2*PI()*(Inputs!$C$6)/Inputs!$C$40)+-Inputs!$C$41*EXP(-(((Inputs!$C$6)-Inputs!$C$43)^2)/(2*Inputs!$C$44^2))*EXP(-(((Scenario_Data!W161)-Inputs!$C$42)^2)/(2*Inputs!$C$45^2))+Inputs!$C$48*(0.7*(0.45*SIN(2*PI()*(((Scenario_Data!W161)/Inputs!$C$49)+Inputs!$C$47*0.137))+0.35*COS(2*PI()*(((Inputs!$C$6)/Inputs!$C$50)+Inputs!$C$47*0.173))+0.2*SIN(2*PI()*((((Scenario_Data!W161)+(Inputs!$C$6))/(0.5*(Inputs!$C$49+Inputs!$C$50)))+Inputs!$C$47*0.097)))+0.3*(2*((SIN(((Scenario_Data!W161)*12.9898+(Inputs!$C$6)*78.233+Inputs!$C$47*37.719))*43758.5453)-INT((SIN(((Scenario_Data!W161)*12.9898+(Inputs!$C$6)*78.233+Inputs!$C$47*37.719))*43758.5453)))-1))))/1000))^2-2*(Inputs!$C$52+(Scenario_Data!E161))*(Inputs!$C$52+((IF(OR(Inputs!$C$27=TRUE,Inputs!$C$27="TRUE",Inputs!$C$27=1),1,0)*(Inputs!$C$51*(115*EXP(-(((Inputs!$C$6)-25)^2)/(4.5^2))+70*EXP(-(((Inputs!$C$6)+38)^2)/(7^2))*(0.55+0.45*SIN(2*PI()*(Scenario_Data!W161)/45))+24*SIN(2*PI()*(Inputs!$C$6)/9+(Scenario_Data!W161)/18)*EXP(-(((Inputs!$C$6)+5)^2)/(22^2))+18*SIN(2*PI()*(Scenario_Data!W161)/70))+Inputs!$C$28*EXP(-(((Scenario_Data!W161)-Inputs!$C$29)^2)/(2*Inputs!$C$31^2))*EXP(-(((Inputs!$C$6)-Inputs!$C$30)^2)/(2*Inputs!$C$32^2))+-Inputs!$C$33*EXP(-(((((Scenario_Data!W161)-Inputs!$C$34)^2)+(((Inputs!$C$6)-Inputs!$C$35)^2))/(2*Inputs!$C$36^2)))+Inputs!$C$37*(0.55*SIN(2*PI()*(Scenario_Data!W161)/Inputs!$C$39)+0.35*COS(2*PI()*(Inputs!$C$6)/Inputs!$C$40)+0.2*SIN(2*PI()*((Scenario_Data!W161)+(Inputs!$C$6))/(0.5*(Inputs!$C$39+Inputs!$C$40))))+Inputs!$C$38*SIN(2*PI()*(Scenario_Data!W161)/Inputs!$C$39)*SIN(2*PI()*(Inputs!$C$6)/Inputs!$C$40)+-Inputs!$C$41*EXP(-(((Inputs!$C$6)-Inputs!$C$43)^2)/(2*Inputs!$C$44^2))*EXP(-(((Scenario_Data!W161)-Inputs!$C$42)^2)/(2*Inputs!$C$45^2))+Inputs!$C$48*(0.7*(0.45*SIN(2*PI()*(((Scenario_Data!W161)/Inputs!$C$49)+Inputs!$C$47*0.137))+0.35*COS(2*PI()*(((Inputs!$C$6)/Inputs!$C$50)+Inputs!$C$47*0.173))+0.2*SIN(2*PI()*((((Scenario_Data!W161)+(Inputs!$C$6))/(0.5*(Inputs!$C$49+Inputs!$C$50)))+Inputs!$C$47*0.097)))+0.3*(2*((SIN(((Scenario_Data!W161)*12.9898+(Inputs!$C$6)*78.233+Inputs!$C$47*37.719))*43758.5453)-INT((SIN(((Scenario_Data!W161)*12.9898+(Inputs!$C$6)*78.233+Inputs!$C$47*37.719))*43758.5453)))-1))))/1000))*COS(SQRT((Scenario_Data!W161)^2+Inputs!$C$6^2)/Inputs!$C$52))*1000)/Inputs!$C$21*1000000</f>
        <v/>
      </c>
    </row>
    <row r="162">
      <c r="A162">
        <f>Chart_Data!K162</f>
        <v/>
      </c>
      <c r="B162">
        <f>Chart_Data!N162-Chart_Data!L162</f>
        <v/>
      </c>
      <c r="D162">
        <f>Chart_Data!G162</f>
        <v/>
      </c>
      <c r="E162">
        <f>Chart_Data!H162</f>
        <v/>
      </c>
      <c r="F162">
        <f>Chart_Data!I162</f>
        <v/>
      </c>
      <c r="G162">
        <f>Chart_Data!J162</f>
        <v/>
      </c>
      <c r="I162">
        <f>Scenario_Data!A162</f>
        <v/>
      </c>
      <c r="J162">
        <f>Scenario_Data!H162-(((SQRT((Inputs!$C$52+(Inputs!$H$6))^2+Inputs!$C$52^2-2*(Inputs!$C$52+(Inputs!$H$6))*Inputs!$C$52*COS(SQRT((Scenario_Data!T162)^2+Inputs!$C$6^2)/Inputs!$C$52)))-(Inputs!$H$6))*1000/Inputs!$C$12)</f>
        <v/>
      </c>
      <c r="K162">
        <f>Scenario_Data!I162-(((SQRT((Inputs!$C$52+(Inputs!$H$7))^2+Inputs!$C$52^2-2*(Inputs!$C$52+(Inputs!$H$7))*Inputs!$C$52*COS(SQRT((Scenario_Data!U162)^2+Inputs!$C$6^2)/Inputs!$C$52)))-(Inputs!$H$7))*1000/Inputs!$C$12)</f>
        <v/>
      </c>
      <c r="L162">
        <f>Scenario_Data!J162-(((SQRT((Inputs!$C$52+(Inputs!$H$8))^2+Inputs!$C$52^2-2*(Inputs!$C$52+(Inputs!$H$8))*Inputs!$C$52*COS(SQRT((Scenario_Data!V162)^2+Inputs!$C$6^2)/Inputs!$C$52)))-(Inputs!$H$8))*1000/Inputs!$C$12)</f>
        <v/>
      </c>
      <c r="M162">
        <f>Scenario_Data!K162-(((SQRT((Inputs!$C$52+(Inputs!$H$9))^2+Inputs!$C$52^2-2*(Inputs!$C$52+(Inputs!$H$9))*Inputs!$C$52*COS(SQRT((Scenario_Data!W162)^2+Inputs!$C$6^2)/Inputs!$C$52)))-(Inputs!$H$9))*1000/Inputs!$C$12)</f>
        <v/>
      </c>
      <c r="O162">
        <f>Scenario_Data!T162</f>
        <v/>
      </c>
      <c r="P162">
        <f>2*(Scenario_Data!B162*1000)/Inputs!$C$21*1000000</f>
        <v/>
      </c>
      <c r="Q162">
        <f>Scenario_Data!U162</f>
        <v/>
      </c>
      <c r="R162">
        <f>2*(Scenario_Data!C162*1000)/Inputs!$C$21*1000000</f>
        <v/>
      </c>
      <c r="S162">
        <f>Scenario_Data!V162</f>
        <v/>
      </c>
      <c r="T162">
        <f>2*(Scenario_Data!D162*1000)/Inputs!$C$21*1000000</f>
        <v/>
      </c>
      <c r="U162">
        <f>Scenario_Data!W162</f>
        <v/>
      </c>
      <c r="V162">
        <f>2*(Scenario_Data!E162*1000)/Inputs!$C$21*1000000</f>
        <v/>
      </c>
      <c r="X162">
        <f>Scenario_Data!T162</f>
        <v/>
      </c>
      <c r="Y162">
        <f>2*((Scenario_Data!B162*1000)-(IF(OR(Inputs!$C$27=TRUE,Inputs!$C$27="TRUE",Inputs!$C$27=1),1,0)*(Inputs!$C$51*(115*EXP(-(((0)-25)^2)/(4.5^2))+70*EXP(-(((0)+38)^2)/(7^2))*(0.55+0.45*SIN(2*PI()*(Scenario_Data!T162)/45))+24*SIN(2*PI()*(0)/9+(Scenario_Data!T162)/18)*EXP(-(((0)+5)^2)/(22^2))+18*SIN(2*PI()*(Scenario_Data!T162)/70))+Inputs!$C$28*EXP(-(((Scenario_Data!T162)-Inputs!$C$29)^2)/(2*Inputs!$C$31^2))*EXP(-(((0)-Inputs!$C$30)^2)/(2*Inputs!$C$32^2))+-Inputs!$C$33*EXP(-(((((Scenario_Data!T162)-Inputs!$C$34)^2)+(((0)-Inputs!$C$35)^2))/(2*Inputs!$C$36^2)))+Inputs!$C$37*(0.55*SIN(2*PI()*(Scenario_Data!T162)/Inputs!$C$39)+0.35*COS(2*PI()*(0)/Inputs!$C$40)+0.2*SIN(2*PI()*((Scenario_Data!T162)+(0))/(0.5*(Inputs!$C$39+Inputs!$C$40))))+Inputs!$C$38*SIN(2*PI()*(Scenario_Data!T162)/Inputs!$C$39)*SIN(2*PI()*(0)/Inputs!$C$40)+-Inputs!$C$41*EXP(-(((0)-Inputs!$C$43)^2)/(2*Inputs!$C$44^2))*EXP(-(((Scenario_Data!T162)-Inputs!$C$42)^2)/(2*Inputs!$C$45^2))+Inputs!$C$48*(0.7*(0.45*SIN(2*PI()*(((Scenario_Data!T162)/Inputs!$C$49)+Inputs!$C$47*0.137))+0.35*COS(2*PI()*(((0)/Inputs!$C$50)+Inputs!$C$47*0.173))+0.2*SIN(2*PI()*((((Scenario_Data!T162)+(0))/(0.5*(Inputs!$C$49+Inputs!$C$50)))+Inputs!$C$47*0.097)))+0.3*(2*((SIN(((Scenario_Data!T162)*12.9898+(0)*78.233+Inputs!$C$47*37.719))*43758.5453)-INT((SIN(((Scenario_Data!T162)*12.9898+(0)*78.233+Inputs!$C$47*37.719))*43758.5453)))-1)))))/Inputs!$C$21*1000000</f>
        <v/>
      </c>
      <c r="Z162">
        <f>Scenario_Data!U162</f>
        <v/>
      </c>
      <c r="AA162">
        <f>2*((Scenario_Data!C162*1000)-(IF(OR(Inputs!$C$27=TRUE,Inputs!$C$27="TRUE",Inputs!$C$27=1),1,0)*(Inputs!$C$51*(115*EXP(-(((0)-25)^2)/(4.5^2))+70*EXP(-(((0)+38)^2)/(7^2))*(0.55+0.45*SIN(2*PI()*(Scenario_Data!U162)/45))+24*SIN(2*PI()*(0)/9+(Scenario_Data!U162)/18)*EXP(-(((0)+5)^2)/(22^2))+18*SIN(2*PI()*(Scenario_Data!U162)/70))+Inputs!$C$28*EXP(-(((Scenario_Data!U162)-Inputs!$C$29)^2)/(2*Inputs!$C$31^2))*EXP(-(((0)-Inputs!$C$30)^2)/(2*Inputs!$C$32^2))+-Inputs!$C$33*EXP(-(((((Scenario_Data!U162)-Inputs!$C$34)^2)+(((0)-Inputs!$C$35)^2))/(2*Inputs!$C$36^2)))+Inputs!$C$37*(0.55*SIN(2*PI()*(Scenario_Data!U162)/Inputs!$C$39)+0.35*COS(2*PI()*(0)/Inputs!$C$40)+0.2*SIN(2*PI()*((Scenario_Data!U162)+(0))/(0.5*(Inputs!$C$39+Inputs!$C$40))))+Inputs!$C$38*SIN(2*PI()*(Scenario_Data!U162)/Inputs!$C$39)*SIN(2*PI()*(0)/Inputs!$C$40)+-Inputs!$C$41*EXP(-(((0)-Inputs!$C$43)^2)/(2*Inputs!$C$44^2))*EXP(-(((Scenario_Data!U162)-Inputs!$C$42)^2)/(2*Inputs!$C$45^2))+Inputs!$C$48*(0.7*(0.45*SIN(2*PI()*(((Scenario_Data!U162)/Inputs!$C$49)+Inputs!$C$47*0.137))+0.35*COS(2*PI()*(((0)/Inputs!$C$50)+Inputs!$C$47*0.173))+0.2*SIN(2*PI()*((((Scenario_Data!U162)+(0))/(0.5*(Inputs!$C$49+Inputs!$C$50)))+Inputs!$C$47*0.097)))+0.3*(2*((SIN(((Scenario_Data!U162)*12.9898+(0)*78.233+Inputs!$C$47*37.719))*43758.5453)-INT((SIN(((Scenario_Data!U162)*12.9898+(0)*78.233+Inputs!$C$47*37.719))*43758.5453)))-1)))))/Inputs!$C$21*1000000</f>
        <v/>
      </c>
      <c r="AB162">
        <f>Scenario_Data!V162</f>
        <v/>
      </c>
      <c r="AC162">
        <f>2*((Scenario_Data!D162*1000)-(IF(OR(Inputs!$C$27=TRUE,Inputs!$C$27="TRUE",Inputs!$C$27=1),1,0)*(Inputs!$C$51*(115*EXP(-(((0)-25)^2)/(4.5^2))+70*EXP(-(((0)+38)^2)/(7^2))*(0.55+0.45*SIN(2*PI()*(Scenario_Data!V162)/45))+24*SIN(2*PI()*(0)/9+(Scenario_Data!V162)/18)*EXP(-(((0)+5)^2)/(22^2))+18*SIN(2*PI()*(Scenario_Data!V162)/70))+Inputs!$C$28*EXP(-(((Scenario_Data!V162)-Inputs!$C$29)^2)/(2*Inputs!$C$31^2))*EXP(-(((0)-Inputs!$C$30)^2)/(2*Inputs!$C$32^2))+-Inputs!$C$33*EXP(-(((((Scenario_Data!V162)-Inputs!$C$34)^2)+(((0)-Inputs!$C$35)^2))/(2*Inputs!$C$36^2)))+Inputs!$C$37*(0.55*SIN(2*PI()*(Scenario_Data!V162)/Inputs!$C$39)+0.35*COS(2*PI()*(0)/Inputs!$C$40)+0.2*SIN(2*PI()*((Scenario_Data!V162)+(0))/(0.5*(Inputs!$C$39+Inputs!$C$40))))+Inputs!$C$38*SIN(2*PI()*(Scenario_Data!V162)/Inputs!$C$39)*SIN(2*PI()*(0)/Inputs!$C$40)+-Inputs!$C$41*EXP(-(((0)-Inputs!$C$43)^2)/(2*Inputs!$C$44^2))*EXP(-(((Scenario_Data!V162)-Inputs!$C$42)^2)/(2*Inputs!$C$45^2))+Inputs!$C$48*(0.7*(0.45*SIN(2*PI()*(((Scenario_Data!V162)/Inputs!$C$49)+Inputs!$C$47*0.137))+0.35*COS(2*PI()*(((0)/Inputs!$C$50)+Inputs!$C$47*0.173))+0.2*SIN(2*PI()*((((Scenario_Data!V162)+(0))/(0.5*(Inputs!$C$49+Inputs!$C$50)))+Inputs!$C$47*0.097)))+0.3*(2*((SIN(((Scenario_Data!V162)*12.9898+(0)*78.233+Inputs!$C$47*37.719))*43758.5453)-INT((SIN(((Scenario_Data!V162)*12.9898+(0)*78.233+Inputs!$C$47*37.719))*43758.5453)))-1)))))/Inputs!$C$21*1000000</f>
        <v/>
      </c>
      <c r="AD162">
        <f>Scenario_Data!W162</f>
        <v/>
      </c>
      <c r="AE162">
        <f>2*((Scenario_Data!E162*1000)-(IF(OR(Inputs!$C$27=TRUE,Inputs!$C$27="TRUE",Inputs!$C$27=1),1,0)*(Inputs!$C$51*(115*EXP(-(((0)-25)^2)/(4.5^2))+70*EXP(-(((0)+38)^2)/(7^2))*(0.55+0.45*SIN(2*PI()*(Scenario_Data!W162)/45))+24*SIN(2*PI()*(0)/9+(Scenario_Data!W162)/18)*EXP(-(((0)+5)^2)/(22^2))+18*SIN(2*PI()*(Scenario_Data!W162)/70))+Inputs!$C$28*EXP(-(((Scenario_Data!W162)-Inputs!$C$29)^2)/(2*Inputs!$C$31^2))*EXP(-(((0)-Inputs!$C$30)^2)/(2*Inputs!$C$32^2))+-Inputs!$C$33*EXP(-(((((Scenario_Data!W162)-Inputs!$C$34)^2)+(((0)-Inputs!$C$35)^2))/(2*Inputs!$C$36^2)))+Inputs!$C$37*(0.55*SIN(2*PI()*(Scenario_Data!W162)/Inputs!$C$39)+0.35*COS(2*PI()*(0)/Inputs!$C$40)+0.2*SIN(2*PI()*((Scenario_Data!W162)+(0))/(0.5*(Inputs!$C$39+Inputs!$C$40))))+Inputs!$C$38*SIN(2*PI()*(Scenario_Data!W162)/Inputs!$C$39)*SIN(2*PI()*(0)/Inputs!$C$40)+-Inputs!$C$41*EXP(-(((0)-Inputs!$C$43)^2)/(2*Inputs!$C$44^2))*EXP(-(((Scenario_Data!W162)-Inputs!$C$42)^2)/(2*Inputs!$C$45^2))+Inputs!$C$48*(0.7*(0.45*SIN(2*PI()*(((Scenario_Data!W162)/Inputs!$C$49)+Inputs!$C$47*0.137))+0.35*COS(2*PI()*(((0)/Inputs!$C$50)+Inputs!$C$47*0.173))+0.2*SIN(2*PI()*((((Scenario_Data!W162)+(0))/(0.5*(Inputs!$C$49+Inputs!$C$50)))+Inputs!$C$47*0.097)))+0.3*(2*((SIN(((Scenario_Data!W162)*12.9898+(0)*78.233+Inputs!$C$47*37.719))*43758.5453)-INT((SIN(((Scenario_Data!W162)*12.9898+(0)*78.233+Inputs!$C$47*37.719))*43758.5453)))-1)))))/Inputs!$C$21*1000000</f>
        <v/>
      </c>
      <c r="AG162">
        <f>Scenario_Data!T162</f>
        <v/>
      </c>
      <c r="AH162">
        <f>2*(SQRT((Inputs!$C$52+(Scenario_Data!B162))^2+Inputs!$C$52^2-2*(Inputs!$C$52+(Scenario_Data!B162))*Inputs!$C$52*COS(SQRT((Scenario_Data!T162)^2+Inputs!$C$6^2)/Inputs!$C$52))*1000)/Inputs!$C$21*1000000</f>
        <v/>
      </c>
      <c r="AI162">
        <f>Scenario_Data!U162</f>
        <v/>
      </c>
      <c r="AJ162">
        <f>2*(SQRT((Inputs!$C$52+(Scenario_Data!C162))^2+Inputs!$C$52^2-2*(Inputs!$C$52+(Scenario_Data!C162))*Inputs!$C$52*COS(SQRT((Scenario_Data!U162)^2+Inputs!$C$6^2)/Inputs!$C$52))*1000)/Inputs!$C$21*1000000</f>
        <v/>
      </c>
      <c r="AK162">
        <f>Scenario_Data!V162</f>
        <v/>
      </c>
      <c r="AL162">
        <f>2*(SQRT((Inputs!$C$52+(Scenario_Data!D162))^2+Inputs!$C$52^2-2*(Inputs!$C$52+(Scenario_Data!D162))*Inputs!$C$52*COS(SQRT((Scenario_Data!V162)^2+Inputs!$C$6^2)/Inputs!$C$52))*1000)/Inputs!$C$21*1000000</f>
        <v/>
      </c>
      <c r="AM162">
        <f>Scenario_Data!W162</f>
        <v/>
      </c>
      <c r="AN162">
        <f>2*(SQRT((Inputs!$C$52+(Scenario_Data!E162))^2+Inputs!$C$52^2-2*(Inputs!$C$52+(Scenario_Data!E162))*Inputs!$C$52*COS(SQRT((Scenario_Data!W162)^2+Inputs!$C$6^2)/Inputs!$C$52))*1000)/Inputs!$C$21*1000000</f>
        <v/>
      </c>
      <c r="AP162">
        <f>Scenario_Data!T162</f>
        <v/>
      </c>
      <c r="AQ162">
        <f>2*(SQRT((Inputs!$C$52+(Scenario_Data!B162))^2+(Inputs!$C$52+((IF(OR(Inputs!$C$27=TRUE,Inputs!$C$27="TRUE",Inputs!$C$27=1),1,0)*(Inputs!$C$51*(115*EXP(-(((Inputs!$C$6)-25)^2)/(4.5^2))+70*EXP(-(((Inputs!$C$6)+38)^2)/(7^2))*(0.55+0.45*SIN(2*PI()*(Scenario_Data!T162)/45))+24*SIN(2*PI()*(Inputs!$C$6)/9+(Scenario_Data!T162)/18)*EXP(-(((Inputs!$C$6)+5)^2)/(22^2))+18*SIN(2*PI()*(Scenario_Data!T162)/70))+Inputs!$C$28*EXP(-(((Scenario_Data!T162)-Inputs!$C$29)^2)/(2*Inputs!$C$31^2))*EXP(-(((Inputs!$C$6)-Inputs!$C$30)^2)/(2*Inputs!$C$32^2))+-Inputs!$C$33*EXP(-(((((Scenario_Data!T162)-Inputs!$C$34)^2)+(((Inputs!$C$6)-Inputs!$C$35)^2))/(2*Inputs!$C$36^2)))+Inputs!$C$37*(0.55*SIN(2*PI()*(Scenario_Data!T162)/Inputs!$C$39)+0.35*COS(2*PI()*(Inputs!$C$6)/Inputs!$C$40)+0.2*SIN(2*PI()*((Scenario_Data!T162)+(Inputs!$C$6))/(0.5*(Inputs!$C$39+Inputs!$C$40))))+Inputs!$C$38*SIN(2*PI()*(Scenario_Data!T162)/Inputs!$C$39)*SIN(2*PI()*(Inputs!$C$6)/Inputs!$C$40)+-Inputs!$C$41*EXP(-(((Inputs!$C$6)-Inputs!$C$43)^2)/(2*Inputs!$C$44^2))*EXP(-(((Scenario_Data!T162)-Inputs!$C$42)^2)/(2*Inputs!$C$45^2))+Inputs!$C$48*(0.7*(0.45*SIN(2*PI()*(((Scenario_Data!T162)/Inputs!$C$49)+Inputs!$C$47*0.137))+0.35*COS(2*PI()*(((Inputs!$C$6)/Inputs!$C$50)+Inputs!$C$47*0.173))+0.2*SIN(2*PI()*((((Scenario_Data!T162)+(Inputs!$C$6))/(0.5*(Inputs!$C$49+Inputs!$C$50)))+Inputs!$C$47*0.097)))+0.3*(2*((SIN(((Scenario_Data!T162)*12.9898+(Inputs!$C$6)*78.233+Inputs!$C$47*37.719))*43758.5453)-INT((SIN(((Scenario_Data!T162)*12.9898+(Inputs!$C$6)*78.233+Inputs!$C$47*37.719))*43758.5453)))-1))))/1000))^2-2*(Inputs!$C$52+(Scenario_Data!B162))*(Inputs!$C$52+((IF(OR(Inputs!$C$27=TRUE,Inputs!$C$27="TRUE",Inputs!$C$27=1),1,0)*(Inputs!$C$51*(115*EXP(-(((Inputs!$C$6)-25)^2)/(4.5^2))+70*EXP(-(((Inputs!$C$6)+38)^2)/(7^2))*(0.55+0.45*SIN(2*PI()*(Scenario_Data!T162)/45))+24*SIN(2*PI()*(Inputs!$C$6)/9+(Scenario_Data!T162)/18)*EXP(-(((Inputs!$C$6)+5)^2)/(22^2))+18*SIN(2*PI()*(Scenario_Data!T162)/70))+Inputs!$C$28*EXP(-(((Scenario_Data!T162)-Inputs!$C$29)^2)/(2*Inputs!$C$31^2))*EXP(-(((Inputs!$C$6)-Inputs!$C$30)^2)/(2*Inputs!$C$32^2))+-Inputs!$C$33*EXP(-(((((Scenario_Data!T162)-Inputs!$C$34)^2)+(((Inputs!$C$6)-Inputs!$C$35)^2))/(2*Inputs!$C$36^2)))+Inputs!$C$37*(0.55*SIN(2*PI()*(Scenario_Data!T162)/Inputs!$C$39)+0.35*COS(2*PI()*(Inputs!$C$6)/Inputs!$C$40)+0.2*SIN(2*PI()*((Scenario_Data!T162)+(Inputs!$C$6))/(0.5*(Inputs!$C$39+Inputs!$C$40))))+Inputs!$C$38*SIN(2*PI()*(Scenario_Data!T162)/Inputs!$C$39)*SIN(2*PI()*(Inputs!$C$6)/Inputs!$C$40)+-Inputs!$C$41*EXP(-(((Inputs!$C$6)-Inputs!$C$43)^2)/(2*Inputs!$C$44^2))*EXP(-(((Scenario_Data!T162)-Inputs!$C$42)^2)/(2*Inputs!$C$45^2))+Inputs!$C$48*(0.7*(0.45*SIN(2*PI()*(((Scenario_Data!T162)/Inputs!$C$49)+Inputs!$C$47*0.137))+0.35*COS(2*PI()*(((Inputs!$C$6)/Inputs!$C$50)+Inputs!$C$47*0.173))+0.2*SIN(2*PI()*((((Scenario_Data!T162)+(Inputs!$C$6))/(0.5*(Inputs!$C$49+Inputs!$C$50)))+Inputs!$C$47*0.097)))+0.3*(2*((SIN(((Scenario_Data!T162)*12.9898+(Inputs!$C$6)*78.233+Inputs!$C$47*37.719))*43758.5453)-INT((SIN(((Scenario_Data!T162)*12.9898+(Inputs!$C$6)*78.233+Inputs!$C$47*37.719))*43758.5453)))-1))))/1000))*COS(SQRT((Scenario_Data!T162)^2+Inputs!$C$6^2)/Inputs!$C$52))*1000)/Inputs!$C$21*1000000</f>
        <v/>
      </c>
      <c r="AR162">
        <f>Scenario_Data!U162</f>
        <v/>
      </c>
      <c r="AS162">
        <f>2*(SQRT((Inputs!$C$52+(Scenario_Data!C162))^2+(Inputs!$C$52+((IF(OR(Inputs!$C$27=TRUE,Inputs!$C$27="TRUE",Inputs!$C$27=1),1,0)*(Inputs!$C$51*(115*EXP(-(((Inputs!$C$6)-25)^2)/(4.5^2))+70*EXP(-(((Inputs!$C$6)+38)^2)/(7^2))*(0.55+0.45*SIN(2*PI()*(Scenario_Data!U162)/45))+24*SIN(2*PI()*(Inputs!$C$6)/9+(Scenario_Data!U162)/18)*EXP(-(((Inputs!$C$6)+5)^2)/(22^2))+18*SIN(2*PI()*(Scenario_Data!U162)/70))+Inputs!$C$28*EXP(-(((Scenario_Data!U162)-Inputs!$C$29)^2)/(2*Inputs!$C$31^2))*EXP(-(((Inputs!$C$6)-Inputs!$C$30)^2)/(2*Inputs!$C$32^2))+-Inputs!$C$33*EXP(-(((((Scenario_Data!U162)-Inputs!$C$34)^2)+(((Inputs!$C$6)-Inputs!$C$35)^2))/(2*Inputs!$C$36^2)))+Inputs!$C$37*(0.55*SIN(2*PI()*(Scenario_Data!U162)/Inputs!$C$39)+0.35*COS(2*PI()*(Inputs!$C$6)/Inputs!$C$40)+0.2*SIN(2*PI()*((Scenario_Data!U162)+(Inputs!$C$6))/(0.5*(Inputs!$C$39+Inputs!$C$40))))+Inputs!$C$38*SIN(2*PI()*(Scenario_Data!U162)/Inputs!$C$39)*SIN(2*PI()*(Inputs!$C$6)/Inputs!$C$40)+-Inputs!$C$41*EXP(-(((Inputs!$C$6)-Inputs!$C$43)^2)/(2*Inputs!$C$44^2))*EXP(-(((Scenario_Data!U162)-Inputs!$C$42)^2)/(2*Inputs!$C$45^2))+Inputs!$C$48*(0.7*(0.45*SIN(2*PI()*(((Scenario_Data!U162)/Inputs!$C$49)+Inputs!$C$47*0.137))+0.35*COS(2*PI()*(((Inputs!$C$6)/Inputs!$C$50)+Inputs!$C$47*0.173))+0.2*SIN(2*PI()*((((Scenario_Data!U162)+(Inputs!$C$6))/(0.5*(Inputs!$C$49+Inputs!$C$50)))+Inputs!$C$47*0.097)))+0.3*(2*((SIN(((Scenario_Data!U162)*12.9898+(Inputs!$C$6)*78.233+Inputs!$C$47*37.719))*43758.5453)-INT((SIN(((Scenario_Data!U162)*12.9898+(Inputs!$C$6)*78.233+Inputs!$C$47*37.719))*43758.5453)))-1))))/1000))^2-2*(Inputs!$C$52+(Scenario_Data!C162))*(Inputs!$C$52+((IF(OR(Inputs!$C$27=TRUE,Inputs!$C$27="TRUE",Inputs!$C$27=1),1,0)*(Inputs!$C$51*(115*EXP(-(((Inputs!$C$6)-25)^2)/(4.5^2))+70*EXP(-(((Inputs!$C$6)+38)^2)/(7^2))*(0.55+0.45*SIN(2*PI()*(Scenario_Data!U162)/45))+24*SIN(2*PI()*(Inputs!$C$6)/9+(Scenario_Data!U162)/18)*EXP(-(((Inputs!$C$6)+5)^2)/(22^2))+18*SIN(2*PI()*(Scenario_Data!U162)/70))+Inputs!$C$28*EXP(-(((Scenario_Data!U162)-Inputs!$C$29)^2)/(2*Inputs!$C$31^2))*EXP(-(((Inputs!$C$6)-Inputs!$C$30)^2)/(2*Inputs!$C$32^2))+-Inputs!$C$33*EXP(-(((((Scenario_Data!U162)-Inputs!$C$34)^2)+(((Inputs!$C$6)-Inputs!$C$35)^2))/(2*Inputs!$C$36^2)))+Inputs!$C$37*(0.55*SIN(2*PI()*(Scenario_Data!U162)/Inputs!$C$39)+0.35*COS(2*PI()*(Inputs!$C$6)/Inputs!$C$40)+0.2*SIN(2*PI()*((Scenario_Data!U162)+(Inputs!$C$6))/(0.5*(Inputs!$C$39+Inputs!$C$40))))+Inputs!$C$38*SIN(2*PI()*(Scenario_Data!U162)/Inputs!$C$39)*SIN(2*PI()*(Inputs!$C$6)/Inputs!$C$40)+-Inputs!$C$41*EXP(-(((Inputs!$C$6)-Inputs!$C$43)^2)/(2*Inputs!$C$44^2))*EXP(-(((Scenario_Data!U162)-Inputs!$C$42)^2)/(2*Inputs!$C$45^2))+Inputs!$C$48*(0.7*(0.45*SIN(2*PI()*(((Scenario_Data!U162)/Inputs!$C$49)+Inputs!$C$47*0.137))+0.35*COS(2*PI()*(((Inputs!$C$6)/Inputs!$C$50)+Inputs!$C$47*0.173))+0.2*SIN(2*PI()*((((Scenario_Data!U162)+(Inputs!$C$6))/(0.5*(Inputs!$C$49+Inputs!$C$50)))+Inputs!$C$47*0.097)))+0.3*(2*((SIN(((Scenario_Data!U162)*12.9898+(Inputs!$C$6)*78.233+Inputs!$C$47*37.719))*43758.5453)-INT((SIN(((Scenario_Data!U162)*12.9898+(Inputs!$C$6)*78.233+Inputs!$C$47*37.719))*43758.5453)))-1))))/1000))*COS(SQRT((Scenario_Data!U162)^2+Inputs!$C$6^2)/Inputs!$C$52))*1000)/Inputs!$C$21*1000000</f>
        <v/>
      </c>
      <c r="AT162">
        <f>Scenario_Data!V162</f>
        <v/>
      </c>
      <c r="AU162">
        <f>2*(SQRT((Inputs!$C$52+(Scenario_Data!D162))^2+(Inputs!$C$52+((IF(OR(Inputs!$C$27=TRUE,Inputs!$C$27="TRUE",Inputs!$C$27=1),1,0)*(Inputs!$C$51*(115*EXP(-(((Inputs!$C$6)-25)^2)/(4.5^2))+70*EXP(-(((Inputs!$C$6)+38)^2)/(7^2))*(0.55+0.45*SIN(2*PI()*(Scenario_Data!V162)/45))+24*SIN(2*PI()*(Inputs!$C$6)/9+(Scenario_Data!V162)/18)*EXP(-(((Inputs!$C$6)+5)^2)/(22^2))+18*SIN(2*PI()*(Scenario_Data!V162)/70))+Inputs!$C$28*EXP(-(((Scenario_Data!V162)-Inputs!$C$29)^2)/(2*Inputs!$C$31^2))*EXP(-(((Inputs!$C$6)-Inputs!$C$30)^2)/(2*Inputs!$C$32^2))+-Inputs!$C$33*EXP(-(((((Scenario_Data!V162)-Inputs!$C$34)^2)+(((Inputs!$C$6)-Inputs!$C$35)^2))/(2*Inputs!$C$36^2)))+Inputs!$C$37*(0.55*SIN(2*PI()*(Scenario_Data!V162)/Inputs!$C$39)+0.35*COS(2*PI()*(Inputs!$C$6)/Inputs!$C$40)+0.2*SIN(2*PI()*((Scenario_Data!V162)+(Inputs!$C$6))/(0.5*(Inputs!$C$39+Inputs!$C$40))))+Inputs!$C$38*SIN(2*PI()*(Scenario_Data!V162)/Inputs!$C$39)*SIN(2*PI()*(Inputs!$C$6)/Inputs!$C$40)+-Inputs!$C$41*EXP(-(((Inputs!$C$6)-Inputs!$C$43)^2)/(2*Inputs!$C$44^2))*EXP(-(((Scenario_Data!V162)-Inputs!$C$42)^2)/(2*Inputs!$C$45^2))+Inputs!$C$48*(0.7*(0.45*SIN(2*PI()*(((Scenario_Data!V162)/Inputs!$C$49)+Inputs!$C$47*0.137))+0.35*COS(2*PI()*(((Inputs!$C$6)/Inputs!$C$50)+Inputs!$C$47*0.173))+0.2*SIN(2*PI()*((((Scenario_Data!V162)+(Inputs!$C$6))/(0.5*(Inputs!$C$49+Inputs!$C$50)))+Inputs!$C$47*0.097)))+0.3*(2*((SIN(((Scenario_Data!V162)*12.9898+(Inputs!$C$6)*78.233+Inputs!$C$47*37.719))*43758.5453)-INT((SIN(((Scenario_Data!V162)*12.9898+(Inputs!$C$6)*78.233+Inputs!$C$47*37.719))*43758.5453)))-1))))/1000))^2-2*(Inputs!$C$52+(Scenario_Data!D162))*(Inputs!$C$52+((IF(OR(Inputs!$C$27=TRUE,Inputs!$C$27="TRUE",Inputs!$C$27=1),1,0)*(Inputs!$C$51*(115*EXP(-(((Inputs!$C$6)-25)^2)/(4.5^2))+70*EXP(-(((Inputs!$C$6)+38)^2)/(7^2))*(0.55+0.45*SIN(2*PI()*(Scenario_Data!V162)/45))+24*SIN(2*PI()*(Inputs!$C$6)/9+(Scenario_Data!V162)/18)*EXP(-(((Inputs!$C$6)+5)^2)/(22^2))+18*SIN(2*PI()*(Scenario_Data!V162)/70))+Inputs!$C$28*EXP(-(((Scenario_Data!V162)-Inputs!$C$29)^2)/(2*Inputs!$C$31^2))*EXP(-(((Inputs!$C$6)-Inputs!$C$30)^2)/(2*Inputs!$C$32^2))+-Inputs!$C$33*EXP(-(((((Scenario_Data!V162)-Inputs!$C$34)^2)+(((Inputs!$C$6)-Inputs!$C$35)^2))/(2*Inputs!$C$36^2)))+Inputs!$C$37*(0.55*SIN(2*PI()*(Scenario_Data!V162)/Inputs!$C$39)+0.35*COS(2*PI()*(Inputs!$C$6)/Inputs!$C$40)+0.2*SIN(2*PI()*((Scenario_Data!V162)+(Inputs!$C$6))/(0.5*(Inputs!$C$39+Inputs!$C$40))))+Inputs!$C$38*SIN(2*PI()*(Scenario_Data!V162)/Inputs!$C$39)*SIN(2*PI()*(Inputs!$C$6)/Inputs!$C$40)+-Inputs!$C$41*EXP(-(((Inputs!$C$6)-Inputs!$C$43)^2)/(2*Inputs!$C$44^2))*EXP(-(((Scenario_Data!V162)-Inputs!$C$42)^2)/(2*Inputs!$C$45^2))+Inputs!$C$48*(0.7*(0.45*SIN(2*PI()*(((Scenario_Data!V162)/Inputs!$C$49)+Inputs!$C$47*0.137))+0.35*COS(2*PI()*(((Inputs!$C$6)/Inputs!$C$50)+Inputs!$C$47*0.173))+0.2*SIN(2*PI()*((((Scenario_Data!V162)+(Inputs!$C$6))/(0.5*(Inputs!$C$49+Inputs!$C$50)))+Inputs!$C$47*0.097)))+0.3*(2*((SIN(((Scenario_Data!V162)*12.9898+(Inputs!$C$6)*78.233+Inputs!$C$47*37.719))*43758.5453)-INT((SIN(((Scenario_Data!V162)*12.9898+(Inputs!$C$6)*78.233+Inputs!$C$47*37.719))*43758.5453)))-1))))/1000))*COS(SQRT((Scenario_Data!V162)^2+Inputs!$C$6^2)/Inputs!$C$52))*1000)/Inputs!$C$21*1000000</f>
        <v/>
      </c>
      <c r="AV162">
        <f>Scenario_Data!W162</f>
        <v/>
      </c>
      <c r="AW162">
        <f>2*(SQRT((Inputs!$C$52+(Scenario_Data!E162))^2+(Inputs!$C$52+((IF(OR(Inputs!$C$27=TRUE,Inputs!$C$27="TRUE",Inputs!$C$27=1),1,0)*(Inputs!$C$51*(115*EXP(-(((Inputs!$C$6)-25)^2)/(4.5^2))+70*EXP(-(((Inputs!$C$6)+38)^2)/(7^2))*(0.55+0.45*SIN(2*PI()*(Scenario_Data!W162)/45))+24*SIN(2*PI()*(Inputs!$C$6)/9+(Scenario_Data!W162)/18)*EXP(-(((Inputs!$C$6)+5)^2)/(22^2))+18*SIN(2*PI()*(Scenario_Data!W162)/70))+Inputs!$C$28*EXP(-(((Scenario_Data!W162)-Inputs!$C$29)^2)/(2*Inputs!$C$31^2))*EXP(-(((Inputs!$C$6)-Inputs!$C$30)^2)/(2*Inputs!$C$32^2))+-Inputs!$C$33*EXP(-(((((Scenario_Data!W162)-Inputs!$C$34)^2)+(((Inputs!$C$6)-Inputs!$C$35)^2))/(2*Inputs!$C$36^2)))+Inputs!$C$37*(0.55*SIN(2*PI()*(Scenario_Data!W162)/Inputs!$C$39)+0.35*COS(2*PI()*(Inputs!$C$6)/Inputs!$C$40)+0.2*SIN(2*PI()*((Scenario_Data!W162)+(Inputs!$C$6))/(0.5*(Inputs!$C$39+Inputs!$C$40))))+Inputs!$C$38*SIN(2*PI()*(Scenario_Data!W162)/Inputs!$C$39)*SIN(2*PI()*(Inputs!$C$6)/Inputs!$C$40)+-Inputs!$C$41*EXP(-(((Inputs!$C$6)-Inputs!$C$43)^2)/(2*Inputs!$C$44^2))*EXP(-(((Scenario_Data!W162)-Inputs!$C$42)^2)/(2*Inputs!$C$45^2))+Inputs!$C$48*(0.7*(0.45*SIN(2*PI()*(((Scenario_Data!W162)/Inputs!$C$49)+Inputs!$C$47*0.137))+0.35*COS(2*PI()*(((Inputs!$C$6)/Inputs!$C$50)+Inputs!$C$47*0.173))+0.2*SIN(2*PI()*((((Scenario_Data!W162)+(Inputs!$C$6))/(0.5*(Inputs!$C$49+Inputs!$C$50)))+Inputs!$C$47*0.097)))+0.3*(2*((SIN(((Scenario_Data!W162)*12.9898+(Inputs!$C$6)*78.233+Inputs!$C$47*37.719))*43758.5453)-INT((SIN(((Scenario_Data!W162)*12.9898+(Inputs!$C$6)*78.233+Inputs!$C$47*37.719))*43758.5453)))-1))))/1000))^2-2*(Inputs!$C$52+(Scenario_Data!E162))*(Inputs!$C$52+((IF(OR(Inputs!$C$27=TRUE,Inputs!$C$27="TRUE",Inputs!$C$27=1),1,0)*(Inputs!$C$51*(115*EXP(-(((Inputs!$C$6)-25)^2)/(4.5^2))+70*EXP(-(((Inputs!$C$6)+38)^2)/(7^2))*(0.55+0.45*SIN(2*PI()*(Scenario_Data!W162)/45))+24*SIN(2*PI()*(Inputs!$C$6)/9+(Scenario_Data!W162)/18)*EXP(-(((Inputs!$C$6)+5)^2)/(22^2))+18*SIN(2*PI()*(Scenario_Data!W162)/70))+Inputs!$C$28*EXP(-(((Scenario_Data!W162)-Inputs!$C$29)^2)/(2*Inputs!$C$31^2))*EXP(-(((Inputs!$C$6)-Inputs!$C$30)^2)/(2*Inputs!$C$32^2))+-Inputs!$C$33*EXP(-(((((Scenario_Data!W162)-Inputs!$C$34)^2)+(((Inputs!$C$6)-Inputs!$C$35)^2))/(2*Inputs!$C$36^2)))+Inputs!$C$37*(0.55*SIN(2*PI()*(Scenario_Data!W162)/Inputs!$C$39)+0.35*COS(2*PI()*(Inputs!$C$6)/Inputs!$C$40)+0.2*SIN(2*PI()*((Scenario_Data!W162)+(Inputs!$C$6))/(0.5*(Inputs!$C$39+Inputs!$C$40))))+Inputs!$C$38*SIN(2*PI()*(Scenario_Data!W162)/Inputs!$C$39)*SIN(2*PI()*(Inputs!$C$6)/Inputs!$C$40)+-Inputs!$C$41*EXP(-(((Inputs!$C$6)-Inputs!$C$43)^2)/(2*Inputs!$C$44^2))*EXP(-(((Scenario_Data!W162)-Inputs!$C$42)^2)/(2*Inputs!$C$45^2))+Inputs!$C$48*(0.7*(0.45*SIN(2*PI()*(((Scenario_Data!W162)/Inputs!$C$49)+Inputs!$C$47*0.137))+0.35*COS(2*PI()*(((Inputs!$C$6)/Inputs!$C$50)+Inputs!$C$47*0.173))+0.2*SIN(2*PI()*((((Scenario_Data!W162)+(Inputs!$C$6))/(0.5*(Inputs!$C$49+Inputs!$C$50)))+Inputs!$C$47*0.097)))+0.3*(2*((SIN(((Scenario_Data!W162)*12.9898+(Inputs!$C$6)*78.233+Inputs!$C$47*37.719))*43758.5453)-INT((SIN(((Scenario_Data!W162)*12.9898+(Inputs!$C$6)*78.233+Inputs!$C$47*37.719))*43758.5453)))-1))))/1000))*COS(SQRT((Scenario_Data!W162)^2+Inputs!$C$6^2)/Inputs!$C$52))*1000)/Inputs!$C$21*1000000</f>
        <v/>
      </c>
    </row>
    <row r="163">
      <c r="A163">
        <f>Chart_Data!K163</f>
        <v/>
      </c>
      <c r="B163">
        <f>Chart_Data!N163-Chart_Data!L163</f>
        <v/>
      </c>
      <c r="D163">
        <f>Chart_Data!G163</f>
        <v/>
      </c>
      <c r="E163">
        <f>Chart_Data!H163</f>
        <v/>
      </c>
      <c r="F163">
        <f>Chart_Data!I163</f>
        <v/>
      </c>
      <c r="G163">
        <f>Chart_Data!J163</f>
        <v/>
      </c>
      <c r="I163">
        <f>Scenario_Data!A163</f>
        <v/>
      </c>
      <c r="J163">
        <f>Scenario_Data!H163-(((SQRT((Inputs!$C$52+(Inputs!$H$6))^2+Inputs!$C$52^2-2*(Inputs!$C$52+(Inputs!$H$6))*Inputs!$C$52*COS(SQRT((Scenario_Data!T163)^2+Inputs!$C$6^2)/Inputs!$C$52)))-(Inputs!$H$6))*1000/Inputs!$C$12)</f>
        <v/>
      </c>
      <c r="K163">
        <f>Scenario_Data!I163-(((SQRT((Inputs!$C$52+(Inputs!$H$7))^2+Inputs!$C$52^2-2*(Inputs!$C$52+(Inputs!$H$7))*Inputs!$C$52*COS(SQRT((Scenario_Data!U163)^2+Inputs!$C$6^2)/Inputs!$C$52)))-(Inputs!$H$7))*1000/Inputs!$C$12)</f>
        <v/>
      </c>
      <c r="L163">
        <f>Scenario_Data!J163-(((SQRT((Inputs!$C$52+(Inputs!$H$8))^2+Inputs!$C$52^2-2*(Inputs!$C$52+(Inputs!$H$8))*Inputs!$C$52*COS(SQRT((Scenario_Data!V163)^2+Inputs!$C$6^2)/Inputs!$C$52)))-(Inputs!$H$8))*1000/Inputs!$C$12)</f>
        <v/>
      </c>
      <c r="M163">
        <f>Scenario_Data!K163-(((SQRT((Inputs!$C$52+(Inputs!$H$9))^2+Inputs!$C$52^2-2*(Inputs!$C$52+(Inputs!$H$9))*Inputs!$C$52*COS(SQRT((Scenario_Data!W163)^2+Inputs!$C$6^2)/Inputs!$C$52)))-(Inputs!$H$9))*1000/Inputs!$C$12)</f>
        <v/>
      </c>
      <c r="O163">
        <f>Scenario_Data!T163</f>
        <v/>
      </c>
      <c r="P163">
        <f>2*(Scenario_Data!B163*1000)/Inputs!$C$21*1000000</f>
        <v/>
      </c>
      <c r="Q163">
        <f>Scenario_Data!U163</f>
        <v/>
      </c>
      <c r="R163">
        <f>2*(Scenario_Data!C163*1000)/Inputs!$C$21*1000000</f>
        <v/>
      </c>
      <c r="S163">
        <f>Scenario_Data!V163</f>
        <v/>
      </c>
      <c r="T163">
        <f>2*(Scenario_Data!D163*1000)/Inputs!$C$21*1000000</f>
        <v/>
      </c>
      <c r="U163">
        <f>Scenario_Data!W163</f>
        <v/>
      </c>
      <c r="V163">
        <f>2*(Scenario_Data!E163*1000)/Inputs!$C$21*1000000</f>
        <v/>
      </c>
      <c r="X163">
        <f>Scenario_Data!T163</f>
        <v/>
      </c>
      <c r="Y163">
        <f>2*((Scenario_Data!B163*1000)-(IF(OR(Inputs!$C$27=TRUE,Inputs!$C$27="TRUE",Inputs!$C$27=1),1,0)*(Inputs!$C$51*(115*EXP(-(((0)-25)^2)/(4.5^2))+70*EXP(-(((0)+38)^2)/(7^2))*(0.55+0.45*SIN(2*PI()*(Scenario_Data!T163)/45))+24*SIN(2*PI()*(0)/9+(Scenario_Data!T163)/18)*EXP(-(((0)+5)^2)/(22^2))+18*SIN(2*PI()*(Scenario_Data!T163)/70))+Inputs!$C$28*EXP(-(((Scenario_Data!T163)-Inputs!$C$29)^2)/(2*Inputs!$C$31^2))*EXP(-(((0)-Inputs!$C$30)^2)/(2*Inputs!$C$32^2))+-Inputs!$C$33*EXP(-(((((Scenario_Data!T163)-Inputs!$C$34)^2)+(((0)-Inputs!$C$35)^2))/(2*Inputs!$C$36^2)))+Inputs!$C$37*(0.55*SIN(2*PI()*(Scenario_Data!T163)/Inputs!$C$39)+0.35*COS(2*PI()*(0)/Inputs!$C$40)+0.2*SIN(2*PI()*((Scenario_Data!T163)+(0))/(0.5*(Inputs!$C$39+Inputs!$C$40))))+Inputs!$C$38*SIN(2*PI()*(Scenario_Data!T163)/Inputs!$C$39)*SIN(2*PI()*(0)/Inputs!$C$40)+-Inputs!$C$41*EXP(-(((0)-Inputs!$C$43)^2)/(2*Inputs!$C$44^2))*EXP(-(((Scenario_Data!T163)-Inputs!$C$42)^2)/(2*Inputs!$C$45^2))+Inputs!$C$48*(0.7*(0.45*SIN(2*PI()*(((Scenario_Data!T163)/Inputs!$C$49)+Inputs!$C$47*0.137))+0.35*COS(2*PI()*(((0)/Inputs!$C$50)+Inputs!$C$47*0.173))+0.2*SIN(2*PI()*((((Scenario_Data!T163)+(0))/(0.5*(Inputs!$C$49+Inputs!$C$50)))+Inputs!$C$47*0.097)))+0.3*(2*((SIN(((Scenario_Data!T163)*12.9898+(0)*78.233+Inputs!$C$47*37.719))*43758.5453)-INT((SIN(((Scenario_Data!T163)*12.9898+(0)*78.233+Inputs!$C$47*37.719))*43758.5453)))-1)))))/Inputs!$C$21*1000000</f>
        <v/>
      </c>
      <c r="Z163">
        <f>Scenario_Data!U163</f>
        <v/>
      </c>
      <c r="AA163">
        <f>2*((Scenario_Data!C163*1000)-(IF(OR(Inputs!$C$27=TRUE,Inputs!$C$27="TRUE",Inputs!$C$27=1),1,0)*(Inputs!$C$51*(115*EXP(-(((0)-25)^2)/(4.5^2))+70*EXP(-(((0)+38)^2)/(7^2))*(0.55+0.45*SIN(2*PI()*(Scenario_Data!U163)/45))+24*SIN(2*PI()*(0)/9+(Scenario_Data!U163)/18)*EXP(-(((0)+5)^2)/(22^2))+18*SIN(2*PI()*(Scenario_Data!U163)/70))+Inputs!$C$28*EXP(-(((Scenario_Data!U163)-Inputs!$C$29)^2)/(2*Inputs!$C$31^2))*EXP(-(((0)-Inputs!$C$30)^2)/(2*Inputs!$C$32^2))+-Inputs!$C$33*EXP(-(((((Scenario_Data!U163)-Inputs!$C$34)^2)+(((0)-Inputs!$C$35)^2))/(2*Inputs!$C$36^2)))+Inputs!$C$37*(0.55*SIN(2*PI()*(Scenario_Data!U163)/Inputs!$C$39)+0.35*COS(2*PI()*(0)/Inputs!$C$40)+0.2*SIN(2*PI()*((Scenario_Data!U163)+(0))/(0.5*(Inputs!$C$39+Inputs!$C$40))))+Inputs!$C$38*SIN(2*PI()*(Scenario_Data!U163)/Inputs!$C$39)*SIN(2*PI()*(0)/Inputs!$C$40)+-Inputs!$C$41*EXP(-(((0)-Inputs!$C$43)^2)/(2*Inputs!$C$44^2))*EXP(-(((Scenario_Data!U163)-Inputs!$C$42)^2)/(2*Inputs!$C$45^2))+Inputs!$C$48*(0.7*(0.45*SIN(2*PI()*(((Scenario_Data!U163)/Inputs!$C$49)+Inputs!$C$47*0.137))+0.35*COS(2*PI()*(((0)/Inputs!$C$50)+Inputs!$C$47*0.173))+0.2*SIN(2*PI()*((((Scenario_Data!U163)+(0))/(0.5*(Inputs!$C$49+Inputs!$C$50)))+Inputs!$C$47*0.097)))+0.3*(2*((SIN(((Scenario_Data!U163)*12.9898+(0)*78.233+Inputs!$C$47*37.719))*43758.5453)-INT((SIN(((Scenario_Data!U163)*12.9898+(0)*78.233+Inputs!$C$47*37.719))*43758.5453)))-1)))))/Inputs!$C$21*1000000</f>
        <v/>
      </c>
      <c r="AB163">
        <f>Scenario_Data!V163</f>
        <v/>
      </c>
      <c r="AC163">
        <f>2*((Scenario_Data!D163*1000)-(IF(OR(Inputs!$C$27=TRUE,Inputs!$C$27="TRUE",Inputs!$C$27=1),1,0)*(Inputs!$C$51*(115*EXP(-(((0)-25)^2)/(4.5^2))+70*EXP(-(((0)+38)^2)/(7^2))*(0.55+0.45*SIN(2*PI()*(Scenario_Data!V163)/45))+24*SIN(2*PI()*(0)/9+(Scenario_Data!V163)/18)*EXP(-(((0)+5)^2)/(22^2))+18*SIN(2*PI()*(Scenario_Data!V163)/70))+Inputs!$C$28*EXP(-(((Scenario_Data!V163)-Inputs!$C$29)^2)/(2*Inputs!$C$31^2))*EXP(-(((0)-Inputs!$C$30)^2)/(2*Inputs!$C$32^2))+-Inputs!$C$33*EXP(-(((((Scenario_Data!V163)-Inputs!$C$34)^2)+(((0)-Inputs!$C$35)^2))/(2*Inputs!$C$36^2)))+Inputs!$C$37*(0.55*SIN(2*PI()*(Scenario_Data!V163)/Inputs!$C$39)+0.35*COS(2*PI()*(0)/Inputs!$C$40)+0.2*SIN(2*PI()*((Scenario_Data!V163)+(0))/(0.5*(Inputs!$C$39+Inputs!$C$40))))+Inputs!$C$38*SIN(2*PI()*(Scenario_Data!V163)/Inputs!$C$39)*SIN(2*PI()*(0)/Inputs!$C$40)+-Inputs!$C$41*EXP(-(((0)-Inputs!$C$43)^2)/(2*Inputs!$C$44^2))*EXP(-(((Scenario_Data!V163)-Inputs!$C$42)^2)/(2*Inputs!$C$45^2))+Inputs!$C$48*(0.7*(0.45*SIN(2*PI()*(((Scenario_Data!V163)/Inputs!$C$49)+Inputs!$C$47*0.137))+0.35*COS(2*PI()*(((0)/Inputs!$C$50)+Inputs!$C$47*0.173))+0.2*SIN(2*PI()*((((Scenario_Data!V163)+(0))/(0.5*(Inputs!$C$49+Inputs!$C$50)))+Inputs!$C$47*0.097)))+0.3*(2*((SIN(((Scenario_Data!V163)*12.9898+(0)*78.233+Inputs!$C$47*37.719))*43758.5453)-INT((SIN(((Scenario_Data!V163)*12.9898+(0)*78.233+Inputs!$C$47*37.719))*43758.5453)))-1)))))/Inputs!$C$21*1000000</f>
        <v/>
      </c>
      <c r="AD163">
        <f>Scenario_Data!W163</f>
        <v/>
      </c>
      <c r="AE163">
        <f>2*((Scenario_Data!E163*1000)-(IF(OR(Inputs!$C$27=TRUE,Inputs!$C$27="TRUE",Inputs!$C$27=1),1,0)*(Inputs!$C$51*(115*EXP(-(((0)-25)^2)/(4.5^2))+70*EXP(-(((0)+38)^2)/(7^2))*(0.55+0.45*SIN(2*PI()*(Scenario_Data!W163)/45))+24*SIN(2*PI()*(0)/9+(Scenario_Data!W163)/18)*EXP(-(((0)+5)^2)/(22^2))+18*SIN(2*PI()*(Scenario_Data!W163)/70))+Inputs!$C$28*EXP(-(((Scenario_Data!W163)-Inputs!$C$29)^2)/(2*Inputs!$C$31^2))*EXP(-(((0)-Inputs!$C$30)^2)/(2*Inputs!$C$32^2))+-Inputs!$C$33*EXP(-(((((Scenario_Data!W163)-Inputs!$C$34)^2)+(((0)-Inputs!$C$35)^2))/(2*Inputs!$C$36^2)))+Inputs!$C$37*(0.55*SIN(2*PI()*(Scenario_Data!W163)/Inputs!$C$39)+0.35*COS(2*PI()*(0)/Inputs!$C$40)+0.2*SIN(2*PI()*((Scenario_Data!W163)+(0))/(0.5*(Inputs!$C$39+Inputs!$C$40))))+Inputs!$C$38*SIN(2*PI()*(Scenario_Data!W163)/Inputs!$C$39)*SIN(2*PI()*(0)/Inputs!$C$40)+-Inputs!$C$41*EXP(-(((0)-Inputs!$C$43)^2)/(2*Inputs!$C$44^2))*EXP(-(((Scenario_Data!W163)-Inputs!$C$42)^2)/(2*Inputs!$C$45^2))+Inputs!$C$48*(0.7*(0.45*SIN(2*PI()*(((Scenario_Data!W163)/Inputs!$C$49)+Inputs!$C$47*0.137))+0.35*COS(2*PI()*(((0)/Inputs!$C$50)+Inputs!$C$47*0.173))+0.2*SIN(2*PI()*((((Scenario_Data!W163)+(0))/(0.5*(Inputs!$C$49+Inputs!$C$50)))+Inputs!$C$47*0.097)))+0.3*(2*((SIN(((Scenario_Data!W163)*12.9898+(0)*78.233+Inputs!$C$47*37.719))*43758.5453)-INT((SIN(((Scenario_Data!W163)*12.9898+(0)*78.233+Inputs!$C$47*37.719))*43758.5453)))-1)))))/Inputs!$C$21*1000000</f>
        <v/>
      </c>
      <c r="AG163">
        <f>Scenario_Data!T163</f>
        <v/>
      </c>
      <c r="AH163">
        <f>2*(SQRT((Inputs!$C$52+(Scenario_Data!B163))^2+Inputs!$C$52^2-2*(Inputs!$C$52+(Scenario_Data!B163))*Inputs!$C$52*COS(SQRT((Scenario_Data!T163)^2+Inputs!$C$6^2)/Inputs!$C$52))*1000)/Inputs!$C$21*1000000</f>
        <v/>
      </c>
      <c r="AI163">
        <f>Scenario_Data!U163</f>
        <v/>
      </c>
      <c r="AJ163">
        <f>2*(SQRT((Inputs!$C$52+(Scenario_Data!C163))^2+Inputs!$C$52^2-2*(Inputs!$C$52+(Scenario_Data!C163))*Inputs!$C$52*COS(SQRT((Scenario_Data!U163)^2+Inputs!$C$6^2)/Inputs!$C$52))*1000)/Inputs!$C$21*1000000</f>
        <v/>
      </c>
      <c r="AK163">
        <f>Scenario_Data!V163</f>
        <v/>
      </c>
      <c r="AL163">
        <f>2*(SQRT((Inputs!$C$52+(Scenario_Data!D163))^2+Inputs!$C$52^2-2*(Inputs!$C$52+(Scenario_Data!D163))*Inputs!$C$52*COS(SQRT((Scenario_Data!V163)^2+Inputs!$C$6^2)/Inputs!$C$52))*1000)/Inputs!$C$21*1000000</f>
        <v/>
      </c>
      <c r="AM163">
        <f>Scenario_Data!W163</f>
        <v/>
      </c>
      <c r="AN163">
        <f>2*(SQRT((Inputs!$C$52+(Scenario_Data!E163))^2+Inputs!$C$52^2-2*(Inputs!$C$52+(Scenario_Data!E163))*Inputs!$C$52*COS(SQRT((Scenario_Data!W163)^2+Inputs!$C$6^2)/Inputs!$C$52))*1000)/Inputs!$C$21*1000000</f>
        <v/>
      </c>
      <c r="AP163">
        <f>Scenario_Data!T163</f>
        <v/>
      </c>
      <c r="AQ163">
        <f>2*(SQRT((Inputs!$C$52+(Scenario_Data!B163))^2+(Inputs!$C$52+((IF(OR(Inputs!$C$27=TRUE,Inputs!$C$27="TRUE",Inputs!$C$27=1),1,0)*(Inputs!$C$51*(115*EXP(-(((Inputs!$C$6)-25)^2)/(4.5^2))+70*EXP(-(((Inputs!$C$6)+38)^2)/(7^2))*(0.55+0.45*SIN(2*PI()*(Scenario_Data!T163)/45))+24*SIN(2*PI()*(Inputs!$C$6)/9+(Scenario_Data!T163)/18)*EXP(-(((Inputs!$C$6)+5)^2)/(22^2))+18*SIN(2*PI()*(Scenario_Data!T163)/70))+Inputs!$C$28*EXP(-(((Scenario_Data!T163)-Inputs!$C$29)^2)/(2*Inputs!$C$31^2))*EXP(-(((Inputs!$C$6)-Inputs!$C$30)^2)/(2*Inputs!$C$32^2))+-Inputs!$C$33*EXP(-(((((Scenario_Data!T163)-Inputs!$C$34)^2)+(((Inputs!$C$6)-Inputs!$C$35)^2))/(2*Inputs!$C$36^2)))+Inputs!$C$37*(0.55*SIN(2*PI()*(Scenario_Data!T163)/Inputs!$C$39)+0.35*COS(2*PI()*(Inputs!$C$6)/Inputs!$C$40)+0.2*SIN(2*PI()*((Scenario_Data!T163)+(Inputs!$C$6))/(0.5*(Inputs!$C$39+Inputs!$C$40))))+Inputs!$C$38*SIN(2*PI()*(Scenario_Data!T163)/Inputs!$C$39)*SIN(2*PI()*(Inputs!$C$6)/Inputs!$C$40)+-Inputs!$C$41*EXP(-(((Inputs!$C$6)-Inputs!$C$43)^2)/(2*Inputs!$C$44^2))*EXP(-(((Scenario_Data!T163)-Inputs!$C$42)^2)/(2*Inputs!$C$45^2))+Inputs!$C$48*(0.7*(0.45*SIN(2*PI()*(((Scenario_Data!T163)/Inputs!$C$49)+Inputs!$C$47*0.137))+0.35*COS(2*PI()*(((Inputs!$C$6)/Inputs!$C$50)+Inputs!$C$47*0.173))+0.2*SIN(2*PI()*((((Scenario_Data!T163)+(Inputs!$C$6))/(0.5*(Inputs!$C$49+Inputs!$C$50)))+Inputs!$C$47*0.097)))+0.3*(2*((SIN(((Scenario_Data!T163)*12.9898+(Inputs!$C$6)*78.233+Inputs!$C$47*37.719))*43758.5453)-INT((SIN(((Scenario_Data!T163)*12.9898+(Inputs!$C$6)*78.233+Inputs!$C$47*37.719))*43758.5453)))-1))))/1000))^2-2*(Inputs!$C$52+(Scenario_Data!B163))*(Inputs!$C$52+((IF(OR(Inputs!$C$27=TRUE,Inputs!$C$27="TRUE",Inputs!$C$27=1),1,0)*(Inputs!$C$51*(115*EXP(-(((Inputs!$C$6)-25)^2)/(4.5^2))+70*EXP(-(((Inputs!$C$6)+38)^2)/(7^2))*(0.55+0.45*SIN(2*PI()*(Scenario_Data!T163)/45))+24*SIN(2*PI()*(Inputs!$C$6)/9+(Scenario_Data!T163)/18)*EXP(-(((Inputs!$C$6)+5)^2)/(22^2))+18*SIN(2*PI()*(Scenario_Data!T163)/70))+Inputs!$C$28*EXP(-(((Scenario_Data!T163)-Inputs!$C$29)^2)/(2*Inputs!$C$31^2))*EXP(-(((Inputs!$C$6)-Inputs!$C$30)^2)/(2*Inputs!$C$32^2))+-Inputs!$C$33*EXP(-(((((Scenario_Data!T163)-Inputs!$C$34)^2)+(((Inputs!$C$6)-Inputs!$C$35)^2))/(2*Inputs!$C$36^2)))+Inputs!$C$37*(0.55*SIN(2*PI()*(Scenario_Data!T163)/Inputs!$C$39)+0.35*COS(2*PI()*(Inputs!$C$6)/Inputs!$C$40)+0.2*SIN(2*PI()*((Scenario_Data!T163)+(Inputs!$C$6))/(0.5*(Inputs!$C$39+Inputs!$C$40))))+Inputs!$C$38*SIN(2*PI()*(Scenario_Data!T163)/Inputs!$C$39)*SIN(2*PI()*(Inputs!$C$6)/Inputs!$C$40)+-Inputs!$C$41*EXP(-(((Inputs!$C$6)-Inputs!$C$43)^2)/(2*Inputs!$C$44^2))*EXP(-(((Scenario_Data!T163)-Inputs!$C$42)^2)/(2*Inputs!$C$45^2))+Inputs!$C$48*(0.7*(0.45*SIN(2*PI()*(((Scenario_Data!T163)/Inputs!$C$49)+Inputs!$C$47*0.137))+0.35*COS(2*PI()*(((Inputs!$C$6)/Inputs!$C$50)+Inputs!$C$47*0.173))+0.2*SIN(2*PI()*((((Scenario_Data!T163)+(Inputs!$C$6))/(0.5*(Inputs!$C$49+Inputs!$C$50)))+Inputs!$C$47*0.097)))+0.3*(2*((SIN(((Scenario_Data!T163)*12.9898+(Inputs!$C$6)*78.233+Inputs!$C$47*37.719))*43758.5453)-INT((SIN(((Scenario_Data!T163)*12.9898+(Inputs!$C$6)*78.233+Inputs!$C$47*37.719))*43758.5453)))-1))))/1000))*COS(SQRT((Scenario_Data!T163)^2+Inputs!$C$6^2)/Inputs!$C$52))*1000)/Inputs!$C$21*1000000</f>
        <v/>
      </c>
      <c r="AR163">
        <f>Scenario_Data!U163</f>
        <v/>
      </c>
      <c r="AS163">
        <f>2*(SQRT((Inputs!$C$52+(Scenario_Data!C163))^2+(Inputs!$C$52+((IF(OR(Inputs!$C$27=TRUE,Inputs!$C$27="TRUE",Inputs!$C$27=1),1,0)*(Inputs!$C$51*(115*EXP(-(((Inputs!$C$6)-25)^2)/(4.5^2))+70*EXP(-(((Inputs!$C$6)+38)^2)/(7^2))*(0.55+0.45*SIN(2*PI()*(Scenario_Data!U163)/45))+24*SIN(2*PI()*(Inputs!$C$6)/9+(Scenario_Data!U163)/18)*EXP(-(((Inputs!$C$6)+5)^2)/(22^2))+18*SIN(2*PI()*(Scenario_Data!U163)/70))+Inputs!$C$28*EXP(-(((Scenario_Data!U163)-Inputs!$C$29)^2)/(2*Inputs!$C$31^2))*EXP(-(((Inputs!$C$6)-Inputs!$C$30)^2)/(2*Inputs!$C$32^2))+-Inputs!$C$33*EXP(-(((((Scenario_Data!U163)-Inputs!$C$34)^2)+(((Inputs!$C$6)-Inputs!$C$35)^2))/(2*Inputs!$C$36^2)))+Inputs!$C$37*(0.55*SIN(2*PI()*(Scenario_Data!U163)/Inputs!$C$39)+0.35*COS(2*PI()*(Inputs!$C$6)/Inputs!$C$40)+0.2*SIN(2*PI()*((Scenario_Data!U163)+(Inputs!$C$6))/(0.5*(Inputs!$C$39+Inputs!$C$40))))+Inputs!$C$38*SIN(2*PI()*(Scenario_Data!U163)/Inputs!$C$39)*SIN(2*PI()*(Inputs!$C$6)/Inputs!$C$40)+-Inputs!$C$41*EXP(-(((Inputs!$C$6)-Inputs!$C$43)^2)/(2*Inputs!$C$44^2))*EXP(-(((Scenario_Data!U163)-Inputs!$C$42)^2)/(2*Inputs!$C$45^2))+Inputs!$C$48*(0.7*(0.45*SIN(2*PI()*(((Scenario_Data!U163)/Inputs!$C$49)+Inputs!$C$47*0.137))+0.35*COS(2*PI()*(((Inputs!$C$6)/Inputs!$C$50)+Inputs!$C$47*0.173))+0.2*SIN(2*PI()*((((Scenario_Data!U163)+(Inputs!$C$6))/(0.5*(Inputs!$C$49+Inputs!$C$50)))+Inputs!$C$47*0.097)))+0.3*(2*((SIN(((Scenario_Data!U163)*12.9898+(Inputs!$C$6)*78.233+Inputs!$C$47*37.719))*43758.5453)-INT((SIN(((Scenario_Data!U163)*12.9898+(Inputs!$C$6)*78.233+Inputs!$C$47*37.719))*43758.5453)))-1))))/1000))^2-2*(Inputs!$C$52+(Scenario_Data!C163))*(Inputs!$C$52+((IF(OR(Inputs!$C$27=TRUE,Inputs!$C$27="TRUE",Inputs!$C$27=1),1,0)*(Inputs!$C$51*(115*EXP(-(((Inputs!$C$6)-25)^2)/(4.5^2))+70*EXP(-(((Inputs!$C$6)+38)^2)/(7^2))*(0.55+0.45*SIN(2*PI()*(Scenario_Data!U163)/45))+24*SIN(2*PI()*(Inputs!$C$6)/9+(Scenario_Data!U163)/18)*EXP(-(((Inputs!$C$6)+5)^2)/(22^2))+18*SIN(2*PI()*(Scenario_Data!U163)/70))+Inputs!$C$28*EXP(-(((Scenario_Data!U163)-Inputs!$C$29)^2)/(2*Inputs!$C$31^2))*EXP(-(((Inputs!$C$6)-Inputs!$C$30)^2)/(2*Inputs!$C$32^2))+-Inputs!$C$33*EXP(-(((((Scenario_Data!U163)-Inputs!$C$34)^2)+(((Inputs!$C$6)-Inputs!$C$35)^2))/(2*Inputs!$C$36^2)))+Inputs!$C$37*(0.55*SIN(2*PI()*(Scenario_Data!U163)/Inputs!$C$39)+0.35*COS(2*PI()*(Inputs!$C$6)/Inputs!$C$40)+0.2*SIN(2*PI()*((Scenario_Data!U163)+(Inputs!$C$6))/(0.5*(Inputs!$C$39+Inputs!$C$40))))+Inputs!$C$38*SIN(2*PI()*(Scenario_Data!U163)/Inputs!$C$39)*SIN(2*PI()*(Inputs!$C$6)/Inputs!$C$40)+-Inputs!$C$41*EXP(-(((Inputs!$C$6)-Inputs!$C$43)^2)/(2*Inputs!$C$44^2))*EXP(-(((Scenario_Data!U163)-Inputs!$C$42)^2)/(2*Inputs!$C$45^2))+Inputs!$C$48*(0.7*(0.45*SIN(2*PI()*(((Scenario_Data!U163)/Inputs!$C$49)+Inputs!$C$47*0.137))+0.35*COS(2*PI()*(((Inputs!$C$6)/Inputs!$C$50)+Inputs!$C$47*0.173))+0.2*SIN(2*PI()*((((Scenario_Data!U163)+(Inputs!$C$6))/(0.5*(Inputs!$C$49+Inputs!$C$50)))+Inputs!$C$47*0.097)))+0.3*(2*((SIN(((Scenario_Data!U163)*12.9898+(Inputs!$C$6)*78.233+Inputs!$C$47*37.719))*43758.5453)-INT((SIN(((Scenario_Data!U163)*12.9898+(Inputs!$C$6)*78.233+Inputs!$C$47*37.719))*43758.5453)))-1))))/1000))*COS(SQRT((Scenario_Data!U163)^2+Inputs!$C$6^2)/Inputs!$C$52))*1000)/Inputs!$C$21*1000000</f>
        <v/>
      </c>
      <c r="AT163">
        <f>Scenario_Data!V163</f>
        <v/>
      </c>
      <c r="AU163">
        <f>2*(SQRT((Inputs!$C$52+(Scenario_Data!D163))^2+(Inputs!$C$52+((IF(OR(Inputs!$C$27=TRUE,Inputs!$C$27="TRUE",Inputs!$C$27=1),1,0)*(Inputs!$C$51*(115*EXP(-(((Inputs!$C$6)-25)^2)/(4.5^2))+70*EXP(-(((Inputs!$C$6)+38)^2)/(7^2))*(0.55+0.45*SIN(2*PI()*(Scenario_Data!V163)/45))+24*SIN(2*PI()*(Inputs!$C$6)/9+(Scenario_Data!V163)/18)*EXP(-(((Inputs!$C$6)+5)^2)/(22^2))+18*SIN(2*PI()*(Scenario_Data!V163)/70))+Inputs!$C$28*EXP(-(((Scenario_Data!V163)-Inputs!$C$29)^2)/(2*Inputs!$C$31^2))*EXP(-(((Inputs!$C$6)-Inputs!$C$30)^2)/(2*Inputs!$C$32^2))+-Inputs!$C$33*EXP(-(((((Scenario_Data!V163)-Inputs!$C$34)^2)+(((Inputs!$C$6)-Inputs!$C$35)^2))/(2*Inputs!$C$36^2)))+Inputs!$C$37*(0.55*SIN(2*PI()*(Scenario_Data!V163)/Inputs!$C$39)+0.35*COS(2*PI()*(Inputs!$C$6)/Inputs!$C$40)+0.2*SIN(2*PI()*((Scenario_Data!V163)+(Inputs!$C$6))/(0.5*(Inputs!$C$39+Inputs!$C$40))))+Inputs!$C$38*SIN(2*PI()*(Scenario_Data!V163)/Inputs!$C$39)*SIN(2*PI()*(Inputs!$C$6)/Inputs!$C$40)+-Inputs!$C$41*EXP(-(((Inputs!$C$6)-Inputs!$C$43)^2)/(2*Inputs!$C$44^2))*EXP(-(((Scenario_Data!V163)-Inputs!$C$42)^2)/(2*Inputs!$C$45^2))+Inputs!$C$48*(0.7*(0.45*SIN(2*PI()*(((Scenario_Data!V163)/Inputs!$C$49)+Inputs!$C$47*0.137))+0.35*COS(2*PI()*(((Inputs!$C$6)/Inputs!$C$50)+Inputs!$C$47*0.173))+0.2*SIN(2*PI()*((((Scenario_Data!V163)+(Inputs!$C$6))/(0.5*(Inputs!$C$49+Inputs!$C$50)))+Inputs!$C$47*0.097)))+0.3*(2*((SIN(((Scenario_Data!V163)*12.9898+(Inputs!$C$6)*78.233+Inputs!$C$47*37.719))*43758.5453)-INT((SIN(((Scenario_Data!V163)*12.9898+(Inputs!$C$6)*78.233+Inputs!$C$47*37.719))*43758.5453)))-1))))/1000))^2-2*(Inputs!$C$52+(Scenario_Data!D163))*(Inputs!$C$52+((IF(OR(Inputs!$C$27=TRUE,Inputs!$C$27="TRUE",Inputs!$C$27=1),1,0)*(Inputs!$C$51*(115*EXP(-(((Inputs!$C$6)-25)^2)/(4.5^2))+70*EXP(-(((Inputs!$C$6)+38)^2)/(7^2))*(0.55+0.45*SIN(2*PI()*(Scenario_Data!V163)/45))+24*SIN(2*PI()*(Inputs!$C$6)/9+(Scenario_Data!V163)/18)*EXP(-(((Inputs!$C$6)+5)^2)/(22^2))+18*SIN(2*PI()*(Scenario_Data!V163)/70))+Inputs!$C$28*EXP(-(((Scenario_Data!V163)-Inputs!$C$29)^2)/(2*Inputs!$C$31^2))*EXP(-(((Inputs!$C$6)-Inputs!$C$30)^2)/(2*Inputs!$C$32^2))+-Inputs!$C$33*EXP(-(((((Scenario_Data!V163)-Inputs!$C$34)^2)+(((Inputs!$C$6)-Inputs!$C$35)^2))/(2*Inputs!$C$36^2)))+Inputs!$C$37*(0.55*SIN(2*PI()*(Scenario_Data!V163)/Inputs!$C$39)+0.35*COS(2*PI()*(Inputs!$C$6)/Inputs!$C$40)+0.2*SIN(2*PI()*((Scenario_Data!V163)+(Inputs!$C$6))/(0.5*(Inputs!$C$39+Inputs!$C$40))))+Inputs!$C$38*SIN(2*PI()*(Scenario_Data!V163)/Inputs!$C$39)*SIN(2*PI()*(Inputs!$C$6)/Inputs!$C$40)+-Inputs!$C$41*EXP(-(((Inputs!$C$6)-Inputs!$C$43)^2)/(2*Inputs!$C$44^2))*EXP(-(((Scenario_Data!V163)-Inputs!$C$42)^2)/(2*Inputs!$C$45^2))+Inputs!$C$48*(0.7*(0.45*SIN(2*PI()*(((Scenario_Data!V163)/Inputs!$C$49)+Inputs!$C$47*0.137))+0.35*COS(2*PI()*(((Inputs!$C$6)/Inputs!$C$50)+Inputs!$C$47*0.173))+0.2*SIN(2*PI()*((((Scenario_Data!V163)+(Inputs!$C$6))/(0.5*(Inputs!$C$49+Inputs!$C$50)))+Inputs!$C$47*0.097)))+0.3*(2*((SIN(((Scenario_Data!V163)*12.9898+(Inputs!$C$6)*78.233+Inputs!$C$47*37.719))*43758.5453)-INT((SIN(((Scenario_Data!V163)*12.9898+(Inputs!$C$6)*78.233+Inputs!$C$47*37.719))*43758.5453)))-1))))/1000))*COS(SQRT((Scenario_Data!V163)^2+Inputs!$C$6^2)/Inputs!$C$52))*1000)/Inputs!$C$21*1000000</f>
        <v/>
      </c>
      <c r="AV163">
        <f>Scenario_Data!W163</f>
        <v/>
      </c>
      <c r="AW163">
        <f>2*(SQRT((Inputs!$C$52+(Scenario_Data!E163))^2+(Inputs!$C$52+((IF(OR(Inputs!$C$27=TRUE,Inputs!$C$27="TRUE",Inputs!$C$27=1),1,0)*(Inputs!$C$51*(115*EXP(-(((Inputs!$C$6)-25)^2)/(4.5^2))+70*EXP(-(((Inputs!$C$6)+38)^2)/(7^2))*(0.55+0.45*SIN(2*PI()*(Scenario_Data!W163)/45))+24*SIN(2*PI()*(Inputs!$C$6)/9+(Scenario_Data!W163)/18)*EXP(-(((Inputs!$C$6)+5)^2)/(22^2))+18*SIN(2*PI()*(Scenario_Data!W163)/70))+Inputs!$C$28*EXP(-(((Scenario_Data!W163)-Inputs!$C$29)^2)/(2*Inputs!$C$31^2))*EXP(-(((Inputs!$C$6)-Inputs!$C$30)^2)/(2*Inputs!$C$32^2))+-Inputs!$C$33*EXP(-(((((Scenario_Data!W163)-Inputs!$C$34)^2)+(((Inputs!$C$6)-Inputs!$C$35)^2))/(2*Inputs!$C$36^2)))+Inputs!$C$37*(0.55*SIN(2*PI()*(Scenario_Data!W163)/Inputs!$C$39)+0.35*COS(2*PI()*(Inputs!$C$6)/Inputs!$C$40)+0.2*SIN(2*PI()*((Scenario_Data!W163)+(Inputs!$C$6))/(0.5*(Inputs!$C$39+Inputs!$C$40))))+Inputs!$C$38*SIN(2*PI()*(Scenario_Data!W163)/Inputs!$C$39)*SIN(2*PI()*(Inputs!$C$6)/Inputs!$C$40)+-Inputs!$C$41*EXP(-(((Inputs!$C$6)-Inputs!$C$43)^2)/(2*Inputs!$C$44^2))*EXP(-(((Scenario_Data!W163)-Inputs!$C$42)^2)/(2*Inputs!$C$45^2))+Inputs!$C$48*(0.7*(0.45*SIN(2*PI()*(((Scenario_Data!W163)/Inputs!$C$49)+Inputs!$C$47*0.137))+0.35*COS(2*PI()*(((Inputs!$C$6)/Inputs!$C$50)+Inputs!$C$47*0.173))+0.2*SIN(2*PI()*((((Scenario_Data!W163)+(Inputs!$C$6))/(0.5*(Inputs!$C$49+Inputs!$C$50)))+Inputs!$C$47*0.097)))+0.3*(2*((SIN(((Scenario_Data!W163)*12.9898+(Inputs!$C$6)*78.233+Inputs!$C$47*37.719))*43758.5453)-INT((SIN(((Scenario_Data!W163)*12.9898+(Inputs!$C$6)*78.233+Inputs!$C$47*37.719))*43758.5453)))-1))))/1000))^2-2*(Inputs!$C$52+(Scenario_Data!E163))*(Inputs!$C$52+((IF(OR(Inputs!$C$27=TRUE,Inputs!$C$27="TRUE",Inputs!$C$27=1),1,0)*(Inputs!$C$51*(115*EXP(-(((Inputs!$C$6)-25)^2)/(4.5^2))+70*EXP(-(((Inputs!$C$6)+38)^2)/(7^2))*(0.55+0.45*SIN(2*PI()*(Scenario_Data!W163)/45))+24*SIN(2*PI()*(Inputs!$C$6)/9+(Scenario_Data!W163)/18)*EXP(-(((Inputs!$C$6)+5)^2)/(22^2))+18*SIN(2*PI()*(Scenario_Data!W163)/70))+Inputs!$C$28*EXP(-(((Scenario_Data!W163)-Inputs!$C$29)^2)/(2*Inputs!$C$31^2))*EXP(-(((Inputs!$C$6)-Inputs!$C$30)^2)/(2*Inputs!$C$32^2))+-Inputs!$C$33*EXP(-(((((Scenario_Data!W163)-Inputs!$C$34)^2)+(((Inputs!$C$6)-Inputs!$C$35)^2))/(2*Inputs!$C$36^2)))+Inputs!$C$37*(0.55*SIN(2*PI()*(Scenario_Data!W163)/Inputs!$C$39)+0.35*COS(2*PI()*(Inputs!$C$6)/Inputs!$C$40)+0.2*SIN(2*PI()*((Scenario_Data!W163)+(Inputs!$C$6))/(0.5*(Inputs!$C$39+Inputs!$C$40))))+Inputs!$C$38*SIN(2*PI()*(Scenario_Data!W163)/Inputs!$C$39)*SIN(2*PI()*(Inputs!$C$6)/Inputs!$C$40)+-Inputs!$C$41*EXP(-(((Inputs!$C$6)-Inputs!$C$43)^2)/(2*Inputs!$C$44^2))*EXP(-(((Scenario_Data!W163)-Inputs!$C$42)^2)/(2*Inputs!$C$45^2))+Inputs!$C$48*(0.7*(0.45*SIN(2*PI()*(((Scenario_Data!W163)/Inputs!$C$49)+Inputs!$C$47*0.137))+0.35*COS(2*PI()*(((Inputs!$C$6)/Inputs!$C$50)+Inputs!$C$47*0.173))+0.2*SIN(2*PI()*((((Scenario_Data!W163)+(Inputs!$C$6))/(0.5*(Inputs!$C$49+Inputs!$C$50)))+Inputs!$C$47*0.097)))+0.3*(2*((SIN(((Scenario_Data!W163)*12.9898+(Inputs!$C$6)*78.233+Inputs!$C$47*37.719))*43758.5453)-INT((SIN(((Scenario_Data!W163)*12.9898+(Inputs!$C$6)*78.233+Inputs!$C$47*37.719))*43758.5453)))-1))))/1000))*COS(SQRT((Scenario_Data!W163)^2+Inputs!$C$6^2)/Inputs!$C$52))*1000)/Inputs!$C$21*1000000</f>
        <v/>
      </c>
    </row>
    <row r="164">
      <c r="A164">
        <f>Chart_Data!K164</f>
        <v/>
      </c>
      <c r="B164">
        <f>Chart_Data!N164-Chart_Data!L164</f>
        <v/>
      </c>
      <c r="D164">
        <f>Chart_Data!G164</f>
        <v/>
      </c>
      <c r="E164">
        <f>Chart_Data!H164</f>
        <v/>
      </c>
      <c r="F164">
        <f>Chart_Data!I164</f>
        <v/>
      </c>
      <c r="G164">
        <f>Chart_Data!J164</f>
        <v/>
      </c>
      <c r="I164">
        <f>Scenario_Data!A164</f>
        <v/>
      </c>
      <c r="J164">
        <f>Scenario_Data!H164-(((SQRT((Inputs!$C$52+(Inputs!$H$6))^2+Inputs!$C$52^2-2*(Inputs!$C$52+(Inputs!$H$6))*Inputs!$C$52*COS(SQRT((Scenario_Data!T164)^2+Inputs!$C$6^2)/Inputs!$C$52)))-(Inputs!$H$6))*1000/Inputs!$C$12)</f>
        <v/>
      </c>
      <c r="K164">
        <f>Scenario_Data!I164-(((SQRT((Inputs!$C$52+(Inputs!$H$7))^2+Inputs!$C$52^2-2*(Inputs!$C$52+(Inputs!$H$7))*Inputs!$C$52*COS(SQRT((Scenario_Data!U164)^2+Inputs!$C$6^2)/Inputs!$C$52)))-(Inputs!$H$7))*1000/Inputs!$C$12)</f>
        <v/>
      </c>
      <c r="L164">
        <f>Scenario_Data!J164-(((SQRT((Inputs!$C$52+(Inputs!$H$8))^2+Inputs!$C$52^2-2*(Inputs!$C$52+(Inputs!$H$8))*Inputs!$C$52*COS(SQRT((Scenario_Data!V164)^2+Inputs!$C$6^2)/Inputs!$C$52)))-(Inputs!$H$8))*1000/Inputs!$C$12)</f>
        <v/>
      </c>
      <c r="M164">
        <f>Scenario_Data!K164-(((SQRT((Inputs!$C$52+(Inputs!$H$9))^2+Inputs!$C$52^2-2*(Inputs!$C$52+(Inputs!$H$9))*Inputs!$C$52*COS(SQRT((Scenario_Data!W164)^2+Inputs!$C$6^2)/Inputs!$C$52)))-(Inputs!$H$9))*1000/Inputs!$C$12)</f>
        <v/>
      </c>
      <c r="O164">
        <f>Scenario_Data!T164</f>
        <v/>
      </c>
      <c r="P164">
        <f>2*(Scenario_Data!B164*1000)/Inputs!$C$21*1000000</f>
        <v/>
      </c>
      <c r="Q164">
        <f>Scenario_Data!U164</f>
        <v/>
      </c>
      <c r="R164">
        <f>2*(Scenario_Data!C164*1000)/Inputs!$C$21*1000000</f>
        <v/>
      </c>
      <c r="S164">
        <f>Scenario_Data!V164</f>
        <v/>
      </c>
      <c r="T164">
        <f>2*(Scenario_Data!D164*1000)/Inputs!$C$21*1000000</f>
        <v/>
      </c>
      <c r="U164">
        <f>Scenario_Data!W164</f>
        <v/>
      </c>
      <c r="V164">
        <f>2*(Scenario_Data!E164*1000)/Inputs!$C$21*1000000</f>
        <v/>
      </c>
      <c r="X164">
        <f>Scenario_Data!T164</f>
        <v/>
      </c>
      <c r="Y164">
        <f>2*((Scenario_Data!B164*1000)-(IF(OR(Inputs!$C$27=TRUE,Inputs!$C$27="TRUE",Inputs!$C$27=1),1,0)*(Inputs!$C$51*(115*EXP(-(((0)-25)^2)/(4.5^2))+70*EXP(-(((0)+38)^2)/(7^2))*(0.55+0.45*SIN(2*PI()*(Scenario_Data!T164)/45))+24*SIN(2*PI()*(0)/9+(Scenario_Data!T164)/18)*EXP(-(((0)+5)^2)/(22^2))+18*SIN(2*PI()*(Scenario_Data!T164)/70))+Inputs!$C$28*EXP(-(((Scenario_Data!T164)-Inputs!$C$29)^2)/(2*Inputs!$C$31^2))*EXP(-(((0)-Inputs!$C$30)^2)/(2*Inputs!$C$32^2))+-Inputs!$C$33*EXP(-(((((Scenario_Data!T164)-Inputs!$C$34)^2)+(((0)-Inputs!$C$35)^2))/(2*Inputs!$C$36^2)))+Inputs!$C$37*(0.55*SIN(2*PI()*(Scenario_Data!T164)/Inputs!$C$39)+0.35*COS(2*PI()*(0)/Inputs!$C$40)+0.2*SIN(2*PI()*((Scenario_Data!T164)+(0))/(0.5*(Inputs!$C$39+Inputs!$C$40))))+Inputs!$C$38*SIN(2*PI()*(Scenario_Data!T164)/Inputs!$C$39)*SIN(2*PI()*(0)/Inputs!$C$40)+-Inputs!$C$41*EXP(-(((0)-Inputs!$C$43)^2)/(2*Inputs!$C$44^2))*EXP(-(((Scenario_Data!T164)-Inputs!$C$42)^2)/(2*Inputs!$C$45^2))+Inputs!$C$48*(0.7*(0.45*SIN(2*PI()*(((Scenario_Data!T164)/Inputs!$C$49)+Inputs!$C$47*0.137))+0.35*COS(2*PI()*(((0)/Inputs!$C$50)+Inputs!$C$47*0.173))+0.2*SIN(2*PI()*((((Scenario_Data!T164)+(0))/(0.5*(Inputs!$C$49+Inputs!$C$50)))+Inputs!$C$47*0.097)))+0.3*(2*((SIN(((Scenario_Data!T164)*12.9898+(0)*78.233+Inputs!$C$47*37.719))*43758.5453)-INT((SIN(((Scenario_Data!T164)*12.9898+(0)*78.233+Inputs!$C$47*37.719))*43758.5453)))-1)))))/Inputs!$C$21*1000000</f>
        <v/>
      </c>
      <c r="Z164">
        <f>Scenario_Data!U164</f>
        <v/>
      </c>
      <c r="AA164">
        <f>2*((Scenario_Data!C164*1000)-(IF(OR(Inputs!$C$27=TRUE,Inputs!$C$27="TRUE",Inputs!$C$27=1),1,0)*(Inputs!$C$51*(115*EXP(-(((0)-25)^2)/(4.5^2))+70*EXP(-(((0)+38)^2)/(7^2))*(0.55+0.45*SIN(2*PI()*(Scenario_Data!U164)/45))+24*SIN(2*PI()*(0)/9+(Scenario_Data!U164)/18)*EXP(-(((0)+5)^2)/(22^2))+18*SIN(2*PI()*(Scenario_Data!U164)/70))+Inputs!$C$28*EXP(-(((Scenario_Data!U164)-Inputs!$C$29)^2)/(2*Inputs!$C$31^2))*EXP(-(((0)-Inputs!$C$30)^2)/(2*Inputs!$C$32^2))+-Inputs!$C$33*EXP(-(((((Scenario_Data!U164)-Inputs!$C$34)^2)+(((0)-Inputs!$C$35)^2))/(2*Inputs!$C$36^2)))+Inputs!$C$37*(0.55*SIN(2*PI()*(Scenario_Data!U164)/Inputs!$C$39)+0.35*COS(2*PI()*(0)/Inputs!$C$40)+0.2*SIN(2*PI()*((Scenario_Data!U164)+(0))/(0.5*(Inputs!$C$39+Inputs!$C$40))))+Inputs!$C$38*SIN(2*PI()*(Scenario_Data!U164)/Inputs!$C$39)*SIN(2*PI()*(0)/Inputs!$C$40)+-Inputs!$C$41*EXP(-(((0)-Inputs!$C$43)^2)/(2*Inputs!$C$44^2))*EXP(-(((Scenario_Data!U164)-Inputs!$C$42)^2)/(2*Inputs!$C$45^2))+Inputs!$C$48*(0.7*(0.45*SIN(2*PI()*(((Scenario_Data!U164)/Inputs!$C$49)+Inputs!$C$47*0.137))+0.35*COS(2*PI()*(((0)/Inputs!$C$50)+Inputs!$C$47*0.173))+0.2*SIN(2*PI()*((((Scenario_Data!U164)+(0))/(0.5*(Inputs!$C$49+Inputs!$C$50)))+Inputs!$C$47*0.097)))+0.3*(2*((SIN(((Scenario_Data!U164)*12.9898+(0)*78.233+Inputs!$C$47*37.719))*43758.5453)-INT((SIN(((Scenario_Data!U164)*12.9898+(0)*78.233+Inputs!$C$47*37.719))*43758.5453)))-1)))))/Inputs!$C$21*1000000</f>
        <v/>
      </c>
      <c r="AB164">
        <f>Scenario_Data!V164</f>
        <v/>
      </c>
      <c r="AC164">
        <f>2*((Scenario_Data!D164*1000)-(IF(OR(Inputs!$C$27=TRUE,Inputs!$C$27="TRUE",Inputs!$C$27=1),1,0)*(Inputs!$C$51*(115*EXP(-(((0)-25)^2)/(4.5^2))+70*EXP(-(((0)+38)^2)/(7^2))*(0.55+0.45*SIN(2*PI()*(Scenario_Data!V164)/45))+24*SIN(2*PI()*(0)/9+(Scenario_Data!V164)/18)*EXP(-(((0)+5)^2)/(22^2))+18*SIN(2*PI()*(Scenario_Data!V164)/70))+Inputs!$C$28*EXP(-(((Scenario_Data!V164)-Inputs!$C$29)^2)/(2*Inputs!$C$31^2))*EXP(-(((0)-Inputs!$C$30)^2)/(2*Inputs!$C$32^2))+-Inputs!$C$33*EXP(-(((((Scenario_Data!V164)-Inputs!$C$34)^2)+(((0)-Inputs!$C$35)^2))/(2*Inputs!$C$36^2)))+Inputs!$C$37*(0.55*SIN(2*PI()*(Scenario_Data!V164)/Inputs!$C$39)+0.35*COS(2*PI()*(0)/Inputs!$C$40)+0.2*SIN(2*PI()*((Scenario_Data!V164)+(0))/(0.5*(Inputs!$C$39+Inputs!$C$40))))+Inputs!$C$38*SIN(2*PI()*(Scenario_Data!V164)/Inputs!$C$39)*SIN(2*PI()*(0)/Inputs!$C$40)+-Inputs!$C$41*EXP(-(((0)-Inputs!$C$43)^2)/(2*Inputs!$C$44^2))*EXP(-(((Scenario_Data!V164)-Inputs!$C$42)^2)/(2*Inputs!$C$45^2))+Inputs!$C$48*(0.7*(0.45*SIN(2*PI()*(((Scenario_Data!V164)/Inputs!$C$49)+Inputs!$C$47*0.137))+0.35*COS(2*PI()*(((0)/Inputs!$C$50)+Inputs!$C$47*0.173))+0.2*SIN(2*PI()*((((Scenario_Data!V164)+(0))/(0.5*(Inputs!$C$49+Inputs!$C$50)))+Inputs!$C$47*0.097)))+0.3*(2*((SIN(((Scenario_Data!V164)*12.9898+(0)*78.233+Inputs!$C$47*37.719))*43758.5453)-INT((SIN(((Scenario_Data!V164)*12.9898+(0)*78.233+Inputs!$C$47*37.719))*43758.5453)))-1)))))/Inputs!$C$21*1000000</f>
        <v/>
      </c>
      <c r="AD164">
        <f>Scenario_Data!W164</f>
        <v/>
      </c>
      <c r="AE164">
        <f>2*((Scenario_Data!E164*1000)-(IF(OR(Inputs!$C$27=TRUE,Inputs!$C$27="TRUE",Inputs!$C$27=1),1,0)*(Inputs!$C$51*(115*EXP(-(((0)-25)^2)/(4.5^2))+70*EXP(-(((0)+38)^2)/(7^2))*(0.55+0.45*SIN(2*PI()*(Scenario_Data!W164)/45))+24*SIN(2*PI()*(0)/9+(Scenario_Data!W164)/18)*EXP(-(((0)+5)^2)/(22^2))+18*SIN(2*PI()*(Scenario_Data!W164)/70))+Inputs!$C$28*EXP(-(((Scenario_Data!W164)-Inputs!$C$29)^2)/(2*Inputs!$C$31^2))*EXP(-(((0)-Inputs!$C$30)^2)/(2*Inputs!$C$32^2))+-Inputs!$C$33*EXP(-(((((Scenario_Data!W164)-Inputs!$C$34)^2)+(((0)-Inputs!$C$35)^2))/(2*Inputs!$C$36^2)))+Inputs!$C$37*(0.55*SIN(2*PI()*(Scenario_Data!W164)/Inputs!$C$39)+0.35*COS(2*PI()*(0)/Inputs!$C$40)+0.2*SIN(2*PI()*((Scenario_Data!W164)+(0))/(0.5*(Inputs!$C$39+Inputs!$C$40))))+Inputs!$C$38*SIN(2*PI()*(Scenario_Data!W164)/Inputs!$C$39)*SIN(2*PI()*(0)/Inputs!$C$40)+-Inputs!$C$41*EXP(-(((0)-Inputs!$C$43)^2)/(2*Inputs!$C$44^2))*EXP(-(((Scenario_Data!W164)-Inputs!$C$42)^2)/(2*Inputs!$C$45^2))+Inputs!$C$48*(0.7*(0.45*SIN(2*PI()*(((Scenario_Data!W164)/Inputs!$C$49)+Inputs!$C$47*0.137))+0.35*COS(2*PI()*(((0)/Inputs!$C$50)+Inputs!$C$47*0.173))+0.2*SIN(2*PI()*((((Scenario_Data!W164)+(0))/(0.5*(Inputs!$C$49+Inputs!$C$50)))+Inputs!$C$47*0.097)))+0.3*(2*((SIN(((Scenario_Data!W164)*12.9898+(0)*78.233+Inputs!$C$47*37.719))*43758.5453)-INT((SIN(((Scenario_Data!W164)*12.9898+(0)*78.233+Inputs!$C$47*37.719))*43758.5453)))-1)))))/Inputs!$C$21*1000000</f>
        <v/>
      </c>
      <c r="AG164">
        <f>Scenario_Data!T164</f>
        <v/>
      </c>
      <c r="AH164">
        <f>2*(SQRT((Inputs!$C$52+(Scenario_Data!B164))^2+Inputs!$C$52^2-2*(Inputs!$C$52+(Scenario_Data!B164))*Inputs!$C$52*COS(SQRT((Scenario_Data!T164)^2+Inputs!$C$6^2)/Inputs!$C$52))*1000)/Inputs!$C$21*1000000</f>
        <v/>
      </c>
      <c r="AI164">
        <f>Scenario_Data!U164</f>
        <v/>
      </c>
      <c r="AJ164">
        <f>2*(SQRT((Inputs!$C$52+(Scenario_Data!C164))^2+Inputs!$C$52^2-2*(Inputs!$C$52+(Scenario_Data!C164))*Inputs!$C$52*COS(SQRT((Scenario_Data!U164)^2+Inputs!$C$6^2)/Inputs!$C$52))*1000)/Inputs!$C$21*1000000</f>
        <v/>
      </c>
      <c r="AK164">
        <f>Scenario_Data!V164</f>
        <v/>
      </c>
      <c r="AL164">
        <f>2*(SQRT((Inputs!$C$52+(Scenario_Data!D164))^2+Inputs!$C$52^2-2*(Inputs!$C$52+(Scenario_Data!D164))*Inputs!$C$52*COS(SQRT((Scenario_Data!V164)^2+Inputs!$C$6^2)/Inputs!$C$52))*1000)/Inputs!$C$21*1000000</f>
        <v/>
      </c>
      <c r="AM164">
        <f>Scenario_Data!W164</f>
        <v/>
      </c>
      <c r="AN164">
        <f>2*(SQRT((Inputs!$C$52+(Scenario_Data!E164))^2+Inputs!$C$52^2-2*(Inputs!$C$52+(Scenario_Data!E164))*Inputs!$C$52*COS(SQRT((Scenario_Data!W164)^2+Inputs!$C$6^2)/Inputs!$C$52))*1000)/Inputs!$C$21*1000000</f>
        <v/>
      </c>
      <c r="AP164">
        <f>Scenario_Data!T164</f>
        <v/>
      </c>
      <c r="AQ164">
        <f>2*(SQRT((Inputs!$C$52+(Scenario_Data!B164))^2+(Inputs!$C$52+((IF(OR(Inputs!$C$27=TRUE,Inputs!$C$27="TRUE",Inputs!$C$27=1),1,0)*(Inputs!$C$51*(115*EXP(-(((Inputs!$C$6)-25)^2)/(4.5^2))+70*EXP(-(((Inputs!$C$6)+38)^2)/(7^2))*(0.55+0.45*SIN(2*PI()*(Scenario_Data!T164)/45))+24*SIN(2*PI()*(Inputs!$C$6)/9+(Scenario_Data!T164)/18)*EXP(-(((Inputs!$C$6)+5)^2)/(22^2))+18*SIN(2*PI()*(Scenario_Data!T164)/70))+Inputs!$C$28*EXP(-(((Scenario_Data!T164)-Inputs!$C$29)^2)/(2*Inputs!$C$31^2))*EXP(-(((Inputs!$C$6)-Inputs!$C$30)^2)/(2*Inputs!$C$32^2))+-Inputs!$C$33*EXP(-(((((Scenario_Data!T164)-Inputs!$C$34)^2)+(((Inputs!$C$6)-Inputs!$C$35)^2))/(2*Inputs!$C$36^2)))+Inputs!$C$37*(0.55*SIN(2*PI()*(Scenario_Data!T164)/Inputs!$C$39)+0.35*COS(2*PI()*(Inputs!$C$6)/Inputs!$C$40)+0.2*SIN(2*PI()*((Scenario_Data!T164)+(Inputs!$C$6))/(0.5*(Inputs!$C$39+Inputs!$C$40))))+Inputs!$C$38*SIN(2*PI()*(Scenario_Data!T164)/Inputs!$C$39)*SIN(2*PI()*(Inputs!$C$6)/Inputs!$C$40)+-Inputs!$C$41*EXP(-(((Inputs!$C$6)-Inputs!$C$43)^2)/(2*Inputs!$C$44^2))*EXP(-(((Scenario_Data!T164)-Inputs!$C$42)^2)/(2*Inputs!$C$45^2))+Inputs!$C$48*(0.7*(0.45*SIN(2*PI()*(((Scenario_Data!T164)/Inputs!$C$49)+Inputs!$C$47*0.137))+0.35*COS(2*PI()*(((Inputs!$C$6)/Inputs!$C$50)+Inputs!$C$47*0.173))+0.2*SIN(2*PI()*((((Scenario_Data!T164)+(Inputs!$C$6))/(0.5*(Inputs!$C$49+Inputs!$C$50)))+Inputs!$C$47*0.097)))+0.3*(2*((SIN(((Scenario_Data!T164)*12.9898+(Inputs!$C$6)*78.233+Inputs!$C$47*37.719))*43758.5453)-INT((SIN(((Scenario_Data!T164)*12.9898+(Inputs!$C$6)*78.233+Inputs!$C$47*37.719))*43758.5453)))-1))))/1000))^2-2*(Inputs!$C$52+(Scenario_Data!B164))*(Inputs!$C$52+((IF(OR(Inputs!$C$27=TRUE,Inputs!$C$27="TRUE",Inputs!$C$27=1),1,0)*(Inputs!$C$51*(115*EXP(-(((Inputs!$C$6)-25)^2)/(4.5^2))+70*EXP(-(((Inputs!$C$6)+38)^2)/(7^2))*(0.55+0.45*SIN(2*PI()*(Scenario_Data!T164)/45))+24*SIN(2*PI()*(Inputs!$C$6)/9+(Scenario_Data!T164)/18)*EXP(-(((Inputs!$C$6)+5)^2)/(22^2))+18*SIN(2*PI()*(Scenario_Data!T164)/70))+Inputs!$C$28*EXP(-(((Scenario_Data!T164)-Inputs!$C$29)^2)/(2*Inputs!$C$31^2))*EXP(-(((Inputs!$C$6)-Inputs!$C$30)^2)/(2*Inputs!$C$32^2))+-Inputs!$C$33*EXP(-(((((Scenario_Data!T164)-Inputs!$C$34)^2)+(((Inputs!$C$6)-Inputs!$C$35)^2))/(2*Inputs!$C$36^2)))+Inputs!$C$37*(0.55*SIN(2*PI()*(Scenario_Data!T164)/Inputs!$C$39)+0.35*COS(2*PI()*(Inputs!$C$6)/Inputs!$C$40)+0.2*SIN(2*PI()*((Scenario_Data!T164)+(Inputs!$C$6))/(0.5*(Inputs!$C$39+Inputs!$C$40))))+Inputs!$C$38*SIN(2*PI()*(Scenario_Data!T164)/Inputs!$C$39)*SIN(2*PI()*(Inputs!$C$6)/Inputs!$C$40)+-Inputs!$C$41*EXP(-(((Inputs!$C$6)-Inputs!$C$43)^2)/(2*Inputs!$C$44^2))*EXP(-(((Scenario_Data!T164)-Inputs!$C$42)^2)/(2*Inputs!$C$45^2))+Inputs!$C$48*(0.7*(0.45*SIN(2*PI()*(((Scenario_Data!T164)/Inputs!$C$49)+Inputs!$C$47*0.137))+0.35*COS(2*PI()*(((Inputs!$C$6)/Inputs!$C$50)+Inputs!$C$47*0.173))+0.2*SIN(2*PI()*((((Scenario_Data!T164)+(Inputs!$C$6))/(0.5*(Inputs!$C$49+Inputs!$C$50)))+Inputs!$C$47*0.097)))+0.3*(2*((SIN(((Scenario_Data!T164)*12.9898+(Inputs!$C$6)*78.233+Inputs!$C$47*37.719))*43758.5453)-INT((SIN(((Scenario_Data!T164)*12.9898+(Inputs!$C$6)*78.233+Inputs!$C$47*37.719))*43758.5453)))-1))))/1000))*COS(SQRT((Scenario_Data!T164)^2+Inputs!$C$6^2)/Inputs!$C$52))*1000)/Inputs!$C$21*1000000</f>
        <v/>
      </c>
      <c r="AR164">
        <f>Scenario_Data!U164</f>
        <v/>
      </c>
      <c r="AS164">
        <f>2*(SQRT((Inputs!$C$52+(Scenario_Data!C164))^2+(Inputs!$C$52+((IF(OR(Inputs!$C$27=TRUE,Inputs!$C$27="TRUE",Inputs!$C$27=1),1,0)*(Inputs!$C$51*(115*EXP(-(((Inputs!$C$6)-25)^2)/(4.5^2))+70*EXP(-(((Inputs!$C$6)+38)^2)/(7^2))*(0.55+0.45*SIN(2*PI()*(Scenario_Data!U164)/45))+24*SIN(2*PI()*(Inputs!$C$6)/9+(Scenario_Data!U164)/18)*EXP(-(((Inputs!$C$6)+5)^2)/(22^2))+18*SIN(2*PI()*(Scenario_Data!U164)/70))+Inputs!$C$28*EXP(-(((Scenario_Data!U164)-Inputs!$C$29)^2)/(2*Inputs!$C$31^2))*EXP(-(((Inputs!$C$6)-Inputs!$C$30)^2)/(2*Inputs!$C$32^2))+-Inputs!$C$33*EXP(-(((((Scenario_Data!U164)-Inputs!$C$34)^2)+(((Inputs!$C$6)-Inputs!$C$35)^2))/(2*Inputs!$C$36^2)))+Inputs!$C$37*(0.55*SIN(2*PI()*(Scenario_Data!U164)/Inputs!$C$39)+0.35*COS(2*PI()*(Inputs!$C$6)/Inputs!$C$40)+0.2*SIN(2*PI()*((Scenario_Data!U164)+(Inputs!$C$6))/(0.5*(Inputs!$C$39+Inputs!$C$40))))+Inputs!$C$38*SIN(2*PI()*(Scenario_Data!U164)/Inputs!$C$39)*SIN(2*PI()*(Inputs!$C$6)/Inputs!$C$40)+-Inputs!$C$41*EXP(-(((Inputs!$C$6)-Inputs!$C$43)^2)/(2*Inputs!$C$44^2))*EXP(-(((Scenario_Data!U164)-Inputs!$C$42)^2)/(2*Inputs!$C$45^2))+Inputs!$C$48*(0.7*(0.45*SIN(2*PI()*(((Scenario_Data!U164)/Inputs!$C$49)+Inputs!$C$47*0.137))+0.35*COS(2*PI()*(((Inputs!$C$6)/Inputs!$C$50)+Inputs!$C$47*0.173))+0.2*SIN(2*PI()*((((Scenario_Data!U164)+(Inputs!$C$6))/(0.5*(Inputs!$C$49+Inputs!$C$50)))+Inputs!$C$47*0.097)))+0.3*(2*((SIN(((Scenario_Data!U164)*12.9898+(Inputs!$C$6)*78.233+Inputs!$C$47*37.719))*43758.5453)-INT((SIN(((Scenario_Data!U164)*12.9898+(Inputs!$C$6)*78.233+Inputs!$C$47*37.719))*43758.5453)))-1))))/1000))^2-2*(Inputs!$C$52+(Scenario_Data!C164))*(Inputs!$C$52+((IF(OR(Inputs!$C$27=TRUE,Inputs!$C$27="TRUE",Inputs!$C$27=1),1,0)*(Inputs!$C$51*(115*EXP(-(((Inputs!$C$6)-25)^2)/(4.5^2))+70*EXP(-(((Inputs!$C$6)+38)^2)/(7^2))*(0.55+0.45*SIN(2*PI()*(Scenario_Data!U164)/45))+24*SIN(2*PI()*(Inputs!$C$6)/9+(Scenario_Data!U164)/18)*EXP(-(((Inputs!$C$6)+5)^2)/(22^2))+18*SIN(2*PI()*(Scenario_Data!U164)/70))+Inputs!$C$28*EXP(-(((Scenario_Data!U164)-Inputs!$C$29)^2)/(2*Inputs!$C$31^2))*EXP(-(((Inputs!$C$6)-Inputs!$C$30)^2)/(2*Inputs!$C$32^2))+-Inputs!$C$33*EXP(-(((((Scenario_Data!U164)-Inputs!$C$34)^2)+(((Inputs!$C$6)-Inputs!$C$35)^2))/(2*Inputs!$C$36^2)))+Inputs!$C$37*(0.55*SIN(2*PI()*(Scenario_Data!U164)/Inputs!$C$39)+0.35*COS(2*PI()*(Inputs!$C$6)/Inputs!$C$40)+0.2*SIN(2*PI()*((Scenario_Data!U164)+(Inputs!$C$6))/(0.5*(Inputs!$C$39+Inputs!$C$40))))+Inputs!$C$38*SIN(2*PI()*(Scenario_Data!U164)/Inputs!$C$39)*SIN(2*PI()*(Inputs!$C$6)/Inputs!$C$40)+-Inputs!$C$41*EXP(-(((Inputs!$C$6)-Inputs!$C$43)^2)/(2*Inputs!$C$44^2))*EXP(-(((Scenario_Data!U164)-Inputs!$C$42)^2)/(2*Inputs!$C$45^2))+Inputs!$C$48*(0.7*(0.45*SIN(2*PI()*(((Scenario_Data!U164)/Inputs!$C$49)+Inputs!$C$47*0.137))+0.35*COS(2*PI()*(((Inputs!$C$6)/Inputs!$C$50)+Inputs!$C$47*0.173))+0.2*SIN(2*PI()*((((Scenario_Data!U164)+(Inputs!$C$6))/(0.5*(Inputs!$C$49+Inputs!$C$50)))+Inputs!$C$47*0.097)))+0.3*(2*((SIN(((Scenario_Data!U164)*12.9898+(Inputs!$C$6)*78.233+Inputs!$C$47*37.719))*43758.5453)-INT((SIN(((Scenario_Data!U164)*12.9898+(Inputs!$C$6)*78.233+Inputs!$C$47*37.719))*43758.5453)))-1))))/1000))*COS(SQRT((Scenario_Data!U164)^2+Inputs!$C$6^2)/Inputs!$C$52))*1000)/Inputs!$C$21*1000000</f>
        <v/>
      </c>
      <c r="AT164">
        <f>Scenario_Data!V164</f>
        <v/>
      </c>
      <c r="AU164">
        <f>2*(SQRT((Inputs!$C$52+(Scenario_Data!D164))^2+(Inputs!$C$52+((IF(OR(Inputs!$C$27=TRUE,Inputs!$C$27="TRUE",Inputs!$C$27=1),1,0)*(Inputs!$C$51*(115*EXP(-(((Inputs!$C$6)-25)^2)/(4.5^2))+70*EXP(-(((Inputs!$C$6)+38)^2)/(7^2))*(0.55+0.45*SIN(2*PI()*(Scenario_Data!V164)/45))+24*SIN(2*PI()*(Inputs!$C$6)/9+(Scenario_Data!V164)/18)*EXP(-(((Inputs!$C$6)+5)^2)/(22^2))+18*SIN(2*PI()*(Scenario_Data!V164)/70))+Inputs!$C$28*EXP(-(((Scenario_Data!V164)-Inputs!$C$29)^2)/(2*Inputs!$C$31^2))*EXP(-(((Inputs!$C$6)-Inputs!$C$30)^2)/(2*Inputs!$C$32^2))+-Inputs!$C$33*EXP(-(((((Scenario_Data!V164)-Inputs!$C$34)^2)+(((Inputs!$C$6)-Inputs!$C$35)^2))/(2*Inputs!$C$36^2)))+Inputs!$C$37*(0.55*SIN(2*PI()*(Scenario_Data!V164)/Inputs!$C$39)+0.35*COS(2*PI()*(Inputs!$C$6)/Inputs!$C$40)+0.2*SIN(2*PI()*((Scenario_Data!V164)+(Inputs!$C$6))/(0.5*(Inputs!$C$39+Inputs!$C$40))))+Inputs!$C$38*SIN(2*PI()*(Scenario_Data!V164)/Inputs!$C$39)*SIN(2*PI()*(Inputs!$C$6)/Inputs!$C$40)+-Inputs!$C$41*EXP(-(((Inputs!$C$6)-Inputs!$C$43)^2)/(2*Inputs!$C$44^2))*EXP(-(((Scenario_Data!V164)-Inputs!$C$42)^2)/(2*Inputs!$C$45^2))+Inputs!$C$48*(0.7*(0.45*SIN(2*PI()*(((Scenario_Data!V164)/Inputs!$C$49)+Inputs!$C$47*0.137))+0.35*COS(2*PI()*(((Inputs!$C$6)/Inputs!$C$50)+Inputs!$C$47*0.173))+0.2*SIN(2*PI()*((((Scenario_Data!V164)+(Inputs!$C$6))/(0.5*(Inputs!$C$49+Inputs!$C$50)))+Inputs!$C$47*0.097)))+0.3*(2*((SIN(((Scenario_Data!V164)*12.9898+(Inputs!$C$6)*78.233+Inputs!$C$47*37.719))*43758.5453)-INT((SIN(((Scenario_Data!V164)*12.9898+(Inputs!$C$6)*78.233+Inputs!$C$47*37.719))*43758.5453)))-1))))/1000))^2-2*(Inputs!$C$52+(Scenario_Data!D164))*(Inputs!$C$52+((IF(OR(Inputs!$C$27=TRUE,Inputs!$C$27="TRUE",Inputs!$C$27=1),1,0)*(Inputs!$C$51*(115*EXP(-(((Inputs!$C$6)-25)^2)/(4.5^2))+70*EXP(-(((Inputs!$C$6)+38)^2)/(7^2))*(0.55+0.45*SIN(2*PI()*(Scenario_Data!V164)/45))+24*SIN(2*PI()*(Inputs!$C$6)/9+(Scenario_Data!V164)/18)*EXP(-(((Inputs!$C$6)+5)^2)/(22^2))+18*SIN(2*PI()*(Scenario_Data!V164)/70))+Inputs!$C$28*EXP(-(((Scenario_Data!V164)-Inputs!$C$29)^2)/(2*Inputs!$C$31^2))*EXP(-(((Inputs!$C$6)-Inputs!$C$30)^2)/(2*Inputs!$C$32^2))+-Inputs!$C$33*EXP(-(((((Scenario_Data!V164)-Inputs!$C$34)^2)+(((Inputs!$C$6)-Inputs!$C$35)^2))/(2*Inputs!$C$36^2)))+Inputs!$C$37*(0.55*SIN(2*PI()*(Scenario_Data!V164)/Inputs!$C$39)+0.35*COS(2*PI()*(Inputs!$C$6)/Inputs!$C$40)+0.2*SIN(2*PI()*((Scenario_Data!V164)+(Inputs!$C$6))/(0.5*(Inputs!$C$39+Inputs!$C$40))))+Inputs!$C$38*SIN(2*PI()*(Scenario_Data!V164)/Inputs!$C$39)*SIN(2*PI()*(Inputs!$C$6)/Inputs!$C$40)+-Inputs!$C$41*EXP(-(((Inputs!$C$6)-Inputs!$C$43)^2)/(2*Inputs!$C$44^2))*EXP(-(((Scenario_Data!V164)-Inputs!$C$42)^2)/(2*Inputs!$C$45^2))+Inputs!$C$48*(0.7*(0.45*SIN(2*PI()*(((Scenario_Data!V164)/Inputs!$C$49)+Inputs!$C$47*0.137))+0.35*COS(2*PI()*(((Inputs!$C$6)/Inputs!$C$50)+Inputs!$C$47*0.173))+0.2*SIN(2*PI()*((((Scenario_Data!V164)+(Inputs!$C$6))/(0.5*(Inputs!$C$49+Inputs!$C$50)))+Inputs!$C$47*0.097)))+0.3*(2*((SIN(((Scenario_Data!V164)*12.9898+(Inputs!$C$6)*78.233+Inputs!$C$47*37.719))*43758.5453)-INT((SIN(((Scenario_Data!V164)*12.9898+(Inputs!$C$6)*78.233+Inputs!$C$47*37.719))*43758.5453)))-1))))/1000))*COS(SQRT((Scenario_Data!V164)^2+Inputs!$C$6^2)/Inputs!$C$52))*1000)/Inputs!$C$21*1000000</f>
        <v/>
      </c>
      <c r="AV164">
        <f>Scenario_Data!W164</f>
        <v/>
      </c>
      <c r="AW164">
        <f>2*(SQRT((Inputs!$C$52+(Scenario_Data!E164))^2+(Inputs!$C$52+((IF(OR(Inputs!$C$27=TRUE,Inputs!$C$27="TRUE",Inputs!$C$27=1),1,0)*(Inputs!$C$51*(115*EXP(-(((Inputs!$C$6)-25)^2)/(4.5^2))+70*EXP(-(((Inputs!$C$6)+38)^2)/(7^2))*(0.55+0.45*SIN(2*PI()*(Scenario_Data!W164)/45))+24*SIN(2*PI()*(Inputs!$C$6)/9+(Scenario_Data!W164)/18)*EXP(-(((Inputs!$C$6)+5)^2)/(22^2))+18*SIN(2*PI()*(Scenario_Data!W164)/70))+Inputs!$C$28*EXP(-(((Scenario_Data!W164)-Inputs!$C$29)^2)/(2*Inputs!$C$31^2))*EXP(-(((Inputs!$C$6)-Inputs!$C$30)^2)/(2*Inputs!$C$32^2))+-Inputs!$C$33*EXP(-(((((Scenario_Data!W164)-Inputs!$C$34)^2)+(((Inputs!$C$6)-Inputs!$C$35)^2))/(2*Inputs!$C$36^2)))+Inputs!$C$37*(0.55*SIN(2*PI()*(Scenario_Data!W164)/Inputs!$C$39)+0.35*COS(2*PI()*(Inputs!$C$6)/Inputs!$C$40)+0.2*SIN(2*PI()*((Scenario_Data!W164)+(Inputs!$C$6))/(0.5*(Inputs!$C$39+Inputs!$C$40))))+Inputs!$C$38*SIN(2*PI()*(Scenario_Data!W164)/Inputs!$C$39)*SIN(2*PI()*(Inputs!$C$6)/Inputs!$C$40)+-Inputs!$C$41*EXP(-(((Inputs!$C$6)-Inputs!$C$43)^2)/(2*Inputs!$C$44^2))*EXP(-(((Scenario_Data!W164)-Inputs!$C$42)^2)/(2*Inputs!$C$45^2))+Inputs!$C$48*(0.7*(0.45*SIN(2*PI()*(((Scenario_Data!W164)/Inputs!$C$49)+Inputs!$C$47*0.137))+0.35*COS(2*PI()*(((Inputs!$C$6)/Inputs!$C$50)+Inputs!$C$47*0.173))+0.2*SIN(2*PI()*((((Scenario_Data!W164)+(Inputs!$C$6))/(0.5*(Inputs!$C$49+Inputs!$C$50)))+Inputs!$C$47*0.097)))+0.3*(2*((SIN(((Scenario_Data!W164)*12.9898+(Inputs!$C$6)*78.233+Inputs!$C$47*37.719))*43758.5453)-INT((SIN(((Scenario_Data!W164)*12.9898+(Inputs!$C$6)*78.233+Inputs!$C$47*37.719))*43758.5453)))-1))))/1000))^2-2*(Inputs!$C$52+(Scenario_Data!E164))*(Inputs!$C$52+((IF(OR(Inputs!$C$27=TRUE,Inputs!$C$27="TRUE",Inputs!$C$27=1),1,0)*(Inputs!$C$51*(115*EXP(-(((Inputs!$C$6)-25)^2)/(4.5^2))+70*EXP(-(((Inputs!$C$6)+38)^2)/(7^2))*(0.55+0.45*SIN(2*PI()*(Scenario_Data!W164)/45))+24*SIN(2*PI()*(Inputs!$C$6)/9+(Scenario_Data!W164)/18)*EXP(-(((Inputs!$C$6)+5)^2)/(22^2))+18*SIN(2*PI()*(Scenario_Data!W164)/70))+Inputs!$C$28*EXP(-(((Scenario_Data!W164)-Inputs!$C$29)^2)/(2*Inputs!$C$31^2))*EXP(-(((Inputs!$C$6)-Inputs!$C$30)^2)/(2*Inputs!$C$32^2))+-Inputs!$C$33*EXP(-(((((Scenario_Data!W164)-Inputs!$C$34)^2)+(((Inputs!$C$6)-Inputs!$C$35)^2))/(2*Inputs!$C$36^2)))+Inputs!$C$37*(0.55*SIN(2*PI()*(Scenario_Data!W164)/Inputs!$C$39)+0.35*COS(2*PI()*(Inputs!$C$6)/Inputs!$C$40)+0.2*SIN(2*PI()*((Scenario_Data!W164)+(Inputs!$C$6))/(0.5*(Inputs!$C$39+Inputs!$C$40))))+Inputs!$C$38*SIN(2*PI()*(Scenario_Data!W164)/Inputs!$C$39)*SIN(2*PI()*(Inputs!$C$6)/Inputs!$C$40)+-Inputs!$C$41*EXP(-(((Inputs!$C$6)-Inputs!$C$43)^2)/(2*Inputs!$C$44^2))*EXP(-(((Scenario_Data!W164)-Inputs!$C$42)^2)/(2*Inputs!$C$45^2))+Inputs!$C$48*(0.7*(0.45*SIN(2*PI()*(((Scenario_Data!W164)/Inputs!$C$49)+Inputs!$C$47*0.137))+0.35*COS(2*PI()*(((Inputs!$C$6)/Inputs!$C$50)+Inputs!$C$47*0.173))+0.2*SIN(2*PI()*((((Scenario_Data!W164)+(Inputs!$C$6))/(0.5*(Inputs!$C$49+Inputs!$C$50)))+Inputs!$C$47*0.097)))+0.3*(2*((SIN(((Scenario_Data!W164)*12.9898+(Inputs!$C$6)*78.233+Inputs!$C$47*37.719))*43758.5453)-INT((SIN(((Scenario_Data!W164)*12.9898+(Inputs!$C$6)*78.233+Inputs!$C$47*37.719))*43758.5453)))-1))))/1000))*COS(SQRT((Scenario_Data!W164)^2+Inputs!$C$6^2)/Inputs!$C$52))*1000)/Inputs!$C$21*1000000</f>
        <v/>
      </c>
    </row>
    <row r="165">
      <c r="A165">
        <f>Chart_Data!K165</f>
        <v/>
      </c>
      <c r="B165">
        <f>Chart_Data!N165-Chart_Data!L165</f>
        <v/>
      </c>
      <c r="D165">
        <f>Chart_Data!G165</f>
        <v/>
      </c>
      <c r="E165">
        <f>Chart_Data!H165</f>
        <v/>
      </c>
      <c r="F165">
        <f>Chart_Data!I165</f>
        <v/>
      </c>
      <c r="G165">
        <f>Chart_Data!J165</f>
        <v/>
      </c>
      <c r="I165">
        <f>Scenario_Data!A165</f>
        <v/>
      </c>
      <c r="J165">
        <f>Scenario_Data!H165-(((SQRT((Inputs!$C$52+(Inputs!$H$6))^2+Inputs!$C$52^2-2*(Inputs!$C$52+(Inputs!$H$6))*Inputs!$C$52*COS(SQRT((Scenario_Data!T165)^2+Inputs!$C$6^2)/Inputs!$C$52)))-(Inputs!$H$6))*1000/Inputs!$C$12)</f>
        <v/>
      </c>
      <c r="K165">
        <f>Scenario_Data!I165-(((SQRT((Inputs!$C$52+(Inputs!$H$7))^2+Inputs!$C$52^2-2*(Inputs!$C$52+(Inputs!$H$7))*Inputs!$C$52*COS(SQRT((Scenario_Data!U165)^2+Inputs!$C$6^2)/Inputs!$C$52)))-(Inputs!$H$7))*1000/Inputs!$C$12)</f>
        <v/>
      </c>
      <c r="L165">
        <f>Scenario_Data!J165-(((SQRT((Inputs!$C$52+(Inputs!$H$8))^2+Inputs!$C$52^2-2*(Inputs!$C$52+(Inputs!$H$8))*Inputs!$C$52*COS(SQRT((Scenario_Data!V165)^2+Inputs!$C$6^2)/Inputs!$C$52)))-(Inputs!$H$8))*1000/Inputs!$C$12)</f>
        <v/>
      </c>
      <c r="M165">
        <f>Scenario_Data!K165-(((SQRT((Inputs!$C$52+(Inputs!$H$9))^2+Inputs!$C$52^2-2*(Inputs!$C$52+(Inputs!$H$9))*Inputs!$C$52*COS(SQRT((Scenario_Data!W165)^2+Inputs!$C$6^2)/Inputs!$C$52)))-(Inputs!$H$9))*1000/Inputs!$C$12)</f>
        <v/>
      </c>
      <c r="O165">
        <f>Scenario_Data!T165</f>
        <v/>
      </c>
      <c r="P165">
        <f>2*(Scenario_Data!B165*1000)/Inputs!$C$21*1000000</f>
        <v/>
      </c>
      <c r="Q165">
        <f>Scenario_Data!U165</f>
        <v/>
      </c>
      <c r="R165">
        <f>2*(Scenario_Data!C165*1000)/Inputs!$C$21*1000000</f>
        <v/>
      </c>
      <c r="S165">
        <f>Scenario_Data!V165</f>
        <v/>
      </c>
      <c r="T165">
        <f>2*(Scenario_Data!D165*1000)/Inputs!$C$21*1000000</f>
        <v/>
      </c>
      <c r="U165">
        <f>Scenario_Data!W165</f>
        <v/>
      </c>
      <c r="V165">
        <f>2*(Scenario_Data!E165*1000)/Inputs!$C$21*1000000</f>
        <v/>
      </c>
      <c r="X165">
        <f>Scenario_Data!T165</f>
        <v/>
      </c>
      <c r="Y165">
        <f>2*((Scenario_Data!B165*1000)-(IF(OR(Inputs!$C$27=TRUE,Inputs!$C$27="TRUE",Inputs!$C$27=1),1,0)*(Inputs!$C$51*(115*EXP(-(((0)-25)^2)/(4.5^2))+70*EXP(-(((0)+38)^2)/(7^2))*(0.55+0.45*SIN(2*PI()*(Scenario_Data!T165)/45))+24*SIN(2*PI()*(0)/9+(Scenario_Data!T165)/18)*EXP(-(((0)+5)^2)/(22^2))+18*SIN(2*PI()*(Scenario_Data!T165)/70))+Inputs!$C$28*EXP(-(((Scenario_Data!T165)-Inputs!$C$29)^2)/(2*Inputs!$C$31^2))*EXP(-(((0)-Inputs!$C$30)^2)/(2*Inputs!$C$32^2))+-Inputs!$C$33*EXP(-(((((Scenario_Data!T165)-Inputs!$C$34)^2)+(((0)-Inputs!$C$35)^2))/(2*Inputs!$C$36^2)))+Inputs!$C$37*(0.55*SIN(2*PI()*(Scenario_Data!T165)/Inputs!$C$39)+0.35*COS(2*PI()*(0)/Inputs!$C$40)+0.2*SIN(2*PI()*((Scenario_Data!T165)+(0))/(0.5*(Inputs!$C$39+Inputs!$C$40))))+Inputs!$C$38*SIN(2*PI()*(Scenario_Data!T165)/Inputs!$C$39)*SIN(2*PI()*(0)/Inputs!$C$40)+-Inputs!$C$41*EXP(-(((0)-Inputs!$C$43)^2)/(2*Inputs!$C$44^2))*EXP(-(((Scenario_Data!T165)-Inputs!$C$42)^2)/(2*Inputs!$C$45^2))+Inputs!$C$48*(0.7*(0.45*SIN(2*PI()*(((Scenario_Data!T165)/Inputs!$C$49)+Inputs!$C$47*0.137))+0.35*COS(2*PI()*(((0)/Inputs!$C$50)+Inputs!$C$47*0.173))+0.2*SIN(2*PI()*((((Scenario_Data!T165)+(0))/(0.5*(Inputs!$C$49+Inputs!$C$50)))+Inputs!$C$47*0.097)))+0.3*(2*((SIN(((Scenario_Data!T165)*12.9898+(0)*78.233+Inputs!$C$47*37.719))*43758.5453)-INT((SIN(((Scenario_Data!T165)*12.9898+(0)*78.233+Inputs!$C$47*37.719))*43758.5453)))-1)))))/Inputs!$C$21*1000000</f>
        <v/>
      </c>
      <c r="Z165">
        <f>Scenario_Data!U165</f>
        <v/>
      </c>
      <c r="AA165">
        <f>2*((Scenario_Data!C165*1000)-(IF(OR(Inputs!$C$27=TRUE,Inputs!$C$27="TRUE",Inputs!$C$27=1),1,0)*(Inputs!$C$51*(115*EXP(-(((0)-25)^2)/(4.5^2))+70*EXP(-(((0)+38)^2)/(7^2))*(0.55+0.45*SIN(2*PI()*(Scenario_Data!U165)/45))+24*SIN(2*PI()*(0)/9+(Scenario_Data!U165)/18)*EXP(-(((0)+5)^2)/(22^2))+18*SIN(2*PI()*(Scenario_Data!U165)/70))+Inputs!$C$28*EXP(-(((Scenario_Data!U165)-Inputs!$C$29)^2)/(2*Inputs!$C$31^2))*EXP(-(((0)-Inputs!$C$30)^2)/(2*Inputs!$C$32^2))+-Inputs!$C$33*EXP(-(((((Scenario_Data!U165)-Inputs!$C$34)^2)+(((0)-Inputs!$C$35)^2))/(2*Inputs!$C$36^2)))+Inputs!$C$37*(0.55*SIN(2*PI()*(Scenario_Data!U165)/Inputs!$C$39)+0.35*COS(2*PI()*(0)/Inputs!$C$40)+0.2*SIN(2*PI()*((Scenario_Data!U165)+(0))/(0.5*(Inputs!$C$39+Inputs!$C$40))))+Inputs!$C$38*SIN(2*PI()*(Scenario_Data!U165)/Inputs!$C$39)*SIN(2*PI()*(0)/Inputs!$C$40)+-Inputs!$C$41*EXP(-(((0)-Inputs!$C$43)^2)/(2*Inputs!$C$44^2))*EXP(-(((Scenario_Data!U165)-Inputs!$C$42)^2)/(2*Inputs!$C$45^2))+Inputs!$C$48*(0.7*(0.45*SIN(2*PI()*(((Scenario_Data!U165)/Inputs!$C$49)+Inputs!$C$47*0.137))+0.35*COS(2*PI()*(((0)/Inputs!$C$50)+Inputs!$C$47*0.173))+0.2*SIN(2*PI()*((((Scenario_Data!U165)+(0))/(0.5*(Inputs!$C$49+Inputs!$C$50)))+Inputs!$C$47*0.097)))+0.3*(2*((SIN(((Scenario_Data!U165)*12.9898+(0)*78.233+Inputs!$C$47*37.719))*43758.5453)-INT((SIN(((Scenario_Data!U165)*12.9898+(0)*78.233+Inputs!$C$47*37.719))*43758.5453)))-1)))))/Inputs!$C$21*1000000</f>
        <v/>
      </c>
      <c r="AB165">
        <f>Scenario_Data!V165</f>
        <v/>
      </c>
      <c r="AC165">
        <f>2*((Scenario_Data!D165*1000)-(IF(OR(Inputs!$C$27=TRUE,Inputs!$C$27="TRUE",Inputs!$C$27=1),1,0)*(Inputs!$C$51*(115*EXP(-(((0)-25)^2)/(4.5^2))+70*EXP(-(((0)+38)^2)/(7^2))*(0.55+0.45*SIN(2*PI()*(Scenario_Data!V165)/45))+24*SIN(2*PI()*(0)/9+(Scenario_Data!V165)/18)*EXP(-(((0)+5)^2)/(22^2))+18*SIN(2*PI()*(Scenario_Data!V165)/70))+Inputs!$C$28*EXP(-(((Scenario_Data!V165)-Inputs!$C$29)^2)/(2*Inputs!$C$31^2))*EXP(-(((0)-Inputs!$C$30)^2)/(2*Inputs!$C$32^2))+-Inputs!$C$33*EXP(-(((((Scenario_Data!V165)-Inputs!$C$34)^2)+(((0)-Inputs!$C$35)^2))/(2*Inputs!$C$36^2)))+Inputs!$C$37*(0.55*SIN(2*PI()*(Scenario_Data!V165)/Inputs!$C$39)+0.35*COS(2*PI()*(0)/Inputs!$C$40)+0.2*SIN(2*PI()*((Scenario_Data!V165)+(0))/(0.5*(Inputs!$C$39+Inputs!$C$40))))+Inputs!$C$38*SIN(2*PI()*(Scenario_Data!V165)/Inputs!$C$39)*SIN(2*PI()*(0)/Inputs!$C$40)+-Inputs!$C$41*EXP(-(((0)-Inputs!$C$43)^2)/(2*Inputs!$C$44^2))*EXP(-(((Scenario_Data!V165)-Inputs!$C$42)^2)/(2*Inputs!$C$45^2))+Inputs!$C$48*(0.7*(0.45*SIN(2*PI()*(((Scenario_Data!V165)/Inputs!$C$49)+Inputs!$C$47*0.137))+0.35*COS(2*PI()*(((0)/Inputs!$C$50)+Inputs!$C$47*0.173))+0.2*SIN(2*PI()*((((Scenario_Data!V165)+(0))/(0.5*(Inputs!$C$49+Inputs!$C$50)))+Inputs!$C$47*0.097)))+0.3*(2*((SIN(((Scenario_Data!V165)*12.9898+(0)*78.233+Inputs!$C$47*37.719))*43758.5453)-INT((SIN(((Scenario_Data!V165)*12.9898+(0)*78.233+Inputs!$C$47*37.719))*43758.5453)))-1)))))/Inputs!$C$21*1000000</f>
        <v/>
      </c>
      <c r="AD165">
        <f>Scenario_Data!W165</f>
        <v/>
      </c>
      <c r="AE165">
        <f>2*((Scenario_Data!E165*1000)-(IF(OR(Inputs!$C$27=TRUE,Inputs!$C$27="TRUE",Inputs!$C$27=1),1,0)*(Inputs!$C$51*(115*EXP(-(((0)-25)^2)/(4.5^2))+70*EXP(-(((0)+38)^2)/(7^2))*(0.55+0.45*SIN(2*PI()*(Scenario_Data!W165)/45))+24*SIN(2*PI()*(0)/9+(Scenario_Data!W165)/18)*EXP(-(((0)+5)^2)/(22^2))+18*SIN(2*PI()*(Scenario_Data!W165)/70))+Inputs!$C$28*EXP(-(((Scenario_Data!W165)-Inputs!$C$29)^2)/(2*Inputs!$C$31^2))*EXP(-(((0)-Inputs!$C$30)^2)/(2*Inputs!$C$32^2))+-Inputs!$C$33*EXP(-(((((Scenario_Data!W165)-Inputs!$C$34)^2)+(((0)-Inputs!$C$35)^2))/(2*Inputs!$C$36^2)))+Inputs!$C$37*(0.55*SIN(2*PI()*(Scenario_Data!W165)/Inputs!$C$39)+0.35*COS(2*PI()*(0)/Inputs!$C$40)+0.2*SIN(2*PI()*((Scenario_Data!W165)+(0))/(0.5*(Inputs!$C$39+Inputs!$C$40))))+Inputs!$C$38*SIN(2*PI()*(Scenario_Data!W165)/Inputs!$C$39)*SIN(2*PI()*(0)/Inputs!$C$40)+-Inputs!$C$41*EXP(-(((0)-Inputs!$C$43)^2)/(2*Inputs!$C$44^2))*EXP(-(((Scenario_Data!W165)-Inputs!$C$42)^2)/(2*Inputs!$C$45^2))+Inputs!$C$48*(0.7*(0.45*SIN(2*PI()*(((Scenario_Data!W165)/Inputs!$C$49)+Inputs!$C$47*0.137))+0.35*COS(2*PI()*(((0)/Inputs!$C$50)+Inputs!$C$47*0.173))+0.2*SIN(2*PI()*((((Scenario_Data!W165)+(0))/(0.5*(Inputs!$C$49+Inputs!$C$50)))+Inputs!$C$47*0.097)))+0.3*(2*((SIN(((Scenario_Data!W165)*12.9898+(0)*78.233+Inputs!$C$47*37.719))*43758.5453)-INT((SIN(((Scenario_Data!W165)*12.9898+(0)*78.233+Inputs!$C$47*37.719))*43758.5453)))-1)))))/Inputs!$C$21*1000000</f>
        <v/>
      </c>
      <c r="AG165">
        <f>Scenario_Data!T165</f>
        <v/>
      </c>
      <c r="AH165">
        <f>2*(SQRT((Inputs!$C$52+(Scenario_Data!B165))^2+Inputs!$C$52^2-2*(Inputs!$C$52+(Scenario_Data!B165))*Inputs!$C$52*COS(SQRT((Scenario_Data!T165)^2+Inputs!$C$6^2)/Inputs!$C$52))*1000)/Inputs!$C$21*1000000</f>
        <v/>
      </c>
      <c r="AI165">
        <f>Scenario_Data!U165</f>
        <v/>
      </c>
      <c r="AJ165">
        <f>2*(SQRT((Inputs!$C$52+(Scenario_Data!C165))^2+Inputs!$C$52^2-2*(Inputs!$C$52+(Scenario_Data!C165))*Inputs!$C$52*COS(SQRT((Scenario_Data!U165)^2+Inputs!$C$6^2)/Inputs!$C$52))*1000)/Inputs!$C$21*1000000</f>
        <v/>
      </c>
      <c r="AK165">
        <f>Scenario_Data!V165</f>
        <v/>
      </c>
      <c r="AL165">
        <f>2*(SQRT((Inputs!$C$52+(Scenario_Data!D165))^2+Inputs!$C$52^2-2*(Inputs!$C$52+(Scenario_Data!D165))*Inputs!$C$52*COS(SQRT((Scenario_Data!V165)^2+Inputs!$C$6^2)/Inputs!$C$52))*1000)/Inputs!$C$21*1000000</f>
        <v/>
      </c>
      <c r="AM165">
        <f>Scenario_Data!W165</f>
        <v/>
      </c>
      <c r="AN165">
        <f>2*(SQRT((Inputs!$C$52+(Scenario_Data!E165))^2+Inputs!$C$52^2-2*(Inputs!$C$52+(Scenario_Data!E165))*Inputs!$C$52*COS(SQRT((Scenario_Data!W165)^2+Inputs!$C$6^2)/Inputs!$C$52))*1000)/Inputs!$C$21*1000000</f>
        <v/>
      </c>
      <c r="AP165">
        <f>Scenario_Data!T165</f>
        <v/>
      </c>
      <c r="AQ165">
        <f>2*(SQRT((Inputs!$C$52+(Scenario_Data!B165))^2+(Inputs!$C$52+((IF(OR(Inputs!$C$27=TRUE,Inputs!$C$27="TRUE",Inputs!$C$27=1),1,0)*(Inputs!$C$51*(115*EXP(-(((Inputs!$C$6)-25)^2)/(4.5^2))+70*EXP(-(((Inputs!$C$6)+38)^2)/(7^2))*(0.55+0.45*SIN(2*PI()*(Scenario_Data!T165)/45))+24*SIN(2*PI()*(Inputs!$C$6)/9+(Scenario_Data!T165)/18)*EXP(-(((Inputs!$C$6)+5)^2)/(22^2))+18*SIN(2*PI()*(Scenario_Data!T165)/70))+Inputs!$C$28*EXP(-(((Scenario_Data!T165)-Inputs!$C$29)^2)/(2*Inputs!$C$31^2))*EXP(-(((Inputs!$C$6)-Inputs!$C$30)^2)/(2*Inputs!$C$32^2))+-Inputs!$C$33*EXP(-(((((Scenario_Data!T165)-Inputs!$C$34)^2)+(((Inputs!$C$6)-Inputs!$C$35)^2))/(2*Inputs!$C$36^2)))+Inputs!$C$37*(0.55*SIN(2*PI()*(Scenario_Data!T165)/Inputs!$C$39)+0.35*COS(2*PI()*(Inputs!$C$6)/Inputs!$C$40)+0.2*SIN(2*PI()*((Scenario_Data!T165)+(Inputs!$C$6))/(0.5*(Inputs!$C$39+Inputs!$C$40))))+Inputs!$C$38*SIN(2*PI()*(Scenario_Data!T165)/Inputs!$C$39)*SIN(2*PI()*(Inputs!$C$6)/Inputs!$C$40)+-Inputs!$C$41*EXP(-(((Inputs!$C$6)-Inputs!$C$43)^2)/(2*Inputs!$C$44^2))*EXP(-(((Scenario_Data!T165)-Inputs!$C$42)^2)/(2*Inputs!$C$45^2))+Inputs!$C$48*(0.7*(0.45*SIN(2*PI()*(((Scenario_Data!T165)/Inputs!$C$49)+Inputs!$C$47*0.137))+0.35*COS(2*PI()*(((Inputs!$C$6)/Inputs!$C$50)+Inputs!$C$47*0.173))+0.2*SIN(2*PI()*((((Scenario_Data!T165)+(Inputs!$C$6))/(0.5*(Inputs!$C$49+Inputs!$C$50)))+Inputs!$C$47*0.097)))+0.3*(2*((SIN(((Scenario_Data!T165)*12.9898+(Inputs!$C$6)*78.233+Inputs!$C$47*37.719))*43758.5453)-INT((SIN(((Scenario_Data!T165)*12.9898+(Inputs!$C$6)*78.233+Inputs!$C$47*37.719))*43758.5453)))-1))))/1000))^2-2*(Inputs!$C$52+(Scenario_Data!B165))*(Inputs!$C$52+((IF(OR(Inputs!$C$27=TRUE,Inputs!$C$27="TRUE",Inputs!$C$27=1),1,0)*(Inputs!$C$51*(115*EXP(-(((Inputs!$C$6)-25)^2)/(4.5^2))+70*EXP(-(((Inputs!$C$6)+38)^2)/(7^2))*(0.55+0.45*SIN(2*PI()*(Scenario_Data!T165)/45))+24*SIN(2*PI()*(Inputs!$C$6)/9+(Scenario_Data!T165)/18)*EXP(-(((Inputs!$C$6)+5)^2)/(22^2))+18*SIN(2*PI()*(Scenario_Data!T165)/70))+Inputs!$C$28*EXP(-(((Scenario_Data!T165)-Inputs!$C$29)^2)/(2*Inputs!$C$31^2))*EXP(-(((Inputs!$C$6)-Inputs!$C$30)^2)/(2*Inputs!$C$32^2))+-Inputs!$C$33*EXP(-(((((Scenario_Data!T165)-Inputs!$C$34)^2)+(((Inputs!$C$6)-Inputs!$C$35)^2))/(2*Inputs!$C$36^2)))+Inputs!$C$37*(0.55*SIN(2*PI()*(Scenario_Data!T165)/Inputs!$C$39)+0.35*COS(2*PI()*(Inputs!$C$6)/Inputs!$C$40)+0.2*SIN(2*PI()*((Scenario_Data!T165)+(Inputs!$C$6))/(0.5*(Inputs!$C$39+Inputs!$C$40))))+Inputs!$C$38*SIN(2*PI()*(Scenario_Data!T165)/Inputs!$C$39)*SIN(2*PI()*(Inputs!$C$6)/Inputs!$C$40)+-Inputs!$C$41*EXP(-(((Inputs!$C$6)-Inputs!$C$43)^2)/(2*Inputs!$C$44^2))*EXP(-(((Scenario_Data!T165)-Inputs!$C$42)^2)/(2*Inputs!$C$45^2))+Inputs!$C$48*(0.7*(0.45*SIN(2*PI()*(((Scenario_Data!T165)/Inputs!$C$49)+Inputs!$C$47*0.137))+0.35*COS(2*PI()*(((Inputs!$C$6)/Inputs!$C$50)+Inputs!$C$47*0.173))+0.2*SIN(2*PI()*((((Scenario_Data!T165)+(Inputs!$C$6))/(0.5*(Inputs!$C$49+Inputs!$C$50)))+Inputs!$C$47*0.097)))+0.3*(2*((SIN(((Scenario_Data!T165)*12.9898+(Inputs!$C$6)*78.233+Inputs!$C$47*37.719))*43758.5453)-INT((SIN(((Scenario_Data!T165)*12.9898+(Inputs!$C$6)*78.233+Inputs!$C$47*37.719))*43758.5453)))-1))))/1000))*COS(SQRT((Scenario_Data!T165)^2+Inputs!$C$6^2)/Inputs!$C$52))*1000)/Inputs!$C$21*1000000</f>
        <v/>
      </c>
      <c r="AR165">
        <f>Scenario_Data!U165</f>
        <v/>
      </c>
      <c r="AS165">
        <f>2*(SQRT((Inputs!$C$52+(Scenario_Data!C165))^2+(Inputs!$C$52+((IF(OR(Inputs!$C$27=TRUE,Inputs!$C$27="TRUE",Inputs!$C$27=1),1,0)*(Inputs!$C$51*(115*EXP(-(((Inputs!$C$6)-25)^2)/(4.5^2))+70*EXP(-(((Inputs!$C$6)+38)^2)/(7^2))*(0.55+0.45*SIN(2*PI()*(Scenario_Data!U165)/45))+24*SIN(2*PI()*(Inputs!$C$6)/9+(Scenario_Data!U165)/18)*EXP(-(((Inputs!$C$6)+5)^2)/(22^2))+18*SIN(2*PI()*(Scenario_Data!U165)/70))+Inputs!$C$28*EXP(-(((Scenario_Data!U165)-Inputs!$C$29)^2)/(2*Inputs!$C$31^2))*EXP(-(((Inputs!$C$6)-Inputs!$C$30)^2)/(2*Inputs!$C$32^2))+-Inputs!$C$33*EXP(-(((((Scenario_Data!U165)-Inputs!$C$34)^2)+(((Inputs!$C$6)-Inputs!$C$35)^2))/(2*Inputs!$C$36^2)))+Inputs!$C$37*(0.55*SIN(2*PI()*(Scenario_Data!U165)/Inputs!$C$39)+0.35*COS(2*PI()*(Inputs!$C$6)/Inputs!$C$40)+0.2*SIN(2*PI()*((Scenario_Data!U165)+(Inputs!$C$6))/(0.5*(Inputs!$C$39+Inputs!$C$40))))+Inputs!$C$38*SIN(2*PI()*(Scenario_Data!U165)/Inputs!$C$39)*SIN(2*PI()*(Inputs!$C$6)/Inputs!$C$40)+-Inputs!$C$41*EXP(-(((Inputs!$C$6)-Inputs!$C$43)^2)/(2*Inputs!$C$44^2))*EXP(-(((Scenario_Data!U165)-Inputs!$C$42)^2)/(2*Inputs!$C$45^2))+Inputs!$C$48*(0.7*(0.45*SIN(2*PI()*(((Scenario_Data!U165)/Inputs!$C$49)+Inputs!$C$47*0.137))+0.35*COS(2*PI()*(((Inputs!$C$6)/Inputs!$C$50)+Inputs!$C$47*0.173))+0.2*SIN(2*PI()*((((Scenario_Data!U165)+(Inputs!$C$6))/(0.5*(Inputs!$C$49+Inputs!$C$50)))+Inputs!$C$47*0.097)))+0.3*(2*((SIN(((Scenario_Data!U165)*12.9898+(Inputs!$C$6)*78.233+Inputs!$C$47*37.719))*43758.5453)-INT((SIN(((Scenario_Data!U165)*12.9898+(Inputs!$C$6)*78.233+Inputs!$C$47*37.719))*43758.5453)))-1))))/1000))^2-2*(Inputs!$C$52+(Scenario_Data!C165))*(Inputs!$C$52+((IF(OR(Inputs!$C$27=TRUE,Inputs!$C$27="TRUE",Inputs!$C$27=1),1,0)*(Inputs!$C$51*(115*EXP(-(((Inputs!$C$6)-25)^2)/(4.5^2))+70*EXP(-(((Inputs!$C$6)+38)^2)/(7^2))*(0.55+0.45*SIN(2*PI()*(Scenario_Data!U165)/45))+24*SIN(2*PI()*(Inputs!$C$6)/9+(Scenario_Data!U165)/18)*EXP(-(((Inputs!$C$6)+5)^2)/(22^2))+18*SIN(2*PI()*(Scenario_Data!U165)/70))+Inputs!$C$28*EXP(-(((Scenario_Data!U165)-Inputs!$C$29)^2)/(2*Inputs!$C$31^2))*EXP(-(((Inputs!$C$6)-Inputs!$C$30)^2)/(2*Inputs!$C$32^2))+-Inputs!$C$33*EXP(-(((((Scenario_Data!U165)-Inputs!$C$34)^2)+(((Inputs!$C$6)-Inputs!$C$35)^2))/(2*Inputs!$C$36^2)))+Inputs!$C$37*(0.55*SIN(2*PI()*(Scenario_Data!U165)/Inputs!$C$39)+0.35*COS(2*PI()*(Inputs!$C$6)/Inputs!$C$40)+0.2*SIN(2*PI()*((Scenario_Data!U165)+(Inputs!$C$6))/(0.5*(Inputs!$C$39+Inputs!$C$40))))+Inputs!$C$38*SIN(2*PI()*(Scenario_Data!U165)/Inputs!$C$39)*SIN(2*PI()*(Inputs!$C$6)/Inputs!$C$40)+-Inputs!$C$41*EXP(-(((Inputs!$C$6)-Inputs!$C$43)^2)/(2*Inputs!$C$44^2))*EXP(-(((Scenario_Data!U165)-Inputs!$C$42)^2)/(2*Inputs!$C$45^2))+Inputs!$C$48*(0.7*(0.45*SIN(2*PI()*(((Scenario_Data!U165)/Inputs!$C$49)+Inputs!$C$47*0.137))+0.35*COS(2*PI()*(((Inputs!$C$6)/Inputs!$C$50)+Inputs!$C$47*0.173))+0.2*SIN(2*PI()*((((Scenario_Data!U165)+(Inputs!$C$6))/(0.5*(Inputs!$C$49+Inputs!$C$50)))+Inputs!$C$47*0.097)))+0.3*(2*((SIN(((Scenario_Data!U165)*12.9898+(Inputs!$C$6)*78.233+Inputs!$C$47*37.719))*43758.5453)-INT((SIN(((Scenario_Data!U165)*12.9898+(Inputs!$C$6)*78.233+Inputs!$C$47*37.719))*43758.5453)))-1))))/1000))*COS(SQRT((Scenario_Data!U165)^2+Inputs!$C$6^2)/Inputs!$C$52))*1000)/Inputs!$C$21*1000000</f>
        <v/>
      </c>
      <c r="AT165">
        <f>Scenario_Data!V165</f>
        <v/>
      </c>
      <c r="AU165">
        <f>2*(SQRT((Inputs!$C$52+(Scenario_Data!D165))^2+(Inputs!$C$52+((IF(OR(Inputs!$C$27=TRUE,Inputs!$C$27="TRUE",Inputs!$C$27=1),1,0)*(Inputs!$C$51*(115*EXP(-(((Inputs!$C$6)-25)^2)/(4.5^2))+70*EXP(-(((Inputs!$C$6)+38)^2)/(7^2))*(0.55+0.45*SIN(2*PI()*(Scenario_Data!V165)/45))+24*SIN(2*PI()*(Inputs!$C$6)/9+(Scenario_Data!V165)/18)*EXP(-(((Inputs!$C$6)+5)^2)/(22^2))+18*SIN(2*PI()*(Scenario_Data!V165)/70))+Inputs!$C$28*EXP(-(((Scenario_Data!V165)-Inputs!$C$29)^2)/(2*Inputs!$C$31^2))*EXP(-(((Inputs!$C$6)-Inputs!$C$30)^2)/(2*Inputs!$C$32^2))+-Inputs!$C$33*EXP(-(((((Scenario_Data!V165)-Inputs!$C$34)^2)+(((Inputs!$C$6)-Inputs!$C$35)^2))/(2*Inputs!$C$36^2)))+Inputs!$C$37*(0.55*SIN(2*PI()*(Scenario_Data!V165)/Inputs!$C$39)+0.35*COS(2*PI()*(Inputs!$C$6)/Inputs!$C$40)+0.2*SIN(2*PI()*((Scenario_Data!V165)+(Inputs!$C$6))/(0.5*(Inputs!$C$39+Inputs!$C$40))))+Inputs!$C$38*SIN(2*PI()*(Scenario_Data!V165)/Inputs!$C$39)*SIN(2*PI()*(Inputs!$C$6)/Inputs!$C$40)+-Inputs!$C$41*EXP(-(((Inputs!$C$6)-Inputs!$C$43)^2)/(2*Inputs!$C$44^2))*EXP(-(((Scenario_Data!V165)-Inputs!$C$42)^2)/(2*Inputs!$C$45^2))+Inputs!$C$48*(0.7*(0.45*SIN(2*PI()*(((Scenario_Data!V165)/Inputs!$C$49)+Inputs!$C$47*0.137))+0.35*COS(2*PI()*(((Inputs!$C$6)/Inputs!$C$50)+Inputs!$C$47*0.173))+0.2*SIN(2*PI()*((((Scenario_Data!V165)+(Inputs!$C$6))/(0.5*(Inputs!$C$49+Inputs!$C$50)))+Inputs!$C$47*0.097)))+0.3*(2*((SIN(((Scenario_Data!V165)*12.9898+(Inputs!$C$6)*78.233+Inputs!$C$47*37.719))*43758.5453)-INT((SIN(((Scenario_Data!V165)*12.9898+(Inputs!$C$6)*78.233+Inputs!$C$47*37.719))*43758.5453)))-1))))/1000))^2-2*(Inputs!$C$52+(Scenario_Data!D165))*(Inputs!$C$52+((IF(OR(Inputs!$C$27=TRUE,Inputs!$C$27="TRUE",Inputs!$C$27=1),1,0)*(Inputs!$C$51*(115*EXP(-(((Inputs!$C$6)-25)^2)/(4.5^2))+70*EXP(-(((Inputs!$C$6)+38)^2)/(7^2))*(0.55+0.45*SIN(2*PI()*(Scenario_Data!V165)/45))+24*SIN(2*PI()*(Inputs!$C$6)/9+(Scenario_Data!V165)/18)*EXP(-(((Inputs!$C$6)+5)^2)/(22^2))+18*SIN(2*PI()*(Scenario_Data!V165)/70))+Inputs!$C$28*EXP(-(((Scenario_Data!V165)-Inputs!$C$29)^2)/(2*Inputs!$C$31^2))*EXP(-(((Inputs!$C$6)-Inputs!$C$30)^2)/(2*Inputs!$C$32^2))+-Inputs!$C$33*EXP(-(((((Scenario_Data!V165)-Inputs!$C$34)^2)+(((Inputs!$C$6)-Inputs!$C$35)^2))/(2*Inputs!$C$36^2)))+Inputs!$C$37*(0.55*SIN(2*PI()*(Scenario_Data!V165)/Inputs!$C$39)+0.35*COS(2*PI()*(Inputs!$C$6)/Inputs!$C$40)+0.2*SIN(2*PI()*((Scenario_Data!V165)+(Inputs!$C$6))/(0.5*(Inputs!$C$39+Inputs!$C$40))))+Inputs!$C$38*SIN(2*PI()*(Scenario_Data!V165)/Inputs!$C$39)*SIN(2*PI()*(Inputs!$C$6)/Inputs!$C$40)+-Inputs!$C$41*EXP(-(((Inputs!$C$6)-Inputs!$C$43)^2)/(2*Inputs!$C$44^2))*EXP(-(((Scenario_Data!V165)-Inputs!$C$42)^2)/(2*Inputs!$C$45^2))+Inputs!$C$48*(0.7*(0.45*SIN(2*PI()*(((Scenario_Data!V165)/Inputs!$C$49)+Inputs!$C$47*0.137))+0.35*COS(2*PI()*(((Inputs!$C$6)/Inputs!$C$50)+Inputs!$C$47*0.173))+0.2*SIN(2*PI()*((((Scenario_Data!V165)+(Inputs!$C$6))/(0.5*(Inputs!$C$49+Inputs!$C$50)))+Inputs!$C$47*0.097)))+0.3*(2*((SIN(((Scenario_Data!V165)*12.9898+(Inputs!$C$6)*78.233+Inputs!$C$47*37.719))*43758.5453)-INT((SIN(((Scenario_Data!V165)*12.9898+(Inputs!$C$6)*78.233+Inputs!$C$47*37.719))*43758.5453)))-1))))/1000))*COS(SQRT((Scenario_Data!V165)^2+Inputs!$C$6^2)/Inputs!$C$52))*1000)/Inputs!$C$21*1000000</f>
        <v/>
      </c>
      <c r="AV165">
        <f>Scenario_Data!W165</f>
        <v/>
      </c>
      <c r="AW165">
        <f>2*(SQRT((Inputs!$C$52+(Scenario_Data!E165))^2+(Inputs!$C$52+((IF(OR(Inputs!$C$27=TRUE,Inputs!$C$27="TRUE",Inputs!$C$27=1),1,0)*(Inputs!$C$51*(115*EXP(-(((Inputs!$C$6)-25)^2)/(4.5^2))+70*EXP(-(((Inputs!$C$6)+38)^2)/(7^2))*(0.55+0.45*SIN(2*PI()*(Scenario_Data!W165)/45))+24*SIN(2*PI()*(Inputs!$C$6)/9+(Scenario_Data!W165)/18)*EXP(-(((Inputs!$C$6)+5)^2)/(22^2))+18*SIN(2*PI()*(Scenario_Data!W165)/70))+Inputs!$C$28*EXP(-(((Scenario_Data!W165)-Inputs!$C$29)^2)/(2*Inputs!$C$31^2))*EXP(-(((Inputs!$C$6)-Inputs!$C$30)^2)/(2*Inputs!$C$32^2))+-Inputs!$C$33*EXP(-(((((Scenario_Data!W165)-Inputs!$C$34)^2)+(((Inputs!$C$6)-Inputs!$C$35)^2))/(2*Inputs!$C$36^2)))+Inputs!$C$37*(0.55*SIN(2*PI()*(Scenario_Data!W165)/Inputs!$C$39)+0.35*COS(2*PI()*(Inputs!$C$6)/Inputs!$C$40)+0.2*SIN(2*PI()*((Scenario_Data!W165)+(Inputs!$C$6))/(0.5*(Inputs!$C$39+Inputs!$C$40))))+Inputs!$C$38*SIN(2*PI()*(Scenario_Data!W165)/Inputs!$C$39)*SIN(2*PI()*(Inputs!$C$6)/Inputs!$C$40)+-Inputs!$C$41*EXP(-(((Inputs!$C$6)-Inputs!$C$43)^2)/(2*Inputs!$C$44^2))*EXP(-(((Scenario_Data!W165)-Inputs!$C$42)^2)/(2*Inputs!$C$45^2))+Inputs!$C$48*(0.7*(0.45*SIN(2*PI()*(((Scenario_Data!W165)/Inputs!$C$49)+Inputs!$C$47*0.137))+0.35*COS(2*PI()*(((Inputs!$C$6)/Inputs!$C$50)+Inputs!$C$47*0.173))+0.2*SIN(2*PI()*((((Scenario_Data!W165)+(Inputs!$C$6))/(0.5*(Inputs!$C$49+Inputs!$C$50)))+Inputs!$C$47*0.097)))+0.3*(2*((SIN(((Scenario_Data!W165)*12.9898+(Inputs!$C$6)*78.233+Inputs!$C$47*37.719))*43758.5453)-INT((SIN(((Scenario_Data!W165)*12.9898+(Inputs!$C$6)*78.233+Inputs!$C$47*37.719))*43758.5453)))-1))))/1000))^2-2*(Inputs!$C$52+(Scenario_Data!E165))*(Inputs!$C$52+((IF(OR(Inputs!$C$27=TRUE,Inputs!$C$27="TRUE",Inputs!$C$27=1),1,0)*(Inputs!$C$51*(115*EXP(-(((Inputs!$C$6)-25)^2)/(4.5^2))+70*EXP(-(((Inputs!$C$6)+38)^2)/(7^2))*(0.55+0.45*SIN(2*PI()*(Scenario_Data!W165)/45))+24*SIN(2*PI()*(Inputs!$C$6)/9+(Scenario_Data!W165)/18)*EXP(-(((Inputs!$C$6)+5)^2)/(22^2))+18*SIN(2*PI()*(Scenario_Data!W165)/70))+Inputs!$C$28*EXP(-(((Scenario_Data!W165)-Inputs!$C$29)^2)/(2*Inputs!$C$31^2))*EXP(-(((Inputs!$C$6)-Inputs!$C$30)^2)/(2*Inputs!$C$32^2))+-Inputs!$C$33*EXP(-(((((Scenario_Data!W165)-Inputs!$C$34)^2)+(((Inputs!$C$6)-Inputs!$C$35)^2))/(2*Inputs!$C$36^2)))+Inputs!$C$37*(0.55*SIN(2*PI()*(Scenario_Data!W165)/Inputs!$C$39)+0.35*COS(2*PI()*(Inputs!$C$6)/Inputs!$C$40)+0.2*SIN(2*PI()*((Scenario_Data!W165)+(Inputs!$C$6))/(0.5*(Inputs!$C$39+Inputs!$C$40))))+Inputs!$C$38*SIN(2*PI()*(Scenario_Data!W165)/Inputs!$C$39)*SIN(2*PI()*(Inputs!$C$6)/Inputs!$C$40)+-Inputs!$C$41*EXP(-(((Inputs!$C$6)-Inputs!$C$43)^2)/(2*Inputs!$C$44^2))*EXP(-(((Scenario_Data!W165)-Inputs!$C$42)^2)/(2*Inputs!$C$45^2))+Inputs!$C$48*(0.7*(0.45*SIN(2*PI()*(((Scenario_Data!W165)/Inputs!$C$49)+Inputs!$C$47*0.137))+0.35*COS(2*PI()*(((Inputs!$C$6)/Inputs!$C$50)+Inputs!$C$47*0.173))+0.2*SIN(2*PI()*((((Scenario_Data!W165)+(Inputs!$C$6))/(0.5*(Inputs!$C$49+Inputs!$C$50)))+Inputs!$C$47*0.097)))+0.3*(2*((SIN(((Scenario_Data!W165)*12.9898+(Inputs!$C$6)*78.233+Inputs!$C$47*37.719))*43758.5453)-INT((SIN(((Scenario_Data!W165)*12.9898+(Inputs!$C$6)*78.233+Inputs!$C$47*37.719))*43758.5453)))-1))))/1000))*COS(SQRT((Scenario_Data!W165)^2+Inputs!$C$6^2)/Inputs!$C$52))*1000)/Inputs!$C$21*1000000</f>
        <v/>
      </c>
    </row>
    <row r="166">
      <c r="A166">
        <f>Chart_Data!K166</f>
        <v/>
      </c>
      <c r="B166">
        <f>Chart_Data!N166-Chart_Data!L166</f>
        <v/>
      </c>
      <c r="D166">
        <f>Chart_Data!G166</f>
        <v/>
      </c>
      <c r="E166">
        <f>Chart_Data!H166</f>
        <v/>
      </c>
      <c r="F166">
        <f>Chart_Data!I166</f>
        <v/>
      </c>
      <c r="G166">
        <f>Chart_Data!J166</f>
        <v/>
      </c>
      <c r="I166">
        <f>Scenario_Data!A166</f>
        <v/>
      </c>
      <c r="J166">
        <f>Scenario_Data!H166-(((SQRT((Inputs!$C$52+(Inputs!$H$6))^2+Inputs!$C$52^2-2*(Inputs!$C$52+(Inputs!$H$6))*Inputs!$C$52*COS(SQRT((Scenario_Data!T166)^2+Inputs!$C$6^2)/Inputs!$C$52)))-(Inputs!$H$6))*1000/Inputs!$C$12)</f>
        <v/>
      </c>
      <c r="K166">
        <f>Scenario_Data!I166-(((SQRT((Inputs!$C$52+(Inputs!$H$7))^2+Inputs!$C$52^2-2*(Inputs!$C$52+(Inputs!$H$7))*Inputs!$C$52*COS(SQRT((Scenario_Data!U166)^2+Inputs!$C$6^2)/Inputs!$C$52)))-(Inputs!$H$7))*1000/Inputs!$C$12)</f>
        <v/>
      </c>
      <c r="L166">
        <f>Scenario_Data!J166-(((SQRT((Inputs!$C$52+(Inputs!$H$8))^2+Inputs!$C$52^2-2*(Inputs!$C$52+(Inputs!$H$8))*Inputs!$C$52*COS(SQRT((Scenario_Data!V166)^2+Inputs!$C$6^2)/Inputs!$C$52)))-(Inputs!$H$8))*1000/Inputs!$C$12)</f>
        <v/>
      </c>
      <c r="M166">
        <f>Scenario_Data!K166-(((SQRT((Inputs!$C$52+(Inputs!$H$9))^2+Inputs!$C$52^2-2*(Inputs!$C$52+(Inputs!$H$9))*Inputs!$C$52*COS(SQRT((Scenario_Data!W166)^2+Inputs!$C$6^2)/Inputs!$C$52)))-(Inputs!$H$9))*1000/Inputs!$C$12)</f>
        <v/>
      </c>
      <c r="O166">
        <f>Scenario_Data!T166</f>
        <v/>
      </c>
      <c r="P166">
        <f>2*(Scenario_Data!B166*1000)/Inputs!$C$21*1000000</f>
        <v/>
      </c>
      <c r="Q166">
        <f>Scenario_Data!U166</f>
        <v/>
      </c>
      <c r="R166">
        <f>2*(Scenario_Data!C166*1000)/Inputs!$C$21*1000000</f>
        <v/>
      </c>
      <c r="S166">
        <f>Scenario_Data!V166</f>
        <v/>
      </c>
      <c r="T166">
        <f>2*(Scenario_Data!D166*1000)/Inputs!$C$21*1000000</f>
        <v/>
      </c>
      <c r="U166">
        <f>Scenario_Data!W166</f>
        <v/>
      </c>
      <c r="V166">
        <f>2*(Scenario_Data!E166*1000)/Inputs!$C$21*1000000</f>
        <v/>
      </c>
      <c r="X166">
        <f>Scenario_Data!T166</f>
        <v/>
      </c>
      <c r="Y166">
        <f>2*((Scenario_Data!B166*1000)-(IF(OR(Inputs!$C$27=TRUE,Inputs!$C$27="TRUE",Inputs!$C$27=1),1,0)*(Inputs!$C$51*(115*EXP(-(((0)-25)^2)/(4.5^2))+70*EXP(-(((0)+38)^2)/(7^2))*(0.55+0.45*SIN(2*PI()*(Scenario_Data!T166)/45))+24*SIN(2*PI()*(0)/9+(Scenario_Data!T166)/18)*EXP(-(((0)+5)^2)/(22^2))+18*SIN(2*PI()*(Scenario_Data!T166)/70))+Inputs!$C$28*EXP(-(((Scenario_Data!T166)-Inputs!$C$29)^2)/(2*Inputs!$C$31^2))*EXP(-(((0)-Inputs!$C$30)^2)/(2*Inputs!$C$32^2))+-Inputs!$C$33*EXP(-(((((Scenario_Data!T166)-Inputs!$C$34)^2)+(((0)-Inputs!$C$35)^2))/(2*Inputs!$C$36^2)))+Inputs!$C$37*(0.55*SIN(2*PI()*(Scenario_Data!T166)/Inputs!$C$39)+0.35*COS(2*PI()*(0)/Inputs!$C$40)+0.2*SIN(2*PI()*((Scenario_Data!T166)+(0))/(0.5*(Inputs!$C$39+Inputs!$C$40))))+Inputs!$C$38*SIN(2*PI()*(Scenario_Data!T166)/Inputs!$C$39)*SIN(2*PI()*(0)/Inputs!$C$40)+-Inputs!$C$41*EXP(-(((0)-Inputs!$C$43)^2)/(2*Inputs!$C$44^2))*EXP(-(((Scenario_Data!T166)-Inputs!$C$42)^2)/(2*Inputs!$C$45^2))+Inputs!$C$48*(0.7*(0.45*SIN(2*PI()*(((Scenario_Data!T166)/Inputs!$C$49)+Inputs!$C$47*0.137))+0.35*COS(2*PI()*(((0)/Inputs!$C$50)+Inputs!$C$47*0.173))+0.2*SIN(2*PI()*((((Scenario_Data!T166)+(0))/(0.5*(Inputs!$C$49+Inputs!$C$50)))+Inputs!$C$47*0.097)))+0.3*(2*((SIN(((Scenario_Data!T166)*12.9898+(0)*78.233+Inputs!$C$47*37.719))*43758.5453)-INT((SIN(((Scenario_Data!T166)*12.9898+(0)*78.233+Inputs!$C$47*37.719))*43758.5453)))-1)))))/Inputs!$C$21*1000000</f>
        <v/>
      </c>
      <c r="Z166">
        <f>Scenario_Data!U166</f>
        <v/>
      </c>
      <c r="AA166">
        <f>2*((Scenario_Data!C166*1000)-(IF(OR(Inputs!$C$27=TRUE,Inputs!$C$27="TRUE",Inputs!$C$27=1),1,0)*(Inputs!$C$51*(115*EXP(-(((0)-25)^2)/(4.5^2))+70*EXP(-(((0)+38)^2)/(7^2))*(0.55+0.45*SIN(2*PI()*(Scenario_Data!U166)/45))+24*SIN(2*PI()*(0)/9+(Scenario_Data!U166)/18)*EXP(-(((0)+5)^2)/(22^2))+18*SIN(2*PI()*(Scenario_Data!U166)/70))+Inputs!$C$28*EXP(-(((Scenario_Data!U166)-Inputs!$C$29)^2)/(2*Inputs!$C$31^2))*EXP(-(((0)-Inputs!$C$30)^2)/(2*Inputs!$C$32^2))+-Inputs!$C$33*EXP(-(((((Scenario_Data!U166)-Inputs!$C$34)^2)+(((0)-Inputs!$C$35)^2))/(2*Inputs!$C$36^2)))+Inputs!$C$37*(0.55*SIN(2*PI()*(Scenario_Data!U166)/Inputs!$C$39)+0.35*COS(2*PI()*(0)/Inputs!$C$40)+0.2*SIN(2*PI()*((Scenario_Data!U166)+(0))/(0.5*(Inputs!$C$39+Inputs!$C$40))))+Inputs!$C$38*SIN(2*PI()*(Scenario_Data!U166)/Inputs!$C$39)*SIN(2*PI()*(0)/Inputs!$C$40)+-Inputs!$C$41*EXP(-(((0)-Inputs!$C$43)^2)/(2*Inputs!$C$44^2))*EXP(-(((Scenario_Data!U166)-Inputs!$C$42)^2)/(2*Inputs!$C$45^2))+Inputs!$C$48*(0.7*(0.45*SIN(2*PI()*(((Scenario_Data!U166)/Inputs!$C$49)+Inputs!$C$47*0.137))+0.35*COS(2*PI()*(((0)/Inputs!$C$50)+Inputs!$C$47*0.173))+0.2*SIN(2*PI()*((((Scenario_Data!U166)+(0))/(0.5*(Inputs!$C$49+Inputs!$C$50)))+Inputs!$C$47*0.097)))+0.3*(2*((SIN(((Scenario_Data!U166)*12.9898+(0)*78.233+Inputs!$C$47*37.719))*43758.5453)-INT((SIN(((Scenario_Data!U166)*12.9898+(0)*78.233+Inputs!$C$47*37.719))*43758.5453)))-1)))))/Inputs!$C$21*1000000</f>
        <v/>
      </c>
      <c r="AB166">
        <f>Scenario_Data!V166</f>
        <v/>
      </c>
      <c r="AC166">
        <f>2*((Scenario_Data!D166*1000)-(IF(OR(Inputs!$C$27=TRUE,Inputs!$C$27="TRUE",Inputs!$C$27=1),1,0)*(Inputs!$C$51*(115*EXP(-(((0)-25)^2)/(4.5^2))+70*EXP(-(((0)+38)^2)/(7^2))*(0.55+0.45*SIN(2*PI()*(Scenario_Data!V166)/45))+24*SIN(2*PI()*(0)/9+(Scenario_Data!V166)/18)*EXP(-(((0)+5)^2)/(22^2))+18*SIN(2*PI()*(Scenario_Data!V166)/70))+Inputs!$C$28*EXP(-(((Scenario_Data!V166)-Inputs!$C$29)^2)/(2*Inputs!$C$31^2))*EXP(-(((0)-Inputs!$C$30)^2)/(2*Inputs!$C$32^2))+-Inputs!$C$33*EXP(-(((((Scenario_Data!V166)-Inputs!$C$34)^2)+(((0)-Inputs!$C$35)^2))/(2*Inputs!$C$36^2)))+Inputs!$C$37*(0.55*SIN(2*PI()*(Scenario_Data!V166)/Inputs!$C$39)+0.35*COS(2*PI()*(0)/Inputs!$C$40)+0.2*SIN(2*PI()*((Scenario_Data!V166)+(0))/(0.5*(Inputs!$C$39+Inputs!$C$40))))+Inputs!$C$38*SIN(2*PI()*(Scenario_Data!V166)/Inputs!$C$39)*SIN(2*PI()*(0)/Inputs!$C$40)+-Inputs!$C$41*EXP(-(((0)-Inputs!$C$43)^2)/(2*Inputs!$C$44^2))*EXP(-(((Scenario_Data!V166)-Inputs!$C$42)^2)/(2*Inputs!$C$45^2))+Inputs!$C$48*(0.7*(0.45*SIN(2*PI()*(((Scenario_Data!V166)/Inputs!$C$49)+Inputs!$C$47*0.137))+0.35*COS(2*PI()*(((0)/Inputs!$C$50)+Inputs!$C$47*0.173))+0.2*SIN(2*PI()*((((Scenario_Data!V166)+(0))/(0.5*(Inputs!$C$49+Inputs!$C$50)))+Inputs!$C$47*0.097)))+0.3*(2*((SIN(((Scenario_Data!V166)*12.9898+(0)*78.233+Inputs!$C$47*37.719))*43758.5453)-INT((SIN(((Scenario_Data!V166)*12.9898+(0)*78.233+Inputs!$C$47*37.719))*43758.5453)))-1)))))/Inputs!$C$21*1000000</f>
        <v/>
      </c>
      <c r="AD166">
        <f>Scenario_Data!W166</f>
        <v/>
      </c>
      <c r="AE166">
        <f>2*((Scenario_Data!E166*1000)-(IF(OR(Inputs!$C$27=TRUE,Inputs!$C$27="TRUE",Inputs!$C$27=1),1,0)*(Inputs!$C$51*(115*EXP(-(((0)-25)^2)/(4.5^2))+70*EXP(-(((0)+38)^2)/(7^2))*(0.55+0.45*SIN(2*PI()*(Scenario_Data!W166)/45))+24*SIN(2*PI()*(0)/9+(Scenario_Data!W166)/18)*EXP(-(((0)+5)^2)/(22^2))+18*SIN(2*PI()*(Scenario_Data!W166)/70))+Inputs!$C$28*EXP(-(((Scenario_Data!W166)-Inputs!$C$29)^2)/(2*Inputs!$C$31^2))*EXP(-(((0)-Inputs!$C$30)^2)/(2*Inputs!$C$32^2))+-Inputs!$C$33*EXP(-(((((Scenario_Data!W166)-Inputs!$C$34)^2)+(((0)-Inputs!$C$35)^2))/(2*Inputs!$C$36^2)))+Inputs!$C$37*(0.55*SIN(2*PI()*(Scenario_Data!W166)/Inputs!$C$39)+0.35*COS(2*PI()*(0)/Inputs!$C$40)+0.2*SIN(2*PI()*((Scenario_Data!W166)+(0))/(0.5*(Inputs!$C$39+Inputs!$C$40))))+Inputs!$C$38*SIN(2*PI()*(Scenario_Data!W166)/Inputs!$C$39)*SIN(2*PI()*(0)/Inputs!$C$40)+-Inputs!$C$41*EXP(-(((0)-Inputs!$C$43)^2)/(2*Inputs!$C$44^2))*EXP(-(((Scenario_Data!W166)-Inputs!$C$42)^2)/(2*Inputs!$C$45^2))+Inputs!$C$48*(0.7*(0.45*SIN(2*PI()*(((Scenario_Data!W166)/Inputs!$C$49)+Inputs!$C$47*0.137))+0.35*COS(2*PI()*(((0)/Inputs!$C$50)+Inputs!$C$47*0.173))+0.2*SIN(2*PI()*((((Scenario_Data!W166)+(0))/(0.5*(Inputs!$C$49+Inputs!$C$50)))+Inputs!$C$47*0.097)))+0.3*(2*((SIN(((Scenario_Data!W166)*12.9898+(0)*78.233+Inputs!$C$47*37.719))*43758.5453)-INT((SIN(((Scenario_Data!W166)*12.9898+(0)*78.233+Inputs!$C$47*37.719))*43758.5453)))-1)))))/Inputs!$C$21*1000000</f>
        <v/>
      </c>
      <c r="AG166">
        <f>Scenario_Data!T166</f>
        <v/>
      </c>
      <c r="AH166">
        <f>2*(SQRT((Inputs!$C$52+(Scenario_Data!B166))^2+Inputs!$C$52^2-2*(Inputs!$C$52+(Scenario_Data!B166))*Inputs!$C$52*COS(SQRT((Scenario_Data!T166)^2+Inputs!$C$6^2)/Inputs!$C$52))*1000)/Inputs!$C$21*1000000</f>
        <v/>
      </c>
      <c r="AI166">
        <f>Scenario_Data!U166</f>
        <v/>
      </c>
      <c r="AJ166">
        <f>2*(SQRT((Inputs!$C$52+(Scenario_Data!C166))^2+Inputs!$C$52^2-2*(Inputs!$C$52+(Scenario_Data!C166))*Inputs!$C$52*COS(SQRT((Scenario_Data!U166)^2+Inputs!$C$6^2)/Inputs!$C$52))*1000)/Inputs!$C$21*1000000</f>
        <v/>
      </c>
      <c r="AK166">
        <f>Scenario_Data!V166</f>
        <v/>
      </c>
      <c r="AL166">
        <f>2*(SQRT((Inputs!$C$52+(Scenario_Data!D166))^2+Inputs!$C$52^2-2*(Inputs!$C$52+(Scenario_Data!D166))*Inputs!$C$52*COS(SQRT((Scenario_Data!V166)^2+Inputs!$C$6^2)/Inputs!$C$52))*1000)/Inputs!$C$21*1000000</f>
        <v/>
      </c>
      <c r="AM166">
        <f>Scenario_Data!W166</f>
        <v/>
      </c>
      <c r="AN166">
        <f>2*(SQRT((Inputs!$C$52+(Scenario_Data!E166))^2+Inputs!$C$52^2-2*(Inputs!$C$52+(Scenario_Data!E166))*Inputs!$C$52*COS(SQRT((Scenario_Data!W166)^2+Inputs!$C$6^2)/Inputs!$C$52))*1000)/Inputs!$C$21*1000000</f>
        <v/>
      </c>
      <c r="AP166">
        <f>Scenario_Data!T166</f>
        <v/>
      </c>
      <c r="AQ166">
        <f>2*(SQRT((Inputs!$C$52+(Scenario_Data!B166))^2+(Inputs!$C$52+((IF(OR(Inputs!$C$27=TRUE,Inputs!$C$27="TRUE",Inputs!$C$27=1),1,0)*(Inputs!$C$51*(115*EXP(-(((Inputs!$C$6)-25)^2)/(4.5^2))+70*EXP(-(((Inputs!$C$6)+38)^2)/(7^2))*(0.55+0.45*SIN(2*PI()*(Scenario_Data!T166)/45))+24*SIN(2*PI()*(Inputs!$C$6)/9+(Scenario_Data!T166)/18)*EXP(-(((Inputs!$C$6)+5)^2)/(22^2))+18*SIN(2*PI()*(Scenario_Data!T166)/70))+Inputs!$C$28*EXP(-(((Scenario_Data!T166)-Inputs!$C$29)^2)/(2*Inputs!$C$31^2))*EXP(-(((Inputs!$C$6)-Inputs!$C$30)^2)/(2*Inputs!$C$32^2))+-Inputs!$C$33*EXP(-(((((Scenario_Data!T166)-Inputs!$C$34)^2)+(((Inputs!$C$6)-Inputs!$C$35)^2))/(2*Inputs!$C$36^2)))+Inputs!$C$37*(0.55*SIN(2*PI()*(Scenario_Data!T166)/Inputs!$C$39)+0.35*COS(2*PI()*(Inputs!$C$6)/Inputs!$C$40)+0.2*SIN(2*PI()*((Scenario_Data!T166)+(Inputs!$C$6))/(0.5*(Inputs!$C$39+Inputs!$C$40))))+Inputs!$C$38*SIN(2*PI()*(Scenario_Data!T166)/Inputs!$C$39)*SIN(2*PI()*(Inputs!$C$6)/Inputs!$C$40)+-Inputs!$C$41*EXP(-(((Inputs!$C$6)-Inputs!$C$43)^2)/(2*Inputs!$C$44^2))*EXP(-(((Scenario_Data!T166)-Inputs!$C$42)^2)/(2*Inputs!$C$45^2))+Inputs!$C$48*(0.7*(0.45*SIN(2*PI()*(((Scenario_Data!T166)/Inputs!$C$49)+Inputs!$C$47*0.137))+0.35*COS(2*PI()*(((Inputs!$C$6)/Inputs!$C$50)+Inputs!$C$47*0.173))+0.2*SIN(2*PI()*((((Scenario_Data!T166)+(Inputs!$C$6))/(0.5*(Inputs!$C$49+Inputs!$C$50)))+Inputs!$C$47*0.097)))+0.3*(2*((SIN(((Scenario_Data!T166)*12.9898+(Inputs!$C$6)*78.233+Inputs!$C$47*37.719))*43758.5453)-INT((SIN(((Scenario_Data!T166)*12.9898+(Inputs!$C$6)*78.233+Inputs!$C$47*37.719))*43758.5453)))-1))))/1000))^2-2*(Inputs!$C$52+(Scenario_Data!B166))*(Inputs!$C$52+((IF(OR(Inputs!$C$27=TRUE,Inputs!$C$27="TRUE",Inputs!$C$27=1),1,0)*(Inputs!$C$51*(115*EXP(-(((Inputs!$C$6)-25)^2)/(4.5^2))+70*EXP(-(((Inputs!$C$6)+38)^2)/(7^2))*(0.55+0.45*SIN(2*PI()*(Scenario_Data!T166)/45))+24*SIN(2*PI()*(Inputs!$C$6)/9+(Scenario_Data!T166)/18)*EXP(-(((Inputs!$C$6)+5)^2)/(22^2))+18*SIN(2*PI()*(Scenario_Data!T166)/70))+Inputs!$C$28*EXP(-(((Scenario_Data!T166)-Inputs!$C$29)^2)/(2*Inputs!$C$31^2))*EXP(-(((Inputs!$C$6)-Inputs!$C$30)^2)/(2*Inputs!$C$32^2))+-Inputs!$C$33*EXP(-(((((Scenario_Data!T166)-Inputs!$C$34)^2)+(((Inputs!$C$6)-Inputs!$C$35)^2))/(2*Inputs!$C$36^2)))+Inputs!$C$37*(0.55*SIN(2*PI()*(Scenario_Data!T166)/Inputs!$C$39)+0.35*COS(2*PI()*(Inputs!$C$6)/Inputs!$C$40)+0.2*SIN(2*PI()*((Scenario_Data!T166)+(Inputs!$C$6))/(0.5*(Inputs!$C$39+Inputs!$C$40))))+Inputs!$C$38*SIN(2*PI()*(Scenario_Data!T166)/Inputs!$C$39)*SIN(2*PI()*(Inputs!$C$6)/Inputs!$C$40)+-Inputs!$C$41*EXP(-(((Inputs!$C$6)-Inputs!$C$43)^2)/(2*Inputs!$C$44^2))*EXP(-(((Scenario_Data!T166)-Inputs!$C$42)^2)/(2*Inputs!$C$45^2))+Inputs!$C$48*(0.7*(0.45*SIN(2*PI()*(((Scenario_Data!T166)/Inputs!$C$49)+Inputs!$C$47*0.137))+0.35*COS(2*PI()*(((Inputs!$C$6)/Inputs!$C$50)+Inputs!$C$47*0.173))+0.2*SIN(2*PI()*((((Scenario_Data!T166)+(Inputs!$C$6))/(0.5*(Inputs!$C$49+Inputs!$C$50)))+Inputs!$C$47*0.097)))+0.3*(2*((SIN(((Scenario_Data!T166)*12.9898+(Inputs!$C$6)*78.233+Inputs!$C$47*37.719))*43758.5453)-INT((SIN(((Scenario_Data!T166)*12.9898+(Inputs!$C$6)*78.233+Inputs!$C$47*37.719))*43758.5453)))-1))))/1000))*COS(SQRT((Scenario_Data!T166)^2+Inputs!$C$6^2)/Inputs!$C$52))*1000)/Inputs!$C$21*1000000</f>
        <v/>
      </c>
      <c r="AR166">
        <f>Scenario_Data!U166</f>
        <v/>
      </c>
      <c r="AS166">
        <f>2*(SQRT((Inputs!$C$52+(Scenario_Data!C166))^2+(Inputs!$C$52+((IF(OR(Inputs!$C$27=TRUE,Inputs!$C$27="TRUE",Inputs!$C$27=1),1,0)*(Inputs!$C$51*(115*EXP(-(((Inputs!$C$6)-25)^2)/(4.5^2))+70*EXP(-(((Inputs!$C$6)+38)^2)/(7^2))*(0.55+0.45*SIN(2*PI()*(Scenario_Data!U166)/45))+24*SIN(2*PI()*(Inputs!$C$6)/9+(Scenario_Data!U166)/18)*EXP(-(((Inputs!$C$6)+5)^2)/(22^2))+18*SIN(2*PI()*(Scenario_Data!U166)/70))+Inputs!$C$28*EXP(-(((Scenario_Data!U166)-Inputs!$C$29)^2)/(2*Inputs!$C$31^2))*EXP(-(((Inputs!$C$6)-Inputs!$C$30)^2)/(2*Inputs!$C$32^2))+-Inputs!$C$33*EXP(-(((((Scenario_Data!U166)-Inputs!$C$34)^2)+(((Inputs!$C$6)-Inputs!$C$35)^2))/(2*Inputs!$C$36^2)))+Inputs!$C$37*(0.55*SIN(2*PI()*(Scenario_Data!U166)/Inputs!$C$39)+0.35*COS(2*PI()*(Inputs!$C$6)/Inputs!$C$40)+0.2*SIN(2*PI()*((Scenario_Data!U166)+(Inputs!$C$6))/(0.5*(Inputs!$C$39+Inputs!$C$40))))+Inputs!$C$38*SIN(2*PI()*(Scenario_Data!U166)/Inputs!$C$39)*SIN(2*PI()*(Inputs!$C$6)/Inputs!$C$40)+-Inputs!$C$41*EXP(-(((Inputs!$C$6)-Inputs!$C$43)^2)/(2*Inputs!$C$44^2))*EXP(-(((Scenario_Data!U166)-Inputs!$C$42)^2)/(2*Inputs!$C$45^2))+Inputs!$C$48*(0.7*(0.45*SIN(2*PI()*(((Scenario_Data!U166)/Inputs!$C$49)+Inputs!$C$47*0.137))+0.35*COS(2*PI()*(((Inputs!$C$6)/Inputs!$C$50)+Inputs!$C$47*0.173))+0.2*SIN(2*PI()*((((Scenario_Data!U166)+(Inputs!$C$6))/(0.5*(Inputs!$C$49+Inputs!$C$50)))+Inputs!$C$47*0.097)))+0.3*(2*((SIN(((Scenario_Data!U166)*12.9898+(Inputs!$C$6)*78.233+Inputs!$C$47*37.719))*43758.5453)-INT((SIN(((Scenario_Data!U166)*12.9898+(Inputs!$C$6)*78.233+Inputs!$C$47*37.719))*43758.5453)))-1))))/1000))^2-2*(Inputs!$C$52+(Scenario_Data!C166))*(Inputs!$C$52+((IF(OR(Inputs!$C$27=TRUE,Inputs!$C$27="TRUE",Inputs!$C$27=1),1,0)*(Inputs!$C$51*(115*EXP(-(((Inputs!$C$6)-25)^2)/(4.5^2))+70*EXP(-(((Inputs!$C$6)+38)^2)/(7^2))*(0.55+0.45*SIN(2*PI()*(Scenario_Data!U166)/45))+24*SIN(2*PI()*(Inputs!$C$6)/9+(Scenario_Data!U166)/18)*EXP(-(((Inputs!$C$6)+5)^2)/(22^2))+18*SIN(2*PI()*(Scenario_Data!U166)/70))+Inputs!$C$28*EXP(-(((Scenario_Data!U166)-Inputs!$C$29)^2)/(2*Inputs!$C$31^2))*EXP(-(((Inputs!$C$6)-Inputs!$C$30)^2)/(2*Inputs!$C$32^2))+-Inputs!$C$33*EXP(-(((((Scenario_Data!U166)-Inputs!$C$34)^2)+(((Inputs!$C$6)-Inputs!$C$35)^2))/(2*Inputs!$C$36^2)))+Inputs!$C$37*(0.55*SIN(2*PI()*(Scenario_Data!U166)/Inputs!$C$39)+0.35*COS(2*PI()*(Inputs!$C$6)/Inputs!$C$40)+0.2*SIN(2*PI()*((Scenario_Data!U166)+(Inputs!$C$6))/(0.5*(Inputs!$C$39+Inputs!$C$40))))+Inputs!$C$38*SIN(2*PI()*(Scenario_Data!U166)/Inputs!$C$39)*SIN(2*PI()*(Inputs!$C$6)/Inputs!$C$40)+-Inputs!$C$41*EXP(-(((Inputs!$C$6)-Inputs!$C$43)^2)/(2*Inputs!$C$44^2))*EXP(-(((Scenario_Data!U166)-Inputs!$C$42)^2)/(2*Inputs!$C$45^2))+Inputs!$C$48*(0.7*(0.45*SIN(2*PI()*(((Scenario_Data!U166)/Inputs!$C$49)+Inputs!$C$47*0.137))+0.35*COS(2*PI()*(((Inputs!$C$6)/Inputs!$C$50)+Inputs!$C$47*0.173))+0.2*SIN(2*PI()*((((Scenario_Data!U166)+(Inputs!$C$6))/(0.5*(Inputs!$C$49+Inputs!$C$50)))+Inputs!$C$47*0.097)))+0.3*(2*((SIN(((Scenario_Data!U166)*12.9898+(Inputs!$C$6)*78.233+Inputs!$C$47*37.719))*43758.5453)-INT((SIN(((Scenario_Data!U166)*12.9898+(Inputs!$C$6)*78.233+Inputs!$C$47*37.719))*43758.5453)))-1))))/1000))*COS(SQRT((Scenario_Data!U166)^2+Inputs!$C$6^2)/Inputs!$C$52))*1000)/Inputs!$C$21*1000000</f>
        <v/>
      </c>
      <c r="AT166">
        <f>Scenario_Data!V166</f>
        <v/>
      </c>
      <c r="AU166">
        <f>2*(SQRT((Inputs!$C$52+(Scenario_Data!D166))^2+(Inputs!$C$52+((IF(OR(Inputs!$C$27=TRUE,Inputs!$C$27="TRUE",Inputs!$C$27=1),1,0)*(Inputs!$C$51*(115*EXP(-(((Inputs!$C$6)-25)^2)/(4.5^2))+70*EXP(-(((Inputs!$C$6)+38)^2)/(7^2))*(0.55+0.45*SIN(2*PI()*(Scenario_Data!V166)/45))+24*SIN(2*PI()*(Inputs!$C$6)/9+(Scenario_Data!V166)/18)*EXP(-(((Inputs!$C$6)+5)^2)/(22^2))+18*SIN(2*PI()*(Scenario_Data!V166)/70))+Inputs!$C$28*EXP(-(((Scenario_Data!V166)-Inputs!$C$29)^2)/(2*Inputs!$C$31^2))*EXP(-(((Inputs!$C$6)-Inputs!$C$30)^2)/(2*Inputs!$C$32^2))+-Inputs!$C$33*EXP(-(((((Scenario_Data!V166)-Inputs!$C$34)^2)+(((Inputs!$C$6)-Inputs!$C$35)^2))/(2*Inputs!$C$36^2)))+Inputs!$C$37*(0.55*SIN(2*PI()*(Scenario_Data!V166)/Inputs!$C$39)+0.35*COS(2*PI()*(Inputs!$C$6)/Inputs!$C$40)+0.2*SIN(2*PI()*((Scenario_Data!V166)+(Inputs!$C$6))/(0.5*(Inputs!$C$39+Inputs!$C$40))))+Inputs!$C$38*SIN(2*PI()*(Scenario_Data!V166)/Inputs!$C$39)*SIN(2*PI()*(Inputs!$C$6)/Inputs!$C$40)+-Inputs!$C$41*EXP(-(((Inputs!$C$6)-Inputs!$C$43)^2)/(2*Inputs!$C$44^2))*EXP(-(((Scenario_Data!V166)-Inputs!$C$42)^2)/(2*Inputs!$C$45^2))+Inputs!$C$48*(0.7*(0.45*SIN(2*PI()*(((Scenario_Data!V166)/Inputs!$C$49)+Inputs!$C$47*0.137))+0.35*COS(2*PI()*(((Inputs!$C$6)/Inputs!$C$50)+Inputs!$C$47*0.173))+0.2*SIN(2*PI()*((((Scenario_Data!V166)+(Inputs!$C$6))/(0.5*(Inputs!$C$49+Inputs!$C$50)))+Inputs!$C$47*0.097)))+0.3*(2*((SIN(((Scenario_Data!V166)*12.9898+(Inputs!$C$6)*78.233+Inputs!$C$47*37.719))*43758.5453)-INT((SIN(((Scenario_Data!V166)*12.9898+(Inputs!$C$6)*78.233+Inputs!$C$47*37.719))*43758.5453)))-1))))/1000))^2-2*(Inputs!$C$52+(Scenario_Data!D166))*(Inputs!$C$52+((IF(OR(Inputs!$C$27=TRUE,Inputs!$C$27="TRUE",Inputs!$C$27=1),1,0)*(Inputs!$C$51*(115*EXP(-(((Inputs!$C$6)-25)^2)/(4.5^2))+70*EXP(-(((Inputs!$C$6)+38)^2)/(7^2))*(0.55+0.45*SIN(2*PI()*(Scenario_Data!V166)/45))+24*SIN(2*PI()*(Inputs!$C$6)/9+(Scenario_Data!V166)/18)*EXP(-(((Inputs!$C$6)+5)^2)/(22^2))+18*SIN(2*PI()*(Scenario_Data!V166)/70))+Inputs!$C$28*EXP(-(((Scenario_Data!V166)-Inputs!$C$29)^2)/(2*Inputs!$C$31^2))*EXP(-(((Inputs!$C$6)-Inputs!$C$30)^2)/(2*Inputs!$C$32^2))+-Inputs!$C$33*EXP(-(((((Scenario_Data!V166)-Inputs!$C$34)^2)+(((Inputs!$C$6)-Inputs!$C$35)^2))/(2*Inputs!$C$36^2)))+Inputs!$C$37*(0.55*SIN(2*PI()*(Scenario_Data!V166)/Inputs!$C$39)+0.35*COS(2*PI()*(Inputs!$C$6)/Inputs!$C$40)+0.2*SIN(2*PI()*((Scenario_Data!V166)+(Inputs!$C$6))/(0.5*(Inputs!$C$39+Inputs!$C$40))))+Inputs!$C$38*SIN(2*PI()*(Scenario_Data!V166)/Inputs!$C$39)*SIN(2*PI()*(Inputs!$C$6)/Inputs!$C$40)+-Inputs!$C$41*EXP(-(((Inputs!$C$6)-Inputs!$C$43)^2)/(2*Inputs!$C$44^2))*EXP(-(((Scenario_Data!V166)-Inputs!$C$42)^2)/(2*Inputs!$C$45^2))+Inputs!$C$48*(0.7*(0.45*SIN(2*PI()*(((Scenario_Data!V166)/Inputs!$C$49)+Inputs!$C$47*0.137))+0.35*COS(2*PI()*(((Inputs!$C$6)/Inputs!$C$50)+Inputs!$C$47*0.173))+0.2*SIN(2*PI()*((((Scenario_Data!V166)+(Inputs!$C$6))/(0.5*(Inputs!$C$49+Inputs!$C$50)))+Inputs!$C$47*0.097)))+0.3*(2*((SIN(((Scenario_Data!V166)*12.9898+(Inputs!$C$6)*78.233+Inputs!$C$47*37.719))*43758.5453)-INT((SIN(((Scenario_Data!V166)*12.9898+(Inputs!$C$6)*78.233+Inputs!$C$47*37.719))*43758.5453)))-1))))/1000))*COS(SQRT((Scenario_Data!V166)^2+Inputs!$C$6^2)/Inputs!$C$52))*1000)/Inputs!$C$21*1000000</f>
        <v/>
      </c>
      <c r="AV166">
        <f>Scenario_Data!W166</f>
        <v/>
      </c>
      <c r="AW166">
        <f>2*(SQRT((Inputs!$C$52+(Scenario_Data!E166))^2+(Inputs!$C$52+((IF(OR(Inputs!$C$27=TRUE,Inputs!$C$27="TRUE",Inputs!$C$27=1),1,0)*(Inputs!$C$51*(115*EXP(-(((Inputs!$C$6)-25)^2)/(4.5^2))+70*EXP(-(((Inputs!$C$6)+38)^2)/(7^2))*(0.55+0.45*SIN(2*PI()*(Scenario_Data!W166)/45))+24*SIN(2*PI()*(Inputs!$C$6)/9+(Scenario_Data!W166)/18)*EXP(-(((Inputs!$C$6)+5)^2)/(22^2))+18*SIN(2*PI()*(Scenario_Data!W166)/70))+Inputs!$C$28*EXP(-(((Scenario_Data!W166)-Inputs!$C$29)^2)/(2*Inputs!$C$31^2))*EXP(-(((Inputs!$C$6)-Inputs!$C$30)^2)/(2*Inputs!$C$32^2))+-Inputs!$C$33*EXP(-(((((Scenario_Data!W166)-Inputs!$C$34)^2)+(((Inputs!$C$6)-Inputs!$C$35)^2))/(2*Inputs!$C$36^2)))+Inputs!$C$37*(0.55*SIN(2*PI()*(Scenario_Data!W166)/Inputs!$C$39)+0.35*COS(2*PI()*(Inputs!$C$6)/Inputs!$C$40)+0.2*SIN(2*PI()*((Scenario_Data!W166)+(Inputs!$C$6))/(0.5*(Inputs!$C$39+Inputs!$C$40))))+Inputs!$C$38*SIN(2*PI()*(Scenario_Data!W166)/Inputs!$C$39)*SIN(2*PI()*(Inputs!$C$6)/Inputs!$C$40)+-Inputs!$C$41*EXP(-(((Inputs!$C$6)-Inputs!$C$43)^2)/(2*Inputs!$C$44^2))*EXP(-(((Scenario_Data!W166)-Inputs!$C$42)^2)/(2*Inputs!$C$45^2))+Inputs!$C$48*(0.7*(0.45*SIN(2*PI()*(((Scenario_Data!W166)/Inputs!$C$49)+Inputs!$C$47*0.137))+0.35*COS(2*PI()*(((Inputs!$C$6)/Inputs!$C$50)+Inputs!$C$47*0.173))+0.2*SIN(2*PI()*((((Scenario_Data!W166)+(Inputs!$C$6))/(0.5*(Inputs!$C$49+Inputs!$C$50)))+Inputs!$C$47*0.097)))+0.3*(2*((SIN(((Scenario_Data!W166)*12.9898+(Inputs!$C$6)*78.233+Inputs!$C$47*37.719))*43758.5453)-INT((SIN(((Scenario_Data!W166)*12.9898+(Inputs!$C$6)*78.233+Inputs!$C$47*37.719))*43758.5453)))-1))))/1000))^2-2*(Inputs!$C$52+(Scenario_Data!E166))*(Inputs!$C$52+((IF(OR(Inputs!$C$27=TRUE,Inputs!$C$27="TRUE",Inputs!$C$27=1),1,0)*(Inputs!$C$51*(115*EXP(-(((Inputs!$C$6)-25)^2)/(4.5^2))+70*EXP(-(((Inputs!$C$6)+38)^2)/(7^2))*(0.55+0.45*SIN(2*PI()*(Scenario_Data!W166)/45))+24*SIN(2*PI()*(Inputs!$C$6)/9+(Scenario_Data!W166)/18)*EXP(-(((Inputs!$C$6)+5)^2)/(22^2))+18*SIN(2*PI()*(Scenario_Data!W166)/70))+Inputs!$C$28*EXP(-(((Scenario_Data!W166)-Inputs!$C$29)^2)/(2*Inputs!$C$31^2))*EXP(-(((Inputs!$C$6)-Inputs!$C$30)^2)/(2*Inputs!$C$32^2))+-Inputs!$C$33*EXP(-(((((Scenario_Data!W166)-Inputs!$C$34)^2)+(((Inputs!$C$6)-Inputs!$C$35)^2))/(2*Inputs!$C$36^2)))+Inputs!$C$37*(0.55*SIN(2*PI()*(Scenario_Data!W166)/Inputs!$C$39)+0.35*COS(2*PI()*(Inputs!$C$6)/Inputs!$C$40)+0.2*SIN(2*PI()*((Scenario_Data!W166)+(Inputs!$C$6))/(0.5*(Inputs!$C$39+Inputs!$C$40))))+Inputs!$C$38*SIN(2*PI()*(Scenario_Data!W166)/Inputs!$C$39)*SIN(2*PI()*(Inputs!$C$6)/Inputs!$C$40)+-Inputs!$C$41*EXP(-(((Inputs!$C$6)-Inputs!$C$43)^2)/(2*Inputs!$C$44^2))*EXP(-(((Scenario_Data!W166)-Inputs!$C$42)^2)/(2*Inputs!$C$45^2))+Inputs!$C$48*(0.7*(0.45*SIN(2*PI()*(((Scenario_Data!W166)/Inputs!$C$49)+Inputs!$C$47*0.137))+0.35*COS(2*PI()*(((Inputs!$C$6)/Inputs!$C$50)+Inputs!$C$47*0.173))+0.2*SIN(2*PI()*((((Scenario_Data!W166)+(Inputs!$C$6))/(0.5*(Inputs!$C$49+Inputs!$C$50)))+Inputs!$C$47*0.097)))+0.3*(2*((SIN(((Scenario_Data!W166)*12.9898+(Inputs!$C$6)*78.233+Inputs!$C$47*37.719))*43758.5453)-INT((SIN(((Scenario_Data!W166)*12.9898+(Inputs!$C$6)*78.233+Inputs!$C$47*37.719))*43758.5453)))-1))))/1000))*COS(SQRT((Scenario_Data!W166)^2+Inputs!$C$6^2)/Inputs!$C$52))*1000)/Inputs!$C$21*1000000</f>
        <v/>
      </c>
    </row>
    <row r="167">
      <c r="A167">
        <f>Chart_Data!K167</f>
        <v/>
      </c>
      <c r="B167">
        <f>Chart_Data!N167-Chart_Data!L167</f>
        <v/>
      </c>
      <c r="D167">
        <f>Chart_Data!G167</f>
        <v/>
      </c>
      <c r="E167">
        <f>Chart_Data!H167</f>
        <v/>
      </c>
      <c r="F167">
        <f>Chart_Data!I167</f>
        <v/>
      </c>
      <c r="G167">
        <f>Chart_Data!J167</f>
        <v/>
      </c>
      <c r="I167">
        <f>Scenario_Data!A167</f>
        <v/>
      </c>
      <c r="J167">
        <f>Scenario_Data!H167-(((SQRT((Inputs!$C$52+(Inputs!$H$6))^2+Inputs!$C$52^2-2*(Inputs!$C$52+(Inputs!$H$6))*Inputs!$C$52*COS(SQRT((Scenario_Data!T167)^2+Inputs!$C$6^2)/Inputs!$C$52)))-(Inputs!$H$6))*1000/Inputs!$C$12)</f>
        <v/>
      </c>
      <c r="K167">
        <f>Scenario_Data!I167-(((SQRT((Inputs!$C$52+(Inputs!$H$7))^2+Inputs!$C$52^2-2*(Inputs!$C$52+(Inputs!$H$7))*Inputs!$C$52*COS(SQRT((Scenario_Data!U167)^2+Inputs!$C$6^2)/Inputs!$C$52)))-(Inputs!$H$7))*1000/Inputs!$C$12)</f>
        <v/>
      </c>
      <c r="L167">
        <f>Scenario_Data!J167-(((SQRT((Inputs!$C$52+(Inputs!$H$8))^2+Inputs!$C$52^2-2*(Inputs!$C$52+(Inputs!$H$8))*Inputs!$C$52*COS(SQRT((Scenario_Data!V167)^2+Inputs!$C$6^2)/Inputs!$C$52)))-(Inputs!$H$8))*1000/Inputs!$C$12)</f>
        <v/>
      </c>
      <c r="M167">
        <f>Scenario_Data!K167-(((SQRT((Inputs!$C$52+(Inputs!$H$9))^2+Inputs!$C$52^2-2*(Inputs!$C$52+(Inputs!$H$9))*Inputs!$C$52*COS(SQRT((Scenario_Data!W167)^2+Inputs!$C$6^2)/Inputs!$C$52)))-(Inputs!$H$9))*1000/Inputs!$C$12)</f>
        <v/>
      </c>
      <c r="O167">
        <f>Scenario_Data!T167</f>
        <v/>
      </c>
      <c r="P167">
        <f>2*(Scenario_Data!B167*1000)/Inputs!$C$21*1000000</f>
        <v/>
      </c>
      <c r="Q167">
        <f>Scenario_Data!U167</f>
        <v/>
      </c>
      <c r="R167">
        <f>2*(Scenario_Data!C167*1000)/Inputs!$C$21*1000000</f>
        <v/>
      </c>
      <c r="S167">
        <f>Scenario_Data!V167</f>
        <v/>
      </c>
      <c r="T167">
        <f>2*(Scenario_Data!D167*1000)/Inputs!$C$21*1000000</f>
        <v/>
      </c>
      <c r="U167">
        <f>Scenario_Data!W167</f>
        <v/>
      </c>
      <c r="V167">
        <f>2*(Scenario_Data!E167*1000)/Inputs!$C$21*1000000</f>
        <v/>
      </c>
      <c r="X167">
        <f>Scenario_Data!T167</f>
        <v/>
      </c>
      <c r="Y167">
        <f>2*((Scenario_Data!B167*1000)-(IF(OR(Inputs!$C$27=TRUE,Inputs!$C$27="TRUE",Inputs!$C$27=1),1,0)*(Inputs!$C$51*(115*EXP(-(((0)-25)^2)/(4.5^2))+70*EXP(-(((0)+38)^2)/(7^2))*(0.55+0.45*SIN(2*PI()*(Scenario_Data!T167)/45))+24*SIN(2*PI()*(0)/9+(Scenario_Data!T167)/18)*EXP(-(((0)+5)^2)/(22^2))+18*SIN(2*PI()*(Scenario_Data!T167)/70))+Inputs!$C$28*EXP(-(((Scenario_Data!T167)-Inputs!$C$29)^2)/(2*Inputs!$C$31^2))*EXP(-(((0)-Inputs!$C$30)^2)/(2*Inputs!$C$32^2))+-Inputs!$C$33*EXP(-(((((Scenario_Data!T167)-Inputs!$C$34)^2)+(((0)-Inputs!$C$35)^2))/(2*Inputs!$C$36^2)))+Inputs!$C$37*(0.55*SIN(2*PI()*(Scenario_Data!T167)/Inputs!$C$39)+0.35*COS(2*PI()*(0)/Inputs!$C$40)+0.2*SIN(2*PI()*((Scenario_Data!T167)+(0))/(0.5*(Inputs!$C$39+Inputs!$C$40))))+Inputs!$C$38*SIN(2*PI()*(Scenario_Data!T167)/Inputs!$C$39)*SIN(2*PI()*(0)/Inputs!$C$40)+-Inputs!$C$41*EXP(-(((0)-Inputs!$C$43)^2)/(2*Inputs!$C$44^2))*EXP(-(((Scenario_Data!T167)-Inputs!$C$42)^2)/(2*Inputs!$C$45^2))+Inputs!$C$48*(0.7*(0.45*SIN(2*PI()*(((Scenario_Data!T167)/Inputs!$C$49)+Inputs!$C$47*0.137))+0.35*COS(2*PI()*(((0)/Inputs!$C$50)+Inputs!$C$47*0.173))+0.2*SIN(2*PI()*((((Scenario_Data!T167)+(0))/(0.5*(Inputs!$C$49+Inputs!$C$50)))+Inputs!$C$47*0.097)))+0.3*(2*((SIN(((Scenario_Data!T167)*12.9898+(0)*78.233+Inputs!$C$47*37.719))*43758.5453)-INT((SIN(((Scenario_Data!T167)*12.9898+(0)*78.233+Inputs!$C$47*37.719))*43758.5453)))-1)))))/Inputs!$C$21*1000000</f>
        <v/>
      </c>
      <c r="Z167">
        <f>Scenario_Data!U167</f>
        <v/>
      </c>
      <c r="AA167">
        <f>2*((Scenario_Data!C167*1000)-(IF(OR(Inputs!$C$27=TRUE,Inputs!$C$27="TRUE",Inputs!$C$27=1),1,0)*(Inputs!$C$51*(115*EXP(-(((0)-25)^2)/(4.5^2))+70*EXP(-(((0)+38)^2)/(7^2))*(0.55+0.45*SIN(2*PI()*(Scenario_Data!U167)/45))+24*SIN(2*PI()*(0)/9+(Scenario_Data!U167)/18)*EXP(-(((0)+5)^2)/(22^2))+18*SIN(2*PI()*(Scenario_Data!U167)/70))+Inputs!$C$28*EXP(-(((Scenario_Data!U167)-Inputs!$C$29)^2)/(2*Inputs!$C$31^2))*EXP(-(((0)-Inputs!$C$30)^2)/(2*Inputs!$C$32^2))+-Inputs!$C$33*EXP(-(((((Scenario_Data!U167)-Inputs!$C$34)^2)+(((0)-Inputs!$C$35)^2))/(2*Inputs!$C$36^2)))+Inputs!$C$37*(0.55*SIN(2*PI()*(Scenario_Data!U167)/Inputs!$C$39)+0.35*COS(2*PI()*(0)/Inputs!$C$40)+0.2*SIN(2*PI()*((Scenario_Data!U167)+(0))/(0.5*(Inputs!$C$39+Inputs!$C$40))))+Inputs!$C$38*SIN(2*PI()*(Scenario_Data!U167)/Inputs!$C$39)*SIN(2*PI()*(0)/Inputs!$C$40)+-Inputs!$C$41*EXP(-(((0)-Inputs!$C$43)^2)/(2*Inputs!$C$44^2))*EXP(-(((Scenario_Data!U167)-Inputs!$C$42)^2)/(2*Inputs!$C$45^2))+Inputs!$C$48*(0.7*(0.45*SIN(2*PI()*(((Scenario_Data!U167)/Inputs!$C$49)+Inputs!$C$47*0.137))+0.35*COS(2*PI()*(((0)/Inputs!$C$50)+Inputs!$C$47*0.173))+0.2*SIN(2*PI()*((((Scenario_Data!U167)+(0))/(0.5*(Inputs!$C$49+Inputs!$C$50)))+Inputs!$C$47*0.097)))+0.3*(2*((SIN(((Scenario_Data!U167)*12.9898+(0)*78.233+Inputs!$C$47*37.719))*43758.5453)-INT((SIN(((Scenario_Data!U167)*12.9898+(0)*78.233+Inputs!$C$47*37.719))*43758.5453)))-1)))))/Inputs!$C$21*1000000</f>
        <v/>
      </c>
      <c r="AB167">
        <f>Scenario_Data!V167</f>
        <v/>
      </c>
      <c r="AC167">
        <f>2*((Scenario_Data!D167*1000)-(IF(OR(Inputs!$C$27=TRUE,Inputs!$C$27="TRUE",Inputs!$C$27=1),1,0)*(Inputs!$C$51*(115*EXP(-(((0)-25)^2)/(4.5^2))+70*EXP(-(((0)+38)^2)/(7^2))*(0.55+0.45*SIN(2*PI()*(Scenario_Data!V167)/45))+24*SIN(2*PI()*(0)/9+(Scenario_Data!V167)/18)*EXP(-(((0)+5)^2)/(22^2))+18*SIN(2*PI()*(Scenario_Data!V167)/70))+Inputs!$C$28*EXP(-(((Scenario_Data!V167)-Inputs!$C$29)^2)/(2*Inputs!$C$31^2))*EXP(-(((0)-Inputs!$C$30)^2)/(2*Inputs!$C$32^2))+-Inputs!$C$33*EXP(-(((((Scenario_Data!V167)-Inputs!$C$34)^2)+(((0)-Inputs!$C$35)^2))/(2*Inputs!$C$36^2)))+Inputs!$C$37*(0.55*SIN(2*PI()*(Scenario_Data!V167)/Inputs!$C$39)+0.35*COS(2*PI()*(0)/Inputs!$C$40)+0.2*SIN(2*PI()*((Scenario_Data!V167)+(0))/(0.5*(Inputs!$C$39+Inputs!$C$40))))+Inputs!$C$38*SIN(2*PI()*(Scenario_Data!V167)/Inputs!$C$39)*SIN(2*PI()*(0)/Inputs!$C$40)+-Inputs!$C$41*EXP(-(((0)-Inputs!$C$43)^2)/(2*Inputs!$C$44^2))*EXP(-(((Scenario_Data!V167)-Inputs!$C$42)^2)/(2*Inputs!$C$45^2))+Inputs!$C$48*(0.7*(0.45*SIN(2*PI()*(((Scenario_Data!V167)/Inputs!$C$49)+Inputs!$C$47*0.137))+0.35*COS(2*PI()*(((0)/Inputs!$C$50)+Inputs!$C$47*0.173))+0.2*SIN(2*PI()*((((Scenario_Data!V167)+(0))/(0.5*(Inputs!$C$49+Inputs!$C$50)))+Inputs!$C$47*0.097)))+0.3*(2*((SIN(((Scenario_Data!V167)*12.9898+(0)*78.233+Inputs!$C$47*37.719))*43758.5453)-INT((SIN(((Scenario_Data!V167)*12.9898+(0)*78.233+Inputs!$C$47*37.719))*43758.5453)))-1)))))/Inputs!$C$21*1000000</f>
        <v/>
      </c>
      <c r="AD167">
        <f>Scenario_Data!W167</f>
        <v/>
      </c>
      <c r="AE167">
        <f>2*((Scenario_Data!E167*1000)-(IF(OR(Inputs!$C$27=TRUE,Inputs!$C$27="TRUE",Inputs!$C$27=1),1,0)*(Inputs!$C$51*(115*EXP(-(((0)-25)^2)/(4.5^2))+70*EXP(-(((0)+38)^2)/(7^2))*(0.55+0.45*SIN(2*PI()*(Scenario_Data!W167)/45))+24*SIN(2*PI()*(0)/9+(Scenario_Data!W167)/18)*EXP(-(((0)+5)^2)/(22^2))+18*SIN(2*PI()*(Scenario_Data!W167)/70))+Inputs!$C$28*EXP(-(((Scenario_Data!W167)-Inputs!$C$29)^2)/(2*Inputs!$C$31^2))*EXP(-(((0)-Inputs!$C$30)^2)/(2*Inputs!$C$32^2))+-Inputs!$C$33*EXP(-(((((Scenario_Data!W167)-Inputs!$C$34)^2)+(((0)-Inputs!$C$35)^2))/(2*Inputs!$C$36^2)))+Inputs!$C$37*(0.55*SIN(2*PI()*(Scenario_Data!W167)/Inputs!$C$39)+0.35*COS(2*PI()*(0)/Inputs!$C$40)+0.2*SIN(2*PI()*((Scenario_Data!W167)+(0))/(0.5*(Inputs!$C$39+Inputs!$C$40))))+Inputs!$C$38*SIN(2*PI()*(Scenario_Data!W167)/Inputs!$C$39)*SIN(2*PI()*(0)/Inputs!$C$40)+-Inputs!$C$41*EXP(-(((0)-Inputs!$C$43)^2)/(2*Inputs!$C$44^2))*EXP(-(((Scenario_Data!W167)-Inputs!$C$42)^2)/(2*Inputs!$C$45^2))+Inputs!$C$48*(0.7*(0.45*SIN(2*PI()*(((Scenario_Data!W167)/Inputs!$C$49)+Inputs!$C$47*0.137))+0.35*COS(2*PI()*(((0)/Inputs!$C$50)+Inputs!$C$47*0.173))+0.2*SIN(2*PI()*((((Scenario_Data!W167)+(0))/(0.5*(Inputs!$C$49+Inputs!$C$50)))+Inputs!$C$47*0.097)))+0.3*(2*((SIN(((Scenario_Data!W167)*12.9898+(0)*78.233+Inputs!$C$47*37.719))*43758.5453)-INT((SIN(((Scenario_Data!W167)*12.9898+(0)*78.233+Inputs!$C$47*37.719))*43758.5453)))-1)))))/Inputs!$C$21*1000000</f>
        <v/>
      </c>
      <c r="AG167">
        <f>Scenario_Data!T167</f>
        <v/>
      </c>
      <c r="AH167">
        <f>2*(SQRT((Inputs!$C$52+(Scenario_Data!B167))^2+Inputs!$C$52^2-2*(Inputs!$C$52+(Scenario_Data!B167))*Inputs!$C$52*COS(SQRT((Scenario_Data!T167)^2+Inputs!$C$6^2)/Inputs!$C$52))*1000)/Inputs!$C$21*1000000</f>
        <v/>
      </c>
      <c r="AI167">
        <f>Scenario_Data!U167</f>
        <v/>
      </c>
      <c r="AJ167">
        <f>2*(SQRT((Inputs!$C$52+(Scenario_Data!C167))^2+Inputs!$C$52^2-2*(Inputs!$C$52+(Scenario_Data!C167))*Inputs!$C$52*COS(SQRT((Scenario_Data!U167)^2+Inputs!$C$6^2)/Inputs!$C$52))*1000)/Inputs!$C$21*1000000</f>
        <v/>
      </c>
      <c r="AK167">
        <f>Scenario_Data!V167</f>
        <v/>
      </c>
      <c r="AL167">
        <f>2*(SQRT((Inputs!$C$52+(Scenario_Data!D167))^2+Inputs!$C$52^2-2*(Inputs!$C$52+(Scenario_Data!D167))*Inputs!$C$52*COS(SQRT((Scenario_Data!V167)^2+Inputs!$C$6^2)/Inputs!$C$52))*1000)/Inputs!$C$21*1000000</f>
        <v/>
      </c>
      <c r="AM167">
        <f>Scenario_Data!W167</f>
        <v/>
      </c>
      <c r="AN167">
        <f>2*(SQRT((Inputs!$C$52+(Scenario_Data!E167))^2+Inputs!$C$52^2-2*(Inputs!$C$52+(Scenario_Data!E167))*Inputs!$C$52*COS(SQRT((Scenario_Data!W167)^2+Inputs!$C$6^2)/Inputs!$C$52))*1000)/Inputs!$C$21*1000000</f>
        <v/>
      </c>
      <c r="AP167">
        <f>Scenario_Data!T167</f>
        <v/>
      </c>
      <c r="AQ167">
        <f>2*(SQRT((Inputs!$C$52+(Scenario_Data!B167))^2+(Inputs!$C$52+((IF(OR(Inputs!$C$27=TRUE,Inputs!$C$27="TRUE",Inputs!$C$27=1),1,0)*(Inputs!$C$51*(115*EXP(-(((Inputs!$C$6)-25)^2)/(4.5^2))+70*EXP(-(((Inputs!$C$6)+38)^2)/(7^2))*(0.55+0.45*SIN(2*PI()*(Scenario_Data!T167)/45))+24*SIN(2*PI()*(Inputs!$C$6)/9+(Scenario_Data!T167)/18)*EXP(-(((Inputs!$C$6)+5)^2)/(22^2))+18*SIN(2*PI()*(Scenario_Data!T167)/70))+Inputs!$C$28*EXP(-(((Scenario_Data!T167)-Inputs!$C$29)^2)/(2*Inputs!$C$31^2))*EXP(-(((Inputs!$C$6)-Inputs!$C$30)^2)/(2*Inputs!$C$32^2))+-Inputs!$C$33*EXP(-(((((Scenario_Data!T167)-Inputs!$C$34)^2)+(((Inputs!$C$6)-Inputs!$C$35)^2))/(2*Inputs!$C$36^2)))+Inputs!$C$37*(0.55*SIN(2*PI()*(Scenario_Data!T167)/Inputs!$C$39)+0.35*COS(2*PI()*(Inputs!$C$6)/Inputs!$C$40)+0.2*SIN(2*PI()*((Scenario_Data!T167)+(Inputs!$C$6))/(0.5*(Inputs!$C$39+Inputs!$C$40))))+Inputs!$C$38*SIN(2*PI()*(Scenario_Data!T167)/Inputs!$C$39)*SIN(2*PI()*(Inputs!$C$6)/Inputs!$C$40)+-Inputs!$C$41*EXP(-(((Inputs!$C$6)-Inputs!$C$43)^2)/(2*Inputs!$C$44^2))*EXP(-(((Scenario_Data!T167)-Inputs!$C$42)^2)/(2*Inputs!$C$45^2))+Inputs!$C$48*(0.7*(0.45*SIN(2*PI()*(((Scenario_Data!T167)/Inputs!$C$49)+Inputs!$C$47*0.137))+0.35*COS(2*PI()*(((Inputs!$C$6)/Inputs!$C$50)+Inputs!$C$47*0.173))+0.2*SIN(2*PI()*((((Scenario_Data!T167)+(Inputs!$C$6))/(0.5*(Inputs!$C$49+Inputs!$C$50)))+Inputs!$C$47*0.097)))+0.3*(2*((SIN(((Scenario_Data!T167)*12.9898+(Inputs!$C$6)*78.233+Inputs!$C$47*37.719))*43758.5453)-INT((SIN(((Scenario_Data!T167)*12.9898+(Inputs!$C$6)*78.233+Inputs!$C$47*37.719))*43758.5453)))-1))))/1000))^2-2*(Inputs!$C$52+(Scenario_Data!B167))*(Inputs!$C$52+((IF(OR(Inputs!$C$27=TRUE,Inputs!$C$27="TRUE",Inputs!$C$27=1),1,0)*(Inputs!$C$51*(115*EXP(-(((Inputs!$C$6)-25)^2)/(4.5^2))+70*EXP(-(((Inputs!$C$6)+38)^2)/(7^2))*(0.55+0.45*SIN(2*PI()*(Scenario_Data!T167)/45))+24*SIN(2*PI()*(Inputs!$C$6)/9+(Scenario_Data!T167)/18)*EXP(-(((Inputs!$C$6)+5)^2)/(22^2))+18*SIN(2*PI()*(Scenario_Data!T167)/70))+Inputs!$C$28*EXP(-(((Scenario_Data!T167)-Inputs!$C$29)^2)/(2*Inputs!$C$31^2))*EXP(-(((Inputs!$C$6)-Inputs!$C$30)^2)/(2*Inputs!$C$32^2))+-Inputs!$C$33*EXP(-(((((Scenario_Data!T167)-Inputs!$C$34)^2)+(((Inputs!$C$6)-Inputs!$C$35)^2))/(2*Inputs!$C$36^2)))+Inputs!$C$37*(0.55*SIN(2*PI()*(Scenario_Data!T167)/Inputs!$C$39)+0.35*COS(2*PI()*(Inputs!$C$6)/Inputs!$C$40)+0.2*SIN(2*PI()*((Scenario_Data!T167)+(Inputs!$C$6))/(0.5*(Inputs!$C$39+Inputs!$C$40))))+Inputs!$C$38*SIN(2*PI()*(Scenario_Data!T167)/Inputs!$C$39)*SIN(2*PI()*(Inputs!$C$6)/Inputs!$C$40)+-Inputs!$C$41*EXP(-(((Inputs!$C$6)-Inputs!$C$43)^2)/(2*Inputs!$C$44^2))*EXP(-(((Scenario_Data!T167)-Inputs!$C$42)^2)/(2*Inputs!$C$45^2))+Inputs!$C$48*(0.7*(0.45*SIN(2*PI()*(((Scenario_Data!T167)/Inputs!$C$49)+Inputs!$C$47*0.137))+0.35*COS(2*PI()*(((Inputs!$C$6)/Inputs!$C$50)+Inputs!$C$47*0.173))+0.2*SIN(2*PI()*((((Scenario_Data!T167)+(Inputs!$C$6))/(0.5*(Inputs!$C$49+Inputs!$C$50)))+Inputs!$C$47*0.097)))+0.3*(2*((SIN(((Scenario_Data!T167)*12.9898+(Inputs!$C$6)*78.233+Inputs!$C$47*37.719))*43758.5453)-INT((SIN(((Scenario_Data!T167)*12.9898+(Inputs!$C$6)*78.233+Inputs!$C$47*37.719))*43758.5453)))-1))))/1000))*COS(SQRT((Scenario_Data!T167)^2+Inputs!$C$6^2)/Inputs!$C$52))*1000)/Inputs!$C$21*1000000</f>
        <v/>
      </c>
      <c r="AR167">
        <f>Scenario_Data!U167</f>
        <v/>
      </c>
      <c r="AS167">
        <f>2*(SQRT((Inputs!$C$52+(Scenario_Data!C167))^2+(Inputs!$C$52+((IF(OR(Inputs!$C$27=TRUE,Inputs!$C$27="TRUE",Inputs!$C$27=1),1,0)*(Inputs!$C$51*(115*EXP(-(((Inputs!$C$6)-25)^2)/(4.5^2))+70*EXP(-(((Inputs!$C$6)+38)^2)/(7^2))*(0.55+0.45*SIN(2*PI()*(Scenario_Data!U167)/45))+24*SIN(2*PI()*(Inputs!$C$6)/9+(Scenario_Data!U167)/18)*EXP(-(((Inputs!$C$6)+5)^2)/(22^2))+18*SIN(2*PI()*(Scenario_Data!U167)/70))+Inputs!$C$28*EXP(-(((Scenario_Data!U167)-Inputs!$C$29)^2)/(2*Inputs!$C$31^2))*EXP(-(((Inputs!$C$6)-Inputs!$C$30)^2)/(2*Inputs!$C$32^2))+-Inputs!$C$33*EXP(-(((((Scenario_Data!U167)-Inputs!$C$34)^2)+(((Inputs!$C$6)-Inputs!$C$35)^2))/(2*Inputs!$C$36^2)))+Inputs!$C$37*(0.55*SIN(2*PI()*(Scenario_Data!U167)/Inputs!$C$39)+0.35*COS(2*PI()*(Inputs!$C$6)/Inputs!$C$40)+0.2*SIN(2*PI()*((Scenario_Data!U167)+(Inputs!$C$6))/(0.5*(Inputs!$C$39+Inputs!$C$40))))+Inputs!$C$38*SIN(2*PI()*(Scenario_Data!U167)/Inputs!$C$39)*SIN(2*PI()*(Inputs!$C$6)/Inputs!$C$40)+-Inputs!$C$41*EXP(-(((Inputs!$C$6)-Inputs!$C$43)^2)/(2*Inputs!$C$44^2))*EXP(-(((Scenario_Data!U167)-Inputs!$C$42)^2)/(2*Inputs!$C$45^2))+Inputs!$C$48*(0.7*(0.45*SIN(2*PI()*(((Scenario_Data!U167)/Inputs!$C$49)+Inputs!$C$47*0.137))+0.35*COS(2*PI()*(((Inputs!$C$6)/Inputs!$C$50)+Inputs!$C$47*0.173))+0.2*SIN(2*PI()*((((Scenario_Data!U167)+(Inputs!$C$6))/(0.5*(Inputs!$C$49+Inputs!$C$50)))+Inputs!$C$47*0.097)))+0.3*(2*((SIN(((Scenario_Data!U167)*12.9898+(Inputs!$C$6)*78.233+Inputs!$C$47*37.719))*43758.5453)-INT((SIN(((Scenario_Data!U167)*12.9898+(Inputs!$C$6)*78.233+Inputs!$C$47*37.719))*43758.5453)))-1))))/1000))^2-2*(Inputs!$C$52+(Scenario_Data!C167))*(Inputs!$C$52+((IF(OR(Inputs!$C$27=TRUE,Inputs!$C$27="TRUE",Inputs!$C$27=1),1,0)*(Inputs!$C$51*(115*EXP(-(((Inputs!$C$6)-25)^2)/(4.5^2))+70*EXP(-(((Inputs!$C$6)+38)^2)/(7^2))*(0.55+0.45*SIN(2*PI()*(Scenario_Data!U167)/45))+24*SIN(2*PI()*(Inputs!$C$6)/9+(Scenario_Data!U167)/18)*EXP(-(((Inputs!$C$6)+5)^2)/(22^2))+18*SIN(2*PI()*(Scenario_Data!U167)/70))+Inputs!$C$28*EXP(-(((Scenario_Data!U167)-Inputs!$C$29)^2)/(2*Inputs!$C$31^2))*EXP(-(((Inputs!$C$6)-Inputs!$C$30)^2)/(2*Inputs!$C$32^2))+-Inputs!$C$33*EXP(-(((((Scenario_Data!U167)-Inputs!$C$34)^2)+(((Inputs!$C$6)-Inputs!$C$35)^2))/(2*Inputs!$C$36^2)))+Inputs!$C$37*(0.55*SIN(2*PI()*(Scenario_Data!U167)/Inputs!$C$39)+0.35*COS(2*PI()*(Inputs!$C$6)/Inputs!$C$40)+0.2*SIN(2*PI()*((Scenario_Data!U167)+(Inputs!$C$6))/(0.5*(Inputs!$C$39+Inputs!$C$40))))+Inputs!$C$38*SIN(2*PI()*(Scenario_Data!U167)/Inputs!$C$39)*SIN(2*PI()*(Inputs!$C$6)/Inputs!$C$40)+-Inputs!$C$41*EXP(-(((Inputs!$C$6)-Inputs!$C$43)^2)/(2*Inputs!$C$44^2))*EXP(-(((Scenario_Data!U167)-Inputs!$C$42)^2)/(2*Inputs!$C$45^2))+Inputs!$C$48*(0.7*(0.45*SIN(2*PI()*(((Scenario_Data!U167)/Inputs!$C$49)+Inputs!$C$47*0.137))+0.35*COS(2*PI()*(((Inputs!$C$6)/Inputs!$C$50)+Inputs!$C$47*0.173))+0.2*SIN(2*PI()*((((Scenario_Data!U167)+(Inputs!$C$6))/(0.5*(Inputs!$C$49+Inputs!$C$50)))+Inputs!$C$47*0.097)))+0.3*(2*((SIN(((Scenario_Data!U167)*12.9898+(Inputs!$C$6)*78.233+Inputs!$C$47*37.719))*43758.5453)-INT((SIN(((Scenario_Data!U167)*12.9898+(Inputs!$C$6)*78.233+Inputs!$C$47*37.719))*43758.5453)))-1))))/1000))*COS(SQRT((Scenario_Data!U167)^2+Inputs!$C$6^2)/Inputs!$C$52))*1000)/Inputs!$C$21*1000000</f>
        <v/>
      </c>
      <c r="AT167">
        <f>Scenario_Data!V167</f>
        <v/>
      </c>
      <c r="AU167">
        <f>2*(SQRT((Inputs!$C$52+(Scenario_Data!D167))^2+(Inputs!$C$52+((IF(OR(Inputs!$C$27=TRUE,Inputs!$C$27="TRUE",Inputs!$C$27=1),1,0)*(Inputs!$C$51*(115*EXP(-(((Inputs!$C$6)-25)^2)/(4.5^2))+70*EXP(-(((Inputs!$C$6)+38)^2)/(7^2))*(0.55+0.45*SIN(2*PI()*(Scenario_Data!V167)/45))+24*SIN(2*PI()*(Inputs!$C$6)/9+(Scenario_Data!V167)/18)*EXP(-(((Inputs!$C$6)+5)^2)/(22^2))+18*SIN(2*PI()*(Scenario_Data!V167)/70))+Inputs!$C$28*EXP(-(((Scenario_Data!V167)-Inputs!$C$29)^2)/(2*Inputs!$C$31^2))*EXP(-(((Inputs!$C$6)-Inputs!$C$30)^2)/(2*Inputs!$C$32^2))+-Inputs!$C$33*EXP(-(((((Scenario_Data!V167)-Inputs!$C$34)^2)+(((Inputs!$C$6)-Inputs!$C$35)^2))/(2*Inputs!$C$36^2)))+Inputs!$C$37*(0.55*SIN(2*PI()*(Scenario_Data!V167)/Inputs!$C$39)+0.35*COS(2*PI()*(Inputs!$C$6)/Inputs!$C$40)+0.2*SIN(2*PI()*((Scenario_Data!V167)+(Inputs!$C$6))/(0.5*(Inputs!$C$39+Inputs!$C$40))))+Inputs!$C$38*SIN(2*PI()*(Scenario_Data!V167)/Inputs!$C$39)*SIN(2*PI()*(Inputs!$C$6)/Inputs!$C$40)+-Inputs!$C$41*EXP(-(((Inputs!$C$6)-Inputs!$C$43)^2)/(2*Inputs!$C$44^2))*EXP(-(((Scenario_Data!V167)-Inputs!$C$42)^2)/(2*Inputs!$C$45^2))+Inputs!$C$48*(0.7*(0.45*SIN(2*PI()*(((Scenario_Data!V167)/Inputs!$C$49)+Inputs!$C$47*0.137))+0.35*COS(2*PI()*(((Inputs!$C$6)/Inputs!$C$50)+Inputs!$C$47*0.173))+0.2*SIN(2*PI()*((((Scenario_Data!V167)+(Inputs!$C$6))/(0.5*(Inputs!$C$49+Inputs!$C$50)))+Inputs!$C$47*0.097)))+0.3*(2*((SIN(((Scenario_Data!V167)*12.9898+(Inputs!$C$6)*78.233+Inputs!$C$47*37.719))*43758.5453)-INT((SIN(((Scenario_Data!V167)*12.9898+(Inputs!$C$6)*78.233+Inputs!$C$47*37.719))*43758.5453)))-1))))/1000))^2-2*(Inputs!$C$52+(Scenario_Data!D167))*(Inputs!$C$52+((IF(OR(Inputs!$C$27=TRUE,Inputs!$C$27="TRUE",Inputs!$C$27=1),1,0)*(Inputs!$C$51*(115*EXP(-(((Inputs!$C$6)-25)^2)/(4.5^2))+70*EXP(-(((Inputs!$C$6)+38)^2)/(7^2))*(0.55+0.45*SIN(2*PI()*(Scenario_Data!V167)/45))+24*SIN(2*PI()*(Inputs!$C$6)/9+(Scenario_Data!V167)/18)*EXP(-(((Inputs!$C$6)+5)^2)/(22^2))+18*SIN(2*PI()*(Scenario_Data!V167)/70))+Inputs!$C$28*EXP(-(((Scenario_Data!V167)-Inputs!$C$29)^2)/(2*Inputs!$C$31^2))*EXP(-(((Inputs!$C$6)-Inputs!$C$30)^2)/(2*Inputs!$C$32^2))+-Inputs!$C$33*EXP(-(((((Scenario_Data!V167)-Inputs!$C$34)^2)+(((Inputs!$C$6)-Inputs!$C$35)^2))/(2*Inputs!$C$36^2)))+Inputs!$C$37*(0.55*SIN(2*PI()*(Scenario_Data!V167)/Inputs!$C$39)+0.35*COS(2*PI()*(Inputs!$C$6)/Inputs!$C$40)+0.2*SIN(2*PI()*((Scenario_Data!V167)+(Inputs!$C$6))/(0.5*(Inputs!$C$39+Inputs!$C$40))))+Inputs!$C$38*SIN(2*PI()*(Scenario_Data!V167)/Inputs!$C$39)*SIN(2*PI()*(Inputs!$C$6)/Inputs!$C$40)+-Inputs!$C$41*EXP(-(((Inputs!$C$6)-Inputs!$C$43)^2)/(2*Inputs!$C$44^2))*EXP(-(((Scenario_Data!V167)-Inputs!$C$42)^2)/(2*Inputs!$C$45^2))+Inputs!$C$48*(0.7*(0.45*SIN(2*PI()*(((Scenario_Data!V167)/Inputs!$C$49)+Inputs!$C$47*0.137))+0.35*COS(2*PI()*(((Inputs!$C$6)/Inputs!$C$50)+Inputs!$C$47*0.173))+0.2*SIN(2*PI()*((((Scenario_Data!V167)+(Inputs!$C$6))/(0.5*(Inputs!$C$49+Inputs!$C$50)))+Inputs!$C$47*0.097)))+0.3*(2*((SIN(((Scenario_Data!V167)*12.9898+(Inputs!$C$6)*78.233+Inputs!$C$47*37.719))*43758.5453)-INT((SIN(((Scenario_Data!V167)*12.9898+(Inputs!$C$6)*78.233+Inputs!$C$47*37.719))*43758.5453)))-1))))/1000))*COS(SQRT((Scenario_Data!V167)^2+Inputs!$C$6^2)/Inputs!$C$52))*1000)/Inputs!$C$21*1000000</f>
        <v/>
      </c>
      <c r="AV167">
        <f>Scenario_Data!W167</f>
        <v/>
      </c>
      <c r="AW167">
        <f>2*(SQRT((Inputs!$C$52+(Scenario_Data!E167))^2+(Inputs!$C$52+((IF(OR(Inputs!$C$27=TRUE,Inputs!$C$27="TRUE",Inputs!$C$27=1),1,0)*(Inputs!$C$51*(115*EXP(-(((Inputs!$C$6)-25)^2)/(4.5^2))+70*EXP(-(((Inputs!$C$6)+38)^2)/(7^2))*(0.55+0.45*SIN(2*PI()*(Scenario_Data!W167)/45))+24*SIN(2*PI()*(Inputs!$C$6)/9+(Scenario_Data!W167)/18)*EXP(-(((Inputs!$C$6)+5)^2)/(22^2))+18*SIN(2*PI()*(Scenario_Data!W167)/70))+Inputs!$C$28*EXP(-(((Scenario_Data!W167)-Inputs!$C$29)^2)/(2*Inputs!$C$31^2))*EXP(-(((Inputs!$C$6)-Inputs!$C$30)^2)/(2*Inputs!$C$32^2))+-Inputs!$C$33*EXP(-(((((Scenario_Data!W167)-Inputs!$C$34)^2)+(((Inputs!$C$6)-Inputs!$C$35)^2))/(2*Inputs!$C$36^2)))+Inputs!$C$37*(0.55*SIN(2*PI()*(Scenario_Data!W167)/Inputs!$C$39)+0.35*COS(2*PI()*(Inputs!$C$6)/Inputs!$C$40)+0.2*SIN(2*PI()*((Scenario_Data!W167)+(Inputs!$C$6))/(0.5*(Inputs!$C$39+Inputs!$C$40))))+Inputs!$C$38*SIN(2*PI()*(Scenario_Data!W167)/Inputs!$C$39)*SIN(2*PI()*(Inputs!$C$6)/Inputs!$C$40)+-Inputs!$C$41*EXP(-(((Inputs!$C$6)-Inputs!$C$43)^2)/(2*Inputs!$C$44^2))*EXP(-(((Scenario_Data!W167)-Inputs!$C$42)^2)/(2*Inputs!$C$45^2))+Inputs!$C$48*(0.7*(0.45*SIN(2*PI()*(((Scenario_Data!W167)/Inputs!$C$49)+Inputs!$C$47*0.137))+0.35*COS(2*PI()*(((Inputs!$C$6)/Inputs!$C$50)+Inputs!$C$47*0.173))+0.2*SIN(2*PI()*((((Scenario_Data!W167)+(Inputs!$C$6))/(0.5*(Inputs!$C$49+Inputs!$C$50)))+Inputs!$C$47*0.097)))+0.3*(2*((SIN(((Scenario_Data!W167)*12.9898+(Inputs!$C$6)*78.233+Inputs!$C$47*37.719))*43758.5453)-INT((SIN(((Scenario_Data!W167)*12.9898+(Inputs!$C$6)*78.233+Inputs!$C$47*37.719))*43758.5453)))-1))))/1000))^2-2*(Inputs!$C$52+(Scenario_Data!E167))*(Inputs!$C$52+((IF(OR(Inputs!$C$27=TRUE,Inputs!$C$27="TRUE",Inputs!$C$27=1),1,0)*(Inputs!$C$51*(115*EXP(-(((Inputs!$C$6)-25)^2)/(4.5^2))+70*EXP(-(((Inputs!$C$6)+38)^2)/(7^2))*(0.55+0.45*SIN(2*PI()*(Scenario_Data!W167)/45))+24*SIN(2*PI()*(Inputs!$C$6)/9+(Scenario_Data!W167)/18)*EXP(-(((Inputs!$C$6)+5)^2)/(22^2))+18*SIN(2*PI()*(Scenario_Data!W167)/70))+Inputs!$C$28*EXP(-(((Scenario_Data!W167)-Inputs!$C$29)^2)/(2*Inputs!$C$31^2))*EXP(-(((Inputs!$C$6)-Inputs!$C$30)^2)/(2*Inputs!$C$32^2))+-Inputs!$C$33*EXP(-(((((Scenario_Data!W167)-Inputs!$C$34)^2)+(((Inputs!$C$6)-Inputs!$C$35)^2))/(2*Inputs!$C$36^2)))+Inputs!$C$37*(0.55*SIN(2*PI()*(Scenario_Data!W167)/Inputs!$C$39)+0.35*COS(2*PI()*(Inputs!$C$6)/Inputs!$C$40)+0.2*SIN(2*PI()*((Scenario_Data!W167)+(Inputs!$C$6))/(0.5*(Inputs!$C$39+Inputs!$C$40))))+Inputs!$C$38*SIN(2*PI()*(Scenario_Data!W167)/Inputs!$C$39)*SIN(2*PI()*(Inputs!$C$6)/Inputs!$C$40)+-Inputs!$C$41*EXP(-(((Inputs!$C$6)-Inputs!$C$43)^2)/(2*Inputs!$C$44^2))*EXP(-(((Scenario_Data!W167)-Inputs!$C$42)^2)/(2*Inputs!$C$45^2))+Inputs!$C$48*(0.7*(0.45*SIN(2*PI()*(((Scenario_Data!W167)/Inputs!$C$49)+Inputs!$C$47*0.137))+0.35*COS(2*PI()*(((Inputs!$C$6)/Inputs!$C$50)+Inputs!$C$47*0.173))+0.2*SIN(2*PI()*((((Scenario_Data!W167)+(Inputs!$C$6))/(0.5*(Inputs!$C$49+Inputs!$C$50)))+Inputs!$C$47*0.097)))+0.3*(2*((SIN(((Scenario_Data!W167)*12.9898+(Inputs!$C$6)*78.233+Inputs!$C$47*37.719))*43758.5453)-INT((SIN(((Scenario_Data!W167)*12.9898+(Inputs!$C$6)*78.233+Inputs!$C$47*37.719))*43758.5453)))-1))))/1000))*COS(SQRT((Scenario_Data!W167)^2+Inputs!$C$6^2)/Inputs!$C$52))*1000)/Inputs!$C$21*1000000</f>
        <v/>
      </c>
    </row>
    <row r="168">
      <c r="A168">
        <f>Chart_Data!K168</f>
        <v/>
      </c>
      <c r="B168">
        <f>Chart_Data!N168-Chart_Data!L168</f>
        <v/>
      </c>
      <c r="D168">
        <f>Chart_Data!G168</f>
        <v/>
      </c>
      <c r="E168">
        <f>Chart_Data!H168</f>
        <v/>
      </c>
      <c r="F168">
        <f>Chart_Data!I168</f>
        <v/>
      </c>
      <c r="G168">
        <f>Chart_Data!J168</f>
        <v/>
      </c>
      <c r="I168">
        <f>Scenario_Data!A168</f>
        <v/>
      </c>
      <c r="J168">
        <f>Scenario_Data!H168-(((SQRT((Inputs!$C$52+(Inputs!$H$6))^2+Inputs!$C$52^2-2*(Inputs!$C$52+(Inputs!$H$6))*Inputs!$C$52*COS(SQRT((Scenario_Data!T168)^2+Inputs!$C$6^2)/Inputs!$C$52)))-(Inputs!$H$6))*1000/Inputs!$C$12)</f>
        <v/>
      </c>
      <c r="K168">
        <f>Scenario_Data!I168-(((SQRT((Inputs!$C$52+(Inputs!$H$7))^2+Inputs!$C$52^2-2*(Inputs!$C$52+(Inputs!$H$7))*Inputs!$C$52*COS(SQRT((Scenario_Data!U168)^2+Inputs!$C$6^2)/Inputs!$C$52)))-(Inputs!$H$7))*1000/Inputs!$C$12)</f>
        <v/>
      </c>
      <c r="L168">
        <f>Scenario_Data!J168-(((SQRT((Inputs!$C$52+(Inputs!$H$8))^2+Inputs!$C$52^2-2*(Inputs!$C$52+(Inputs!$H$8))*Inputs!$C$52*COS(SQRT((Scenario_Data!V168)^2+Inputs!$C$6^2)/Inputs!$C$52)))-(Inputs!$H$8))*1000/Inputs!$C$12)</f>
        <v/>
      </c>
      <c r="M168">
        <f>Scenario_Data!K168-(((SQRT((Inputs!$C$52+(Inputs!$H$9))^2+Inputs!$C$52^2-2*(Inputs!$C$52+(Inputs!$H$9))*Inputs!$C$52*COS(SQRT((Scenario_Data!W168)^2+Inputs!$C$6^2)/Inputs!$C$52)))-(Inputs!$H$9))*1000/Inputs!$C$12)</f>
        <v/>
      </c>
      <c r="O168">
        <f>Scenario_Data!T168</f>
        <v/>
      </c>
      <c r="P168">
        <f>2*(Scenario_Data!B168*1000)/Inputs!$C$21*1000000</f>
        <v/>
      </c>
      <c r="Q168">
        <f>Scenario_Data!U168</f>
        <v/>
      </c>
      <c r="R168">
        <f>2*(Scenario_Data!C168*1000)/Inputs!$C$21*1000000</f>
        <v/>
      </c>
      <c r="S168">
        <f>Scenario_Data!V168</f>
        <v/>
      </c>
      <c r="T168">
        <f>2*(Scenario_Data!D168*1000)/Inputs!$C$21*1000000</f>
        <v/>
      </c>
      <c r="U168">
        <f>Scenario_Data!W168</f>
        <v/>
      </c>
      <c r="V168">
        <f>2*(Scenario_Data!E168*1000)/Inputs!$C$21*1000000</f>
        <v/>
      </c>
      <c r="X168">
        <f>Scenario_Data!T168</f>
        <v/>
      </c>
      <c r="Y168">
        <f>2*((Scenario_Data!B168*1000)-(IF(OR(Inputs!$C$27=TRUE,Inputs!$C$27="TRUE",Inputs!$C$27=1),1,0)*(Inputs!$C$51*(115*EXP(-(((0)-25)^2)/(4.5^2))+70*EXP(-(((0)+38)^2)/(7^2))*(0.55+0.45*SIN(2*PI()*(Scenario_Data!T168)/45))+24*SIN(2*PI()*(0)/9+(Scenario_Data!T168)/18)*EXP(-(((0)+5)^2)/(22^2))+18*SIN(2*PI()*(Scenario_Data!T168)/70))+Inputs!$C$28*EXP(-(((Scenario_Data!T168)-Inputs!$C$29)^2)/(2*Inputs!$C$31^2))*EXP(-(((0)-Inputs!$C$30)^2)/(2*Inputs!$C$32^2))+-Inputs!$C$33*EXP(-(((((Scenario_Data!T168)-Inputs!$C$34)^2)+(((0)-Inputs!$C$35)^2))/(2*Inputs!$C$36^2)))+Inputs!$C$37*(0.55*SIN(2*PI()*(Scenario_Data!T168)/Inputs!$C$39)+0.35*COS(2*PI()*(0)/Inputs!$C$40)+0.2*SIN(2*PI()*((Scenario_Data!T168)+(0))/(0.5*(Inputs!$C$39+Inputs!$C$40))))+Inputs!$C$38*SIN(2*PI()*(Scenario_Data!T168)/Inputs!$C$39)*SIN(2*PI()*(0)/Inputs!$C$40)+-Inputs!$C$41*EXP(-(((0)-Inputs!$C$43)^2)/(2*Inputs!$C$44^2))*EXP(-(((Scenario_Data!T168)-Inputs!$C$42)^2)/(2*Inputs!$C$45^2))+Inputs!$C$48*(0.7*(0.45*SIN(2*PI()*(((Scenario_Data!T168)/Inputs!$C$49)+Inputs!$C$47*0.137))+0.35*COS(2*PI()*(((0)/Inputs!$C$50)+Inputs!$C$47*0.173))+0.2*SIN(2*PI()*((((Scenario_Data!T168)+(0))/(0.5*(Inputs!$C$49+Inputs!$C$50)))+Inputs!$C$47*0.097)))+0.3*(2*((SIN(((Scenario_Data!T168)*12.9898+(0)*78.233+Inputs!$C$47*37.719))*43758.5453)-INT((SIN(((Scenario_Data!T168)*12.9898+(0)*78.233+Inputs!$C$47*37.719))*43758.5453)))-1)))))/Inputs!$C$21*1000000</f>
        <v/>
      </c>
      <c r="Z168">
        <f>Scenario_Data!U168</f>
        <v/>
      </c>
      <c r="AA168">
        <f>2*((Scenario_Data!C168*1000)-(IF(OR(Inputs!$C$27=TRUE,Inputs!$C$27="TRUE",Inputs!$C$27=1),1,0)*(Inputs!$C$51*(115*EXP(-(((0)-25)^2)/(4.5^2))+70*EXP(-(((0)+38)^2)/(7^2))*(0.55+0.45*SIN(2*PI()*(Scenario_Data!U168)/45))+24*SIN(2*PI()*(0)/9+(Scenario_Data!U168)/18)*EXP(-(((0)+5)^2)/(22^2))+18*SIN(2*PI()*(Scenario_Data!U168)/70))+Inputs!$C$28*EXP(-(((Scenario_Data!U168)-Inputs!$C$29)^2)/(2*Inputs!$C$31^2))*EXP(-(((0)-Inputs!$C$30)^2)/(2*Inputs!$C$32^2))+-Inputs!$C$33*EXP(-(((((Scenario_Data!U168)-Inputs!$C$34)^2)+(((0)-Inputs!$C$35)^2))/(2*Inputs!$C$36^2)))+Inputs!$C$37*(0.55*SIN(2*PI()*(Scenario_Data!U168)/Inputs!$C$39)+0.35*COS(2*PI()*(0)/Inputs!$C$40)+0.2*SIN(2*PI()*((Scenario_Data!U168)+(0))/(0.5*(Inputs!$C$39+Inputs!$C$40))))+Inputs!$C$38*SIN(2*PI()*(Scenario_Data!U168)/Inputs!$C$39)*SIN(2*PI()*(0)/Inputs!$C$40)+-Inputs!$C$41*EXP(-(((0)-Inputs!$C$43)^2)/(2*Inputs!$C$44^2))*EXP(-(((Scenario_Data!U168)-Inputs!$C$42)^2)/(2*Inputs!$C$45^2))+Inputs!$C$48*(0.7*(0.45*SIN(2*PI()*(((Scenario_Data!U168)/Inputs!$C$49)+Inputs!$C$47*0.137))+0.35*COS(2*PI()*(((0)/Inputs!$C$50)+Inputs!$C$47*0.173))+0.2*SIN(2*PI()*((((Scenario_Data!U168)+(0))/(0.5*(Inputs!$C$49+Inputs!$C$50)))+Inputs!$C$47*0.097)))+0.3*(2*((SIN(((Scenario_Data!U168)*12.9898+(0)*78.233+Inputs!$C$47*37.719))*43758.5453)-INT((SIN(((Scenario_Data!U168)*12.9898+(0)*78.233+Inputs!$C$47*37.719))*43758.5453)))-1)))))/Inputs!$C$21*1000000</f>
        <v/>
      </c>
      <c r="AB168">
        <f>Scenario_Data!V168</f>
        <v/>
      </c>
      <c r="AC168">
        <f>2*((Scenario_Data!D168*1000)-(IF(OR(Inputs!$C$27=TRUE,Inputs!$C$27="TRUE",Inputs!$C$27=1),1,0)*(Inputs!$C$51*(115*EXP(-(((0)-25)^2)/(4.5^2))+70*EXP(-(((0)+38)^2)/(7^2))*(0.55+0.45*SIN(2*PI()*(Scenario_Data!V168)/45))+24*SIN(2*PI()*(0)/9+(Scenario_Data!V168)/18)*EXP(-(((0)+5)^2)/(22^2))+18*SIN(2*PI()*(Scenario_Data!V168)/70))+Inputs!$C$28*EXP(-(((Scenario_Data!V168)-Inputs!$C$29)^2)/(2*Inputs!$C$31^2))*EXP(-(((0)-Inputs!$C$30)^2)/(2*Inputs!$C$32^2))+-Inputs!$C$33*EXP(-(((((Scenario_Data!V168)-Inputs!$C$34)^2)+(((0)-Inputs!$C$35)^2))/(2*Inputs!$C$36^2)))+Inputs!$C$37*(0.55*SIN(2*PI()*(Scenario_Data!V168)/Inputs!$C$39)+0.35*COS(2*PI()*(0)/Inputs!$C$40)+0.2*SIN(2*PI()*((Scenario_Data!V168)+(0))/(0.5*(Inputs!$C$39+Inputs!$C$40))))+Inputs!$C$38*SIN(2*PI()*(Scenario_Data!V168)/Inputs!$C$39)*SIN(2*PI()*(0)/Inputs!$C$40)+-Inputs!$C$41*EXP(-(((0)-Inputs!$C$43)^2)/(2*Inputs!$C$44^2))*EXP(-(((Scenario_Data!V168)-Inputs!$C$42)^2)/(2*Inputs!$C$45^2))+Inputs!$C$48*(0.7*(0.45*SIN(2*PI()*(((Scenario_Data!V168)/Inputs!$C$49)+Inputs!$C$47*0.137))+0.35*COS(2*PI()*(((0)/Inputs!$C$50)+Inputs!$C$47*0.173))+0.2*SIN(2*PI()*((((Scenario_Data!V168)+(0))/(0.5*(Inputs!$C$49+Inputs!$C$50)))+Inputs!$C$47*0.097)))+0.3*(2*((SIN(((Scenario_Data!V168)*12.9898+(0)*78.233+Inputs!$C$47*37.719))*43758.5453)-INT((SIN(((Scenario_Data!V168)*12.9898+(0)*78.233+Inputs!$C$47*37.719))*43758.5453)))-1)))))/Inputs!$C$21*1000000</f>
        <v/>
      </c>
      <c r="AD168">
        <f>Scenario_Data!W168</f>
        <v/>
      </c>
      <c r="AE168">
        <f>2*((Scenario_Data!E168*1000)-(IF(OR(Inputs!$C$27=TRUE,Inputs!$C$27="TRUE",Inputs!$C$27=1),1,0)*(Inputs!$C$51*(115*EXP(-(((0)-25)^2)/(4.5^2))+70*EXP(-(((0)+38)^2)/(7^2))*(0.55+0.45*SIN(2*PI()*(Scenario_Data!W168)/45))+24*SIN(2*PI()*(0)/9+(Scenario_Data!W168)/18)*EXP(-(((0)+5)^2)/(22^2))+18*SIN(2*PI()*(Scenario_Data!W168)/70))+Inputs!$C$28*EXP(-(((Scenario_Data!W168)-Inputs!$C$29)^2)/(2*Inputs!$C$31^2))*EXP(-(((0)-Inputs!$C$30)^2)/(2*Inputs!$C$32^2))+-Inputs!$C$33*EXP(-(((((Scenario_Data!W168)-Inputs!$C$34)^2)+(((0)-Inputs!$C$35)^2))/(2*Inputs!$C$36^2)))+Inputs!$C$37*(0.55*SIN(2*PI()*(Scenario_Data!W168)/Inputs!$C$39)+0.35*COS(2*PI()*(0)/Inputs!$C$40)+0.2*SIN(2*PI()*((Scenario_Data!W168)+(0))/(0.5*(Inputs!$C$39+Inputs!$C$40))))+Inputs!$C$38*SIN(2*PI()*(Scenario_Data!W168)/Inputs!$C$39)*SIN(2*PI()*(0)/Inputs!$C$40)+-Inputs!$C$41*EXP(-(((0)-Inputs!$C$43)^2)/(2*Inputs!$C$44^2))*EXP(-(((Scenario_Data!W168)-Inputs!$C$42)^2)/(2*Inputs!$C$45^2))+Inputs!$C$48*(0.7*(0.45*SIN(2*PI()*(((Scenario_Data!W168)/Inputs!$C$49)+Inputs!$C$47*0.137))+0.35*COS(2*PI()*(((0)/Inputs!$C$50)+Inputs!$C$47*0.173))+0.2*SIN(2*PI()*((((Scenario_Data!W168)+(0))/(0.5*(Inputs!$C$49+Inputs!$C$50)))+Inputs!$C$47*0.097)))+0.3*(2*((SIN(((Scenario_Data!W168)*12.9898+(0)*78.233+Inputs!$C$47*37.719))*43758.5453)-INT((SIN(((Scenario_Data!W168)*12.9898+(0)*78.233+Inputs!$C$47*37.719))*43758.5453)))-1)))))/Inputs!$C$21*1000000</f>
        <v/>
      </c>
      <c r="AG168">
        <f>Scenario_Data!T168</f>
        <v/>
      </c>
      <c r="AH168">
        <f>2*(SQRT((Inputs!$C$52+(Scenario_Data!B168))^2+Inputs!$C$52^2-2*(Inputs!$C$52+(Scenario_Data!B168))*Inputs!$C$52*COS(SQRT((Scenario_Data!T168)^2+Inputs!$C$6^2)/Inputs!$C$52))*1000)/Inputs!$C$21*1000000</f>
        <v/>
      </c>
      <c r="AI168">
        <f>Scenario_Data!U168</f>
        <v/>
      </c>
      <c r="AJ168">
        <f>2*(SQRT((Inputs!$C$52+(Scenario_Data!C168))^2+Inputs!$C$52^2-2*(Inputs!$C$52+(Scenario_Data!C168))*Inputs!$C$52*COS(SQRT((Scenario_Data!U168)^2+Inputs!$C$6^2)/Inputs!$C$52))*1000)/Inputs!$C$21*1000000</f>
        <v/>
      </c>
      <c r="AK168">
        <f>Scenario_Data!V168</f>
        <v/>
      </c>
      <c r="AL168">
        <f>2*(SQRT((Inputs!$C$52+(Scenario_Data!D168))^2+Inputs!$C$52^2-2*(Inputs!$C$52+(Scenario_Data!D168))*Inputs!$C$52*COS(SQRT((Scenario_Data!V168)^2+Inputs!$C$6^2)/Inputs!$C$52))*1000)/Inputs!$C$21*1000000</f>
        <v/>
      </c>
      <c r="AM168">
        <f>Scenario_Data!W168</f>
        <v/>
      </c>
      <c r="AN168">
        <f>2*(SQRT((Inputs!$C$52+(Scenario_Data!E168))^2+Inputs!$C$52^2-2*(Inputs!$C$52+(Scenario_Data!E168))*Inputs!$C$52*COS(SQRT((Scenario_Data!W168)^2+Inputs!$C$6^2)/Inputs!$C$52))*1000)/Inputs!$C$21*1000000</f>
        <v/>
      </c>
      <c r="AP168">
        <f>Scenario_Data!T168</f>
        <v/>
      </c>
      <c r="AQ168">
        <f>2*(SQRT((Inputs!$C$52+(Scenario_Data!B168))^2+(Inputs!$C$52+((IF(OR(Inputs!$C$27=TRUE,Inputs!$C$27="TRUE",Inputs!$C$27=1),1,0)*(Inputs!$C$51*(115*EXP(-(((Inputs!$C$6)-25)^2)/(4.5^2))+70*EXP(-(((Inputs!$C$6)+38)^2)/(7^2))*(0.55+0.45*SIN(2*PI()*(Scenario_Data!T168)/45))+24*SIN(2*PI()*(Inputs!$C$6)/9+(Scenario_Data!T168)/18)*EXP(-(((Inputs!$C$6)+5)^2)/(22^2))+18*SIN(2*PI()*(Scenario_Data!T168)/70))+Inputs!$C$28*EXP(-(((Scenario_Data!T168)-Inputs!$C$29)^2)/(2*Inputs!$C$31^2))*EXP(-(((Inputs!$C$6)-Inputs!$C$30)^2)/(2*Inputs!$C$32^2))+-Inputs!$C$33*EXP(-(((((Scenario_Data!T168)-Inputs!$C$34)^2)+(((Inputs!$C$6)-Inputs!$C$35)^2))/(2*Inputs!$C$36^2)))+Inputs!$C$37*(0.55*SIN(2*PI()*(Scenario_Data!T168)/Inputs!$C$39)+0.35*COS(2*PI()*(Inputs!$C$6)/Inputs!$C$40)+0.2*SIN(2*PI()*((Scenario_Data!T168)+(Inputs!$C$6))/(0.5*(Inputs!$C$39+Inputs!$C$40))))+Inputs!$C$38*SIN(2*PI()*(Scenario_Data!T168)/Inputs!$C$39)*SIN(2*PI()*(Inputs!$C$6)/Inputs!$C$40)+-Inputs!$C$41*EXP(-(((Inputs!$C$6)-Inputs!$C$43)^2)/(2*Inputs!$C$44^2))*EXP(-(((Scenario_Data!T168)-Inputs!$C$42)^2)/(2*Inputs!$C$45^2))+Inputs!$C$48*(0.7*(0.45*SIN(2*PI()*(((Scenario_Data!T168)/Inputs!$C$49)+Inputs!$C$47*0.137))+0.35*COS(2*PI()*(((Inputs!$C$6)/Inputs!$C$50)+Inputs!$C$47*0.173))+0.2*SIN(2*PI()*((((Scenario_Data!T168)+(Inputs!$C$6))/(0.5*(Inputs!$C$49+Inputs!$C$50)))+Inputs!$C$47*0.097)))+0.3*(2*((SIN(((Scenario_Data!T168)*12.9898+(Inputs!$C$6)*78.233+Inputs!$C$47*37.719))*43758.5453)-INT((SIN(((Scenario_Data!T168)*12.9898+(Inputs!$C$6)*78.233+Inputs!$C$47*37.719))*43758.5453)))-1))))/1000))^2-2*(Inputs!$C$52+(Scenario_Data!B168))*(Inputs!$C$52+((IF(OR(Inputs!$C$27=TRUE,Inputs!$C$27="TRUE",Inputs!$C$27=1),1,0)*(Inputs!$C$51*(115*EXP(-(((Inputs!$C$6)-25)^2)/(4.5^2))+70*EXP(-(((Inputs!$C$6)+38)^2)/(7^2))*(0.55+0.45*SIN(2*PI()*(Scenario_Data!T168)/45))+24*SIN(2*PI()*(Inputs!$C$6)/9+(Scenario_Data!T168)/18)*EXP(-(((Inputs!$C$6)+5)^2)/(22^2))+18*SIN(2*PI()*(Scenario_Data!T168)/70))+Inputs!$C$28*EXP(-(((Scenario_Data!T168)-Inputs!$C$29)^2)/(2*Inputs!$C$31^2))*EXP(-(((Inputs!$C$6)-Inputs!$C$30)^2)/(2*Inputs!$C$32^2))+-Inputs!$C$33*EXP(-(((((Scenario_Data!T168)-Inputs!$C$34)^2)+(((Inputs!$C$6)-Inputs!$C$35)^2))/(2*Inputs!$C$36^2)))+Inputs!$C$37*(0.55*SIN(2*PI()*(Scenario_Data!T168)/Inputs!$C$39)+0.35*COS(2*PI()*(Inputs!$C$6)/Inputs!$C$40)+0.2*SIN(2*PI()*((Scenario_Data!T168)+(Inputs!$C$6))/(0.5*(Inputs!$C$39+Inputs!$C$40))))+Inputs!$C$38*SIN(2*PI()*(Scenario_Data!T168)/Inputs!$C$39)*SIN(2*PI()*(Inputs!$C$6)/Inputs!$C$40)+-Inputs!$C$41*EXP(-(((Inputs!$C$6)-Inputs!$C$43)^2)/(2*Inputs!$C$44^2))*EXP(-(((Scenario_Data!T168)-Inputs!$C$42)^2)/(2*Inputs!$C$45^2))+Inputs!$C$48*(0.7*(0.45*SIN(2*PI()*(((Scenario_Data!T168)/Inputs!$C$49)+Inputs!$C$47*0.137))+0.35*COS(2*PI()*(((Inputs!$C$6)/Inputs!$C$50)+Inputs!$C$47*0.173))+0.2*SIN(2*PI()*((((Scenario_Data!T168)+(Inputs!$C$6))/(0.5*(Inputs!$C$49+Inputs!$C$50)))+Inputs!$C$47*0.097)))+0.3*(2*((SIN(((Scenario_Data!T168)*12.9898+(Inputs!$C$6)*78.233+Inputs!$C$47*37.719))*43758.5453)-INT((SIN(((Scenario_Data!T168)*12.9898+(Inputs!$C$6)*78.233+Inputs!$C$47*37.719))*43758.5453)))-1))))/1000))*COS(SQRT((Scenario_Data!T168)^2+Inputs!$C$6^2)/Inputs!$C$52))*1000)/Inputs!$C$21*1000000</f>
        <v/>
      </c>
      <c r="AR168">
        <f>Scenario_Data!U168</f>
        <v/>
      </c>
      <c r="AS168">
        <f>2*(SQRT((Inputs!$C$52+(Scenario_Data!C168))^2+(Inputs!$C$52+((IF(OR(Inputs!$C$27=TRUE,Inputs!$C$27="TRUE",Inputs!$C$27=1),1,0)*(Inputs!$C$51*(115*EXP(-(((Inputs!$C$6)-25)^2)/(4.5^2))+70*EXP(-(((Inputs!$C$6)+38)^2)/(7^2))*(0.55+0.45*SIN(2*PI()*(Scenario_Data!U168)/45))+24*SIN(2*PI()*(Inputs!$C$6)/9+(Scenario_Data!U168)/18)*EXP(-(((Inputs!$C$6)+5)^2)/(22^2))+18*SIN(2*PI()*(Scenario_Data!U168)/70))+Inputs!$C$28*EXP(-(((Scenario_Data!U168)-Inputs!$C$29)^2)/(2*Inputs!$C$31^2))*EXP(-(((Inputs!$C$6)-Inputs!$C$30)^2)/(2*Inputs!$C$32^2))+-Inputs!$C$33*EXP(-(((((Scenario_Data!U168)-Inputs!$C$34)^2)+(((Inputs!$C$6)-Inputs!$C$35)^2))/(2*Inputs!$C$36^2)))+Inputs!$C$37*(0.55*SIN(2*PI()*(Scenario_Data!U168)/Inputs!$C$39)+0.35*COS(2*PI()*(Inputs!$C$6)/Inputs!$C$40)+0.2*SIN(2*PI()*((Scenario_Data!U168)+(Inputs!$C$6))/(0.5*(Inputs!$C$39+Inputs!$C$40))))+Inputs!$C$38*SIN(2*PI()*(Scenario_Data!U168)/Inputs!$C$39)*SIN(2*PI()*(Inputs!$C$6)/Inputs!$C$40)+-Inputs!$C$41*EXP(-(((Inputs!$C$6)-Inputs!$C$43)^2)/(2*Inputs!$C$44^2))*EXP(-(((Scenario_Data!U168)-Inputs!$C$42)^2)/(2*Inputs!$C$45^2))+Inputs!$C$48*(0.7*(0.45*SIN(2*PI()*(((Scenario_Data!U168)/Inputs!$C$49)+Inputs!$C$47*0.137))+0.35*COS(2*PI()*(((Inputs!$C$6)/Inputs!$C$50)+Inputs!$C$47*0.173))+0.2*SIN(2*PI()*((((Scenario_Data!U168)+(Inputs!$C$6))/(0.5*(Inputs!$C$49+Inputs!$C$50)))+Inputs!$C$47*0.097)))+0.3*(2*((SIN(((Scenario_Data!U168)*12.9898+(Inputs!$C$6)*78.233+Inputs!$C$47*37.719))*43758.5453)-INT((SIN(((Scenario_Data!U168)*12.9898+(Inputs!$C$6)*78.233+Inputs!$C$47*37.719))*43758.5453)))-1))))/1000))^2-2*(Inputs!$C$52+(Scenario_Data!C168))*(Inputs!$C$52+((IF(OR(Inputs!$C$27=TRUE,Inputs!$C$27="TRUE",Inputs!$C$27=1),1,0)*(Inputs!$C$51*(115*EXP(-(((Inputs!$C$6)-25)^2)/(4.5^2))+70*EXP(-(((Inputs!$C$6)+38)^2)/(7^2))*(0.55+0.45*SIN(2*PI()*(Scenario_Data!U168)/45))+24*SIN(2*PI()*(Inputs!$C$6)/9+(Scenario_Data!U168)/18)*EXP(-(((Inputs!$C$6)+5)^2)/(22^2))+18*SIN(2*PI()*(Scenario_Data!U168)/70))+Inputs!$C$28*EXP(-(((Scenario_Data!U168)-Inputs!$C$29)^2)/(2*Inputs!$C$31^2))*EXP(-(((Inputs!$C$6)-Inputs!$C$30)^2)/(2*Inputs!$C$32^2))+-Inputs!$C$33*EXP(-(((((Scenario_Data!U168)-Inputs!$C$34)^2)+(((Inputs!$C$6)-Inputs!$C$35)^2))/(2*Inputs!$C$36^2)))+Inputs!$C$37*(0.55*SIN(2*PI()*(Scenario_Data!U168)/Inputs!$C$39)+0.35*COS(2*PI()*(Inputs!$C$6)/Inputs!$C$40)+0.2*SIN(2*PI()*((Scenario_Data!U168)+(Inputs!$C$6))/(0.5*(Inputs!$C$39+Inputs!$C$40))))+Inputs!$C$38*SIN(2*PI()*(Scenario_Data!U168)/Inputs!$C$39)*SIN(2*PI()*(Inputs!$C$6)/Inputs!$C$40)+-Inputs!$C$41*EXP(-(((Inputs!$C$6)-Inputs!$C$43)^2)/(2*Inputs!$C$44^2))*EXP(-(((Scenario_Data!U168)-Inputs!$C$42)^2)/(2*Inputs!$C$45^2))+Inputs!$C$48*(0.7*(0.45*SIN(2*PI()*(((Scenario_Data!U168)/Inputs!$C$49)+Inputs!$C$47*0.137))+0.35*COS(2*PI()*(((Inputs!$C$6)/Inputs!$C$50)+Inputs!$C$47*0.173))+0.2*SIN(2*PI()*((((Scenario_Data!U168)+(Inputs!$C$6))/(0.5*(Inputs!$C$49+Inputs!$C$50)))+Inputs!$C$47*0.097)))+0.3*(2*((SIN(((Scenario_Data!U168)*12.9898+(Inputs!$C$6)*78.233+Inputs!$C$47*37.719))*43758.5453)-INT((SIN(((Scenario_Data!U168)*12.9898+(Inputs!$C$6)*78.233+Inputs!$C$47*37.719))*43758.5453)))-1))))/1000))*COS(SQRT((Scenario_Data!U168)^2+Inputs!$C$6^2)/Inputs!$C$52))*1000)/Inputs!$C$21*1000000</f>
        <v/>
      </c>
      <c r="AT168">
        <f>Scenario_Data!V168</f>
        <v/>
      </c>
      <c r="AU168">
        <f>2*(SQRT((Inputs!$C$52+(Scenario_Data!D168))^2+(Inputs!$C$52+((IF(OR(Inputs!$C$27=TRUE,Inputs!$C$27="TRUE",Inputs!$C$27=1),1,0)*(Inputs!$C$51*(115*EXP(-(((Inputs!$C$6)-25)^2)/(4.5^2))+70*EXP(-(((Inputs!$C$6)+38)^2)/(7^2))*(0.55+0.45*SIN(2*PI()*(Scenario_Data!V168)/45))+24*SIN(2*PI()*(Inputs!$C$6)/9+(Scenario_Data!V168)/18)*EXP(-(((Inputs!$C$6)+5)^2)/(22^2))+18*SIN(2*PI()*(Scenario_Data!V168)/70))+Inputs!$C$28*EXP(-(((Scenario_Data!V168)-Inputs!$C$29)^2)/(2*Inputs!$C$31^2))*EXP(-(((Inputs!$C$6)-Inputs!$C$30)^2)/(2*Inputs!$C$32^2))+-Inputs!$C$33*EXP(-(((((Scenario_Data!V168)-Inputs!$C$34)^2)+(((Inputs!$C$6)-Inputs!$C$35)^2))/(2*Inputs!$C$36^2)))+Inputs!$C$37*(0.55*SIN(2*PI()*(Scenario_Data!V168)/Inputs!$C$39)+0.35*COS(2*PI()*(Inputs!$C$6)/Inputs!$C$40)+0.2*SIN(2*PI()*((Scenario_Data!V168)+(Inputs!$C$6))/(0.5*(Inputs!$C$39+Inputs!$C$40))))+Inputs!$C$38*SIN(2*PI()*(Scenario_Data!V168)/Inputs!$C$39)*SIN(2*PI()*(Inputs!$C$6)/Inputs!$C$40)+-Inputs!$C$41*EXP(-(((Inputs!$C$6)-Inputs!$C$43)^2)/(2*Inputs!$C$44^2))*EXP(-(((Scenario_Data!V168)-Inputs!$C$42)^2)/(2*Inputs!$C$45^2))+Inputs!$C$48*(0.7*(0.45*SIN(2*PI()*(((Scenario_Data!V168)/Inputs!$C$49)+Inputs!$C$47*0.137))+0.35*COS(2*PI()*(((Inputs!$C$6)/Inputs!$C$50)+Inputs!$C$47*0.173))+0.2*SIN(2*PI()*((((Scenario_Data!V168)+(Inputs!$C$6))/(0.5*(Inputs!$C$49+Inputs!$C$50)))+Inputs!$C$47*0.097)))+0.3*(2*((SIN(((Scenario_Data!V168)*12.9898+(Inputs!$C$6)*78.233+Inputs!$C$47*37.719))*43758.5453)-INT((SIN(((Scenario_Data!V168)*12.9898+(Inputs!$C$6)*78.233+Inputs!$C$47*37.719))*43758.5453)))-1))))/1000))^2-2*(Inputs!$C$52+(Scenario_Data!D168))*(Inputs!$C$52+((IF(OR(Inputs!$C$27=TRUE,Inputs!$C$27="TRUE",Inputs!$C$27=1),1,0)*(Inputs!$C$51*(115*EXP(-(((Inputs!$C$6)-25)^2)/(4.5^2))+70*EXP(-(((Inputs!$C$6)+38)^2)/(7^2))*(0.55+0.45*SIN(2*PI()*(Scenario_Data!V168)/45))+24*SIN(2*PI()*(Inputs!$C$6)/9+(Scenario_Data!V168)/18)*EXP(-(((Inputs!$C$6)+5)^2)/(22^2))+18*SIN(2*PI()*(Scenario_Data!V168)/70))+Inputs!$C$28*EXP(-(((Scenario_Data!V168)-Inputs!$C$29)^2)/(2*Inputs!$C$31^2))*EXP(-(((Inputs!$C$6)-Inputs!$C$30)^2)/(2*Inputs!$C$32^2))+-Inputs!$C$33*EXP(-(((((Scenario_Data!V168)-Inputs!$C$34)^2)+(((Inputs!$C$6)-Inputs!$C$35)^2))/(2*Inputs!$C$36^2)))+Inputs!$C$37*(0.55*SIN(2*PI()*(Scenario_Data!V168)/Inputs!$C$39)+0.35*COS(2*PI()*(Inputs!$C$6)/Inputs!$C$40)+0.2*SIN(2*PI()*((Scenario_Data!V168)+(Inputs!$C$6))/(0.5*(Inputs!$C$39+Inputs!$C$40))))+Inputs!$C$38*SIN(2*PI()*(Scenario_Data!V168)/Inputs!$C$39)*SIN(2*PI()*(Inputs!$C$6)/Inputs!$C$40)+-Inputs!$C$41*EXP(-(((Inputs!$C$6)-Inputs!$C$43)^2)/(2*Inputs!$C$44^2))*EXP(-(((Scenario_Data!V168)-Inputs!$C$42)^2)/(2*Inputs!$C$45^2))+Inputs!$C$48*(0.7*(0.45*SIN(2*PI()*(((Scenario_Data!V168)/Inputs!$C$49)+Inputs!$C$47*0.137))+0.35*COS(2*PI()*(((Inputs!$C$6)/Inputs!$C$50)+Inputs!$C$47*0.173))+0.2*SIN(2*PI()*((((Scenario_Data!V168)+(Inputs!$C$6))/(0.5*(Inputs!$C$49+Inputs!$C$50)))+Inputs!$C$47*0.097)))+0.3*(2*((SIN(((Scenario_Data!V168)*12.9898+(Inputs!$C$6)*78.233+Inputs!$C$47*37.719))*43758.5453)-INT((SIN(((Scenario_Data!V168)*12.9898+(Inputs!$C$6)*78.233+Inputs!$C$47*37.719))*43758.5453)))-1))))/1000))*COS(SQRT((Scenario_Data!V168)^2+Inputs!$C$6^2)/Inputs!$C$52))*1000)/Inputs!$C$21*1000000</f>
        <v/>
      </c>
      <c r="AV168">
        <f>Scenario_Data!W168</f>
        <v/>
      </c>
      <c r="AW168">
        <f>2*(SQRT((Inputs!$C$52+(Scenario_Data!E168))^2+(Inputs!$C$52+((IF(OR(Inputs!$C$27=TRUE,Inputs!$C$27="TRUE",Inputs!$C$27=1),1,0)*(Inputs!$C$51*(115*EXP(-(((Inputs!$C$6)-25)^2)/(4.5^2))+70*EXP(-(((Inputs!$C$6)+38)^2)/(7^2))*(0.55+0.45*SIN(2*PI()*(Scenario_Data!W168)/45))+24*SIN(2*PI()*(Inputs!$C$6)/9+(Scenario_Data!W168)/18)*EXP(-(((Inputs!$C$6)+5)^2)/(22^2))+18*SIN(2*PI()*(Scenario_Data!W168)/70))+Inputs!$C$28*EXP(-(((Scenario_Data!W168)-Inputs!$C$29)^2)/(2*Inputs!$C$31^2))*EXP(-(((Inputs!$C$6)-Inputs!$C$30)^2)/(2*Inputs!$C$32^2))+-Inputs!$C$33*EXP(-(((((Scenario_Data!W168)-Inputs!$C$34)^2)+(((Inputs!$C$6)-Inputs!$C$35)^2))/(2*Inputs!$C$36^2)))+Inputs!$C$37*(0.55*SIN(2*PI()*(Scenario_Data!W168)/Inputs!$C$39)+0.35*COS(2*PI()*(Inputs!$C$6)/Inputs!$C$40)+0.2*SIN(2*PI()*((Scenario_Data!W168)+(Inputs!$C$6))/(0.5*(Inputs!$C$39+Inputs!$C$40))))+Inputs!$C$38*SIN(2*PI()*(Scenario_Data!W168)/Inputs!$C$39)*SIN(2*PI()*(Inputs!$C$6)/Inputs!$C$40)+-Inputs!$C$41*EXP(-(((Inputs!$C$6)-Inputs!$C$43)^2)/(2*Inputs!$C$44^2))*EXP(-(((Scenario_Data!W168)-Inputs!$C$42)^2)/(2*Inputs!$C$45^2))+Inputs!$C$48*(0.7*(0.45*SIN(2*PI()*(((Scenario_Data!W168)/Inputs!$C$49)+Inputs!$C$47*0.137))+0.35*COS(2*PI()*(((Inputs!$C$6)/Inputs!$C$50)+Inputs!$C$47*0.173))+0.2*SIN(2*PI()*((((Scenario_Data!W168)+(Inputs!$C$6))/(0.5*(Inputs!$C$49+Inputs!$C$50)))+Inputs!$C$47*0.097)))+0.3*(2*((SIN(((Scenario_Data!W168)*12.9898+(Inputs!$C$6)*78.233+Inputs!$C$47*37.719))*43758.5453)-INT((SIN(((Scenario_Data!W168)*12.9898+(Inputs!$C$6)*78.233+Inputs!$C$47*37.719))*43758.5453)))-1))))/1000))^2-2*(Inputs!$C$52+(Scenario_Data!E168))*(Inputs!$C$52+((IF(OR(Inputs!$C$27=TRUE,Inputs!$C$27="TRUE",Inputs!$C$27=1),1,0)*(Inputs!$C$51*(115*EXP(-(((Inputs!$C$6)-25)^2)/(4.5^2))+70*EXP(-(((Inputs!$C$6)+38)^2)/(7^2))*(0.55+0.45*SIN(2*PI()*(Scenario_Data!W168)/45))+24*SIN(2*PI()*(Inputs!$C$6)/9+(Scenario_Data!W168)/18)*EXP(-(((Inputs!$C$6)+5)^2)/(22^2))+18*SIN(2*PI()*(Scenario_Data!W168)/70))+Inputs!$C$28*EXP(-(((Scenario_Data!W168)-Inputs!$C$29)^2)/(2*Inputs!$C$31^2))*EXP(-(((Inputs!$C$6)-Inputs!$C$30)^2)/(2*Inputs!$C$32^2))+-Inputs!$C$33*EXP(-(((((Scenario_Data!W168)-Inputs!$C$34)^2)+(((Inputs!$C$6)-Inputs!$C$35)^2))/(2*Inputs!$C$36^2)))+Inputs!$C$37*(0.55*SIN(2*PI()*(Scenario_Data!W168)/Inputs!$C$39)+0.35*COS(2*PI()*(Inputs!$C$6)/Inputs!$C$40)+0.2*SIN(2*PI()*((Scenario_Data!W168)+(Inputs!$C$6))/(0.5*(Inputs!$C$39+Inputs!$C$40))))+Inputs!$C$38*SIN(2*PI()*(Scenario_Data!W168)/Inputs!$C$39)*SIN(2*PI()*(Inputs!$C$6)/Inputs!$C$40)+-Inputs!$C$41*EXP(-(((Inputs!$C$6)-Inputs!$C$43)^2)/(2*Inputs!$C$44^2))*EXP(-(((Scenario_Data!W168)-Inputs!$C$42)^2)/(2*Inputs!$C$45^2))+Inputs!$C$48*(0.7*(0.45*SIN(2*PI()*(((Scenario_Data!W168)/Inputs!$C$49)+Inputs!$C$47*0.137))+0.35*COS(2*PI()*(((Inputs!$C$6)/Inputs!$C$50)+Inputs!$C$47*0.173))+0.2*SIN(2*PI()*((((Scenario_Data!W168)+(Inputs!$C$6))/(0.5*(Inputs!$C$49+Inputs!$C$50)))+Inputs!$C$47*0.097)))+0.3*(2*((SIN(((Scenario_Data!W168)*12.9898+(Inputs!$C$6)*78.233+Inputs!$C$47*37.719))*43758.5453)-INT((SIN(((Scenario_Data!W168)*12.9898+(Inputs!$C$6)*78.233+Inputs!$C$47*37.719))*43758.5453)))-1))))/1000))*COS(SQRT((Scenario_Data!W168)^2+Inputs!$C$6^2)/Inputs!$C$52))*1000)/Inputs!$C$21*1000000</f>
        <v/>
      </c>
    </row>
    <row r="169">
      <c r="A169">
        <f>Chart_Data!K169</f>
        <v/>
      </c>
      <c r="B169">
        <f>Chart_Data!N169-Chart_Data!L169</f>
        <v/>
      </c>
      <c r="D169">
        <f>Chart_Data!G169</f>
        <v/>
      </c>
      <c r="E169">
        <f>Chart_Data!H169</f>
        <v/>
      </c>
      <c r="F169">
        <f>Chart_Data!I169</f>
        <v/>
      </c>
      <c r="G169">
        <f>Chart_Data!J169</f>
        <v/>
      </c>
      <c r="I169">
        <f>Scenario_Data!A169</f>
        <v/>
      </c>
      <c r="J169">
        <f>Scenario_Data!H169-(((SQRT((Inputs!$C$52+(Inputs!$H$6))^2+Inputs!$C$52^2-2*(Inputs!$C$52+(Inputs!$H$6))*Inputs!$C$52*COS(SQRT((Scenario_Data!T169)^2+Inputs!$C$6^2)/Inputs!$C$52)))-(Inputs!$H$6))*1000/Inputs!$C$12)</f>
        <v/>
      </c>
      <c r="K169">
        <f>Scenario_Data!I169-(((SQRT((Inputs!$C$52+(Inputs!$H$7))^2+Inputs!$C$52^2-2*(Inputs!$C$52+(Inputs!$H$7))*Inputs!$C$52*COS(SQRT((Scenario_Data!U169)^2+Inputs!$C$6^2)/Inputs!$C$52)))-(Inputs!$H$7))*1000/Inputs!$C$12)</f>
        <v/>
      </c>
      <c r="L169">
        <f>Scenario_Data!J169-(((SQRT((Inputs!$C$52+(Inputs!$H$8))^2+Inputs!$C$52^2-2*(Inputs!$C$52+(Inputs!$H$8))*Inputs!$C$52*COS(SQRT((Scenario_Data!V169)^2+Inputs!$C$6^2)/Inputs!$C$52)))-(Inputs!$H$8))*1000/Inputs!$C$12)</f>
        <v/>
      </c>
      <c r="M169">
        <f>Scenario_Data!K169-(((SQRT((Inputs!$C$52+(Inputs!$H$9))^2+Inputs!$C$52^2-2*(Inputs!$C$52+(Inputs!$H$9))*Inputs!$C$52*COS(SQRT((Scenario_Data!W169)^2+Inputs!$C$6^2)/Inputs!$C$52)))-(Inputs!$H$9))*1000/Inputs!$C$12)</f>
        <v/>
      </c>
      <c r="O169">
        <f>Scenario_Data!T169</f>
        <v/>
      </c>
      <c r="P169">
        <f>2*(Scenario_Data!B169*1000)/Inputs!$C$21*1000000</f>
        <v/>
      </c>
      <c r="Q169">
        <f>Scenario_Data!U169</f>
        <v/>
      </c>
      <c r="R169">
        <f>2*(Scenario_Data!C169*1000)/Inputs!$C$21*1000000</f>
        <v/>
      </c>
      <c r="S169">
        <f>Scenario_Data!V169</f>
        <v/>
      </c>
      <c r="T169">
        <f>2*(Scenario_Data!D169*1000)/Inputs!$C$21*1000000</f>
        <v/>
      </c>
      <c r="U169">
        <f>Scenario_Data!W169</f>
        <v/>
      </c>
      <c r="V169">
        <f>2*(Scenario_Data!E169*1000)/Inputs!$C$21*1000000</f>
        <v/>
      </c>
      <c r="X169">
        <f>Scenario_Data!T169</f>
        <v/>
      </c>
      <c r="Y169">
        <f>2*((Scenario_Data!B169*1000)-(IF(OR(Inputs!$C$27=TRUE,Inputs!$C$27="TRUE",Inputs!$C$27=1),1,0)*(Inputs!$C$51*(115*EXP(-(((0)-25)^2)/(4.5^2))+70*EXP(-(((0)+38)^2)/(7^2))*(0.55+0.45*SIN(2*PI()*(Scenario_Data!T169)/45))+24*SIN(2*PI()*(0)/9+(Scenario_Data!T169)/18)*EXP(-(((0)+5)^2)/(22^2))+18*SIN(2*PI()*(Scenario_Data!T169)/70))+Inputs!$C$28*EXP(-(((Scenario_Data!T169)-Inputs!$C$29)^2)/(2*Inputs!$C$31^2))*EXP(-(((0)-Inputs!$C$30)^2)/(2*Inputs!$C$32^2))+-Inputs!$C$33*EXP(-(((((Scenario_Data!T169)-Inputs!$C$34)^2)+(((0)-Inputs!$C$35)^2))/(2*Inputs!$C$36^2)))+Inputs!$C$37*(0.55*SIN(2*PI()*(Scenario_Data!T169)/Inputs!$C$39)+0.35*COS(2*PI()*(0)/Inputs!$C$40)+0.2*SIN(2*PI()*((Scenario_Data!T169)+(0))/(0.5*(Inputs!$C$39+Inputs!$C$40))))+Inputs!$C$38*SIN(2*PI()*(Scenario_Data!T169)/Inputs!$C$39)*SIN(2*PI()*(0)/Inputs!$C$40)+-Inputs!$C$41*EXP(-(((0)-Inputs!$C$43)^2)/(2*Inputs!$C$44^2))*EXP(-(((Scenario_Data!T169)-Inputs!$C$42)^2)/(2*Inputs!$C$45^2))+Inputs!$C$48*(0.7*(0.45*SIN(2*PI()*(((Scenario_Data!T169)/Inputs!$C$49)+Inputs!$C$47*0.137))+0.35*COS(2*PI()*(((0)/Inputs!$C$50)+Inputs!$C$47*0.173))+0.2*SIN(2*PI()*((((Scenario_Data!T169)+(0))/(0.5*(Inputs!$C$49+Inputs!$C$50)))+Inputs!$C$47*0.097)))+0.3*(2*((SIN(((Scenario_Data!T169)*12.9898+(0)*78.233+Inputs!$C$47*37.719))*43758.5453)-INT((SIN(((Scenario_Data!T169)*12.9898+(0)*78.233+Inputs!$C$47*37.719))*43758.5453)))-1)))))/Inputs!$C$21*1000000</f>
        <v/>
      </c>
      <c r="Z169">
        <f>Scenario_Data!U169</f>
        <v/>
      </c>
      <c r="AA169">
        <f>2*((Scenario_Data!C169*1000)-(IF(OR(Inputs!$C$27=TRUE,Inputs!$C$27="TRUE",Inputs!$C$27=1),1,0)*(Inputs!$C$51*(115*EXP(-(((0)-25)^2)/(4.5^2))+70*EXP(-(((0)+38)^2)/(7^2))*(0.55+0.45*SIN(2*PI()*(Scenario_Data!U169)/45))+24*SIN(2*PI()*(0)/9+(Scenario_Data!U169)/18)*EXP(-(((0)+5)^2)/(22^2))+18*SIN(2*PI()*(Scenario_Data!U169)/70))+Inputs!$C$28*EXP(-(((Scenario_Data!U169)-Inputs!$C$29)^2)/(2*Inputs!$C$31^2))*EXP(-(((0)-Inputs!$C$30)^2)/(2*Inputs!$C$32^2))+-Inputs!$C$33*EXP(-(((((Scenario_Data!U169)-Inputs!$C$34)^2)+(((0)-Inputs!$C$35)^2))/(2*Inputs!$C$36^2)))+Inputs!$C$37*(0.55*SIN(2*PI()*(Scenario_Data!U169)/Inputs!$C$39)+0.35*COS(2*PI()*(0)/Inputs!$C$40)+0.2*SIN(2*PI()*((Scenario_Data!U169)+(0))/(0.5*(Inputs!$C$39+Inputs!$C$40))))+Inputs!$C$38*SIN(2*PI()*(Scenario_Data!U169)/Inputs!$C$39)*SIN(2*PI()*(0)/Inputs!$C$40)+-Inputs!$C$41*EXP(-(((0)-Inputs!$C$43)^2)/(2*Inputs!$C$44^2))*EXP(-(((Scenario_Data!U169)-Inputs!$C$42)^2)/(2*Inputs!$C$45^2))+Inputs!$C$48*(0.7*(0.45*SIN(2*PI()*(((Scenario_Data!U169)/Inputs!$C$49)+Inputs!$C$47*0.137))+0.35*COS(2*PI()*(((0)/Inputs!$C$50)+Inputs!$C$47*0.173))+0.2*SIN(2*PI()*((((Scenario_Data!U169)+(0))/(0.5*(Inputs!$C$49+Inputs!$C$50)))+Inputs!$C$47*0.097)))+0.3*(2*((SIN(((Scenario_Data!U169)*12.9898+(0)*78.233+Inputs!$C$47*37.719))*43758.5453)-INT((SIN(((Scenario_Data!U169)*12.9898+(0)*78.233+Inputs!$C$47*37.719))*43758.5453)))-1)))))/Inputs!$C$21*1000000</f>
        <v/>
      </c>
      <c r="AB169">
        <f>Scenario_Data!V169</f>
        <v/>
      </c>
      <c r="AC169">
        <f>2*((Scenario_Data!D169*1000)-(IF(OR(Inputs!$C$27=TRUE,Inputs!$C$27="TRUE",Inputs!$C$27=1),1,0)*(Inputs!$C$51*(115*EXP(-(((0)-25)^2)/(4.5^2))+70*EXP(-(((0)+38)^2)/(7^2))*(0.55+0.45*SIN(2*PI()*(Scenario_Data!V169)/45))+24*SIN(2*PI()*(0)/9+(Scenario_Data!V169)/18)*EXP(-(((0)+5)^2)/(22^2))+18*SIN(2*PI()*(Scenario_Data!V169)/70))+Inputs!$C$28*EXP(-(((Scenario_Data!V169)-Inputs!$C$29)^2)/(2*Inputs!$C$31^2))*EXP(-(((0)-Inputs!$C$30)^2)/(2*Inputs!$C$32^2))+-Inputs!$C$33*EXP(-(((((Scenario_Data!V169)-Inputs!$C$34)^2)+(((0)-Inputs!$C$35)^2))/(2*Inputs!$C$36^2)))+Inputs!$C$37*(0.55*SIN(2*PI()*(Scenario_Data!V169)/Inputs!$C$39)+0.35*COS(2*PI()*(0)/Inputs!$C$40)+0.2*SIN(2*PI()*((Scenario_Data!V169)+(0))/(0.5*(Inputs!$C$39+Inputs!$C$40))))+Inputs!$C$38*SIN(2*PI()*(Scenario_Data!V169)/Inputs!$C$39)*SIN(2*PI()*(0)/Inputs!$C$40)+-Inputs!$C$41*EXP(-(((0)-Inputs!$C$43)^2)/(2*Inputs!$C$44^2))*EXP(-(((Scenario_Data!V169)-Inputs!$C$42)^2)/(2*Inputs!$C$45^2))+Inputs!$C$48*(0.7*(0.45*SIN(2*PI()*(((Scenario_Data!V169)/Inputs!$C$49)+Inputs!$C$47*0.137))+0.35*COS(2*PI()*(((0)/Inputs!$C$50)+Inputs!$C$47*0.173))+0.2*SIN(2*PI()*((((Scenario_Data!V169)+(0))/(0.5*(Inputs!$C$49+Inputs!$C$50)))+Inputs!$C$47*0.097)))+0.3*(2*((SIN(((Scenario_Data!V169)*12.9898+(0)*78.233+Inputs!$C$47*37.719))*43758.5453)-INT((SIN(((Scenario_Data!V169)*12.9898+(0)*78.233+Inputs!$C$47*37.719))*43758.5453)))-1)))))/Inputs!$C$21*1000000</f>
        <v/>
      </c>
      <c r="AD169">
        <f>Scenario_Data!W169</f>
        <v/>
      </c>
      <c r="AE169">
        <f>2*((Scenario_Data!E169*1000)-(IF(OR(Inputs!$C$27=TRUE,Inputs!$C$27="TRUE",Inputs!$C$27=1),1,0)*(Inputs!$C$51*(115*EXP(-(((0)-25)^2)/(4.5^2))+70*EXP(-(((0)+38)^2)/(7^2))*(0.55+0.45*SIN(2*PI()*(Scenario_Data!W169)/45))+24*SIN(2*PI()*(0)/9+(Scenario_Data!W169)/18)*EXP(-(((0)+5)^2)/(22^2))+18*SIN(2*PI()*(Scenario_Data!W169)/70))+Inputs!$C$28*EXP(-(((Scenario_Data!W169)-Inputs!$C$29)^2)/(2*Inputs!$C$31^2))*EXP(-(((0)-Inputs!$C$30)^2)/(2*Inputs!$C$32^2))+-Inputs!$C$33*EXP(-(((((Scenario_Data!W169)-Inputs!$C$34)^2)+(((0)-Inputs!$C$35)^2))/(2*Inputs!$C$36^2)))+Inputs!$C$37*(0.55*SIN(2*PI()*(Scenario_Data!W169)/Inputs!$C$39)+0.35*COS(2*PI()*(0)/Inputs!$C$40)+0.2*SIN(2*PI()*((Scenario_Data!W169)+(0))/(0.5*(Inputs!$C$39+Inputs!$C$40))))+Inputs!$C$38*SIN(2*PI()*(Scenario_Data!W169)/Inputs!$C$39)*SIN(2*PI()*(0)/Inputs!$C$40)+-Inputs!$C$41*EXP(-(((0)-Inputs!$C$43)^2)/(2*Inputs!$C$44^2))*EXP(-(((Scenario_Data!W169)-Inputs!$C$42)^2)/(2*Inputs!$C$45^2))+Inputs!$C$48*(0.7*(0.45*SIN(2*PI()*(((Scenario_Data!W169)/Inputs!$C$49)+Inputs!$C$47*0.137))+0.35*COS(2*PI()*(((0)/Inputs!$C$50)+Inputs!$C$47*0.173))+0.2*SIN(2*PI()*((((Scenario_Data!W169)+(0))/(0.5*(Inputs!$C$49+Inputs!$C$50)))+Inputs!$C$47*0.097)))+0.3*(2*((SIN(((Scenario_Data!W169)*12.9898+(0)*78.233+Inputs!$C$47*37.719))*43758.5453)-INT((SIN(((Scenario_Data!W169)*12.9898+(0)*78.233+Inputs!$C$47*37.719))*43758.5453)))-1)))))/Inputs!$C$21*1000000</f>
        <v/>
      </c>
      <c r="AG169">
        <f>Scenario_Data!T169</f>
        <v/>
      </c>
      <c r="AH169">
        <f>2*(SQRT((Inputs!$C$52+(Scenario_Data!B169))^2+Inputs!$C$52^2-2*(Inputs!$C$52+(Scenario_Data!B169))*Inputs!$C$52*COS(SQRT((Scenario_Data!T169)^2+Inputs!$C$6^2)/Inputs!$C$52))*1000)/Inputs!$C$21*1000000</f>
        <v/>
      </c>
      <c r="AI169">
        <f>Scenario_Data!U169</f>
        <v/>
      </c>
      <c r="AJ169">
        <f>2*(SQRT((Inputs!$C$52+(Scenario_Data!C169))^2+Inputs!$C$52^2-2*(Inputs!$C$52+(Scenario_Data!C169))*Inputs!$C$52*COS(SQRT((Scenario_Data!U169)^2+Inputs!$C$6^2)/Inputs!$C$52))*1000)/Inputs!$C$21*1000000</f>
        <v/>
      </c>
      <c r="AK169">
        <f>Scenario_Data!V169</f>
        <v/>
      </c>
      <c r="AL169">
        <f>2*(SQRT((Inputs!$C$52+(Scenario_Data!D169))^2+Inputs!$C$52^2-2*(Inputs!$C$52+(Scenario_Data!D169))*Inputs!$C$52*COS(SQRT((Scenario_Data!V169)^2+Inputs!$C$6^2)/Inputs!$C$52))*1000)/Inputs!$C$21*1000000</f>
        <v/>
      </c>
      <c r="AM169">
        <f>Scenario_Data!W169</f>
        <v/>
      </c>
      <c r="AN169">
        <f>2*(SQRT((Inputs!$C$52+(Scenario_Data!E169))^2+Inputs!$C$52^2-2*(Inputs!$C$52+(Scenario_Data!E169))*Inputs!$C$52*COS(SQRT((Scenario_Data!W169)^2+Inputs!$C$6^2)/Inputs!$C$52))*1000)/Inputs!$C$21*1000000</f>
        <v/>
      </c>
      <c r="AP169">
        <f>Scenario_Data!T169</f>
        <v/>
      </c>
      <c r="AQ169">
        <f>2*(SQRT((Inputs!$C$52+(Scenario_Data!B169))^2+(Inputs!$C$52+((IF(OR(Inputs!$C$27=TRUE,Inputs!$C$27="TRUE",Inputs!$C$27=1),1,0)*(Inputs!$C$51*(115*EXP(-(((Inputs!$C$6)-25)^2)/(4.5^2))+70*EXP(-(((Inputs!$C$6)+38)^2)/(7^2))*(0.55+0.45*SIN(2*PI()*(Scenario_Data!T169)/45))+24*SIN(2*PI()*(Inputs!$C$6)/9+(Scenario_Data!T169)/18)*EXP(-(((Inputs!$C$6)+5)^2)/(22^2))+18*SIN(2*PI()*(Scenario_Data!T169)/70))+Inputs!$C$28*EXP(-(((Scenario_Data!T169)-Inputs!$C$29)^2)/(2*Inputs!$C$31^2))*EXP(-(((Inputs!$C$6)-Inputs!$C$30)^2)/(2*Inputs!$C$32^2))+-Inputs!$C$33*EXP(-(((((Scenario_Data!T169)-Inputs!$C$34)^2)+(((Inputs!$C$6)-Inputs!$C$35)^2))/(2*Inputs!$C$36^2)))+Inputs!$C$37*(0.55*SIN(2*PI()*(Scenario_Data!T169)/Inputs!$C$39)+0.35*COS(2*PI()*(Inputs!$C$6)/Inputs!$C$40)+0.2*SIN(2*PI()*((Scenario_Data!T169)+(Inputs!$C$6))/(0.5*(Inputs!$C$39+Inputs!$C$40))))+Inputs!$C$38*SIN(2*PI()*(Scenario_Data!T169)/Inputs!$C$39)*SIN(2*PI()*(Inputs!$C$6)/Inputs!$C$40)+-Inputs!$C$41*EXP(-(((Inputs!$C$6)-Inputs!$C$43)^2)/(2*Inputs!$C$44^2))*EXP(-(((Scenario_Data!T169)-Inputs!$C$42)^2)/(2*Inputs!$C$45^2))+Inputs!$C$48*(0.7*(0.45*SIN(2*PI()*(((Scenario_Data!T169)/Inputs!$C$49)+Inputs!$C$47*0.137))+0.35*COS(2*PI()*(((Inputs!$C$6)/Inputs!$C$50)+Inputs!$C$47*0.173))+0.2*SIN(2*PI()*((((Scenario_Data!T169)+(Inputs!$C$6))/(0.5*(Inputs!$C$49+Inputs!$C$50)))+Inputs!$C$47*0.097)))+0.3*(2*((SIN(((Scenario_Data!T169)*12.9898+(Inputs!$C$6)*78.233+Inputs!$C$47*37.719))*43758.5453)-INT((SIN(((Scenario_Data!T169)*12.9898+(Inputs!$C$6)*78.233+Inputs!$C$47*37.719))*43758.5453)))-1))))/1000))^2-2*(Inputs!$C$52+(Scenario_Data!B169))*(Inputs!$C$52+((IF(OR(Inputs!$C$27=TRUE,Inputs!$C$27="TRUE",Inputs!$C$27=1),1,0)*(Inputs!$C$51*(115*EXP(-(((Inputs!$C$6)-25)^2)/(4.5^2))+70*EXP(-(((Inputs!$C$6)+38)^2)/(7^2))*(0.55+0.45*SIN(2*PI()*(Scenario_Data!T169)/45))+24*SIN(2*PI()*(Inputs!$C$6)/9+(Scenario_Data!T169)/18)*EXP(-(((Inputs!$C$6)+5)^2)/(22^2))+18*SIN(2*PI()*(Scenario_Data!T169)/70))+Inputs!$C$28*EXP(-(((Scenario_Data!T169)-Inputs!$C$29)^2)/(2*Inputs!$C$31^2))*EXP(-(((Inputs!$C$6)-Inputs!$C$30)^2)/(2*Inputs!$C$32^2))+-Inputs!$C$33*EXP(-(((((Scenario_Data!T169)-Inputs!$C$34)^2)+(((Inputs!$C$6)-Inputs!$C$35)^2))/(2*Inputs!$C$36^2)))+Inputs!$C$37*(0.55*SIN(2*PI()*(Scenario_Data!T169)/Inputs!$C$39)+0.35*COS(2*PI()*(Inputs!$C$6)/Inputs!$C$40)+0.2*SIN(2*PI()*((Scenario_Data!T169)+(Inputs!$C$6))/(0.5*(Inputs!$C$39+Inputs!$C$40))))+Inputs!$C$38*SIN(2*PI()*(Scenario_Data!T169)/Inputs!$C$39)*SIN(2*PI()*(Inputs!$C$6)/Inputs!$C$40)+-Inputs!$C$41*EXP(-(((Inputs!$C$6)-Inputs!$C$43)^2)/(2*Inputs!$C$44^2))*EXP(-(((Scenario_Data!T169)-Inputs!$C$42)^2)/(2*Inputs!$C$45^2))+Inputs!$C$48*(0.7*(0.45*SIN(2*PI()*(((Scenario_Data!T169)/Inputs!$C$49)+Inputs!$C$47*0.137))+0.35*COS(2*PI()*(((Inputs!$C$6)/Inputs!$C$50)+Inputs!$C$47*0.173))+0.2*SIN(2*PI()*((((Scenario_Data!T169)+(Inputs!$C$6))/(0.5*(Inputs!$C$49+Inputs!$C$50)))+Inputs!$C$47*0.097)))+0.3*(2*((SIN(((Scenario_Data!T169)*12.9898+(Inputs!$C$6)*78.233+Inputs!$C$47*37.719))*43758.5453)-INT((SIN(((Scenario_Data!T169)*12.9898+(Inputs!$C$6)*78.233+Inputs!$C$47*37.719))*43758.5453)))-1))))/1000))*COS(SQRT((Scenario_Data!T169)^2+Inputs!$C$6^2)/Inputs!$C$52))*1000)/Inputs!$C$21*1000000</f>
        <v/>
      </c>
      <c r="AR169">
        <f>Scenario_Data!U169</f>
        <v/>
      </c>
      <c r="AS169">
        <f>2*(SQRT((Inputs!$C$52+(Scenario_Data!C169))^2+(Inputs!$C$52+((IF(OR(Inputs!$C$27=TRUE,Inputs!$C$27="TRUE",Inputs!$C$27=1),1,0)*(Inputs!$C$51*(115*EXP(-(((Inputs!$C$6)-25)^2)/(4.5^2))+70*EXP(-(((Inputs!$C$6)+38)^2)/(7^2))*(0.55+0.45*SIN(2*PI()*(Scenario_Data!U169)/45))+24*SIN(2*PI()*(Inputs!$C$6)/9+(Scenario_Data!U169)/18)*EXP(-(((Inputs!$C$6)+5)^2)/(22^2))+18*SIN(2*PI()*(Scenario_Data!U169)/70))+Inputs!$C$28*EXP(-(((Scenario_Data!U169)-Inputs!$C$29)^2)/(2*Inputs!$C$31^2))*EXP(-(((Inputs!$C$6)-Inputs!$C$30)^2)/(2*Inputs!$C$32^2))+-Inputs!$C$33*EXP(-(((((Scenario_Data!U169)-Inputs!$C$34)^2)+(((Inputs!$C$6)-Inputs!$C$35)^2))/(2*Inputs!$C$36^2)))+Inputs!$C$37*(0.55*SIN(2*PI()*(Scenario_Data!U169)/Inputs!$C$39)+0.35*COS(2*PI()*(Inputs!$C$6)/Inputs!$C$40)+0.2*SIN(2*PI()*((Scenario_Data!U169)+(Inputs!$C$6))/(0.5*(Inputs!$C$39+Inputs!$C$40))))+Inputs!$C$38*SIN(2*PI()*(Scenario_Data!U169)/Inputs!$C$39)*SIN(2*PI()*(Inputs!$C$6)/Inputs!$C$40)+-Inputs!$C$41*EXP(-(((Inputs!$C$6)-Inputs!$C$43)^2)/(2*Inputs!$C$44^2))*EXP(-(((Scenario_Data!U169)-Inputs!$C$42)^2)/(2*Inputs!$C$45^2))+Inputs!$C$48*(0.7*(0.45*SIN(2*PI()*(((Scenario_Data!U169)/Inputs!$C$49)+Inputs!$C$47*0.137))+0.35*COS(2*PI()*(((Inputs!$C$6)/Inputs!$C$50)+Inputs!$C$47*0.173))+0.2*SIN(2*PI()*((((Scenario_Data!U169)+(Inputs!$C$6))/(0.5*(Inputs!$C$49+Inputs!$C$50)))+Inputs!$C$47*0.097)))+0.3*(2*((SIN(((Scenario_Data!U169)*12.9898+(Inputs!$C$6)*78.233+Inputs!$C$47*37.719))*43758.5453)-INT((SIN(((Scenario_Data!U169)*12.9898+(Inputs!$C$6)*78.233+Inputs!$C$47*37.719))*43758.5453)))-1))))/1000))^2-2*(Inputs!$C$52+(Scenario_Data!C169))*(Inputs!$C$52+((IF(OR(Inputs!$C$27=TRUE,Inputs!$C$27="TRUE",Inputs!$C$27=1),1,0)*(Inputs!$C$51*(115*EXP(-(((Inputs!$C$6)-25)^2)/(4.5^2))+70*EXP(-(((Inputs!$C$6)+38)^2)/(7^2))*(0.55+0.45*SIN(2*PI()*(Scenario_Data!U169)/45))+24*SIN(2*PI()*(Inputs!$C$6)/9+(Scenario_Data!U169)/18)*EXP(-(((Inputs!$C$6)+5)^2)/(22^2))+18*SIN(2*PI()*(Scenario_Data!U169)/70))+Inputs!$C$28*EXP(-(((Scenario_Data!U169)-Inputs!$C$29)^2)/(2*Inputs!$C$31^2))*EXP(-(((Inputs!$C$6)-Inputs!$C$30)^2)/(2*Inputs!$C$32^2))+-Inputs!$C$33*EXP(-(((((Scenario_Data!U169)-Inputs!$C$34)^2)+(((Inputs!$C$6)-Inputs!$C$35)^2))/(2*Inputs!$C$36^2)))+Inputs!$C$37*(0.55*SIN(2*PI()*(Scenario_Data!U169)/Inputs!$C$39)+0.35*COS(2*PI()*(Inputs!$C$6)/Inputs!$C$40)+0.2*SIN(2*PI()*((Scenario_Data!U169)+(Inputs!$C$6))/(0.5*(Inputs!$C$39+Inputs!$C$40))))+Inputs!$C$38*SIN(2*PI()*(Scenario_Data!U169)/Inputs!$C$39)*SIN(2*PI()*(Inputs!$C$6)/Inputs!$C$40)+-Inputs!$C$41*EXP(-(((Inputs!$C$6)-Inputs!$C$43)^2)/(2*Inputs!$C$44^2))*EXP(-(((Scenario_Data!U169)-Inputs!$C$42)^2)/(2*Inputs!$C$45^2))+Inputs!$C$48*(0.7*(0.45*SIN(2*PI()*(((Scenario_Data!U169)/Inputs!$C$49)+Inputs!$C$47*0.137))+0.35*COS(2*PI()*(((Inputs!$C$6)/Inputs!$C$50)+Inputs!$C$47*0.173))+0.2*SIN(2*PI()*((((Scenario_Data!U169)+(Inputs!$C$6))/(0.5*(Inputs!$C$49+Inputs!$C$50)))+Inputs!$C$47*0.097)))+0.3*(2*((SIN(((Scenario_Data!U169)*12.9898+(Inputs!$C$6)*78.233+Inputs!$C$47*37.719))*43758.5453)-INT((SIN(((Scenario_Data!U169)*12.9898+(Inputs!$C$6)*78.233+Inputs!$C$47*37.719))*43758.5453)))-1))))/1000))*COS(SQRT((Scenario_Data!U169)^2+Inputs!$C$6^2)/Inputs!$C$52))*1000)/Inputs!$C$21*1000000</f>
        <v/>
      </c>
      <c r="AT169">
        <f>Scenario_Data!V169</f>
        <v/>
      </c>
      <c r="AU169">
        <f>2*(SQRT((Inputs!$C$52+(Scenario_Data!D169))^2+(Inputs!$C$52+((IF(OR(Inputs!$C$27=TRUE,Inputs!$C$27="TRUE",Inputs!$C$27=1),1,0)*(Inputs!$C$51*(115*EXP(-(((Inputs!$C$6)-25)^2)/(4.5^2))+70*EXP(-(((Inputs!$C$6)+38)^2)/(7^2))*(0.55+0.45*SIN(2*PI()*(Scenario_Data!V169)/45))+24*SIN(2*PI()*(Inputs!$C$6)/9+(Scenario_Data!V169)/18)*EXP(-(((Inputs!$C$6)+5)^2)/(22^2))+18*SIN(2*PI()*(Scenario_Data!V169)/70))+Inputs!$C$28*EXP(-(((Scenario_Data!V169)-Inputs!$C$29)^2)/(2*Inputs!$C$31^2))*EXP(-(((Inputs!$C$6)-Inputs!$C$30)^2)/(2*Inputs!$C$32^2))+-Inputs!$C$33*EXP(-(((((Scenario_Data!V169)-Inputs!$C$34)^2)+(((Inputs!$C$6)-Inputs!$C$35)^2))/(2*Inputs!$C$36^2)))+Inputs!$C$37*(0.55*SIN(2*PI()*(Scenario_Data!V169)/Inputs!$C$39)+0.35*COS(2*PI()*(Inputs!$C$6)/Inputs!$C$40)+0.2*SIN(2*PI()*((Scenario_Data!V169)+(Inputs!$C$6))/(0.5*(Inputs!$C$39+Inputs!$C$40))))+Inputs!$C$38*SIN(2*PI()*(Scenario_Data!V169)/Inputs!$C$39)*SIN(2*PI()*(Inputs!$C$6)/Inputs!$C$40)+-Inputs!$C$41*EXP(-(((Inputs!$C$6)-Inputs!$C$43)^2)/(2*Inputs!$C$44^2))*EXP(-(((Scenario_Data!V169)-Inputs!$C$42)^2)/(2*Inputs!$C$45^2))+Inputs!$C$48*(0.7*(0.45*SIN(2*PI()*(((Scenario_Data!V169)/Inputs!$C$49)+Inputs!$C$47*0.137))+0.35*COS(2*PI()*(((Inputs!$C$6)/Inputs!$C$50)+Inputs!$C$47*0.173))+0.2*SIN(2*PI()*((((Scenario_Data!V169)+(Inputs!$C$6))/(0.5*(Inputs!$C$49+Inputs!$C$50)))+Inputs!$C$47*0.097)))+0.3*(2*((SIN(((Scenario_Data!V169)*12.9898+(Inputs!$C$6)*78.233+Inputs!$C$47*37.719))*43758.5453)-INT((SIN(((Scenario_Data!V169)*12.9898+(Inputs!$C$6)*78.233+Inputs!$C$47*37.719))*43758.5453)))-1))))/1000))^2-2*(Inputs!$C$52+(Scenario_Data!D169))*(Inputs!$C$52+((IF(OR(Inputs!$C$27=TRUE,Inputs!$C$27="TRUE",Inputs!$C$27=1),1,0)*(Inputs!$C$51*(115*EXP(-(((Inputs!$C$6)-25)^2)/(4.5^2))+70*EXP(-(((Inputs!$C$6)+38)^2)/(7^2))*(0.55+0.45*SIN(2*PI()*(Scenario_Data!V169)/45))+24*SIN(2*PI()*(Inputs!$C$6)/9+(Scenario_Data!V169)/18)*EXP(-(((Inputs!$C$6)+5)^2)/(22^2))+18*SIN(2*PI()*(Scenario_Data!V169)/70))+Inputs!$C$28*EXP(-(((Scenario_Data!V169)-Inputs!$C$29)^2)/(2*Inputs!$C$31^2))*EXP(-(((Inputs!$C$6)-Inputs!$C$30)^2)/(2*Inputs!$C$32^2))+-Inputs!$C$33*EXP(-(((((Scenario_Data!V169)-Inputs!$C$34)^2)+(((Inputs!$C$6)-Inputs!$C$35)^2))/(2*Inputs!$C$36^2)))+Inputs!$C$37*(0.55*SIN(2*PI()*(Scenario_Data!V169)/Inputs!$C$39)+0.35*COS(2*PI()*(Inputs!$C$6)/Inputs!$C$40)+0.2*SIN(2*PI()*((Scenario_Data!V169)+(Inputs!$C$6))/(0.5*(Inputs!$C$39+Inputs!$C$40))))+Inputs!$C$38*SIN(2*PI()*(Scenario_Data!V169)/Inputs!$C$39)*SIN(2*PI()*(Inputs!$C$6)/Inputs!$C$40)+-Inputs!$C$41*EXP(-(((Inputs!$C$6)-Inputs!$C$43)^2)/(2*Inputs!$C$44^2))*EXP(-(((Scenario_Data!V169)-Inputs!$C$42)^2)/(2*Inputs!$C$45^2))+Inputs!$C$48*(0.7*(0.45*SIN(2*PI()*(((Scenario_Data!V169)/Inputs!$C$49)+Inputs!$C$47*0.137))+0.35*COS(2*PI()*(((Inputs!$C$6)/Inputs!$C$50)+Inputs!$C$47*0.173))+0.2*SIN(2*PI()*((((Scenario_Data!V169)+(Inputs!$C$6))/(0.5*(Inputs!$C$49+Inputs!$C$50)))+Inputs!$C$47*0.097)))+0.3*(2*((SIN(((Scenario_Data!V169)*12.9898+(Inputs!$C$6)*78.233+Inputs!$C$47*37.719))*43758.5453)-INT((SIN(((Scenario_Data!V169)*12.9898+(Inputs!$C$6)*78.233+Inputs!$C$47*37.719))*43758.5453)))-1))))/1000))*COS(SQRT((Scenario_Data!V169)^2+Inputs!$C$6^2)/Inputs!$C$52))*1000)/Inputs!$C$21*1000000</f>
        <v/>
      </c>
      <c r="AV169">
        <f>Scenario_Data!W169</f>
        <v/>
      </c>
      <c r="AW169">
        <f>2*(SQRT((Inputs!$C$52+(Scenario_Data!E169))^2+(Inputs!$C$52+((IF(OR(Inputs!$C$27=TRUE,Inputs!$C$27="TRUE",Inputs!$C$27=1),1,0)*(Inputs!$C$51*(115*EXP(-(((Inputs!$C$6)-25)^2)/(4.5^2))+70*EXP(-(((Inputs!$C$6)+38)^2)/(7^2))*(0.55+0.45*SIN(2*PI()*(Scenario_Data!W169)/45))+24*SIN(2*PI()*(Inputs!$C$6)/9+(Scenario_Data!W169)/18)*EXP(-(((Inputs!$C$6)+5)^2)/(22^2))+18*SIN(2*PI()*(Scenario_Data!W169)/70))+Inputs!$C$28*EXP(-(((Scenario_Data!W169)-Inputs!$C$29)^2)/(2*Inputs!$C$31^2))*EXP(-(((Inputs!$C$6)-Inputs!$C$30)^2)/(2*Inputs!$C$32^2))+-Inputs!$C$33*EXP(-(((((Scenario_Data!W169)-Inputs!$C$34)^2)+(((Inputs!$C$6)-Inputs!$C$35)^2))/(2*Inputs!$C$36^2)))+Inputs!$C$37*(0.55*SIN(2*PI()*(Scenario_Data!W169)/Inputs!$C$39)+0.35*COS(2*PI()*(Inputs!$C$6)/Inputs!$C$40)+0.2*SIN(2*PI()*((Scenario_Data!W169)+(Inputs!$C$6))/(0.5*(Inputs!$C$39+Inputs!$C$40))))+Inputs!$C$38*SIN(2*PI()*(Scenario_Data!W169)/Inputs!$C$39)*SIN(2*PI()*(Inputs!$C$6)/Inputs!$C$40)+-Inputs!$C$41*EXP(-(((Inputs!$C$6)-Inputs!$C$43)^2)/(2*Inputs!$C$44^2))*EXP(-(((Scenario_Data!W169)-Inputs!$C$42)^2)/(2*Inputs!$C$45^2))+Inputs!$C$48*(0.7*(0.45*SIN(2*PI()*(((Scenario_Data!W169)/Inputs!$C$49)+Inputs!$C$47*0.137))+0.35*COS(2*PI()*(((Inputs!$C$6)/Inputs!$C$50)+Inputs!$C$47*0.173))+0.2*SIN(2*PI()*((((Scenario_Data!W169)+(Inputs!$C$6))/(0.5*(Inputs!$C$49+Inputs!$C$50)))+Inputs!$C$47*0.097)))+0.3*(2*((SIN(((Scenario_Data!W169)*12.9898+(Inputs!$C$6)*78.233+Inputs!$C$47*37.719))*43758.5453)-INT((SIN(((Scenario_Data!W169)*12.9898+(Inputs!$C$6)*78.233+Inputs!$C$47*37.719))*43758.5453)))-1))))/1000))^2-2*(Inputs!$C$52+(Scenario_Data!E169))*(Inputs!$C$52+((IF(OR(Inputs!$C$27=TRUE,Inputs!$C$27="TRUE",Inputs!$C$27=1),1,0)*(Inputs!$C$51*(115*EXP(-(((Inputs!$C$6)-25)^2)/(4.5^2))+70*EXP(-(((Inputs!$C$6)+38)^2)/(7^2))*(0.55+0.45*SIN(2*PI()*(Scenario_Data!W169)/45))+24*SIN(2*PI()*(Inputs!$C$6)/9+(Scenario_Data!W169)/18)*EXP(-(((Inputs!$C$6)+5)^2)/(22^2))+18*SIN(2*PI()*(Scenario_Data!W169)/70))+Inputs!$C$28*EXP(-(((Scenario_Data!W169)-Inputs!$C$29)^2)/(2*Inputs!$C$31^2))*EXP(-(((Inputs!$C$6)-Inputs!$C$30)^2)/(2*Inputs!$C$32^2))+-Inputs!$C$33*EXP(-(((((Scenario_Data!W169)-Inputs!$C$34)^2)+(((Inputs!$C$6)-Inputs!$C$35)^2))/(2*Inputs!$C$36^2)))+Inputs!$C$37*(0.55*SIN(2*PI()*(Scenario_Data!W169)/Inputs!$C$39)+0.35*COS(2*PI()*(Inputs!$C$6)/Inputs!$C$40)+0.2*SIN(2*PI()*((Scenario_Data!W169)+(Inputs!$C$6))/(0.5*(Inputs!$C$39+Inputs!$C$40))))+Inputs!$C$38*SIN(2*PI()*(Scenario_Data!W169)/Inputs!$C$39)*SIN(2*PI()*(Inputs!$C$6)/Inputs!$C$40)+-Inputs!$C$41*EXP(-(((Inputs!$C$6)-Inputs!$C$43)^2)/(2*Inputs!$C$44^2))*EXP(-(((Scenario_Data!W169)-Inputs!$C$42)^2)/(2*Inputs!$C$45^2))+Inputs!$C$48*(0.7*(0.45*SIN(2*PI()*(((Scenario_Data!W169)/Inputs!$C$49)+Inputs!$C$47*0.137))+0.35*COS(2*PI()*(((Inputs!$C$6)/Inputs!$C$50)+Inputs!$C$47*0.173))+0.2*SIN(2*PI()*((((Scenario_Data!W169)+(Inputs!$C$6))/(0.5*(Inputs!$C$49+Inputs!$C$50)))+Inputs!$C$47*0.097)))+0.3*(2*((SIN(((Scenario_Data!W169)*12.9898+(Inputs!$C$6)*78.233+Inputs!$C$47*37.719))*43758.5453)-INT((SIN(((Scenario_Data!W169)*12.9898+(Inputs!$C$6)*78.233+Inputs!$C$47*37.719))*43758.5453)))-1))))/1000))*COS(SQRT((Scenario_Data!W169)^2+Inputs!$C$6^2)/Inputs!$C$52))*1000)/Inputs!$C$21*1000000</f>
        <v/>
      </c>
    </row>
    <row r="170">
      <c r="A170">
        <f>Chart_Data!K170</f>
        <v/>
      </c>
      <c r="B170">
        <f>Chart_Data!N170-Chart_Data!L170</f>
        <v/>
      </c>
      <c r="D170">
        <f>Chart_Data!G170</f>
        <v/>
      </c>
      <c r="E170">
        <f>Chart_Data!H170</f>
        <v/>
      </c>
      <c r="F170">
        <f>Chart_Data!I170</f>
        <v/>
      </c>
      <c r="G170">
        <f>Chart_Data!J170</f>
        <v/>
      </c>
      <c r="I170">
        <f>Scenario_Data!A170</f>
        <v/>
      </c>
      <c r="J170">
        <f>Scenario_Data!H170-(((SQRT((Inputs!$C$52+(Inputs!$H$6))^2+Inputs!$C$52^2-2*(Inputs!$C$52+(Inputs!$H$6))*Inputs!$C$52*COS(SQRT((Scenario_Data!T170)^2+Inputs!$C$6^2)/Inputs!$C$52)))-(Inputs!$H$6))*1000/Inputs!$C$12)</f>
        <v/>
      </c>
      <c r="K170">
        <f>Scenario_Data!I170-(((SQRT((Inputs!$C$52+(Inputs!$H$7))^2+Inputs!$C$52^2-2*(Inputs!$C$52+(Inputs!$H$7))*Inputs!$C$52*COS(SQRT((Scenario_Data!U170)^2+Inputs!$C$6^2)/Inputs!$C$52)))-(Inputs!$H$7))*1000/Inputs!$C$12)</f>
        <v/>
      </c>
      <c r="L170">
        <f>Scenario_Data!J170-(((SQRT((Inputs!$C$52+(Inputs!$H$8))^2+Inputs!$C$52^2-2*(Inputs!$C$52+(Inputs!$H$8))*Inputs!$C$52*COS(SQRT((Scenario_Data!V170)^2+Inputs!$C$6^2)/Inputs!$C$52)))-(Inputs!$H$8))*1000/Inputs!$C$12)</f>
        <v/>
      </c>
      <c r="M170">
        <f>Scenario_Data!K170-(((SQRT((Inputs!$C$52+(Inputs!$H$9))^2+Inputs!$C$52^2-2*(Inputs!$C$52+(Inputs!$H$9))*Inputs!$C$52*COS(SQRT((Scenario_Data!W170)^2+Inputs!$C$6^2)/Inputs!$C$52)))-(Inputs!$H$9))*1000/Inputs!$C$12)</f>
        <v/>
      </c>
      <c r="O170">
        <f>Scenario_Data!T170</f>
        <v/>
      </c>
      <c r="P170">
        <f>2*(Scenario_Data!B170*1000)/Inputs!$C$21*1000000</f>
        <v/>
      </c>
      <c r="Q170">
        <f>Scenario_Data!U170</f>
        <v/>
      </c>
      <c r="R170">
        <f>2*(Scenario_Data!C170*1000)/Inputs!$C$21*1000000</f>
        <v/>
      </c>
      <c r="S170">
        <f>Scenario_Data!V170</f>
        <v/>
      </c>
      <c r="T170">
        <f>2*(Scenario_Data!D170*1000)/Inputs!$C$21*1000000</f>
        <v/>
      </c>
      <c r="U170">
        <f>Scenario_Data!W170</f>
        <v/>
      </c>
      <c r="V170">
        <f>2*(Scenario_Data!E170*1000)/Inputs!$C$21*1000000</f>
        <v/>
      </c>
      <c r="X170">
        <f>Scenario_Data!T170</f>
        <v/>
      </c>
      <c r="Y170">
        <f>2*((Scenario_Data!B170*1000)-(IF(OR(Inputs!$C$27=TRUE,Inputs!$C$27="TRUE",Inputs!$C$27=1),1,0)*(Inputs!$C$51*(115*EXP(-(((0)-25)^2)/(4.5^2))+70*EXP(-(((0)+38)^2)/(7^2))*(0.55+0.45*SIN(2*PI()*(Scenario_Data!T170)/45))+24*SIN(2*PI()*(0)/9+(Scenario_Data!T170)/18)*EXP(-(((0)+5)^2)/(22^2))+18*SIN(2*PI()*(Scenario_Data!T170)/70))+Inputs!$C$28*EXP(-(((Scenario_Data!T170)-Inputs!$C$29)^2)/(2*Inputs!$C$31^2))*EXP(-(((0)-Inputs!$C$30)^2)/(2*Inputs!$C$32^2))+-Inputs!$C$33*EXP(-(((((Scenario_Data!T170)-Inputs!$C$34)^2)+(((0)-Inputs!$C$35)^2))/(2*Inputs!$C$36^2)))+Inputs!$C$37*(0.55*SIN(2*PI()*(Scenario_Data!T170)/Inputs!$C$39)+0.35*COS(2*PI()*(0)/Inputs!$C$40)+0.2*SIN(2*PI()*((Scenario_Data!T170)+(0))/(0.5*(Inputs!$C$39+Inputs!$C$40))))+Inputs!$C$38*SIN(2*PI()*(Scenario_Data!T170)/Inputs!$C$39)*SIN(2*PI()*(0)/Inputs!$C$40)+-Inputs!$C$41*EXP(-(((0)-Inputs!$C$43)^2)/(2*Inputs!$C$44^2))*EXP(-(((Scenario_Data!T170)-Inputs!$C$42)^2)/(2*Inputs!$C$45^2))+Inputs!$C$48*(0.7*(0.45*SIN(2*PI()*(((Scenario_Data!T170)/Inputs!$C$49)+Inputs!$C$47*0.137))+0.35*COS(2*PI()*(((0)/Inputs!$C$50)+Inputs!$C$47*0.173))+0.2*SIN(2*PI()*((((Scenario_Data!T170)+(0))/(0.5*(Inputs!$C$49+Inputs!$C$50)))+Inputs!$C$47*0.097)))+0.3*(2*((SIN(((Scenario_Data!T170)*12.9898+(0)*78.233+Inputs!$C$47*37.719))*43758.5453)-INT((SIN(((Scenario_Data!T170)*12.9898+(0)*78.233+Inputs!$C$47*37.719))*43758.5453)))-1)))))/Inputs!$C$21*1000000</f>
        <v/>
      </c>
      <c r="Z170">
        <f>Scenario_Data!U170</f>
        <v/>
      </c>
      <c r="AA170">
        <f>2*((Scenario_Data!C170*1000)-(IF(OR(Inputs!$C$27=TRUE,Inputs!$C$27="TRUE",Inputs!$C$27=1),1,0)*(Inputs!$C$51*(115*EXP(-(((0)-25)^2)/(4.5^2))+70*EXP(-(((0)+38)^2)/(7^2))*(0.55+0.45*SIN(2*PI()*(Scenario_Data!U170)/45))+24*SIN(2*PI()*(0)/9+(Scenario_Data!U170)/18)*EXP(-(((0)+5)^2)/(22^2))+18*SIN(2*PI()*(Scenario_Data!U170)/70))+Inputs!$C$28*EXP(-(((Scenario_Data!U170)-Inputs!$C$29)^2)/(2*Inputs!$C$31^2))*EXP(-(((0)-Inputs!$C$30)^2)/(2*Inputs!$C$32^2))+-Inputs!$C$33*EXP(-(((((Scenario_Data!U170)-Inputs!$C$34)^2)+(((0)-Inputs!$C$35)^2))/(2*Inputs!$C$36^2)))+Inputs!$C$37*(0.55*SIN(2*PI()*(Scenario_Data!U170)/Inputs!$C$39)+0.35*COS(2*PI()*(0)/Inputs!$C$40)+0.2*SIN(2*PI()*((Scenario_Data!U170)+(0))/(0.5*(Inputs!$C$39+Inputs!$C$40))))+Inputs!$C$38*SIN(2*PI()*(Scenario_Data!U170)/Inputs!$C$39)*SIN(2*PI()*(0)/Inputs!$C$40)+-Inputs!$C$41*EXP(-(((0)-Inputs!$C$43)^2)/(2*Inputs!$C$44^2))*EXP(-(((Scenario_Data!U170)-Inputs!$C$42)^2)/(2*Inputs!$C$45^2))+Inputs!$C$48*(0.7*(0.45*SIN(2*PI()*(((Scenario_Data!U170)/Inputs!$C$49)+Inputs!$C$47*0.137))+0.35*COS(2*PI()*(((0)/Inputs!$C$50)+Inputs!$C$47*0.173))+0.2*SIN(2*PI()*((((Scenario_Data!U170)+(0))/(0.5*(Inputs!$C$49+Inputs!$C$50)))+Inputs!$C$47*0.097)))+0.3*(2*((SIN(((Scenario_Data!U170)*12.9898+(0)*78.233+Inputs!$C$47*37.719))*43758.5453)-INT((SIN(((Scenario_Data!U170)*12.9898+(0)*78.233+Inputs!$C$47*37.719))*43758.5453)))-1)))))/Inputs!$C$21*1000000</f>
        <v/>
      </c>
      <c r="AB170">
        <f>Scenario_Data!V170</f>
        <v/>
      </c>
      <c r="AC170">
        <f>2*((Scenario_Data!D170*1000)-(IF(OR(Inputs!$C$27=TRUE,Inputs!$C$27="TRUE",Inputs!$C$27=1),1,0)*(Inputs!$C$51*(115*EXP(-(((0)-25)^2)/(4.5^2))+70*EXP(-(((0)+38)^2)/(7^2))*(0.55+0.45*SIN(2*PI()*(Scenario_Data!V170)/45))+24*SIN(2*PI()*(0)/9+(Scenario_Data!V170)/18)*EXP(-(((0)+5)^2)/(22^2))+18*SIN(2*PI()*(Scenario_Data!V170)/70))+Inputs!$C$28*EXP(-(((Scenario_Data!V170)-Inputs!$C$29)^2)/(2*Inputs!$C$31^2))*EXP(-(((0)-Inputs!$C$30)^2)/(2*Inputs!$C$32^2))+-Inputs!$C$33*EXP(-(((((Scenario_Data!V170)-Inputs!$C$34)^2)+(((0)-Inputs!$C$35)^2))/(2*Inputs!$C$36^2)))+Inputs!$C$37*(0.55*SIN(2*PI()*(Scenario_Data!V170)/Inputs!$C$39)+0.35*COS(2*PI()*(0)/Inputs!$C$40)+0.2*SIN(2*PI()*((Scenario_Data!V170)+(0))/(0.5*(Inputs!$C$39+Inputs!$C$40))))+Inputs!$C$38*SIN(2*PI()*(Scenario_Data!V170)/Inputs!$C$39)*SIN(2*PI()*(0)/Inputs!$C$40)+-Inputs!$C$41*EXP(-(((0)-Inputs!$C$43)^2)/(2*Inputs!$C$44^2))*EXP(-(((Scenario_Data!V170)-Inputs!$C$42)^2)/(2*Inputs!$C$45^2))+Inputs!$C$48*(0.7*(0.45*SIN(2*PI()*(((Scenario_Data!V170)/Inputs!$C$49)+Inputs!$C$47*0.137))+0.35*COS(2*PI()*(((0)/Inputs!$C$50)+Inputs!$C$47*0.173))+0.2*SIN(2*PI()*((((Scenario_Data!V170)+(0))/(0.5*(Inputs!$C$49+Inputs!$C$50)))+Inputs!$C$47*0.097)))+0.3*(2*((SIN(((Scenario_Data!V170)*12.9898+(0)*78.233+Inputs!$C$47*37.719))*43758.5453)-INT((SIN(((Scenario_Data!V170)*12.9898+(0)*78.233+Inputs!$C$47*37.719))*43758.5453)))-1)))))/Inputs!$C$21*1000000</f>
        <v/>
      </c>
      <c r="AD170">
        <f>Scenario_Data!W170</f>
        <v/>
      </c>
      <c r="AE170">
        <f>2*((Scenario_Data!E170*1000)-(IF(OR(Inputs!$C$27=TRUE,Inputs!$C$27="TRUE",Inputs!$C$27=1),1,0)*(Inputs!$C$51*(115*EXP(-(((0)-25)^2)/(4.5^2))+70*EXP(-(((0)+38)^2)/(7^2))*(0.55+0.45*SIN(2*PI()*(Scenario_Data!W170)/45))+24*SIN(2*PI()*(0)/9+(Scenario_Data!W170)/18)*EXP(-(((0)+5)^2)/(22^2))+18*SIN(2*PI()*(Scenario_Data!W170)/70))+Inputs!$C$28*EXP(-(((Scenario_Data!W170)-Inputs!$C$29)^2)/(2*Inputs!$C$31^2))*EXP(-(((0)-Inputs!$C$30)^2)/(2*Inputs!$C$32^2))+-Inputs!$C$33*EXP(-(((((Scenario_Data!W170)-Inputs!$C$34)^2)+(((0)-Inputs!$C$35)^2))/(2*Inputs!$C$36^2)))+Inputs!$C$37*(0.55*SIN(2*PI()*(Scenario_Data!W170)/Inputs!$C$39)+0.35*COS(2*PI()*(0)/Inputs!$C$40)+0.2*SIN(2*PI()*((Scenario_Data!W170)+(0))/(0.5*(Inputs!$C$39+Inputs!$C$40))))+Inputs!$C$38*SIN(2*PI()*(Scenario_Data!W170)/Inputs!$C$39)*SIN(2*PI()*(0)/Inputs!$C$40)+-Inputs!$C$41*EXP(-(((0)-Inputs!$C$43)^2)/(2*Inputs!$C$44^2))*EXP(-(((Scenario_Data!W170)-Inputs!$C$42)^2)/(2*Inputs!$C$45^2))+Inputs!$C$48*(0.7*(0.45*SIN(2*PI()*(((Scenario_Data!W170)/Inputs!$C$49)+Inputs!$C$47*0.137))+0.35*COS(2*PI()*(((0)/Inputs!$C$50)+Inputs!$C$47*0.173))+0.2*SIN(2*PI()*((((Scenario_Data!W170)+(0))/(0.5*(Inputs!$C$49+Inputs!$C$50)))+Inputs!$C$47*0.097)))+0.3*(2*((SIN(((Scenario_Data!W170)*12.9898+(0)*78.233+Inputs!$C$47*37.719))*43758.5453)-INT((SIN(((Scenario_Data!W170)*12.9898+(0)*78.233+Inputs!$C$47*37.719))*43758.5453)))-1)))))/Inputs!$C$21*1000000</f>
        <v/>
      </c>
      <c r="AG170">
        <f>Scenario_Data!T170</f>
        <v/>
      </c>
      <c r="AH170">
        <f>2*(SQRT((Inputs!$C$52+(Scenario_Data!B170))^2+Inputs!$C$52^2-2*(Inputs!$C$52+(Scenario_Data!B170))*Inputs!$C$52*COS(SQRT((Scenario_Data!T170)^2+Inputs!$C$6^2)/Inputs!$C$52))*1000)/Inputs!$C$21*1000000</f>
        <v/>
      </c>
      <c r="AI170">
        <f>Scenario_Data!U170</f>
        <v/>
      </c>
      <c r="AJ170">
        <f>2*(SQRT((Inputs!$C$52+(Scenario_Data!C170))^2+Inputs!$C$52^2-2*(Inputs!$C$52+(Scenario_Data!C170))*Inputs!$C$52*COS(SQRT((Scenario_Data!U170)^2+Inputs!$C$6^2)/Inputs!$C$52))*1000)/Inputs!$C$21*1000000</f>
        <v/>
      </c>
      <c r="AK170">
        <f>Scenario_Data!V170</f>
        <v/>
      </c>
      <c r="AL170">
        <f>2*(SQRT((Inputs!$C$52+(Scenario_Data!D170))^2+Inputs!$C$52^2-2*(Inputs!$C$52+(Scenario_Data!D170))*Inputs!$C$52*COS(SQRT((Scenario_Data!V170)^2+Inputs!$C$6^2)/Inputs!$C$52))*1000)/Inputs!$C$21*1000000</f>
        <v/>
      </c>
      <c r="AM170">
        <f>Scenario_Data!W170</f>
        <v/>
      </c>
      <c r="AN170">
        <f>2*(SQRT((Inputs!$C$52+(Scenario_Data!E170))^2+Inputs!$C$52^2-2*(Inputs!$C$52+(Scenario_Data!E170))*Inputs!$C$52*COS(SQRT((Scenario_Data!W170)^2+Inputs!$C$6^2)/Inputs!$C$52))*1000)/Inputs!$C$21*1000000</f>
        <v/>
      </c>
      <c r="AP170">
        <f>Scenario_Data!T170</f>
        <v/>
      </c>
      <c r="AQ170">
        <f>2*(SQRT((Inputs!$C$52+(Scenario_Data!B170))^2+(Inputs!$C$52+((IF(OR(Inputs!$C$27=TRUE,Inputs!$C$27="TRUE",Inputs!$C$27=1),1,0)*(Inputs!$C$51*(115*EXP(-(((Inputs!$C$6)-25)^2)/(4.5^2))+70*EXP(-(((Inputs!$C$6)+38)^2)/(7^2))*(0.55+0.45*SIN(2*PI()*(Scenario_Data!T170)/45))+24*SIN(2*PI()*(Inputs!$C$6)/9+(Scenario_Data!T170)/18)*EXP(-(((Inputs!$C$6)+5)^2)/(22^2))+18*SIN(2*PI()*(Scenario_Data!T170)/70))+Inputs!$C$28*EXP(-(((Scenario_Data!T170)-Inputs!$C$29)^2)/(2*Inputs!$C$31^2))*EXP(-(((Inputs!$C$6)-Inputs!$C$30)^2)/(2*Inputs!$C$32^2))+-Inputs!$C$33*EXP(-(((((Scenario_Data!T170)-Inputs!$C$34)^2)+(((Inputs!$C$6)-Inputs!$C$35)^2))/(2*Inputs!$C$36^2)))+Inputs!$C$37*(0.55*SIN(2*PI()*(Scenario_Data!T170)/Inputs!$C$39)+0.35*COS(2*PI()*(Inputs!$C$6)/Inputs!$C$40)+0.2*SIN(2*PI()*((Scenario_Data!T170)+(Inputs!$C$6))/(0.5*(Inputs!$C$39+Inputs!$C$40))))+Inputs!$C$38*SIN(2*PI()*(Scenario_Data!T170)/Inputs!$C$39)*SIN(2*PI()*(Inputs!$C$6)/Inputs!$C$40)+-Inputs!$C$41*EXP(-(((Inputs!$C$6)-Inputs!$C$43)^2)/(2*Inputs!$C$44^2))*EXP(-(((Scenario_Data!T170)-Inputs!$C$42)^2)/(2*Inputs!$C$45^2))+Inputs!$C$48*(0.7*(0.45*SIN(2*PI()*(((Scenario_Data!T170)/Inputs!$C$49)+Inputs!$C$47*0.137))+0.35*COS(2*PI()*(((Inputs!$C$6)/Inputs!$C$50)+Inputs!$C$47*0.173))+0.2*SIN(2*PI()*((((Scenario_Data!T170)+(Inputs!$C$6))/(0.5*(Inputs!$C$49+Inputs!$C$50)))+Inputs!$C$47*0.097)))+0.3*(2*((SIN(((Scenario_Data!T170)*12.9898+(Inputs!$C$6)*78.233+Inputs!$C$47*37.719))*43758.5453)-INT((SIN(((Scenario_Data!T170)*12.9898+(Inputs!$C$6)*78.233+Inputs!$C$47*37.719))*43758.5453)))-1))))/1000))^2-2*(Inputs!$C$52+(Scenario_Data!B170))*(Inputs!$C$52+((IF(OR(Inputs!$C$27=TRUE,Inputs!$C$27="TRUE",Inputs!$C$27=1),1,0)*(Inputs!$C$51*(115*EXP(-(((Inputs!$C$6)-25)^2)/(4.5^2))+70*EXP(-(((Inputs!$C$6)+38)^2)/(7^2))*(0.55+0.45*SIN(2*PI()*(Scenario_Data!T170)/45))+24*SIN(2*PI()*(Inputs!$C$6)/9+(Scenario_Data!T170)/18)*EXP(-(((Inputs!$C$6)+5)^2)/(22^2))+18*SIN(2*PI()*(Scenario_Data!T170)/70))+Inputs!$C$28*EXP(-(((Scenario_Data!T170)-Inputs!$C$29)^2)/(2*Inputs!$C$31^2))*EXP(-(((Inputs!$C$6)-Inputs!$C$30)^2)/(2*Inputs!$C$32^2))+-Inputs!$C$33*EXP(-(((((Scenario_Data!T170)-Inputs!$C$34)^2)+(((Inputs!$C$6)-Inputs!$C$35)^2))/(2*Inputs!$C$36^2)))+Inputs!$C$37*(0.55*SIN(2*PI()*(Scenario_Data!T170)/Inputs!$C$39)+0.35*COS(2*PI()*(Inputs!$C$6)/Inputs!$C$40)+0.2*SIN(2*PI()*((Scenario_Data!T170)+(Inputs!$C$6))/(0.5*(Inputs!$C$39+Inputs!$C$40))))+Inputs!$C$38*SIN(2*PI()*(Scenario_Data!T170)/Inputs!$C$39)*SIN(2*PI()*(Inputs!$C$6)/Inputs!$C$40)+-Inputs!$C$41*EXP(-(((Inputs!$C$6)-Inputs!$C$43)^2)/(2*Inputs!$C$44^2))*EXP(-(((Scenario_Data!T170)-Inputs!$C$42)^2)/(2*Inputs!$C$45^2))+Inputs!$C$48*(0.7*(0.45*SIN(2*PI()*(((Scenario_Data!T170)/Inputs!$C$49)+Inputs!$C$47*0.137))+0.35*COS(2*PI()*(((Inputs!$C$6)/Inputs!$C$50)+Inputs!$C$47*0.173))+0.2*SIN(2*PI()*((((Scenario_Data!T170)+(Inputs!$C$6))/(0.5*(Inputs!$C$49+Inputs!$C$50)))+Inputs!$C$47*0.097)))+0.3*(2*((SIN(((Scenario_Data!T170)*12.9898+(Inputs!$C$6)*78.233+Inputs!$C$47*37.719))*43758.5453)-INT((SIN(((Scenario_Data!T170)*12.9898+(Inputs!$C$6)*78.233+Inputs!$C$47*37.719))*43758.5453)))-1))))/1000))*COS(SQRT((Scenario_Data!T170)^2+Inputs!$C$6^2)/Inputs!$C$52))*1000)/Inputs!$C$21*1000000</f>
        <v/>
      </c>
      <c r="AR170">
        <f>Scenario_Data!U170</f>
        <v/>
      </c>
      <c r="AS170">
        <f>2*(SQRT((Inputs!$C$52+(Scenario_Data!C170))^2+(Inputs!$C$52+((IF(OR(Inputs!$C$27=TRUE,Inputs!$C$27="TRUE",Inputs!$C$27=1),1,0)*(Inputs!$C$51*(115*EXP(-(((Inputs!$C$6)-25)^2)/(4.5^2))+70*EXP(-(((Inputs!$C$6)+38)^2)/(7^2))*(0.55+0.45*SIN(2*PI()*(Scenario_Data!U170)/45))+24*SIN(2*PI()*(Inputs!$C$6)/9+(Scenario_Data!U170)/18)*EXP(-(((Inputs!$C$6)+5)^2)/(22^2))+18*SIN(2*PI()*(Scenario_Data!U170)/70))+Inputs!$C$28*EXP(-(((Scenario_Data!U170)-Inputs!$C$29)^2)/(2*Inputs!$C$31^2))*EXP(-(((Inputs!$C$6)-Inputs!$C$30)^2)/(2*Inputs!$C$32^2))+-Inputs!$C$33*EXP(-(((((Scenario_Data!U170)-Inputs!$C$34)^2)+(((Inputs!$C$6)-Inputs!$C$35)^2))/(2*Inputs!$C$36^2)))+Inputs!$C$37*(0.55*SIN(2*PI()*(Scenario_Data!U170)/Inputs!$C$39)+0.35*COS(2*PI()*(Inputs!$C$6)/Inputs!$C$40)+0.2*SIN(2*PI()*((Scenario_Data!U170)+(Inputs!$C$6))/(0.5*(Inputs!$C$39+Inputs!$C$40))))+Inputs!$C$38*SIN(2*PI()*(Scenario_Data!U170)/Inputs!$C$39)*SIN(2*PI()*(Inputs!$C$6)/Inputs!$C$40)+-Inputs!$C$41*EXP(-(((Inputs!$C$6)-Inputs!$C$43)^2)/(2*Inputs!$C$44^2))*EXP(-(((Scenario_Data!U170)-Inputs!$C$42)^2)/(2*Inputs!$C$45^2))+Inputs!$C$48*(0.7*(0.45*SIN(2*PI()*(((Scenario_Data!U170)/Inputs!$C$49)+Inputs!$C$47*0.137))+0.35*COS(2*PI()*(((Inputs!$C$6)/Inputs!$C$50)+Inputs!$C$47*0.173))+0.2*SIN(2*PI()*((((Scenario_Data!U170)+(Inputs!$C$6))/(0.5*(Inputs!$C$49+Inputs!$C$50)))+Inputs!$C$47*0.097)))+0.3*(2*((SIN(((Scenario_Data!U170)*12.9898+(Inputs!$C$6)*78.233+Inputs!$C$47*37.719))*43758.5453)-INT((SIN(((Scenario_Data!U170)*12.9898+(Inputs!$C$6)*78.233+Inputs!$C$47*37.719))*43758.5453)))-1))))/1000))^2-2*(Inputs!$C$52+(Scenario_Data!C170))*(Inputs!$C$52+((IF(OR(Inputs!$C$27=TRUE,Inputs!$C$27="TRUE",Inputs!$C$27=1),1,0)*(Inputs!$C$51*(115*EXP(-(((Inputs!$C$6)-25)^2)/(4.5^2))+70*EXP(-(((Inputs!$C$6)+38)^2)/(7^2))*(0.55+0.45*SIN(2*PI()*(Scenario_Data!U170)/45))+24*SIN(2*PI()*(Inputs!$C$6)/9+(Scenario_Data!U170)/18)*EXP(-(((Inputs!$C$6)+5)^2)/(22^2))+18*SIN(2*PI()*(Scenario_Data!U170)/70))+Inputs!$C$28*EXP(-(((Scenario_Data!U170)-Inputs!$C$29)^2)/(2*Inputs!$C$31^2))*EXP(-(((Inputs!$C$6)-Inputs!$C$30)^2)/(2*Inputs!$C$32^2))+-Inputs!$C$33*EXP(-(((((Scenario_Data!U170)-Inputs!$C$34)^2)+(((Inputs!$C$6)-Inputs!$C$35)^2))/(2*Inputs!$C$36^2)))+Inputs!$C$37*(0.55*SIN(2*PI()*(Scenario_Data!U170)/Inputs!$C$39)+0.35*COS(2*PI()*(Inputs!$C$6)/Inputs!$C$40)+0.2*SIN(2*PI()*((Scenario_Data!U170)+(Inputs!$C$6))/(0.5*(Inputs!$C$39+Inputs!$C$40))))+Inputs!$C$38*SIN(2*PI()*(Scenario_Data!U170)/Inputs!$C$39)*SIN(2*PI()*(Inputs!$C$6)/Inputs!$C$40)+-Inputs!$C$41*EXP(-(((Inputs!$C$6)-Inputs!$C$43)^2)/(2*Inputs!$C$44^2))*EXP(-(((Scenario_Data!U170)-Inputs!$C$42)^2)/(2*Inputs!$C$45^2))+Inputs!$C$48*(0.7*(0.45*SIN(2*PI()*(((Scenario_Data!U170)/Inputs!$C$49)+Inputs!$C$47*0.137))+0.35*COS(2*PI()*(((Inputs!$C$6)/Inputs!$C$50)+Inputs!$C$47*0.173))+0.2*SIN(2*PI()*((((Scenario_Data!U170)+(Inputs!$C$6))/(0.5*(Inputs!$C$49+Inputs!$C$50)))+Inputs!$C$47*0.097)))+0.3*(2*((SIN(((Scenario_Data!U170)*12.9898+(Inputs!$C$6)*78.233+Inputs!$C$47*37.719))*43758.5453)-INT((SIN(((Scenario_Data!U170)*12.9898+(Inputs!$C$6)*78.233+Inputs!$C$47*37.719))*43758.5453)))-1))))/1000))*COS(SQRT((Scenario_Data!U170)^2+Inputs!$C$6^2)/Inputs!$C$52))*1000)/Inputs!$C$21*1000000</f>
        <v/>
      </c>
      <c r="AT170">
        <f>Scenario_Data!V170</f>
        <v/>
      </c>
      <c r="AU170">
        <f>2*(SQRT((Inputs!$C$52+(Scenario_Data!D170))^2+(Inputs!$C$52+((IF(OR(Inputs!$C$27=TRUE,Inputs!$C$27="TRUE",Inputs!$C$27=1),1,0)*(Inputs!$C$51*(115*EXP(-(((Inputs!$C$6)-25)^2)/(4.5^2))+70*EXP(-(((Inputs!$C$6)+38)^2)/(7^2))*(0.55+0.45*SIN(2*PI()*(Scenario_Data!V170)/45))+24*SIN(2*PI()*(Inputs!$C$6)/9+(Scenario_Data!V170)/18)*EXP(-(((Inputs!$C$6)+5)^2)/(22^2))+18*SIN(2*PI()*(Scenario_Data!V170)/70))+Inputs!$C$28*EXP(-(((Scenario_Data!V170)-Inputs!$C$29)^2)/(2*Inputs!$C$31^2))*EXP(-(((Inputs!$C$6)-Inputs!$C$30)^2)/(2*Inputs!$C$32^2))+-Inputs!$C$33*EXP(-(((((Scenario_Data!V170)-Inputs!$C$34)^2)+(((Inputs!$C$6)-Inputs!$C$35)^2))/(2*Inputs!$C$36^2)))+Inputs!$C$37*(0.55*SIN(2*PI()*(Scenario_Data!V170)/Inputs!$C$39)+0.35*COS(2*PI()*(Inputs!$C$6)/Inputs!$C$40)+0.2*SIN(2*PI()*((Scenario_Data!V170)+(Inputs!$C$6))/(0.5*(Inputs!$C$39+Inputs!$C$40))))+Inputs!$C$38*SIN(2*PI()*(Scenario_Data!V170)/Inputs!$C$39)*SIN(2*PI()*(Inputs!$C$6)/Inputs!$C$40)+-Inputs!$C$41*EXP(-(((Inputs!$C$6)-Inputs!$C$43)^2)/(2*Inputs!$C$44^2))*EXP(-(((Scenario_Data!V170)-Inputs!$C$42)^2)/(2*Inputs!$C$45^2))+Inputs!$C$48*(0.7*(0.45*SIN(2*PI()*(((Scenario_Data!V170)/Inputs!$C$49)+Inputs!$C$47*0.137))+0.35*COS(2*PI()*(((Inputs!$C$6)/Inputs!$C$50)+Inputs!$C$47*0.173))+0.2*SIN(2*PI()*((((Scenario_Data!V170)+(Inputs!$C$6))/(0.5*(Inputs!$C$49+Inputs!$C$50)))+Inputs!$C$47*0.097)))+0.3*(2*((SIN(((Scenario_Data!V170)*12.9898+(Inputs!$C$6)*78.233+Inputs!$C$47*37.719))*43758.5453)-INT((SIN(((Scenario_Data!V170)*12.9898+(Inputs!$C$6)*78.233+Inputs!$C$47*37.719))*43758.5453)))-1))))/1000))^2-2*(Inputs!$C$52+(Scenario_Data!D170))*(Inputs!$C$52+((IF(OR(Inputs!$C$27=TRUE,Inputs!$C$27="TRUE",Inputs!$C$27=1),1,0)*(Inputs!$C$51*(115*EXP(-(((Inputs!$C$6)-25)^2)/(4.5^2))+70*EXP(-(((Inputs!$C$6)+38)^2)/(7^2))*(0.55+0.45*SIN(2*PI()*(Scenario_Data!V170)/45))+24*SIN(2*PI()*(Inputs!$C$6)/9+(Scenario_Data!V170)/18)*EXP(-(((Inputs!$C$6)+5)^2)/(22^2))+18*SIN(2*PI()*(Scenario_Data!V170)/70))+Inputs!$C$28*EXP(-(((Scenario_Data!V170)-Inputs!$C$29)^2)/(2*Inputs!$C$31^2))*EXP(-(((Inputs!$C$6)-Inputs!$C$30)^2)/(2*Inputs!$C$32^2))+-Inputs!$C$33*EXP(-(((((Scenario_Data!V170)-Inputs!$C$34)^2)+(((Inputs!$C$6)-Inputs!$C$35)^2))/(2*Inputs!$C$36^2)))+Inputs!$C$37*(0.55*SIN(2*PI()*(Scenario_Data!V170)/Inputs!$C$39)+0.35*COS(2*PI()*(Inputs!$C$6)/Inputs!$C$40)+0.2*SIN(2*PI()*((Scenario_Data!V170)+(Inputs!$C$6))/(0.5*(Inputs!$C$39+Inputs!$C$40))))+Inputs!$C$38*SIN(2*PI()*(Scenario_Data!V170)/Inputs!$C$39)*SIN(2*PI()*(Inputs!$C$6)/Inputs!$C$40)+-Inputs!$C$41*EXP(-(((Inputs!$C$6)-Inputs!$C$43)^2)/(2*Inputs!$C$44^2))*EXP(-(((Scenario_Data!V170)-Inputs!$C$42)^2)/(2*Inputs!$C$45^2))+Inputs!$C$48*(0.7*(0.45*SIN(2*PI()*(((Scenario_Data!V170)/Inputs!$C$49)+Inputs!$C$47*0.137))+0.35*COS(2*PI()*(((Inputs!$C$6)/Inputs!$C$50)+Inputs!$C$47*0.173))+0.2*SIN(2*PI()*((((Scenario_Data!V170)+(Inputs!$C$6))/(0.5*(Inputs!$C$49+Inputs!$C$50)))+Inputs!$C$47*0.097)))+0.3*(2*((SIN(((Scenario_Data!V170)*12.9898+(Inputs!$C$6)*78.233+Inputs!$C$47*37.719))*43758.5453)-INT((SIN(((Scenario_Data!V170)*12.9898+(Inputs!$C$6)*78.233+Inputs!$C$47*37.719))*43758.5453)))-1))))/1000))*COS(SQRT((Scenario_Data!V170)^2+Inputs!$C$6^2)/Inputs!$C$52))*1000)/Inputs!$C$21*1000000</f>
        <v/>
      </c>
      <c r="AV170">
        <f>Scenario_Data!W170</f>
        <v/>
      </c>
      <c r="AW170">
        <f>2*(SQRT((Inputs!$C$52+(Scenario_Data!E170))^2+(Inputs!$C$52+((IF(OR(Inputs!$C$27=TRUE,Inputs!$C$27="TRUE",Inputs!$C$27=1),1,0)*(Inputs!$C$51*(115*EXP(-(((Inputs!$C$6)-25)^2)/(4.5^2))+70*EXP(-(((Inputs!$C$6)+38)^2)/(7^2))*(0.55+0.45*SIN(2*PI()*(Scenario_Data!W170)/45))+24*SIN(2*PI()*(Inputs!$C$6)/9+(Scenario_Data!W170)/18)*EXP(-(((Inputs!$C$6)+5)^2)/(22^2))+18*SIN(2*PI()*(Scenario_Data!W170)/70))+Inputs!$C$28*EXP(-(((Scenario_Data!W170)-Inputs!$C$29)^2)/(2*Inputs!$C$31^2))*EXP(-(((Inputs!$C$6)-Inputs!$C$30)^2)/(2*Inputs!$C$32^2))+-Inputs!$C$33*EXP(-(((((Scenario_Data!W170)-Inputs!$C$34)^2)+(((Inputs!$C$6)-Inputs!$C$35)^2))/(2*Inputs!$C$36^2)))+Inputs!$C$37*(0.55*SIN(2*PI()*(Scenario_Data!W170)/Inputs!$C$39)+0.35*COS(2*PI()*(Inputs!$C$6)/Inputs!$C$40)+0.2*SIN(2*PI()*((Scenario_Data!W170)+(Inputs!$C$6))/(0.5*(Inputs!$C$39+Inputs!$C$40))))+Inputs!$C$38*SIN(2*PI()*(Scenario_Data!W170)/Inputs!$C$39)*SIN(2*PI()*(Inputs!$C$6)/Inputs!$C$40)+-Inputs!$C$41*EXP(-(((Inputs!$C$6)-Inputs!$C$43)^2)/(2*Inputs!$C$44^2))*EXP(-(((Scenario_Data!W170)-Inputs!$C$42)^2)/(2*Inputs!$C$45^2))+Inputs!$C$48*(0.7*(0.45*SIN(2*PI()*(((Scenario_Data!W170)/Inputs!$C$49)+Inputs!$C$47*0.137))+0.35*COS(2*PI()*(((Inputs!$C$6)/Inputs!$C$50)+Inputs!$C$47*0.173))+0.2*SIN(2*PI()*((((Scenario_Data!W170)+(Inputs!$C$6))/(0.5*(Inputs!$C$49+Inputs!$C$50)))+Inputs!$C$47*0.097)))+0.3*(2*((SIN(((Scenario_Data!W170)*12.9898+(Inputs!$C$6)*78.233+Inputs!$C$47*37.719))*43758.5453)-INT((SIN(((Scenario_Data!W170)*12.9898+(Inputs!$C$6)*78.233+Inputs!$C$47*37.719))*43758.5453)))-1))))/1000))^2-2*(Inputs!$C$52+(Scenario_Data!E170))*(Inputs!$C$52+((IF(OR(Inputs!$C$27=TRUE,Inputs!$C$27="TRUE",Inputs!$C$27=1),1,0)*(Inputs!$C$51*(115*EXP(-(((Inputs!$C$6)-25)^2)/(4.5^2))+70*EXP(-(((Inputs!$C$6)+38)^2)/(7^2))*(0.55+0.45*SIN(2*PI()*(Scenario_Data!W170)/45))+24*SIN(2*PI()*(Inputs!$C$6)/9+(Scenario_Data!W170)/18)*EXP(-(((Inputs!$C$6)+5)^2)/(22^2))+18*SIN(2*PI()*(Scenario_Data!W170)/70))+Inputs!$C$28*EXP(-(((Scenario_Data!W170)-Inputs!$C$29)^2)/(2*Inputs!$C$31^2))*EXP(-(((Inputs!$C$6)-Inputs!$C$30)^2)/(2*Inputs!$C$32^2))+-Inputs!$C$33*EXP(-(((((Scenario_Data!W170)-Inputs!$C$34)^2)+(((Inputs!$C$6)-Inputs!$C$35)^2))/(2*Inputs!$C$36^2)))+Inputs!$C$37*(0.55*SIN(2*PI()*(Scenario_Data!W170)/Inputs!$C$39)+0.35*COS(2*PI()*(Inputs!$C$6)/Inputs!$C$40)+0.2*SIN(2*PI()*((Scenario_Data!W170)+(Inputs!$C$6))/(0.5*(Inputs!$C$39+Inputs!$C$40))))+Inputs!$C$38*SIN(2*PI()*(Scenario_Data!W170)/Inputs!$C$39)*SIN(2*PI()*(Inputs!$C$6)/Inputs!$C$40)+-Inputs!$C$41*EXP(-(((Inputs!$C$6)-Inputs!$C$43)^2)/(2*Inputs!$C$44^2))*EXP(-(((Scenario_Data!W170)-Inputs!$C$42)^2)/(2*Inputs!$C$45^2))+Inputs!$C$48*(0.7*(0.45*SIN(2*PI()*(((Scenario_Data!W170)/Inputs!$C$49)+Inputs!$C$47*0.137))+0.35*COS(2*PI()*(((Inputs!$C$6)/Inputs!$C$50)+Inputs!$C$47*0.173))+0.2*SIN(2*PI()*((((Scenario_Data!W170)+(Inputs!$C$6))/(0.5*(Inputs!$C$49+Inputs!$C$50)))+Inputs!$C$47*0.097)))+0.3*(2*((SIN(((Scenario_Data!W170)*12.9898+(Inputs!$C$6)*78.233+Inputs!$C$47*37.719))*43758.5453)-INT((SIN(((Scenario_Data!W170)*12.9898+(Inputs!$C$6)*78.233+Inputs!$C$47*37.719))*43758.5453)))-1))))/1000))*COS(SQRT((Scenario_Data!W170)^2+Inputs!$C$6^2)/Inputs!$C$52))*1000)/Inputs!$C$21*1000000</f>
        <v/>
      </c>
    </row>
    <row r="171">
      <c r="A171">
        <f>Chart_Data!K171</f>
        <v/>
      </c>
      <c r="B171">
        <f>Chart_Data!N171-Chart_Data!L171</f>
        <v/>
      </c>
      <c r="D171">
        <f>Chart_Data!G171</f>
        <v/>
      </c>
      <c r="E171">
        <f>Chart_Data!H171</f>
        <v/>
      </c>
      <c r="F171">
        <f>Chart_Data!I171</f>
        <v/>
      </c>
      <c r="G171">
        <f>Chart_Data!J171</f>
        <v/>
      </c>
      <c r="I171">
        <f>Scenario_Data!A171</f>
        <v/>
      </c>
      <c r="J171">
        <f>Scenario_Data!H171-(((SQRT((Inputs!$C$52+(Inputs!$H$6))^2+Inputs!$C$52^2-2*(Inputs!$C$52+(Inputs!$H$6))*Inputs!$C$52*COS(SQRT((Scenario_Data!T171)^2+Inputs!$C$6^2)/Inputs!$C$52)))-(Inputs!$H$6))*1000/Inputs!$C$12)</f>
        <v/>
      </c>
      <c r="K171">
        <f>Scenario_Data!I171-(((SQRT((Inputs!$C$52+(Inputs!$H$7))^2+Inputs!$C$52^2-2*(Inputs!$C$52+(Inputs!$H$7))*Inputs!$C$52*COS(SQRT((Scenario_Data!U171)^2+Inputs!$C$6^2)/Inputs!$C$52)))-(Inputs!$H$7))*1000/Inputs!$C$12)</f>
        <v/>
      </c>
      <c r="L171">
        <f>Scenario_Data!J171-(((SQRT((Inputs!$C$52+(Inputs!$H$8))^2+Inputs!$C$52^2-2*(Inputs!$C$52+(Inputs!$H$8))*Inputs!$C$52*COS(SQRT((Scenario_Data!V171)^2+Inputs!$C$6^2)/Inputs!$C$52)))-(Inputs!$H$8))*1000/Inputs!$C$12)</f>
        <v/>
      </c>
      <c r="M171">
        <f>Scenario_Data!K171-(((SQRT((Inputs!$C$52+(Inputs!$H$9))^2+Inputs!$C$52^2-2*(Inputs!$C$52+(Inputs!$H$9))*Inputs!$C$52*COS(SQRT((Scenario_Data!W171)^2+Inputs!$C$6^2)/Inputs!$C$52)))-(Inputs!$H$9))*1000/Inputs!$C$12)</f>
        <v/>
      </c>
      <c r="O171">
        <f>Scenario_Data!T171</f>
        <v/>
      </c>
      <c r="P171">
        <f>2*(Scenario_Data!B171*1000)/Inputs!$C$21*1000000</f>
        <v/>
      </c>
      <c r="Q171">
        <f>Scenario_Data!U171</f>
        <v/>
      </c>
      <c r="R171">
        <f>2*(Scenario_Data!C171*1000)/Inputs!$C$21*1000000</f>
        <v/>
      </c>
      <c r="S171">
        <f>Scenario_Data!V171</f>
        <v/>
      </c>
      <c r="T171">
        <f>2*(Scenario_Data!D171*1000)/Inputs!$C$21*1000000</f>
        <v/>
      </c>
      <c r="U171">
        <f>Scenario_Data!W171</f>
        <v/>
      </c>
      <c r="V171">
        <f>2*(Scenario_Data!E171*1000)/Inputs!$C$21*1000000</f>
        <v/>
      </c>
      <c r="X171">
        <f>Scenario_Data!T171</f>
        <v/>
      </c>
      <c r="Y171">
        <f>2*((Scenario_Data!B171*1000)-(IF(OR(Inputs!$C$27=TRUE,Inputs!$C$27="TRUE",Inputs!$C$27=1),1,0)*(Inputs!$C$51*(115*EXP(-(((0)-25)^2)/(4.5^2))+70*EXP(-(((0)+38)^2)/(7^2))*(0.55+0.45*SIN(2*PI()*(Scenario_Data!T171)/45))+24*SIN(2*PI()*(0)/9+(Scenario_Data!T171)/18)*EXP(-(((0)+5)^2)/(22^2))+18*SIN(2*PI()*(Scenario_Data!T171)/70))+Inputs!$C$28*EXP(-(((Scenario_Data!T171)-Inputs!$C$29)^2)/(2*Inputs!$C$31^2))*EXP(-(((0)-Inputs!$C$30)^2)/(2*Inputs!$C$32^2))+-Inputs!$C$33*EXP(-(((((Scenario_Data!T171)-Inputs!$C$34)^2)+(((0)-Inputs!$C$35)^2))/(2*Inputs!$C$36^2)))+Inputs!$C$37*(0.55*SIN(2*PI()*(Scenario_Data!T171)/Inputs!$C$39)+0.35*COS(2*PI()*(0)/Inputs!$C$40)+0.2*SIN(2*PI()*((Scenario_Data!T171)+(0))/(0.5*(Inputs!$C$39+Inputs!$C$40))))+Inputs!$C$38*SIN(2*PI()*(Scenario_Data!T171)/Inputs!$C$39)*SIN(2*PI()*(0)/Inputs!$C$40)+-Inputs!$C$41*EXP(-(((0)-Inputs!$C$43)^2)/(2*Inputs!$C$44^2))*EXP(-(((Scenario_Data!T171)-Inputs!$C$42)^2)/(2*Inputs!$C$45^2))+Inputs!$C$48*(0.7*(0.45*SIN(2*PI()*(((Scenario_Data!T171)/Inputs!$C$49)+Inputs!$C$47*0.137))+0.35*COS(2*PI()*(((0)/Inputs!$C$50)+Inputs!$C$47*0.173))+0.2*SIN(2*PI()*((((Scenario_Data!T171)+(0))/(0.5*(Inputs!$C$49+Inputs!$C$50)))+Inputs!$C$47*0.097)))+0.3*(2*((SIN(((Scenario_Data!T171)*12.9898+(0)*78.233+Inputs!$C$47*37.719))*43758.5453)-INT((SIN(((Scenario_Data!T171)*12.9898+(0)*78.233+Inputs!$C$47*37.719))*43758.5453)))-1)))))/Inputs!$C$21*1000000</f>
        <v/>
      </c>
      <c r="Z171">
        <f>Scenario_Data!U171</f>
        <v/>
      </c>
      <c r="AA171">
        <f>2*((Scenario_Data!C171*1000)-(IF(OR(Inputs!$C$27=TRUE,Inputs!$C$27="TRUE",Inputs!$C$27=1),1,0)*(Inputs!$C$51*(115*EXP(-(((0)-25)^2)/(4.5^2))+70*EXP(-(((0)+38)^2)/(7^2))*(0.55+0.45*SIN(2*PI()*(Scenario_Data!U171)/45))+24*SIN(2*PI()*(0)/9+(Scenario_Data!U171)/18)*EXP(-(((0)+5)^2)/(22^2))+18*SIN(2*PI()*(Scenario_Data!U171)/70))+Inputs!$C$28*EXP(-(((Scenario_Data!U171)-Inputs!$C$29)^2)/(2*Inputs!$C$31^2))*EXP(-(((0)-Inputs!$C$30)^2)/(2*Inputs!$C$32^2))+-Inputs!$C$33*EXP(-(((((Scenario_Data!U171)-Inputs!$C$34)^2)+(((0)-Inputs!$C$35)^2))/(2*Inputs!$C$36^2)))+Inputs!$C$37*(0.55*SIN(2*PI()*(Scenario_Data!U171)/Inputs!$C$39)+0.35*COS(2*PI()*(0)/Inputs!$C$40)+0.2*SIN(2*PI()*((Scenario_Data!U171)+(0))/(0.5*(Inputs!$C$39+Inputs!$C$40))))+Inputs!$C$38*SIN(2*PI()*(Scenario_Data!U171)/Inputs!$C$39)*SIN(2*PI()*(0)/Inputs!$C$40)+-Inputs!$C$41*EXP(-(((0)-Inputs!$C$43)^2)/(2*Inputs!$C$44^2))*EXP(-(((Scenario_Data!U171)-Inputs!$C$42)^2)/(2*Inputs!$C$45^2))+Inputs!$C$48*(0.7*(0.45*SIN(2*PI()*(((Scenario_Data!U171)/Inputs!$C$49)+Inputs!$C$47*0.137))+0.35*COS(2*PI()*(((0)/Inputs!$C$50)+Inputs!$C$47*0.173))+0.2*SIN(2*PI()*((((Scenario_Data!U171)+(0))/(0.5*(Inputs!$C$49+Inputs!$C$50)))+Inputs!$C$47*0.097)))+0.3*(2*((SIN(((Scenario_Data!U171)*12.9898+(0)*78.233+Inputs!$C$47*37.719))*43758.5453)-INT((SIN(((Scenario_Data!U171)*12.9898+(0)*78.233+Inputs!$C$47*37.719))*43758.5453)))-1)))))/Inputs!$C$21*1000000</f>
        <v/>
      </c>
      <c r="AB171">
        <f>Scenario_Data!V171</f>
        <v/>
      </c>
      <c r="AC171">
        <f>2*((Scenario_Data!D171*1000)-(IF(OR(Inputs!$C$27=TRUE,Inputs!$C$27="TRUE",Inputs!$C$27=1),1,0)*(Inputs!$C$51*(115*EXP(-(((0)-25)^2)/(4.5^2))+70*EXP(-(((0)+38)^2)/(7^2))*(0.55+0.45*SIN(2*PI()*(Scenario_Data!V171)/45))+24*SIN(2*PI()*(0)/9+(Scenario_Data!V171)/18)*EXP(-(((0)+5)^2)/(22^2))+18*SIN(2*PI()*(Scenario_Data!V171)/70))+Inputs!$C$28*EXP(-(((Scenario_Data!V171)-Inputs!$C$29)^2)/(2*Inputs!$C$31^2))*EXP(-(((0)-Inputs!$C$30)^2)/(2*Inputs!$C$32^2))+-Inputs!$C$33*EXP(-(((((Scenario_Data!V171)-Inputs!$C$34)^2)+(((0)-Inputs!$C$35)^2))/(2*Inputs!$C$36^2)))+Inputs!$C$37*(0.55*SIN(2*PI()*(Scenario_Data!V171)/Inputs!$C$39)+0.35*COS(2*PI()*(0)/Inputs!$C$40)+0.2*SIN(2*PI()*((Scenario_Data!V171)+(0))/(0.5*(Inputs!$C$39+Inputs!$C$40))))+Inputs!$C$38*SIN(2*PI()*(Scenario_Data!V171)/Inputs!$C$39)*SIN(2*PI()*(0)/Inputs!$C$40)+-Inputs!$C$41*EXP(-(((0)-Inputs!$C$43)^2)/(2*Inputs!$C$44^2))*EXP(-(((Scenario_Data!V171)-Inputs!$C$42)^2)/(2*Inputs!$C$45^2))+Inputs!$C$48*(0.7*(0.45*SIN(2*PI()*(((Scenario_Data!V171)/Inputs!$C$49)+Inputs!$C$47*0.137))+0.35*COS(2*PI()*(((0)/Inputs!$C$50)+Inputs!$C$47*0.173))+0.2*SIN(2*PI()*((((Scenario_Data!V171)+(0))/(0.5*(Inputs!$C$49+Inputs!$C$50)))+Inputs!$C$47*0.097)))+0.3*(2*((SIN(((Scenario_Data!V171)*12.9898+(0)*78.233+Inputs!$C$47*37.719))*43758.5453)-INT((SIN(((Scenario_Data!V171)*12.9898+(0)*78.233+Inputs!$C$47*37.719))*43758.5453)))-1)))))/Inputs!$C$21*1000000</f>
        <v/>
      </c>
      <c r="AD171">
        <f>Scenario_Data!W171</f>
        <v/>
      </c>
      <c r="AE171">
        <f>2*((Scenario_Data!E171*1000)-(IF(OR(Inputs!$C$27=TRUE,Inputs!$C$27="TRUE",Inputs!$C$27=1),1,0)*(Inputs!$C$51*(115*EXP(-(((0)-25)^2)/(4.5^2))+70*EXP(-(((0)+38)^2)/(7^2))*(0.55+0.45*SIN(2*PI()*(Scenario_Data!W171)/45))+24*SIN(2*PI()*(0)/9+(Scenario_Data!W171)/18)*EXP(-(((0)+5)^2)/(22^2))+18*SIN(2*PI()*(Scenario_Data!W171)/70))+Inputs!$C$28*EXP(-(((Scenario_Data!W171)-Inputs!$C$29)^2)/(2*Inputs!$C$31^2))*EXP(-(((0)-Inputs!$C$30)^2)/(2*Inputs!$C$32^2))+-Inputs!$C$33*EXP(-(((((Scenario_Data!W171)-Inputs!$C$34)^2)+(((0)-Inputs!$C$35)^2))/(2*Inputs!$C$36^2)))+Inputs!$C$37*(0.55*SIN(2*PI()*(Scenario_Data!W171)/Inputs!$C$39)+0.35*COS(2*PI()*(0)/Inputs!$C$40)+0.2*SIN(2*PI()*((Scenario_Data!W171)+(0))/(0.5*(Inputs!$C$39+Inputs!$C$40))))+Inputs!$C$38*SIN(2*PI()*(Scenario_Data!W171)/Inputs!$C$39)*SIN(2*PI()*(0)/Inputs!$C$40)+-Inputs!$C$41*EXP(-(((0)-Inputs!$C$43)^2)/(2*Inputs!$C$44^2))*EXP(-(((Scenario_Data!W171)-Inputs!$C$42)^2)/(2*Inputs!$C$45^2))+Inputs!$C$48*(0.7*(0.45*SIN(2*PI()*(((Scenario_Data!W171)/Inputs!$C$49)+Inputs!$C$47*0.137))+0.35*COS(2*PI()*(((0)/Inputs!$C$50)+Inputs!$C$47*0.173))+0.2*SIN(2*PI()*((((Scenario_Data!W171)+(0))/(0.5*(Inputs!$C$49+Inputs!$C$50)))+Inputs!$C$47*0.097)))+0.3*(2*((SIN(((Scenario_Data!W171)*12.9898+(0)*78.233+Inputs!$C$47*37.719))*43758.5453)-INT((SIN(((Scenario_Data!W171)*12.9898+(0)*78.233+Inputs!$C$47*37.719))*43758.5453)))-1)))))/Inputs!$C$21*1000000</f>
        <v/>
      </c>
      <c r="AG171">
        <f>Scenario_Data!T171</f>
        <v/>
      </c>
      <c r="AH171">
        <f>2*(SQRT((Inputs!$C$52+(Scenario_Data!B171))^2+Inputs!$C$52^2-2*(Inputs!$C$52+(Scenario_Data!B171))*Inputs!$C$52*COS(SQRT((Scenario_Data!T171)^2+Inputs!$C$6^2)/Inputs!$C$52))*1000)/Inputs!$C$21*1000000</f>
        <v/>
      </c>
      <c r="AI171">
        <f>Scenario_Data!U171</f>
        <v/>
      </c>
      <c r="AJ171">
        <f>2*(SQRT((Inputs!$C$52+(Scenario_Data!C171))^2+Inputs!$C$52^2-2*(Inputs!$C$52+(Scenario_Data!C171))*Inputs!$C$52*COS(SQRT((Scenario_Data!U171)^2+Inputs!$C$6^2)/Inputs!$C$52))*1000)/Inputs!$C$21*1000000</f>
        <v/>
      </c>
      <c r="AK171">
        <f>Scenario_Data!V171</f>
        <v/>
      </c>
      <c r="AL171">
        <f>2*(SQRT((Inputs!$C$52+(Scenario_Data!D171))^2+Inputs!$C$52^2-2*(Inputs!$C$52+(Scenario_Data!D171))*Inputs!$C$52*COS(SQRT((Scenario_Data!V171)^2+Inputs!$C$6^2)/Inputs!$C$52))*1000)/Inputs!$C$21*1000000</f>
        <v/>
      </c>
      <c r="AM171">
        <f>Scenario_Data!W171</f>
        <v/>
      </c>
      <c r="AN171">
        <f>2*(SQRT((Inputs!$C$52+(Scenario_Data!E171))^2+Inputs!$C$52^2-2*(Inputs!$C$52+(Scenario_Data!E171))*Inputs!$C$52*COS(SQRT((Scenario_Data!W171)^2+Inputs!$C$6^2)/Inputs!$C$52))*1000)/Inputs!$C$21*1000000</f>
        <v/>
      </c>
      <c r="AP171">
        <f>Scenario_Data!T171</f>
        <v/>
      </c>
      <c r="AQ171">
        <f>2*(SQRT((Inputs!$C$52+(Scenario_Data!B171))^2+(Inputs!$C$52+((IF(OR(Inputs!$C$27=TRUE,Inputs!$C$27="TRUE",Inputs!$C$27=1),1,0)*(Inputs!$C$51*(115*EXP(-(((Inputs!$C$6)-25)^2)/(4.5^2))+70*EXP(-(((Inputs!$C$6)+38)^2)/(7^2))*(0.55+0.45*SIN(2*PI()*(Scenario_Data!T171)/45))+24*SIN(2*PI()*(Inputs!$C$6)/9+(Scenario_Data!T171)/18)*EXP(-(((Inputs!$C$6)+5)^2)/(22^2))+18*SIN(2*PI()*(Scenario_Data!T171)/70))+Inputs!$C$28*EXP(-(((Scenario_Data!T171)-Inputs!$C$29)^2)/(2*Inputs!$C$31^2))*EXP(-(((Inputs!$C$6)-Inputs!$C$30)^2)/(2*Inputs!$C$32^2))+-Inputs!$C$33*EXP(-(((((Scenario_Data!T171)-Inputs!$C$34)^2)+(((Inputs!$C$6)-Inputs!$C$35)^2))/(2*Inputs!$C$36^2)))+Inputs!$C$37*(0.55*SIN(2*PI()*(Scenario_Data!T171)/Inputs!$C$39)+0.35*COS(2*PI()*(Inputs!$C$6)/Inputs!$C$40)+0.2*SIN(2*PI()*((Scenario_Data!T171)+(Inputs!$C$6))/(0.5*(Inputs!$C$39+Inputs!$C$40))))+Inputs!$C$38*SIN(2*PI()*(Scenario_Data!T171)/Inputs!$C$39)*SIN(2*PI()*(Inputs!$C$6)/Inputs!$C$40)+-Inputs!$C$41*EXP(-(((Inputs!$C$6)-Inputs!$C$43)^2)/(2*Inputs!$C$44^2))*EXP(-(((Scenario_Data!T171)-Inputs!$C$42)^2)/(2*Inputs!$C$45^2))+Inputs!$C$48*(0.7*(0.45*SIN(2*PI()*(((Scenario_Data!T171)/Inputs!$C$49)+Inputs!$C$47*0.137))+0.35*COS(2*PI()*(((Inputs!$C$6)/Inputs!$C$50)+Inputs!$C$47*0.173))+0.2*SIN(2*PI()*((((Scenario_Data!T171)+(Inputs!$C$6))/(0.5*(Inputs!$C$49+Inputs!$C$50)))+Inputs!$C$47*0.097)))+0.3*(2*((SIN(((Scenario_Data!T171)*12.9898+(Inputs!$C$6)*78.233+Inputs!$C$47*37.719))*43758.5453)-INT((SIN(((Scenario_Data!T171)*12.9898+(Inputs!$C$6)*78.233+Inputs!$C$47*37.719))*43758.5453)))-1))))/1000))^2-2*(Inputs!$C$52+(Scenario_Data!B171))*(Inputs!$C$52+((IF(OR(Inputs!$C$27=TRUE,Inputs!$C$27="TRUE",Inputs!$C$27=1),1,0)*(Inputs!$C$51*(115*EXP(-(((Inputs!$C$6)-25)^2)/(4.5^2))+70*EXP(-(((Inputs!$C$6)+38)^2)/(7^2))*(0.55+0.45*SIN(2*PI()*(Scenario_Data!T171)/45))+24*SIN(2*PI()*(Inputs!$C$6)/9+(Scenario_Data!T171)/18)*EXP(-(((Inputs!$C$6)+5)^2)/(22^2))+18*SIN(2*PI()*(Scenario_Data!T171)/70))+Inputs!$C$28*EXP(-(((Scenario_Data!T171)-Inputs!$C$29)^2)/(2*Inputs!$C$31^2))*EXP(-(((Inputs!$C$6)-Inputs!$C$30)^2)/(2*Inputs!$C$32^2))+-Inputs!$C$33*EXP(-(((((Scenario_Data!T171)-Inputs!$C$34)^2)+(((Inputs!$C$6)-Inputs!$C$35)^2))/(2*Inputs!$C$36^2)))+Inputs!$C$37*(0.55*SIN(2*PI()*(Scenario_Data!T171)/Inputs!$C$39)+0.35*COS(2*PI()*(Inputs!$C$6)/Inputs!$C$40)+0.2*SIN(2*PI()*((Scenario_Data!T171)+(Inputs!$C$6))/(0.5*(Inputs!$C$39+Inputs!$C$40))))+Inputs!$C$38*SIN(2*PI()*(Scenario_Data!T171)/Inputs!$C$39)*SIN(2*PI()*(Inputs!$C$6)/Inputs!$C$40)+-Inputs!$C$41*EXP(-(((Inputs!$C$6)-Inputs!$C$43)^2)/(2*Inputs!$C$44^2))*EXP(-(((Scenario_Data!T171)-Inputs!$C$42)^2)/(2*Inputs!$C$45^2))+Inputs!$C$48*(0.7*(0.45*SIN(2*PI()*(((Scenario_Data!T171)/Inputs!$C$49)+Inputs!$C$47*0.137))+0.35*COS(2*PI()*(((Inputs!$C$6)/Inputs!$C$50)+Inputs!$C$47*0.173))+0.2*SIN(2*PI()*((((Scenario_Data!T171)+(Inputs!$C$6))/(0.5*(Inputs!$C$49+Inputs!$C$50)))+Inputs!$C$47*0.097)))+0.3*(2*((SIN(((Scenario_Data!T171)*12.9898+(Inputs!$C$6)*78.233+Inputs!$C$47*37.719))*43758.5453)-INT((SIN(((Scenario_Data!T171)*12.9898+(Inputs!$C$6)*78.233+Inputs!$C$47*37.719))*43758.5453)))-1))))/1000))*COS(SQRT((Scenario_Data!T171)^2+Inputs!$C$6^2)/Inputs!$C$52))*1000)/Inputs!$C$21*1000000</f>
        <v/>
      </c>
      <c r="AR171">
        <f>Scenario_Data!U171</f>
        <v/>
      </c>
      <c r="AS171">
        <f>2*(SQRT((Inputs!$C$52+(Scenario_Data!C171))^2+(Inputs!$C$52+((IF(OR(Inputs!$C$27=TRUE,Inputs!$C$27="TRUE",Inputs!$C$27=1),1,0)*(Inputs!$C$51*(115*EXP(-(((Inputs!$C$6)-25)^2)/(4.5^2))+70*EXP(-(((Inputs!$C$6)+38)^2)/(7^2))*(0.55+0.45*SIN(2*PI()*(Scenario_Data!U171)/45))+24*SIN(2*PI()*(Inputs!$C$6)/9+(Scenario_Data!U171)/18)*EXP(-(((Inputs!$C$6)+5)^2)/(22^2))+18*SIN(2*PI()*(Scenario_Data!U171)/70))+Inputs!$C$28*EXP(-(((Scenario_Data!U171)-Inputs!$C$29)^2)/(2*Inputs!$C$31^2))*EXP(-(((Inputs!$C$6)-Inputs!$C$30)^2)/(2*Inputs!$C$32^2))+-Inputs!$C$33*EXP(-(((((Scenario_Data!U171)-Inputs!$C$34)^2)+(((Inputs!$C$6)-Inputs!$C$35)^2))/(2*Inputs!$C$36^2)))+Inputs!$C$37*(0.55*SIN(2*PI()*(Scenario_Data!U171)/Inputs!$C$39)+0.35*COS(2*PI()*(Inputs!$C$6)/Inputs!$C$40)+0.2*SIN(2*PI()*((Scenario_Data!U171)+(Inputs!$C$6))/(0.5*(Inputs!$C$39+Inputs!$C$40))))+Inputs!$C$38*SIN(2*PI()*(Scenario_Data!U171)/Inputs!$C$39)*SIN(2*PI()*(Inputs!$C$6)/Inputs!$C$40)+-Inputs!$C$41*EXP(-(((Inputs!$C$6)-Inputs!$C$43)^2)/(2*Inputs!$C$44^2))*EXP(-(((Scenario_Data!U171)-Inputs!$C$42)^2)/(2*Inputs!$C$45^2))+Inputs!$C$48*(0.7*(0.45*SIN(2*PI()*(((Scenario_Data!U171)/Inputs!$C$49)+Inputs!$C$47*0.137))+0.35*COS(2*PI()*(((Inputs!$C$6)/Inputs!$C$50)+Inputs!$C$47*0.173))+0.2*SIN(2*PI()*((((Scenario_Data!U171)+(Inputs!$C$6))/(0.5*(Inputs!$C$49+Inputs!$C$50)))+Inputs!$C$47*0.097)))+0.3*(2*((SIN(((Scenario_Data!U171)*12.9898+(Inputs!$C$6)*78.233+Inputs!$C$47*37.719))*43758.5453)-INT((SIN(((Scenario_Data!U171)*12.9898+(Inputs!$C$6)*78.233+Inputs!$C$47*37.719))*43758.5453)))-1))))/1000))^2-2*(Inputs!$C$52+(Scenario_Data!C171))*(Inputs!$C$52+((IF(OR(Inputs!$C$27=TRUE,Inputs!$C$27="TRUE",Inputs!$C$27=1),1,0)*(Inputs!$C$51*(115*EXP(-(((Inputs!$C$6)-25)^2)/(4.5^2))+70*EXP(-(((Inputs!$C$6)+38)^2)/(7^2))*(0.55+0.45*SIN(2*PI()*(Scenario_Data!U171)/45))+24*SIN(2*PI()*(Inputs!$C$6)/9+(Scenario_Data!U171)/18)*EXP(-(((Inputs!$C$6)+5)^2)/(22^2))+18*SIN(2*PI()*(Scenario_Data!U171)/70))+Inputs!$C$28*EXP(-(((Scenario_Data!U171)-Inputs!$C$29)^2)/(2*Inputs!$C$31^2))*EXP(-(((Inputs!$C$6)-Inputs!$C$30)^2)/(2*Inputs!$C$32^2))+-Inputs!$C$33*EXP(-(((((Scenario_Data!U171)-Inputs!$C$34)^2)+(((Inputs!$C$6)-Inputs!$C$35)^2))/(2*Inputs!$C$36^2)))+Inputs!$C$37*(0.55*SIN(2*PI()*(Scenario_Data!U171)/Inputs!$C$39)+0.35*COS(2*PI()*(Inputs!$C$6)/Inputs!$C$40)+0.2*SIN(2*PI()*((Scenario_Data!U171)+(Inputs!$C$6))/(0.5*(Inputs!$C$39+Inputs!$C$40))))+Inputs!$C$38*SIN(2*PI()*(Scenario_Data!U171)/Inputs!$C$39)*SIN(2*PI()*(Inputs!$C$6)/Inputs!$C$40)+-Inputs!$C$41*EXP(-(((Inputs!$C$6)-Inputs!$C$43)^2)/(2*Inputs!$C$44^2))*EXP(-(((Scenario_Data!U171)-Inputs!$C$42)^2)/(2*Inputs!$C$45^2))+Inputs!$C$48*(0.7*(0.45*SIN(2*PI()*(((Scenario_Data!U171)/Inputs!$C$49)+Inputs!$C$47*0.137))+0.35*COS(2*PI()*(((Inputs!$C$6)/Inputs!$C$50)+Inputs!$C$47*0.173))+0.2*SIN(2*PI()*((((Scenario_Data!U171)+(Inputs!$C$6))/(0.5*(Inputs!$C$49+Inputs!$C$50)))+Inputs!$C$47*0.097)))+0.3*(2*((SIN(((Scenario_Data!U171)*12.9898+(Inputs!$C$6)*78.233+Inputs!$C$47*37.719))*43758.5453)-INT((SIN(((Scenario_Data!U171)*12.9898+(Inputs!$C$6)*78.233+Inputs!$C$47*37.719))*43758.5453)))-1))))/1000))*COS(SQRT((Scenario_Data!U171)^2+Inputs!$C$6^2)/Inputs!$C$52))*1000)/Inputs!$C$21*1000000</f>
        <v/>
      </c>
      <c r="AT171">
        <f>Scenario_Data!V171</f>
        <v/>
      </c>
      <c r="AU171">
        <f>2*(SQRT((Inputs!$C$52+(Scenario_Data!D171))^2+(Inputs!$C$52+((IF(OR(Inputs!$C$27=TRUE,Inputs!$C$27="TRUE",Inputs!$C$27=1),1,0)*(Inputs!$C$51*(115*EXP(-(((Inputs!$C$6)-25)^2)/(4.5^2))+70*EXP(-(((Inputs!$C$6)+38)^2)/(7^2))*(0.55+0.45*SIN(2*PI()*(Scenario_Data!V171)/45))+24*SIN(2*PI()*(Inputs!$C$6)/9+(Scenario_Data!V171)/18)*EXP(-(((Inputs!$C$6)+5)^2)/(22^2))+18*SIN(2*PI()*(Scenario_Data!V171)/70))+Inputs!$C$28*EXP(-(((Scenario_Data!V171)-Inputs!$C$29)^2)/(2*Inputs!$C$31^2))*EXP(-(((Inputs!$C$6)-Inputs!$C$30)^2)/(2*Inputs!$C$32^2))+-Inputs!$C$33*EXP(-(((((Scenario_Data!V171)-Inputs!$C$34)^2)+(((Inputs!$C$6)-Inputs!$C$35)^2))/(2*Inputs!$C$36^2)))+Inputs!$C$37*(0.55*SIN(2*PI()*(Scenario_Data!V171)/Inputs!$C$39)+0.35*COS(2*PI()*(Inputs!$C$6)/Inputs!$C$40)+0.2*SIN(2*PI()*((Scenario_Data!V171)+(Inputs!$C$6))/(0.5*(Inputs!$C$39+Inputs!$C$40))))+Inputs!$C$38*SIN(2*PI()*(Scenario_Data!V171)/Inputs!$C$39)*SIN(2*PI()*(Inputs!$C$6)/Inputs!$C$40)+-Inputs!$C$41*EXP(-(((Inputs!$C$6)-Inputs!$C$43)^2)/(2*Inputs!$C$44^2))*EXP(-(((Scenario_Data!V171)-Inputs!$C$42)^2)/(2*Inputs!$C$45^2))+Inputs!$C$48*(0.7*(0.45*SIN(2*PI()*(((Scenario_Data!V171)/Inputs!$C$49)+Inputs!$C$47*0.137))+0.35*COS(2*PI()*(((Inputs!$C$6)/Inputs!$C$50)+Inputs!$C$47*0.173))+0.2*SIN(2*PI()*((((Scenario_Data!V171)+(Inputs!$C$6))/(0.5*(Inputs!$C$49+Inputs!$C$50)))+Inputs!$C$47*0.097)))+0.3*(2*((SIN(((Scenario_Data!V171)*12.9898+(Inputs!$C$6)*78.233+Inputs!$C$47*37.719))*43758.5453)-INT((SIN(((Scenario_Data!V171)*12.9898+(Inputs!$C$6)*78.233+Inputs!$C$47*37.719))*43758.5453)))-1))))/1000))^2-2*(Inputs!$C$52+(Scenario_Data!D171))*(Inputs!$C$52+((IF(OR(Inputs!$C$27=TRUE,Inputs!$C$27="TRUE",Inputs!$C$27=1),1,0)*(Inputs!$C$51*(115*EXP(-(((Inputs!$C$6)-25)^2)/(4.5^2))+70*EXP(-(((Inputs!$C$6)+38)^2)/(7^2))*(0.55+0.45*SIN(2*PI()*(Scenario_Data!V171)/45))+24*SIN(2*PI()*(Inputs!$C$6)/9+(Scenario_Data!V171)/18)*EXP(-(((Inputs!$C$6)+5)^2)/(22^2))+18*SIN(2*PI()*(Scenario_Data!V171)/70))+Inputs!$C$28*EXP(-(((Scenario_Data!V171)-Inputs!$C$29)^2)/(2*Inputs!$C$31^2))*EXP(-(((Inputs!$C$6)-Inputs!$C$30)^2)/(2*Inputs!$C$32^2))+-Inputs!$C$33*EXP(-(((((Scenario_Data!V171)-Inputs!$C$34)^2)+(((Inputs!$C$6)-Inputs!$C$35)^2))/(2*Inputs!$C$36^2)))+Inputs!$C$37*(0.55*SIN(2*PI()*(Scenario_Data!V171)/Inputs!$C$39)+0.35*COS(2*PI()*(Inputs!$C$6)/Inputs!$C$40)+0.2*SIN(2*PI()*((Scenario_Data!V171)+(Inputs!$C$6))/(0.5*(Inputs!$C$39+Inputs!$C$40))))+Inputs!$C$38*SIN(2*PI()*(Scenario_Data!V171)/Inputs!$C$39)*SIN(2*PI()*(Inputs!$C$6)/Inputs!$C$40)+-Inputs!$C$41*EXP(-(((Inputs!$C$6)-Inputs!$C$43)^2)/(2*Inputs!$C$44^2))*EXP(-(((Scenario_Data!V171)-Inputs!$C$42)^2)/(2*Inputs!$C$45^2))+Inputs!$C$48*(0.7*(0.45*SIN(2*PI()*(((Scenario_Data!V171)/Inputs!$C$49)+Inputs!$C$47*0.137))+0.35*COS(2*PI()*(((Inputs!$C$6)/Inputs!$C$50)+Inputs!$C$47*0.173))+0.2*SIN(2*PI()*((((Scenario_Data!V171)+(Inputs!$C$6))/(0.5*(Inputs!$C$49+Inputs!$C$50)))+Inputs!$C$47*0.097)))+0.3*(2*((SIN(((Scenario_Data!V171)*12.9898+(Inputs!$C$6)*78.233+Inputs!$C$47*37.719))*43758.5453)-INT((SIN(((Scenario_Data!V171)*12.9898+(Inputs!$C$6)*78.233+Inputs!$C$47*37.719))*43758.5453)))-1))))/1000))*COS(SQRT((Scenario_Data!V171)^2+Inputs!$C$6^2)/Inputs!$C$52))*1000)/Inputs!$C$21*1000000</f>
        <v/>
      </c>
      <c r="AV171">
        <f>Scenario_Data!W171</f>
        <v/>
      </c>
      <c r="AW171">
        <f>2*(SQRT((Inputs!$C$52+(Scenario_Data!E171))^2+(Inputs!$C$52+((IF(OR(Inputs!$C$27=TRUE,Inputs!$C$27="TRUE",Inputs!$C$27=1),1,0)*(Inputs!$C$51*(115*EXP(-(((Inputs!$C$6)-25)^2)/(4.5^2))+70*EXP(-(((Inputs!$C$6)+38)^2)/(7^2))*(0.55+0.45*SIN(2*PI()*(Scenario_Data!W171)/45))+24*SIN(2*PI()*(Inputs!$C$6)/9+(Scenario_Data!W171)/18)*EXP(-(((Inputs!$C$6)+5)^2)/(22^2))+18*SIN(2*PI()*(Scenario_Data!W171)/70))+Inputs!$C$28*EXP(-(((Scenario_Data!W171)-Inputs!$C$29)^2)/(2*Inputs!$C$31^2))*EXP(-(((Inputs!$C$6)-Inputs!$C$30)^2)/(2*Inputs!$C$32^2))+-Inputs!$C$33*EXP(-(((((Scenario_Data!W171)-Inputs!$C$34)^2)+(((Inputs!$C$6)-Inputs!$C$35)^2))/(2*Inputs!$C$36^2)))+Inputs!$C$37*(0.55*SIN(2*PI()*(Scenario_Data!W171)/Inputs!$C$39)+0.35*COS(2*PI()*(Inputs!$C$6)/Inputs!$C$40)+0.2*SIN(2*PI()*((Scenario_Data!W171)+(Inputs!$C$6))/(0.5*(Inputs!$C$39+Inputs!$C$40))))+Inputs!$C$38*SIN(2*PI()*(Scenario_Data!W171)/Inputs!$C$39)*SIN(2*PI()*(Inputs!$C$6)/Inputs!$C$40)+-Inputs!$C$41*EXP(-(((Inputs!$C$6)-Inputs!$C$43)^2)/(2*Inputs!$C$44^2))*EXP(-(((Scenario_Data!W171)-Inputs!$C$42)^2)/(2*Inputs!$C$45^2))+Inputs!$C$48*(0.7*(0.45*SIN(2*PI()*(((Scenario_Data!W171)/Inputs!$C$49)+Inputs!$C$47*0.137))+0.35*COS(2*PI()*(((Inputs!$C$6)/Inputs!$C$50)+Inputs!$C$47*0.173))+0.2*SIN(2*PI()*((((Scenario_Data!W171)+(Inputs!$C$6))/(0.5*(Inputs!$C$49+Inputs!$C$50)))+Inputs!$C$47*0.097)))+0.3*(2*((SIN(((Scenario_Data!W171)*12.9898+(Inputs!$C$6)*78.233+Inputs!$C$47*37.719))*43758.5453)-INT((SIN(((Scenario_Data!W171)*12.9898+(Inputs!$C$6)*78.233+Inputs!$C$47*37.719))*43758.5453)))-1))))/1000))^2-2*(Inputs!$C$52+(Scenario_Data!E171))*(Inputs!$C$52+((IF(OR(Inputs!$C$27=TRUE,Inputs!$C$27="TRUE",Inputs!$C$27=1),1,0)*(Inputs!$C$51*(115*EXP(-(((Inputs!$C$6)-25)^2)/(4.5^2))+70*EXP(-(((Inputs!$C$6)+38)^2)/(7^2))*(0.55+0.45*SIN(2*PI()*(Scenario_Data!W171)/45))+24*SIN(2*PI()*(Inputs!$C$6)/9+(Scenario_Data!W171)/18)*EXP(-(((Inputs!$C$6)+5)^2)/(22^2))+18*SIN(2*PI()*(Scenario_Data!W171)/70))+Inputs!$C$28*EXP(-(((Scenario_Data!W171)-Inputs!$C$29)^2)/(2*Inputs!$C$31^2))*EXP(-(((Inputs!$C$6)-Inputs!$C$30)^2)/(2*Inputs!$C$32^2))+-Inputs!$C$33*EXP(-(((((Scenario_Data!W171)-Inputs!$C$34)^2)+(((Inputs!$C$6)-Inputs!$C$35)^2))/(2*Inputs!$C$36^2)))+Inputs!$C$37*(0.55*SIN(2*PI()*(Scenario_Data!W171)/Inputs!$C$39)+0.35*COS(2*PI()*(Inputs!$C$6)/Inputs!$C$40)+0.2*SIN(2*PI()*((Scenario_Data!W171)+(Inputs!$C$6))/(0.5*(Inputs!$C$39+Inputs!$C$40))))+Inputs!$C$38*SIN(2*PI()*(Scenario_Data!W171)/Inputs!$C$39)*SIN(2*PI()*(Inputs!$C$6)/Inputs!$C$40)+-Inputs!$C$41*EXP(-(((Inputs!$C$6)-Inputs!$C$43)^2)/(2*Inputs!$C$44^2))*EXP(-(((Scenario_Data!W171)-Inputs!$C$42)^2)/(2*Inputs!$C$45^2))+Inputs!$C$48*(0.7*(0.45*SIN(2*PI()*(((Scenario_Data!W171)/Inputs!$C$49)+Inputs!$C$47*0.137))+0.35*COS(2*PI()*(((Inputs!$C$6)/Inputs!$C$50)+Inputs!$C$47*0.173))+0.2*SIN(2*PI()*((((Scenario_Data!W171)+(Inputs!$C$6))/(0.5*(Inputs!$C$49+Inputs!$C$50)))+Inputs!$C$47*0.097)))+0.3*(2*((SIN(((Scenario_Data!W171)*12.9898+(Inputs!$C$6)*78.233+Inputs!$C$47*37.719))*43758.5453)-INT((SIN(((Scenario_Data!W171)*12.9898+(Inputs!$C$6)*78.233+Inputs!$C$47*37.719))*43758.5453)))-1))))/1000))*COS(SQRT((Scenario_Data!W171)^2+Inputs!$C$6^2)/Inputs!$C$52))*1000)/Inputs!$C$21*1000000</f>
        <v/>
      </c>
    </row>
    <row r="172">
      <c r="A172">
        <f>Chart_Data!K172</f>
        <v/>
      </c>
      <c r="B172">
        <f>Chart_Data!N172-Chart_Data!L172</f>
        <v/>
      </c>
      <c r="D172">
        <f>Chart_Data!G172</f>
        <v/>
      </c>
      <c r="E172">
        <f>Chart_Data!H172</f>
        <v/>
      </c>
      <c r="F172">
        <f>Chart_Data!I172</f>
        <v/>
      </c>
      <c r="G172">
        <f>Chart_Data!J172</f>
        <v/>
      </c>
      <c r="I172">
        <f>Scenario_Data!A172</f>
        <v/>
      </c>
      <c r="J172">
        <f>Scenario_Data!H172-(((SQRT((Inputs!$C$52+(Inputs!$H$6))^2+Inputs!$C$52^2-2*(Inputs!$C$52+(Inputs!$H$6))*Inputs!$C$52*COS(SQRT((Scenario_Data!T172)^2+Inputs!$C$6^2)/Inputs!$C$52)))-(Inputs!$H$6))*1000/Inputs!$C$12)</f>
        <v/>
      </c>
      <c r="K172">
        <f>Scenario_Data!I172-(((SQRT((Inputs!$C$52+(Inputs!$H$7))^2+Inputs!$C$52^2-2*(Inputs!$C$52+(Inputs!$H$7))*Inputs!$C$52*COS(SQRT((Scenario_Data!U172)^2+Inputs!$C$6^2)/Inputs!$C$52)))-(Inputs!$H$7))*1000/Inputs!$C$12)</f>
        <v/>
      </c>
      <c r="L172">
        <f>Scenario_Data!J172-(((SQRT((Inputs!$C$52+(Inputs!$H$8))^2+Inputs!$C$52^2-2*(Inputs!$C$52+(Inputs!$H$8))*Inputs!$C$52*COS(SQRT((Scenario_Data!V172)^2+Inputs!$C$6^2)/Inputs!$C$52)))-(Inputs!$H$8))*1000/Inputs!$C$12)</f>
        <v/>
      </c>
      <c r="M172">
        <f>Scenario_Data!K172-(((SQRT((Inputs!$C$52+(Inputs!$H$9))^2+Inputs!$C$52^2-2*(Inputs!$C$52+(Inputs!$H$9))*Inputs!$C$52*COS(SQRT((Scenario_Data!W172)^2+Inputs!$C$6^2)/Inputs!$C$52)))-(Inputs!$H$9))*1000/Inputs!$C$12)</f>
        <v/>
      </c>
      <c r="O172">
        <f>Scenario_Data!T172</f>
        <v/>
      </c>
      <c r="P172">
        <f>2*(Scenario_Data!B172*1000)/Inputs!$C$21*1000000</f>
        <v/>
      </c>
      <c r="Q172">
        <f>Scenario_Data!U172</f>
        <v/>
      </c>
      <c r="R172">
        <f>2*(Scenario_Data!C172*1000)/Inputs!$C$21*1000000</f>
        <v/>
      </c>
      <c r="S172">
        <f>Scenario_Data!V172</f>
        <v/>
      </c>
      <c r="T172">
        <f>2*(Scenario_Data!D172*1000)/Inputs!$C$21*1000000</f>
        <v/>
      </c>
      <c r="U172">
        <f>Scenario_Data!W172</f>
        <v/>
      </c>
      <c r="V172">
        <f>2*(Scenario_Data!E172*1000)/Inputs!$C$21*1000000</f>
        <v/>
      </c>
      <c r="X172">
        <f>Scenario_Data!T172</f>
        <v/>
      </c>
      <c r="Y172">
        <f>2*((Scenario_Data!B172*1000)-(IF(OR(Inputs!$C$27=TRUE,Inputs!$C$27="TRUE",Inputs!$C$27=1),1,0)*(Inputs!$C$51*(115*EXP(-(((0)-25)^2)/(4.5^2))+70*EXP(-(((0)+38)^2)/(7^2))*(0.55+0.45*SIN(2*PI()*(Scenario_Data!T172)/45))+24*SIN(2*PI()*(0)/9+(Scenario_Data!T172)/18)*EXP(-(((0)+5)^2)/(22^2))+18*SIN(2*PI()*(Scenario_Data!T172)/70))+Inputs!$C$28*EXP(-(((Scenario_Data!T172)-Inputs!$C$29)^2)/(2*Inputs!$C$31^2))*EXP(-(((0)-Inputs!$C$30)^2)/(2*Inputs!$C$32^2))+-Inputs!$C$33*EXP(-(((((Scenario_Data!T172)-Inputs!$C$34)^2)+(((0)-Inputs!$C$35)^2))/(2*Inputs!$C$36^2)))+Inputs!$C$37*(0.55*SIN(2*PI()*(Scenario_Data!T172)/Inputs!$C$39)+0.35*COS(2*PI()*(0)/Inputs!$C$40)+0.2*SIN(2*PI()*((Scenario_Data!T172)+(0))/(0.5*(Inputs!$C$39+Inputs!$C$40))))+Inputs!$C$38*SIN(2*PI()*(Scenario_Data!T172)/Inputs!$C$39)*SIN(2*PI()*(0)/Inputs!$C$40)+-Inputs!$C$41*EXP(-(((0)-Inputs!$C$43)^2)/(2*Inputs!$C$44^2))*EXP(-(((Scenario_Data!T172)-Inputs!$C$42)^2)/(2*Inputs!$C$45^2))+Inputs!$C$48*(0.7*(0.45*SIN(2*PI()*(((Scenario_Data!T172)/Inputs!$C$49)+Inputs!$C$47*0.137))+0.35*COS(2*PI()*(((0)/Inputs!$C$50)+Inputs!$C$47*0.173))+0.2*SIN(2*PI()*((((Scenario_Data!T172)+(0))/(0.5*(Inputs!$C$49+Inputs!$C$50)))+Inputs!$C$47*0.097)))+0.3*(2*((SIN(((Scenario_Data!T172)*12.9898+(0)*78.233+Inputs!$C$47*37.719))*43758.5453)-INT((SIN(((Scenario_Data!T172)*12.9898+(0)*78.233+Inputs!$C$47*37.719))*43758.5453)))-1)))))/Inputs!$C$21*1000000</f>
        <v/>
      </c>
      <c r="Z172">
        <f>Scenario_Data!U172</f>
        <v/>
      </c>
      <c r="AA172">
        <f>2*((Scenario_Data!C172*1000)-(IF(OR(Inputs!$C$27=TRUE,Inputs!$C$27="TRUE",Inputs!$C$27=1),1,0)*(Inputs!$C$51*(115*EXP(-(((0)-25)^2)/(4.5^2))+70*EXP(-(((0)+38)^2)/(7^2))*(0.55+0.45*SIN(2*PI()*(Scenario_Data!U172)/45))+24*SIN(2*PI()*(0)/9+(Scenario_Data!U172)/18)*EXP(-(((0)+5)^2)/(22^2))+18*SIN(2*PI()*(Scenario_Data!U172)/70))+Inputs!$C$28*EXP(-(((Scenario_Data!U172)-Inputs!$C$29)^2)/(2*Inputs!$C$31^2))*EXP(-(((0)-Inputs!$C$30)^2)/(2*Inputs!$C$32^2))+-Inputs!$C$33*EXP(-(((((Scenario_Data!U172)-Inputs!$C$34)^2)+(((0)-Inputs!$C$35)^2))/(2*Inputs!$C$36^2)))+Inputs!$C$37*(0.55*SIN(2*PI()*(Scenario_Data!U172)/Inputs!$C$39)+0.35*COS(2*PI()*(0)/Inputs!$C$40)+0.2*SIN(2*PI()*((Scenario_Data!U172)+(0))/(0.5*(Inputs!$C$39+Inputs!$C$40))))+Inputs!$C$38*SIN(2*PI()*(Scenario_Data!U172)/Inputs!$C$39)*SIN(2*PI()*(0)/Inputs!$C$40)+-Inputs!$C$41*EXP(-(((0)-Inputs!$C$43)^2)/(2*Inputs!$C$44^2))*EXP(-(((Scenario_Data!U172)-Inputs!$C$42)^2)/(2*Inputs!$C$45^2))+Inputs!$C$48*(0.7*(0.45*SIN(2*PI()*(((Scenario_Data!U172)/Inputs!$C$49)+Inputs!$C$47*0.137))+0.35*COS(2*PI()*(((0)/Inputs!$C$50)+Inputs!$C$47*0.173))+0.2*SIN(2*PI()*((((Scenario_Data!U172)+(0))/(0.5*(Inputs!$C$49+Inputs!$C$50)))+Inputs!$C$47*0.097)))+0.3*(2*((SIN(((Scenario_Data!U172)*12.9898+(0)*78.233+Inputs!$C$47*37.719))*43758.5453)-INT((SIN(((Scenario_Data!U172)*12.9898+(0)*78.233+Inputs!$C$47*37.719))*43758.5453)))-1)))))/Inputs!$C$21*1000000</f>
        <v/>
      </c>
      <c r="AB172">
        <f>Scenario_Data!V172</f>
        <v/>
      </c>
      <c r="AC172">
        <f>2*((Scenario_Data!D172*1000)-(IF(OR(Inputs!$C$27=TRUE,Inputs!$C$27="TRUE",Inputs!$C$27=1),1,0)*(Inputs!$C$51*(115*EXP(-(((0)-25)^2)/(4.5^2))+70*EXP(-(((0)+38)^2)/(7^2))*(0.55+0.45*SIN(2*PI()*(Scenario_Data!V172)/45))+24*SIN(2*PI()*(0)/9+(Scenario_Data!V172)/18)*EXP(-(((0)+5)^2)/(22^2))+18*SIN(2*PI()*(Scenario_Data!V172)/70))+Inputs!$C$28*EXP(-(((Scenario_Data!V172)-Inputs!$C$29)^2)/(2*Inputs!$C$31^2))*EXP(-(((0)-Inputs!$C$30)^2)/(2*Inputs!$C$32^2))+-Inputs!$C$33*EXP(-(((((Scenario_Data!V172)-Inputs!$C$34)^2)+(((0)-Inputs!$C$35)^2))/(2*Inputs!$C$36^2)))+Inputs!$C$37*(0.55*SIN(2*PI()*(Scenario_Data!V172)/Inputs!$C$39)+0.35*COS(2*PI()*(0)/Inputs!$C$40)+0.2*SIN(2*PI()*((Scenario_Data!V172)+(0))/(0.5*(Inputs!$C$39+Inputs!$C$40))))+Inputs!$C$38*SIN(2*PI()*(Scenario_Data!V172)/Inputs!$C$39)*SIN(2*PI()*(0)/Inputs!$C$40)+-Inputs!$C$41*EXP(-(((0)-Inputs!$C$43)^2)/(2*Inputs!$C$44^2))*EXP(-(((Scenario_Data!V172)-Inputs!$C$42)^2)/(2*Inputs!$C$45^2))+Inputs!$C$48*(0.7*(0.45*SIN(2*PI()*(((Scenario_Data!V172)/Inputs!$C$49)+Inputs!$C$47*0.137))+0.35*COS(2*PI()*(((0)/Inputs!$C$50)+Inputs!$C$47*0.173))+0.2*SIN(2*PI()*((((Scenario_Data!V172)+(0))/(0.5*(Inputs!$C$49+Inputs!$C$50)))+Inputs!$C$47*0.097)))+0.3*(2*((SIN(((Scenario_Data!V172)*12.9898+(0)*78.233+Inputs!$C$47*37.719))*43758.5453)-INT((SIN(((Scenario_Data!V172)*12.9898+(0)*78.233+Inputs!$C$47*37.719))*43758.5453)))-1)))))/Inputs!$C$21*1000000</f>
        <v/>
      </c>
      <c r="AD172">
        <f>Scenario_Data!W172</f>
        <v/>
      </c>
      <c r="AE172">
        <f>2*((Scenario_Data!E172*1000)-(IF(OR(Inputs!$C$27=TRUE,Inputs!$C$27="TRUE",Inputs!$C$27=1),1,0)*(Inputs!$C$51*(115*EXP(-(((0)-25)^2)/(4.5^2))+70*EXP(-(((0)+38)^2)/(7^2))*(0.55+0.45*SIN(2*PI()*(Scenario_Data!W172)/45))+24*SIN(2*PI()*(0)/9+(Scenario_Data!W172)/18)*EXP(-(((0)+5)^2)/(22^2))+18*SIN(2*PI()*(Scenario_Data!W172)/70))+Inputs!$C$28*EXP(-(((Scenario_Data!W172)-Inputs!$C$29)^2)/(2*Inputs!$C$31^2))*EXP(-(((0)-Inputs!$C$30)^2)/(2*Inputs!$C$32^2))+-Inputs!$C$33*EXP(-(((((Scenario_Data!W172)-Inputs!$C$34)^2)+(((0)-Inputs!$C$35)^2))/(2*Inputs!$C$36^2)))+Inputs!$C$37*(0.55*SIN(2*PI()*(Scenario_Data!W172)/Inputs!$C$39)+0.35*COS(2*PI()*(0)/Inputs!$C$40)+0.2*SIN(2*PI()*((Scenario_Data!W172)+(0))/(0.5*(Inputs!$C$39+Inputs!$C$40))))+Inputs!$C$38*SIN(2*PI()*(Scenario_Data!W172)/Inputs!$C$39)*SIN(2*PI()*(0)/Inputs!$C$40)+-Inputs!$C$41*EXP(-(((0)-Inputs!$C$43)^2)/(2*Inputs!$C$44^2))*EXP(-(((Scenario_Data!W172)-Inputs!$C$42)^2)/(2*Inputs!$C$45^2))+Inputs!$C$48*(0.7*(0.45*SIN(2*PI()*(((Scenario_Data!W172)/Inputs!$C$49)+Inputs!$C$47*0.137))+0.35*COS(2*PI()*(((0)/Inputs!$C$50)+Inputs!$C$47*0.173))+0.2*SIN(2*PI()*((((Scenario_Data!W172)+(0))/(0.5*(Inputs!$C$49+Inputs!$C$50)))+Inputs!$C$47*0.097)))+0.3*(2*((SIN(((Scenario_Data!W172)*12.9898+(0)*78.233+Inputs!$C$47*37.719))*43758.5453)-INT((SIN(((Scenario_Data!W172)*12.9898+(0)*78.233+Inputs!$C$47*37.719))*43758.5453)))-1)))))/Inputs!$C$21*1000000</f>
        <v/>
      </c>
      <c r="AG172">
        <f>Scenario_Data!T172</f>
        <v/>
      </c>
      <c r="AH172">
        <f>2*(SQRT((Inputs!$C$52+(Scenario_Data!B172))^2+Inputs!$C$52^2-2*(Inputs!$C$52+(Scenario_Data!B172))*Inputs!$C$52*COS(SQRT((Scenario_Data!T172)^2+Inputs!$C$6^2)/Inputs!$C$52))*1000)/Inputs!$C$21*1000000</f>
        <v/>
      </c>
      <c r="AI172">
        <f>Scenario_Data!U172</f>
        <v/>
      </c>
      <c r="AJ172">
        <f>2*(SQRT((Inputs!$C$52+(Scenario_Data!C172))^2+Inputs!$C$52^2-2*(Inputs!$C$52+(Scenario_Data!C172))*Inputs!$C$52*COS(SQRT((Scenario_Data!U172)^2+Inputs!$C$6^2)/Inputs!$C$52))*1000)/Inputs!$C$21*1000000</f>
        <v/>
      </c>
      <c r="AK172">
        <f>Scenario_Data!V172</f>
        <v/>
      </c>
      <c r="AL172">
        <f>2*(SQRT((Inputs!$C$52+(Scenario_Data!D172))^2+Inputs!$C$52^2-2*(Inputs!$C$52+(Scenario_Data!D172))*Inputs!$C$52*COS(SQRT((Scenario_Data!V172)^2+Inputs!$C$6^2)/Inputs!$C$52))*1000)/Inputs!$C$21*1000000</f>
        <v/>
      </c>
      <c r="AM172">
        <f>Scenario_Data!W172</f>
        <v/>
      </c>
      <c r="AN172">
        <f>2*(SQRT((Inputs!$C$52+(Scenario_Data!E172))^2+Inputs!$C$52^2-2*(Inputs!$C$52+(Scenario_Data!E172))*Inputs!$C$52*COS(SQRT((Scenario_Data!W172)^2+Inputs!$C$6^2)/Inputs!$C$52))*1000)/Inputs!$C$21*1000000</f>
        <v/>
      </c>
      <c r="AP172">
        <f>Scenario_Data!T172</f>
        <v/>
      </c>
      <c r="AQ172">
        <f>2*(SQRT((Inputs!$C$52+(Scenario_Data!B172))^2+(Inputs!$C$52+((IF(OR(Inputs!$C$27=TRUE,Inputs!$C$27="TRUE",Inputs!$C$27=1),1,0)*(Inputs!$C$51*(115*EXP(-(((Inputs!$C$6)-25)^2)/(4.5^2))+70*EXP(-(((Inputs!$C$6)+38)^2)/(7^2))*(0.55+0.45*SIN(2*PI()*(Scenario_Data!T172)/45))+24*SIN(2*PI()*(Inputs!$C$6)/9+(Scenario_Data!T172)/18)*EXP(-(((Inputs!$C$6)+5)^2)/(22^2))+18*SIN(2*PI()*(Scenario_Data!T172)/70))+Inputs!$C$28*EXP(-(((Scenario_Data!T172)-Inputs!$C$29)^2)/(2*Inputs!$C$31^2))*EXP(-(((Inputs!$C$6)-Inputs!$C$30)^2)/(2*Inputs!$C$32^2))+-Inputs!$C$33*EXP(-(((((Scenario_Data!T172)-Inputs!$C$34)^2)+(((Inputs!$C$6)-Inputs!$C$35)^2))/(2*Inputs!$C$36^2)))+Inputs!$C$37*(0.55*SIN(2*PI()*(Scenario_Data!T172)/Inputs!$C$39)+0.35*COS(2*PI()*(Inputs!$C$6)/Inputs!$C$40)+0.2*SIN(2*PI()*((Scenario_Data!T172)+(Inputs!$C$6))/(0.5*(Inputs!$C$39+Inputs!$C$40))))+Inputs!$C$38*SIN(2*PI()*(Scenario_Data!T172)/Inputs!$C$39)*SIN(2*PI()*(Inputs!$C$6)/Inputs!$C$40)+-Inputs!$C$41*EXP(-(((Inputs!$C$6)-Inputs!$C$43)^2)/(2*Inputs!$C$44^2))*EXP(-(((Scenario_Data!T172)-Inputs!$C$42)^2)/(2*Inputs!$C$45^2))+Inputs!$C$48*(0.7*(0.45*SIN(2*PI()*(((Scenario_Data!T172)/Inputs!$C$49)+Inputs!$C$47*0.137))+0.35*COS(2*PI()*(((Inputs!$C$6)/Inputs!$C$50)+Inputs!$C$47*0.173))+0.2*SIN(2*PI()*((((Scenario_Data!T172)+(Inputs!$C$6))/(0.5*(Inputs!$C$49+Inputs!$C$50)))+Inputs!$C$47*0.097)))+0.3*(2*((SIN(((Scenario_Data!T172)*12.9898+(Inputs!$C$6)*78.233+Inputs!$C$47*37.719))*43758.5453)-INT((SIN(((Scenario_Data!T172)*12.9898+(Inputs!$C$6)*78.233+Inputs!$C$47*37.719))*43758.5453)))-1))))/1000))^2-2*(Inputs!$C$52+(Scenario_Data!B172))*(Inputs!$C$52+((IF(OR(Inputs!$C$27=TRUE,Inputs!$C$27="TRUE",Inputs!$C$27=1),1,0)*(Inputs!$C$51*(115*EXP(-(((Inputs!$C$6)-25)^2)/(4.5^2))+70*EXP(-(((Inputs!$C$6)+38)^2)/(7^2))*(0.55+0.45*SIN(2*PI()*(Scenario_Data!T172)/45))+24*SIN(2*PI()*(Inputs!$C$6)/9+(Scenario_Data!T172)/18)*EXP(-(((Inputs!$C$6)+5)^2)/(22^2))+18*SIN(2*PI()*(Scenario_Data!T172)/70))+Inputs!$C$28*EXP(-(((Scenario_Data!T172)-Inputs!$C$29)^2)/(2*Inputs!$C$31^2))*EXP(-(((Inputs!$C$6)-Inputs!$C$30)^2)/(2*Inputs!$C$32^2))+-Inputs!$C$33*EXP(-(((((Scenario_Data!T172)-Inputs!$C$34)^2)+(((Inputs!$C$6)-Inputs!$C$35)^2))/(2*Inputs!$C$36^2)))+Inputs!$C$37*(0.55*SIN(2*PI()*(Scenario_Data!T172)/Inputs!$C$39)+0.35*COS(2*PI()*(Inputs!$C$6)/Inputs!$C$40)+0.2*SIN(2*PI()*((Scenario_Data!T172)+(Inputs!$C$6))/(0.5*(Inputs!$C$39+Inputs!$C$40))))+Inputs!$C$38*SIN(2*PI()*(Scenario_Data!T172)/Inputs!$C$39)*SIN(2*PI()*(Inputs!$C$6)/Inputs!$C$40)+-Inputs!$C$41*EXP(-(((Inputs!$C$6)-Inputs!$C$43)^2)/(2*Inputs!$C$44^2))*EXP(-(((Scenario_Data!T172)-Inputs!$C$42)^2)/(2*Inputs!$C$45^2))+Inputs!$C$48*(0.7*(0.45*SIN(2*PI()*(((Scenario_Data!T172)/Inputs!$C$49)+Inputs!$C$47*0.137))+0.35*COS(2*PI()*(((Inputs!$C$6)/Inputs!$C$50)+Inputs!$C$47*0.173))+0.2*SIN(2*PI()*((((Scenario_Data!T172)+(Inputs!$C$6))/(0.5*(Inputs!$C$49+Inputs!$C$50)))+Inputs!$C$47*0.097)))+0.3*(2*((SIN(((Scenario_Data!T172)*12.9898+(Inputs!$C$6)*78.233+Inputs!$C$47*37.719))*43758.5453)-INT((SIN(((Scenario_Data!T172)*12.9898+(Inputs!$C$6)*78.233+Inputs!$C$47*37.719))*43758.5453)))-1))))/1000))*COS(SQRT((Scenario_Data!T172)^2+Inputs!$C$6^2)/Inputs!$C$52))*1000)/Inputs!$C$21*1000000</f>
        <v/>
      </c>
      <c r="AR172">
        <f>Scenario_Data!U172</f>
        <v/>
      </c>
      <c r="AS172">
        <f>2*(SQRT((Inputs!$C$52+(Scenario_Data!C172))^2+(Inputs!$C$52+((IF(OR(Inputs!$C$27=TRUE,Inputs!$C$27="TRUE",Inputs!$C$27=1),1,0)*(Inputs!$C$51*(115*EXP(-(((Inputs!$C$6)-25)^2)/(4.5^2))+70*EXP(-(((Inputs!$C$6)+38)^2)/(7^2))*(0.55+0.45*SIN(2*PI()*(Scenario_Data!U172)/45))+24*SIN(2*PI()*(Inputs!$C$6)/9+(Scenario_Data!U172)/18)*EXP(-(((Inputs!$C$6)+5)^2)/(22^2))+18*SIN(2*PI()*(Scenario_Data!U172)/70))+Inputs!$C$28*EXP(-(((Scenario_Data!U172)-Inputs!$C$29)^2)/(2*Inputs!$C$31^2))*EXP(-(((Inputs!$C$6)-Inputs!$C$30)^2)/(2*Inputs!$C$32^2))+-Inputs!$C$33*EXP(-(((((Scenario_Data!U172)-Inputs!$C$34)^2)+(((Inputs!$C$6)-Inputs!$C$35)^2))/(2*Inputs!$C$36^2)))+Inputs!$C$37*(0.55*SIN(2*PI()*(Scenario_Data!U172)/Inputs!$C$39)+0.35*COS(2*PI()*(Inputs!$C$6)/Inputs!$C$40)+0.2*SIN(2*PI()*((Scenario_Data!U172)+(Inputs!$C$6))/(0.5*(Inputs!$C$39+Inputs!$C$40))))+Inputs!$C$38*SIN(2*PI()*(Scenario_Data!U172)/Inputs!$C$39)*SIN(2*PI()*(Inputs!$C$6)/Inputs!$C$40)+-Inputs!$C$41*EXP(-(((Inputs!$C$6)-Inputs!$C$43)^2)/(2*Inputs!$C$44^2))*EXP(-(((Scenario_Data!U172)-Inputs!$C$42)^2)/(2*Inputs!$C$45^2))+Inputs!$C$48*(0.7*(0.45*SIN(2*PI()*(((Scenario_Data!U172)/Inputs!$C$49)+Inputs!$C$47*0.137))+0.35*COS(2*PI()*(((Inputs!$C$6)/Inputs!$C$50)+Inputs!$C$47*0.173))+0.2*SIN(2*PI()*((((Scenario_Data!U172)+(Inputs!$C$6))/(0.5*(Inputs!$C$49+Inputs!$C$50)))+Inputs!$C$47*0.097)))+0.3*(2*((SIN(((Scenario_Data!U172)*12.9898+(Inputs!$C$6)*78.233+Inputs!$C$47*37.719))*43758.5453)-INT((SIN(((Scenario_Data!U172)*12.9898+(Inputs!$C$6)*78.233+Inputs!$C$47*37.719))*43758.5453)))-1))))/1000))^2-2*(Inputs!$C$52+(Scenario_Data!C172))*(Inputs!$C$52+((IF(OR(Inputs!$C$27=TRUE,Inputs!$C$27="TRUE",Inputs!$C$27=1),1,0)*(Inputs!$C$51*(115*EXP(-(((Inputs!$C$6)-25)^2)/(4.5^2))+70*EXP(-(((Inputs!$C$6)+38)^2)/(7^2))*(0.55+0.45*SIN(2*PI()*(Scenario_Data!U172)/45))+24*SIN(2*PI()*(Inputs!$C$6)/9+(Scenario_Data!U172)/18)*EXP(-(((Inputs!$C$6)+5)^2)/(22^2))+18*SIN(2*PI()*(Scenario_Data!U172)/70))+Inputs!$C$28*EXP(-(((Scenario_Data!U172)-Inputs!$C$29)^2)/(2*Inputs!$C$31^2))*EXP(-(((Inputs!$C$6)-Inputs!$C$30)^2)/(2*Inputs!$C$32^2))+-Inputs!$C$33*EXP(-(((((Scenario_Data!U172)-Inputs!$C$34)^2)+(((Inputs!$C$6)-Inputs!$C$35)^2))/(2*Inputs!$C$36^2)))+Inputs!$C$37*(0.55*SIN(2*PI()*(Scenario_Data!U172)/Inputs!$C$39)+0.35*COS(2*PI()*(Inputs!$C$6)/Inputs!$C$40)+0.2*SIN(2*PI()*((Scenario_Data!U172)+(Inputs!$C$6))/(0.5*(Inputs!$C$39+Inputs!$C$40))))+Inputs!$C$38*SIN(2*PI()*(Scenario_Data!U172)/Inputs!$C$39)*SIN(2*PI()*(Inputs!$C$6)/Inputs!$C$40)+-Inputs!$C$41*EXP(-(((Inputs!$C$6)-Inputs!$C$43)^2)/(2*Inputs!$C$44^2))*EXP(-(((Scenario_Data!U172)-Inputs!$C$42)^2)/(2*Inputs!$C$45^2))+Inputs!$C$48*(0.7*(0.45*SIN(2*PI()*(((Scenario_Data!U172)/Inputs!$C$49)+Inputs!$C$47*0.137))+0.35*COS(2*PI()*(((Inputs!$C$6)/Inputs!$C$50)+Inputs!$C$47*0.173))+0.2*SIN(2*PI()*((((Scenario_Data!U172)+(Inputs!$C$6))/(0.5*(Inputs!$C$49+Inputs!$C$50)))+Inputs!$C$47*0.097)))+0.3*(2*((SIN(((Scenario_Data!U172)*12.9898+(Inputs!$C$6)*78.233+Inputs!$C$47*37.719))*43758.5453)-INT((SIN(((Scenario_Data!U172)*12.9898+(Inputs!$C$6)*78.233+Inputs!$C$47*37.719))*43758.5453)))-1))))/1000))*COS(SQRT((Scenario_Data!U172)^2+Inputs!$C$6^2)/Inputs!$C$52))*1000)/Inputs!$C$21*1000000</f>
        <v/>
      </c>
      <c r="AT172">
        <f>Scenario_Data!V172</f>
        <v/>
      </c>
      <c r="AU172">
        <f>2*(SQRT((Inputs!$C$52+(Scenario_Data!D172))^2+(Inputs!$C$52+((IF(OR(Inputs!$C$27=TRUE,Inputs!$C$27="TRUE",Inputs!$C$27=1),1,0)*(Inputs!$C$51*(115*EXP(-(((Inputs!$C$6)-25)^2)/(4.5^2))+70*EXP(-(((Inputs!$C$6)+38)^2)/(7^2))*(0.55+0.45*SIN(2*PI()*(Scenario_Data!V172)/45))+24*SIN(2*PI()*(Inputs!$C$6)/9+(Scenario_Data!V172)/18)*EXP(-(((Inputs!$C$6)+5)^2)/(22^2))+18*SIN(2*PI()*(Scenario_Data!V172)/70))+Inputs!$C$28*EXP(-(((Scenario_Data!V172)-Inputs!$C$29)^2)/(2*Inputs!$C$31^2))*EXP(-(((Inputs!$C$6)-Inputs!$C$30)^2)/(2*Inputs!$C$32^2))+-Inputs!$C$33*EXP(-(((((Scenario_Data!V172)-Inputs!$C$34)^2)+(((Inputs!$C$6)-Inputs!$C$35)^2))/(2*Inputs!$C$36^2)))+Inputs!$C$37*(0.55*SIN(2*PI()*(Scenario_Data!V172)/Inputs!$C$39)+0.35*COS(2*PI()*(Inputs!$C$6)/Inputs!$C$40)+0.2*SIN(2*PI()*((Scenario_Data!V172)+(Inputs!$C$6))/(0.5*(Inputs!$C$39+Inputs!$C$40))))+Inputs!$C$38*SIN(2*PI()*(Scenario_Data!V172)/Inputs!$C$39)*SIN(2*PI()*(Inputs!$C$6)/Inputs!$C$40)+-Inputs!$C$41*EXP(-(((Inputs!$C$6)-Inputs!$C$43)^2)/(2*Inputs!$C$44^2))*EXP(-(((Scenario_Data!V172)-Inputs!$C$42)^2)/(2*Inputs!$C$45^2))+Inputs!$C$48*(0.7*(0.45*SIN(2*PI()*(((Scenario_Data!V172)/Inputs!$C$49)+Inputs!$C$47*0.137))+0.35*COS(2*PI()*(((Inputs!$C$6)/Inputs!$C$50)+Inputs!$C$47*0.173))+0.2*SIN(2*PI()*((((Scenario_Data!V172)+(Inputs!$C$6))/(0.5*(Inputs!$C$49+Inputs!$C$50)))+Inputs!$C$47*0.097)))+0.3*(2*((SIN(((Scenario_Data!V172)*12.9898+(Inputs!$C$6)*78.233+Inputs!$C$47*37.719))*43758.5453)-INT((SIN(((Scenario_Data!V172)*12.9898+(Inputs!$C$6)*78.233+Inputs!$C$47*37.719))*43758.5453)))-1))))/1000))^2-2*(Inputs!$C$52+(Scenario_Data!D172))*(Inputs!$C$52+((IF(OR(Inputs!$C$27=TRUE,Inputs!$C$27="TRUE",Inputs!$C$27=1),1,0)*(Inputs!$C$51*(115*EXP(-(((Inputs!$C$6)-25)^2)/(4.5^2))+70*EXP(-(((Inputs!$C$6)+38)^2)/(7^2))*(0.55+0.45*SIN(2*PI()*(Scenario_Data!V172)/45))+24*SIN(2*PI()*(Inputs!$C$6)/9+(Scenario_Data!V172)/18)*EXP(-(((Inputs!$C$6)+5)^2)/(22^2))+18*SIN(2*PI()*(Scenario_Data!V172)/70))+Inputs!$C$28*EXP(-(((Scenario_Data!V172)-Inputs!$C$29)^2)/(2*Inputs!$C$31^2))*EXP(-(((Inputs!$C$6)-Inputs!$C$30)^2)/(2*Inputs!$C$32^2))+-Inputs!$C$33*EXP(-(((((Scenario_Data!V172)-Inputs!$C$34)^2)+(((Inputs!$C$6)-Inputs!$C$35)^2))/(2*Inputs!$C$36^2)))+Inputs!$C$37*(0.55*SIN(2*PI()*(Scenario_Data!V172)/Inputs!$C$39)+0.35*COS(2*PI()*(Inputs!$C$6)/Inputs!$C$40)+0.2*SIN(2*PI()*((Scenario_Data!V172)+(Inputs!$C$6))/(0.5*(Inputs!$C$39+Inputs!$C$40))))+Inputs!$C$38*SIN(2*PI()*(Scenario_Data!V172)/Inputs!$C$39)*SIN(2*PI()*(Inputs!$C$6)/Inputs!$C$40)+-Inputs!$C$41*EXP(-(((Inputs!$C$6)-Inputs!$C$43)^2)/(2*Inputs!$C$44^2))*EXP(-(((Scenario_Data!V172)-Inputs!$C$42)^2)/(2*Inputs!$C$45^2))+Inputs!$C$48*(0.7*(0.45*SIN(2*PI()*(((Scenario_Data!V172)/Inputs!$C$49)+Inputs!$C$47*0.137))+0.35*COS(2*PI()*(((Inputs!$C$6)/Inputs!$C$50)+Inputs!$C$47*0.173))+0.2*SIN(2*PI()*((((Scenario_Data!V172)+(Inputs!$C$6))/(0.5*(Inputs!$C$49+Inputs!$C$50)))+Inputs!$C$47*0.097)))+0.3*(2*((SIN(((Scenario_Data!V172)*12.9898+(Inputs!$C$6)*78.233+Inputs!$C$47*37.719))*43758.5453)-INT((SIN(((Scenario_Data!V172)*12.9898+(Inputs!$C$6)*78.233+Inputs!$C$47*37.719))*43758.5453)))-1))))/1000))*COS(SQRT((Scenario_Data!V172)^2+Inputs!$C$6^2)/Inputs!$C$52))*1000)/Inputs!$C$21*1000000</f>
        <v/>
      </c>
      <c r="AV172">
        <f>Scenario_Data!W172</f>
        <v/>
      </c>
      <c r="AW172">
        <f>2*(SQRT((Inputs!$C$52+(Scenario_Data!E172))^2+(Inputs!$C$52+((IF(OR(Inputs!$C$27=TRUE,Inputs!$C$27="TRUE",Inputs!$C$27=1),1,0)*(Inputs!$C$51*(115*EXP(-(((Inputs!$C$6)-25)^2)/(4.5^2))+70*EXP(-(((Inputs!$C$6)+38)^2)/(7^2))*(0.55+0.45*SIN(2*PI()*(Scenario_Data!W172)/45))+24*SIN(2*PI()*(Inputs!$C$6)/9+(Scenario_Data!W172)/18)*EXP(-(((Inputs!$C$6)+5)^2)/(22^2))+18*SIN(2*PI()*(Scenario_Data!W172)/70))+Inputs!$C$28*EXP(-(((Scenario_Data!W172)-Inputs!$C$29)^2)/(2*Inputs!$C$31^2))*EXP(-(((Inputs!$C$6)-Inputs!$C$30)^2)/(2*Inputs!$C$32^2))+-Inputs!$C$33*EXP(-(((((Scenario_Data!W172)-Inputs!$C$34)^2)+(((Inputs!$C$6)-Inputs!$C$35)^2))/(2*Inputs!$C$36^2)))+Inputs!$C$37*(0.55*SIN(2*PI()*(Scenario_Data!W172)/Inputs!$C$39)+0.35*COS(2*PI()*(Inputs!$C$6)/Inputs!$C$40)+0.2*SIN(2*PI()*((Scenario_Data!W172)+(Inputs!$C$6))/(0.5*(Inputs!$C$39+Inputs!$C$40))))+Inputs!$C$38*SIN(2*PI()*(Scenario_Data!W172)/Inputs!$C$39)*SIN(2*PI()*(Inputs!$C$6)/Inputs!$C$40)+-Inputs!$C$41*EXP(-(((Inputs!$C$6)-Inputs!$C$43)^2)/(2*Inputs!$C$44^2))*EXP(-(((Scenario_Data!W172)-Inputs!$C$42)^2)/(2*Inputs!$C$45^2))+Inputs!$C$48*(0.7*(0.45*SIN(2*PI()*(((Scenario_Data!W172)/Inputs!$C$49)+Inputs!$C$47*0.137))+0.35*COS(2*PI()*(((Inputs!$C$6)/Inputs!$C$50)+Inputs!$C$47*0.173))+0.2*SIN(2*PI()*((((Scenario_Data!W172)+(Inputs!$C$6))/(0.5*(Inputs!$C$49+Inputs!$C$50)))+Inputs!$C$47*0.097)))+0.3*(2*((SIN(((Scenario_Data!W172)*12.9898+(Inputs!$C$6)*78.233+Inputs!$C$47*37.719))*43758.5453)-INT((SIN(((Scenario_Data!W172)*12.9898+(Inputs!$C$6)*78.233+Inputs!$C$47*37.719))*43758.5453)))-1))))/1000))^2-2*(Inputs!$C$52+(Scenario_Data!E172))*(Inputs!$C$52+((IF(OR(Inputs!$C$27=TRUE,Inputs!$C$27="TRUE",Inputs!$C$27=1),1,0)*(Inputs!$C$51*(115*EXP(-(((Inputs!$C$6)-25)^2)/(4.5^2))+70*EXP(-(((Inputs!$C$6)+38)^2)/(7^2))*(0.55+0.45*SIN(2*PI()*(Scenario_Data!W172)/45))+24*SIN(2*PI()*(Inputs!$C$6)/9+(Scenario_Data!W172)/18)*EXP(-(((Inputs!$C$6)+5)^2)/(22^2))+18*SIN(2*PI()*(Scenario_Data!W172)/70))+Inputs!$C$28*EXP(-(((Scenario_Data!W172)-Inputs!$C$29)^2)/(2*Inputs!$C$31^2))*EXP(-(((Inputs!$C$6)-Inputs!$C$30)^2)/(2*Inputs!$C$32^2))+-Inputs!$C$33*EXP(-(((((Scenario_Data!W172)-Inputs!$C$34)^2)+(((Inputs!$C$6)-Inputs!$C$35)^2))/(2*Inputs!$C$36^2)))+Inputs!$C$37*(0.55*SIN(2*PI()*(Scenario_Data!W172)/Inputs!$C$39)+0.35*COS(2*PI()*(Inputs!$C$6)/Inputs!$C$40)+0.2*SIN(2*PI()*((Scenario_Data!W172)+(Inputs!$C$6))/(0.5*(Inputs!$C$39+Inputs!$C$40))))+Inputs!$C$38*SIN(2*PI()*(Scenario_Data!W172)/Inputs!$C$39)*SIN(2*PI()*(Inputs!$C$6)/Inputs!$C$40)+-Inputs!$C$41*EXP(-(((Inputs!$C$6)-Inputs!$C$43)^2)/(2*Inputs!$C$44^2))*EXP(-(((Scenario_Data!W172)-Inputs!$C$42)^2)/(2*Inputs!$C$45^2))+Inputs!$C$48*(0.7*(0.45*SIN(2*PI()*(((Scenario_Data!W172)/Inputs!$C$49)+Inputs!$C$47*0.137))+0.35*COS(2*PI()*(((Inputs!$C$6)/Inputs!$C$50)+Inputs!$C$47*0.173))+0.2*SIN(2*PI()*((((Scenario_Data!W172)+(Inputs!$C$6))/(0.5*(Inputs!$C$49+Inputs!$C$50)))+Inputs!$C$47*0.097)))+0.3*(2*((SIN(((Scenario_Data!W172)*12.9898+(Inputs!$C$6)*78.233+Inputs!$C$47*37.719))*43758.5453)-INT((SIN(((Scenario_Data!W172)*12.9898+(Inputs!$C$6)*78.233+Inputs!$C$47*37.719))*43758.5453)))-1))))/1000))*COS(SQRT((Scenario_Data!W172)^2+Inputs!$C$6^2)/Inputs!$C$52))*1000)/Inputs!$C$21*1000000</f>
        <v/>
      </c>
    </row>
    <row r="173">
      <c r="A173">
        <f>Chart_Data!K173</f>
        <v/>
      </c>
      <c r="B173">
        <f>Chart_Data!N173-Chart_Data!L173</f>
        <v/>
      </c>
      <c r="D173">
        <f>Chart_Data!G173</f>
        <v/>
      </c>
      <c r="E173">
        <f>Chart_Data!H173</f>
        <v/>
      </c>
      <c r="F173">
        <f>Chart_Data!I173</f>
        <v/>
      </c>
      <c r="G173">
        <f>Chart_Data!J173</f>
        <v/>
      </c>
      <c r="I173">
        <f>Scenario_Data!A173</f>
        <v/>
      </c>
      <c r="J173">
        <f>Scenario_Data!H173-(((SQRT((Inputs!$C$52+(Inputs!$H$6))^2+Inputs!$C$52^2-2*(Inputs!$C$52+(Inputs!$H$6))*Inputs!$C$52*COS(SQRT((Scenario_Data!T173)^2+Inputs!$C$6^2)/Inputs!$C$52)))-(Inputs!$H$6))*1000/Inputs!$C$12)</f>
        <v/>
      </c>
      <c r="K173">
        <f>Scenario_Data!I173-(((SQRT((Inputs!$C$52+(Inputs!$H$7))^2+Inputs!$C$52^2-2*(Inputs!$C$52+(Inputs!$H$7))*Inputs!$C$52*COS(SQRT((Scenario_Data!U173)^2+Inputs!$C$6^2)/Inputs!$C$52)))-(Inputs!$H$7))*1000/Inputs!$C$12)</f>
        <v/>
      </c>
      <c r="L173">
        <f>Scenario_Data!J173-(((SQRT((Inputs!$C$52+(Inputs!$H$8))^2+Inputs!$C$52^2-2*(Inputs!$C$52+(Inputs!$H$8))*Inputs!$C$52*COS(SQRT((Scenario_Data!V173)^2+Inputs!$C$6^2)/Inputs!$C$52)))-(Inputs!$H$8))*1000/Inputs!$C$12)</f>
        <v/>
      </c>
      <c r="M173">
        <f>Scenario_Data!K173-(((SQRT((Inputs!$C$52+(Inputs!$H$9))^2+Inputs!$C$52^2-2*(Inputs!$C$52+(Inputs!$H$9))*Inputs!$C$52*COS(SQRT((Scenario_Data!W173)^2+Inputs!$C$6^2)/Inputs!$C$52)))-(Inputs!$H$9))*1000/Inputs!$C$12)</f>
        <v/>
      </c>
      <c r="O173">
        <f>Scenario_Data!T173</f>
        <v/>
      </c>
      <c r="P173">
        <f>2*(Scenario_Data!B173*1000)/Inputs!$C$21*1000000</f>
        <v/>
      </c>
      <c r="Q173">
        <f>Scenario_Data!U173</f>
        <v/>
      </c>
      <c r="R173">
        <f>2*(Scenario_Data!C173*1000)/Inputs!$C$21*1000000</f>
        <v/>
      </c>
      <c r="S173">
        <f>Scenario_Data!V173</f>
        <v/>
      </c>
      <c r="T173">
        <f>2*(Scenario_Data!D173*1000)/Inputs!$C$21*1000000</f>
        <v/>
      </c>
      <c r="U173">
        <f>Scenario_Data!W173</f>
        <v/>
      </c>
      <c r="V173">
        <f>2*(Scenario_Data!E173*1000)/Inputs!$C$21*1000000</f>
        <v/>
      </c>
      <c r="X173">
        <f>Scenario_Data!T173</f>
        <v/>
      </c>
      <c r="Y173">
        <f>2*((Scenario_Data!B173*1000)-(IF(OR(Inputs!$C$27=TRUE,Inputs!$C$27="TRUE",Inputs!$C$27=1),1,0)*(Inputs!$C$51*(115*EXP(-(((0)-25)^2)/(4.5^2))+70*EXP(-(((0)+38)^2)/(7^2))*(0.55+0.45*SIN(2*PI()*(Scenario_Data!T173)/45))+24*SIN(2*PI()*(0)/9+(Scenario_Data!T173)/18)*EXP(-(((0)+5)^2)/(22^2))+18*SIN(2*PI()*(Scenario_Data!T173)/70))+Inputs!$C$28*EXP(-(((Scenario_Data!T173)-Inputs!$C$29)^2)/(2*Inputs!$C$31^2))*EXP(-(((0)-Inputs!$C$30)^2)/(2*Inputs!$C$32^2))+-Inputs!$C$33*EXP(-(((((Scenario_Data!T173)-Inputs!$C$34)^2)+(((0)-Inputs!$C$35)^2))/(2*Inputs!$C$36^2)))+Inputs!$C$37*(0.55*SIN(2*PI()*(Scenario_Data!T173)/Inputs!$C$39)+0.35*COS(2*PI()*(0)/Inputs!$C$40)+0.2*SIN(2*PI()*((Scenario_Data!T173)+(0))/(0.5*(Inputs!$C$39+Inputs!$C$40))))+Inputs!$C$38*SIN(2*PI()*(Scenario_Data!T173)/Inputs!$C$39)*SIN(2*PI()*(0)/Inputs!$C$40)+-Inputs!$C$41*EXP(-(((0)-Inputs!$C$43)^2)/(2*Inputs!$C$44^2))*EXP(-(((Scenario_Data!T173)-Inputs!$C$42)^2)/(2*Inputs!$C$45^2))+Inputs!$C$48*(0.7*(0.45*SIN(2*PI()*(((Scenario_Data!T173)/Inputs!$C$49)+Inputs!$C$47*0.137))+0.35*COS(2*PI()*(((0)/Inputs!$C$50)+Inputs!$C$47*0.173))+0.2*SIN(2*PI()*((((Scenario_Data!T173)+(0))/(0.5*(Inputs!$C$49+Inputs!$C$50)))+Inputs!$C$47*0.097)))+0.3*(2*((SIN(((Scenario_Data!T173)*12.9898+(0)*78.233+Inputs!$C$47*37.719))*43758.5453)-INT((SIN(((Scenario_Data!T173)*12.9898+(0)*78.233+Inputs!$C$47*37.719))*43758.5453)))-1)))))/Inputs!$C$21*1000000</f>
        <v/>
      </c>
      <c r="Z173">
        <f>Scenario_Data!U173</f>
        <v/>
      </c>
      <c r="AA173">
        <f>2*((Scenario_Data!C173*1000)-(IF(OR(Inputs!$C$27=TRUE,Inputs!$C$27="TRUE",Inputs!$C$27=1),1,0)*(Inputs!$C$51*(115*EXP(-(((0)-25)^2)/(4.5^2))+70*EXP(-(((0)+38)^2)/(7^2))*(0.55+0.45*SIN(2*PI()*(Scenario_Data!U173)/45))+24*SIN(2*PI()*(0)/9+(Scenario_Data!U173)/18)*EXP(-(((0)+5)^2)/(22^2))+18*SIN(2*PI()*(Scenario_Data!U173)/70))+Inputs!$C$28*EXP(-(((Scenario_Data!U173)-Inputs!$C$29)^2)/(2*Inputs!$C$31^2))*EXP(-(((0)-Inputs!$C$30)^2)/(2*Inputs!$C$32^2))+-Inputs!$C$33*EXP(-(((((Scenario_Data!U173)-Inputs!$C$34)^2)+(((0)-Inputs!$C$35)^2))/(2*Inputs!$C$36^2)))+Inputs!$C$37*(0.55*SIN(2*PI()*(Scenario_Data!U173)/Inputs!$C$39)+0.35*COS(2*PI()*(0)/Inputs!$C$40)+0.2*SIN(2*PI()*((Scenario_Data!U173)+(0))/(0.5*(Inputs!$C$39+Inputs!$C$40))))+Inputs!$C$38*SIN(2*PI()*(Scenario_Data!U173)/Inputs!$C$39)*SIN(2*PI()*(0)/Inputs!$C$40)+-Inputs!$C$41*EXP(-(((0)-Inputs!$C$43)^2)/(2*Inputs!$C$44^2))*EXP(-(((Scenario_Data!U173)-Inputs!$C$42)^2)/(2*Inputs!$C$45^2))+Inputs!$C$48*(0.7*(0.45*SIN(2*PI()*(((Scenario_Data!U173)/Inputs!$C$49)+Inputs!$C$47*0.137))+0.35*COS(2*PI()*(((0)/Inputs!$C$50)+Inputs!$C$47*0.173))+0.2*SIN(2*PI()*((((Scenario_Data!U173)+(0))/(0.5*(Inputs!$C$49+Inputs!$C$50)))+Inputs!$C$47*0.097)))+0.3*(2*((SIN(((Scenario_Data!U173)*12.9898+(0)*78.233+Inputs!$C$47*37.719))*43758.5453)-INT((SIN(((Scenario_Data!U173)*12.9898+(0)*78.233+Inputs!$C$47*37.719))*43758.5453)))-1)))))/Inputs!$C$21*1000000</f>
        <v/>
      </c>
      <c r="AB173">
        <f>Scenario_Data!V173</f>
        <v/>
      </c>
      <c r="AC173">
        <f>2*((Scenario_Data!D173*1000)-(IF(OR(Inputs!$C$27=TRUE,Inputs!$C$27="TRUE",Inputs!$C$27=1),1,0)*(Inputs!$C$51*(115*EXP(-(((0)-25)^2)/(4.5^2))+70*EXP(-(((0)+38)^2)/(7^2))*(0.55+0.45*SIN(2*PI()*(Scenario_Data!V173)/45))+24*SIN(2*PI()*(0)/9+(Scenario_Data!V173)/18)*EXP(-(((0)+5)^2)/(22^2))+18*SIN(2*PI()*(Scenario_Data!V173)/70))+Inputs!$C$28*EXP(-(((Scenario_Data!V173)-Inputs!$C$29)^2)/(2*Inputs!$C$31^2))*EXP(-(((0)-Inputs!$C$30)^2)/(2*Inputs!$C$32^2))+-Inputs!$C$33*EXP(-(((((Scenario_Data!V173)-Inputs!$C$34)^2)+(((0)-Inputs!$C$35)^2))/(2*Inputs!$C$36^2)))+Inputs!$C$37*(0.55*SIN(2*PI()*(Scenario_Data!V173)/Inputs!$C$39)+0.35*COS(2*PI()*(0)/Inputs!$C$40)+0.2*SIN(2*PI()*((Scenario_Data!V173)+(0))/(0.5*(Inputs!$C$39+Inputs!$C$40))))+Inputs!$C$38*SIN(2*PI()*(Scenario_Data!V173)/Inputs!$C$39)*SIN(2*PI()*(0)/Inputs!$C$40)+-Inputs!$C$41*EXP(-(((0)-Inputs!$C$43)^2)/(2*Inputs!$C$44^2))*EXP(-(((Scenario_Data!V173)-Inputs!$C$42)^2)/(2*Inputs!$C$45^2))+Inputs!$C$48*(0.7*(0.45*SIN(2*PI()*(((Scenario_Data!V173)/Inputs!$C$49)+Inputs!$C$47*0.137))+0.35*COS(2*PI()*(((0)/Inputs!$C$50)+Inputs!$C$47*0.173))+0.2*SIN(2*PI()*((((Scenario_Data!V173)+(0))/(0.5*(Inputs!$C$49+Inputs!$C$50)))+Inputs!$C$47*0.097)))+0.3*(2*((SIN(((Scenario_Data!V173)*12.9898+(0)*78.233+Inputs!$C$47*37.719))*43758.5453)-INT((SIN(((Scenario_Data!V173)*12.9898+(0)*78.233+Inputs!$C$47*37.719))*43758.5453)))-1)))))/Inputs!$C$21*1000000</f>
        <v/>
      </c>
      <c r="AD173">
        <f>Scenario_Data!W173</f>
        <v/>
      </c>
      <c r="AE173">
        <f>2*((Scenario_Data!E173*1000)-(IF(OR(Inputs!$C$27=TRUE,Inputs!$C$27="TRUE",Inputs!$C$27=1),1,0)*(Inputs!$C$51*(115*EXP(-(((0)-25)^2)/(4.5^2))+70*EXP(-(((0)+38)^2)/(7^2))*(0.55+0.45*SIN(2*PI()*(Scenario_Data!W173)/45))+24*SIN(2*PI()*(0)/9+(Scenario_Data!W173)/18)*EXP(-(((0)+5)^2)/(22^2))+18*SIN(2*PI()*(Scenario_Data!W173)/70))+Inputs!$C$28*EXP(-(((Scenario_Data!W173)-Inputs!$C$29)^2)/(2*Inputs!$C$31^2))*EXP(-(((0)-Inputs!$C$30)^2)/(2*Inputs!$C$32^2))+-Inputs!$C$33*EXP(-(((((Scenario_Data!W173)-Inputs!$C$34)^2)+(((0)-Inputs!$C$35)^2))/(2*Inputs!$C$36^2)))+Inputs!$C$37*(0.55*SIN(2*PI()*(Scenario_Data!W173)/Inputs!$C$39)+0.35*COS(2*PI()*(0)/Inputs!$C$40)+0.2*SIN(2*PI()*((Scenario_Data!W173)+(0))/(0.5*(Inputs!$C$39+Inputs!$C$40))))+Inputs!$C$38*SIN(2*PI()*(Scenario_Data!W173)/Inputs!$C$39)*SIN(2*PI()*(0)/Inputs!$C$40)+-Inputs!$C$41*EXP(-(((0)-Inputs!$C$43)^2)/(2*Inputs!$C$44^2))*EXP(-(((Scenario_Data!W173)-Inputs!$C$42)^2)/(2*Inputs!$C$45^2))+Inputs!$C$48*(0.7*(0.45*SIN(2*PI()*(((Scenario_Data!W173)/Inputs!$C$49)+Inputs!$C$47*0.137))+0.35*COS(2*PI()*(((0)/Inputs!$C$50)+Inputs!$C$47*0.173))+0.2*SIN(2*PI()*((((Scenario_Data!W173)+(0))/(0.5*(Inputs!$C$49+Inputs!$C$50)))+Inputs!$C$47*0.097)))+0.3*(2*((SIN(((Scenario_Data!W173)*12.9898+(0)*78.233+Inputs!$C$47*37.719))*43758.5453)-INT((SIN(((Scenario_Data!W173)*12.9898+(0)*78.233+Inputs!$C$47*37.719))*43758.5453)))-1)))))/Inputs!$C$21*1000000</f>
        <v/>
      </c>
      <c r="AG173">
        <f>Scenario_Data!T173</f>
        <v/>
      </c>
      <c r="AH173">
        <f>2*(SQRT((Inputs!$C$52+(Scenario_Data!B173))^2+Inputs!$C$52^2-2*(Inputs!$C$52+(Scenario_Data!B173))*Inputs!$C$52*COS(SQRT((Scenario_Data!T173)^2+Inputs!$C$6^2)/Inputs!$C$52))*1000)/Inputs!$C$21*1000000</f>
        <v/>
      </c>
      <c r="AI173">
        <f>Scenario_Data!U173</f>
        <v/>
      </c>
      <c r="AJ173">
        <f>2*(SQRT((Inputs!$C$52+(Scenario_Data!C173))^2+Inputs!$C$52^2-2*(Inputs!$C$52+(Scenario_Data!C173))*Inputs!$C$52*COS(SQRT((Scenario_Data!U173)^2+Inputs!$C$6^2)/Inputs!$C$52))*1000)/Inputs!$C$21*1000000</f>
        <v/>
      </c>
      <c r="AK173">
        <f>Scenario_Data!V173</f>
        <v/>
      </c>
      <c r="AL173">
        <f>2*(SQRT((Inputs!$C$52+(Scenario_Data!D173))^2+Inputs!$C$52^2-2*(Inputs!$C$52+(Scenario_Data!D173))*Inputs!$C$52*COS(SQRT((Scenario_Data!V173)^2+Inputs!$C$6^2)/Inputs!$C$52))*1000)/Inputs!$C$21*1000000</f>
        <v/>
      </c>
      <c r="AM173">
        <f>Scenario_Data!W173</f>
        <v/>
      </c>
      <c r="AN173">
        <f>2*(SQRT((Inputs!$C$52+(Scenario_Data!E173))^2+Inputs!$C$52^2-2*(Inputs!$C$52+(Scenario_Data!E173))*Inputs!$C$52*COS(SQRT((Scenario_Data!W173)^2+Inputs!$C$6^2)/Inputs!$C$52))*1000)/Inputs!$C$21*1000000</f>
        <v/>
      </c>
      <c r="AP173">
        <f>Scenario_Data!T173</f>
        <v/>
      </c>
      <c r="AQ173">
        <f>2*(SQRT((Inputs!$C$52+(Scenario_Data!B173))^2+(Inputs!$C$52+((IF(OR(Inputs!$C$27=TRUE,Inputs!$C$27="TRUE",Inputs!$C$27=1),1,0)*(Inputs!$C$51*(115*EXP(-(((Inputs!$C$6)-25)^2)/(4.5^2))+70*EXP(-(((Inputs!$C$6)+38)^2)/(7^2))*(0.55+0.45*SIN(2*PI()*(Scenario_Data!T173)/45))+24*SIN(2*PI()*(Inputs!$C$6)/9+(Scenario_Data!T173)/18)*EXP(-(((Inputs!$C$6)+5)^2)/(22^2))+18*SIN(2*PI()*(Scenario_Data!T173)/70))+Inputs!$C$28*EXP(-(((Scenario_Data!T173)-Inputs!$C$29)^2)/(2*Inputs!$C$31^2))*EXP(-(((Inputs!$C$6)-Inputs!$C$30)^2)/(2*Inputs!$C$32^2))+-Inputs!$C$33*EXP(-(((((Scenario_Data!T173)-Inputs!$C$34)^2)+(((Inputs!$C$6)-Inputs!$C$35)^2))/(2*Inputs!$C$36^2)))+Inputs!$C$37*(0.55*SIN(2*PI()*(Scenario_Data!T173)/Inputs!$C$39)+0.35*COS(2*PI()*(Inputs!$C$6)/Inputs!$C$40)+0.2*SIN(2*PI()*((Scenario_Data!T173)+(Inputs!$C$6))/(0.5*(Inputs!$C$39+Inputs!$C$40))))+Inputs!$C$38*SIN(2*PI()*(Scenario_Data!T173)/Inputs!$C$39)*SIN(2*PI()*(Inputs!$C$6)/Inputs!$C$40)+-Inputs!$C$41*EXP(-(((Inputs!$C$6)-Inputs!$C$43)^2)/(2*Inputs!$C$44^2))*EXP(-(((Scenario_Data!T173)-Inputs!$C$42)^2)/(2*Inputs!$C$45^2))+Inputs!$C$48*(0.7*(0.45*SIN(2*PI()*(((Scenario_Data!T173)/Inputs!$C$49)+Inputs!$C$47*0.137))+0.35*COS(2*PI()*(((Inputs!$C$6)/Inputs!$C$50)+Inputs!$C$47*0.173))+0.2*SIN(2*PI()*((((Scenario_Data!T173)+(Inputs!$C$6))/(0.5*(Inputs!$C$49+Inputs!$C$50)))+Inputs!$C$47*0.097)))+0.3*(2*((SIN(((Scenario_Data!T173)*12.9898+(Inputs!$C$6)*78.233+Inputs!$C$47*37.719))*43758.5453)-INT((SIN(((Scenario_Data!T173)*12.9898+(Inputs!$C$6)*78.233+Inputs!$C$47*37.719))*43758.5453)))-1))))/1000))^2-2*(Inputs!$C$52+(Scenario_Data!B173))*(Inputs!$C$52+((IF(OR(Inputs!$C$27=TRUE,Inputs!$C$27="TRUE",Inputs!$C$27=1),1,0)*(Inputs!$C$51*(115*EXP(-(((Inputs!$C$6)-25)^2)/(4.5^2))+70*EXP(-(((Inputs!$C$6)+38)^2)/(7^2))*(0.55+0.45*SIN(2*PI()*(Scenario_Data!T173)/45))+24*SIN(2*PI()*(Inputs!$C$6)/9+(Scenario_Data!T173)/18)*EXP(-(((Inputs!$C$6)+5)^2)/(22^2))+18*SIN(2*PI()*(Scenario_Data!T173)/70))+Inputs!$C$28*EXP(-(((Scenario_Data!T173)-Inputs!$C$29)^2)/(2*Inputs!$C$31^2))*EXP(-(((Inputs!$C$6)-Inputs!$C$30)^2)/(2*Inputs!$C$32^2))+-Inputs!$C$33*EXP(-(((((Scenario_Data!T173)-Inputs!$C$34)^2)+(((Inputs!$C$6)-Inputs!$C$35)^2))/(2*Inputs!$C$36^2)))+Inputs!$C$37*(0.55*SIN(2*PI()*(Scenario_Data!T173)/Inputs!$C$39)+0.35*COS(2*PI()*(Inputs!$C$6)/Inputs!$C$40)+0.2*SIN(2*PI()*((Scenario_Data!T173)+(Inputs!$C$6))/(0.5*(Inputs!$C$39+Inputs!$C$40))))+Inputs!$C$38*SIN(2*PI()*(Scenario_Data!T173)/Inputs!$C$39)*SIN(2*PI()*(Inputs!$C$6)/Inputs!$C$40)+-Inputs!$C$41*EXP(-(((Inputs!$C$6)-Inputs!$C$43)^2)/(2*Inputs!$C$44^2))*EXP(-(((Scenario_Data!T173)-Inputs!$C$42)^2)/(2*Inputs!$C$45^2))+Inputs!$C$48*(0.7*(0.45*SIN(2*PI()*(((Scenario_Data!T173)/Inputs!$C$49)+Inputs!$C$47*0.137))+0.35*COS(2*PI()*(((Inputs!$C$6)/Inputs!$C$50)+Inputs!$C$47*0.173))+0.2*SIN(2*PI()*((((Scenario_Data!T173)+(Inputs!$C$6))/(0.5*(Inputs!$C$49+Inputs!$C$50)))+Inputs!$C$47*0.097)))+0.3*(2*((SIN(((Scenario_Data!T173)*12.9898+(Inputs!$C$6)*78.233+Inputs!$C$47*37.719))*43758.5453)-INT((SIN(((Scenario_Data!T173)*12.9898+(Inputs!$C$6)*78.233+Inputs!$C$47*37.719))*43758.5453)))-1))))/1000))*COS(SQRT((Scenario_Data!T173)^2+Inputs!$C$6^2)/Inputs!$C$52))*1000)/Inputs!$C$21*1000000</f>
        <v/>
      </c>
      <c r="AR173">
        <f>Scenario_Data!U173</f>
        <v/>
      </c>
      <c r="AS173">
        <f>2*(SQRT((Inputs!$C$52+(Scenario_Data!C173))^2+(Inputs!$C$52+((IF(OR(Inputs!$C$27=TRUE,Inputs!$C$27="TRUE",Inputs!$C$27=1),1,0)*(Inputs!$C$51*(115*EXP(-(((Inputs!$C$6)-25)^2)/(4.5^2))+70*EXP(-(((Inputs!$C$6)+38)^2)/(7^2))*(0.55+0.45*SIN(2*PI()*(Scenario_Data!U173)/45))+24*SIN(2*PI()*(Inputs!$C$6)/9+(Scenario_Data!U173)/18)*EXP(-(((Inputs!$C$6)+5)^2)/(22^2))+18*SIN(2*PI()*(Scenario_Data!U173)/70))+Inputs!$C$28*EXP(-(((Scenario_Data!U173)-Inputs!$C$29)^2)/(2*Inputs!$C$31^2))*EXP(-(((Inputs!$C$6)-Inputs!$C$30)^2)/(2*Inputs!$C$32^2))+-Inputs!$C$33*EXP(-(((((Scenario_Data!U173)-Inputs!$C$34)^2)+(((Inputs!$C$6)-Inputs!$C$35)^2))/(2*Inputs!$C$36^2)))+Inputs!$C$37*(0.55*SIN(2*PI()*(Scenario_Data!U173)/Inputs!$C$39)+0.35*COS(2*PI()*(Inputs!$C$6)/Inputs!$C$40)+0.2*SIN(2*PI()*((Scenario_Data!U173)+(Inputs!$C$6))/(0.5*(Inputs!$C$39+Inputs!$C$40))))+Inputs!$C$38*SIN(2*PI()*(Scenario_Data!U173)/Inputs!$C$39)*SIN(2*PI()*(Inputs!$C$6)/Inputs!$C$40)+-Inputs!$C$41*EXP(-(((Inputs!$C$6)-Inputs!$C$43)^2)/(2*Inputs!$C$44^2))*EXP(-(((Scenario_Data!U173)-Inputs!$C$42)^2)/(2*Inputs!$C$45^2))+Inputs!$C$48*(0.7*(0.45*SIN(2*PI()*(((Scenario_Data!U173)/Inputs!$C$49)+Inputs!$C$47*0.137))+0.35*COS(2*PI()*(((Inputs!$C$6)/Inputs!$C$50)+Inputs!$C$47*0.173))+0.2*SIN(2*PI()*((((Scenario_Data!U173)+(Inputs!$C$6))/(0.5*(Inputs!$C$49+Inputs!$C$50)))+Inputs!$C$47*0.097)))+0.3*(2*((SIN(((Scenario_Data!U173)*12.9898+(Inputs!$C$6)*78.233+Inputs!$C$47*37.719))*43758.5453)-INT((SIN(((Scenario_Data!U173)*12.9898+(Inputs!$C$6)*78.233+Inputs!$C$47*37.719))*43758.5453)))-1))))/1000))^2-2*(Inputs!$C$52+(Scenario_Data!C173))*(Inputs!$C$52+((IF(OR(Inputs!$C$27=TRUE,Inputs!$C$27="TRUE",Inputs!$C$27=1),1,0)*(Inputs!$C$51*(115*EXP(-(((Inputs!$C$6)-25)^2)/(4.5^2))+70*EXP(-(((Inputs!$C$6)+38)^2)/(7^2))*(0.55+0.45*SIN(2*PI()*(Scenario_Data!U173)/45))+24*SIN(2*PI()*(Inputs!$C$6)/9+(Scenario_Data!U173)/18)*EXP(-(((Inputs!$C$6)+5)^2)/(22^2))+18*SIN(2*PI()*(Scenario_Data!U173)/70))+Inputs!$C$28*EXP(-(((Scenario_Data!U173)-Inputs!$C$29)^2)/(2*Inputs!$C$31^2))*EXP(-(((Inputs!$C$6)-Inputs!$C$30)^2)/(2*Inputs!$C$32^2))+-Inputs!$C$33*EXP(-(((((Scenario_Data!U173)-Inputs!$C$34)^2)+(((Inputs!$C$6)-Inputs!$C$35)^2))/(2*Inputs!$C$36^2)))+Inputs!$C$37*(0.55*SIN(2*PI()*(Scenario_Data!U173)/Inputs!$C$39)+0.35*COS(2*PI()*(Inputs!$C$6)/Inputs!$C$40)+0.2*SIN(2*PI()*((Scenario_Data!U173)+(Inputs!$C$6))/(0.5*(Inputs!$C$39+Inputs!$C$40))))+Inputs!$C$38*SIN(2*PI()*(Scenario_Data!U173)/Inputs!$C$39)*SIN(2*PI()*(Inputs!$C$6)/Inputs!$C$40)+-Inputs!$C$41*EXP(-(((Inputs!$C$6)-Inputs!$C$43)^2)/(2*Inputs!$C$44^2))*EXP(-(((Scenario_Data!U173)-Inputs!$C$42)^2)/(2*Inputs!$C$45^2))+Inputs!$C$48*(0.7*(0.45*SIN(2*PI()*(((Scenario_Data!U173)/Inputs!$C$49)+Inputs!$C$47*0.137))+0.35*COS(2*PI()*(((Inputs!$C$6)/Inputs!$C$50)+Inputs!$C$47*0.173))+0.2*SIN(2*PI()*((((Scenario_Data!U173)+(Inputs!$C$6))/(0.5*(Inputs!$C$49+Inputs!$C$50)))+Inputs!$C$47*0.097)))+0.3*(2*((SIN(((Scenario_Data!U173)*12.9898+(Inputs!$C$6)*78.233+Inputs!$C$47*37.719))*43758.5453)-INT((SIN(((Scenario_Data!U173)*12.9898+(Inputs!$C$6)*78.233+Inputs!$C$47*37.719))*43758.5453)))-1))))/1000))*COS(SQRT((Scenario_Data!U173)^2+Inputs!$C$6^2)/Inputs!$C$52))*1000)/Inputs!$C$21*1000000</f>
        <v/>
      </c>
      <c r="AT173">
        <f>Scenario_Data!V173</f>
        <v/>
      </c>
      <c r="AU173">
        <f>2*(SQRT((Inputs!$C$52+(Scenario_Data!D173))^2+(Inputs!$C$52+((IF(OR(Inputs!$C$27=TRUE,Inputs!$C$27="TRUE",Inputs!$C$27=1),1,0)*(Inputs!$C$51*(115*EXP(-(((Inputs!$C$6)-25)^2)/(4.5^2))+70*EXP(-(((Inputs!$C$6)+38)^2)/(7^2))*(0.55+0.45*SIN(2*PI()*(Scenario_Data!V173)/45))+24*SIN(2*PI()*(Inputs!$C$6)/9+(Scenario_Data!V173)/18)*EXP(-(((Inputs!$C$6)+5)^2)/(22^2))+18*SIN(2*PI()*(Scenario_Data!V173)/70))+Inputs!$C$28*EXP(-(((Scenario_Data!V173)-Inputs!$C$29)^2)/(2*Inputs!$C$31^2))*EXP(-(((Inputs!$C$6)-Inputs!$C$30)^2)/(2*Inputs!$C$32^2))+-Inputs!$C$33*EXP(-(((((Scenario_Data!V173)-Inputs!$C$34)^2)+(((Inputs!$C$6)-Inputs!$C$35)^2))/(2*Inputs!$C$36^2)))+Inputs!$C$37*(0.55*SIN(2*PI()*(Scenario_Data!V173)/Inputs!$C$39)+0.35*COS(2*PI()*(Inputs!$C$6)/Inputs!$C$40)+0.2*SIN(2*PI()*((Scenario_Data!V173)+(Inputs!$C$6))/(0.5*(Inputs!$C$39+Inputs!$C$40))))+Inputs!$C$38*SIN(2*PI()*(Scenario_Data!V173)/Inputs!$C$39)*SIN(2*PI()*(Inputs!$C$6)/Inputs!$C$40)+-Inputs!$C$41*EXP(-(((Inputs!$C$6)-Inputs!$C$43)^2)/(2*Inputs!$C$44^2))*EXP(-(((Scenario_Data!V173)-Inputs!$C$42)^2)/(2*Inputs!$C$45^2))+Inputs!$C$48*(0.7*(0.45*SIN(2*PI()*(((Scenario_Data!V173)/Inputs!$C$49)+Inputs!$C$47*0.137))+0.35*COS(2*PI()*(((Inputs!$C$6)/Inputs!$C$50)+Inputs!$C$47*0.173))+0.2*SIN(2*PI()*((((Scenario_Data!V173)+(Inputs!$C$6))/(0.5*(Inputs!$C$49+Inputs!$C$50)))+Inputs!$C$47*0.097)))+0.3*(2*((SIN(((Scenario_Data!V173)*12.9898+(Inputs!$C$6)*78.233+Inputs!$C$47*37.719))*43758.5453)-INT((SIN(((Scenario_Data!V173)*12.9898+(Inputs!$C$6)*78.233+Inputs!$C$47*37.719))*43758.5453)))-1))))/1000))^2-2*(Inputs!$C$52+(Scenario_Data!D173))*(Inputs!$C$52+((IF(OR(Inputs!$C$27=TRUE,Inputs!$C$27="TRUE",Inputs!$C$27=1),1,0)*(Inputs!$C$51*(115*EXP(-(((Inputs!$C$6)-25)^2)/(4.5^2))+70*EXP(-(((Inputs!$C$6)+38)^2)/(7^2))*(0.55+0.45*SIN(2*PI()*(Scenario_Data!V173)/45))+24*SIN(2*PI()*(Inputs!$C$6)/9+(Scenario_Data!V173)/18)*EXP(-(((Inputs!$C$6)+5)^2)/(22^2))+18*SIN(2*PI()*(Scenario_Data!V173)/70))+Inputs!$C$28*EXP(-(((Scenario_Data!V173)-Inputs!$C$29)^2)/(2*Inputs!$C$31^2))*EXP(-(((Inputs!$C$6)-Inputs!$C$30)^2)/(2*Inputs!$C$32^2))+-Inputs!$C$33*EXP(-(((((Scenario_Data!V173)-Inputs!$C$34)^2)+(((Inputs!$C$6)-Inputs!$C$35)^2))/(2*Inputs!$C$36^2)))+Inputs!$C$37*(0.55*SIN(2*PI()*(Scenario_Data!V173)/Inputs!$C$39)+0.35*COS(2*PI()*(Inputs!$C$6)/Inputs!$C$40)+0.2*SIN(2*PI()*((Scenario_Data!V173)+(Inputs!$C$6))/(0.5*(Inputs!$C$39+Inputs!$C$40))))+Inputs!$C$38*SIN(2*PI()*(Scenario_Data!V173)/Inputs!$C$39)*SIN(2*PI()*(Inputs!$C$6)/Inputs!$C$40)+-Inputs!$C$41*EXP(-(((Inputs!$C$6)-Inputs!$C$43)^2)/(2*Inputs!$C$44^2))*EXP(-(((Scenario_Data!V173)-Inputs!$C$42)^2)/(2*Inputs!$C$45^2))+Inputs!$C$48*(0.7*(0.45*SIN(2*PI()*(((Scenario_Data!V173)/Inputs!$C$49)+Inputs!$C$47*0.137))+0.35*COS(2*PI()*(((Inputs!$C$6)/Inputs!$C$50)+Inputs!$C$47*0.173))+0.2*SIN(2*PI()*((((Scenario_Data!V173)+(Inputs!$C$6))/(0.5*(Inputs!$C$49+Inputs!$C$50)))+Inputs!$C$47*0.097)))+0.3*(2*((SIN(((Scenario_Data!V173)*12.9898+(Inputs!$C$6)*78.233+Inputs!$C$47*37.719))*43758.5453)-INT((SIN(((Scenario_Data!V173)*12.9898+(Inputs!$C$6)*78.233+Inputs!$C$47*37.719))*43758.5453)))-1))))/1000))*COS(SQRT((Scenario_Data!V173)^2+Inputs!$C$6^2)/Inputs!$C$52))*1000)/Inputs!$C$21*1000000</f>
        <v/>
      </c>
      <c r="AV173">
        <f>Scenario_Data!W173</f>
        <v/>
      </c>
      <c r="AW173">
        <f>2*(SQRT((Inputs!$C$52+(Scenario_Data!E173))^2+(Inputs!$C$52+((IF(OR(Inputs!$C$27=TRUE,Inputs!$C$27="TRUE",Inputs!$C$27=1),1,0)*(Inputs!$C$51*(115*EXP(-(((Inputs!$C$6)-25)^2)/(4.5^2))+70*EXP(-(((Inputs!$C$6)+38)^2)/(7^2))*(0.55+0.45*SIN(2*PI()*(Scenario_Data!W173)/45))+24*SIN(2*PI()*(Inputs!$C$6)/9+(Scenario_Data!W173)/18)*EXP(-(((Inputs!$C$6)+5)^2)/(22^2))+18*SIN(2*PI()*(Scenario_Data!W173)/70))+Inputs!$C$28*EXP(-(((Scenario_Data!W173)-Inputs!$C$29)^2)/(2*Inputs!$C$31^2))*EXP(-(((Inputs!$C$6)-Inputs!$C$30)^2)/(2*Inputs!$C$32^2))+-Inputs!$C$33*EXP(-(((((Scenario_Data!W173)-Inputs!$C$34)^2)+(((Inputs!$C$6)-Inputs!$C$35)^2))/(2*Inputs!$C$36^2)))+Inputs!$C$37*(0.55*SIN(2*PI()*(Scenario_Data!W173)/Inputs!$C$39)+0.35*COS(2*PI()*(Inputs!$C$6)/Inputs!$C$40)+0.2*SIN(2*PI()*((Scenario_Data!W173)+(Inputs!$C$6))/(0.5*(Inputs!$C$39+Inputs!$C$40))))+Inputs!$C$38*SIN(2*PI()*(Scenario_Data!W173)/Inputs!$C$39)*SIN(2*PI()*(Inputs!$C$6)/Inputs!$C$40)+-Inputs!$C$41*EXP(-(((Inputs!$C$6)-Inputs!$C$43)^2)/(2*Inputs!$C$44^2))*EXP(-(((Scenario_Data!W173)-Inputs!$C$42)^2)/(2*Inputs!$C$45^2))+Inputs!$C$48*(0.7*(0.45*SIN(2*PI()*(((Scenario_Data!W173)/Inputs!$C$49)+Inputs!$C$47*0.137))+0.35*COS(2*PI()*(((Inputs!$C$6)/Inputs!$C$50)+Inputs!$C$47*0.173))+0.2*SIN(2*PI()*((((Scenario_Data!W173)+(Inputs!$C$6))/(0.5*(Inputs!$C$49+Inputs!$C$50)))+Inputs!$C$47*0.097)))+0.3*(2*((SIN(((Scenario_Data!W173)*12.9898+(Inputs!$C$6)*78.233+Inputs!$C$47*37.719))*43758.5453)-INT((SIN(((Scenario_Data!W173)*12.9898+(Inputs!$C$6)*78.233+Inputs!$C$47*37.719))*43758.5453)))-1))))/1000))^2-2*(Inputs!$C$52+(Scenario_Data!E173))*(Inputs!$C$52+((IF(OR(Inputs!$C$27=TRUE,Inputs!$C$27="TRUE",Inputs!$C$27=1),1,0)*(Inputs!$C$51*(115*EXP(-(((Inputs!$C$6)-25)^2)/(4.5^2))+70*EXP(-(((Inputs!$C$6)+38)^2)/(7^2))*(0.55+0.45*SIN(2*PI()*(Scenario_Data!W173)/45))+24*SIN(2*PI()*(Inputs!$C$6)/9+(Scenario_Data!W173)/18)*EXP(-(((Inputs!$C$6)+5)^2)/(22^2))+18*SIN(2*PI()*(Scenario_Data!W173)/70))+Inputs!$C$28*EXP(-(((Scenario_Data!W173)-Inputs!$C$29)^2)/(2*Inputs!$C$31^2))*EXP(-(((Inputs!$C$6)-Inputs!$C$30)^2)/(2*Inputs!$C$32^2))+-Inputs!$C$33*EXP(-(((((Scenario_Data!W173)-Inputs!$C$34)^2)+(((Inputs!$C$6)-Inputs!$C$35)^2))/(2*Inputs!$C$36^2)))+Inputs!$C$37*(0.55*SIN(2*PI()*(Scenario_Data!W173)/Inputs!$C$39)+0.35*COS(2*PI()*(Inputs!$C$6)/Inputs!$C$40)+0.2*SIN(2*PI()*((Scenario_Data!W173)+(Inputs!$C$6))/(0.5*(Inputs!$C$39+Inputs!$C$40))))+Inputs!$C$38*SIN(2*PI()*(Scenario_Data!W173)/Inputs!$C$39)*SIN(2*PI()*(Inputs!$C$6)/Inputs!$C$40)+-Inputs!$C$41*EXP(-(((Inputs!$C$6)-Inputs!$C$43)^2)/(2*Inputs!$C$44^2))*EXP(-(((Scenario_Data!W173)-Inputs!$C$42)^2)/(2*Inputs!$C$45^2))+Inputs!$C$48*(0.7*(0.45*SIN(2*PI()*(((Scenario_Data!W173)/Inputs!$C$49)+Inputs!$C$47*0.137))+0.35*COS(2*PI()*(((Inputs!$C$6)/Inputs!$C$50)+Inputs!$C$47*0.173))+0.2*SIN(2*PI()*((((Scenario_Data!W173)+(Inputs!$C$6))/(0.5*(Inputs!$C$49+Inputs!$C$50)))+Inputs!$C$47*0.097)))+0.3*(2*((SIN(((Scenario_Data!W173)*12.9898+(Inputs!$C$6)*78.233+Inputs!$C$47*37.719))*43758.5453)-INT((SIN(((Scenario_Data!W173)*12.9898+(Inputs!$C$6)*78.233+Inputs!$C$47*37.719))*43758.5453)))-1))))/1000))*COS(SQRT((Scenario_Data!W173)^2+Inputs!$C$6^2)/Inputs!$C$52))*1000)/Inputs!$C$21*1000000</f>
        <v/>
      </c>
    </row>
    <row r="174">
      <c r="A174">
        <f>Chart_Data!K174</f>
        <v/>
      </c>
      <c r="B174">
        <f>Chart_Data!N174-Chart_Data!L174</f>
        <v/>
      </c>
      <c r="D174">
        <f>Chart_Data!G174</f>
        <v/>
      </c>
      <c r="E174">
        <f>Chart_Data!H174</f>
        <v/>
      </c>
      <c r="F174">
        <f>Chart_Data!I174</f>
        <v/>
      </c>
      <c r="G174">
        <f>Chart_Data!J174</f>
        <v/>
      </c>
      <c r="I174">
        <f>Scenario_Data!A174</f>
        <v/>
      </c>
      <c r="J174">
        <f>Scenario_Data!H174-(((SQRT((Inputs!$C$52+(Inputs!$H$6))^2+Inputs!$C$52^2-2*(Inputs!$C$52+(Inputs!$H$6))*Inputs!$C$52*COS(SQRT((Scenario_Data!T174)^2+Inputs!$C$6^2)/Inputs!$C$52)))-(Inputs!$H$6))*1000/Inputs!$C$12)</f>
        <v/>
      </c>
      <c r="K174">
        <f>Scenario_Data!I174-(((SQRT((Inputs!$C$52+(Inputs!$H$7))^2+Inputs!$C$52^2-2*(Inputs!$C$52+(Inputs!$H$7))*Inputs!$C$52*COS(SQRT((Scenario_Data!U174)^2+Inputs!$C$6^2)/Inputs!$C$52)))-(Inputs!$H$7))*1000/Inputs!$C$12)</f>
        <v/>
      </c>
      <c r="L174">
        <f>Scenario_Data!J174-(((SQRT((Inputs!$C$52+(Inputs!$H$8))^2+Inputs!$C$52^2-2*(Inputs!$C$52+(Inputs!$H$8))*Inputs!$C$52*COS(SQRT((Scenario_Data!V174)^2+Inputs!$C$6^2)/Inputs!$C$52)))-(Inputs!$H$8))*1000/Inputs!$C$12)</f>
        <v/>
      </c>
      <c r="M174">
        <f>Scenario_Data!K174-(((SQRT((Inputs!$C$52+(Inputs!$H$9))^2+Inputs!$C$52^2-2*(Inputs!$C$52+(Inputs!$H$9))*Inputs!$C$52*COS(SQRT((Scenario_Data!W174)^2+Inputs!$C$6^2)/Inputs!$C$52)))-(Inputs!$H$9))*1000/Inputs!$C$12)</f>
        <v/>
      </c>
      <c r="O174">
        <f>Scenario_Data!T174</f>
        <v/>
      </c>
      <c r="P174">
        <f>2*(Scenario_Data!B174*1000)/Inputs!$C$21*1000000</f>
        <v/>
      </c>
      <c r="Q174">
        <f>Scenario_Data!U174</f>
        <v/>
      </c>
      <c r="R174">
        <f>2*(Scenario_Data!C174*1000)/Inputs!$C$21*1000000</f>
        <v/>
      </c>
      <c r="S174">
        <f>Scenario_Data!V174</f>
        <v/>
      </c>
      <c r="T174">
        <f>2*(Scenario_Data!D174*1000)/Inputs!$C$21*1000000</f>
        <v/>
      </c>
      <c r="U174">
        <f>Scenario_Data!W174</f>
        <v/>
      </c>
      <c r="V174">
        <f>2*(Scenario_Data!E174*1000)/Inputs!$C$21*1000000</f>
        <v/>
      </c>
      <c r="X174">
        <f>Scenario_Data!T174</f>
        <v/>
      </c>
      <c r="Y174">
        <f>2*((Scenario_Data!B174*1000)-(IF(OR(Inputs!$C$27=TRUE,Inputs!$C$27="TRUE",Inputs!$C$27=1),1,0)*(Inputs!$C$51*(115*EXP(-(((0)-25)^2)/(4.5^2))+70*EXP(-(((0)+38)^2)/(7^2))*(0.55+0.45*SIN(2*PI()*(Scenario_Data!T174)/45))+24*SIN(2*PI()*(0)/9+(Scenario_Data!T174)/18)*EXP(-(((0)+5)^2)/(22^2))+18*SIN(2*PI()*(Scenario_Data!T174)/70))+Inputs!$C$28*EXP(-(((Scenario_Data!T174)-Inputs!$C$29)^2)/(2*Inputs!$C$31^2))*EXP(-(((0)-Inputs!$C$30)^2)/(2*Inputs!$C$32^2))+-Inputs!$C$33*EXP(-(((((Scenario_Data!T174)-Inputs!$C$34)^2)+(((0)-Inputs!$C$35)^2))/(2*Inputs!$C$36^2)))+Inputs!$C$37*(0.55*SIN(2*PI()*(Scenario_Data!T174)/Inputs!$C$39)+0.35*COS(2*PI()*(0)/Inputs!$C$40)+0.2*SIN(2*PI()*((Scenario_Data!T174)+(0))/(0.5*(Inputs!$C$39+Inputs!$C$40))))+Inputs!$C$38*SIN(2*PI()*(Scenario_Data!T174)/Inputs!$C$39)*SIN(2*PI()*(0)/Inputs!$C$40)+-Inputs!$C$41*EXP(-(((0)-Inputs!$C$43)^2)/(2*Inputs!$C$44^2))*EXP(-(((Scenario_Data!T174)-Inputs!$C$42)^2)/(2*Inputs!$C$45^2))+Inputs!$C$48*(0.7*(0.45*SIN(2*PI()*(((Scenario_Data!T174)/Inputs!$C$49)+Inputs!$C$47*0.137))+0.35*COS(2*PI()*(((0)/Inputs!$C$50)+Inputs!$C$47*0.173))+0.2*SIN(2*PI()*((((Scenario_Data!T174)+(0))/(0.5*(Inputs!$C$49+Inputs!$C$50)))+Inputs!$C$47*0.097)))+0.3*(2*((SIN(((Scenario_Data!T174)*12.9898+(0)*78.233+Inputs!$C$47*37.719))*43758.5453)-INT((SIN(((Scenario_Data!T174)*12.9898+(0)*78.233+Inputs!$C$47*37.719))*43758.5453)))-1)))))/Inputs!$C$21*1000000</f>
        <v/>
      </c>
      <c r="Z174">
        <f>Scenario_Data!U174</f>
        <v/>
      </c>
      <c r="AA174">
        <f>2*((Scenario_Data!C174*1000)-(IF(OR(Inputs!$C$27=TRUE,Inputs!$C$27="TRUE",Inputs!$C$27=1),1,0)*(Inputs!$C$51*(115*EXP(-(((0)-25)^2)/(4.5^2))+70*EXP(-(((0)+38)^2)/(7^2))*(0.55+0.45*SIN(2*PI()*(Scenario_Data!U174)/45))+24*SIN(2*PI()*(0)/9+(Scenario_Data!U174)/18)*EXP(-(((0)+5)^2)/(22^2))+18*SIN(2*PI()*(Scenario_Data!U174)/70))+Inputs!$C$28*EXP(-(((Scenario_Data!U174)-Inputs!$C$29)^2)/(2*Inputs!$C$31^2))*EXP(-(((0)-Inputs!$C$30)^2)/(2*Inputs!$C$32^2))+-Inputs!$C$33*EXP(-(((((Scenario_Data!U174)-Inputs!$C$34)^2)+(((0)-Inputs!$C$35)^2))/(2*Inputs!$C$36^2)))+Inputs!$C$37*(0.55*SIN(2*PI()*(Scenario_Data!U174)/Inputs!$C$39)+0.35*COS(2*PI()*(0)/Inputs!$C$40)+0.2*SIN(2*PI()*((Scenario_Data!U174)+(0))/(0.5*(Inputs!$C$39+Inputs!$C$40))))+Inputs!$C$38*SIN(2*PI()*(Scenario_Data!U174)/Inputs!$C$39)*SIN(2*PI()*(0)/Inputs!$C$40)+-Inputs!$C$41*EXP(-(((0)-Inputs!$C$43)^2)/(2*Inputs!$C$44^2))*EXP(-(((Scenario_Data!U174)-Inputs!$C$42)^2)/(2*Inputs!$C$45^2))+Inputs!$C$48*(0.7*(0.45*SIN(2*PI()*(((Scenario_Data!U174)/Inputs!$C$49)+Inputs!$C$47*0.137))+0.35*COS(2*PI()*(((0)/Inputs!$C$50)+Inputs!$C$47*0.173))+0.2*SIN(2*PI()*((((Scenario_Data!U174)+(0))/(0.5*(Inputs!$C$49+Inputs!$C$50)))+Inputs!$C$47*0.097)))+0.3*(2*((SIN(((Scenario_Data!U174)*12.9898+(0)*78.233+Inputs!$C$47*37.719))*43758.5453)-INT((SIN(((Scenario_Data!U174)*12.9898+(0)*78.233+Inputs!$C$47*37.719))*43758.5453)))-1)))))/Inputs!$C$21*1000000</f>
        <v/>
      </c>
      <c r="AB174">
        <f>Scenario_Data!V174</f>
        <v/>
      </c>
      <c r="AC174">
        <f>2*((Scenario_Data!D174*1000)-(IF(OR(Inputs!$C$27=TRUE,Inputs!$C$27="TRUE",Inputs!$C$27=1),1,0)*(Inputs!$C$51*(115*EXP(-(((0)-25)^2)/(4.5^2))+70*EXP(-(((0)+38)^2)/(7^2))*(0.55+0.45*SIN(2*PI()*(Scenario_Data!V174)/45))+24*SIN(2*PI()*(0)/9+(Scenario_Data!V174)/18)*EXP(-(((0)+5)^2)/(22^2))+18*SIN(2*PI()*(Scenario_Data!V174)/70))+Inputs!$C$28*EXP(-(((Scenario_Data!V174)-Inputs!$C$29)^2)/(2*Inputs!$C$31^2))*EXP(-(((0)-Inputs!$C$30)^2)/(2*Inputs!$C$32^2))+-Inputs!$C$33*EXP(-(((((Scenario_Data!V174)-Inputs!$C$34)^2)+(((0)-Inputs!$C$35)^2))/(2*Inputs!$C$36^2)))+Inputs!$C$37*(0.55*SIN(2*PI()*(Scenario_Data!V174)/Inputs!$C$39)+0.35*COS(2*PI()*(0)/Inputs!$C$40)+0.2*SIN(2*PI()*((Scenario_Data!V174)+(0))/(0.5*(Inputs!$C$39+Inputs!$C$40))))+Inputs!$C$38*SIN(2*PI()*(Scenario_Data!V174)/Inputs!$C$39)*SIN(2*PI()*(0)/Inputs!$C$40)+-Inputs!$C$41*EXP(-(((0)-Inputs!$C$43)^2)/(2*Inputs!$C$44^2))*EXP(-(((Scenario_Data!V174)-Inputs!$C$42)^2)/(2*Inputs!$C$45^2))+Inputs!$C$48*(0.7*(0.45*SIN(2*PI()*(((Scenario_Data!V174)/Inputs!$C$49)+Inputs!$C$47*0.137))+0.35*COS(2*PI()*(((0)/Inputs!$C$50)+Inputs!$C$47*0.173))+0.2*SIN(2*PI()*((((Scenario_Data!V174)+(0))/(0.5*(Inputs!$C$49+Inputs!$C$50)))+Inputs!$C$47*0.097)))+0.3*(2*((SIN(((Scenario_Data!V174)*12.9898+(0)*78.233+Inputs!$C$47*37.719))*43758.5453)-INT((SIN(((Scenario_Data!V174)*12.9898+(0)*78.233+Inputs!$C$47*37.719))*43758.5453)))-1)))))/Inputs!$C$21*1000000</f>
        <v/>
      </c>
      <c r="AD174">
        <f>Scenario_Data!W174</f>
        <v/>
      </c>
      <c r="AE174">
        <f>2*((Scenario_Data!E174*1000)-(IF(OR(Inputs!$C$27=TRUE,Inputs!$C$27="TRUE",Inputs!$C$27=1),1,0)*(Inputs!$C$51*(115*EXP(-(((0)-25)^2)/(4.5^2))+70*EXP(-(((0)+38)^2)/(7^2))*(0.55+0.45*SIN(2*PI()*(Scenario_Data!W174)/45))+24*SIN(2*PI()*(0)/9+(Scenario_Data!W174)/18)*EXP(-(((0)+5)^2)/(22^2))+18*SIN(2*PI()*(Scenario_Data!W174)/70))+Inputs!$C$28*EXP(-(((Scenario_Data!W174)-Inputs!$C$29)^2)/(2*Inputs!$C$31^2))*EXP(-(((0)-Inputs!$C$30)^2)/(2*Inputs!$C$32^2))+-Inputs!$C$33*EXP(-(((((Scenario_Data!W174)-Inputs!$C$34)^2)+(((0)-Inputs!$C$35)^2))/(2*Inputs!$C$36^2)))+Inputs!$C$37*(0.55*SIN(2*PI()*(Scenario_Data!W174)/Inputs!$C$39)+0.35*COS(2*PI()*(0)/Inputs!$C$40)+0.2*SIN(2*PI()*((Scenario_Data!W174)+(0))/(0.5*(Inputs!$C$39+Inputs!$C$40))))+Inputs!$C$38*SIN(2*PI()*(Scenario_Data!W174)/Inputs!$C$39)*SIN(2*PI()*(0)/Inputs!$C$40)+-Inputs!$C$41*EXP(-(((0)-Inputs!$C$43)^2)/(2*Inputs!$C$44^2))*EXP(-(((Scenario_Data!W174)-Inputs!$C$42)^2)/(2*Inputs!$C$45^2))+Inputs!$C$48*(0.7*(0.45*SIN(2*PI()*(((Scenario_Data!W174)/Inputs!$C$49)+Inputs!$C$47*0.137))+0.35*COS(2*PI()*(((0)/Inputs!$C$50)+Inputs!$C$47*0.173))+0.2*SIN(2*PI()*((((Scenario_Data!W174)+(0))/(0.5*(Inputs!$C$49+Inputs!$C$50)))+Inputs!$C$47*0.097)))+0.3*(2*((SIN(((Scenario_Data!W174)*12.9898+(0)*78.233+Inputs!$C$47*37.719))*43758.5453)-INT((SIN(((Scenario_Data!W174)*12.9898+(0)*78.233+Inputs!$C$47*37.719))*43758.5453)))-1)))))/Inputs!$C$21*1000000</f>
        <v/>
      </c>
      <c r="AG174">
        <f>Scenario_Data!T174</f>
        <v/>
      </c>
      <c r="AH174">
        <f>2*(SQRT((Inputs!$C$52+(Scenario_Data!B174))^2+Inputs!$C$52^2-2*(Inputs!$C$52+(Scenario_Data!B174))*Inputs!$C$52*COS(SQRT((Scenario_Data!T174)^2+Inputs!$C$6^2)/Inputs!$C$52))*1000)/Inputs!$C$21*1000000</f>
        <v/>
      </c>
      <c r="AI174">
        <f>Scenario_Data!U174</f>
        <v/>
      </c>
      <c r="AJ174">
        <f>2*(SQRT((Inputs!$C$52+(Scenario_Data!C174))^2+Inputs!$C$52^2-2*(Inputs!$C$52+(Scenario_Data!C174))*Inputs!$C$52*COS(SQRT((Scenario_Data!U174)^2+Inputs!$C$6^2)/Inputs!$C$52))*1000)/Inputs!$C$21*1000000</f>
        <v/>
      </c>
      <c r="AK174">
        <f>Scenario_Data!V174</f>
        <v/>
      </c>
      <c r="AL174">
        <f>2*(SQRT((Inputs!$C$52+(Scenario_Data!D174))^2+Inputs!$C$52^2-2*(Inputs!$C$52+(Scenario_Data!D174))*Inputs!$C$52*COS(SQRT((Scenario_Data!V174)^2+Inputs!$C$6^2)/Inputs!$C$52))*1000)/Inputs!$C$21*1000000</f>
        <v/>
      </c>
      <c r="AM174">
        <f>Scenario_Data!W174</f>
        <v/>
      </c>
      <c r="AN174">
        <f>2*(SQRT((Inputs!$C$52+(Scenario_Data!E174))^2+Inputs!$C$52^2-2*(Inputs!$C$52+(Scenario_Data!E174))*Inputs!$C$52*COS(SQRT((Scenario_Data!W174)^2+Inputs!$C$6^2)/Inputs!$C$52))*1000)/Inputs!$C$21*1000000</f>
        <v/>
      </c>
      <c r="AP174">
        <f>Scenario_Data!T174</f>
        <v/>
      </c>
      <c r="AQ174">
        <f>2*(SQRT((Inputs!$C$52+(Scenario_Data!B174))^2+(Inputs!$C$52+((IF(OR(Inputs!$C$27=TRUE,Inputs!$C$27="TRUE",Inputs!$C$27=1),1,0)*(Inputs!$C$51*(115*EXP(-(((Inputs!$C$6)-25)^2)/(4.5^2))+70*EXP(-(((Inputs!$C$6)+38)^2)/(7^2))*(0.55+0.45*SIN(2*PI()*(Scenario_Data!T174)/45))+24*SIN(2*PI()*(Inputs!$C$6)/9+(Scenario_Data!T174)/18)*EXP(-(((Inputs!$C$6)+5)^2)/(22^2))+18*SIN(2*PI()*(Scenario_Data!T174)/70))+Inputs!$C$28*EXP(-(((Scenario_Data!T174)-Inputs!$C$29)^2)/(2*Inputs!$C$31^2))*EXP(-(((Inputs!$C$6)-Inputs!$C$30)^2)/(2*Inputs!$C$32^2))+-Inputs!$C$33*EXP(-(((((Scenario_Data!T174)-Inputs!$C$34)^2)+(((Inputs!$C$6)-Inputs!$C$35)^2))/(2*Inputs!$C$36^2)))+Inputs!$C$37*(0.55*SIN(2*PI()*(Scenario_Data!T174)/Inputs!$C$39)+0.35*COS(2*PI()*(Inputs!$C$6)/Inputs!$C$40)+0.2*SIN(2*PI()*((Scenario_Data!T174)+(Inputs!$C$6))/(0.5*(Inputs!$C$39+Inputs!$C$40))))+Inputs!$C$38*SIN(2*PI()*(Scenario_Data!T174)/Inputs!$C$39)*SIN(2*PI()*(Inputs!$C$6)/Inputs!$C$40)+-Inputs!$C$41*EXP(-(((Inputs!$C$6)-Inputs!$C$43)^2)/(2*Inputs!$C$44^2))*EXP(-(((Scenario_Data!T174)-Inputs!$C$42)^2)/(2*Inputs!$C$45^2))+Inputs!$C$48*(0.7*(0.45*SIN(2*PI()*(((Scenario_Data!T174)/Inputs!$C$49)+Inputs!$C$47*0.137))+0.35*COS(2*PI()*(((Inputs!$C$6)/Inputs!$C$50)+Inputs!$C$47*0.173))+0.2*SIN(2*PI()*((((Scenario_Data!T174)+(Inputs!$C$6))/(0.5*(Inputs!$C$49+Inputs!$C$50)))+Inputs!$C$47*0.097)))+0.3*(2*((SIN(((Scenario_Data!T174)*12.9898+(Inputs!$C$6)*78.233+Inputs!$C$47*37.719))*43758.5453)-INT((SIN(((Scenario_Data!T174)*12.9898+(Inputs!$C$6)*78.233+Inputs!$C$47*37.719))*43758.5453)))-1))))/1000))^2-2*(Inputs!$C$52+(Scenario_Data!B174))*(Inputs!$C$52+((IF(OR(Inputs!$C$27=TRUE,Inputs!$C$27="TRUE",Inputs!$C$27=1),1,0)*(Inputs!$C$51*(115*EXP(-(((Inputs!$C$6)-25)^2)/(4.5^2))+70*EXP(-(((Inputs!$C$6)+38)^2)/(7^2))*(0.55+0.45*SIN(2*PI()*(Scenario_Data!T174)/45))+24*SIN(2*PI()*(Inputs!$C$6)/9+(Scenario_Data!T174)/18)*EXP(-(((Inputs!$C$6)+5)^2)/(22^2))+18*SIN(2*PI()*(Scenario_Data!T174)/70))+Inputs!$C$28*EXP(-(((Scenario_Data!T174)-Inputs!$C$29)^2)/(2*Inputs!$C$31^2))*EXP(-(((Inputs!$C$6)-Inputs!$C$30)^2)/(2*Inputs!$C$32^2))+-Inputs!$C$33*EXP(-(((((Scenario_Data!T174)-Inputs!$C$34)^2)+(((Inputs!$C$6)-Inputs!$C$35)^2))/(2*Inputs!$C$36^2)))+Inputs!$C$37*(0.55*SIN(2*PI()*(Scenario_Data!T174)/Inputs!$C$39)+0.35*COS(2*PI()*(Inputs!$C$6)/Inputs!$C$40)+0.2*SIN(2*PI()*((Scenario_Data!T174)+(Inputs!$C$6))/(0.5*(Inputs!$C$39+Inputs!$C$40))))+Inputs!$C$38*SIN(2*PI()*(Scenario_Data!T174)/Inputs!$C$39)*SIN(2*PI()*(Inputs!$C$6)/Inputs!$C$40)+-Inputs!$C$41*EXP(-(((Inputs!$C$6)-Inputs!$C$43)^2)/(2*Inputs!$C$44^2))*EXP(-(((Scenario_Data!T174)-Inputs!$C$42)^2)/(2*Inputs!$C$45^2))+Inputs!$C$48*(0.7*(0.45*SIN(2*PI()*(((Scenario_Data!T174)/Inputs!$C$49)+Inputs!$C$47*0.137))+0.35*COS(2*PI()*(((Inputs!$C$6)/Inputs!$C$50)+Inputs!$C$47*0.173))+0.2*SIN(2*PI()*((((Scenario_Data!T174)+(Inputs!$C$6))/(0.5*(Inputs!$C$49+Inputs!$C$50)))+Inputs!$C$47*0.097)))+0.3*(2*((SIN(((Scenario_Data!T174)*12.9898+(Inputs!$C$6)*78.233+Inputs!$C$47*37.719))*43758.5453)-INT((SIN(((Scenario_Data!T174)*12.9898+(Inputs!$C$6)*78.233+Inputs!$C$47*37.719))*43758.5453)))-1))))/1000))*COS(SQRT((Scenario_Data!T174)^2+Inputs!$C$6^2)/Inputs!$C$52))*1000)/Inputs!$C$21*1000000</f>
        <v/>
      </c>
      <c r="AR174">
        <f>Scenario_Data!U174</f>
        <v/>
      </c>
      <c r="AS174">
        <f>2*(SQRT((Inputs!$C$52+(Scenario_Data!C174))^2+(Inputs!$C$52+((IF(OR(Inputs!$C$27=TRUE,Inputs!$C$27="TRUE",Inputs!$C$27=1),1,0)*(Inputs!$C$51*(115*EXP(-(((Inputs!$C$6)-25)^2)/(4.5^2))+70*EXP(-(((Inputs!$C$6)+38)^2)/(7^2))*(0.55+0.45*SIN(2*PI()*(Scenario_Data!U174)/45))+24*SIN(2*PI()*(Inputs!$C$6)/9+(Scenario_Data!U174)/18)*EXP(-(((Inputs!$C$6)+5)^2)/(22^2))+18*SIN(2*PI()*(Scenario_Data!U174)/70))+Inputs!$C$28*EXP(-(((Scenario_Data!U174)-Inputs!$C$29)^2)/(2*Inputs!$C$31^2))*EXP(-(((Inputs!$C$6)-Inputs!$C$30)^2)/(2*Inputs!$C$32^2))+-Inputs!$C$33*EXP(-(((((Scenario_Data!U174)-Inputs!$C$34)^2)+(((Inputs!$C$6)-Inputs!$C$35)^2))/(2*Inputs!$C$36^2)))+Inputs!$C$37*(0.55*SIN(2*PI()*(Scenario_Data!U174)/Inputs!$C$39)+0.35*COS(2*PI()*(Inputs!$C$6)/Inputs!$C$40)+0.2*SIN(2*PI()*((Scenario_Data!U174)+(Inputs!$C$6))/(0.5*(Inputs!$C$39+Inputs!$C$40))))+Inputs!$C$38*SIN(2*PI()*(Scenario_Data!U174)/Inputs!$C$39)*SIN(2*PI()*(Inputs!$C$6)/Inputs!$C$40)+-Inputs!$C$41*EXP(-(((Inputs!$C$6)-Inputs!$C$43)^2)/(2*Inputs!$C$44^2))*EXP(-(((Scenario_Data!U174)-Inputs!$C$42)^2)/(2*Inputs!$C$45^2))+Inputs!$C$48*(0.7*(0.45*SIN(2*PI()*(((Scenario_Data!U174)/Inputs!$C$49)+Inputs!$C$47*0.137))+0.35*COS(2*PI()*(((Inputs!$C$6)/Inputs!$C$50)+Inputs!$C$47*0.173))+0.2*SIN(2*PI()*((((Scenario_Data!U174)+(Inputs!$C$6))/(0.5*(Inputs!$C$49+Inputs!$C$50)))+Inputs!$C$47*0.097)))+0.3*(2*((SIN(((Scenario_Data!U174)*12.9898+(Inputs!$C$6)*78.233+Inputs!$C$47*37.719))*43758.5453)-INT((SIN(((Scenario_Data!U174)*12.9898+(Inputs!$C$6)*78.233+Inputs!$C$47*37.719))*43758.5453)))-1))))/1000))^2-2*(Inputs!$C$52+(Scenario_Data!C174))*(Inputs!$C$52+((IF(OR(Inputs!$C$27=TRUE,Inputs!$C$27="TRUE",Inputs!$C$27=1),1,0)*(Inputs!$C$51*(115*EXP(-(((Inputs!$C$6)-25)^2)/(4.5^2))+70*EXP(-(((Inputs!$C$6)+38)^2)/(7^2))*(0.55+0.45*SIN(2*PI()*(Scenario_Data!U174)/45))+24*SIN(2*PI()*(Inputs!$C$6)/9+(Scenario_Data!U174)/18)*EXP(-(((Inputs!$C$6)+5)^2)/(22^2))+18*SIN(2*PI()*(Scenario_Data!U174)/70))+Inputs!$C$28*EXP(-(((Scenario_Data!U174)-Inputs!$C$29)^2)/(2*Inputs!$C$31^2))*EXP(-(((Inputs!$C$6)-Inputs!$C$30)^2)/(2*Inputs!$C$32^2))+-Inputs!$C$33*EXP(-(((((Scenario_Data!U174)-Inputs!$C$34)^2)+(((Inputs!$C$6)-Inputs!$C$35)^2))/(2*Inputs!$C$36^2)))+Inputs!$C$37*(0.55*SIN(2*PI()*(Scenario_Data!U174)/Inputs!$C$39)+0.35*COS(2*PI()*(Inputs!$C$6)/Inputs!$C$40)+0.2*SIN(2*PI()*((Scenario_Data!U174)+(Inputs!$C$6))/(0.5*(Inputs!$C$39+Inputs!$C$40))))+Inputs!$C$38*SIN(2*PI()*(Scenario_Data!U174)/Inputs!$C$39)*SIN(2*PI()*(Inputs!$C$6)/Inputs!$C$40)+-Inputs!$C$41*EXP(-(((Inputs!$C$6)-Inputs!$C$43)^2)/(2*Inputs!$C$44^2))*EXP(-(((Scenario_Data!U174)-Inputs!$C$42)^2)/(2*Inputs!$C$45^2))+Inputs!$C$48*(0.7*(0.45*SIN(2*PI()*(((Scenario_Data!U174)/Inputs!$C$49)+Inputs!$C$47*0.137))+0.35*COS(2*PI()*(((Inputs!$C$6)/Inputs!$C$50)+Inputs!$C$47*0.173))+0.2*SIN(2*PI()*((((Scenario_Data!U174)+(Inputs!$C$6))/(0.5*(Inputs!$C$49+Inputs!$C$50)))+Inputs!$C$47*0.097)))+0.3*(2*((SIN(((Scenario_Data!U174)*12.9898+(Inputs!$C$6)*78.233+Inputs!$C$47*37.719))*43758.5453)-INT((SIN(((Scenario_Data!U174)*12.9898+(Inputs!$C$6)*78.233+Inputs!$C$47*37.719))*43758.5453)))-1))))/1000))*COS(SQRT((Scenario_Data!U174)^2+Inputs!$C$6^2)/Inputs!$C$52))*1000)/Inputs!$C$21*1000000</f>
        <v/>
      </c>
      <c r="AT174">
        <f>Scenario_Data!V174</f>
        <v/>
      </c>
      <c r="AU174">
        <f>2*(SQRT((Inputs!$C$52+(Scenario_Data!D174))^2+(Inputs!$C$52+((IF(OR(Inputs!$C$27=TRUE,Inputs!$C$27="TRUE",Inputs!$C$27=1),1,0)*(Inputs!$C$51*(115*EXP(-(((Inputs!$C$6)-25)^2)/(4.5^2))+70*EXP(-(((Inputs!$C$6)+38)^2)/(7^2))*(0.55+0.45*SIN(2*PI()*(Scenario_Data!V174)/45))+24*SIN(2*PI()*(Inputs!$C$6)/9+(Scenario_Data!V174)/18)*EXP(-(((Inputs!$C$6)+5)^2)/(22^2))+18*SIN(2*PI()*(Scenario_Data!V174)/70))+Inputs!$C$28*EXP(-(((Scenario_Data!V174)-Inputs!$C$29)^2)/(2*Inputs!$C$31^2))*EXP(-(((Inputs!$C$6)-Inputs!$C$30)^2)/(2*Inputs!$C$32^2))+-Inputs!$C$33*EXP(-(((((Scenario_Data!V174)-Inputs!$C$34)^2)+(((Inputs!$C$6)-Inputs!$C$35)^2))/(2*Inputs!$C$36^2)))+Inputs!$C$37*(0.55*SIN(2*PI()*(Scenario_Data!V174)/Inputs!$C$39)+0.35*COS(2*PI()*(Inputs!$C$6)/Inputs!$C$40)+0.2*SIN(2*PI()*((Scenario_Data!V174)+(Inputs!$C$6))/(0.5*(Inputs!$C$39+Inputs!$C$40))))+Inputs!$C$38*SIN(2*PI()*(Scenario_Data!V174)/Inputs!$C$39)*SIN(2*PI()*(Inputs!$C$6)/Inputs!$C$40)+-Inputs!$C$41*EXP(-(((Inputs!$C$6)-Inputs!$C$43)^2)/(2*Inputs!$C$44^2))*EXP(-(((Scenario_Data!V174)-Inputs!$C$42)^2)/(2*Inputs!$C$45^2))+Inputs!$C$48*(0.7*(0.45*SIN(2*PI()*(((Scenario_Data!V174)/Inputs!$C$49)+Inputs!$C$47*0.137))+0.35*COS(2*PI()*(((Inputs!$C$6)/Inputs!$C$50)+Inputs!$C$47*0.173))+0.2*SIN(2*PI()*((((Scenario_Data!V174)+(Inputs!$C$6))/(0.5*(Inputs!$C$49+Inputs!$C$50)))+Inputs!$C$47*0.097)))+0.3*(2*((SIN(((Scenario_Data!V174)*12.9898+(Inputs!$C$6)*78.233+Inputs!$C$47*37.719))*43758.5453)-INT((SIN(((Scenario_Data!V174)*12.9898+(Inputs!$C$6)*78.233+Inputs!$C$47*37.719))*43758.5453)))-1))))/1000))^2-2*(Inputs!$C$52+(Scenario_Data!D174))*(Inputs!$C$52+((IF(OR(Inputs!$C$27=TRUE,Inputs!$C$27="TRUE",Inputs!$C$27=1),1,0)*(Inputs!$C$51*(115*EXP(-(((Inputs!$C$6)-25)^2)/(4.5^2))+70*EXP(-(((Inputs!$C$6)+38)^2)/(7^2))*(0.55+0.45*SIN(2*PI()*(Scenario_Data!V174)/45))+24*SIN(2*PI()*(Inputs!$C$6)/9+(Scenario_Data!V174)/18)*EXP(-(((Inputs!$C$6)+5)^2)/(22^2))+18*SIN(2*PI()*(Scenario_Data!V174)/70))+Inputs!$C$28*EXP(-(((Scenario_Data!V174)-Inputs!$C$29)^2)/(2*Inputs!$C$31^2))*EXP(-(((Inputs!$C$6)-Inputs!$C$30)^2)/(2*Inputs!$C$32^2))+-Inputs!$C$33*EXP(-(((((Scenario_Data!V174)-Inputs!$C$34)^2)+(((Inputs!$C$6)-Inputs!$C$35)^2))/(2*Inputs!$C$36^2)))+Inputs!$C$37*(0.55*SIN(2*PI()*(Scenario_Data!V174)/Inputs!$C$39)+0.35*COS(2*PI()*(Inputs!$C$6)/Inputs!$C$40)+0.2*SIN(2*PI()*((Scenario_Data!V174)+(Inputs!$C$6))/(0.5*(Inputs!$C$39+Inputs!$C$40))))+Inputs!$C$38*SIN(2*PI()*(Scenario_Data!V174)/Inputs!$C$39)*SIN(2*PI()*(Inputs!$C$6)/Inputs!$C$40)+-Inputs!$C$41*EXP(-(((Inputs!$C$6)-Inputs!$C$43)^2)/(2*Inputs!$C$44^2))*EXP(-(((Scenario_Data!V174)-Inputs!$C$42)^2)/(2*Inputs!$C$45^2))+Inputs!$C$48*(0.7*(0.45*SIN(2*PI()*(((Scenario_Data!V174)/Inputs!$C$49)+Inputs!$C$47*0.137))+0.35*COS(2*PI()*(((Inputs!$C$6)/Inputs!$C$50)+Inputs!$C$47*0.173))+0.2*SIN(2*PI()*((((Scenario_Data!V174)+(Inputs!$C$6))/(0.5*(Inputs!$C$49+Inputs!$C$50)))+Inputs!$C$47*0.097)))+0.3*(2*((SIN(((Scenario_Data!V174)*12.9898+(Inputs!$C$6)*78.233+Inputs!$C$47*37.719))*43758.5453)-INT((SIN(((Scenario_Data!V174)*12.9898+(Inputs!$C$6)*78.233+Inputs!$C$47*37.719))*43758.5453)))-1))))/1000))*COS(SQRT((Scenario_Data!V174)^2+Inputs!$C$6^2)/Inputs!$C$52))*1000)/Inputs!$C$21*1000000</f>
        <v/>
      </c>
      <c r="AV174">
        <f>Scenario_Data!W174</f>
        <v/>
      </c>
      <c r="AW174">
        <f>2*(SQRT((Inputs!$C$52+(Scenario_Data!E174))^2+(Inputs!$C$52+((IF(OR(Inputs!$C$27=TRUE,Inputs!$C$27="TRUE",Inputs!$C$27=1),1,0)*(Inputs!$C$51*(115*EXP(-(((Inputs!$C$6)-25)^2)/(4.5^2))+70*EXP(-(((Inputs!$C$6)+38)^2)/(7^2))*(0.55+0.45*SIN(2*PI()*(Scenario_Data!W174)/45))+24*SIN(2*PI()*(Inputs!$C$6)/9+(Scenario_Data!W174)/18)*EXP(-(((Inputs!$C$6)+5)^2)/(22^2))+18*SIN(2*PI()*(Scenario_Data!W174)/70))+Inputs!$C$28*EXP(-(((Scenario_Data!W174)-Inputs!$C$29)^2)/(2*Inputs!$C$31^2))*EXP(-(((Inputs!$C$6)-Inputs!$C$30)^2)/(2*Inputs!$C$32^2))+-Inputs!$C$33*EXP(-(((((Scenario_Data!W174)-Inputs!$C$34)^2)+(((Inputs!$C$6)-Inputs!$C$35)^2))/(2*Inputs!$C$36^2)))+Inputs!$C$37*(0.55*SIN(2*PI()*(Scenario_Data!W174)/Inputs!$C$39)+0.35*COS(2*PI()*(Inputs!$C$6)/Inputs!$C$40)+0.2*SIN(2*PI()*((Scenario_Data!W174)+(Inputs!$C$6))/(0.5*(Inputs!$C$39+Inputs!$C$40))))+Inputs!$C$38*SIN(2*PI()*(Scenario_Data!W174)/Inputs!$C$39)*SIN(2*PI()*(Inputs!$C$6)/Inputs!$C$40)+-Inputs!$C$41*EXP(-(((Inputs!$C$6)-Inputs!$C$43)^2)/(2*Inputs!$C$44^2))*EXP(-(((Scenario_Data!W174)-Inputs!$C$42)^2)/(2*Inputs!$C$45^2))+Inputs!$C$48*(0.7*(0.45*SIN(2*PI()*(((Scenario_Data!W174)/Inputs!$C$49)+Inputs!$C$47*0.137))+0.35*COS(2*PI()*(((Inputs!$C$6)/Inputs!$C$50)+Inputs!$C$47*0.173))+0.2*SIN(2*PI()*((((Scenario_Data!W174)+(Inputs!$C$6))/(0.5*(Inputs!$C$49+Inputs!$C$50)))+Inputs!$C$47*0.097)))+0.3*(2*((SIN(((Scenario_Data!W174)*12.9898+(Inputs!$C$6)*78.233+Inputs!$C$47*37.719))*43758.5453)-INT((SIN(((Scenario_Data!W174)*12.9898+(Inputs!$C$6)*78.233+Inputs!$C$47*37.719))*43758.5453)))-1))))/1000))^2-2*(Inputs!$C$52+(Scenario_Data!E174))*(Inputs!$C$52+((IF(OR(Inputs!$C$27=TRUE,Inputs!$C$27="TRUE",Inputs!$C$27=1),1,0)*(Inputs!$C$51*(115*EXP(-(((Inputs!$C$6)-25)^2)/(4.5^2))+70*EXP(-(((Inputs!$C$6)+38)^2)/(7^2))*(0.55+0.45*SIN(2*PI()*(Scenario_Data!W174)/45))+24*SIN(2*PI()*(Inputs!$C$6)/9+(Scenario_Data!W174)/18)*EXP(-(((Inputs!$C$6)+5)^2)/(22^2))+18*SIN(2*PI()*(Scenario_Data!W174)/70))+Inputs!$C$28*EXP(-(((Scenario_Data!W174)-Inputs!$C$29)^2)/(2*Inputs!$C$31^2))*EXP(-(((Inputs!$C$6)-Inputs!$C$30)^2)/(2*Inputs!$C$32^2))+-Inputs!$C$33*EXP(-(((((Scenario_Data!W174)-Inputs!$C$34)^2)+(((Inputs!$C$6)-Inputs!$C$35)^2))/(2*Inputs!$C$36^2)))+Inputs!$C$37*(0.55*SIN(2*PI()*(Scenario_Data!W174)/Inputs!$C$39)+0.35*COS(2*PI()*(Inputs!$C$6)/Inputs!$C$40)+0.2*SIN(2*PI()*((Scenario_Data!W174)+(Inputs!$C$6))/(0.5*(Inputs!$C$39+Inputs!$C$40))))+Inputs!$C$38*SIN(2*PI()*(Scenario_Data!W174)/Inputs!$C$39)*SIN(2*PI()*(Inputs!$C$6)/Inputs!$C$40)+-Inputs!$C$41*EXP(-(((Inputs!$C$6)-Inputs!$C$43)^2)/(2*Inputs!$C$44^2))*EXP(-(((Scenario_Data!W174)-Inputs!$C$42)^2)/(2*Inputs!$C$45^2))+Inputs!$C$48*(0.7*(0.45*SIN(2*PI()*(((Scenario_Data!W174)/Inputs!$C$49)+Inputs!$C$47*0.137))+0.35*COS(2*PI()*(((Inputs!$C$6)/Inputs!$C$50)+Inputs!$C$47*0.173))+0.2*SIN(2*PI()*((((Scenario_Data!W174)+(Inputs!$C$6))/(0.5*(Inputs!$C$49+Inputs!$C$50)))+Inputs!$C$47*0.097)))+0.3*(2*((SIN(((Scenario_Data!W174)*12.9898+(Inputs!$C$6)*78.233+Inputs!$C$47*37.719))*43758.5453)-INT((SIN(((Scenario_Data!W174)*12.9898+(Inputs!$C$6)*78.233+Inputs!$C$47*37.719))*43758.5453)))-1))))/1000))*COS(SQRT((Scenario_Data!W174)^2+Inputs!$C$6^2)/Inputs!$C$52))*1000)/Inputs!$C$21*1000000</f>
        <v/>
      </c>
    </row>
    <row r="175">
      <c r="A175">
        <f>Chart_Data!K175</f>
        <v/>
      </c>
      <c r="B175">
        <f>Chart_Data!N175-Chart_Data!L175</f>
        <v/>
      </c>
      <c r="D175">
        <f>Chart_Data!G175</f>
        <v/>
      </c>
      <c r="E175">
        <f>Chart_Data!H175</f>
        <v/>
      </c>
      <c r="F175">
        <f>Chart_Data!I175</f>
        <v/>
      </c>
      <c r="G175">
        <f>Chart_Data!J175</f>
        <v/>
      </c>
      <c r="I175">
        <f>Scenario_Data!A175</f>
        <v/>
      </c>
      <c r="J175">
        <f>Scenario_Data!H175-(((SQRT((Inputs!$C$52+(Inputs!$H$6))^2+Inputs!$C$52^2-2*(Inputs!$C$52+(Inputs!$H$6))*Inputs!$C$52*COS(SQRT((Scenario_Data!T175)^2+Inputs!$C$6^2)/Inputs!$C$52)))-(Inputs!$H$6))*1000/Inputs!$C$12)</f>
        <v/>
      </c>
      <c r="K175">
        <f>Scenario_Data!I175-(((SQRT((Inputs!$C$52+(Inputs!$H$7))^2+Inputs!$C$52^2-2*(Inputs!$C$52+(Inputs!$H$7))*Inputs!$C$52*COS(SQRT((Scenario_Data!U175)^2+Inputs!$C$6^2)/Inputs!$C$52)))-(Inputs!$H$7))*1000/Inputs!$C$12)</f>
        <v/>
      </c>
      <c r="L175">
        <f>Scenario_Data!J175-(((SQRT((Inputs!$C$52+(Inputs!$H$8))^2+Inputs!$C$52^2-2*(Inputs!$C$52+(Inputs!$H$8))*Inputs!$C$52*COS(SQRT((Scenario_Data!V175)^2+Inputs!$C$6^2)/Inputs!$C$52)))-(Inputs!$H$8))*1000/Inputs!$C$12)</f>
        <v/>
      </c>
      <c r="M175">
        <f>Scenario_Data!K175-(((SQRT((Inputs!$C$52+(Inputs!$H$9))^2+Inputs!$C$52^2-2*(Inputs!$C$52+(Inputs!$H$9))*Inputs!$C$52*COS(SQRT((Scenario_Data!W175)^2+Inputs!$C$6^2)/Inputs!$C$52)))-(Inputs!$H$9))*1000/Inputs!$C$12)</f>
        <v/>
      </c>
      <c r="O175">
        <f>Scenario_Data!T175</f>
        <v/>
      </c>
      <c r="P175">
        <f>2*(Scenario_Data!B175*1000)/Inputs!$C$21*1000000</f>
        <v/>
      </c>
      <c r="Q175">
        <f>Scenario_Data!U175</f>
        <v/>
      </c>
      <c r="R175">
        <f>2*(Scenario_Data!C175*1000)/Inputs!$C$21*1000000</f>
        <v/>
      </c>
      <c r="S175">
        <f>Scenario_Data!V175</f>
        <v/>
      </c>
      <c r="T175">
        <f>2*(Scenario_Data!D175*1000)/Inputs!$C$21*1000000</f>
        <v/>
      </c>
      <c r="U175">
        <f>Scenario_Data!W175</f>
        <v/>
      </c>
      <c r="V175">
        <f>2*(Scenario_Data!E175*1000)/Inputs!$C$21*1000000</f>
        <v/>
      </c>
      <c r="X175">
        <f>Scenario_Data!T175</f>
        <v/>
      </c>
      <c r="Y175">
        <f>2*((Scenario_Data!B175*1000)-(IF(OR(Inputs!$C$27=TRUE,Inputs!$C$27="TRUE",Inputs!$C$27=1),1,0)*(Inputs!$C$51*(115*EXP(-(((0)-25)^2)/(4.5^2))+70*EXP(-(((0)+38)^2)/(7^2))*(0.55+0.45*SIN(2*PI()*(Scenario_Data!T175)/45))+24*SIN(2*PI()*(0)/9+(Scenario_Data!T175)/18)*EXP(-(((0)+5)^2)/(22^2))+18*SIN(2*PI()*(Scenario_Data!T175)/70))+Inputs!$C$28*EXP(-(((Scenario_Data!T175)-Inputs!$C$29)^2)/(2*Inputs!$C$31^2))*EXP(-(((0)-Inputs!$C$30)^2)/(2*Inputs!$C$32^2))+-Inputs!$C$33*EXP(-(((((Scenario_Data!T175)-Inputs!$C$34)^2)+(((0)-Inputs!$C$35)^2))/(2*Inputs!$C$36^2)))+Inputs!$C$37*(0.55*SIN(2*PI()*(Scenario_Data!T175)/Inputs!$C$39)+0.35*COS(2*PI()*(0)/Inputs!$C$40)+0.2*SIN(2*PI()*((Scenario_Data!T175)+(0))/(0.5*(Inputs!$C$39+Inputs!$C$40))))+Inputs!$C$38*SIN(2*PI()*(Scenario_Data!T175)/Inputs!$C$39)*SIN(2*PI()*(0)/Inputs!$C$40)+-Inputs!$C$41*EXP(-(((0)-Inputs!$C$43)^2)/(2*Inputs!$C$44^2))*EXP(-(((Scenario_Data!T175)-Inputs!$C$42)^2)/(2*Inputs!$C$45^2))+Inputs!$C$48*(0.7*(0.45*SIN(2*PI()*(((Scenario_Data!T175)/Inputs!$C$49)+Inputs!$C$47*0.137))+0.35*COS(2*PI()*(((0)/Inputs!$C$50)+Inputs!$C$47*0.173))+0.2*SIN(2*PI()*((((Scenario_Data!T175)+(0))/(0.5*(Inputs!$C$49+Inputs!$C$50)))+Inputs!$C$47*0.097)))+0.3*(2*((SIN(((Scenario_Data!T175)*12.9898+(0)*78.233+Inputs!$C$47*37.719))*43758.5453)-INT((SIN(((Scenario_Data!T175)*12.9898+(0)*78.233+Inputs!$C$47*37.719))*43758.5453)))-1)))))/Inputs!$C$21*1000000</f>
        <v/>
      </c>
      <c r="Z175">
        <f>Scenario_Data!U175</f>
        <v/>
      </c>
      <c r="AA175">
        <f>2*((Scenario_Data!C175*1000)-(IF(OR(Inputs!$C$27=TRUE,Inputs!$C$27="TRUE",Inputs!$C$27=1),1,0)*(Inputs!$C$51*(115*EXP(-(((0)-25)^2)/(4.5^2))+70*EXP(-(((0)+38)^2)/(7^2))*(0.55+0.45*SIN(2*PI()*(Scenario_Data!U175)/45))+24*SIN(2*PI()*(0)/9+(Scenario_Data!U175)/18)*EXP(-(((0)+5)^2)/(22^2))+18*SIN(2*PI()*(Scenario_Data!U175)/70))+Inputs!$C$28*EXP(-(((Scenario_Data!U175)-Inputs!$C$29)^2)/(2*Inputs!$C$31^2))*EXP(-(((0)-Inputs!$C$30)^2)/(2*Inputs!$C$32^2))+-Inputs!$C$33*EXP(-(((((Scenario_Data!U175)-Inputs!$C$34)^2)+(((0)-Inputs!$C$35)^2))/(2*Inputs!$C$36^2)))+Inputs!$C$37*(0.55*SIN(2*PI()*(Scenario_Data!U175)/Inputs!$C$39)+0.35*COS(2*PI()*(0)/Inputs!$C$40)+0.2*SIN(2*PI()*((Scenario_Data!U175)+(0))/(0.5*(Inputs!$C$39+Inputs!$C$40))))+Inputs!$C$38*SIN(2*PI()*(Scenario_Data!U175)/Inputs!$C$39)*SIN(2*PI()*(0)/Inputs!$C$40)+-Inputs!$C$41*EXP(-(((0)-Inputs!$C$43)^2)/(2*Inputs!$C$44^2))*EXP(-(((Scenario_Data!U175)-Inputs!$C$42)^2)/(2*Inputs!$C$45^2))+Inputs!$C$48*(0.7*(0.45*SIN(2*PI()*(((Scenario_Data!U175)/Inputs!$C$49)+Inputs!$C$47*0.137))+0.35*COS(2*PI()*(((0)/Inputs!$C$50)+Inputs!$C$47*0.173))+0.2*SIN(2*PI()*((((Scenario_Data!U175)+(0))/(0.5*(Inputs!$C$49+Inputs!$C$50)))+Inputs!$C$47*0.097)))+0.3*(2*((SIN(((Scenario_Data!U175)*12.9898+(0)*78.233+Inputs!$C$47*37.719))*43758.5453)-INT((SIN(((Scenario_Data!U175)*12.9898+(0)*78.233+Inputs!$C$47*37.719))*43758.5453)))-1)))))/Inputs!$C$21*1000000</f>
        <v/>
      </c>
      <c r="AB175">
        <f>Scenario_Data!V175</f>
        <v/>
      </c>
      <c r="AC175">
        <f>2*((Scenario_Data!D175*1000)-(IF(OR(Inputs!$C$27=TRUE,Inputs!$C$27="TRUE",Inputs!$C$27=1),1,0)*(Inputs!$C$51*(115*EXP(-(((0)-25)^2)/(4.5^2))+70*EXP(-(((0)+38)^2)/(7^2))*(0.55+0.45*SIN(2*PI()*(Scenario_Data!V175)/45))+24*SIN(2*PI()*(0)/9+(Scenario_Data!V175)/18)*EXP(-(((0)+5)^2)/(22^2))+18*SIN(2*PI()*(Scenario_Data!V175)/70))+Inputs!$C$28*EXP(-(((Scenario_Data!V175)-Inputs!$C$29)^2)/(2*Inputs!$C$31^2))*EXP(-(((0)-Inputs!$C$30)^2)/(2*Inputs!$C$32^2))+-Inputs!$C$33*EXP(-(((((Scenario_Data!V175)-Inputs!$C$34)^2)+(((0)-Inputs!$C$35)^2))/(2*Inputs!$C$36^2)))+Inputs!$C$37*(0.55*SIN(2*PI()*(Scenario_Data!V175)/Inputs!$C$39)+0.35*COS(2*PI()*(0)/Inputs!$C$40)+0.2*SIN(2*PI()*((Scenario_Data!V175)+(0))/(0.5*(Inputs!$C$39+Inputs!$C$40))))+Inputs!$C$38*SIN(2*PI()*(Scenario_Data!V175)/Inputs!$C$39)*SIN(2*PI()*(0)/Inputs!$C$40)+-Inputs!$C$41*EXP(-(((0)-Inputs!$C$43)^2)/(2*Inputs!$C$44^2))*EXP(-(((Scenario_Data!V175)-Inputs!$C$42)^2)/(2*Inputs!$C$45^2))+Inputs!$C$48*(0.7*(0.45*SIN(2*PI()*(((Scenario_Data!V175)/Inputs!$C$49)+Inputs!$C$47*0.137))+0.35*COS(2*PI()*(((0)/Inputs!$C$50)+Inputs!$C$47*0.173))+0.2*SIN(2*PI()*((((Scenario_Data!V175)+(0))/(0.5*(Inputs!$C$49+Inputs!$C$50)))+Inputs!$C$47*0.097)))+0.3*(2*((SIN(((Scenario_Data!V175)*12.9898+(0)*78.233+Inputs!$C$47*37.719))*43758.5453)-INT((SIN(((Scenario_Data!V175)*12.9898+(0)*78.233+Inputs!$C$47*37.719))*43758.5453)))-1)))))/Inputs!$C$21*1000000</f>
        <v/>
      </c>
      <c r="AD175">
        <f>Scenario_Data!W175</f>
        <v/>
      </c>
      <c r="AE175">
        <f>2*((Scenario_Data!E175*1000)-(IF(OR(Inputs!$C$27=TRUE,Inputs!$C$27="TRUE",Inputs!$C$27=1),1,0)*(Inputs!$C$51*(115*EXP(-(((0)-25)^2)/(4.5^2))+70*EXP(-(((0)+38)^2)/(7^2))*(0.55+0.45*SIN(2*PI()*(Scenario_Data!W175)/45))+24*SIN(2*PI()*(0)/9+(Scenario_Data!W175)/18)*EXP(-(((0)+5)^2)/(22^2))+18*SIN(2*PI()*(Scenario_Data!W175)/70))+Inputs!$C$28*EXP(-(((Scenario_Data!W175)-Inputs!$C$29)^2)/(2*Inputs!$C$31^2))*EXP(-(((0)-Inputs!$C$30)^2)/(2*Inputs!$C$32^2))+-Inputs!$C$33*EXP(-(((((Scenario_Data!W175)-Inputs!$C$34)^2)+(((0)-Inputs!$C$35)^2))/(2*Inputs!$C$36^2)))+Inputs!$C$37*(0.55*SIN(2*PI()*(Scenario_Data!W175)/Inputs!$C$39)+0.35*COS(2*PI()*(0)/Inputs!$C$40)+0.2*SIN(2*PI()*((Scenario_Data!W175)+(0))/(0.5*(Inputs!$C$39+Inputs!$C$40))))+Inputs!$C$38*SIN(2*PI()*(Scenario_Data!W175)/Inputs!$C$39)*SIN(2*PI()*(0)/Inputs!$C$40)+-Inputs!$C$41*EXP(-(((0)-Inputs!$C$43)^2)/(2*Inputs!$C$44^2))*EXP(-(((Scenario_Data!W175)-Inputs!$C$42)^2)/(2*Inputs!$C$45^2))+Inputs!$C$48*(0.7*(0.45*SIN(2*PI()*(((Scenario_Data!W175)/Inputs!$C$49)+Inputs!$C$47*0.137))+0.35*COS(2*PI()*(((0)/Inputs!$C$50)+Inputs!$C$47*0.173))+0.2*SIN(2*PI()*((((Scenario_Data!W175)+(0))/(0.5*(Inputs!$C$49+Inputs!$C$50)))+Inputs!$C$47*0.097)))+0.3*(2*((SIN(((Scenario_Data!W175)*12.9898+(0)*78.233+Inputs!$C$47*37.719))*43758.5453)-INT((SIN(((Scenario_Data!W175)*12.9898+(0)*78.233+Inputs!$C$47*37.719))*43758.5453)))-1)))))/Inputs!$C$21*1000000</f>
        <v/>
      </c>
      <c r="AG175">
        <f>Scenario_Data!T175</f>
        <v/>
      </c>
      <c r="AH175">
        <f>2*(SQRT((Inputs!$C$52+(Scenario_Data!B175))^2+Inputs!$C$52^2-2*(Inputs!$C$52+(Scenario_Data!B175))*Inputs!$C$52*COS(SQRT((Scenario_Data!T175)^2+Inputs!$C$6^2)/Inputs!$C$52))*1000)/Inputs!$C$21*1000000</f>
        <v/>
      </c>
      <c r="AI175">
        <f>Scenario_Data!U175</f>
        <v/>
      </c>
      <c r="AJ175">
        <f>2*(SQRT((Inputs!$C$52+(Scenario_Data!C175))^2+Inputs!$C$52^2-2*(Inputs!$C$52+(Scenario_Data!C175))*Inputs!$C$52*COS(SQRT((Scenario_Data!U175)^2+Inputs!$C$6^2)/Inputs!$C$52))*1000)/Inputs!$C$21*1000000</f>
        <v/>
      </c>
      <c r="AK175">
        <f>Scenario_Data!V175</f>
        <v/>
      </c>
      <c r="AL175">
        <f>2*(SQRT((Inputs!$C$52+(Scenario_Data!D175))^2+Inputs!$C$52^2-2*(Inputs!$C$52+(Scenario_Data!D175))*Inputs!$C$52*COS(SQRT((Scenario_Data!V175)^2+Inputs!$C$6^2)/Inputs!$C$52))*1000)/Inputs!$C$21*1000000</f>
        <v/>
      </c>
      <c r="AM175">
        <f>Scenario_Data!W175</f>
        <v/>
      </c>
      <c r="AN175">
        <f>2*(SQRT((Inputs!$C$52+(Scenario_Data!E175))^2+Inputs!$C$52^2-2*(Inputs!$C$52+(Scenario_Data!E175))*Inputs!$C$52*COS(SQRT((Scenario_Data!W175)^2+Inputs!$C$6^2)/Inputs!$C$52))*1000)/Inputs!$C$21*1000000</f>
        <v/>
      </c>
      <c r="AP175">
        <f>Scenario_Data!T175</f>
        <v/>
      </c>
      <c r="AQ175">
        <f>2*(SQRT((Inputs!$C$52+(Scenario_Data!B175))^2+(Inputs!$C$52+((IF(OR(Inputs!$C$27=TRUE,Inputs!$C$27="TRUE",Inputs!$C$27=1),1,0)*(Inputs!$C$51*(115*EXP(-(((Inputs!$C$6)-25)^2)/(4.5^2))+70*EXP(-(((Inputs!$C$6)+38)^2)/(7^2))*(0.55+0.45*SIN(2*PI()*(Scenario_Data!T175)/45))+24*SIN(2*PI()*(Inputs!$C$6)/9+(Scenario_Data!T175)/18)*EXP(-(((Inputs!$C$6)+5)^2)/(22^2))+18*SIN(2*PI()*(Scenario_Data!T175)/70))+Inputs!$C$28*EXP(-(((Scenario_Data!T175)-Inputs!$C$29)^2)/(2*Inputs!$C$31^2))*EXP(-(((Inputs!$C$6)-Inputs!$C$30)^2)/(2*Inputs!$C$32^2))+-Inputs!$C$33*EXP(-(((((Scenario_Data!T175)-Inputs!$C$34)^2)+(((Inputs!$C$6)-Inputs!$C$35)^2))/(2*Inputs!$C$36^2)))+Inputs!$C$37*(0.55*SIN(2*PI()*(Scenario_Data!T175)/Inputs!$C$39)+0.35*COS(2*PI()*(Inputs!$C$6)/Inputs!$C$40)+0.2*SIN(2*PI()*((Scenario_Data!T175)+(Inputs!$C$6))/(0.5*(Inputs!$C$39+Inputs!$C$40))))+Inputs!$C$38*SIN(2*PI()*(Scenario_Data!T175)/Inputs!$C$39)*SIN(2*PI()*(Inputs!$C$6)/Inputs!$C$40)+-Inputs!$C$41*EXP(-(((Inputs!$C$6)-Inputs!$C$43)^2)/(2*Inputs!$C$44^2))*EXP(-(((Scenario_Data!T175)-Inputs!$C$42)^2)/(2*Inputs!$C$45^2))+Inputs!$C$48*(0.7*(0.45*SIN(2*PI()*(((Scenario_Data!T175)/Inputs!$C$49)+Inputs!$C$47*0.137))+0.35*COS(2*PI()*(((Inputs!$C$6)/Inputs!$C$50)+Inputs!$C$47*0.173))+0.2*SIN(2*PI()*((((Scenario_Data!T175)+(Inputs!$C$6))/(0.5*(Inputs!$C$49+Inputs!$C$50)))+Inputs!$C$47*0.097)))+0.3*(2*((SIN(((Scenario_Data!T175)*12.9898+(Inputs!$C$6)*78.233+Inputs!$C$47*37.719))*43758.5453)-INT((SIN(((Scenario_Data!T175)*12.9898+(Inputs!$C$6)*78.233+Inputs!$C$47*37.719))*43758.5453)))-1))))/1000))^2-2*(Inputs!$C$52+(Scenario_Data!B175))*(Inputs!$C$52+((IF(OR(Inputs!$C$27=TRUE,Inputs!$C$27="TRUE",Inputs!$C$27=1),1,0)*(Inputs!$C$51*(115*EXP(-(((Inputs!$C$6)-25)^2)/(4.5^2))+70*EXP(-(((Inputs!$C$6)+38)^2)/(7^2))*(0.55+0.45*SIN(2*PI()*(Scenario_Data!T175)/45))+24*SIN(2*PI()*(Inputs!$C$6)/9+(Scenario_Data!T175)/18)*EXP(-(((Inputs!$C$6)+5)^2)/(22^2))+18*SIN(2*PI()*(Scenario_Data!T175)/70))+Inputs!$C$28*EXP(-(((Scenario_Data!T175)-Inputs!$C$29)^2)/(2*Inputs!$C$31^2))*EXP(-(((Inputs!$C$6)-Inputs!$C$30)^2)/(2*Inputs!$C$32^2))+-Inputs!$C$33*EXP(-(((((Scenario_Data!T175)-Inputs!$C$34)^2)+(((Inputs!$C$6)-Inputs!$C$35)^2))/(2*Inputs!$C$36^2)))+Inputs!$C$37*(0.55*SIN(2*PI()*(Scenario_Data!T175)/Inputs!$C$39)+0.35*COS(2*PI()*(Inputs!$C$6)/Inputs!$C$40)+0.2*SIN(2*PI()*((Scenario_Data!T175)+(Inputs!$C$6))/(0.5*(Inputs!$C$39+Inputs!$C$40))))+Inputs!$C$38*SIN(2*PI()*(Scenario_Data!T175)/Inputs!$C$39)*SIN(2*PI()*(Inputs!$C$6)/Inputs!$C$40)+-Inputs!$C$41*EXP(-(((Inputs!$C$6)-Inputs!$C$43)^2)/(2*Inputs!$C$44^2))*EXP(-(((Scenario_Data!T175)-Inputs!$C$42)^2)/(2*Inputs!$C$45^2))+Inputs!$C$48*(0.7*(0.45*SIN(2*PI()*(((Scenario_Data!T175)/Inputs!$C$49)+Inputs!$C$47*0.137))+0.35*COS(2*PI()*(((Inputs!$C$6)/Inputs!$C$50)+Inputs!$C$47*0.173))+0.2*SIN(2*PI()*((((Scenario_Data!T175)+(Inputs!$C$6))/(0.5*(Inputs!$C$49+Inputs!$C$50)))+Inputs!$C$47*0.097)))+0.3*(2*((SIN(((Scenario_Data!T175)*12.9898+(Inputs!$C$6)*78.233+Inputs!$C$47*37.719))*43758.5453)-INT((SIN(((Scenario_Data!T175)*12.9898+(Inputs!$C$6)*78.233+Inputs!$C$47*37.719))*43758.5453)))-1))))/1000))*COS(SQRT((Scenario_Data!T175)^2+Inputs!$C$6^2)/Inputs!$C$52))*1000)/Inputs!$C$21*1000000</f>
        <v/>
      </c>
      <c r="AR175">
        <f>Scenario_Data!U175</f>
        <v/>
      </c>
      <c r="AS175">
        <f>2*(SQRT((Inputs!$C$52+(Scenario_Data!C175))^2+(Inputs!$C$52+((IF(OR(Inputs!$C$27=TRUE,Inputs!$C$27="TRUE",Inputs!$C$27=1),1,0)*(Inputs!$C$51*(115*EXP(-(((Inputs!$C$6)-25)^2)/(4.5^2))+70*EXP(-(((Inputs!$C$6)+38)^2)/(7^2))*(0.55+0.45*SIN(2*PI()*(Scenario_Data!U175)/45))+24*SIN(2*PI()*(Inputs!$C$6)/9+(Scenario_Data!U175)/18)*EXP(-(((Inputs!$C$6)+5)^2)/(22^2))+18*SIN(2*PI()*(Scenario_Data!U175)/70))+Inputs!$C$28*EXP(-(((Scenario_Data!U175)-Inputs!$C$29)^2)/(2*Inputs!$C$31^2))*EXP(-(((Inputs!$C$6)-Inputs!$C$30)^2)/(2*Inputs!$C$32^2))+-Inputs!$C$33*EXP(-(((((Scenario_Data!U175)-Inputs!$C$34)^2)+(((Inputs!$C$6)-Inputs!$C$35)^2))/(2*Inputs!$C$36^2)))+Inputs!$C$37*(0.55*SIN(2*PI()*(Scenario_Data!U175)/Inputs!$C$39)+0.35*COS(2*PI()*(Inputs!$C$6)/Inputs!$C$40)+0.2*SIN(2*PI()*((Scenario_Data!U175)+(Inputs!$C$6))/(0.5*(Inputs!$C$39+Inputs!$C$40))))+Inputs!$C$38*SIN(2*PI()*(Scenario_Data!U175)/Inputs!$C$39)*SIN(2*PI()*(Inputs!$C$6)/Inputs!$C$40)+-Inputs!$C$41*EXP(-(((Inputs!$C$6)-Inputs!$C$43)^2)/(2*Inputs!$C$44^2))*EXP(-(((Scenario_Data!U175)-Inputs!$C$42)^2)/(2*Inputs!$C$45^2))+Inputs!$C$48*(0.7*(0.45*SIN(2*PI()*(((Scenario_Data!U175)/Inputs!$C$49)+Inputs!$C$47*0.137))+0.35*COS(2*PI()*(((Inputs!$C$6)/Inputs!$C$50)+Inputs!$C$47*0.173))+0.2*SIN(2*PI()*((((Scenario_Data!U175)+(Inputs!$C$6))/(0.5*(Inputs!$C$49+Inputs!$C$50)))+Inputs!$C$47*0.097)))+0.3*(2*((SIN(((Scenario_Data!U175)*12.9898+(Inputs!$C$6)*78.233+Inputs!$C$47*37.719))*43758.5453)-INT((SIN(((Scenario_Data!U175)*12.9898+(Inputs!$C$6)*78.233+Inputs!$C$47*37.719))*43758.5453)))-1))))/1000))^2-2*(Inputs!$C$52+(Scenario_Data!C175))*(Inputs!$C$52+((IF(OR(Inputs!$C$27=TRUE,Inputs!$C$27="TRUE",Inputs!$C$27=1),1,0)*(Inputs!$C$51*(115*EXP(-(((Inputs!$C$6)-25)^2)/(4.5^2))+70*EXP(-(((Inputs!$C$6)+38)^2)/(7^2))*(0.55+0.45*SIN(2*PI()*(Scenario_Data!U175)/45))+24*SIN(2*PI()*(Inputs!$C$6)/9+(Scenario_Data!U175)/18)*EXP(-(((Inputs!$C$6)+5)^2)/(22^2))+18*SIN(2*PI()*(Scenario_Data!U175)/70))+Inputs!$C$28*EXP(-(((Scenario_Data!U175)-Inputs!$C$29)^2)/(2*Inputs!$C$31^2))*EXP(-(((Inputs!$C$6)-Inputs!$C$30)^2)/(2*Inputs!$C$32^2))+-Inputs!$C$33*EXP(-(((((Scenario_Data!U175)-Inputs!$C$34)^2)+(((Inputs!$C$6)-Inputs!$C$35)^2))/(2*Inputs!$C$36^2)))+Inputs!$C$37*(0.55*SIN(2*PI()*(Scenario_Data!U175)/Inputs!$C$39)+0.35*COS(2*PI()*(Inputs!$C$6)/Inputs!$C$40)+0.2*SIN(2*PI()*((Scenario_Data!U175)+(Inputs!$C$6))/(0.5*(Inputs!$C$39+Inputs!$C$40))))+Inputs!$C$38*SIN(2*PI()*(Scenario_Data!U175)/Inputs!$C$39)*SIN(2*PI()*(Inputs!$C$6)/Inputs!$C$40)+-Inputs!$C$41*EXP(-(((Inputs!$C$6)-Inputs!$C$43)^2)/(2*Inputs!$C$44^2))*EXP(-(((Scenario_Data!U175)-Inputs!$C$42)^2)/(2*Inputs!$C$45^2))+Inputs!$C$48*(0.7*(0.45*SIN(2*PI()*(((Scenario_Data!U175)/Inputs!$C$49)+Inputs!$C$47*0.137))+0.35*COS(2*PI()*(((Inputs!$C$6)/Inputs!$C$50)+Inputs!$C$47*0.173))+0.2*SIN(2*PI()*((((Scenario_Data!U175)+(Inputs!$C$6))/(0.5*(Inputs!$C$49+Inputs!$C$50)))+Inputs!$C$47*0.097)))+0.3*(2*((SIN(((Scenario_Data!U175)*12.9898+(Inputs!$C$6)*78.233+Inputs!$C$47*37.719))*43758.5453)-INT((SIN(((Scenario_Data!U175)*12.9898+(Inputs!$C$6)*78.233+Inputs!$C$47*37.719))*43758.5453)))-1))))/1000))*COS(SQRT((Scenario_Data!U175)^2+Inputs!$C$6^2)/Inputs!$C$52))*1000)/Inputs!$C$21*1000000</f>
        <v/>
      </c>
      <c r="AT175">
        <f>Scenario_Data!V175</f>
        <v/>
      </c>
      <c r="AU175">
        <f>2*(SQRT((Inputs!$C$52+(Scenario_Data!D175))^2+(Inputs!$C$52+((IF(OR(Inputs!$C$27=TRUE,Inputs!$C$27="TRUE",Inputs!$C$27=1),1,0)*(Inputs!$C$51*(115*EXP(-(((Inputs!$C$6)-25)^2)/(4.5^2))+70*EXP(-(((Inputs!$C$6)+38)^2)/(7^2))*(0.55+0.45*SIN(2*PI()*(Scenario_Data!V175)/45))+24*SIN(2*PI()*(Inputs!$C$6)/9+(Scenario_Data!V175)/18)*EXP(-(((Inputs!$C$6)+5)^2)/(22^2))+18*SIN(2*PI()*(Scenario_Data!V175)/70))+Inputs!$C$28*EXP(-(((Scenario_Data!V175)-Inputs!$C$29)^2)/(2*Inputs!$C$31^2))*EXP(-(((Inputs!$C$6)-Inputs!$C$30)^2)/(2*Inputs!$C$32^2))+-Inputs!$C$33*EXP(-(((((Scenario_Data!V175)-Inputs!$C$34)^2)+(((Inputs!$C$6)-Inputs!$C$35)^2))/(2*Inputs!$C$36^2)))+Inputs!$C$37*(0.55*SIN(2*PI()*(Scenario_Data!V175)/Inputs!$C$39)+0.35*COS(2*PI()*(Inputs!$C$6)/Inputs!$C$40)+0.2*SIN(2*PI()*((Scenario_Data!V175)+(Inputs!$C$6))/(0.5*(Inputs!$C$39+Inputs!$C$40))))+Inputs!$C$38*SIN(2*PI()*(Scenario_Data!V175)/Inputs!$C$39)*SIN(2*PI()*(Inputs!$C$6)/Inputs!$C$40)+-Inputs!$C$41*EXP(-(((Inputs!$C$6)-Inputs!$C$43)^2)/(2*Inputs!$C$44^2))*EXP(-(((Scenario_Data!V175)-Inputs!$C$42)^2)/(2*Inputs!$C$45^2))+Inputs!$C$48*(0.7*(0.45*SIN(2*PI()*(((Scenario_Data!V175)/Inputs!$C$49)+Inputs!$C$47*0.137))+0.35*COS(2*PI()*(((Inputs!$C$6)/Inputs!$C$50)+Inputs!$C$47*0.173))+0.2*SIN(2*PI()*((((Scenario_Data!V175)+(Inputs!$C$6))/(0.5*(Inputs!$C$49+Inputs!$C$50)))+Inputs!$C$47*0.097)))+0.3*(2*((SIN(((Scenario_Data!V175)*12.9898+(Inputs!$C$6)*78.233+Inputs!$C$47*37.719))*43758.5453)-INT((SIN(((Scenario_Data!V175)*12.9898+(Inputs!$C$6)*78.233+Inputs!$C$47*37.719))*43758.5453)))-1))))/1000))^2-2*(Inputs!$C$52+(Scenario_Data!D175))*(Inputs!$C$52+((IF(OR(Inputs!$C$27=TRUE,Inputs!$C$27="TRUE",Inputs!$C$27=1),1,0)*(Inputs!$C$51*(115*EXP(-(((Inputs!$C$6)-25)^2)/(4.5^2))+70*EXP(-(((Inputs!$C$6)+38)^2)/(7^2))*(0.55+0.45*SIN(2*PI()*(Scenario_Data!V175)/45))+24*SIN(2*PI()*(Inputs!$C$6)/9+(Scenario_Data!V175)/18)*EXP(-(((Inputs!$C$6)+5)^2)/(22^2))+18*SIN(2*PI()*(Scenario_Data!V175)/70))+Inputs!$C$28*EXP(-(((Scenario_Data!V175)-Inputs!$C$29)^2)/(2*Inputs!$C$31^2))*EXP(-(((Inputs!$C$6)-Inputs!$C$30)^2)/(2*Inputs!$C$32^2))+-Inputs!$C$33*EXP(-(((((Scenario_Data!V175)-Inputs!$C$34)^2)+(((Inputs!$C$6)-Inputs!$C$35)^2))/(2*Inputs!$C$36^2)))+Inputs!$C$37*(0.55*SIN(2*PI()*(Scenario_Data!V175)/Inputs!$C$39)+0.35*COS(2*PI()*(Inputs!$C$6)/Inputs!$C$40)+0.2*SIN(2*PI()*((Scenario_Data!V175)+(Inputs!$C$6))/(0.5*(Inputs!$C$39+Inputs!$C$40))))+Inputs!$C$38*SIN(2*PI()*(Scenario_Data!V175)/Inputs!$C$39)*SIN(2*PI()*(Inputs!$C$6)/Inputs!$C$40)+-Inputs!$C$41*EXP(-(((Inputs!$C$6)-Inputs!$C$43)^2)/(2*Inputs!$C$44^2))*EXP(-(((Scenario_Data!V175)-Inputs!$C$42)^2)/(2*Inputs!$C$45^2))+Inputs!$C$48*(0.7*(0.45*SIN(2*PI()*(((Scenario_Data!V175)/Inputs!$C$49)+Inputs!$C$47*0.137))+0.35*COS(2*PI()*(((Inputs!$C$6)/Inputs!$C$50)+Inputs!$C$47*0.173))+0.2*SIN(2*PI()*((((Scenario_Data!V175)+(Inputs!$C$6))/(0.5*(Inputs!$C$49+Inputs!$C$50)))+Inputs!$C$47*0.097)))+0.3*(2*((SIN(((Scenario_Data!V175)*12.9898+(Inputs!$C$6)*78.233+Inputs!$C$47*37.719))*43758.5453)-INT((SIN(((Scenario_Data!V175)*12.9898+(Inputs!$C$6)*78.233+Inputs!$C$47*37.719))*43758.5453)))-1))))/1000))*COS(SQRT((Scenario_Data!V175)^2+Inputs!$C$6^2)/Inputs!$C$52))*1000)/Inputs!$C$21*1000000</f>
        <v/>
      </c>
      <c r="AV175">
        <f>Scenario_Data!W175</f>
        <v/>
      </c>
      <c r="AW175">
        <f>2*(SQRT((Inputs!$C$52+(Scenario_Data!E175))^2+(Inputs!$C$52+((IF(OR(Inputs!$C$27=TRUE,Inputs!$C$27="TRUE",Inputs!$C$27=1),1,0)*(Inputs!$C$51*(115*EXP(-(((Inputs!$C$6)-25)^2)/(4.5^2))+70*EXP(-(((Inputs!$C$6)+38)^2)/(7^2))*(0.55+0.45*SIN(2*PI()*(Scenario_Data!W175)/45))+24*SIN(2*PI()*(Inputs!$C$6)/9+(Scenario_Data!W175)/18)*EXP(-(((Inputs!$C$6)+5)^2)/(22^2))+18*SIN(2*PI()*(Scenario_Data!W175)/70))+Inputs!$C$28*EXP(-(((Scenario_Data!W175)-Inputs!$C$29)^2)/(2*Inputs!$C$31^2))*EXP(-(((Inputs!$C$6)-Inputs!$C$30)^2)/(2*Inputs!$C$32^2))+-Inputs!$C$33*EXP(-(((((Scenario_Data!W175)-Inputs!$C$34)^2)+(((Inputs!$C$6)-Inputs!$C$35)^2))/(2*Inputs!$C$36^2)))+Inputs!$C$37*(0.55*SIN(2*PI()*(Scenario_Data!W175)/Inputs!$C$39)+0.35*COS(2*PI()*(Inputs!$C$6)/Inputs!$C$40)+0.2*SIN(2*PI()*((Scenario_Data!W175)+(Inputs!$C$6))/(0.5*(Inputs!$C$39+Inputs!$C$40))))+Inputs!$C$38*SIN(2*PI()*(Scenario_Data!W175)/Inputs!$C$39)*SIN(2*PI()*(Inputs!$C$6)/Inputs!$C$40)+-Inputs!$C$41*EXP(-(((Inputs!$C$6)-Inputs!$C$43)^2)/(2*Inputs!$C$44^2))*EXP(-(((Scenario_Data!W175)-Inputs!$C$42)^2)/(2*Inputs!$C$45^2))+Inputs!$C$48*(0.7*(0.45*SIN(2*PI()*(((Scenario_Data!W175)/Inputs!$C$49)+Inputs!$C$47*0.137))+0.35*COS(2*PI()*(((Inputs!$C$6)/Inputs!$C$50)+Inputs!$C$47*0.173))+0.2*SIN(2*PI()*((((Scenario_Data!W175)+(Inputs!$C$6))/(0.5*(Inputs!$C$49+Inputs!$C$50)))+Inputs!$C$47*0.097)))+0.3*(2*((SIN(((Scenario_Data!W175)*12.9898+(Inputs!$C$6)*78.233+Inputs!$C$47*37.719))*43758.5453)-INT((SIN(((Scenario_Data!W175)*12.9898+(Inputs!$C$6)*78.233+Inputs!$C$47*37.719))*43758.5453)))-1))))/1000))^2-2*(Inputs!$C$52+(Scenario_Data!E175))*(Inputs!$C$52+((IF(OR(Inputs!$C$27=TRUE,Inputs!$C$27="TRUE",Inputs!$C$27=1),1,0)*(Inputs!$C$51*(115*EXP(-(((Inputs!$C$6)-25)^2)/(4.5^2))+70*EXP(-(((Inputs!$C$6)+38)^2)/(7^2))*(0.55+0.45*SIN(2*PI()*(Scenario_Data!W175)/45))+24*SIN(2*PI()*(Inputs!$C$6)/9+(Scenario_Data!W175)/18)*EXP(-(((Inputs!$C$6)+5)^2)/(22^2))+18*SIN(2*PI()*(Scenario_Data!W175)/70))+Inputs!$C$28*EXP(-(((Scenario_Data!W175)-Inputs!$C$29)^2)/(2*Inputs!$C$31^2))*EXP(-(((Inputs!$C$6)-Inputs!$C$30)^2)/(2*Inputs!$C$32^2))+-Inputs!$C$33*EXP(-(((((Scenario_Data!W175)-Inputs!$C$34)^2)+(((Inputs!$C$6)-Inputs!$C$35)^2))/(2*Inputs!$C$36^2)))+Inputs!$C$37*(0.55*SIN(2*PI()*(Scenario_Data!W175)/Inputs!$C$39)+0.35*COS(2*PI()*(Inputs!$C$6)/Inputs!$C$40)+0.2*SIN(2*PI()*((Scenario_Data!W175)+(Inputs!$C$6))/(0.5*(Inputs!$C$39+Inputs!$C$40))))+Inputs!$C$38*SIN(2*PI()*(Scenario_Data!W175)/Inputs!$C$39)*SIN(2*PI()*(Inputs!$C$6)/Inputs!$C$40)+-Inputs!$C$41*EXP(-(((Inputs!$C$6)-Inputs!$C$43)^2)/(2*Inputs!$C$44^2))*EXP(-(((Scenario_Data!W175)-Inputs!$C$42)^2)/(2*Inputs!$C$45^2))+Inputs!$C$48*(0.7*(0.45*SIN(2*PI()*(((Scenario_Data!W175)/Inputs!$C$49)+Inputs!$C$47*0.137))+0.35*COS(2*PI()*(((Inputs!$C$6)/Inputs!$C$50)+Inputs!$C$47*0.173))+0.2*SIN(2*PI()*((((Scenario_Data!W175)+(Inputs!$C$6))/(0.5*(Inputs!$C$49+Inputs!$C$50)))+Inputs!$C$47*0.097)))+0.3*(2*((SIN(((Scenario_Data!W175)*12.9898+(Inputs!$C$6)*78.233+Inputs!$C$47*37.719))*43758.5453)-INT((SIN(((Scenario_Data!W175)*12.9898+(Inputs!$C$6)*78.233+Inputs!$C$47*37.719))*43758.5453)))-1))))/1000))*COS(SQRT((Scenario_Data!W175)^2+Inputs!$C$6^2)/Inputs!$C$52))*1000)/Inputs!$C$21*1000000</f>
        <v/>
      </c>
    </row>
    <row r="176">
      <c r="A176">
        <f>Chart_Data!K176</f>
        <v/>
      </c>
      <c r="B176">
        <f>Chart_Data!N176-Chart_Data!L176</f>
        <v/>
      </c>
      <c r="D176">
        <f>Chart_Data!G176</f>
        <v/>
      </c>
      <c r="E176">
        <f>Chart_Data!H176</f>
        <v/>
      </c>
      <c r="F176">
        <f>Chart_Data!I176</f>
        <v/>
      </c>
      <c r="G176">
        <f>Chart_Data!J176</f>
        <v/>
      </c>
      <c r="I176">
        <f>Scenario_Data!A176</f>
        <v/>
      </c>
      <c r="J176">
        <f>Scenario_Data!H176-(((SQRT((Inputs!$C$52+(Inputs!$H$6))^2+Inputs!$C$52^2-2*(Inputs!$C$52+(Inputs!$H$6))*Inputs!$C$52*COS(SQRT((Scenario_Data!T176)^2+Inputs!$C$6^2)/Inputs!$C$52)))-(Inputs!$H$6))*1000/Inputs!$C$12)</f>
        <v/>
      </c>
      <c r="K176">
        <f>Scenario_Data!I176-(((SQRT((Inputs!$C$52+(Inputs!$H$7))^2+Inputs!$C$52^2-2*(Inputs!$C$52+(Inputs!$H$7))*Inputs!$C$52*COS(SQRT((Scenario_Data!U176)^2+Inputs!$C$6^2)/Inputs!$C$52)))-(Inputs!$H$7))*1000/Inputs!$C$12)</f>
        <v/>
      </c>
      <c r="L176">
        <f>Scenario_Data!J176-(((SQRT((Inputs!$C$52+(Inputs!$H$8))^2+Inputs!$C$52^2-2*(Inputs!$C$52+(Inputs!$H$8))*Inputs!$C$52*COS(SQRT((Scenario_Data!V176)^2+Inputs!$C$6^2)/Inputs!$C$52)))-(Inputs!$H$8))*1000/Inputs!$C$12)</f>
        <v/>
      </c>
      <c r="M176">
        <f>Scenario_Data!K176-(((SQRT((Inputs!$C$52+(Inputs!$H$9))^2+Inputs!$C$52^2-2*(Inputs!$C$52+(Inputs!$H$9))*Inputs!$C$52*COS(SQRT((Scenario_Data!W176)^2+Inputs!$C$6^2)/Inputs!$C$52)))-(Inputs!$H$9))*1000/Inputs!$C$12)</f>
        <v/>
      </c>
      <c r="O176">
        <f>Scenario_Data!T176</f>
        <v/>
      </c>
      <c r="P176">
        <f>2*(Scenario_Data!B176*1000)/Inputs!$C$21*1000000</f>
        <v/>
      </c>
      <c r="Q176">
        <f>Scenario_Data!U176</f>
        <v/>
      </c>
      <c r="R176">
        <f>2*(Scenario_Data!C176*1000)/Inputs!$C$21*1000000</f>
        <v/>
      </c>
      <c r="S176">
        <f>Scenario_Data!V176</f>
        <v/>
      </c>
      <c r="T176">
        <f>2*(Scenario_Data!D176*1000)/Inputs!$C$21*1000000</f>
        <v/>
      </c>
      <c r="U176">
        <f>Scenario_Data!W176</f>
        <v/>
      </c>
      <c r="V176">
        <f>2*(Scenario_Data!E176*1000)/Inputs!$C$21*1000000</f>
        <v/>
      </c>
      <c r="X176">
        <f>Scenario_Data!T176</f>
        <v/>
      </c>
      <c r="Y176">
        <f>2*((Scenario_Data!B176*1000)-(IF(OR(Inputs!$C$27=TRUE,Inputs!$C$27="TRUE",Inputs!$C$27=1),1,0)*(Inputs!$C$51*(115*EXP(-(((0)-25)^2)/(4.5^2))+70*EXP(-(((0)+38)^2)/(7^2))*(0.55+0.45*SIN(2*PI()*(Scenario_Data!T176)/45))+24*SIN(2*PI()*(0)/9+(Scenario_Data!T176)/18)*EXP(-(((0)+5)^2)/(22^2))+18*SIN(2*PI()*(Scenario_Data!T176)/70))+Inputs!$C$28*EXP(-(((Scenario_Data!T176)-Inputs!$C$29)^2)/(2*Inputs!$C$31^2))*EXP(-(((0)-Inputs!$C$30)^2)/(2*Inputs!$C$32^2))+-Inputs!$C$33*EXP(-(((((Scenario_Data!T176)-Inputs!$C$34)^2)+(((0)-Inputs!$C$35)^2))/(2*Inputs!$C$36^2)))+Inputs!$C$37*(0.55*SIN(2*PI()*(Scenario_Data!T176)/Inputs!$C$39)+0.35*COS(2*PI()*(0)/Inputs!$C$40)+0.2*SIN(2*PI()*((Scenario_Data!T176)+(0))/(0.5*(Inputs!$C$39+Inputs!$C$40))))+Inputs!$C$38*SIN(2*PI()*(Scenario_Data!T176)/Inputs!$C$39)*SIN(2*PI()*(0)/Inputs!$C$40)+-Inputs!$C$41*EXP(-(((0)-Inputs!$C$43)^2)/(2*Inputs!$C$44^2))*EXP(-(((Scenario_Data!T176)-Inputs!$C$42)^2)/(2*Inputs!$C$45^2))+Inputs!$C$48*(0.7*(0.45*SIN(2*PI()*(((Scenario_Data!T176)/Inputs!$C$49)+Inputs!$C$47*0.137))+0.35*COS(2*PI()*(((0)/Inputs!$C$50)+Inputs!$C$47*0.173))+0.2*SIN(2*PI()*((((Scenario_Data!T176)+(0))/(0.5*(Inputs!$C$49+Inputs!$C$50)))+Inputs!$C$47*0.097)))+0.3*(2*((SIN(((Scenario_Data!T176)*12.9898+(0)*78.233+Inputs!$C$47*37.719))*43758.5453)-INT((SIN(((Scenario_Data!T176)*12.9898+(0)*78.233+Inputs!$C$47*37.719))*43758.5453)))-1)))))/Inputs!$C$21*1000000</f>
        <v/>
      </c>
      <c r="Z176">
        <f>Scenario_Data!U176</f>
        <v/>
      </c>
      <c r="AA176">
        <f>2*((Scenario_Data!C176*1000)-(IF(OR(Inputs!$C$27=TRUE,Inputs!$C$27="TRUE",Inputs!$C$27=1),1,0)*(Inputs!$C$51*(115*EXP(-(((0)-25)^2)/(4.5^2))+70*EXP(-(((0)+38)^2)/(7^2))*(0.55+0.45*SIN(2*PI()*(Scenario_Data!U176)/45))+24*SIN(2*PI()*(0)/9+(Scenario_Data!U176)/18)*EXP(-(((0)+5)^2)/(22^2))+18*SIN(2*PI()*(Scenario_Data!U176)/70))+Inputs!$C$28*EXP(-(((Scenario_Data!U176)-Inputs!$C$29)^2)/(2*Inputs!$C$31^2))*EXP(-(((0)-Inputs!$C$30)^2)/(2*Inputs!$C$32^2))+-Inputs!$C$33*EXP(-(((((Scenario_Data!U176)-Inputs!$C$34)^2)+(((0)-Inputs!$C$35)^2))/(2*Inputs!$C$36^2)))+Inputs!$C$37*(0.55*SIN(2*PI()*(Scenario_Data!U176)/Inputs!$C$39)+0.35*COS(2*PI()*(0)/Inputs!$C$40)+0.2*SIN(2*PI()*((Scenario_Data!U176)+(0))/(0.5*(Inputs!$C$39+Inputs!$C$40))))+Inputs!$C$38*SIN(2*PI()*(Scenario_Data!U176)/Inputs!$C$39)*SIN(2*PI()*(0)/Inputs!$C$40)+-Inputs!$C$41*EXP(-(((0)-Inputs!$C$43)^2)/(2*Inputs!$C$44^2))*EXP(-(((Scenario_Data!U176)-Inputs!$C$42)^2)/(2*Inputs!$C$45^2))+Inputs!$C$48*(0.7*(0.45*SIN(2*PI()*(((Scenario_Data!U176)/Inputs!$C$49)+Inputs!$C$47*0.137))+0.35*COS(2*PI()*(((0)/Inputs!$C$50)+Inputs!$C$47*0.173))+0.2*SIN(2*PI()*((((Scenario_Data!U176)+(0))/(0.5*(Inputs!$C$49+Inputs!$C$50)))+Inputs!$C$47*0.097)))+0.3*(2*((SIN(((Scenario_Data!U176)*12.9898+(0)*78.233+Inputs!$C$47*37.719))*43758.5453)-INT((SIN(((Scenario_Data!U176)*12.9898+(0)*78.233+Inputs!$C$47*37.719))*43758.5453)))-1)))))/Inputs!$C$21*1000000</f>
        <v/>
      </c>
      <c r="AB176">
        <f>Scenario_Data!V176</f>
        <v/>
      </c>
      <c r="AC176">
        <f>2*((Scenario_Data!D176*1000)-(IF(OR(Inputs!$C$27=TRUE,Inputs!$C$27="TRUE",Inputs!$C$27=1),1,0)*(Inputs!$C$51*(115*EXP(-(((0)-25)^2)/(4.5^2))+70*EXP(-(((0)+38)^2)/(7^2))*(0.55+0.45*SIN(2*PI()*(Scenario_Data!V176)/45))+24*SIN(2*PI()*(0)/9+(Scenario_Data!V176)/18)*EXP(-(((0)+5)^2)/(22^2))+18*SIN(2*PI()*(Scenario_Data!V176)/70))+Inputs!$C$28*EXP(-(((Scenario_Data!V176)-Inputs!$C$29)^2)/(2*Inputs!$C$31^2))*EXP(-(((0)-Inputs!$C$30)^2)/(2*Inputs!$C$32^2))+-Inputs!$C$33*EXP(-(((((Scenario_Data!V176)-Inputs!$C$34)^2)+(((0)-Inputs!$C$35)^2))/(2*Inputs!$C$36^2)))+Inputs!$C$37*(0.55*SIN(2*PI()*(Scenario_Data!V176)/Inputs!$C$39)+0.35*COS(2*PI()*(0)/Inputs!$C$40)+0.2*SIN(2*PI()*((Scenario_Data!V176)+(0))/(0.5*(Inputs!$C$39+Inputs!$C$40))))+Inputs!$C$38*SIN(2*PI()*(Scenario_Data!V176)/Inputs!$C$39)*SIN(2*PI()*(0)/Inputs!$C$40)+-Inputs!$C$41*EXP(-(((0)-Inputs!$C$43)^2)/(2*Inputs!$C$44^2))*EXP(-(((Scenario_Data!V176)-Inputs!$C$42)^2)/(2*Inputs!$C$45^2))+Inputs!$C$48*(0.7*(0.45*SIN(2*PI()*(((Scenario_Data!V176)/Inputs!$C$49)+Inputs!$C$47*0.137))+0.35*COS(2*PI()*(((0)/Inputs!$C$50)+Inputs!$C$47*0.173))+0.2*SIN(2*PI()*((((Scenario_Data!V176)+(0))/(0.5*(Inputs!$C$49+Inputs!$C$50)))+Inputs!$C$47*0.097)))+0.3*(2*((SIN(((Scenario_Data!V176)*12.9898+(0)*78.233+Inputs!$C$47*37.719))*43758.5453)-INT((SIN(((Scenario_Data!V176)*12.9898+(0)*78.233+Inputs!$C$47*37.719))*43758.5453)))-1)))))/Inputs!$C$21*1000000</f>
        <v/>
      </c>
      <c r="AD176">
        <f>Scenario_Data!W176</f>
        <v/>
      </c>
      <c r="AE176">
        <f>2*((Scenario_Data!E176*1000)-(IF(OR(Inputs!$C$27=TRUE,Inputs!$C$27="TRUE",Inputs!$C$27=1),1,0)*(Inputs!$C$51*(115*EXP(-(((0)-25)^2)/(4.5^2))+70*EXP(-(((0)+38)^2)/(7^2))*(0.55+0.45*SIN(2*PI()*(Scenario_Data!W176)/45))+24*SIN(2*PI()*(0)/9+(Scenario_Data!W176)/18)*EXP(-(((0)+5)^2)/(22^2))+18*SIN(2*PI()*(Scenario_Data!W176)/70))+Inputs!$C$28*EXP(-(((Scenario_Data!W176)-Inputs!$C$29)^2)/(2*Inputs!$C$31^2))*EXP(-(((0)-Inputs!$C$30)^2)/(2*Inputs!$C$32^2))+-Inputs!$C$33*EXP(-(((((Scenario_Data!W176)-Inputs!$C$34)^2)+(((0)-Inputs!$C$35)^2))/(2*Inputs!$C$36^2)))+Inputs!$C$37*(0.55*SIN(2*PI()*(Scenario_Data!W176)/Inputs!$C$39)+0.35*COS(2*PI()*(0)/Inputs!$C$40)+0.2*SIN(2*PI()*((Scenario_Data!W176)+(0))/(0.5*(Inputs!$C$39+Inputs!$C$40))))+Inputs!$C$38*SIN(2*PI()*(Scenario_Data!W176)/Inputs!$C$39)*SIN(2*PI()*(0)/Inputs!$C$40)+-Inputs!$C$41*EXP(-(((0)-Inputs!$C$43)^2)/(2*Inputs!$C$44^2))*EXP(-(((Scenario_Data!W176)-Inputs!$C$42)^2)/(2*Inputs!$C$45^2))+Inputs!$C$48*(0.7*(0.45*SIN(2*PI()*(((Scenario_Data!W176)/Inputs!$C$49)+Inputs!$C$47*0.137))+0.35*COS(2*PI()*(((0)/Inputs!$C$50)+Inputs!$C$47*0.173))+0.2*SIN(2*PI()*((((Scenario_Data!W176)+(0))/(0.5*(Inputs!$C$49+Inputs!$C$50)))+Inputs!$C$47*0.097)))+0.3*(2*((SIN(((Scenario_Data!W176)*12.9898+(0)*78.233+Inputs!$C$47*37.719))*43758.5453)-INT((SIN(((Scenario_Data!W176)*12.9898+(0)*78.233+Inputs!$C$47*37.719))*43758.5453)))-1)))))/Inputs!$C$21*1000000</f>
        <v/>
      </c>
      <c r="AG176">
        <f>Scenario_Data!T176</f>
        <v/>
      </c>
      <c r="AH176">
        <f>2*(SQRT((Inputs!$C$52+(Scenario_Data!B176))^2+Inputs!$C$52^2-2*(Inputs!$C$52+(Scenario_Data!B176))*Inputs!$C$52*COS(SQRT((Scenario_Data!T176)^2+Inputs!$C$6^2)/Inputs!$C$52))*1000)/Inputs!$C$21*1000000</f>
        <v/>
      </c>
      <c r="AI176">
        <f>Scenario_Data!U176</f>
        <v/>
      </c>
      <c r="AJ176">
        <f>2*(SQRT((Inputs!$C$52+(Scenario_Data!C176))^2+Inputs!$C$52^2-2*(Inputs!$C$52+(Scenario_Data!C176))*Inputs!$C$52*COS(SQRT((Scenario_Data!U176)^2+Inputs!$C$6^2)/Inputs!$C$52))*1000)/Inputs!$C$21*1000000</f>
        <v/>
      </c>
      <c r="AK176">
        <f>Scenario_Data!V176</f>
        <v/>
      </c>
      <c r="AL176">
        <f>2*(SQRT((Inputs!$C$52+(Scenario_Data!D176))^2+Inputs!$C$52^2-2*(Inputs!$C$52+(Scenario_Data!D176))*Inputs!$C$52*COS(SQRT((Scenario_Data!V176)^2+Inputs!$C$6^2)/Inputs!$C$52))*1000)/Inputs!$C$21*1000000</f>
        <v/>
      </c>
      <c r="AM176">
        <f>Scenario_Data!W176</f>
        <v/>
      </c>
      <c r="AN176">
        <f>2*(SQRT((Inputs!$C$52+(Scenario_Data!E176))^2+Inputs!$C$52^2-2*(Inputs!$C$52+(Scenario_Data!E176))*Inputs!$C$52*COS(SQRT((Scenario_Data!W176)^2+Inputs!$C$6^2)/Inputs!$C$52))*1000)/Inputs!$C$21*1000000</f>
        <v/>
      </c>
      <c r="AP176">
        <f>Scenario_Data!T176</f>
        <v/>
      </c>
      <c r="AQ176">
        <f>2*(SQRT((Inputs!$C$52+(Scenario_Data!B176))^2+(Inputs!$C$52+((IF(OR(Inputs!$C$27=TRUE,Inputs!$C$27="TRUE",Inputs!$C$27=1),1,0)*(Inputs!$C$51*(115*EXP(-(((Inputs!$C$6)-25)^2)/(4.5^2))+70*EXP(-(((Inputs!$C$6)+38)^2)/(7^2))*(0.55+0.45*SIN(2*PI()*(Scenario_Data!T176)/45))+24*SIN(2*PI()*(Inputs!$C$6)/9+(Scenario_Data!T176)/18)*EXP(-(((Inputs!$C$6)+5)^2)/(22^2))+18*SIN(2*PI()*(Scenario_Data!T176)/70))+Inputs!$C$28*EXP(-(((Scenario_Data!T176)-Inputs!$C$29)^2)/(2*Inputs!$C$31^2))*EXP(-(((Inputs!$C$6)-Inputs!$C$30)^2)/(2*Inputs!$C$32^2))+-Inputs!$C$33*EXP(-(((((Scenario_Data!T176)-Inputs!$C$34)^2)+(((Inputs!$C$6)-Inputs!$C$35)^2))/(2*Inputs!$C$36^2)))+Inputs!$C$37*(0.55*SIN(2*PI()*(Scenario_Data!T176)/Inputs!$C$39)+0.35*COS(2*PI()*(Inputs!$C$6)/Inputs!$C$40)+0.2*SIN(2*PI()*((Scenario_Data!T176)+(Inputs!$C$6))/(0.5*(Inputs!$C$39+Inputs!$C$40))))+Inputs!$C$38*SIN(2*PI()*(Scenario_Data!T176)/Inputs!$C$39)*SIN(2*PI()*(Inputs!$C$6)/Inputs!$C$40)+-Inputs!$C$41*EXP(-(((Inputs!$C$6)-Inputs!$C$43)^2)/(2*Inputs!$C$44^2))*EXP(-(((Scenario_Data!T176)-Inputs!$C$42)^2)/(2*Inputs!$C$45^2))+Inputs!$C$48*(0.7*(0.45*SIN(2*PI()*(((Scenario_Data!T176)/Inputs!$C$49)+Inputs!$C$47*0.137))+0.35*COS(2*PI()*(((Inputs!$C$6)/Inputs!$C$50)+Inputs!$C$47*0.173))+0.2*SIN(2*PI()*((((Scenario_Data!T176)+(Inputs!$C$6))/(0.5*(Inputs!$C$49+Inputs!$C$50)))+Inputs!$C$47*0.097)))+0.3*(2*((SIN(((Scenario_Data!T176)*12.9898+(Inputs!$C$6)*78.233+Inputs!$C$47*37.719))*43758.5453)-INT((SIN(((Scenario_Data!T176)*12.9898+(Inputs!$C$6)*78.233+Inputs!$C$47*37.719))*43758.5453)))-1))))/1000))^2-2*(Inputs!$C$52+(Scenario_Data!B176))*(Inputs!$C$52+((IF(OR(Inputs!$C$27=TRUE,Inputs!$C$27="TRUE",Inputs!$C$27=1),1,0)*(Inputs!$C$51*(115*EXP(-(((Inputs!$C$6)-25)^2)/(4.5^2))+70*EXP(-(((Inputs!$C$6)+38)^2)/(7^2))*(0.55+0.45*SIN(2*PI()*(Scenario_Data!T176)/45))+24*SIN(2*PI()*(Inputs!$C$6)/9+(Scenario_Data!T176)/18)*EXP(-(((Inputs!$C$6)+5)^2)/(22^2))+18*SIN(2*PI()*(Scenario_Data!T176)/70))+Inputs!$C$28*EXP(-(((Scenario_Data!T176)-Inputs!$C$29)^2)/(2*Inputs!$C$31^2))*EXP(-(((Inputs!$C$6)-Inputs!$C$30)^2)/(2*Inputs!$C$32^2))+-Inputs!$C$33*EXP(-(((((Scenario_Data!T176)-Inputs!$C$34)^2)+(((Inputs!$C$6)-Inputs!$C$35)^2))/(2*Inputs!$C$36^2)))+Inputs!$C$37*(0.55*SIN(2*PI()*(Scenario_Data!T176)/Inputs!$C$39)+0.35*COS(2*PI()*(Inputs!$C$6)/Inputs!$C$40)+0.2*SIN(2*PI()*((Scenario_Data!T176)+(Inputs!$C$6))/(0.5*(Inputs!$C$39+Inputs!$C$40))))+Inputs!$C$38*SIN(2*PI()*(Scenario_Data!T176)/Inputs!$C$39)*SIN(2*PI()*(Inputs!$C$6)/Inputs!$C$40)+-Inputs!$C$41*EXP(-(((Inputs!$C$6)-Inputs!$C$43)^2)/(2*Inputs!$C$44^2))*EXP(-(((Scenario_Data!T176)-Inputs!$C$42)^2)/(2*Inputs!$C$45^2))+Inputs!$C$48*(0.7*(0.45*SIN(2*PI()*(((Scenario_Data!T176)/Inputs!$C$49)+Inputs!$C$47*0.137))+0.35*COS(2*PI()*(((Inputs!$C$6)/Inputs!$C$50)+Inputs!$C$47*0.173))+0.2*SIN(2*PI()*((((Scenario_Data!T176)+(Inputs!$C$6))/(0.5*(Inputs!$C$49+Inputs!$C$50)))+Inputs!$C$47*0.097)))+0.3*(2*((SIN(((Scenario_Data!T176)*12.9898+(Inputs!$C$6)*78.233+Inputs!$C$47*37.719))*43758.5453)-INT((SIN(((Scenario_Data!T176)*12.9898+(Inputs!$C$6)*78.233+Inputs!$C$47*37.719))*43758.5453)))-1))))/1000))*COS(SQRT((Scenario_Data!T176)^2+Inputs!$C$6^2)/Inputs!$C$52))*1000)/Inputs!$C$21*1000000</f>
        <v/>
      </c>
      <c r="AR176">
        <f>Scenario_Data!U176</f>
        <v/>
      </c>
      <c r="AS176">
        <f>2*(SQRT((Inputs!$C$52+(Scenario_Data!C176))^2+(Inputs!$C$52+((IF(OR(Inputs!$C$27=TRUE,Inputs!$C$27="TRUE",Inputs!$C$27=1),1,0)*(Inputs!$C$51*(115*EXP(-(((Inputs!$C$6)-25)^2)/(4.5^2))+70*EXP(-(((Inputs!$C$6)+38)^2)/(7^2))*(0.55+0.45*SIN(2*PI()*(Scenario_Data!U176)/45))+24*SIN(2*PI()*(Inputs!$C$6)/9+(Scenario_Data!U176)/18)*EXP(-(((Inputs!$C$6)+5)^2)/(22^2))+18*SIN(2*PI()*(Scenario_Data!U176)/70))+Inputs!$C$28*EXP(-(((Scenario_Data!U176)-Inputs!$C$29)^2)/(2*Inputs!$C$31^2))*EXP(-(((Inputs!$C$6)-Inputs!$C$30)^2)/(2*Inputs!$C$32^2))+-Inputs!$C$33*EXP(-(((((Scenario_Data!U176)-Inputs!$C$34)^2)+(((Inputs!$C$6)-Inputs!$C$35)^2))/(2*Inputs!$C$36^2)))+Inputs!$C$37*(0.55*SIN(2*PI()*(Scenario_Data!U176)/Inputs!$C$39)+0.35*COS(2*PI()*(Inputs!$C$6)/Inputs!$C$40)+0.2*SIN(2*PI()*((Scenario_Data!U176)+(Inputs!$C$6))/(0.5*(Inputs!$C$39+Inputs!$C$40))))+Inputs!$C$38*SIN(2*PI()*(Scenario_Data!U176)/Inputs!$C$39)*SIN(2*PI()*(Inputs!$C$6)/Inputs!$C$40)+-Inputs!$C$41*EXP(-(((Inputs!$C$6)-Inputs!$C$43)^2)/(2*Inputs!$C$44^2))*EXP(-(((Scenario_Data!U176)-Inputs!$C$42)^2)/(2*Inputs!$C$45^2))+Inputs!$C$48*(0.7*(0.45*SIN(2*PI()*(((Scenario_Data!U176)/Inputs!$C$49)+Inputs!$C$47*0.137))+0.35*COS(2*PI()*(((Inputs!$C$6)/Inputs!$C$50)+Inputs!$C$47*0.173))+0.2*SIN(2*PI()*((((Scenario_Data!U176)+(Inputs!$C$6))/(0.5*(Inputs!$C$49+Inputs!$C$50)))+Inputs!$C$47*0.097)))+0.3*(2*((SIN(((Scenario_Data!U176)*12.9898+(Inputs!$C$6)*78.233+Inputs!$C$47*37.719))*43758.5453)-INT((SIN(((Scenario_Data!U176)*12.9898+(Inputs!$C$6)*78.233+Inputs!$C$47*37.719))*43758.5453)))-1))))/1000))^2-2*(Inputs!$C$52+(Scenario_Data!C176))*(Inputs!$C$52+((IF(OR(Inputs!$C$27=TRUE,Inputs!$C$27="TRUE",Inputs!$C$27=1),1,0)*(Inputs!$C$51*(115*EXP(-(((Inputs!$C$6)-25)^2)/(4.5^2))+70*EXP(-(((Inputs!$C$6)+38)^2)/(7^2))*(0.55+0.45*SIN(2*PI()*(Scenario_Data!U176)/45))+24*SIN(2*PI()*(Inputs!$C$6)/9+(Scenario_Data!U176)/18)*EXP(-(((Inputs!$C$6)+5)^2)/(22^2))+18*SIN(2*PI()*(Scenario_Data!U176)/70))+Inputs!$C$28*EXP(-(((Scenario_Data!U176)-Inputs!$C$29)^2)/(2*Inputs!$C$31^2))*EXP(-(((Inputs!$C$6)-Inputs!$C$30)^2)/(2*Inputs!$C$32^2))+-Inputs!$C$33*EXP(-(((((Scenario_Data!U176)-Inputs!$C$34)^2)+(((Inputs!$C$6)-Inputs!$C$35)^2))/(2*Inputs!$C$36^2)))+Inputs!$C$37*(0.55*SIN(2*PI()*(Scenario_Data!U176)/Inputs!$C$39)+0.35*COS(2*PI()*(Inputs!$C$6)/Inputs!$C$40)+0.2*SIN(2*PI()*((Scenario_Data!U176)+(Inputs!$C$6))/(0.5*(Inputs!$C$39+Inputs!$C$40))))+Inputs!$C$38*SIN(2*PI()*(Scenario_Data!U176)/Inputs!$C$39)*SIN(2*PI()*(Inputs!$C$6)/Inputs!$C$40)+-Inputs!$C$41*EXP(-(((Inputs!$C$6)-Inputs!$C$43)^2)/(2*Inputs!$C$44^2))*EXP(-(((Scenario_Data!U176)-Inputs!$C$42)^2)/(2*Inputs!$C$45^2))+Inputs!$C$48*(0.7*(0.45*SIN(2*PI()*(((Scenario_Data!U176)/Inputs!$C$49)+Inputs!$C$47*0.137))+0.35*COS(2*PI()*(((Inputs!$C$6)/Inputs!$C$50)+Inputs!$C$47*0.173))+0.2*SIN(2*PI()*((((Scenario_Data!U176)+(Inputs!$C$6))/(0.5*(Inputs!$C$49+Inputs!$C$50)))+Inputs!$C$47*0.097)))+0.3*(2*((SIN(((Scenario_Data!U176)*12.9898+(Inputs!$C$6)*78.233+Inputs!$C$47*37.719))*43758.5453)-INT((SIN(((Scenario_Data!U176)*12.9898+(Inputs!$C$6)*78.233+Inputs!$C$47*37.719))*43758.5453)))-1))))/1000))*COS(SQRT((Scenario_Data!U176)^2+Inputs!$C$6^2)/Inputs!$C$52))*1000)/Inputs!$C$21*1000000</f>
        <v/>
      </c>
      <c r="AT176">
        <f>Scenario_Data!V176</f>
        <v/>
      </c>
      <c r="AU176">
        <f>2*(SQRT((Inputs!$C$52+(Scenario_Data!D176))^2+(Inputs!$C$52+((IF(OR(Inputs!$C$27=TRUE,Inputs!$C$27="TRUE",Inputs!$C$27=1),1,0)*(Inputs!$C$51*(115*EXP(-(((Inputs!$C$6)-25)^2)/(4.5^2))+70*EXP(-(((Inputs!$C$6)+38)^2)/(7^2))*(0.55+0.45*SIN(2*PI()*(Scenario_Data!V176)/45))+24*SIN(2*PI()*(Inputs!$C$6)/9+(Scenario_Data!V176)/18)*EXP(-(((Inputs!$C$6)+5)^2)/(22^2))+18*SIN(2*PI()*(Scenario_Data!V176)/70))+Inputs!$C$28*EXP(-(((Scenario_Data!V176)-Inputs!$C$29)^2)/(2*Inputs!$C$31^2))*EXP(-(((Inputs!$C$6)-Inputs!$C$30)^2)/(2*Inputs!$C$32^2))+-Inputs!$C$33*EXP(-(((((Scenario_Data!V176)-Inputs!$C$34)^2)+(((Inputs!$C$6)-Inputs!$C$35)^2))/(2*Inputs!$C$36^2)))+Inputs!$C$37*(0.55*SIN(2*PI()*(Scenario_Data!V176)/Inputs!$C$39)+0.35*COS(2*PI()*(Inputs!$C$6)/Inputs!$C$40)+0.2*SIN(2*PI()*((Scenario_Data!V176)+(Inputs!$C$6))/(0.5*(Inputs!$C$39+Inputs!$C$40))))+Inputs!$C$38*SIN(2*PI()*(Scenario_Data!V176)/Inputs!$C$39)*SIN(2*PI()*(Inputs!$C$6)/Inputs!$C$40)+-Inputs!$C$41*EXP(-(((Inputs!$C$6)-Inputs!$C$43)^2)/(2*Inputs!$C$44^2))*EXP(-(((Scenario_Data!V176)-Inputs!$C$42)^2)/(2*Inputs!$C$45^2))+Inputs!$C$48*(0.7*(0.45*SIN(2*PI()*(((Scenario_Data!V176)/Inputs!$C$49)+Inputs!$C$47*0.137))+0.35*COS(2*PI()*(((Inputs!$C$6)/Inputs!$C$50)+Inputs!$C$47*0.173))+0.2*SIN(2*PI()*((((Scenario_Data!V176)+(Inputs!$C$6))/(0.5*(Inputs!$C$49+Inputs!$C$50)))+Inputs!$C$47*0.097)))+0.3*(2*((SIN(((Scenario_Data!V176)*12.9898+(Inputs!$C$6)*78.233+Inputs!$C$47*37.719))*43758.5453)-INT((SIN(((Scenario_Data!V176)*12.9898+(Inputs!$C$6)*78.233+Inputs!$C$47*37.719))*43758.5453)))-1))))/1000))^2-2*(Inputs!$C$52+(Scenario_Data!D176))*(Inputs!$C$52+((IF(OR(Inputs!$C$27=TRUE,Inputs!$C$27="TRUE",Inputs!$C$27=1),1,0)*(Inputs!$C$51*(115*EXP(-(((Inputs!$C$6)-25)^2)/(4.5^2))+70*EXP(-(((Inputs!$C$6)+38)^2)/(7^2))*(0.55+0.45*SIN(2*PI()*(Scenario_Data!V176)/45))+24*SIN(2*PI()*(Inputs!$C$6)/9+(Scenario_Data!V176)/18)*EXP(-(((Inputs!$C$6)+5)^2)/(22^2))+18*SIN(2*PI()*(Scenario_Data!V176)/70))+Inputs!$C$28*EXP(-(((Scenario_Data!V176)-Inputs!$C$29)^2)/(2*Inputs!$C$31^2))*EXP(-(((Inputs!$C$6)-Inputs!$C$30)^2)/(2*Inputs!$C$32^2))+-Inputs!$C$33*EXP(-(((((Scenario_Data!V176)-Inputs!$C$34)^2)+(((Inputs!$C$6)-Inputs!$C$35)^2))/(2*Inputs!$C$36^2)))+Inputs!$C$37*(0.55*SIN(2*PI()*(Scenario_Data!V176)/Inputs!$C$39)+0.35*COS(2*PI()*(Inputs!$C$6)/Inputs!$C$40)+0.2*SIN(2*PI()*((Scenario_Data!V176)+(Inputs!$C$6))/(0.5*(Inputs!$C$39+Inputs!$C$40))))+Inputs!$C$38*SIN(2*PI()*(Scenario_Data!V176)/Inputs!$C$39)*SIN(2*PI()*(Inputs!$C$6)/Inputs!$C$40)+-Inputs!$C$41*EXP(-(((Inputs!$C$6)-Inputs!$C$43)^2)/(2*Inputs!$C$44^2))*EXP(-(((Scenario_Data!V176)-Inputs!$C$42)^2)/(2*Inputs!$C$45^2))+Inputs!$C$48*(0.7*(0.45*SIN(2*PI()*(((Scenario_Data!V176)/Inputs!$C$49)+Inputs!$C$47*0.137))+0.35*COS(2*PI()*(((Inputs!$C$6)/Inputs!$C$50)+Inputs!$C$47*0.173))+0.2*SIN(2*PI()*((((Scenario_Data!V176)+(Inputs!$C$6))/(0.5*(Inputs!$C$49+Inputs!$C$50)))+Inputs!$C$47*0.097)))+0.3*(2*((SIN(((Scenario_Data!V176)*12.9898+(Inputs!$C$6)*78.233+Inputs!$C$47*37.719))*43758.5453)-INT((SIN(((Scenario_Data!V176)*12.9898+(Inputs!$C$6)*78.233+Inputs!$C$47*37.719))*43758.5453)))-1))))/1000))*COS(SQRT((Scenario_Data!V176)^2+Inputs!$C$6^2)/Inputs!$C$52))*1000)/Inputs!$C$21*1000000</f>
        <v/>
      </c>
      <c r="AV176">
        <f>Scenario_Data!W176</f>
        <v/>
      </c>
      <c r="AW176">
        <f>2*(SQRT((Inputs!$C$52+(Scenario_Data!E176))^2+(Inputs!$C$52+((IF(OR(Inputs!$C$27=TRUE,Inputs!$C$27="TRUE",Inputs!$C$27=1),1,0)*(Inputs!$C$51*(115*EXP(-(((Inputs!$C$6)-25)^2)/(4.5^2))+70*EXP(-(((Inputs!$C$6)+38)^2)/(7^2))*(0.55+0.45*SIN(2*PI()*(Scenario_Data!W176)/45))+24*SIN(2*PI()*(Inputs!$C$6)/9+(Scenario_Data!W176)/18)*EXP(-(((Inputs!$C$6)+5)^2)/(22^2))+18*SIN(2*PI()*(Scenario_Data!W176)/70))+Inputs!$C$28*EXP(-(((Scenario_Data!W176)-Inputs!$C$29)^2)/(2*Inputs!$C$31^2))*EXP(-(((Inputs!$C$6)-Inputs!$C$30)^2)/(2*Inputs!$C$32^2))+-Inputs!$C$33*EXP(-(((((Scenario_Data!W176)-Inputs!$C$34)^2)+(((Inputs!$C$6)-Inputs!$C$35)^2))/(2*Inputs!$C$36^2)))+Inputs!$C$37*(0.55*SIN(2*PI()*(Scenario_Data!W176)/Inputs!$C$39)+0.35*COS(2*PI()*(Inputs!$C$6)/Inputs!$C$40)+0.2*SIN(2*PI()*((Scenario_Data!W176)+(Inputs!$C$6))/(0.5*(Inputs!$C$39+Inputs!$C$40))))+Inputs!$C$38*SIN(2*PI()*(Scenario_Data!W176)/Inputs!$C$39)*SIN(2*PI()*(Inputs!$C$6)/Inputs!$C$40)+-Inputs!$C$41*EXP(-(((Inputs!$C$6)-Inputs!$C$43)^2)/(2*Inputs!$C$44^2))*EXP(-(((Scenario_Data!W176)-Inputs!$C$42)^2)/(2*Inputs!$C$45^2))+Inputs!$C$48*(0.7*(0.45*SIN(2*PI()*(((Scenario_Data!W176)/Inputs!$C$49)+Inputs!$C$47*0.137))+0.35*COS(2*PI()*(((Inputs!$C$6)/Inputs!$C$50)+Inputs!$C$47*0.173))+0.2*SIN(2*PI()*((((Scenario_Data!W176)+(Inputs!$C$6))/(0.5*(Inputs!$C$49+Inputs!$C$50)))+Inputs!$C$47*0.097)))+0.3*(2*((SIN(((Scenario_Data!W176)*12.9898+(Inputs!$C$6)*78.233+Inputs!$C$47*37.719))*43758.5453)-INT((SIN(((Scenario_Data!W176)*12.9898+(Inputs!$C$6)*78.233+Inputs!$C$47*37.719))*43758.5453)))-1))))/1000))^2-2*(Inputs!$C$52+(Scenario_Data!E176))*(Inputs!$C$52+((IF(OR(Inputs!$C$27=TRUE,Inputs!$C$27="TRUE",Inputs!$C$27=1),1,0)*(Inputs!$C$51*(115*EXP(-(((Inputs!$C$6)-25)^2)/(4.5^2))+70*EXP(-(((Inputs!$C$6)+38)^2)/(7^2))*(0.55+0.45*SIN(2*PI()*(Scenario_Data!W176)/45))+24*SIN(2*PI()*(Inputs!$C$6)/9+(Scenario_Data!W176)/18)*EXP(-(((Inputs!$C$6)+5)^2)/(22^2))+18*SIN(2*PI()*(Scenario_Data!W176)/70))+Inputs!$C$28*EXP(-(((Scenario_Data!W176)-Inputs!$C$29)^2)/(2*Inputs!$C$31^2))*EXP(-(((Inputs!$C$6)-Inputs!$C$30)^2)/(2*Inputs!$C$32^2))+-Inputs!$C$33*EXP(-(((((Scenario_Data!W176)-Inputs!$C$34)^2)+(((Inputs!$C$6)-Inputs!$C$35)^2))/(2*Inputs!$C$36^2)))+Inputs!$C$37*(0.55*SIN(2*PI()*(Scenario_Data!W176)/Inputs!$C$39)+0.35*COS(2*PI()*(Inputs!$C$6)/Inputs!$C$40)+0.2*SIN(2*PI()*((Scenario_Data!W176)+(Inputs!$C$6))/(0.5*(Inputs!$C$39+Inputs!$C$40))))+Inputs!$C$38*SIN(2*PI()*(Scenario_Data!W176)/Inputs!$C$39)*SIN(2*PI()*(Inputs!$C$6)/Inputs!$C$40)+-Inputs!$C$41*EXP(-(((Inputs!$C$6)-Inputs!$C$43)^2)/(2*Inputs!$C$44^2))*EXP(-(((Scenario_Data!W176)-Inputs!$C$42)^2)/(2*Inputs!$C$45^2))+Inputs!$C$48*(0.7*(0.45*SIN(2*PI()*(((Scenario_Data!W176)/Inputs!$C$49)+Inputs!$C$47*0.137))+0.35*COS(2*PI()*(((Inputs!$C$6)/Inputs!$C$50)+Inputs!$C$47*0.173))+0.2*SIN(2*PI()*((((Scenario_Data!W176)+(Inputs!$C$6))/(0.5*(Inputs!$C$49+Inputs!$C$50)))+Inputs!$C$47*0.097)))+0.3*(2*((SIN(((Scenario_Data!W176)*12.9898+(Inputs!$C$6)*78.233+Inputs!$C$47*37.719))*43758.5453)-INT((SIN(((Scenario_Data!W176)*12.9898+(Inputs!$C$6)*78.233+Inputs!$C$47*37.719))*43758.5453)))-1))))/1000))*COS(SQRT((Scenario_Data!W176)^2+Inputs!$C$6^2)/Inputs!$C$52))*1000)/Inputs!$C$21*1000000</f>
        <v/>
      </c>
    </row>
    <row r="177">
      <c r="A177">
        <f>Chart_Data!K177</f>
        <v/>
      </c>
      <c r="B177">
        <f>Chart_Data!N177-Chart_Data!L177</f>
        <v/>
      </c>
      <c r="D177">
        <f>Chart_Data!G177</f>
        <v/>
      </c>
      <c r="E177">
        <f>Chart_Data!H177</f>
        <v/>
      </c>
      <c r="F177">
        <f>Chart_Data!I177</f>
        <v/>
      </c>
      <c r="G177">
        <f>Chart_Data!J177</f>
        <v/>
      </c>
      <c r="I177">
        <f>Scenario_Data!A177</f>
        <v/>
      </c>
      <c r="J177">
        <f>Scenario_Data!H177-(((SQRT((Inputs!$C$52+(Inputs!$H$6))^2+Inputs!$C$52^2-2*(Inputs!$C$52+(Inputs!$H$6))*Inputs!$C$52*COS(SQRT((Scenario_Data!T177)^2+Inputs!$C$6^2)/Inputs!$C$52)))-(Inputs!$H$6))*1000/Inputs!$C$12)</f>
        <v/>
      </c>
      <c r="K177">
        <f>Scenario_Data!I177-(((SQRT((Inputs!$C$52+(Inputs!$H$7))^2+Inputs!$C$52^2-2*(Inputs!$C$52+(Inputs!$H$7))*Inputs!$C$52*COS(SQRT((Scenario_Data!U177)^2+Inputs!$C$6^2)/Inputs!$C$52)))-(Inputs!$H$7))*1000/Inputs!$C$12)</f>
        <v/>
      </c>
      <c r="L177">
        <f>Scenario_Data!J177-(((SQRT((Inputs!$C$52+(Inputs!$H$8))^2+Inputs!$C$52^2-2*(Inputs!$C$52+(Inputs!$H$8))*Inputs!$C$52*COS(SQRT((Scenario_Data!V177)^2+Inputs!$C$6^2)/Inputs!$C$52)))-(Inputs!$H$8))*1000/Inputs!$C$12)</f>
        <v/>
      </c>
      <c r="M177">
        <f>Scenario_Data!K177-(((SQRT((Inputs!$C$52+(Inputs!$H$9))^2+Inputs!$C$52^2-2*(Inputs!$C$52+(Inputs!$H$9))*Inputs!$C$52*COS(SQRT((Scenario_Data!W177)^2+Inputs!$C$6^2)/Inputs!$C$52)))-(Inputs!$H$9))*1000/Inputs!$C$12)</f>
        <v/>
      </c>
      <c r="O177">
        <f>Scenario_Data!T177</f>
        <v/>
      </c>
      <c r="P177">
        <f>2*(Scenario_Data!B177*1000)/Inputs!$C$21*1000000</f>
        <v/>
      </c>
      <c r="Q177">
        <f>Scenario_Data!U177</f>
        <v/>
      </c>
      <c r="R177">
        <f>2*(Scenario_Data!C177*1000)/Inputs!$C$21*1000000</f>
        <v/>
      </c>
      <c r="S177">
        <f>Scenario_Data!V177</f>
        <v/>
      </c>
      <c r="T177">
        <f>2*(Scenario_Data!D177*1000)/Inputs!$C$21*1000000</f>
        <v/>
      </c>
      <c r="U177">
        <f>Scenario_Data!W177</f>
        <v/>
      </c>
      <c r="V177">
        <f>2*(Scenario_Data!E177*1000)/Inputs!$C$21*1000000</f>
        <v/>
      </c>
      <c r="X177">
        <f>Scenario_Data!T177</f>
        <v/>
      </c>
      <c r="Y177">
        <f>2*((Scenario_Data!B177*1000)-(IF(OR(Inputs!$C$27=TRUE,Inputs!$C$27="TRUE",Inputs!$C$27=1),1,0)*(Inputs!$C$51*(115*EXP(-(((0)-25)^2)/(4.5^2))+70*EXP(-(((0)+38)^2)/(7^2))*(0.55+0.45*SIN(2*PI()*(Scenario_Data!T177)/45))+24*SIN(2*PI()*(0)/9+(Scenario_Data!T177)/18)*EXP(-(((0)+5)^2)/(22^2))+18*SIN(2*PI()*(Scenario_Data!T177)/70))+Inputs!$C$28*EXP(-(((Scenario_Data!T177)-Inputs!$C$29)^2)/(2*Inputs!$C$31^2))*EXP(-(((0)-Inputs!$C$30)^2)/(2*Inputs!$C$32^2))+-Inputs!$C$33*EXP(-(((((Scenario_Data!T177)-Inputs!$C$34)^2)+(((0)-Inputs!$C$35)^2))/(2*Inputs!$C$36^2)))+Inputs!$C$37*(0.55*SIN(2*PI()*(Scenario_Data!T177)/Inputs!$C$39)+0.35*COS(2*PI()*(0)/Inputs!$C$40)+0.2*SIN(2*PI()*((Scenario_Data!T177)+(0))/(0.5*(Inputs!$C$39+Inputs!$C$40))))+Inputs!$C$38*SIN(2*PI()*(Scenario_Data!T177)/Inputs!$C$39)*SIN(2*PI()*(0)/Inputs!$C$40)+-Inputs!$C$41*EXP(-(((0)-Inputs!$C$43)^2)/(2*Inputs!$C$44^2))*EXP(-(((Scenario_Data!T177)-Inputs!$C$42)^2)/(2*Inputs!$C$45^2))+Inputs!$C$48*(0.7*(0.45*SIN(2*PI()*(((Scenario_Data!T177)/Inputs!$C$49)+Inputs!$C$47*0.137))+0.35*COS(2*PI()*(((0)/Inputs!$C$50)+Inputs!$C$47*0.173))+0.2*SIN(2*PI()*((((Scenario_Data!T177)+(0))/(0.5*(Inputs!$C$49+Inputs!$C$50)))+Inputs!$C$47*0.097)))+0.3*(2*((SIN(((Scenario_Data!T177)*12.9898+(0)*78.233+Inputs!$C$47*37.719))*43758.5453)-INT((SIN(((Scenario_Data!T177)*12.9898+(0)*78.233+Inputs!$C$47*37.719))*43758.5453)))-1)))))/Inputs!$C$21*1000000</f>
        <v/>
      </c>
      <c r="Z177">
        <f>Scenario_Data!U177</f>
        <v/>
      </c>
      <c r="AA177">
        <f>2*((Scenario_Data!C177*1000)-(IF(OR(Inputs!$C$27=TRUE,Inputs!$C$27="TRUE",Inputs!$C$27=1),1,0)*(Inputs!$C$51*(115*EXP(-(((0)-25)^2)/(4.5^2))+70*EXP(-(((0)+38)^2)/(7^2))*(0.55+0.45*SIN(2*PI()*(Scenario_Data!U177)/45))+24*SIN(2*PI()*(0)/9+(Scenario_Data!U177)/18)*EXP(-(((0)+5)^2)/(22^2))+18*SIN(2*PI()*(Scenario_Data!U177)/70))+Inputs!$C$28*EXP(-(((Scenario_Data!U177)-Inputs!$C$29)^2)/(2*Inputs!$C$31^2))*EXP(-(((0)-Inputs!$C$30)^2)/(2*Inputs!$C$32^2))+-Inputs!$C$33*EXP(-(((((Scenario_Data!U177)-Inputs!$C$34)^2)+(((0)-Inputs!$C$35)^2))/(2*Inputs!$C$36^2)))+Inputs!$C$37*(0.55*SIN(2*PI()*(Scenario_Data!U177)/Inputs!$C$39)+0.35*COS(2*PI()*(0)/Inputs!$C$40)+0.2*SIN(2*PI()*((Scenario_Data!U177)+(0))/(0.5*(Inputs!$C$39+Inputs!$C$40))))+Inputs!$C$38*SIN(2*PI()*(Scenario_Data!U177)/Inputs!$C$39)*SIN(2*PI()*(0)/Inputs!$C$40)+-Inputs!$C$41*EXP(-(((0)-Inputs!$C$43)^2)/(2*Inputs!$C$44^2))*EXP(-(((Scenario_Data!U177)-Inputs!$C$42)^2)/(2*Inputs!$C$45^2))+Inputs!$C$48*(0.7*(0.45*SIN(2*PI()*(((Scenario_Data!U177)/Inputs!$C$49)+Inputs!$C$47*0.137))+0.35*COS(2*PI()*(((0)/Inputs!$C$50)+Inputs!$C$47*0.173))+0.2*SIN(2*PI()*((((Scenario_Data!U177)+(0))/(0.5*(Inputs!$C$49+Inputs!$C$50)))+Inputs!$C$47*0.097)))+0.3*(2*((SIN(((Scenario_Data!U177)*12.9898+(0)*78.233+Inputs!$C$47*37.719))*43758.5453)-INT((SIN(((Scenario_Data!U177)*12.9898+(0)*78.233+Inputs!$C$47*37.719))*43758.5453)))-1)))))/Inputs!$C$21*1000000</f>
        <v/>
      </c>
      <c r="AB177">
        <f>Scenario_Data!V177</f>
        <v/>
      </c>
      <c r="AC177">
        <f>2*((Scenario_Data!D177*1000)-(IF(OR(Inputs!$C$27=TRUE,Inputs!$C$27="TRUE",Inputs!$C$27=1),1,0)*(Inputs!$C$51*(115*EXP(-(((0)-25)^2)/(4.5^2))+70*EXP(-(((0)+38)^2)/(7^2))*(0.55+0.45*SIN(2*PI()*(Scenario_Data!V177)/45))+24*SIN(2*PI()*(0)/9+(Scenario_Data!V177)/18)*EXP(-(((0)+5)^2)/(22^2))+18*SIN(2*PI()*(Scenario_Data!V177)/70))+Inputs!$C$28*EXP(-(((Scenario_Data!V177)-Inputs!$C$29)^2)/(2*Inputs!$C$31^2))*EXP(-(((0)-Inputs!$C$30)^2)/(2*Inputs!$C$32^2))+-Inputs!$C$33*EXP(-(((((Scenario_Data!V177)-Inputs!$C$34)^2)+(((0)-Inputs!$C$35)^2))/(2*Inputs!$C$36^2)))+Inputs!$C$37*(0.55*SIN(2*PI()*(Scenario_Data!V177)/Inputs!$C$39)+0.35*COS(2*PI()*(0)/Inputs!$C$40)+0.2*SIN(2*PI()*((Scenario_Data!V177)+(0))/(0.5*(Inputs!$C$39+Inputs!$C$40))))+Inputs!$C$38*SIN(2*PI()*(Scenario_Data!V177)/Inputs!$C$39)*SIN(2*PI()*(0)/Inputs!$C$40)+-Inputs!$C$41*EXP(-(((0)-Inputs!$C$43)^2)/(2*Inputs!$C$44^2))*EXP(-(((Scenario_Data!V177)-Inputs!$C$42)^2)/(2*Inputs!$C$45^2))+Inputs!$C$48*(0.7*(0.45*SIN(2*PI()*(((Scenario_Data!V177)/Inputs!$C$49)+Inputs!$C$47*0.137))+0.35*COS(2*PI()*(((0)/Inputs!$C$50)+Inputs!$C$47*0.173))+0.2*SIN(2*PI()*((((Scenario_Data!V177)+(0))/(0.5*(Inputs!$C$49+Inputs!$C$50)))+Inputs!$C$47*0.097)))+0.3*(2*((SIN(((Scenario_Data!V177)*12.9898+(0)*78.233+Inputs!$C$47*37.719))*43758.5453)-INT((SIN(((Scenario_Data!V177)*12.9898+(0)*78.233+Inputs!$C$47*37.719))*43758.5453)))-1)))))/Inputs!$C$21*1000000</f>
        <v/>
      </c>
      <c r="AD177">
        <f>Scenario_Data!W177</f>
        <v/>
      </c>
      <c r="AE177">
        <f>2*((Scenario_Data!E177*1000)-(IF(OR(Inputs!$C$27=TRUE,Inputs!$C$27="TRUE",Inputs!$C$27=1),1,0)*(Inputs!$C$51*(115*EXP(-(((0)-25)^2)/(4.5^2))+70*EXP(-(((0)+38)^2)/(7^2))*(0.55+0.45*SIN(2*PI()*(Scenario_Data!W177)/45))+24*SIN(2*PI()*(0)/9+(Scenario_Data!W177)/18)*EXP(-(((0)+5)^2)/(22^2))+18*SIN(2*PI()*(Scenario_Data!W177)/70))+Inputs!$C$28*EXP(-(((Scenario_Data!W177)-Inputs!$C$29)^2)/(2*Inputs!$C$31^2))*EXP(-(((0)-Inputs!$C$30)^2)/(2*Inputs!$C$32^2))+-Inputs!$C$33*EXP(-(((((Scenario_Data!W177)-Inputs!$C$34)^2)+(((0)-Inputs!$C$35)^2))/(2*Inputs!$C$36^2)))+Inputs!$C$37*(0.55*SIN(2*PI()*(Scenario_Data!W177)/Inputs!$C$39)+0.35*COS(2*PI()*(0)/Inputs!$C$40)+0.2*SIN(2*PI()*((Scenario_Data!W177)+(0))/(0.5*(Inputs!$C$39+Inputs!$C$40))))+Inputs!$C$38*SIN(2*PI()*(Scenario_Data!W177)/Inputs!$C$39)*SIN(2*PI()*(0)/Inputs!$C$40)+-Inputs!$C$41*EXP(-(((0)-Inputs!$C$43)^2)/(2*Inputs!$C$44^2))*EXP(-(((Scenario_Data!W177)-Inputs!$C$42)^2)/(2*Inputs!$C$45^2))+Inputs!$C$48*(0.7*(0.45*SIN(2*PI()*(((Scenario_Data!W177)/Inputs!$C$49)+Inputs!$C$47*0.137))+0.35*COS(2*PI()*(((0)/Inputs!$C$50)+Inputs!$C$47*0.173))+0.2*SIN(2*PI()*((((Scenario_Data!W177)+(0))/(0.5*(Inputs!$C$49+Inputs!$C$50)))+Inputs!$C$47*0.097)))+0.3*(2*((SIN(((Scenario_Data!W177)*12.9898+(0)*78.233+Inputs!$C$47*37.719))*43758.5453)-INT((SIN(((Scenario_Data!W177)*12.9898+(0)*78.233+Inputs!$C$47*37.719))*43758.5453)))-1)))))/Inputs!$C$21*1000000</f>
        <v/>
      </c>
      <c r="AG177">
        <f>Scenario_Data!T177</f>
        <v/>
      </c>
      <c r="AH177">
        <f>2*(SQRT((Inputs!$C$52+(Scenario_Data!B177))^2+Inputs!$C$52^2-2*(Inputs!$C$52+(Scenario_Data!B177))*Inputs!$C$52*COS(SQRT((Scenario_Data!T177)^2+Inputs!$C$6^2)/Inputs!$C$52))*1000)/Inputs!$C$21*1000000</f>
        <v/>
      </c>
      <c r="AI177">
        <f>Scenario_Data!U177</f>
        <v/>
      </c>
      <c r="AJ177">
        <f>2*(SQRT((Inputs!$C$52+(Scenario_Data!C177))^2+Inputs!$C$52^2-2*(Inputs!$C$52+(Scenario_Data!C177))*Inputs!$C$52*COS(SQRT((Scenario_Data!U177)^2+Inputs!$C$6^2)/Inputs!$C$52))*1000)/Inputs!$C$21*1000000</f>
        <v/>
      </c>
      <c r="AK177">
        <f>Scenario_Data!V177</f>
        <v/>
      </c>
      <c r="AL177">
        <f>2*(SQRT((Inputs!$C$52+(Scenario_Data!D177))^2+Inputs!$C$52^2-2*(Inputs!$C$52+(Scenario_Data!D177))*Inputs!$C$52*COS(SQRT((Scenario_Data!V177)^2+Inputs!$C$6^2)/Inputs!$C$52))*1000)/Inputs!$C$21*1000000</f>
        <v/>
      </c>
      <c r="AM177">
        <f>Scenario_Data!W177</f>
        <v/>
      </c>
      <c r="AN177">
        <f>2*(SQRT((Inputs!$C$52+(Scenario_Data!E177))^2+Inputs!$C$52^2-2*(Inputs!$C$52+(Scenario_Data!E177))*Inputs!$C$52*COS(SQRT((Scenario_Data!W177)^2+Inputs!$C$6^2)/Inputs!$C$52))*1000)/Inputs!$C$21*1000000</f>
        <v/>
      </c>
      <c r="AP177">
        <f>Scenario_Data!T177</f>
        <v/>
      </c>
      <c r="AQ177">
        <f>2*(SQRT((Inputs!$C$52+(Scenario_Data!B177))^2+(Inputs!$C$52+((IF(OR(Inputs!$C$27=TRUE,Inputs!$C$27="TRUE",Inputs!$C$27=1),1,0)*(Inputs!$C$51*(115*EXP(-(((Inputs!$C$6)-25)^2)/(4.5^2))+70*EXP(-(((Inputs!$C$6)+38)^2)/(7^2))*(0.55+0.45*SIN(2*PI()*(Scenario_Data!T177)/45))+24*SIN(2*PI()*(Inputs!$C$6)/9+(Scenario_Data!T177)/18)*EXP(-(((Inputs!$C$6)+5)^2)/(22^2))+18*SIN(2*PI()*(Scenario_Data!T177)/70))+Inputs!$C$28*EXP(-(((Scenario_Data!T177)-Inputs!$C$29)^2)/(2*Inputs!$C$31^2))*EXP(-(((Inputs!$C$6)-Inputs!$C$30)^2)/(2*Inputs!$C$32^2))+-Inputs!$C$33*EXP(-(((((Scenario_Data!T177)-Inputs!$C$34)^2)+(((Inputs!$C$6)-Inputs!$C$35)^2))/(2*Inputs!$C$36^2)))+Inputs!$C$37*(0.55*SIN(2*PI()*(Scenario_Data!T177)/Inputs!$C$39)+0.35*COS(2*PI()*(Inputs!$C$6)/Inputs!$C$40)+0.2*SIN(2*PI()*((Scenario_Data!T177)+(Inputs!$C$6))/(0.5*(Inputs!$C$39+Inputs!$C$40))))+Inputs!$C$38*SIN(2*PI()*(Scenario_Data!T177)/Inputs!$C$39)*SIN(2*PI()*(Inputs!$C$6)/Inputs!$C$40)+-Inputs!$C$41*EXP(-(((Inputs!$C$6)-Inputs!$C$43)^2)/(2*Inputs!$C$44^2))*EXP(-(((Scenario_Data!T177)-Inputs!$C$42)^2)/(2*Inputs!$C$45^2))+Inputs!$C$48*(0.7*(0.45*SIN(2*PI()*(((Scenario_Data!T177)/Inputs!$C$49)+Inputs!$C$47*0.137))+0.35*COS(2*PI()*(((Inputs!$C$6)/Inputs!$C$50)+Inputs!$C$47*0.173))+0.2*SIN(2*PI()*((((Scenario_Data!T177)+(Inputs!$C$6))/(0.5*(Inputs!$C$49+Inputs!$C$50)))+Inputs!$C$47*0.097)))+0.3*(2*((SIN(((Scenario_Data!T177)*12.9898+(Inputs!$C$6)*78.233+Inputs!$C$47*37.719))*43758.5453)-INT((SIN(((Scenario_Data!T177)*12.9898+(Inputs!$C$6)*78.233+Inputs!$C$47*37.719))*43758.5453)))-1))))/1000))^2-2*(Inputs!$C$52+(Scenario_Data!B177))*(Inputs!$C$52+((IF(OR(Inputs!$C$27=TRUE,Inputs!$C$27="TRUE",Inputs!$C$27=1),1,0)*(Inputs!$C$51*(115*EXP(-(((Inputs!$C$6)-25)^2)/(4.5^2))+70*EXP(-(((Inputs!$C$6)+38)^2)/(7^2))*(0.55+0.45*SIN(2*PI()*(Scenario_Data!T177)/45))+24*SIN(2*PI()*(Inputs!$C$6)/9+(Scenario_Data!T177)/18)*EXP(-(((Inputs!$C$6)+5)^2)/(22^2))+18*SIN(2*PI()*(Scenario_Data!T177)/70))+Inputs!$C$28*EXP(-(((Scenario_Data!T177)-Inputs!$C$29)^2)/(2*Inputs!$C$31^2))*EXP(-(((Inputs!$C$6)-Inputs!$C$30)^2)/(2*Inputs!$C$32^2))+-Inputs!$C$33*EXP(-(((((Scenario_Data!T177)-Inputs!$C$34)^2)+(((Inputs!$C$6)-Inputs!$C$35)^2))/(2*Inputs!$C$36^2)))+Inputs!$C$37*(0.55*SIN(2*PI()*(Scenario_Data!T177)/Inputs!$C$39)+0.35*COS(2*PI()*(Inputs!$C$6)/Inputs!$C$40)+0.2*SIN(2*PI()*((Scenario_Data!T177)+(Inputs!$C$6))/(0.5*(Inputs!$C$39+Inputs!$C$40))))+Inputs!$C$38*SIN(2*PI()*(Scenario_Data!T177)/Inputs!$C$39)*SIN(2*PI()*(Inputs!$C$6)/Inputs!$C$40)+-Inputs!$C$41*EXP(-(((Inputs!$C$6)-Inputs!$C$43)^2)/(2*Inputs!$C$44^2))*EXP(-(((Scenario_Data!T177)-Inputs!$C$42)^2)/(2*Inputs!$C$45^2))+Inputs!$C$48*(0.7*(0.45*SIN(2*PI()*(((Scenario_Data!T177)/Inputs!$C$49)+Inputs!$C$47*0.137))+0.35*COS(2*PI()*(((Inputs!$C$6)/Inputs!$C$50)+Inputs!$C$47*0.173))+0.2*SIN(2*PI()*((((Scenario_Data!T177)+(Inputs!$C$6))/(0.5*(Inputs!$C$49+Inputs!$C$50)))+Inputs!$C$47*0.097)))+0.3*(2*((SIN(((Scenario_Data!T177)*12.9898+(Inputs!$C$6)*78.233+Inputs!$C$47*37.719))*43758.5453)-INT((SIN(((Scenario_Data!T177)*12.9898+(Inputs!$C$6)*78.233+Inputs!$C$47*37.719))*43758.5453)))-1))))/1000))*COS(SQRT((Scenario_Data!T177)^2+Inputs!$C$6^2)/Inputs!$C$52))*1000)/Inputs!$C$21*1000000</f>
        <v/>
      </c>
      <c r="AR177">
        <f>Scenario_Data!U177</f>
        <v/>
      </c>
      <c r="AS177">
        <f>2*(SQRT((Inputs!$C$52+(Scenario_Data!C177))^2+(Inputs!$C$52+((IF(OR(Inputs!$C$27=TRUE,Inputs!$C$27="TRUE",Inputs!$C$27=1),1,0)*(Inputs!$C$51*(115*EXP(-(((Inputs!$C$6)-25)^2)/(4.5^2))+70*EXP(-(((Inputs!$C$6)+38)^2)/(7^2))*(0.55+0.45*SIN(2*PI()*(Scenario_Data!U177)/45))+24*SIN(2*PI()*(Inputs!$C$6)/9+(Scenario_Data!U177)/18)*EXP(-(((Inputs!$C$6)+5)^2)/(22^2))+18*SIN(2*PI()*(Scenario_Data!U177)/70))+Inputs!$C$28*EXP(-(((Scenario_Data!U177)-Inputs!$C$29)^2)/(2*Inputs!$C$31^2))*EXP(-(((Inputs!$C$6)-Inputs!$C$30)^2)/(2*Inputs!$C$32^2))+-Inputs!$C$33*EXP(-(((((Scenario_Data!U177)-Inputs!$C$34)^2)+(((Inputs!$C$6)-Inputs!$C$35)^2))/(2*Inputs!$C$36^2)))+Inputs!$C$37*(0.55*SIN(2*PI()*(Scenario_Data!U177)/Inputs!$C$39)+0.35*COS(2*PI()*(Inputs!$C$6)/Inputs!$C$40)+0.2*SIN(2*PI()*((Scenario_Data!U177)+(Inputs!$C$6))/(0.5*(Inputs!$C$39+Inputs!$C$40))))+Inputs!$C$38*SIN(2*PI()*(Scenario_Data!U177)/Inputs!$C$39)*SIN(2*PI()*(Inputs!$C$6)/Inputs!$C$40)+-Inputs!$C$41*EXP(-(((Inputs!$C$6)-Inputs!$C$43)^2)/(2*Inputs!$C$44^2))*EXP(-(((Scenario_Data!U177)-Inputs!$C$42)^2)/(2*Inputs!$C$45^2))+Inputs!$C$48*(0.7*(0.45*SIN(2*PI()*(((Scenario_Data!U177)/Inputs!$C$49)+Inputs!$C$47*0.137))+0.35*COS(2*PI()*(((Inputs!$C$6)/Inputs!$C$50)+Inputs!$C$47*0.173))+0.2*SIN(2*PI()*((((Scenario_Data!U177)+(Inputs!$C$6))/(0.5*(Inputs!$C$49+Inputs!$C$50)))+Inputs!$C$47*0.097)))+0.3*(2*((SIN(((Scenario_Data!U177)*12.9898+(Inputs!$C$6)*78.233+Inputs!$C$47*37.719))*43758.5453)-INT((SIN(((Scenario_Data!U177)*12.9898+(Inputs!$C$6)*78.233+Inputs!$C$47*37.719))*43758.5453)))-1))))/1000))^2-2*(Inputs!$C$52+(Scenario_Data!C177))*(Inputs!$C$52+((IF(OR(Inputs!$C$27=TRUE,Inputs!$C$27="TRUE",Inputs!$C$27=1),1,0)*(Inputs!$C$51*(115*EXP(-(((Inputs!$C$6)-25)^2)/(4.5^2))+70*EXP(-(((Inputs!$C$6)+38)^2)/(7^2))*(0.55+0.45*SIN(2*PI()*(Scenario_Data!U177)/45))+24*SIN(2*PI()*(Inputs!$C$6)/9+(Scenario_Data!U177)/18)*EXP(-(((Inputs!$C$6)+5)^2)/(22^2))+18*SIN(2*PI()*(Scenario_Data!U177)/70))+Inputs!$C$28*EXP(-(((Scenario_Data!U177)-Inputs!$C$29)^2)/(2*Inputs!$C$31^2))*EXP(-(((Inputs!$C$6)-Inputs!$C$30)^2)/(2*Inputs!$C$32^2))+-Inputs!$C$33*EXP(-(((((Scenario_Data!U177)-Inputs!$C$34)^2)+(((Inputs!$C$6)-Inputs!$C$35)^2))/(2*Inputs!$C$36^2)))+Inputs!$C$37*(0.55*SIN(2*PI()*(Scenario_Data!U177)/Inputs!$C$39)+0.35*COS(2*PI()*(Inputs!$C$6)/Inputs!$C$40)+0.2*SIN(2*PI()*((Scenario_Data!U177)+(Inputs!$C$6))/(0.5*(Inputs!$C$39+Inputs!$C$40))))+Inputs!$C$38*SIN(2*PI()*(Scenario_Data!U177)/Inputs!$C$39)*SIN(2*PI()*(Inputs!$C$6)/Inputs!$C$40)+-Inputs!$C$41*EXP(-(((Inputs!$C$6)-Inputs!$C$43)^2)/(2*Inputs!$C$44^2))*EXP(-(((Scenario_Data!U177)-Inputs!$C$42)^2)/(2*Inputs!$C$45^2))+Inputs!$C$48*(0.7*(0.45*SIN(2*PI()*(((Scenario_Data!U177)/Inputs!$C$49)+Inputs!$C$47*0.137))+0.35*COS(2*PI()*(((Inputs!$C$6)/Inputs!$C$50)+Inputs!$C$47*0.173))+0.2*SIN(2*PI()*((((Scenario_Data!U177)+(Inputs!$C$6))/(0.5*(Inputs!$C$49+Inputs!$C$50)))+Inputs!$C$47*0.097)))+0.3*(2*((SIN(((Scenario_Data!U177)*12.9898+(Inputs!$C$6)*78.233+Inputs!$C$47*37.719))*43758.5453)-INT((SIN(((Scenario_Data!U177)*12.9898+(Inputs!$C$6)*78.233+Inputs!$C$47*37.719))*43758.5453)))-1))))/1000))*COS(SQRT((Scenario_Data!U177)^2+Inputs!$C$6^2)/Inputs!$C$52))*1000)/Inputs!$C$21*1000000</f>
        <v/>
      </c>
      <c r="AT177">
        <f>Scenario_Data!V177</f>
        <v/>
      </c>
      <c r="AU177">
        <f>2*(SQRT((Inputs!$C$52+(Scenario_Data!D177))^2+(Inputs!$C$52+((IF(OR(Inputs!$C$27=TRUE,Inputs!$C$27="TRUE",Inputs!$C$27=1),1,0)*(Inputs!$C$51*(115*EXP(-(((Inputs!$C$6)-25)^2)/(4.5^2))+70*EXP(-(((Inputs!$C$6)+38)^2)/(7^2))*(0.55+0.45*SIN(2*PI()*(Scenario_Data!V177)/45))+24*SIN(2*PI()*(Inputs!$C$6)/9+(Scenario_Data!V177)/18)*EXP(-(((Inputs!$C$6)+5)^2)/(22^2))+18*SIN(2*PI()*(Scenario_Data!V177)/70))+Inputs!$C$28*EXP(-(((Scenario_Data!V177)-Inputs!$C$29)^2)/(2*Inputs!$C$31^2))*EXP(-(((Inputs!$C$6)-Inputs!$C$30)^2)/(2*Inputs!$C$32^2))+-Inputs!$C$33*EXP(-(((((Scenario_Data!V177)-Inputs!$C$34)^2)+(((Inputs!$C$6)-Inputs!$C$35)^2))/(2*Inputs!$C$36^2)))+Inputs!$C$37*(0.55*SIN(2*PI()*(Scenario_Data!V177)/Inputs!$C$39)+0.35*COS(2*PI()*(Inputs!$C$6)/Inputs!$C$40)+0.2*SIN(2*PI()*((Scenario_Data!V177)+(Inputs!$C$6))/(0.5*(Inputs!$C$39+Inputs!$C$40))))+Inputs!$C$38*SIN(2*PI()*(Scenario_Data!V177)/Inputs!$C$39)*SIN(2*PI()*(Inputs!$C$6)/Inputs!$C$40)+-Inputs!$C$41*EXP(-(((Inputs!$C$6)-Inputs!$C$43)^2)/(2*Inputs!$C$44^2))*EXP(-(((Scenario_Data!V177)-Inputs!$C$42)^2)/(2*Inputs!$C$45^2))+Inputs!$C$48*(0.7*(0.45*SIN(2*PI()*(((Scenario_Data!V177)/Inputs!$C$49)+Inputs!$C$47*0.137))+0.35*COS(2*PI()*(((Inputs!$C$6)/Inputs!$C$50)+Inputs!$C$47*0.173))+0.2*SIN(2*PI()*((((Scenario_Data!V177)+(Inputs!$C$6))/(0.5*(Inputs!$C$49+Inputs!$C$50)))+Inputs!$C$47*0.097)))+0.3*(2*((SIN(((Scenario_Data!V177)*12.9898+(Inputs!$C$6)*78.233+Inputs!$C$47*37.719))*43758.5453)-INT((SIN(((Scenario_Data!V177)*12.9898+(Inputs!$C$6)*78.233+Inputs!$C$47*37.719))*43758.5453)))-1))))/1000))^2-2*(Inputs!$C$52+(Scenario_Data!D177))*(Inputs!$C$52+((IF(OR(Inputs!$C$27=TRUE,Inputs!$C$27="TRUE",Inputs!$C$27=1),1,0)*(Inputs!$C$51*(115*EXP(-(((Inputs!$C$6)-25)^2)/(4.5^2))+70*EXP(-(((Inputs!$C$6)+38)^2)/(7^2))*(0.55+0.45*SIN(2*PI()*(Scenario_Data!V177)/45))+24*SIN(2*PI()*(Inputs!$C$6)/9+(Scenario_Data!V177)/18)*EXP(-(((Inputs!$C$6)+5)^2)/(22^2))+18*SIN(2*PI()*(Scenario_Data!V177)/70))+Inputs!$C$28*EXP(-(((Scenario_Data!V177)-Inputs!$C$29)^2)/(2*Inputs!$C$31^2))*EXP(-(((Inputs!$C$6)-Inputs!$C$30)^2)/(2*Inputs!$C$32^2))+-Inputs!$C$33*EXP(-(((((Scenario_Data!V177)-Inputs!$C$34)^2)+(((Inputs!$C$6)-Inputs!$C$35)^2))/(2*Inputs!$C$36^2)))+Inputs!$C$37*(0.55*SIN(2*PI()*(Scenario_Data!V177)/Inputs!$C$39)+0.35*COS(2*PI()*(Inputs!$C$6)/Inputs!$C$40)+0.2*SIN(2*PI()*((Scenario_Data!V177)+(Inputs!$C$6))/(0.5*(Inputs!$C$39+Inputs!$C$40))))+Inputs!$C$38*SIN(2*PI()*(Scenario_Data!V177)/Inputs!$C$39)*SIN(2*PI()*(Inputs!$C$6)/Inputs!$C$40)+-Inputs!$C$41*EXP(-(((Inputs!$C$6)-Inputs!$C$43)^2)/(2*Inputs!$C$44^2))*EXP(-(((Scenario_Data!V177)-Inputs!$C$42)^2)/(2*Inputs!$C$45^2))+Inputs!$C$48*(0.7*(0.45*SIN(2*PI()*(((Scenario_Data!V177)/Inputs!$C$49)+Inputs!$C$47*0.137))+0.35*COS(2*PI()*(((Inputs!$C$6)/Inputs!$C$50)+Inputs!$C$47*0.173))+0.2*SIN(2*PI()*((((Scenario_Data!V177)+(Inputs!$C$6))/(0.5*(Inputs!$C$49+Inputs!$C$50)))+Inputs!$C$47*0.097)))+0.3*(2*((SIN(((Scenario_Data!V177)*12.9898+(Inputs!$C$6)*78.233+Inputs!$C$47*37.719))*43758.5453)-INT((SIN(((Scenario_Data!V177)*12.9898+(Inputs!$C$6)*78.233+Inputs!$C$47*37.719))*43758.5453)))-1))))/1000))*COS(SQRT((Scenario_Data!V177)^2+Inputs!$C$6^2)/Inputs!$C$52))*1000)/Inputs!$C$21*1000000</f>
        <v/>
      </c>
      <c r="AV177">
        <f>Scenario_Data!W177</f>
        <v/>
      </c>
      <c r="AW177">
        <f>2*(SQRT((Inputs!$C$52+(Scenario_Data!E177))^2+(Inputs!$C$52+((IF(OR(Inputs!$C$27=TRUE,Inputs!$C$27="TRUE",Inputs!$C$27=1),1,0)*(Inputs!$C$51*(115*EXP(-(((Inputs!$C$6)-25)^2)/(4.5^2))+70*EXP(-(((Inputs!$C$6)+38)^2)/(7^2))*(0.55+0.45*SIN(2*PI()*(Scenario_Data!W177)/45))+24*SIN(2*PI()*(Inputs!$C$6)/9+(Scenario_Data!W177)/18)*EXP(-(((Inputs!$C$6)+5)^2)/(22^2))+18*SIN(2*PI()*(Scenario_Data!W177)/70))+Inputs!$C$28*EXP(-(((Scenario_Data!W177)-Inputs!$C$29)^2)/(2*Inputs!$C$31^2))*EXP(-(((Inputs!$C$6)-Inputs!$C$30)^2)/(2*Inputs!$C$32^2))+-Inputs!$C$33*EXP(-(((((Scenario_Data!W177)-Inputs!$C$34)^2)+(((Inputs!$C$6)-Inputs!$C$35)^2))/(2*Inputs!$C$36^2)))+Inputs!$C$37*(0.55*SIN(2*PI()*(Scenario_Data!W177)/Inputs!$C$39)+0.35*COS(2*PI()*(Inputs!$C$6)/Inputs!$C$40)+0.2*SIN(2*PI()*((Scenario_Data!W177)+(Inputs!$C$6))/(0.5*(Inputs!$C$39+Inputs!$C$40))))+Inputs!$C$38*SIN(2*PI()*(Scenario_Data!W177)/Inputs!$C$39)*SIN(2*PI()*(Inputs!$C$6)/Inputs!$C$40)+-Inputs!$C$41*EXP(-(((Inputs!$C$6)-Inputs!$C$43)^2)/(2*Inputs!$C$44^2))*EXP(-(((Scenario_Data!W177)-Inputs!$C$42)^2)/(2*Inputs!$C$45^2))+Inputs!$C$48*(0.7*(0.45*SIN(2*PI()*(((Scenario_Data!W177)/Inputs!$C$49)+Inputs!$C$47*0.137))+0.35*COS(2*PI()*(((Inputs!$C$6)/Inputs!$C$50)+Inputs!$C$47*0.173))+0.2*SIN(2*PI()*((((Scenario_Data!W177)+(Inputs!$C$6))/(0.5*(Inputs!$C$49+Inputs!$C$50)))+Inputs!$C$47*0.097)))+0.3*(2*((SIN(((Scenario_Data!W177)*12.9898+(Inputs!$C$6)*78.233+Inputs!$C$47*37.719))*43758.5453)-INT((SIN(((Scenario_Data!W177)*12.9898+(Inputs!$C$6)*78.233+Inputs!$C$47*37.719))*43758.5453)))-1))))/1000))^2-2*(Inputs!$C$52+(Scenario_Data!E177))*(Inputs!$C$52+((IF(OR(Inputs!$C$27=TRUE,Inputs!$C$27="TRUE",Inputs!$C$27=1),1,0)*(Inputs!$C$51*(115*EXP(-(((Inputs!$C$6)-25)^2)/(4.5^2))+70*EXP(-(((Inputs!$C$6)+38)^2)/(7^2))*(0.55+0.45*SIN(2*PI()*(Scenario_Data!W177)/45))+24*SIN(2*PI()*(Inputs!$C$6)/9+(Scenario_Data!W177)/18)*EXP(-(((Inputs!$C$6)+5)^2)/(22^2))+18*SIN(2*PI()*(Scenario_Data!W177)/70))+Inputs!$C$28*EXP(-(((Scenario_Data!W177)-Inputs!$C$29)^2)/(2*Inputs!$C$31^2))*EXP(-(((Inputs!$C$6)-Inputs!$C$30)^2)/(2*Inputs!$C$32^2))+-Inputs!$C$33*EXP(-(((((Scenario_Data!W177)-Inputs!$C$34)^2)+(((Inputs!$C$6)-Inputs!$C$35)^2))/(2*Inputs!$C$36^2)))+Inputs!$C$37*(0.55*SIN(2*PI()*(Scenario_Data!W177)/Inputs!$C$39)+0.35*COS(2*PI()*(Inputs!$C$6)/Inputs!$C$40)+0.2*SIN(2*PI()*((Scenario_Data!W177)+(Inputs!$C$6))/(0.5*(Inputs!$C$39+Inputs!$C$40))))+Inputs!$C$38*SIN(2*PI()*(Scenario_Data!W177)/Inputs!$C$39)*SIN(2*PI()*(Inputs!$C$6)/Inputs!$C$40)+-Inputs!$C$41*EXP(-(((Inputs!$C$6)-Inputs!$C$43)^2)/(2*Inputs!$C$44^2))*EXP(-(((Scenario_Data!W177)-Inputs!$C$42)^2)/(2*Inputs!$C$45^2))+Inputs!$C$48*(0.7*(0.45*SIN(2*PI()*(((Scenario_Data!W177)/Inputs!$C$49)+Inputs!$C$47*0.137))+0.35*COS(2*PI()*(((Inputs!$C$6)/Inputs!$C$50)+Inputs!$C$47*0.173))+0.2*SIN(2*PI()*((((Scenario_Data!W177)+(Inputs!$C$6))/(0.5*(Inputs!$C$49+Inputs!$C$50)))+Inputs!$C$47*0.097)))+0.3*(2*((SIN(((Scenario_Data!W177)*12.9898+(Inputs!$C$6)*78.233+Inputs!$C$47*37.719))*43758.5453)-INT((SIN(((Scenario_Data!W177)*12.9898+(Inputs!$C$6)*78.233+Inputs!$C$47*37.719))*43758.5453)))-1))))/1000))*COS(SQRT((Scenario_Data!W177)^2+Inputs!$C$6^2)/Inputs!$C$52))*1000)/Inputs!$C$21*1000000</f>
        <v/>
      </c>
    </row>
    <row r="178">
      <c r="A178">
        <f>Chart_Data!K178</f>
        <v/>
      </c>
      <c r="B178">
        <f>Chart_Data!N178-Chart_Data!L178</f>
        <v/>
      </c>
      <c r="D178">
        <f>Chart_Data!G178</f>
        <v/>
      </c>
      <c r="E178">
        <f>Chart_Data!H178</f>
        <v/>
      </c>
      <c r="F178">
        <f>Chart_Data!I178</f>
        <v/>
      </c>
      <c r="G178">
        <f>Chart_Data!J178</f>
        <v/>
      </c>
      <c r="I178">
        <f>Scenario_Data!A178</f>
        <v/>
      </c>
      <c r="J178">
        <f>Scenario_Data!H178-(((SQRT((Inputs!$C$52+(Inputs!$H$6))^2+Inputs!$C$52^2-2*(Inputs!$C$52+(Inputs!$H$6))*Inputs!$C$52*COS(SQRT((Scenario_Data!T178)^2+Inputs!$C$6^2)/Inputs!$C$52)))-(Inputs!$H$6))*1000/Inputs!$C$12)</f>
        <v/>
      </c>
      <c r="K178">
        <f>Scenario_Data!I178-(((SQRT((Inputs!$C$52+(Inputs!$H$7))^2+Inputs!$C$52^2-2*(Inputs!$C$52+(Inputs!$H$7))*Inputs!$C$52*COS(SQRT((Scenario_Data!U178)^2+Inputs!$C$6^2)/Inputs!$C$52)))-(Inputs!$H$7))*1000/Inputs!$C$12)</f>
        <v/>
      </c>
      <c r="L178">
        <f>Scenario_Data!J178-(((SQRT((Inputs!$C$52+(Inputs!$H$8))^2+Inputs!$C$52^2-2*(Inputs!$C$52+(Inputs!$H$8))*Inputs!$C$52*COS(SQRT((Scenario_Data!V178)^2+Inputs!$C$6^2)/Inputs!$C$52)))-(Inputs!$H$8))*1000/Inputs!$C$12)</f>
        <v/>
      </c>
      <c r="M178">
        <f>Scenario_Data!K178-(((SQRT((Inputs!$C$52+(Inputs!$H$9))^2+Inputs!$C$52^2-2*(Inputs!$C$52+(Inputs!$H$9))*Inputs!$C$52*COS(SQRT((Scenario_Data!W178)^2+Inputs!$C$6^2)/Inputs!$C$52)))-(Inputs!$H$9))*1000/Inputs!$C$12)</f>
        <v/>
      </c>
      <c r="O178">
        <f>Scenario_Data!T178</f>
        <v/>
      </c>
      <c r="P178">
        <f>2*(Scenario_Data!B178*1000)/Inputs!$C$21*1000000</f>
        <v/>
      </c>
      <c r="Q178">
        <f>Scenario_Data!U178</f>
        <v/>
      </c>
      <c r="R178">
        <f>2*(Scenario_Data!C178*1000)/Inputs!$C$21*1000000</f>
        <v/>
      </c>
      <c r="S178">
        <f>Scenario_Data!V178</f>
        <v/>
      </c>
      <c r="T178">
        <f>2*(Scenario_Data!D178*1000)/Inputs!$C$21*1000000</f>
        <v/>
      </c>
      <c r="U178">
        <f>Scenario_Data!W178</f>
        <v/>
      </c>
      <c r="V178">
        <f>2*(Scenario_Data!E178*1000)/Inputs!$C$21*1000000</f>
        <v/>
      </c>
      <c r="X178">
        <f>Scenario_Data!T178</f>
        <v/>
      </c>
      <c r="Y178">
        <f>2*((Scenario_Data!B178*1000)-(IF(OR(Inputs!$C$27=TRUE,Inputs!$C$27="TRUE",Inputs!$C$27=1),1,0)*(Inputs!$C$51*(115*EXP(-(((0)-25)^2)/(4.5^2))+70*EXP(-(((0)+38)^2)/(7^2))*(0.55+0.45*SIN(2*PI()*(Scenario_Data!T178)/45))+24*SIN(2*PI()*(0)/9+(Scenario_Data!T178)/18)*EXP(-(((0)+5)^2)/(22^2))+18*SIN(2*PI()*(Scenario_Data!T178)/70))+Inputs!$C$28*EXP(-(((Scenario_Data!T178)-Inputs!$C$29)^2)/(2*Inputs!$C$31^2))*EXP(-(((0)-Inputs!$C$30)^2)/(2*Inputs!$C$32^2))+-Inputs!$C$33*EXP(-(((((Scenario_Data!T178)-Inputs!$C$34)^2)+(((0)-Inputs!$C$35)^2))/(2*Inputs!$C$36^2)))+Inputs!$C$37*(0.55*SIN(2*PI()*(Scenario_Data!T178)/Inputs!$C$39)+0.35*COS(2*PI()*(0)/Inputs!$C$40)+0.2*SIN(2*PI()*((Scenario_Data!T178)+(0))/(0.5*(Inputs!$C$39+Inputs!$C$40))))+Inputs!$C$38*SIN(2*PI()*(Scenario_Data!T178)/Inputs!$C$39)*SIN(2*PI()*(0)/Inputs!$C$40)+-Inputs!$C$41*EXP(-(((0)-Inputs!$C$43)^2)/(2*Inputs!$C$44^2))*EXP(-(((Scenario_Data!T178)-Inputs!$C$42)^2)/(2*Inputs!$C$45^2))+Inputs!$C$48*(0.7*(0.45*SIN(2*PI()*(((Scenario_Data!T178)/Inputs!$C$49)+Inputs!$C$47*0.137))+0.35*COS(2*PI()*(((0)/Inputs!$C$50)+Inputs!$C$47*0.173))+0.2*SIN(2*PI()*((((Scenario_Data!T178)+(0))/(0.5*(Inputs!$C$49+Inputs!$C$50)))+Inputs!$C$47*0.097)))+0.3*(2*((SIN(((Scenario_Data!T178)*12.9898+(0)*78.233+Inputs!$C$47*37.719))*43758.5453)-INT((SIN(((Scenario_Data!T178)*12.9898+(0)*78.233+Inputs!$C$47*37.719))*43758.5453)))-1)))))/Inputs!$C$21*1000000</f>
        <v/>
      </c>
      <c r="Z178">
        <f>Scenario_Data!U178</f>
        <v/>
      </c>
      <c r="AA178">
        <f>2*((Scenario_Data!C178*1000)-(IF(OR(Inputs!$C$27=TRUE,Inputs!$C$27="TRUE",Inputs!$C$27=1),1,0)*(Inputs!$C$51*(115*EXP(-(((0)-25)^2)/(4.5^2))+70*EXP(-(((0)+38)^2)/(7^2))*(0.55+0.45*SIN(2*PI()*(Scenario_Data!U178)/45))+24*SIN(2*PI()*(0)/9+(Scenario_Data!U178)/18)*EXP(-(((0)+5)^2)/(22^2))+18*SIN(2*PI()*(Scenario_Data!U178)/70))+Inputs!$C$28*EXP(-(((Scenario_Data!U178)-Inputs!$C$29)^2)/(2*Inputs!$C$31^2))*EXP(-(((0)-Inputs!$C$30)^2)/(2*Inputs!$C$32^2))+-Inputs!$C$33*EXP(-(((((Scenario_Data!U178)-Inputs!$C$34)^2)+(((0)-Inputs!$C$35)^2))/(2*Inputs!$C$36^2)))+Inputs!$C$37*(0.55*SIN(2*PI()*(Scenario_Data!U178)/Inputs!$C$39)+0.35*COS(2*PI()*(0)/Inputs!$C$40)+0.2*SIN(2*PI()*((Scenario_Data!U178)+(0))/(0.5*(Inputs!$C$39+Inputs!$C$40))))+Inputs!$C$38*SIN(2*PI()*(Scenario_Data!U178)/Inputs!$C$39)*SIN(2*PI()*(0)/Inputs!$C$40)+-Inputs!$C$41*EXP(-(((0)-Inputs!$C$43)^2)/(2*Inputs!$C$44^2))*EXP(-(((Scenario_Data!U178)-Inputs!$C$42)^2)/(2*Inputs!$C$45^2))+Inputs!$C$48*(0.7*(0.45*SIN(2*PI()*(((Scenario_Data!U178)/Inputs!$C$49)+Inputs!$C$47*0.137))+0.35*COS(2*PI()*(((0)/Inputs!$C$50)+Inputs!$C$47*0.173))+0.2*SIN(2*PI()*((((Scenario_Data!U178)+(0))/(0.5*(Inputs!$C$49+Inputs!$C$50)))+Inputs!$C$47*0.097)))+0.3*(2*((SIN(((Scenario_Data!U178)*12.9898+(0)*78.233+Inputs!$C$47*37.719))*43758.5453)-INT((SIN(((Scenario_Data!U178)*12.9898+(0)*78.233+Inputs!$C$47*37.719))*43758.5453)))-1)))))/Inputs!$C$21*1000000</f>
        <v/>
      </c>
      <c r="AB178">
        <f>Scenario_Data!V178</f>
        <v/>
      </c>
      <c r="AC178">
        <f>2*((Scenario_Data!D178*1000)-(IF(OR(Inputs!$C$27=TRUE,Inputs!$C$27="TRUE",Inputs!$C$27=1),1,0)*(Inputs!$C$51*(115*EXP(-(((0)-25)^2)/(4.5^2))+70*EXP(-(((0)+38)^2)/(7^2))*(0.55+0.45*SIN(2*PI()*(Scenario_Data!V178)/45))+24*SIN(2*PI()*(0)/9+(Scenario_Data!V178)/18)*EXP(-(((0)+5)^2)/(22^2))+18*SIN(2*PI()*(Scenario_Data!V178)/70))+Inputs!$C$28*EXP(-(((Scenario_Data!V178)-Inputs!$C$29)^2)/(2*Inputs!$C$31^2))*EXP(-(((0)-Inputs!$C$30)^2)/(2*Inputs!$C$32^2))+-Inputs!$C$33*EXP(-(((((Scenario_Data!V178)-Inputs!$C$34)^2)+(((0)-Inputs!$C$35)^2))/(2*Inputs!$C$36^2)))+Inputs!$C$37*(0.55*SIN(2*PI()*(Scenario_Data!V178)/Inputs!$C$39)+0.35*COS(2*PI()*(0)/Inputs!$C$40)+0.2*SIN(2*PI()*((Scenario_Data!V178)+(0))/(0.5*(Inputs!$C$39+Inputs!$C$40))))+Inputs!$C$38*SIN(2*PI()*(Scenario_Data!V178)/Inputs!$C$39)*SIN(2*PI()*(0)/Inputs!$C$40)+-Inputs!$C$41*EXP(-(((0)-Inputs!$C$43)^2)/(2*Inputs!$C$44^2))*EXP(-(((Scenario_Data!V178)-Inputs!$C$42)^2)/(2*Inputs!$C$45^2))+Inputs!$C$48*(0.7*(0.45*SIN(2*PI()*(((Scenario_Data!V178)/Inputs!$C$49)+Inputs!$C$47*0.137))+0.35*COS(2*PI()*(((0)/Inputs!$C$50)+Inputs!$C$47*0.173))+0.2*SIN(2*PI()*((((Scenario_Data!V178)+(0))/(0.5*(Inputs!$C$49+Inputs!$C$50)))+Inputs!$C$47*0.097)))+0.3*(2*((SIN(((Scenario_Data!V178)*12.9898+(0)*78.233+Inputs!$C$47*37.719))*43758.5453)-INT((SIN(((Scenario_Data!V178)*12.9898+(0)*78.233+Inputs!$C$47*37.719))*43758.5453)))-1)))))/Inputs!$C$21*1000000</f>
        <v/>
      </c>
      <c r="AD178">
        <f>Scenario_Data!W178</f>
        <v/>
      </c>
      <c r="AE178">
        <f>2*((Scenario_Data!E178*1000)-(IF(OR(Inputs!$C$27=TRUE,Inputs!$C$27="TRUE",Inputs!$C$27=1),1,0)*(Inputs!$C$51*(115*EXP(-(((0)-25)^2)/(4.5^2))+70*EXP(-(((0)+38)^2)/(7^2))*(0.55+0.45*SIN(2*PI()*(Scenario_Data!W178)/45))+24*SIN(2*PI()*(0)/9+(Scenario_Data!W178)/18)*EXP(-(((0)+5)^2)/(22^2))+18*SIN(2*PI()*(Scenario_Data!W178)/70))+Inputs!$C$28*EXP(-(((Scenario_Data!W178)-Inputs!$C$29)^2)/(2*Inputs!$C$31^2))*EXP(-(((0)-Inputs!$C$30)^2)/(2*Inputs!$C$32^2))+-Inputs!$C$33*EXP(-(((((Scenario_Data!W178)-Inputs!$C$34)^2)+(((0)-Inputs!$C$35)^2))/(2*Inputs!$C$36^2)))+Inputs!$C$37*(0.55*SIN(2*PI()*(Scenario_Data!W178)/Inputs!$C$39)+0.35*COS(2*PI()*(0)/Inputs!$C$40)+0.2*SIN(2*PI()*((Scenario_Data!W178)+(0))/(0.5*(Inputs!$C$39+Inputs!$C$40))))+Inputs!$C$38*SIN(2*PI()*(Scenario_Data!W178)/Inputs!$C$39)*SIN(2*PI()*(0)/Inputs!$C$40)+-Inputs!$C$41*EXP(-(((0)-Inputs!$C$43)^2)/(2*Inputs!$C$44^2))*EXP(-(((Scenario_Data!W178)-Inputs!$C$42)^2)/(2*Inputs!$C$45^2))+Inputs!$C$48*(0.7*(0.45*SIN(2*PI()*(((Scenario_Data!W178)/Inputs!$C$49)+Inputs!$C$47*0.137))+0.35*COS(2*PI()*(((0)/Inputs!$C$50)+Inputs!$C$47*0.173))+0.2*SIN(2*PI()*((((Scenario_Data!W178)+(0))/(0.5*(Inputs!$C$49+Inputs!$C$50)))+Inputs!$C$47*0.097)))+0.3*(2*((SIN(((Scenario_Data!W178)*12.9898+(0)*78.233+Inputs!$C$47*37.719))*43758.5453)-INT((SIN(((Scenario_Data!W178)*12.9898+(0)*78.233+Inputs!$C$47*37.719))*43758.5453)))-1)))))/Inputs!$C$21*1000000</f>
        <v/>
      </c>
      <c r="AG178">
        <f>Scenario_Data!T178</f>
        <v/>
      </c>
      <c r="AH178">
        <f>2*(SQRT((Inputs!$C$52+(Scenario_Data!B178))^2+Inputs!$C$52^2-2*(Inputs!$C$52+(Scenario_Data!B178))*Inputs!$C$52*COS(SQRT((Scenario_Data!T178)^2+Inputs!$C$6^2)/Inputs!$C$52))*1000)/Inputs!$C$21*1000000</f>
        <v/>
      </c>
      <c r="AI178">
        <f>Scenario_Data!U178</f>
        <v/>
      </c>
      <c r="AJ178">
        <f>2*(SQRT((Inputs!$C$52+(Scenario_Data!C178))^2+Inputs!$C$52^2-2*(Inputs!$C$52+(Scenario_Data!C178))*Inputs!$C$52*COS(SQRT((Scenario_Data!U178)^2+Inputs!$C$6^2)/Inputs!$C$52))*1000)/Inputs!$C$21*1000000</f>
        <v/>
      </c>
      <c r="AK178">
        <f>Scenario_Data!V178</f>
        <v/>
      </c>
      <c r="AL178">
        <f>2*(SQRT((Inputs!$C$52+(Scenario_Data!D178))^2+Inputs!$C$52^2-2*(Inputs!$C$52+(Scenario_Data!D178))*Inputs!$C$52*COS(SQRT((Scenario_Data!V178)^2+Inputs!$C$6^2)/Inputs!$C$52))*1000)/Inputs!$C$21*1000000</f>
        <v/>
      </c>
      <c r="AM178">
        <f>Scenario_Data!W178</f>
        <v/>
      </c>
      <c r="AN178">
        <f>2*(SQRT((Inputs!$C$52+(Scenario_Data!E178))^2+Inputs!$C$52^2-2*(Inputs!$C$52+(Scenario_Data!E178))*Inputs!$C$52*COS(SQRT((Scenario_Data!W178)^2+Inputs!$C$6^2)/Inputs!$C$52))*1000)/Inputs!$C$21*1000000</f>
        <v/>
      </c>
      <c r="AP178">
        <f>Scenario_Data!T178</f>
        <v/>
      </c>
      <c r="AQ178">
        <f>2*(SQRT((Inputs!$C$52+(Scenario_Data!B178))^2+(Inputs!$C$52+((IF(OR(Inputs!$C$27=TRUE,Inputs!$C$27="TRUE",Inputs!$C$27=1),1,0)*(Inputs!$C$51*(115*EXP(-(((Inputs!$C$6)-25)^2)/(4.5^2))+70*EXP(-(((Inputs!$C$6)+38)^2)/(7^2))*(0.55+0.45*SIN(2*PI()*(Scenario_Data!T178)/45))+24*SIN(2*PI()*(Inputs!$C$6)/9+(Scenario_Data!T178)/18)*EXP(-(((Inputs!$C$6)+5)^2)/(22^2))+18*SIN(2*PI()*(Scenario_Data!T178)/70))+Inputs!$C$28*EXP(-(((Scenario_Data!T178)-Inputs!$C$29)^2)/(2*Inputs!$C$31^2))*EXP(-(((Inputs!$C$6)-Inputs!$C$30)^2)/(2*Inputs!$C$32^2))+-Inputs!$C$33*EXP(-(((((Scenario_Data!T178)-Inputs!$C$34)^2)+(((Inputs!$C$6)-Inputs!$C$35)^2))/(2*Inputs!$C$36^2)))+Inputs!$C$37*(0.55*SIN(2*PI()*(Scenario_Data!T178)/Inputs!$C$39)+0.35*COS(2*PI()*(Inputs!$C$6)/Inputs!$C$40)+0.2*SIN(2*PI()*((Scenario_Data!T178)+(Inputs!$C$6))/(0.5*(Inputs!$C$39+Inputs!$C$40))))+Inputs!$C$38*SIN(2*PI()*(Scenario_Data!T178)/Inputs!$C$39)*SIN(2*PI()*(Inputs!$C$6)/Inputs!$C$40)+-Inputs!$C$41*EXP(-(((Inputs!$C$6)-Inputs!$C$43)^2)/(2*Inputs!$C$44^2))*EXP(-(((Scenario_Data!T178)-Inputs!$C$42)^2)/(2*Inputs!$C$45^2))+Inputs!$C$48*(0.7*(0.45*SIN(2*PI()*(((Scenario_Data!T178)/Inputs!$C$49)+Inputs!$C$47*0.137))+0.35*COS(2*PI()*(((Inputs!$C$6)/Inputs!$C$50)+Inputs!$C$47*0.173))+0.2*SIN(2*PI()*((((Scenario_Data!T178)+(Inputs!$C$6))/(0.5*(Inputs!$C$49+Inputs!$C$50)))+Inputs!$C$47*0.097)))+0.3*(2*((SIN(((Scenario_Data!T178)*12.9898+(Inputs!$C$6)*78.233+Inputs!$C$47*37.719))*43758.5453)-INT((SIN(((Scenario_Data!T178)*12.9898+(Inputs!$C$6)*78.233+Inputs!$C$47*37.719))*43758.5453)))-1))))/1000))^2-2*(Inputs!$C$52+(Scenario_Data!B178))*(Inputs!$C$52+((IF(OR(Inputs!$C$27=TRUE,Inputs!$C$27="TRUE",Inputs!$C$27=1),1,0)*(Inputs!$C$51*(115*EXP(-(((Inputs!$C$6)-25)^2)/(4.5^2))+70*EXP(-(((Inputs!$C$6)+38)^2)/(7^2))*(0.55+0.45*SIN(2*PI()*(Scenario_Data!T178)/45))+24*SIN(2*PI()*(Inputs!$C$6)/9+(Scenario_Data!T178)/18)*EXP(-(((Inputs!$C$6)+5)^2)/(22^2))+18*SIN(2*PI()*(Scenario_Data!T178)/70))+Inputs!$C$28*EXP(-(((Scenario_Data!T178)-Inputs!$C$29)^2)/(2*Inputs!$C$31^2))*EXP(-(((Inputs!$C$6)-Inputs!$C$30)^2)/(2*Inputs!$C$32^2))+-Inputs!$C$33*EXP(-(((((Scenario_Data!T178)-Inputs!$C$34)^2)+(((Inputs!$C$6)-Inputs!$C$35)^2))/(2*Inputs!$C$36^2)))+Inputs!$C$37*(0.55*SIN(2*PI()*(Scenario_Data!T178)/Inputs!$C$39)+0.35*COS(2*PI()*(Inputs!$C$6)/Inputs!$C$40)+0.2*SIN(2*PI()*((Scenario_Data!T178)+(Inputs!$C$6))/(0.5*(Inputs!$C$39+Inputs!$C$40))))+Inputs!$C$38*SIN(2*PI()*(Scenario_Data!T178)/Inputs!$C$39)*SIN(2*PI()*(Inputs!$C$6)/Inputs!$C$40)+-Inputs!$C$41*EXP(-(((Inputs!$C$6)-Inputs!$C$43)^2)/(2*Inputs!$C$44^2))*EXP(-(((Scenario_Data!T178)-Inputs!$C$42)^2)/(2*Inputs!$C$45^2))+Inputs!$C$48*(0.7*(0.45*SIN(2*PI()*(((Scenario_Data!T178)/Inputs!$C$49)+Inputs!$C$47*0.137))+0.35*COS(2*PI()*(((Inputs!$C$6)/Inputs!$C$50)+Inputs!$C$47*0.173))+0.2*SIN(2*PI()*((((Scenario_Data!T178)+(Inputs!$C$6))/(0.5*(Inputs!$C$49+Inputs!$C$50)))+Inputs!$C$47*0.097)))+0.3*(2*((SIN(((Scenario_Data!T178)*12.9898+(Inputs!$C$6)*78.233+Inputs!$C$47*37.719))*43758.5453)-INT((SIN(((Scenario_Data!T178)*12.9898+(Inputs!$C$6)*78.233+Inputs!$C$47*37.719))*43758.5453)))-1))))/1000))*COS(SQRT((Scenario_Data!T178)^2+Inputs!$C$6^2)/Inputs!$C$52))*1000)/Inputs!$C$21*1000000</f>
        <v/>
      </c>
      <c r="AR178">
        <f>Scenario_Data!U178</f>
        <v/>
      </c>
      <c r="AS178">
        <f>2*(SQRT((Inputs!$C$52+(Scenario_Data!C178))^2+(Inputs!$C$52+((IF(OR(Inputs!$C$27=TRUE,Inputs!$C$27="TRUE",Inputs!$C$27=1),1,0)*(Inputs!$C$51*(115*EXP(-(((Inputs!$C$6)-25)^2)/(4.5^2))+70*EXP(-(((Inputs!$C$6)+38)^2)/(7^2))*(0.55+0.45*SIN(2*PI()*(Scenario_Data!U178)/45))+24*SIN(2*PI()*(Inputs!$C$6)/9+(Scenario_Data!U178)/18)*EXP(-(((Inputs!$C$6)+5)^2)/(22^2))+18*SIN(2*PI()*(Scenario_Data!U178)/70))+Inputs!$C$28*EXP(-(((Scenario_Data!U178)-Inputs!$C$29)^2)/(2*Inputs!$C$31^2))*EXP(-(((Inputs!$C$6)-Inputs!$C$30)^2)/(2*Inputs!$C$32^2))+-Inputs!$C$33*EXP(-(((((Scenario_Data!U178)-Inputs!$C$34)^2)+(((Inputs!$C$6)-Inputs!$C$35)^2))/(2*Inputs!$C$36^2)))+Inputs!$C$37*(0.55*SIN(2*PI()*(Scenario_Data!U178)/Inputs!$C$39)+0.35*COS(2*PI()*(Inputs!$C$6)/Inputs!$C$40)+0.2*SIN(2*PI()*((Scenario_Data!U178)+(Inputs!$C$6))/(0.5*(Inputs!$C$39+Inputs!$C$40))))+Inputs!$C$38*SIN(2*PI()*(Scenario_Data!U178)/Inputs!$C$39)*SIN(2*PI()*(Inputs!$C$6)/Inputs!$C$40)+-Inputs!$C$41*EXP(-(((Inputs!$C$6)-Inputs!$C$43)^2)/(2*Inputs!$C$44^2))*EXP(-(((Scenario_Data!U178)-Inputs!$C$42)^2)/(2*Inputs!$C$45^2))+Inputs!$C$48*(0.7*(0.45*SIN(2*PI()*(((Scenario_Data!U178)/Inputs!$C$49)+Inputs!$C$47*0.137))+0.35*COS(2*PI()*(((Inputs!$C$6)/Inputs!$C$50)+Inputs!$C$47*0.173))+0.2*SIN(2*PI()*((((Scenario_Data!U178)+(Inputs!$C$6))/(0.5*(Inputs!$C$49+Inputs!$C$50)))+Inputs!$C$47*0.097)))+0.3*(2*((SIN(((Scenario_Data!U178)*12.9898+(Inputs!$C$6)*78.233+Inputs!$C$47*37.719))*43758.5453)-INT((SIN(((Scenario_Data!U178)*12.9898+(Inputs!$C$6)*78.233+Inputs!$C$47*37.719))*43758.5453)))-1))))/1000))^2-2*(Inputs!$C$52+(Scenario_Data!C178))*(Inputs!$C$52+((IF(OR(Inputs!$C$27=TRUE,Inputs!$C$27="TRUE",Inputs!$C$27=1),1,0)*(Inputs!$C$51*(115*EXP(-(((Inputs!$C$6)-25)^2)/(4.5^2))+70*EXP(-(((Inputs!$C$6)+38)^2)/(7^2))*(0.55+0.45*SIN(2*PI()*(Scenario_Data!U178)/45))+24*SIN(2*PI()*(Inputs!$C$6)/9+(Scenario_Data!U178)/18)*EXP(-(((Inputs!$C$6)+5)^2)/(22^2))+18*SIN(2*PI()*(Scenario_Data!U178)/70))+Inputs!$C$28*EXP(-(((Scenario_Data!U178)-Inputs!$C$29)^2)/(2*Inputs!$C$31^2))*EXP(-(((Inputs!$C$6)-Inputs!$C$30)^2)/(2*Inputs!$C$32^2))+-Inputs!$C$33*EXP(-(((((Scenario_Data!U178)-Inputs!$C$34)^2)+(((Inputs!$C$6)-Inputs!$C$35)^2))/(2*Inputs!$C$36^2)))+Inputs!$C$37*(0.55*SIN(2*PI()*(Scenario_Data!U178)/Inputs!$C$39)+0.35*COS(2*PI()*(Inputs!$C$6)/Inputs!$C$40)+0.2*SIN(2*PI()*((Scenario_Data!U178)+(Inputs!$C$6))/(0.5*(Inputs!$C$39+Inputs!$C$40))))+Inputs!$C$38*SIN(2*PI()*(Scenario_Data!U178)/Inputs!$C$39)*SIN(2*PI()*(Inputs!$C$6)/Inputs!$C$40)+-Inputs!$C$41*EXP(-(((Inputs!$C$6)-Inputs!$C$43)^2)/(2*Inputs!$C$44^2))*EXP(-(((Scenario_Data!U178)-Inputs!$C$42)^2)/(2*Inputs!$C$45^2))+Inputs!$C$48*(0.7*(0.45*SIN(2*PI()*(((Scenario_Data!U178)/Inputs!$C$49)+Inputs!$C$47*0.137))+0.35*COS(2*PI()*(((Inputs!$C$6)/Inputs!$C$50)+Inputs!$C$47*0.173))+0.2*SIN(2*PI()*((((Scenario_Data!U178)+(Inputs!$C$6))/(0.5*(Inputs!$C$49+Inputs!$C$50)))+Inputs!$C$47*0.097)))+0.3*(2*((SIN(((Scenario_Data!U178)*12.9898+(Inputs!$C$6)*78.233+Inputs!$C$47*37.719))*43758.5453)-INT((SIN(((Scenario_Data!U178)*12.9898+(Inputs!$C$6)*78.233+Inputs!$C$47*37.719))*43758.5453)))-1))))/1000))*COS(SQRT((Scenario_Data!U178)^2+Inputs!$C$6^2)/Inputs!$C$52))*1000)/Inputs!$C$21*1000000</f>
        <v/>
      </c>
      <c r="AT178">
        <f>Scenario_Data!V178</f>
        <v/>
      </c>
      <c r="AU178">
        <f>2*(SQRT((Inputs!$C$52+(Scenario_Data!D178))^2+(Inputs!$C$52+((IF(OR(Inputs!$C$27=TRUE,Inputs!$C$27="TRUE",Inputs!$C$27=1),1,0)*(Inputs!$C$51*(115*EXP(-(((Inputs!$C$6)-25)^2)/(4.5^2))+70*EXP(-(((Inputs!$C$6)+38)^2)/(7^2))*(0.55+0.45*SIN(2*PI()*(Scenario_Data!V178)/45))+24*SIN(2*PI()*(Inputs!$C$6)/9+(Scenario_Data!V178)/18)*EXP(-(((Inputs!$C$6)+5)^2)/(22^2))+18*SIN(2*PI()*(Scenario_Data!V178)/70))+Inputs!$C$28*EXP(-(((Scenario_Data!V178)-Inputs!$C$29)^2)/(2*Inputs!$C$31^2))*EXP(-(((Inputs!$C$6)-Inputs!$C$30)^2)/(2*Inputs!$C$32^2))+-Inputs!$C$33*EXP(-(((((Scenario_Data!V178)-Inputs!$C$34)^2)+(((Inputs!$C$6)-Inputs!$C$35)^2))/(2*Inputs!$C$36^2)))+Inputs!$C$37*(0.55*SIN(2*PI()*(Scenario_Data!V178)/Inputs!$C$39)+0.35*COS(2*PI()*(Inputs!$C$6)/Inputs!$C$40)+0.2*SIN(2*PI()*((Scenario_Data!V178)+(Inputs!$C$6))/(0.5*(Inputs!$C$39+Inputs!$C$40))))+Inputs!$C$38*SIN(2*PI()*(Scenario_Data!V178)/Inputs!$C$39)*SIN(2*PI()*(Inputs!$C$6)/Inputs!$C$40)+-Inputs!$C$41*EXP(-(((Inputs!$C$6)-Inputs!$C$43)^2)/(2*Inputs!$C$44^2))*EXP(-(((Scenario_Data!V178)-Inputs!$C$42)^2)/(2*Inputs!$C$45^2))+Inputs!$C$48*(0.7*(0.45*SIN(2*PI()*(((Scenario_Data!V178)/Inputs!$C$49)+Inputs!$C$47*0.137))+0.35*COS(2*PI()*(((Inputs!$C$6)/Inputs!$C$50)+Inputs!$C$47*0.173))+0.2*SIN(2*PI()*((((Scenario_Data!V178)+(Inputs!$C$6))/(0.5*(Inputs!$C$49+Inputs!$C$50)))+Inputs!$C$47*0.097)))+0.3*(2*((SIN(((Scenario_Data!V178)*12.9898+(Inputs!$C$6)*78.233+Inputs!$C$47*37.719))*43758.5453)-INT((SIN(((Scenario_Data!V178)*12.9898+(Inputs!$C$6)*78.233+Inputs!$C$47*37.719))*43758.5453)))-1))))/1000))^2-2*(Inputs!$C$52+(Scenario_Data!D178))*(Inputs!$C$52+((IF(OR(Inputs!$C$27=TRUE,Inputs!$C$27="TRUE",Inputs!$C$27=1),1,0)*(Inputs!$C$51*(115*EXP(-(((Inputs!$C$6)-25)^2)/(4.5^2))+70*EXP(-(((Inputs!$C$6)+38)^2)/(7^2))*(0.55+0.45*SIN(2*PI()*(Scenario_Data!V178)/45))+24*SIN(2*PI()*(Inputs!$C$6)/9+(Scenario_Data!V178)/18)*EXP(-(((Inputs!$C$6)+5)^2)/(22^2))+18*SIN(2*PI()*(Scenario_Data!V178)/70))+Inputs!$C$28*EXP(-(((Scenario_Data!V178)-Inputs!$C$29)^2)/(2*Inputs!$C$31^2))*EXP(-(((Inputs!$C$6)-Inputs!$C$30)^2)/(2*Inputs!$C$32^2))+-Inputs!$C$33*EXP(-(((((Scenario_Data!V178)-Inputs!$C$34)^2)+(((Inputs!$C$6)-Inputs!$C$35)^2))/(2*Inputs!$C$36^2)))+Inputs!$C$37*(0.55*SIN(2*PI()*(Scenario_Data!V178)/Inputs!$C$39)+0.35*COS(2*PI()*(Inputs!$C$6)/Inputs!$C$40)+0.2*SIN(2*PI()*((Scenario_Data!V178)+(Inputs!$C$6))/(0.5*(Inputs!$C$39+Inputs!$C$40))))+Inputs!$C$38*SIN(2*PI()*(Scenario_Data!V178)/Inputs!$C$39)*SIN(2*PI()*(Inputs!$C$6)/Inputs!$C$40)+-Inputs!$C$41*EXP(-(((Inputs!$C$6)-Inputs!$C$43)^2)/(2*Inputs!$C$44^2))*EXP(-(((Scenario_Data!V178)-Inputs!$C$42)^2)/(2*Inputs!$C$45^2))+Inputs!$C$48*(0.7*(0.45*SIN(2*PI()*(((Scenario_Data!V178)/Inputs!$C$49)+Inputs!$C$47*0.137))+0.35*COS(2*PI()*(((Inputs!$C$6)/Inputs!$C$50)+Inputs!$C$47*0.173))+0.2*SIN(2*PI()*((((Scenario_Data!V178)+(Inputs!$C$6))/(0.5*(Inputs!$C$49+Inputs!$C$50)))+Inputs!$C$47*0.097)))+0.3*(2*((SIN(((Scenario_Data!V178)*12.9898+(Inputs!$C$6)*78.233+Inputs!$C$47*37.719))*43758.5453)-INT((SIN(((Scenario_Data!V178)*12.9898+(Inputs!$C$6)*78.233+Inputs!$C$47*37.719))*43758.5453)))-1))))/1000))*COS(SQRT((Scenario_Data!V178)^2+Inputs!$C$6^2)/Inputs!$C$52))*1000)/Inputs!$C$21*1000000</f>
        <v/>
      </c>
      <c r="AV178">
        <f>Scenario_Data!W178</f>
        <v/>
      </c>
      <c r="AW178">
        <f>2*(SQRT((Inputs!$C$52+(Scenario_Data!E178))^2+(Inputs!$C$52+((IF(OR(Inputs!$C$27=TRUE,Inputs!$C$27="TRUE",Inputs!$C$27=1),1,0)*(Inputs!$C$51*(115*EXP(-(((Inputs!$C$6)-25)^2)/(4.5^2))+70*EXP(-(((Inputs!$C$6)+38)^2)/(7^2))*(0.55+0.45*SIN(2*PI()*(Scenario_Data!W178)/45))+24*SIN(2*PI()*(Inputs!$C$6)/9+(Scenario_Data!W178)/18)*EXP(-(((Inputs!$C$6)+5)^2)/(22^2))+18*SIN(2*PI()*(Scenario_Data!W178)/70))+Inputs!$C$28*EXP(-(((Scenario_Data!W178)-Inputs!$C$29)^2)/(2*Inputs!$C$31^2))*EXP(-(((Inputs!$C$6)-Inputs!$C$30)^2)/(2*Inputs!$C$32^2))+-Inputs!$C$33*EXP(-(((((Scenario_Data!W178)-Inputs!$C$34)^2)+(((Inputs!$C$6)-Inputs!$C$35)^2))/(2*Inputs!$C$36^2)))+Inputs!$C$37*(0.55*SIN(2*PI()*(Scenario_Data!W178)/Inputs!$C$39)+0.35*COS(2*PI()*(Inputs!$C$6)/Inputs!$C$40)+0.2*SIN(2*PI()*((Scenario_Data!W178)+(Inputs!$C$6))/(0.5*(Inputs!$C$39+Inputs!$C$40))))+Inputs!$C$38*SIN(2*PI()*(Scenario_Data!W178)/Inputs!$C$39)*SIN(2*PI()*(Inputs!$C$6)/Inputs!$C$40)+-Inputs!$C$41*EXP(-(((Inputs!$C$6)-Inputs!$C$43)^2)/(2*Inputs!$C$44^2))*EXP(-(((Scenario_Data!W178)-Inputs!$C$42)^2)/(2*Inputs!$C$45^2))+Inputs!$C$48*(0.7*(0.45*SIN(2*PI()*(((Scenario_Data!W178)/Inputs!$C$49)+Inputs!$C$47*0.137))+0.35*COS(2*PI()*(((Inputs!$C$6)/Inputs!$C$50)+Inputs!$C$47*0.173))+0.2*SIN(2*PI()*((((Scenario_Data!W178)+(Inputs!$C$6))/(0.5*(Inputs!$C$49+Inputs!$C$50)))+Inputs!$C$47*0.097)))+0.3*(2*((SIN(((Scenario_Data!W178)*12.9898+(Inputs!$C$6)*78.233+Inputs!$C$47*37.719))*43758.5453)-INT((SIN(((Scenario_Data!W178)*12.9898+(Inputs!$C$6)*78.233+Inputs!$C$47*37.719))*43758.5453)))-1))))/1000))^2-2*(Inputs!$C$52+(Scenario_Data!E178))*(Inputs!$C$52+((IF(OR(Inputs!$C$27=TRUE,Inputs!$C$27="TRUE",Inputs!$C$27=1),1,0)*(Inputs!$C$51*(115*EXP(-(((Inputs!$C$6)-25)^2)/(4.5^2))+70*EXP(-(((Inputs!$C$6)+38)^2)/(7^2))*(0.55+0.45*SIN(2*PI()*(Scenario_Data!W178)/45))+24*SIN(2*PI()*(Inputs!$C$6)/9+(Scenario_Data!W178)/18)*EXP(-(((Inputs!$C$6)+5)^2)/(22^2))+18*SIN(2*PI()*(Scenario_Data!W178)/70))+Inputs!$C$28*EXP(-(((Scenario_Data!W178)-Inputs!$C$29)^2)/(2*Inputs!$C$31^2))*EXP(-(((Inputs!$C$6)-Inputs!$C$30)^2)/(2*Inputs!$C$32^2))+-Inputs!$C$33*EXP(-(((((Scenario_Data!W178)-Inputs!$C$34)^2)+(((Inputs!$C$6)-Inputs!$C$35)^2))/(2*Inputs!$C$36^2)))+Inputs!$C$37*(0.55*SIN(2*PI()*(Scenario_Data!W178)/Inputs!$C$39)+0.35*COS(2*PI()*(Inputs!$C$6)/Inputs!$C$40)+0.2*SIN(2*PI()*((Scenario_Data!W178)+(Inputs!$C$6))/(0.5*(Inputs!$C$39+Inputs!$C$40))))+Inputs!$C$38*SIN(2*PI()*(Scenario_Data!W178)/Inputs!$C$39)*SIN(2*PI()*(Inputs!$C$6)/Inputs!$C$40)+-Inputs!$C$41*EXP(-(((Inputs!$C$6)-Inputs!$C$43)^2)/(2*Inputs!$C$44^2))*EXP(-(((Scenario_Data!W178)-Inputs!$C$42)^2)/(2*Inputs!$C$45^2))+Inputs!$C$48*(0.7*(0.45*SIN(2*PI()*(((Scenario_Data!W178)/Inputs!$C$49)+Inputs!$C$47*0.137))+0.35*COS(2*PI()*(((Inputs!$C$6)/Inputs!$C$50)+Inputs!$C$47*0.173))+0.2*SIN(2*PI()*((((Scenario_Data!W178)+(Inputs!$C$6))/(0.5*(Inputs!$C$49+Inputs!$C$50)))+Inputs!$C$47*0.097)))+0.3*(2*((SIN(((Scenario_Data!W178)*12.9898+(Inputs!$C$6)*78.233+Inputs!$C$47*37.719))*43758.5453)-INT((SIN(((Scenario_Data!W178)*12.9898+(Inputs!$C$6)*78.233+Inputs!$C$47*37.719))*43758.5453)))-1))))/1000))*COS(SQRT((Scenario_Data!W178)^2+Inputs!$C$6^2)/Inputs!$C$52))*1000)/Inputs!$C$21*1000000</f>
        <v/>
      </c>
    </row>
    <row r="179">
      <c r="A179">
        <f>Chart_Data!K179</f>
        <v/>
      </c>
      <c r="B179">
        <f>Chart_Data!N179-Chart_Data!L179</f>
        <v/>
      </c>
      <c r="D179">
        <f>Chart_Data!G179</f>
        <v/>
      </c>
      <c r="E179">
        <f>Chart_Data!H179</f>
        <v/>
      </c>
      <c r="F179">
        <f>Chart_Data!I179</f>
        <v/>
      </c>
      <c r="G179">
        <f>Chart_Data!J179</f>
        <v/>
      </c>
      <c r="I179">
        <f>Scenario_Data!A179</f>
        <v/>
      </c>
      <c r="J179">
        <f>Scenario_Data!H179-(((SQRT((Inputs!$C$52+(Inputs!$H$6))^2+Inputs!$C$52^2-2*(Inputs!$C$52+(Inputs!$H$6))*Inputs!$C$52*COS(SQRT((Scenario_Data!T179)^2+Inputs!$C$6^2)/Inputs!$C$52)))-(Inputs!$H$6))*1000/Inputs!$C$12)</f>
        <v/>
      </c>
      <c r="K179">
        <f>Scenario_Data!I179-(((SQRT((Inputs!$C$52+(Inputs!$H$7))^2+Inputs!$C$52^2-2*(Inputs!$C$52+(Inputs!$H$7))*Inputs!$C$52*COS(SQRT((Scenario_Data!U179)^2+Inputs!$C$6^2)/Inputs!$C$52)))-(Inputs!$H$7))*1000/Inputs!$C$12)</f>
        <v/>
      </c>
      <c r="L179">
        <f>Scenario_Data!J179-(((SQRT((Inputs!$C$52+(Inputs!$H$8))^2+Inputs!$C$52^2-2*(Inputs!$C$52+(Inputs!$H$8))*Inputs!$C$52*COS(SQRT((Scenario_Data!V179)^2+Inputs!$C$6^2)/Inputs!$C$52)))-(Inputs!$H$8))*1000/Inputs!$C$12)</f>
        <v/>
      </c>
      <c r="M179">
        <f>Scenario_Data!K179-(((SQRT((Inputs!$C$52+(Inputs!$H$9))^2+Inputs!$C$52^2-2*(Inputs!$C$52+(Inputs!$H$9))*Inputs!$C$52*COS(SQRT((Scenario_Data!W179)^2+Inputs!$C$6^2)/Inputs!$C$52)))-(Inputs!$H$9))*1000/Inputs!$C$12)</f>
        <v/>
      </c>
      <c r="O179">
        <f>Scenario_Data!T179</f>
        <v/>
      </c>
      <c r="P179">
        <f>2*(Scenario_Data!B179*1000)/Inputs!$C$21*1000000</f>
        <v/>
      </c>
      <c r="Q179">
        <f>Scenario_Data!U179</f>
        <v/>
      </c>
      <c r="R179">
        <f>2*(Scenario_Data!C179*1000)/Inputs!$C$21*1000000</f>
        <v/>
      </c>
      <c r="S179">
        <f>Scenario_Data!V179</f>
        <v/>
      </c>
      <c r="T179">
        <f>2*(Scenario_Data!D179*1000)/Inputs!$C$21*1000000</f>
        <v/>
      </c>
      <c r="U179">
        <f>Scenario_Data!W179</f>
        <v/>
      </c>
      <c r="V179">
        <f>2*(Scenario_Data!E179*1000)/Inputs!$C$21*1000000</f>
        <v/>
      </c>
      <c r="X179">
        <f>Scenario_Data!T179</f>
        <v/>
      </c>
      <c r="Y179">
        <f>2*((Scenario_Data!B179*1000)-(IF(OR(Inputs!$C$27=TRUE,Inputs!$C$27="TRUE",Inputs!$C$27=1),1,0)*(Inputs!$C$51*(115*EXP(-(((0)-25)^2)/(4.5^2))+70*EXP(-(((0)+38)^2)/(7^2))*(0.55+0.45*SIN(2*PI()*(Scenario_Data!T179)/45))+24*SIN(2*PI()*(0)/9+(Scenario_Data!T179)/18)*EXP(-(((0)+5)^2)/(22^2))+18*SIN(2*PI()*(Scenario_Data!T179)/70))+Inputs!$C$28*EXP(-(((Scenario_Data!T179)-Inputs!$C$29)^2)/(2*Inputs!$C$31^2))*EXP(-(((0)-Inputs!$C$30)^2)/(2*Inputs!$C$32^2))+-Inputs!$C$33*EXP(-(((((Scenario_Data!T179)-Inputs!$C$34)^2)+(((0)-Inputs!$C$35)^2))/(2*Inputs!$C$36^2)))+Inputs!$C$37*(0.55*SIN(2*PI()*(Scenario_Data!T179)/Inputs!$C$39)+0.35*COS(2*PI()*(0)/Inputs!$C$40)+0.2*SIN(2*PI()*((Scenario_Data!T179)+(0))/(0.5*(Inputs!$C$39+Inputs!$C$40))))+Inputs!$C$38*SIN(2*PI()*(Scenario_Data!T179)/Inputs!$C$39)*SIN(2*PI()*(0)/Inputs!$C$40)+-Inputs!$C$41*EXP(-(((0)-Inputs!$C$43)^2)/(2*Inputs!$C$44^2))*EXP(-(((Scenario_Data!T179)-Inputs!$C$42)^2)/(2*Inputs!$C$45^2))+Inputs!$C$48*(0.7*(0.45*SIN(2*PI()*(((Scenario_Data!T179)/Inputs!$C$49)+Inputs!$C$47*0.137))+0.35*COS(2*PI()*(((0)/Inputs!$C$50)+Inputs!$C$47*0.173))+0.2*SIN(2*PI()*((((Scenario_Data!T179)+(0))/(0.5*(Inputs!$C$49+Inputs!$C$50)))+Inputs!$C$47*0.097)))+0.3*(2*((SIN(((Scenario_Data!T179)*12.9898+(0)*78.233+Inputs!$C$47*37.719))*43758.5453)-INT((SIN(((Scenario_Data!T179)*12.9898+(0)*78.233+Inputs!$C$47*37.719))*43758.5453)))-1)))))/Inputs!$C$21*1000000</f>
        <v/>
      </c>
      <c r="Z179">
        <f>Scenario_Data!U179</f>
        <v/>
      </c>
      <c r="AA179">
        <f>2*((Scenario_Data!C179*1000)-(IF(OR(Inputs!$C$27=TRUE,Inputs!$C$27="TRUE",Inputs!$C$27=1),1,0)*(Inputs!$C$51*(115*EXP(-(((0)-25)^2)/(4.5^2))+70*EXP(-(((0)+38)^2)/(7^2))*(0.55+0.45*SIN(2*PI()*(Scenario_Data!U179)/45))+24*SIN(2*PI()*(0)/9+(Scenario_Data!U179)/18)*EXP(-(((0)+5)^2)/(22^2))+18*SIN(2*PI()*(Scenario_Data!U179)/70))+Inputs!$C$28*EXP(-(((Scenario_Data!U179)-Inputs!$C$29)^2)/(2*Inputs!$C$31^2))*EXP(-(((0)-Inputs!$C$30)^2)/(2*Inputs!$C$32^2))+-Inputs!$C$33*EXP(-(((((Scenario_Data!U179)-Inputs!$C$34)^2)+(((0)-Inputs!$C$35)^2))/(2*Inputs!$C$36^2)))+Inputs!$C$37*(0.55*SIN(2*PI()*(Scenario_Data!U179)/Inputs!$C$39)+0.35*COS(2*PI()*(0)/Inputs!$C$40)+0.2*SIN(2*PI()*((Scenario_Data!U179)+(0))/(0.5*(Inputs!$C$39+Inputs!$C$40))))+Inputs!$C$38*SIN(2*PI()*(Scenario_Data!U179)/Inputs!$C$39)*SIN(2*PI()*(0)/Inputs!$C$40)+-Inputs!$C$41*EXP(-(((0)-Inputs!$C$43)^2)/(2*Inputs!$C$44^2))*EXP(-(((Scenario_Data!U179)-Inputs!$C$42)^2)/(2*Inputs!$C$45^2))+Inputs!$C$48*(0.7*(0.45*SIN(2*PI()*(((Scenario_Data!U179)/Inputs!$C$49)+Inputs!$C$47*0.137))+0.35*COS(2*PI()*(((0)/Inputs!$C$50)+Inputs!$C$47*0.173))+0.2*SIN(2*PI()*((((Scenario_Data!U179)+(0))/(0.5*(Inputs!$C$49+Inputs!$C$50)))+Inputs!$C$47*0.097)))+0.3*(2*((SIN(((Scenario_Data!U179)*12.9898+(0)*78.233+Inputs!$C$47*37.719))*43758.5453)-INT((SIN(((Scenario_Data!U179)*12.9898+(0)*78.233+Inputs!$C$47*37.719))*43758.5453)))-1)))))/Inputs!$C$21*1000000</f>
        <v/>
      </c>
      <c r="AB179">
        <f>Scenario_Data!V179</f>
        <v/>
      </c>
      <c r="AC179">
        <f>2*((Scenario_Data!D179*1000)-(IF(OR(Inputs!$C$27=TRUE,Inputs!$C$27="TRUE",Inputs!$C$27=1),1,0)*(Inputs!$C$51*(115*EXP(-(((0)-25)^2)/(4.5^2))+70*EXP(-(((0)+38)^2)/(7^2))*(0.55+0.45*SIN(2*PI()*(Scenario_Data!V179)/45))+24*SIN(2*PI()*(0)/9+(Scenario_Data!V179)/18)*EXP(-(((0)+5)^2)/(22^2))+18*SIN(2*PI()*(Scenario_Data!V179)/70))+Inputs!$C$28*EXP(-(((Scenario_Data!V179)-Inputs!$C$29)^2)/(2*Inputs!$C$31^2))*EXP(-(((0)-Inputs!$C$30)^2)/(2*Inputs!$C$32^2))+-Inputs!$C$33*EXP(-(((((Scenario_Data!V179)-Inputs!$C$34)^2)+(((0)-Inputs!$C$35)^2))/(2*Inputs!$C$36^2)))+Inputs!$C$37*(0.55*SIN(2*PI()*(Scenario_Data!V179)/Inputs!$C$39)+0.35*COS(2*PI()*(0)/Inputs!$C$40)+0.2*SIN(2*PI()*((Scenario_Data!V179)+(0))/(0.5*(Inputs!$C$39+Inputs!$C$40))))+Inputs!$C$38*SIN(2*PI()*(Scenario_Data!V179)/Inputs!$C$39)*SIN(2*PI()*(0)/Inputs!$C$40)+-Inputs!$C$41*EXP(-(((0)-Inputs!$C$43)^2)/(2*Inputs!$C$44^2))*EXP(-(((Scenario_Data!V179)-Inputs!$C$42)^2)/(2*Inputs!$C$45^2))+Inputs!$C$48*(0.7*(0.45*SIN(2*PI()*(((Scenario_Data!V179)/Inputs!$C$49)+Inputs!$C$47*0.137))+0.35*COS(2*PI()*(((0)/Inputs!$C$50)+Inputs!$C$47*0.173))+0.2*SIN(2*PI()*((((Scenario_Data!V179)+(0))/(0.5*(Inputs!$C$49+Inputs!$C$50)))+Inputs!$C$47*0.097)))+0.3*(2*((SIN(((Scenario_Data!V179)*12.9898+(0)*78.233+Inputs!$C$47*37.719))*43758.5453)-INT((SIN(((Scenario_Data!V179)*12.9898+(0)*78.233+Inputs!$C$47*37.719))*43758.5453)))-1)))))/Inputs!$C$21*1000000</f>
        <v/>
      </c>
      <c r="AD179">
        <f>Scenario_Data!W179</f>
        <v/>
      </c>
      <c r="AE179">
        <f>2*((Scenario_Data!E179*1000)-(IF(OR(Inputs!$C$27=TRUE,Inputs!$C$27="TRUE",Inputs!$C$27=1),1,0)*(Inputs!$C$51*(115*EXP(-(((0)-25)^2)/(4.5^2))+70*EXP(-(((0)+38)^2)/(7^2))*(0.55+0.45*SIN(2*PI()*(Scenario_Data!W179)/45))+24*SIN(2*PI()*(0)/9+(Scenario_Data!W179)/18)*EXP(-(((0)+5)^2)/(22^2))+18*SIN(2*PI()*(Scenario_Data!W179)/70))+Inputs!$C$28*EXP(-(((Scenario_Data!W179)-Inputs!$C$29)^2)/(2*Inputs!$C$31^2))*EXP(-(((0)-Inputs!$C$30)^2)/(2*Inputs!$C$32^2))+-Inputs!$C$33*EXP(-(((((Scenario_Data!W179)-Inputs!$C$34)^2)+(((0)-Inputs!$C$35)^2))/(2*Inputs!$C$36^2)))+Inputs!$C$37*(0.55*SIN(2*PI()*(Scenario_Data!W179)/Inputs!$C$39)+0.35*COS(2*PI()*(0)/Inputs!$C$40)+0.2*SIN(2*PI()*((Scenario_Data!W179)+(0))/(0.5*(Inputs!$C$39+Inputs!$C$40))))+Inputs!$C$38*SIN(2*PI()*(Scenario_Data!W179)/Inputs!$C$39)*SIN(2*PI()*(0)/Inputs!$C$40)+-Inputs!$C$41*EXP(-(((0)-Inputs!$C$43)^2)/(2*Inputs!$C$44^2))*EXP(-(((Scenario_Data!W179)-Inputs!$C$42)^2)/(2*Inputs!$C$45^2))+Inputs!$C$48*(0.7*(0.45*SIN(2*PI()*(((Scenario_Data!W179)/Inputs!$C$49)+Inputs!$C$47*0.137))+0.35*COS(2*PI()*(((0)/Inputs!$C$50)+Inputs!$C$47*0.173))+0.2*SIN(2*PI()*((((Scenario_Data!W179)+(0))/(0.5*(Inputs!$C$49+Inputs!$C$50)))+Inputs!$C$47*0.097)))+0.3*(2*((SIN(((Scenario_Data!W179)*12.9898+(0)*78.233+Inputs!$C$47*37.719))*43758.5453)-INT((SIN(((Scenario_Data!W179)*12.9898+(0)*78.233+Inputs!$C$47*37.719))*43758.5453)))-1)))))/Inputs!$C$21*1000000</f>
        <v/>
      </c>
      <c r="AG179">
        <f>Scenario_Data!T179</f>
        <v/>
      </c>
      <c r="AH179">
        <f>2*(SQRT((Inputs!$C$52+(Scenario_Data!B179))^2+Inputs!$C$52^2-2*(Inputs!$C$52+(Scenario_Data!B179))*Inputs!$C$52*COS(SQRT((Scenario_Data!T179)^2+Inputs!$C$6^2)/Inputs!$C$52))*1000)/Inputs!$C$21*1000000</f>
        <v/>
      </c>
      <c r="AI179">
        <f>Scenario_Data!U179</f>
        <v/>
      </c>
      <c r="AJ179">
        <f>2*(SQRT((Inputs!$C$52+(Scenario_Data!C179))^2+Inputs!$C$52^2-2*(Inputs!$C$52+(Scenario_Data!C179))*Inputs!$C$52*COS(SQRT((Scenario_Data!U179)^2+Inputs!$C$6^2)/Inputs!$C$52))*1000)/Inputs!$C$21*1000000</f>
        <v/>
      </c>
      <c r="AK179">
        <f>Scenario_Data!V179</f>
        <v/>
      </c>
      <c r="AL179">
        <f>2*(SQRT((Inputs!$C$52+(Scenario_Data!D179))^2+Inputs!$C$52^2-2*(Inputs!$C$52+(Scenario_Data!D179))*Inputs!$C$52*COS(SQRT((Scenario_Data!V179)^2+Inputs!$C$6^2)/Inputs!$C$52))*1000)/Inputs!$C$21*1000000</f>
        <v/>
      </c>
      <c r="AM179">
        <f>Scenario_Data!W179</f>
        <v/>
      </c>
      <c r="AN179">
        <f>2*(SQRT((Inputs!$C$52+(Scenario_Data!E179))^2+Inputs!$C$52^2-2*(Inputs!$C$52+(Scenario_Data!E179))*Inputs!$C$52*COS(SQRT((Scenario_Data!W179)^2+Inputs!$C$6^2)/Inputs!$C$52))*1000)/Inputs!$C$21*1000000</f>
        <v/>
      </c>
      <c r="AP179">
        <f>Scenario_Data!T179</f>
        <v/>
      </c>
      <c r="AQ179">
        <f>2*(SQRT((Inputs!$C$52+(Scenario_Data!B179))^2+(Inputs!$C$52+((IF(OR(Inputs!$C$27=TRUE,Inputs!$C$27="TRUE",Inputs!$C$27=1),1,0)*(Inputs!$C$51*(115*EXP(-(((Inputs!$C$6)-25)^2)/(4.5^2))+70*EXP(-(((Inputs!$C$6)+38)^2)/(7^2))*(0.55+0.45*SIN(2*PI()*(Scenario_Data!T179)/45))+24*SIN(2*PI()*(Inputs!$C$6)/9+(Scenario_Data!T179)/18)*EXP(-(((Inputs!$C$6)+5)^2)/(22^2))+18*SIN(2*PI()*(Scenario_Data!T179)/70))+Inputs!$C$28*EXP(-(((Scenario_Data!T179)-Inputs!$C$29)^2)/(2*Inputs!$C$31^2))*EXP(-(((Inputs!$C$6)-Inputs!$C$30)^2)/(2*Inputs!$C$32^2))+-Inputs!$C$33*EXP(-(((((Scenario_Data!T179)-Inputs!$C$34)^2)+(((Inputs!$C$6)-Inputs!$C$35)^2))/(2*Inputs!$C$36^2)))+Inputs!$C$37*(0.55*SIN(2*PI()*(Scenario_Data!T179)/Inputs!$C$39)+0.35*COS(2*PI()*(Inputs!$C$6)/Inputs!$C$40)+0.2*SIN(2*PI()*((Scenario_Data!T179)+(Inputs!$C$6))/(0.5*(Inputs!$C$39+Inputs!$C$40))))+Inputs!$C$38*SIN(2*PI()*(Scenario_Data!T179)/Inputs!$C$39)*SIN(2*PI()*(Inputs!$C$6)/Inputs!$C$40)+-Inputs!$C$41*EXP(-(((Inputs!$C$6)-Inputs!$C$43)^2)/(2*Inputs!$C$44^2))*EXP(-(((Scenario_Data!T179)-Inputs!$C$42)^2)/(2*Inputs!$C$45^2))+Inputs!$C$48*(0.7*(0.45*SIN(2*PI()*(((Scenario_Data!T179)/Inputs!$C$49)+Inputs!$C$47*0.137))+0.35*COS(2*PI()*(((Inputs!$C$6)/Inputs!$C$50)+Inputs!$C$47*0.173))+0.2*SIN(2*PI()*((((Scenario_Data!T179)+(Inputs!$C$6))/(0.5*(Inputs!$C$49+Inputs!$C$50)))+Inputs!$C$47*0.097)))+0.3*(2*((SIN(((Scenario_Data!T179)*12.9898+(Inputs!$C$6)*78.233+Inputs!$C$47*37.719))*43758.5453)-INT((SIN(((Scenario_Data!T179)*12.9898+(Inputs!$C$6)*78.233+Inputs!$C$47*37.719))*43758.5453)))-1))))/1000))^2-2*(Inputs!$C$52+(Scenario_Data!B179))*(Inputs!$C$52+((IF(OR(Inputs!$C$27=TRUE,Inputs!$C$27="TRUE",Inputs!$C$27=1),1,0)*(Inputs!$C$51*(115*EXP(-(((Inputs!$C$6)-25)^2)/(4.5^2))+70*EXP(-(((Inputs!$C$6)+38)^2)/(7^2))*(0.55+0.45*SIN(2*PI()*(Scenario_Data!T179)/45))+24*SIN(2*PI()*(Inputs!$C$6)/9+(Scenario_Data!T179)/18)*EXP(-(((Inputs!$C$6)+5)^2)/(22^2))+18*SIN(2*PI()*(Scenario_Data!T179)/70))+Inputs!$C$28*EXP(-(((Scenario_Data!T179)-Inputs!$C$29)^2)/(2*Inputs!$C$31^2))*EXP(-(((Inputs!$C$6)-Inputs!$C$30)^2)/(2*Inputs!$C$32^2))+-Inputs!$C$33*EXP(-(((((Scenario_Data!T179)-Inputs!$C$34)^2)+(((Inputs!$C$6)-Inputs!$C$35)^2))/(2*Inputs!$C$36^2)))+Inputs!$C$37*(0.55*SIN(2*PI()*(Scenario_Data!T179)/Inputs!$C$39)+0.35*COS(2*PI()*(Inputs!$C$6)/Inputs!$C$40)+0.2*SIN(2*PI()*((Scenario_Data!T179)+(Inputs!$C$6))/(0.5*(Inputs!$C$39+Inputs!$C$40))))+Inputs!$C$38*SIN(2*PI()*(Scenario_Data!T179)/Inputs!$C$39)*SIN(2*PI()*(Inputs!$C$6)/Inputs!$C$40)+-Inputs!$C$41*EXP(-(((Inputs!$C$6)-Inputs!$C$43)^2)/(2*Inputs!$C$44^2))*EXP(-(((Scenario_Data!T179)-Inputs!$C$42)^2)/(2*Inputs!$C$45^2))+Inputs!$C$48*(0.7*(0.45*SIN(2*PI()*(((Scenario_Data!T179)/Inputs!$C$49)+Inputs!$C$47*0.137))+0.35*COS(2*PI()*(((Inputs!$C$6)/Inputs!$C$50)+Inputs!$C$47*0.173))+0.2*SIN(2*PI()*((((Scenario_Data!T179)+(Inputs!$C$6))/(0.5*(Inputs!$C$49+Inputs!$C$50)))+Inputs!$C$47*0.097)))+0.3*(2*((SIN(((Scenario_Data!T179)*12.9898+(Inputs!$C$6)*78.233+Inputs!$C$47*37.719))*43758.5453)-INT((SIN(((Scenario_Data!T179)*12.9898+(Inputs!$C$6)*78.233+Inputs!$C$47*37.719))*43758.5453)))-1))))/1000))*COS(SQRT((Scenario_Data!T179)^2+Inputs!$C$6^2)/Inputs!$C$52))*1000)/Inputs!$C$21*1000000</f>
        <v/>
      </c>
      <c r="AR179">
        <f>Scenario_Data!U179</f>
        <v/>
      </c>
      <c r="AS179">
        <f>2*(SQRT((Inputs!$C$52+(Scenario_Data!C179))^2+(Inputs!$C$52+((IF(OR(Inputs!$C$27=TRUE,Inputs!$C$27="TRUE",Inputs!$C$27=1),1,0)*(Inputs!$C$51*(115*EXP(-(((Inputs!$C$6)-25)^2)/(4.5^2))+70*EXP(-(((Inputs!$C$6)+38)^2)/(7^2))*(0.55+0.45*SIN(2*PI()*(Scenario_Data!U179)/45))+24*SIN(2*PI()*(Inputs!$C$6)/9+(Scenario_Data!U179)/18)*EXP(-(((Inputs!$C$6)+5)^2)/(22^2))+18*SIN(2*PI()*(Scenario_Data!U179)/70))+Inputs!$C$28*EXP(-(((Scenario_Data!U179)-Inputs!$C$29)^2)/(2*Inputs!$C$31^2))*EXP(-(((Inputs!$C$6)-Inputs!$C$30)^2)/(2*Inputs!$C$32^2))+-Inputs!$C$33*EXP(-(((((Scenario_Data!U179)-Inputs!$C$34)^2)+(((Inputs!$C$6)-Inputs!$C$35)^2))/(2*Inputs!$C$36^2)))+Inputs!$C$37*(0.55*SIN(2*PI()*(Scenario_Data!U179)/Inputs!$C$39)+0.35*COS(2*PI()*(Inputs!$C$6)/Inputs!$C$40)+0.2*SIN(2*PI()*((Scenario_Data!U179)+(Inputs!$C$6))/(0.5*(Inputs!$C$39+Inputs!$C$40))))+Inputs!$C$38*SIN(2*PI()*(Scenario_Data!U179)/Inputs!$C$39)*SIN(2*PI()*(Inputs!$C$6)/Inputs!$C$40)+-Inputs!$C$41*EXP(-(((Inputs!$C$6)-Inputs!$C$43)^2)/(2*Inputs!$C$44^2))*EXP(-(((Scenario_Data!U179)-Inputs!$C$42)^2)/(2*Inputs!$C$45^2))+Inputs!$C$48*(0.7*(0.45*SIN(2*PI()*(((Scenario_Data!U179)/Inputs!$C$49)+Inputs!$C$47*0.137))+0.35*COS(2*PI()*(((Inputs!$C$6)/Inputs!$C$50)+Inputs!$C$47*0.173))+0.2*SIN(2*PI()*((((Scenario_Data!U179)+(Inputs!$C$6))/(0.5*(Inputs!$C$49+Inputs!$C$50)))+Inputs!$C$47*0.097)))+0.3*(2*((SIN(((Scenario_Data!U179)*12.9898+(Inputs!$C$6)*78.233+Inputs!$C$47*37.719))*43758.5453)-INT((SIN(((Scenario_Data!U179)*12.9898+(Inputs!$C$6)*78.233+Inputs!$C$47*37.719))*43758.5453)))-1))))/1000))^2-2*(Inputs!$C$52+(Scenario_Data!C179))*(Inputs!$C$52+((IF(OR(Inputs!$C$27=TRUE,Inputs!$C$27="TRUE",Inputs!$C$27=1),1,0)*(Inputs!$C$51*(115*EXP(-(((Inputs!$C$6)-25)^2)/(4.5^2))+70*EXP(-(((Inputs!$C$6)+38)^2)/(7^2))*(0.55+0.45*SIN(2*PI()*(Scenario_Data!U179)/45))+24*SIN(2*PI()*(Inputs!$C$6)/9+(Scenario_Data!U179)/18)*EXP(-(((Inputs!$C$6)+5)^2)/(22^2))+18*SIN(2*PI()*(Scenario_Data!U179)/70))+Inputs!$C$28*EXP(-(((Scenario_Data!U179)-Inputs!$C$29)^2)/(2*Inputs!$C$31^2))*EXP(-(((Inputs!$C$6)-Inputs!$C$30)^2)/(2*Inputs!$C$32^2))+-Inputs!$C$33*EXP(-(((((Scenario_Data!U179)-Inputs!$C$34)^2)+(((Inputs!$C$6)-Inputs!$C$35)^2))/(2*Inputs!$C$36^2)))+Inputs!$C$37*(0.55*SIN(2*PI()*(Scenario_Data!U179)/Inputs!$C$39)+0.35*COS(2*PI()*(Inputs!$C$6)/Inputs!$C$40)+0.2*SIN(2*PI()*((Scenario_Data!U179)+(Inputs!$C$6))/(0.5*(Inputs!$C$39+Inputs!$C$40))))+Inputs!$C$38*SIN(2*PI()*(Scenario_Data!U179)/Inputs!$C$39)*SIN(2*PI()*(Inputs!$C$6)/Inputs!$C$40)+-Inputs!$C$41*EXP(-(((Inputs!$C$6)-Inputs!$C$43)^2)/(2*Inputs!$C$44^2))*EXP(-(((Scenario_Data!U179)-Inputs!$C$42)^2)/(2*Inputs!$C$45^2))+Inputs!$C$48*(0.7*(0.45*SIN(2*PI()*(((Scenario_Data!U179)/Inputs!$C$49)+Inputs!$C$47*0.137))+0.35*COS(2*PI()*(((Inputs!$C$6)/Inputs!$C$50)+Inputs!$C$47*0.173))+0.2*SIN(2*PI()*((((Scenario_Data!U179)+(Inputs!$C$6))/(0.5*(Inputs!$C$49+Inputs!$C$50)))+Inputs!$C$47*0.097)))+0.3*(2*((SIN(((Scenario_Data!U179)*12.9898+(Inputs!$C$6)*78.233+Inputs!$C$47*37.719))*43758.5453)-INT((SIN(((Scenario_Data!U179)*12.9898+(Inputs!$C$6)*78.233+Inputs!$C$47*37.719))*43758.5453)))-1))))/1000))*COS(SQRT((Scenario_Data!U179)^2+Inputs!$C$6^2)/Inputs!$C$52))*1000)/Inputs!$C$21*1000000</f>
        <v/>
      </c>
      <c r="AT179">
        <f>Scenario_Data!V179</f>
        <v/>
      </c>
      <c r="AU179">
        <f>2*(SQRT((Inputs!$C$52+(Scenario_Data!D179))^2+(Inputs!$C$52+((IF(OR(Inputs!$C$27=TRUE,Inputs!$C$27="TRUE",Inputs!$C$27=1),1,0)*(Inputs!$C$51*(115*EXP(-(((Inputs!$C$6)-25)^2)/(4.5^2))+70*EXP(-(((Inputs!$C$6)+38)^2)/(7^2))*(0.55+0.45*SIN(2*PI()*(Scenario_Data!V179)/45))+24*SIN(2*PI()*(Inputs!$C$6)/9+(Scenario_Data!V179)/18)*EXP(-(((Inputs!$C$6)+5)^2)/(22^2))+18*SIN(2*PI()*(Scenario_Data!V179)/70))+Inputs!$C$28*EXP(-(((Scenario_Data!V179)-Inputs!$C$29)^2)/(2*Inputs!$C$31^2))*EXP(-(((Inputs!$C$6)-Inputs!$C$30)^2)/(2*Inputs!$C$32^2))+-Inputs!$C$33*EXP(-(((((Scenario_Data!V179)-Inputs!$C$34)^2)+(((Inputs!$C$6)-Inputs!$C$35)^2))/(2*Inputs!$C$36^2)))+Inputs!$C$37*(0.55*SIN(2*PI()*(Scenario_Data!V179)/Inputs!$C$39)+0.35*COS(2*PI()*(Inputs!$C$6)/Inputs!$C$40)+0.2*SIN(2*PI()*((Scenario_Data!V179)+(Inputs!$C$6))/(0.5*(Inputs!$C$39+Inputs!$C$40))))+Inputs!$C$38*SIN(2*PI()*(Scenario_Data!V179)/Inputs!$C$39)*SIN(2*PI()*(Inputs!$C$6)/Inputs!$C$40)+-Inputs!$C$41*EXP(-(((Inputs!$C$6)-Inputs!$C$43)^2)/(2*Inputs!$C$44^2))*EXP(-(((Scenario_Data!V179)-Inputs!$C$42)^2)/(2*Inputs!$C$45^2))+Inputs!$C$48*(0.7*(0.45*SIN(2*PI()*(((Scenario_Data!V179)/Inputs!$C$49)+Inputs!$C$47*0.137))+0.35*COS(2*PI()*(((Inputs!$C$6)/Inputs!$C$50)+Inputs!$C$47*0.173))+0.2*SIN(2*PI()*((((Scenario_Data!V179)+(Inputs!$C$6))/(0.5*(Inputs!$C$49+Inputs!$C$50)))+Inputs!$C$47*0.097)))+0.3*(2*((SIN(((Scenario_Data!V179)*12.9898+(Inputs!$C$6)*78.233+Inputs!$C$47*37.719))*43758.5453)-INT((SIN(((Scenario_Data!V179)*12.9898+(Inputs!$C$6)*78.233+Inputs!$C$47*37.719))*43758.5453)))-1))))/1000))^2-2*(Inputs!$C$52+(Scenario_Data!D179))*(Inputs!$C$52+((IF(OR(Inputs!$C$27=TRUE,Inputs!$C$27="TRUE",Inputs!$C$27=1),1,0)*(Inputs!$C$51*(115*EXP(-(((Inputs!$C$6)-25)^2)/(4.5^2))+70*EXP(-(((Inputs!$C$6)+38)^2)/(7^2))*(0.55+0.45*SIN(2*PI()*(Scenario_Data!V179)/45))+24*SIN(2*PI()*(Inputs!$C$6)/9+(Scenario_Data!V179)/18)*EXP(-(((Inputs!$C$6)+5)^2)/(22^2))+18*SIN(2*PI()*(Scenario_Data!V179)/70))+Inputs!$C$28*EXP(-(((Scenario_Data!V179)-Inputs!$C$29)^2)/(2*Inputs!$C$31^2))*EXP(-(((Inputs!$C$6)-Inputs!$C$30)^2)/(2*Inputs!$C$32^2))+-Inputs!$C$33*EXP(-(((((Scenario_Data!V179)-Inputs!$C$34)^2)+(((Inputs!$C$6)-Inputs!$C$35)^2))/(2*Inputs!$C$36^2)))+Inputs!$C$37*(0.55*SIN(2*PI()*(Scenario_Data!V179)/Inputs!$C$39)+0.35*COS(2*PI()*(Inputs!$C$6)/Inputs!$C$40)+0.2*SIN(2*PI()*((Scenario_Data!V179)+(Inputs!$C$6))/(0.5*(Inputs!$C$39+Inputs!$C$40))))+Inputs!$C$38*SIN(2*PI()*(Scenario_Data!V179)/Inputs!$C$39)*SIN(2*PI()*(Inputs!$C$6)/Inputs!$C$40)+-Inputs!$C$41*EXP(-(((Inputs!$C$6)-Inputs!$C$43)^2)/(2*Inputs!$C$44^2))*EXP(-(((Scenario_Data!V179)-Inputs!$C$42)^2)/(2*Inputs!$C$45^2))+Inputs!$C$48*(0.7*(0.45*SIN(2*PI()*(((Scenario_Data!V179)/Inputs!$C$49)+Inputs!$C$47*0.137))+0.35*COS(2*PI()*(((Inputs!$C$6)/Inputs!$C$50)+Inputs!$C$47*0.173))+0.2*SIN(2*PI()*((((Scenario_Data!V179)+(Inputs!$C$6))/(0.5*(Inputs!$C$49+Inputs!$C$50)))+Inputs!$C$47*0.097)))+0.3*(2*((SIN(((Scenario_Data!V179)*12.9898+(Inputs!$C$6)*78.233+Inputs!$C$47*37.719))*43758.5453)-INT((SIN(((Scenario_Data!V179)*12.9898+(Inputs!$C$6)*78.233+Inputs!$C$47*37.719))*43758.5453)))-1))))/1000))*COS(SQRT((Scenario_Data!V179)^2+Inputs!$C$6^2)/Inputs!$C$52))*1000)/Inputs!$C$21*1000000</f>
        <v/>
      </c>
      <c r="AV179">
        <f>Scenario_Data!W179</f>
        <v/>
      </c>
      <c r="AW179">
        <f>2*(SQRT((Inputs!$C$52+(Scenario_Data!E179))^2+(Inputs!$C$52+((IF(OR(Inputs!$C$27=TRUE,Inputs!$C$27="TRUE",Inputs!$C$27=1),1,0)*(Inputs!$C$51*(115*EXP(-(((Inputs!$C$6)-25)^2)/(4.5^2))+70*EXP(-(((Inputs!$C$6)+38)^2)/(7^2))*(0.55+0.45*SIN(2*PI()*(Scenario_Data!W179)/45))+24*SIN(2*PI()*(Inputs!$C$6)/9+(Scenario_Data!W179)/18)*EXP(-(((Inputs!$C$6)+5)^2)/(22^2))+18*SIN(2*PI()*(Scenario_Data!W179)/70))+Inputs!$C$28*EXP(-(((Scenario_Data!W179)-Inputs!$C$29)^2)/(2*Inputs!$C$31^2))*EXP(-(((Inputs!$C$6)-Inputs!$C$30)^2)/(2*Inputs!$C$32^2))+-Inputs!$C$33*EXP(-(((((Scenario_Data!W179)-Inputs!$C$34)^2)+(((Inputs!$C$6)-Inputs!$C$35)^2))/(2*Inputs!$C$36^2)))+Inputs!$C$37*(0.55*SIN(2*PI()*(Scenario_Data!W179)/Inputs!$C$39)+0.35*COS(2*PI()*(Inputs!$C$6)/Inputs!$C$40)+0.2*SIN(2*PI()*((Scenario_Data!W179)+(Inputs!$C$6))/(0.5*(Inputs!$C$39+Inputs!$C$40))))+Inputs!$C$38*SIN(2*PI()*(Scenario_Data!W179)/Inputs!$C$39)*SIN(2*PI()*(Inputs!$C$6)/Inputs!$C$40)+-Inputs!$C$41*EXP(-(((Inputs!$C$6)-Inputs!$C$43)^2)/(2*Inputs!$C$44^2))*EXP(-(((Scenario_Data!W179)-Inputs!$C$42)^2)/(2*Inputs!$C$45^2))+Inputs!$C$48*(0.7*(0.45*SIN(2*PI()*(((Scenario_Data!W179)/Inputs!$C$49)+Inputs!$C$47*0.137))+0.35*COS(2*PI()*(((Inputs!$C$6)/Inputs!$C$50)+Inputs!$C$47*0.173))+0.2*SIN(2*PI()*((((Scenario_Data!W179)+(Inputs!$C$6))/(0.5*(Inputs!$C$49+Inputs!$C$50)))+Inputs!$C$47*0.097)))+0.3*(2*((SIN(((Scenario_Data!W179)*12.9898+(Inputs!$C$6)*78.233+Inputs!$C$47*37.719))*43758.5453)-INT((SIN(((Scenario_Data!W179)*12.9898+(Inputs!$C$6)*78.233+Inputs!$C$47*37.719))*43758.5453)))-1))))/1000))^2-2*(Inputs!$C$52+(Scenario_Data!E179))*(Inputs!$C$52+((IF(OR(Inputs!$C$27=TRUE,Inputs!$C$27="TRUE",Inputs!$C$27=1),1,0)*(Inputs!$C$51*(115*EXP(-(((Inputs!$C$6)-25)^2)/(4.5^2))+70*EXP(-(((Inputs!$C$6)+38)^2)/(7^2))*(0.55+0.45*SIN(2*PI()*(Scenario_Data!W179)/45))+24*SIN(2*PI()*(Inputs!$C$6)/9+(Scenario_Data!W179)/18)*EXP(-(((Inputs!$C$6)+5)^2)/(22^2))+18*SIN(2*PI()*(Scenario_Data!W179)/70))+Inputs!$C$28*EXP(-(((Scenario_Data!W179)-Inputs!$C$29)^2)/(2*Inputs!$C$31^2))*EXP(-(((Inputs!$C$6)-Inputs!$C$30)^2)/(2*Inputs!$C$32^2))+-Inputs!$C$33*EXP(-(((((Scenario_Data!W179)-Inputs!$C$34)^2)+(((Inputs!$C$6)-Inputs!$C$35)^2))/(2*Inputs!$C$36^2)))+Inputs!$C$37*(0.55*SIN(2*PI()*(Scenario_Data!W179)/Inputs!$C$39)+0.35*COS(2*PI()*(Inputs!$C$6)/Inputs!$C$40)+0.2*SIN(2*PI()*((Scenario_Data!W179)+(Inputs!$C$6))/(0.5*(Inputs!$C$39+Inputs!$C$40))))+Inputs!$C$38*SIN(2*PI()*(Scenario_Data!W179)/Inputs!$C$39)*SIN(2*PI()*(Inputs!$C$6)/Inputs!$C$40)+-Inputs!$C$41*EXP(-(((Inputs!$C$6)-Inputs!$C$43)^2)/(2*Inputs!$C$44^2))*EXP(-(((Scenario_Data!W179)-Inputs!$C$42)^2)/(2*Inputs!$C$45^2))+Inputs!$C$48*(0.7*(0.45*SIN(2*PI()*(((Scenario_Data!W179)/Inputs!$C$49)+Inputs!$C$47*0.137))+0.35*COS(2*PI()*(((Inputs!$C$6)/Inputs!$C$50)+Inputs!$C$47*0.173))+0.2*SIN(2*PI()*((((Scenario_Data!W179)+(Inputs!$C$6))/(0.5*(Inputs!$C$49+Inputs!$C$50)))+Inputs!$C$47*0.097)))+0.3*(2*((SIN(((Scenario_Data!W179)*12.9898+(Inputs!$C$6)*78.233+Inputs!$C$47*37.719))*43758.5453)-INT((SIN(((Scenario_Data!W179)*12.9898+(Inputs!$C$6)*78.233+Inputs!$C$47*37.719))*43758.5453)))-1))))/1000))*COS(SQRT((Scenario_Data!W179)^2+Inputs!$C$6^2)/Inputs!$C$52))*1000)/Inputs!$C$21*1000000</f>
        <v/>
      </c>
    </row>
    <row r="180">
      <c r="A180">
        <f>Chart_Data!K180</f>
        <v/>
      </c>
      <c r="B180">
        <f>Chart_Data!N180-Chart_Data!L180</f>
        <v/>
      </c>
      <c r="D180">
        <f>Chart_Data!G180</f>
        <v/>
      </c>
      <c r="E180">
        <f>Chart_Data!H180</f>
        <v/>
      </c>
      <c r="F180">
        <f>Chart_Data!I180</f>
        <v/>
      </c>
      <c r="G180">
        <f>Chart_Data!J180</f>
        <v/>
      </c>
      <c r="I180">
        <f>Scenario_Data!A180</f>
        <v/>
      </c>
      <c r="J180">
        <f>Scenario_Data!H180-(((SQRT((Inputs!$C$52+(Inputs!$H$6))^2+Inputs!$C$52^2-2*(Inputs!$C$52+(Inputs!$H$6))*Inputs!$C$52*COS(SQRT((Scenario_Data!T180)^2+Inputs!$C$6^2)/Inputs!$C$52)))-(Inputs!$H$6))*1000/Inputs!$C$12)</f>
        <v/>
      </c>
      <c r="K180">
        <f>Scenario_Data!I180-(((SQRT((Inputs!$C$52+(Inputs!$H$7))^2+Inputs!$C$52^2-2*(Inputs!$C$52+(Inputs!$H$7))*Inputs!$C$52*COS(SQRT((Scenario_Data!U180)^2+Inputs!$C$6^2)/Inputs!$C$52)))-(Inputs!$H$7))*1000/Inputs!$C$12)</f>
        <v/>
      </c>
      <c r="L180">
        <f>Scenario_Data!J180-(((SQRT((Inputs!$C$52+(Inputs!$H$8))^2+Inputs!$C$52^2-2*(Inputs!$C$52+(Inputs!$H$8))*Inputs!$C$52*COS(SQRT((Scenario_Data!V180)^2+Inputs!$C$6^2)/Inputs!$C$52)))-(Inputs!$H$8))*1000/Inputs!$C$12)</f>
        <v/>
      </c>
      <c r="M180">
        <f>Scenario_Data!K180-(((SQRT((Inputs!$C$52+(Inputs!$H$9))^2+Inputs!$C$52^2-2*(Inputs!$C$52+(Inputs!$H$9))*Inputs!$C$52*COS(SQRT((Scenario_Data!W180)^2+Inputs!$C$6^2)/Inputs!$C$52)))-(Inputs!$H$9))*1000/Inputs!$C$12)</f>
        <v/>
      </c>
      <c r="O180">
        <f>Scenario_Data!T180</f>
        <v/>
      </c>
      <c r="P180">
        <f>2*(Scenario_Data!B180*1000)/Inputs!$C$21*1000000</f>
        <v/>
      </c>
      <c r="Q180">
        <f>Scenario_Data!U180</f>
        <v/>
      </c>
      <c r="R180">
        <f>2*(Scenario_Data!C180*1000)/Inputs!$C$21*1000000</f>
        <v/>
      </c>
      <c r="S180">
        <f>Scenario_Data!V180</f>
        <v/>
      </c>
      <c r="T180">
        <f>2*(Scenario_Data!D180*1000)/Inputs!$C$21*1000000</f>
        <v/>
      </c>
      <c r="U180">
        <f>Scenario_Data!W180</f>
        <v/>
      </c>
      <c r="V180">
        <f>2*(Scenario_Data!E180*1000)/Inputs!$C$21*1000000</f>
        <v/>
      </c>
      <c r="X180">
        <f>Scenario_Data!T180</f>
        <v/>
      </c>
      <c r="Y180">
        <f>2*((Scenario_Data!B180*1000)-(IF(OR(Inputs!$C$27=TRUE,Inputs!$C$27="TRUE",Inputs!$C$27=1),1,0)*(Inputs!$C$51*(115*EXP(-(((0)-25)^2)/(4.5^2))+70*EXP(-(((0)+38)^2)/(7^2))*(0.55+0.45*SIN(2*PI()*(Scenario_Data!T180)/45))+24*SIN(2*PI()*(0)/9+(Scenario_Data!T180)/18)*EXP(-(((0)+5)^2)/(22^2))+18*SIN(2*PI()*(Scenario_Data!T180)/70))+Inputs!$C$28*EXP(-(((Scenario_Data!T180)-Inputs!$C$29)^2)/(2*Inputs!$C$31^2))*EXP(-(((0)-Inputs!$C$30)^2)/(2*Inputs!$C$32^2))+-Inputs!$C$33*EXP(-(((((Scenario_Data!T180)-Inputs!$C$34)^2)+(((0)-Inputs!$C$35)^2))/(2*Inputs!$C$36^2)))+Inputs!$C$37*(0.55*SIN(2*PI()*(Scenario_Data!T180)/Inputs!$C$39)+0.35*COS(2*PI()*(0)/Inputs!$C$40)+0.2*SIN(2*PI()*((Scenario_Data!T180)+(0))/(0.5*(Inputs!$C$39+Inputs!$C$40))))+Inputs!$C$38*SIN(2*PI()*(Scenario_Data!T180)/Inputs!$C$39)*SIN(2*PI()*(0)/Inputs!$C$40)+-Inputs!$C$41*EXP(-(((0)-Inputs!$C$43)^2)/(2*Inputs!$C$44^2))*EXP(-(((Scenario_Data!T180)-Inputs!$C$42)^2)/(2*Inputs!$C$45^2))+Inputs!$C$48*(0.7*(0.45*SIN(2*PI()*(((Scenario_Data!T180)/Inputs!$C$49)+Inputs!$C$47*0.137))+0.35*COS(2*PI()*(((0)/Inputs!$C$50)+Inputs!$C$47*0.173))+0.2*SIN(2*PI()*((((Scenario_Data!T180)+(0))/(0.5*(Inputs!$C$49+Inputs!$C$50)))+Inputs!$C$47*0.097)))+0.3*(2*((SIN(((Scenario_Data!T180)*12.9898+(0)*78.233+Inputs!$C$47*37.719))*43758.5453)-INT((SIN(((Scenario_Data!T180)*12.9898+(0)*78.233+Inputs!$C$47*37.719))*43758.5453)))-1)))))/Inputs!$C$21*1000000</f>
        <v/>
      </c>
      <c r="Z180">
        <f>Scenario_Data!U180</f>
        <v/>
      </c>
      <c r="AA180">
        <f>2*((Scenario_Data!C180*1000)-(IF(OR(Inputs!$C$27=TRUE,Inputs!$C$27="TRUE",Inputs!$C$27=1),1,0)*(Inputs!$C$51*(115*EXP(-(((0)-25)^2)/(4.5^2))+70*EXP(-(((0)+38)^2)/(7^2))*(0.55+0.45*SIN(2*PI()*(Scenario_Data!U180)/45))+24*SIN(2*PI()*(0)/9+(Scenario_Data!U180)/18)*EXP(-(((0)+5)^2)/(22^2))+18*SIN(2*PI()*(Scenario_Data!U180)/70))+Inputs!$C$28*EXP(-(((Scenario_Data!U180)-Inputs!$C$29)^2)/(2*Inputs!$C$31^2))*EXP(-(((0)-Inputs!$C$30)^2)/(2*Inputs!$C$32^2))+-Inputs!$C$33*EXP(-(((((Scenario_Data!U180)-Inputs!$C$34)^2)+(((0)-Inputs!$C$35)^2))/(2*Inputs!$C$36^2)))+Inputs!$C$37*(0.55*SIN(2*PI()*(Scenario_Data!U180)/Inputs!$C$39)+0.35*COS(2*PI()*(0)/Inputs!$C$40)+0.2*SIN(2*PI()*((Scenario_Data!U180)+(0))/(0.5*(Inputs!$C$39+Inputs!$C$40))))+Inputs!$C$38*SIN(2*PI()*(Scenario_Data!U180)/Inputs!$C$39)*SIN(2*PI()*(0)/Inputs!$C$40)+-Inputs!$C$41*EXP(-(((0)-Inputs!$C$43)^2)/(2*Inputs!$C$44^2))*EXP(-(((Scenario_Data!U180)-Inputs!$C$42)^2)/(2*Inputs!$C$45^2))+Inputs!$C$48*(0.7*(0.45*SIN(2*PI()*(((Scenario_Data!U180)/Inputs!$C$49)+Inputs!$C$47*0.137))+0.35*COS(2*PI()*(((0)/Inputs!$C$50)+Inputs!$C$47*0.173))+0.2*SIN(2*PI()*((((Scenario_Data!U180)+(0))/(0.5*(Inputs!$C$49+Inputs!$C$50)))+Inputs!$C$47*0.097)))+0.3*(2*((SIN(((Scenario_Data!U180)*12.9898+(0)*78.233+Inputs!$C$47*37.719))*43758.5453)-INT((SIN(((Scenario_Data!U180)*12.9898+(0)*78.233+Inputs!$C$47*37.719))*43758.5453)))-1)))))/Inputs!$C$21*1000000</f>
        <v/>
      </c>
      <c r="AB180">
        <f>Scenario_Data!V180</f>
        <v/>
      </c>
      <c r="AC180">
        <f>2*((Scenario_Data!D180*1000)-(IF(OR(Inputs!$C$27=TRUE,Inputs!$C$27="TRUE",Inputs!$C$27=1),1,0)*(Inputs!$C$51*(115*EXP(-(((0)-25)^2)/(4.5^2))+70*EXP(-(((0)+38)^2)/(7^2))*(0.55+0.45*SIN(2*PI()*(Scenario_Data!V180)/45))+24*SIN(2*PI()*(0)/9+(Scenario_Data!V180)/18)*EXP(-(((0)+5)^2)/(22^2))+18*SIN(2*PI()*(Scenario_Data!V180)/70))+Inputs!$C$28*EXP(-(((Scenario_Data!V180)-Inputs!$C$29)^2)/(2*Inputs!$C$31^2))*EXP(-(((0)-Inputs!$C$30)^2)/(2*Inputs!$C$32^2))+-Inputs!$C$33*EXP(-(((((Scenario_Data!V180)-Inputs!$C$34)^2)+(((0)-Inputs!$C$35)^2))/(2*Inputs!$C$36^2)))+Inputs!$C$37*(0.55*SIN(2*PI()*(Scenario_Data!V180)/Inputs!$C$39)+0.35*COS(2*PI()*(0)/Inputs!$C$40)+0.2*SIN(2*PI()*((Scenario_Data!V180)+(0))/(0.5*(Inputs!$C$39+Inputs!$C$40))))+Inputs!$C$38*SIN(2*PI()*(Scenario_Data!V180)/Inputs!$C$39)*SIN(2*PI()*(0)/Inputs!$C$40)+-Inputs!$C$41*EXP(-(((0)-Inputs!$C$43)^2)/(2*Inputs!$C$44^2))*EXP(-(((Scenario_Data!V180)-Inputs!$C$42)^2)/(2*Inputs!$C$45^2))+Inputs!$C$48*(0.7*(0.45*SIN(2*PI()*(((Scenario_Data!V180)/Inputs!$C$49)+Inputs!$C$47*0.137))+0.35*COS(2*PI()*(((0)/Inputs!$C$50)+Inputs!$C$47*0.173))+0.2*SIN(2*PI()*((((Scenario_Data!V180)+(0))/(0.5*(Inputs!$C$49+Inputs!$C$50)))+Inputs!$C$47*0.097)))+0.3*(2*((SIN(((Scenario_Data!V180)*12.9898+(0)*78.233+Inputs!$C$47*37.719))*43758.5453)-INT((SIN(((Scenario_Data!V180)*12.9898+(0)*78.233+Inputs!$C$47*37.719))*43758.5453)))-1)))))/Inputs!$C$21*1000000</f>
        <v/>
      </c>
      <c r="AD180">
        <f>Scenario_Data!W180</f>
        <v/>
      </c>
      <c r="AE180">
        <f>2*((Scenario_Data!E180*1000)-(IF(OR(Inputs!$C$27=TRUE,Inputs!$C$27="TRUE",Inputs!$C$27=1),1,0)*(Inputs!$C$51*(115*EXP(-(((0)-25)^2)/(4.5^2))+70*EXP(-(((0)+38)^2)/(7^2))*(0.55+0.45*SIN(2*PI()*(Scenario_Data!W180)/45))+24*SIN(2*PI()*(0)/9+(Scenario_Data!W180)/18)*EXP(-(((0)+5)^2)/(22^2))+18*SIN(2*PI()*(Scenario_Data!W180)/70))+Inputs!$C$28*EXP(-(((Scenario_Data!W180)-Inputs!$C$29)^2)/(2*Inputs!$C$31^2))*EXP(-(((0)-Inputs!$C$30)^2)/(2*Inputs!$C$32^2))+-Inputs!$C$33*EXP(-(((((Scenario_Data!W180)-Inputs!$C$34)^2)+(((0)-Inputs!$C$35)^2))/(2*Inputs!$C$36^2)))+Inputs!$C$37*(0.55*SIN(2*PI()*(Scenario_Data!W180)/Inputs!$C$39)+0.35*COS(2*PI()*(0)/Inputs!$C$40)+0.2*SIN(2*PI()*((Scenario_Data!W180)+(0))/(0.5*(Inputs!$C$39+Inputs!$C$40))))+Inputs!$C$38*SIN(2*PI()*(Scenario_Data!W180)/Inputs!$C$39)*SIN(2*PI()*(0)/Inputs!$C$40)+-Inputs!$C$41*EXP(-(((0)-Inputs!$C$43)^2)/(2*Inputs!$C$44^2))*EXP(-(((Scenario_Data!W180)-Inputs!$C$42)^2)/(2*Inputs!$C$45^2))+Inputs!$C$48*(0.7*(0.45*SIN(2*PI()*(((Scenario_Data!W180)/Inputs!$C$49)+Inputs!$C$47*0.137))+0.35*COS(2*PI()*(((0)/Inputs!$C$50)+Inputs!$C$47*0.173))+0.2*SIN(2*PI()*((((Scenario_Data!W180)+(0))/(0.5*(Inputs!$C$49+Inputs!$C$50)))+Inputs!$C$47*0.097)))+0.3*(2*((SIN(((Scenario_Data!W180)*12.9898+(0)*78.233+Inputs!$C$47*37.719))*43758.5453)-INT((SIN(((Scenario_Data!W180)*12.9898+(0)*78.233+Inputs!$C$47*37.719))*43758.5453)))-1)))))/Inputs!$C$21*1000000</f>
        <v/>
      </c>
      <c r="AG180">
        <f>Scenario_Data!T180</f>
        <v/>
      </c>
      <c r="AH180">
        <f>2*(SQRT((Inputs!$C$52+(Scenario_Data!B180))^2+Inputs!$C$52^2-2*(Inputs!$C$52+(Scenario_Data!B180))*Inputs!$C$52*COS(SQRT((Scenario_Data!T180)^2+Inputs!$C$6^2)/Inputs!$C$52))*1000)/Inputs!$C$21*1000000</f>
        <v/>
      </c>
      <c r="AI180">
        <f>Scenario_Data!U180</f>
        <v/>
      </c>
      <c r="AJ180">
        <f>2*(SQRT((Inputs!$C$52+(Scenario_Data!C180))^2+Inputs!$C$52^2-2*(Inputs!$C$52+(Scenario_Data!C180))*Inputs!$C$52*COS(SQRT((Scenario_Data!U180)^2+Inputs!$C$6^2)/Inputs!$C$52))*1000)/Inputs!$C$21*1000000</f>
        <v/>
      </c>
      <c r="AK180">
        <f>Scenario_Data!V180</f>
        <v/>
      </c>
      <c r="AL180">
        <f>2*(SQRT((Inputs!$C$52+(Scenario_Data!D180))^2+Inputs!$C$52^2-2*(Inputs!$C$52+(Scenario_Data!D180))*Inputs!$C$52*COS(SQRT((Scenario_Data!V180)^2+Inputs!$C$6^2)/Inputs!$C$52))*1000)/Inputs!$C$21*1000000</f>
        <v/>
      </c>
      <c r="AM180">
        <f>Scenario_Data!W180</f>
        <v/>
      </c>
      <c r="AN180">
        <f>2*(SQRT((Inputs!$C$52+(Scenario_Data!E180))^2+Inputs!$C$52^2-2*(Inputs!$C$52+(Scenario_Data!E180))*Inputs!$C$52*COS(SQRT((Scenario_Data!W180)^2+Inputs!$C$6^2)/Inputs!$C$52))*1000)/Inputs!$C$21*1000000</f>
        <v/>
      </c>
      <c r="AP180">
        <f>Scenario_Data!T180</f>
        <v/>
      </c>
      <c r="AQ180">
        <f>2*(SQRT((Inputs!$C$52+(Scenario_Data!B180))^2+(Inputs!$C$52+((IF(OR(Inputs!$C$27=TRUE,Inputs!$C$27="TRUE",Inputs!$C$27=1),1,0)*(Inputs!$C$51*(115*EXP(-(((Inputs!$C$6)-25)^2)/(4.5^2))+70*EXP(-(((Inputs!$C$6)+38)^2)/(7^2))*(0.55+0.45*SIN(2*PI()*(Scenario_Data!T180)/45))+24*SIN(2*PI()*(Inputs!$C$6)/9+(Scenario_Data!T180)/18)*EXP(-(((Inputs!$C$6)+5)^2)/(22^2))+18*SIN(2*PI()*(Scenario_Data!T180)/70))+Inputs!$C$28*EXP(-(((Scenario_Data!T180)-Inputs!$C$29)^2)/(2*Inputs!$C$31^2))*EXP(-(((Inputs!$C$6)-Inputs!$C$30)^2)/(2*Inputs!$C$32^2))+-Inputs!$C$33*EXP(-(((((Scenario_Data!T180)-Inputs!$C$34)^2)+(((Inputs!$C$6)-Inputs!$C$35)^2))/(2*Inputs!$C$36^2)))+Inputs!$C$37*(0.55*SIN(2*PI()*(Scenario_Data!T180)/Inputs!$C$39)+0.35*COS(2*PI()*(Inputs!$C$6)/Inputs!$C$40)+0.2*SIN(2*PI()*((Scenario_Data!T180)+(Inputs!$C$6))/(0.5*(Inputs!$C$39+Inputs!$C$40))))+Inputs!$C$38*SIN(2*PI()*(Scenario_Data!T180)/Inputs!$C$39)*SIN(2*PI()*(Inputs!$C$6)/Inputs!$C$40)+-Inputs!$C$41*EXP(-(((Inputs!$C$6)-Inputs!$C$43)^2)/(2*Inputs!$C$44^2))*EXP(-(((Scenario_Data!T180)-Inputs!$C$42)^2)/(2*Inputs!$C$45^2))+Inputs!$C$48*(0.7*(0.45*SIN(2*PI()*(((Scenario_Data!T180)/Inputs!$C$49)+Inputs!$C$47*0.137))+0.35*COS(2*PI()*(((Inputs!$C$6)/Inputs!$C$50)+Inputs!$C$47*0.173))+0.2*SIN(2*PI()*((((Scenario_Data!T180)+(Inputs!$C$6))/(0.5*(Inputs!$C$49+Inputs!$C$50)))+Inputs!$C$47*0.097)))+0.3*(2*((SIN(((Scenario_Data!T180)*12.9898+(Inputs!$C$6)*78.233+Inputs!$C$47*37.719))*43758.5453)-INT((SIN(((Scenario_Data!T180)*12.9898+(Inputs!$C$6)*78.233+Inputs!$C$47*37.719))*43758.5453)))-1))))/1000))^2-2*(Inputs!$C$52+(Scenario_Data!B180))*(Inputs!$C$52+((IF(OR(Inputs!$C$27=TRUE,Inputs!$C$27="TRUE",Inputs!$C$27=1),1,0)*(Inputs!$C$51*(115*EXP(-(((Inputs!$C$6)-25)^2)/(4.5^2))+70*EXP(-(((Inputs!$C$6)+38)^2)/(7^2))*(0.55+0.45*SIN(2*PI()*(Scenario_Data!T180)/45))+24*SIN(2*PI()*(Inputs!$C$6)/9+(Scenario_Data!T180)/18)*EXP(-(((Inputs!$C$6)+5)^2)/(22^2))+18*SIN(2*PI()*(Scenario_Data!T180)/70))+Inputs!$C$28*EXP(-(((Scenario_Data!T180)-Inputs!$C$29)^2)/(2*Inputs!$C$31^2))*EXP(-(((Inputs!$C$6)-Inputs!$C$30)^2)/(2*Inputs!$C$32^2))+-Inputs!$C$33*EXP(-(((((Scenario_Data!T180)-Inputs!$C$34)^2)+(((Inputs!$C$6)-Inputs!$C$35)^2))/(2*Inputs!$C$36^2)))+Inputs!$C$37*(0.55*SIN(2*PI()*(Scenario_Data!T180)/Inputs!$C$39)+0.35*COS(2*PI()*(Inputs!$C$6)/Inputs!$C$40)+0.2*SIN(2*PI()*((Scenario_Data!T180)+(Inputs!$C$6))/(0.5*(Inputs!$C$39+Inputs!$C$40))))+Inputs!$C$38*SIN(2*PI()*(Scenario_Data!T180)/Inputs!$C$39)*SIN(2*PI()*(Inputs!$C$6)/Inputs!$C$40)+-Inputs!$C$41*EXP(-(((Inputs!$C$6)-Inputs!$C$43)^2)/(2*Inputs!$C$44^2))*EXP(-(((Scenario_Data!T180)-Inputs!$C$42)^2)/(2*Inputs!$C$45^2))+Inputs!$C$48*(0.7*(0.45*SIN(2*PI()*(((Scenario_Data!T180)/Inputs!$C$49)+Inputs!$C$47*0.137))+0.35*COS(2*PI()*(((Inputs!$C$6)/Inputs!$C$50)+Inputs!$C$47*0.173))+0.2*SIN(2*PI()*((((Scenario_Data!T180)+(Inputs!$C$6))/(0.5*(Inputs!$C$49+Inputs!$C$50)))+Inputs!$C$47*0.097)))+0.3*(2*((SIN(((Scenario_Data!T180)*12.9898+(Inputs!$C$6)*78.233+Inputs!$C$47*37.719))*43758.5453)-INT((SIN(((Scenario_Data!T180)*12.9898+(Inputs!$C$6)*78.233+Inputs!$C$47*37.719))*43758.5453)))-1))))/1000))*COS(SQRT((Scenario_Data!T180)^2+Inputs!$C$6^2)/Inputs!$C$52))*1000)/Inputs!$C$21*1000000</f>
        <v/>
      </c>
      <c r="AR180">
        <f>Scenario_Data!U180</f>
        <v/>
      </c>
      <c r="AS180">
        <f>2*(SQRT((Inputs!$C$52+(Scenario_Data!C180))^2+(Inputs!$C$52+((IF(OR(Inputs!$C$27=TRUE,Inputs!$C$27="TRUE",Inputs!$C$27=1),1,0)*(Inputs!$C$51*(115*EXP(-(((Inputs!$C$6)-25)^2)/(4.5^2))+70*EXP(-(((Inputs!$C$6)+38)^2)/(7^2))*(0.55+0.45*SIN(2*PI()*(Scenario_Data!U180)/45))+24*SIN(2*PI()*(Inputs!$C$6)/9+(Scenario_Data!U180)/18)*EXP(-(((Inputs!$C$6)+5)^2)/(22^2))+18*SIN(2*PI()*(Scenario_Data!U180)/70))+Inputs!$C$28*EXP(-(((Scenario_Data!U180)-Inputs!$C$29)^2)/(2*Inputs!$C$31^2))*EXP(-(((Inputs!$C$6)-Inputs!$C$30)^2)/(2*Inputs!$C$32^2))+-Inputs!$C$33*EXP(-(((((Scenario_Data!U180)-Inputs!$C$34)^2)+(((Inputs!$C$6)-Inputs!$C$35)^2))/(2*Inputs!$C$36^2)))+Inputs!$C$37*(0.55*SIN(2*PI()*(Scenario_Data!U180)/Inputs!$C$39)+0.35*COS(2*PI()*(Inputs!$C$6)/Inputs!$C$40)+0.2*SIN(2*PI()*((Scenario_Data!U180)+(Inputs!$C$6))/(0.5*(Inputs!$C$39+Inputs!$C$40))))+Inputs!$C$38*SIN(2*PI()*(Scenario_Data!U180)/Inputs!$C$39)*SIN(2*PI()*(Inputs!$C$6)/Inputs!$C$40)+-Inputs!$C$41*EXP(-(((Inputs!$C$6)-Inputs!$C$43)^2)/(2*Inputs!$C$44^2))*EXP(-(((Scenario_Data!U180)-Inputs!$C$42)^2)/(2*Inputs!$C$45^2))+Inputs!$C$48*(0.7*(0.45*SIN(2*PI()*(((Scenario_Data!U180)/Inputs!$C$49)+Inputs!$C$47*0.137))+0.35*COS(2*PI()*(((Inputs!$C$6)/Inputs!$C$50)+Inputs!$C$47*0.173))+0.2*SIN(2*PI()*((((Scenario_Data!U180)+(Inputs!$C$6))/(0.5*(Inputs!$C$49+Inputs!$C$50)))+Inputs!$C$47*0.097)))+0.3*(2*((SIN(((Scenario_Data!U180)*12.9898+(Inputs!$C$6)*78.233+Inputs!$C$47*37.719))*43758.5453)-INT((SIN(((Scenario_Data!U180)*12.9898+(Inputs!$C$6)*78.233+Inputs!$C$47*37.719))*43758.5453)))-1))))/1000))^2-2*(Inputs!$C$52+(Scenario_Data!C180))*(Inputs!$C$52+((IF(OR(Inputs!$C$27=TRUE,Inputs!$C$27="TRUE",Inputs!$C$27=1),1,0)*(Inputs!$C$51*(115*EXP(-(((Inputs!$C$6)-25)^2)/(4.5^2))+70*EXP(-(((Inputs!$C$6)+38)^2)/(7^2))*(0.55+0.45*SIN(2*PI()*(Scenario_Data!U180)/45))+24*SIN(2*PI()*(Inputs!$C$6)/9+(Scenario_Data!U180)/18)*EXP(-(((Inputs!$C$6)+5)^2)/(22^2))+18*SIN(2*PI()*(Scenario_Data!U180)/70))+Inputs!$C$28*EXP(-(((Scenario_Data!U180)-Inputs!$C$29)^2)/(2*Inputs!$C$31^2))*EXP(-(((Inputs!$C$6)-Inputs!$C$30)^2)/(2*Inputs!$C$32^2))+-Inputs!$C$33*EXP(-(((((Scenario_Data!U180)-Inputs!$C$34)^2)+(((Inputs!$C$6)-Inputs!$C$35)^2))/(2*Inputs!$C$36^2)))+Inputs!$C$37*(0.55*SIN(2*PI()*(Scenario_Data!U180)/Inputs!$C$39)+0.35*COS(2*PI()*(Inputs!$C$6)/Inputs!$C$40)+0.2*SIN(2*PI()*((Scenario_Data!U180)+(Inputs!$C$6))/(0.5*(Inputs!$C$39+Inputs!$C$40))))+Inputs!$C$38*SIN(2*PI()*(Scenario_Data!U180)/Inputs!$C$39)*SIN(2*PI()*(Inputs!$C$6)/Inputs!$C$40)+-Inputs!$C$41*EXP(-(((Inputs!$C$6)-Inputs!$C$43)^2)/(2*Inputs!$C$44^2))*EXP(-(((Scenario_Data!U180)-Inputs!$C$42)^2)/(2*Inputs!$C$45^2))+Inputs!$C$48*(0.7*(0.45*SIN(2*PI()*(((Scenario_Data!U180)/Inputs!$C$49)+Inputs!$C$47*0.137))+0.35*COS(2*PI()*(((Inputs!$C$6)/Inputs!$C$50)+Inputs!$C$47*0.173))+0.2*SIN(2*PI()*((((Scenario_Data!U180)+(Inputs!$C$6))/(0.5*(Inputs!$C$49+Inputs!$C$50)))+Inputs!$C$47*0.097)))+0.3*(2*((SIN(((Scenario_Data!U180)*12.9898+(Inputs!$C$6)*78.233+Inputs!$C$47*37.719))*43758.5453)-INT((SIN(((Scenario_Data!U180)*12.9898+(Inputs!$C$6)*78.233+Inputs!$C$47*37.719))*43758.5453)))-1))))/1000))*COS(SQRT((Scenario_Data!U180)^2+Inputs!$C$6^2)/Inputs!$C$52))*1000)/Inputs!$C$21*1000000</f>
        <v/>
      </c>
      <c r="AT180">
        <f>Scenario_Data!V180</f>
        <v/>
      </c>
      <c r="AU180">
        <f>2*(SQRT((Inputs!$C$52+(Scenario_Data!D180))^2+(Inputs!$C$52+((IF(OR(Inputs!$C$27=TRUE,Inputs!$C$27="TRUE",Inputs!$C$27=1),1,0)*(Inputs!$C$51*(115*EXP(-(((Inputs!$C$6)-25)^2)/(4.5^2))+70*EXP(-(((Inputs!$C$6)+38)^2)/(7^2))*(0.55+0.45*SIN(2*PI()*(Scenario_Data!V180)/45))+24*SIN(2*PI()*(Inputs!$C$6)/9+(Scenario_Data!V180)/18)*EXP(-(((Inputs!$C$6)+5)^2)/(22^2))+18*SIN(2*PI()*(Scenario_Data!V180)/70))+Inputs!$C$28*EXP(-(((Scenario_Data!V180)-Inputs!$C$29)^2)/(2*Inputs!$C$31^2))*EXP(-(((Inputs!$C$6)-Inputs!$C$30)^2)/(2*Inputs!$C$32^2))+-Inputs!$C$33*EXP(-(((((Scenario_Data!V180)-Inputs!$C$34)^2)+(((Inputs!$C$6)-Inputs!$C$35)^2))/(2*Inputs!$C$36^2)))+Inputs!$C$37*(0.55*SIN(2*PI()*(Scenario_Data!V180)/Inputs!$C$39)+0.35*COS(2*PI()*(Inputs!$C$6)/Inputs!$C$40)+0.2*SIN(2*PI()*((Scenario_Data!V180)+(Inputs!$C$6))/(0.5*(Inputs!$C$39+Inputs!$C$40))))+Inputs!$C$38*SIN(2*PI()*(Scenario_Data!V180)/Inputs!$C$39)*SIN(2*PI()*(Inputs!$C$6)/Inputs!$C$40)+-Inputs!$C$41*EXP(-(((Inputs!$C$6)-Inputs!$C$43)^2)/(2*Inputs!$C$44^2))*EXP(-(((Scenario_Data!V180)-Inputs!$C$42)^2)/(2*Inputs!$C$45^2))+Inputs!$C$48*(0.7*(0.45*SIN(2*PI()*(((Scenario_Data!V180)/Inputs!$C$49)+Inputs!$C$47*0.137))+0.35*COS(2*PI()*(((Inputs!$C$6)/Inputs!$C$50)+Inputs!$C$47*0.173))+0.2*SIN(2*PI()*((((Scenario_Data!V180)+(Inputs!$C$6))/(0.5*(Inputs!$C$49+Inputs!$C$50)))+Inputs!$C$47*0.097)))+0.3*(2*((SIN(((Scenario_Data!V180)*12.9898+(Inputs!$C$6)*78.233+Inputs!$C$47*37.719))*43758.5453)-INT((SIN(((Scenario_Data!V180)*12.9898+(Inputs!$C$6)*78.233+Inputs!$C$47*37.719))*43758.5453)))-1))))/1000))^2-2*(Inputs!$C$52+(Scenario_Data!D180))*(Inputs!$C$52+((IF(OR(Inputs!$C$27=TRUE,Inputs!$C$27="TRUE",Inputs!$C$27=1),1,0)*(Inputs!$C$51*(115*EXP(-(((Inputs!$C$6)-25)^2)/(4.5^2))+70*EXP(-(((Inputs!$C$6)+38)^2)/(7^2))*(0.55+0.45*SIN(2*PI()*(Scenario_Data!V180)/45))+24*SIN(2*PI()*(Inputs!$C$6)/9+(Scenario_Data!V180)/18)*EXP(-(((Inputs!$C$6)+5)^2)/(22^2))+18*SIN(2*PI()*(Scenario_Data!V180)/70))+Inputs!$C$28*EXP(-(((Scenario_Data!V180)-Inputs!$C$29)^2)/(2*Inputs!$C$31^2))*EXP(-(((Inputs!$C$6)-Inputs!$C$30)^2)/(2*Inputs!$C$32^2))+-Inputs!$C$33*EXP(-(((((Scenario_Data!V180)-Inputs!$C$34)^2)+(((Inputs!$C$6)-Inputs!$C$35)^2))/(2*Inputs!$C$36^2)))+Inputs!$C$37*(0.55*SIN(2*PI()*(Scenario_Data!V180)/Inputs!$C$39)+0.35*COS(2*PI()*(Inputs!$C$6)/Inputs!$C$40)+0.2*SIN(2*PI()*((Scenario_Data!V180)+(Inputs!$C$6))/(0.5*(Inputs!$C$39+Inputs!$C$40))))+Inputs!$C$38*SIN(2*PI()*(Scenario_Data!V180)/Inputs!$C$39)*SIN(2*PI()*(Inputs!$C$6)/Inputs!$C$40)+-Inputs!$C$41*EXP(-(((Inputs!$C$6)-Inputs!$C$43)^2)/(2*Inputs!$C$44^2))*EXP(-(((Scenario_Data!V180)-Inputs!$C$42)^2)/(2*Inputs!$C$45^2))+Inputs!$C$48*(0.7*(0.45*SIN(2*PI()*(((Scenario_Data!V180)/Inputs!$C$49)+Inputs!$C$47*0.137))+0.35*COS(2*PI()*(((Inputs!$C$6)/Inputs!$C$50)+Inputs!$C$47*0.173))+0.2*SIN(2*PI()*((((Scenario_Data!V180)+(Inputs!$C$6))/(0.5*(Inputs!$C$49+Inputs!$C$50)))+Inputs!$C$47*0.097)))+0.3*(2*((SIN(((Scenario_Data!V180)*12.9898+(Inputs!$C$6)*78.233+Inputs!$C$47*37.719))*43758.5453)-INT((SIN(((Scenario_Data!V180)*12.9898+(Inputs!$C$6)*78.233+Inputs!$C$47*37.719))*43758.5453)))-1))))/1000))*COS(SQRT((Scenario_Data!V180)^2+Inputs!$C$6^2)/Inputs!$C$52))*1000)/Inputs!$C$21*1000000</f>
        <v/>
      </c>
      <c r="AV180">
        <f>Scenario_Data!W180</f>
        <v/>
      </c>
      <c r="AW180">
        <f>2*(SQRT((Inputs!$C$52+(Scenario_Data!E180))^2+(Inputs!$C$52+((IF(OR(Inputs!$C$27=TRUE,Inputs!$C$27="TRUE",Inputs!$C$27=1),1,0)*(Inputs!$C$51*(115*EXP(-(((Inputs!$C$6)-25)^2)/(4.5^2))+70*EXP(-(((Inputs!$C$6)+38)^2)/(7^2))*(0.55+0.45*SIN(2*PI()*(Scenario_Data!W180)/45))+24*SIN(2*PI()*(Inputs!$C$6)/9+(Scenario_Data!W180)/18)*EXP(-(((Inputs!$C$6)+5)^2)/(22^2))+18*SIN(2*PI()*(Scenario_Data!W180)/70))+Inputs!$C$28*EXP(-(((Scenario_Data!W180)-Inputs!$C$29)^2)/(2*Inputs!$C$31^2))*EXP(-(((Inputs!$C$6)-Inputs!$C$30)^2)/(2*Inputs!$C$32^2))+-Inputs!$C$33*EXP(-(((((Scenario_Data!W180)-Inputs!$C$34)^2)+(((Inputs!$C$6)-Inputs!$C$35)^2))/(2*Inputs!$C$36^2)))+Inputs!$C$37*(0.55*SIN(2*PI()*(Scenario_Data!W180)/Inputs!$C$39)+0.35*COS(2*PI()*(Inputs!$C$6)/Inputs!$C$40)+0.2*SIN(2*PI()*((Scenario_Data!W180)+(Inputs!$C$6))/(0.5*(Inputs!$C$39+Inputs!$C$40))))+Inputs!$C$38*SIN(2*PI()*(Scenario_Data!W180)/Inputs!$C$39)*SIN(2*PI()*(Inputs!$C$6)/Inputs!$C$40)+-Inputs!$C$41*EXP(-(((Inputs!$C$6)-Inputs!$C$43)^2)/(2*Inputs!$C$44^2))*EXP(-(((Scenario_Data!W180)-Inputs!$C$42)^2)/(2*Inputs!$C$45^2))+Inputs!$C$48*(0.7*(0.45*SIN(2*PI()*(((Scenario_Data!W180)/Inputs!$C$49)+Inputs!$C$47*0.137))+0.35*COS(2*PI()*(((Inputs!$C$6)/Inputs!$C$50)+Inputs!$C$47*0.173))+0.2*SIN(2*PI()*((((Scenario_Data!W180)+(Inputs!$C$6))/(0.5*(Inputs!$C$49+Inputs!$C$50)))+Inputs!$C$47*0.097)))+0.3*(2*((SIN(((Scenario_Data!W180)*12.9898+(Inputs!$C$6)*78.233+Inputs!$C$47*37.719))*43758.5453)-INT((SIN(((Scenario_Data!W180)*12.9898+(Inputs!$C$6)*78.233+Inputs!$C$47*37.719))*43758.5453)))-1))))/1000))^2-2*(Inputs!$C$52+(Scenario_Data!E180))*(Inputs!$C$52+((IF(OR(Inputs!$C$27=TRUE,Inputs!$C$27="TRUE",Inputs!$C$27=1),1,0)*(Inputs!$C$51*(115*EXP(-(((Inputs!$C$6)-25)^2)/(4.5^2))+70*EXP(-(((Inputs!$C$6)+38)^2)/(7^2))*(0.55+0.45*SIN(2*PI()*(Scenario_Data!W180)/45))+24*SIN(2*PI()*(Inputs!$C$6)/9+(Scenario_Data!W180)/18)*EXP(-(((Inputs!$C$6)+5)^2)/(22^2))+18*SIN(2*PI()*(Scenario_Data!W180)/70))+Inputs!$C$28*EXP(-(((Scenario_Data!W180)-Inputs!$C$29)^2)/(2*Inputs!$C$31^2))*EXP(-(((Inputs!$C$6)-Inputs!$C$30)^2)/(2*Inputs!$C$32^2))+-Inputs!$C$33*EXP(-(((((Scenario_Data!W180)-Inputs!$C$34)^2)+(((Inputs!$C$6)-Inputs!$C$35)^2))/(2*Inputs!$C$36^2)))+Inputs!$C$37*(0.55*SIN(2*PI()*(Scenario_Data!W180)/Inputs!$C$39)+0.35*COS(2*PI()*(Inputs!$C$6)/Inputs!$C$40)+0.2*SIN(2*PI()*((Scenario_Data!W180)+(Inputs!$C$6))/(0.5*(Inputs!$C$39+Inputs!$C$40))))+Inputs!$C$38*SIN(2*PI()*(Scenario_Data!W180)/Inputs!$C$39)*SIN(2*PI()*(Inputs!$C$6)/Inputs!$C$40)+-Inputs!$C$41*EXP(-(((Inputs!$C$6)-Inputs!$C$43)^2)/(2*Inputs!$C$44^2))*EXP(-(((Scenario_Data!W180)-Inputs!$C$42)^2)/(2*Inputs!$C$45^2))+Inputs!$C$48*(0.7*(0.45*SIN(2*PI()*(((Scenario_Data!W180)/Inputs!$C$49)+Inputs!$C$47*0.137))+0.35*COS(2*PI()*(((Inputs!$C$6)/Inputs!$C$50)+Inputs!$C$47*0.173))+0.2*SIN(2*PI()*((((Scenario_Data!W180)+(Inputs!$C$6))/(0.5*(Inputs!$C$49+Inputs!$C$50)))+Inputs!$C$47*0.097)))+0.3*(2*((SIN(((Scenario_Data!W180)*12.9898+(Inputs!$C$6)*78.233+Inputs!$C$47*37.719))*43758.5453)-INT((SIN(((Scenario_Data!W180)*12.9898+(Inputs!$C$6)*78.233+Inputs!$C$47*37.719))*43758.5453)))-1))))/1000))*COS(SQRT((Scenario_Data!W180)^2+Inputs!$C$6^2)/Inputs!$C$52))*1000)/Inputs!$C$21*1000000</f>
        <v/>
      </c>
    </row>
    <row r="181">
      <c r="A181">
        <f>Chart_Data!K181</f>
        <v/>
      </c>
      <c r="B181">
        <f>Chart_Data!N181-Chart_Data!L181</f>
        <v/>
      </c>
      <c r="D181">
        <f>Chart_Data!G181</f>
        <v/>
      </c>
      <c r="E181">
        <f>Chart_Data!H181</f>
        <v/>
      </c>
      <c r="F181">
        <f>Chart_Data!I181</f>
        <v/>
      </c>
      <c r="G181">
        <f>Chart_Data!J181</f>
        <v/>
      </c>
      <c r="I181">
        <f>Scenario_Data!A181</f>
        <v/>
      </c>
      <c r="J181">
        <f>Scenario_Data!H181-(((SQRT((Inputs!$C$52+(Inputs!$H$6))^2+Inputs!$C$52^2-2*(Inputs!$C$52+(Inputs!$H$6))*Inputs!$C$52*COS(SQRT((Scenario_Data!T181)^2+Inputs!$C$6^2)/Inputs!$C$52)))-(Inputs!$H$6))*1000/Inputs!$C$12)</f>
        <v/>
      </c>
      <c r="K181">
        <f>Scenario_Data!I181-(((SQRT((Inputs!$C$52+(Inputs!$H$7))^2+Inputs!$C$52^2-2*(Inputs!$C$52+(Inputs!$H$7))*Inputs!$C$52*COS(SQRT((Scenario_Data!U181)^2+Inputs!$C$6^2)/Inputs!$C$52)))-(Inputs!$H$7))*1000/Inputs!$C$12)</f>
        <v/>
      </c>
      <c r="L181">
        <f>Scenario_Data!J181-(((SQRT((Inputs!$C$52+(Inputs!$H$8))^2+Inputs!$C$52^2-2*(Inputs!$C$52+(Inputs!$H$8))*Inputs!$C$52*COS(SQRT((Scenario_Data!V181)^2+Inputs!$C$6^2)/Inputs!$C$52)))-(Inputs!$H$8))*1000/Inputs!$C$12)</f>
        <v/>
      </c>
      <c r="M181">
        <f>Scenario_Data!K181-(((SQRT((Inputs!$C$52+(Inputs!$H$9))^2+Inputs!$C$52^2-2*(Inputs!$C$52+(Inputs!$H$9))*Inputs!$C$52*COS(SQRT((Scenario_Data!W181)^2+Inputs!$C$6^2)/Inputs!$C$52)))-(Inputs!$H$9))*1000/Inputs!$C$12)</f>
        <v/>
      </c>
      <c r="O181">
        <f>Scenario_Data!T181</f>
        <v/>
      </c>
      <c r="P181">
        <f>2*(Scenario_Data!B181*1000)/Inputs!$C$21*1000000</f>
        <v/>
      </c>
      <c r="Q181">
        <f>Scenario_Data!U181</f>
        <v/>
      </c>
      <c r="R181">
        <f>2*(Scenario_Data!C181*1000)/Inputs!$C$21*1000000</f>
        <v/>
      </c>
      <c r="S181">
        <f>Scenario_Data!V181</f>
        <v/>
      </c>
      <c r="T181">
        <f>2*(Scenario_Data!D181*1000)/Inputs!$C$21*1000000</f>
        <v/>
      </c>
      <c r="U181">
        <f>Scenario_Data!W181</f>
        <v/>
      </c>
      <c r="V181">
        <f>2*(Scenario_Data!E181*1000)/Inputs!$C$21*1000000</f>
        <v/>
      </c>
      <c r="X181">
        <f>Scenario_Data!T181</f>
        <v/>
      </c>
      <c r="Y181">
        <f>2*((Scenario_Data!B181*1000)-(IF(OR(Inputs!$C$27=TRUE,Inputs!$C$27="TRUE",Inputs!$C$27=1),1,0)*(Inputs!$C$51*(115*EXP(-(((0)-25)^2)/(4.5^2))+70*EXP(-(((0)+38)^2)/(7^2))*(0.55+0.45*SIN(2*PI()*(Scenario_Data!T181)/45))+24*SIN(2*PI()*(0)/9+(Scenario_Data!T181)/18)*EXP(-(((0)+5)^2)/(22^2))+18*SIN(2*PI()*(Scenario_Data!T181)/70))+Inputs!$C$28*EXP(-(((Scenario_Data!T181)-Inputs!$C$29)^2)/(2*Inputs!$C$31^2))*EXP(-(((0)-Inputs!$C$30)^2)/(2*Inputs!$C$32^2))+-Inputs!$C$33*EXP(-(((((Scenario_Data!T181)-Inputs!$C$34)^2)+(((0)-Inputs!$C$35)^2))/(2*Inputs!$C$36^2)))+Inputs!$C$37*(0.55*SIN(2*PI()*(Scenario_Data!T181)/Inputs!$C$39)+0.35*COS(2*PI()*(0)/Inputs!$C$40)+0.2*SIN(2*PI()*((Scenario_Data!T181)+(0))/(0.5*(Inputs!$C$39+Inputs!$C$40))))+Inputs!$C$38*SIN(2*PI()*(Scenario_Data!T181)/Inputs!$C$39)*SIN(2*PI()*(0)/Inputs!$C$40)+-Inputs!$C$41*EXP(-(((0)-Inputs!$C$43)^2)/(2*Inputs!$C$44^2))*EXP(-(((Scenario_Data!T181)-Inputs!$C$42)^2)/(2*Inputs!$C$45^2))+Inputs!$C$48*(0.7*(0.45*SIN(2*PI()*(((Scenario_Data!T181)/Inputs!$C$49)+Inputs!$C$47*0.137))+0.35*COS(2*PI()*(((0)/Inputs!$C$50)+Inputs!$C$47*0.173))+0.2*SIN(2*PI()*((((Scenario_Data!T181)+(0))/(0.5*(Inputs!$C$49+Inputs!$C$50)))+Inputs!$C$47*0.097)))+0.3*(2*((SIN(((Scenario_Data!T181)*12.9898+(0)*78.233+Inputs!$C$47*37.719))*43758.5453)-INT((SIN(((Scenario_Data!T181)*12.9898+(0)*78.233+Inputs!$C$47*37.719))*43758.5453)))-1)))))/Inputs!$C$21*1000000</f>
        <v/>
      </c>
      <c r="Z181">
        <f>Scenario_Data!U181</f>
        <v/>
      </c>
      <c r="AA181">
        <f>2*((Scenario_Data!C181*1000)-(IF(OR(Inputs!$C$27=TRUE,Inputs!$C$27="TRUE",Inputs!$C$27=1),1,0)*(Inputs!$C$51*(115*EXP(-(((0)-25)^2)/(4.5^2))+70*EXP(-(((0)+38)^2)/(7^2))*(0.55+0.45*SIN(2*PI()*(Scenario_Data!U181)/45))+24*SIN(2*PI()*(0)/9+(Scenario_Data!U181)/18)*EXP(-(((0)+5)^2)/(22^2))+18*SIN(2*PI()*(Scenario_Data!U181)/70))+Inputs!$C$28*EXP(-(((Scenario_Data!U181)-Inputs!$C$29)^2)/(2*Inputs!$C$31^2))*EXP(-(((0)-Inputs!$C$30)^2)/(2*Inputs!$C$32^2))+-Inputs!$C$33*EXP(-(((((Scenario_Data!U181)-Inputs!$C$34)^2)+(((0)-Inputs!$C$35)^2))/(2*Inputs!$C$36^2)))+Inputs!$C$37*(0.55*SIN(2*PI()*(Scenario_Data!U181)/Inputs!$C$39)+0.35*COS(2*PI()*(0)/Inputs!$C$40)+0.2*SIN(2*PI()*((Scenario_Data!U181)+(0))/(0.5*(Inputs!$C$39+Inputs!$C$40))))+Inputs!$C$38*SIN(2*PI()*(Scenario_Data!U181)/Inputs!$C$39)*SIN(2*PI()*(0)/Inputs!$C$40)+-Inputs!$C$41*EXP(-(((0)-Inputs!$C$43)^2)/(2*Inputs!$C$44^2))*EXP(-(((Scenario_Data!U181)-Inputs!$C$42)^2)/(2*Inputs!$C$45^2))+Inputs!$C$48*(0.7*(0.45*SIN(2*PI()*(((Scenario_Data!U181)/Inputs!$C$49)+Inputs!$C$47*0.137))+0.35*COS(2*PI()*(((0)/Inputs!$C$50)+Inputs!$C$47*0.173))+0.2*SIN(2*PI()*((((Scenario_Data!U181)+(0))/(0.5*(Inputs!$C$49+Inputs!$C$50)))+Inputs!$C$47*0.097)))+0.3*(2*((SIN(((Scenario_Data!U181)*12.9898+(0)*78.233+Inputs!$C$47*37.719))*43758.5453)-INT((SIN(((Scenario_Data!U181)*12.9898+(0)*78.233+Inputs!$C$47*37.719))*43758.5453)))-1)))))/Inputs!$C$21*1000000</f>
        <v/>
      </c>
      <c r="AB181">
        <f>Scenario_Data!V181</f>
        <v/>
      </c>
      <c r="AC181">
        <f>2*((Scenario_Data!D181*1000)-(IF(OR(Inputs!$C$27=TRUE,Inputs!$C$27="TRUE",Inputs!$C$27=1),1,0)*(Inputs!$C$51*(115*EXP(-(((0)-25)^2)/(4.5^2))+70*EXP(-(((0)+38)^2)/(7^2))*(0.55+0.45*SIN(2*PI()*(Scenario_Data!V181)/45))+24*SIN(2*PI()*(0)/9+(Scenario_Data!V181)/18)*EXP(-(((0)+5)^2)/(22^2))+18*SIN(2*PI()*(Scenario_Data!V181)/70))+Inputs!$C$28*EXP(-(((Scenario_Data!V181)-Inputs!$C$29)^2)/(2*Inputs!$C$31^2))*EXP(-(((0)-Inputs!$C$30)^2)/(2*Inputs!$C$32^2))+-Inputs!$C$33*EXP(-(((((Scenario_Data!V181)-Inputs!$C$34)^2)+(((0)-Inputs!$C$35)^2))/(2*Inputs!$C$36^2)))+Inputs!$C$37*(0.55*SIN(2*PI()*(Scenario_Data!V181)/Inputs!$C$39)+0.35*COS(2*PI()*(0)/Inputs!$C$40)+0.2*SIN(2*PI()*((Scenario_Data!V181)+(0))/(0.5*(Inputs!$C$39+Inputs!$C$40))))+Inputs!$C$38*SIN(2*PI()*(Scenario_Data!V181)/Inputs!$C$39)*SIN(2*PI()*(0)/Inputs!$C$40)+-Inputs!$C$41*EXP(-(((0)-Inputs!$C$43)^2)/(2*Inputs!$C$44^2))*EXP(-(((Scenario_Data!V181)-Inputs!$C$42)^2)/(2*Inputs!$C$45^2))+Inputs!$C$48*(0.7*(0.45*SIN(2*PI()*(((Scenario_Data!V181)/Inputs!$C$49)+Inputs!$C$47*0.137))+0.35*COS(2*PI()*(((0)/Inputs!$C$50)+Inputs!$C$47*0.173))+0.2*SIN(2*PI()*((((Scenario_Data!V181)+(0))/(0.5*(Inputs!$C$49+Inputs!$C$50)))+Inputs!$C$47*0.097)))+0.3*(2*((SIN(((Scenario_Data!V181)*12.9898+(0)*78.233+Inputs!$C$47*37.719))*43758.5453)-INT((SIN(((Scenario_Data!V181)*12.9898+(0)*78.233+Inputs!$C$47*37.719))*43758.5453)))-1)))))/Inputs!$C$21*1000000</f>
        <v/>
      </c>
      <c r="AD181">
        <f>Scenario_Data!W181</f>
        <v/>
      </c>
      <c r="AE181">
        <f>2*((Scenario_Data!E181*1000)-(IF(OR(Inputs!$C$27=TRUE,Inputs!$C$27="TRUE",Inputs!$C$27=1),1,0)*(Inputs!$C$51*(115*EXP(-(((0)-25)^2)/(4.5^2))+70*EXP(-(((0)+38)^2)/(7^2))*(0.55+0.45*SIN(2*PI()*(Scenario_Data!W181)/45))+24*SIN(2*PI()*(0)/9+(Scenario_Data!W181)/18)*EXP(-(((0)+5)^2)/(22^2))+18*SIN(2*PI()*(Scenario_Data!W181)/70))+Inputs!$C$28*EXP(-(((Scenario_Data!W181)-Inputs!$C$29)^2)/(2*Inputs!$C$31^2))*EXP(-(((0)-Inputs!$C$30)^2)/(2*Inputs!$C$32^2))+-Inputs!$C$33*EXP(-(((((Scenario_Data!W181)-Inputs!$C$34)^2)+(((0)-Inputs!$C$35)^2))/(2*Inputs!$C$36^2)))+Inputs!$C$37*(0.55*SIN(2*PI()*(Scenario_Data!W181)/Inputs!$C$39)+0.35*COS(2*PI()*(0)/Inputs!$C$40)+0.2*SIN(2*PI()*((Scenario_Data!W181)+(0))/(0.5*(Inputs!$C$39+Inputs!$C$40))))+Inputs!$C$38*SIN(2*PI()*(Scenario_Data!W181)/Inputs!$C$39)*SIN(2*PI()*(0)/Inputs!$C$40)+-Inputs!$C$41*EXP(-(((0)-Inputs!$C$43)^2)/(2*Inputs!$C$44^2))*EXP(-(((Scenario_Data!W181)-Inputs!$C$42)^2)/(2*Inputs!$C$45^2))+Inputs!$C$48*(0.7*(0.45*SIN(2*PI()*(((Scenario_Data!W181)/Inputs!$C$49)+Inputs!$C$47*0.137))+0.35*COS(2*PI()*(((0)/Inputs!$C$50)+Inputs!$C$47*0.173))+0.2*SIN(2*PI()*((((Scenario_Data!W181)+(0))/(0.5*(Inputs!$C$49+Inputs!$C$50)))+Inputs!$C$47*0.097)))+0.3*(2*((SIN(((Scenario_Data!W181)*12.9898+(0)*78.233+Inputs!$C$47*37.719))*43758.5453)-INT((SIN(((Scenario_Data!W181)*12.9898+(0)*78.233+Inputs!$C$47*37.719))*43758.5453)))-1)))))/Inputs!$C$21*1000000</f>
        <v/>
      </c>
      <c r="AG181">
        <f>Scenario_Data!T181</f>
        <v/>
      </c>
      <c r="AH181">
        <f>2*(SQRT((Inputs!$C$52+(Scenario_Data!B181))^2+Inputs!$C$52^2-2*(Inputs!$C$52+(Scenario_Data!B181))*Inputs!$C$52*COS(SQRT((Scenario_Data!T181)^2+Inputs!$C$6^2)/Inputs!$C$52))*1000)/Inputs!$C$21*1000000</f>
        <v/>
      </c>
      <c r="AI181">
        <f>Scenario_Data!U181</f>
        <v/>
      </c>
      <c r="AJ181">
        <f>2*(SQRT((Inputs!$C$52+(Scenario_Data!C181))^2+Inputs!$C$52^2-2*(Inputs!$C$52+(Scenario_Data!C181))*Inputs!$C$52*COS(SQRT((Scenario_Data!U181)^2+Inputs!$C$6^2)/Inputs!$C$52))*1000)/Inputs!$C$21*1000000</f>
        <v/>
      </c>
      <c r="AK181">
        <f>Scenario_Data!V181</f>
        <v/>
      </c>
      <c r="AL181">
        <f>2*(SQRT((Inputs!$C$52+(Scenario_Data!D181))^2+Inputs!$C$52^2-2*(Inputs!$C$52+(Scenario_Data!D181))*Inputs!$C$52*COS(SQRT((Scenario_Data!V181)^2+Inputs!$C$6^2)/Inputs!$C$52))*1000)/Inputs!$C$21*1000000</f>
        <v/>
      </c>
      <c r="AM181">
        <f>Scenario_Data!W181</f>
        <v/>
      </c>
      <c r="AN181">
        <f>2*(SQRT((Inputs!$C$52+(Scenario_Data!E181))^2+Inputs!$C$52^2-2*(Inputs!$C$52+(Scenario_Data!E181))*Inputs!$C$52*COS(SQRT((Scenario_Data!W181)^2+Inputs!$C$6^2)/Inputs!$C$52))*1000)/Inputs!$C$21*1000000</f>
        <v/>
      </c>
      <c r="AP181">
        <f>Scenario_Data!T181</f>
        <v/>
      </c>
      <c r="AQ181">
        <f>2*(SQRT((Inputs!$C$52+(Scenario_Data!B181))^2+(Inputs!$C$52+((IF(OR(Inputs!$C$27=TRUE,Inputs!$C$27="TRUE",Inputs!$C$27=1),1,0)*(Inputs!$C$51*(115*EXP(-(((Inputs!$C$6)-25)^2)/(4.5^2))+70*EXP(-(((Inputs!$C$6)+38)^2)/(7^2))*(0.55+0.45*SIN(2*PI()*(Scenario_Data!T181)/45))+24*SIN(2*PI()*(Inputs!$C$6)/9+(Scenario_Data!T181)/18)*EXP(-(((Inputs!$C$6)+5)^2)/(22^2))+18*SIN(2*PI()*(Scenario_Data!T181)/70))+Inputs!$C$28*EXP(-(((Scenario_Data!T181)-Inputs!$C$29)^2)/(2*Inputs!$C$31^2))*EXP(-(((Inputs!$C$6)-Inputs!$C$30)^2)/(2*Inputs!$C$32^2))+-Inputs!$C$33*EXP(-(((((Scenario_Data!T181)-Inputs!$C$34)^2)+(((Inputs!$C$6)-Inputs!$C$35)^2))/(2*Inputs!$C$36^2)))+Inputs!$C$37*(0.55*SIN(2*PI()*(Scenario_Data!T181)/Inputs!$C$39)+0.35*COS(2*PI()*(Inputs!$C$6)/Inputs!$C$40)+0.2*SIN(2*PI()*((Scenario_Data!T181)+(Inputs!$C$6))/(0.5*(Inputs!$C$39+Inputs!$C$40))))+Inputs!$C$38*SIN(2*PI()*(Scenario_Data!T181)/Inputs!$C$39)*SIN(2*PI()*(Inputs!$C$6)/Inputs!$C$40)+-Inputs!$C$41*EXP(-(((Inputs!$C$6)-Inputs!$C$43)^2)/(2*Inputs!$C$44^2))*EXP(-(((Scenario_Data!T181)-Inputs!$C$42)^2)/(2*Inputs!$C$45^2))+Inputs!$C$48*(0.7*(0.45*SIN(2*PI()*(((Scenario_Data!T181)/Inputs!$C$49)+Inputs!$C$47*0.137))+0.35*COS(2*PI()*(((Inputs!$C$6)/Inputs!$C$50)+Inputs!$C$47*0.173))+0.2*SIN(2*PI()*((((Scenario_Data!T181)+(Inputs!$C$6))/(0.5*(Inputs!$C$49+Inputs!$C$50)))+Inputs!$C$47*0.097)))+0.3*(2*((SIN(((Scenario_Data!T181)*12.9898+(Inputs!$C$6)*78.233+Inputs!$C$47*37.719))*43758.5453)-INT((SIN(((Scenario_Data!T181)*12.9898+(Inputs!$C$6)*78.233+Inputs!$C$47*37.719))*43758.5453)))-1))))/1000))^2-2*(Inputs!$C$52+(Scenario_Data!B181))*(Inputs!$C$52+((IF(OR(Inputs!$C$27=TRUE,Inputs!$C$27="TRUE",Inputs!$C$27=1),1,0)*(Inputs!$C$51*(115*EXP(-(((Inputs!$C$6)-25)^2)/(4.5^2))+70*EXP(-(((Inputs!$C$6)+38)^2)/(7^2))*(0.55+0.45*SIN(2*PI()*(Scenario_Data!T181)/45))+24*SIN(2*PI()*(Inputs!$C$6)/9+(Scenario_Data!T181)/18)*EXP(-(((Inputs!$C$6)+5)^2)/(22^2))+18*SIN(2*PI()*(Scenario_Data!T181)/70))+Inputs!$C$28*EXP(-(((Scenario_Data!T181)-Inputs!$C$29)^2)/(2*Inputs!$C$31^2))*EXP(-(((Inputs!$C$6)-Inputs!$C$30)^2)/(2*Inputs!$C$32^2))+-Inputs!$C$33*EXP(-(((((Scenario_Data!T181)-Inputs!$C$34)^2)+(((Inputs!$C$6)-Inputs!$C$35)^2))/(2*Inputs!$C$36^2)))+Inputs!$C$37*(0.55*SIN(2*PI()*(Scenario_Data!T181)/Inputs!$C$39)+0.35*COS(2*PI()*(Inputs!$C$6)/Inputs!$C$40)+0.2*SIN(2*PI()*((Scenario_Data!T181)+(Inputs!$C$6))/(0.5*(Inputs!$C$39+Inputs!$C$40))))+Inputs!$C$38*SIN(2*PI()*(Scenario_Data!T181)/Inputs!$C$39)*SIN(2*PI()*(Inputs!$C$6)/Inputs!$C$40)+-Inputs!$C$41*EXP(-(((Inputs!$C$6)-Inputs!$C$43)^2)/(2*Inputs!$C$44^2))*EXP(-(((Scenario_Data!T181)-Inputs!$C$42)^2)/(2*Inputs!$C$45^2))+Inputs!$C$48*(0.7*(0.45*SIN(2*PI()*(((Scenario_Data!T181)/Inputs!$C$49)+Inputs!$C$47*0.137))+0.35*COS(2*PI()*(((Inputs!$C$6)/Inputs!$C$50)+Inputs!$C$47*0.173))+0.2*SIN(2*PI()*((((Scenario_Data!T181)+(Inputs!$C$6))/(0.5*(Inputs!$C$49+Inputs!$C$50)))+Inputs!$C$47*0.097)))+0.3*(2*((SIN(((Scenario_Data!T181)*12.9898+(Inputs!$C$6)*78.233+Inputs!$C$47*37.719))*43758.5453)-INT((SIN(((Scenario_Data!T181)*12.9898+(Inputs!$C$6)*78.233+Inputs!$C$47*37.719))*43758.5453)))-1))))/1000))*COS(SQRT((Scenario_Data!T181)^2+Inputs!$C$6^2)/Inputs!$C$52))*1000)/Inputs!$C$21*1000000</f>
        <v/>
      </c>
      <c r="AR181">
        <f>Scenario_Data!U181</f>
        <v/>
      </c>
      <c r="AS181">
        <f>2*(SQRT((Inputs!$C$52+(Scenario_Data!C181))^2+(Inputs!$C$52+((IF(OR(Inputs!$C$27=TRUE,Inputs!$C$27="TRUE",Inputs!$C$27=1),1,0)*(Inputs!$C$51*(115*EXP(-(((Inputs!$C$6)-25)^2)/(4.5^2))+70*EXP(-(((Inputs!$C$6)+38)^2)/(7^2))*(0.55+0.45*SIN(2*PI()*(Scenario_Data!U181)/45))+24*SIN(2*PI()*(Inputs!$C$6)/9+(Scenario_Data!U181)/18)*EXP(-(((Inputs!$C$6)+5)^2)/(22^2))+18*SIN(2*PI()*(Scenario_Data!U181)/70))+Inputs!$C$28*EXP(-(((Scenario_Data!U181)-Inputs!$C$29)^2)/(2*Inputs!$C$31^2))*EXP(-(((Inputs!$C$6)-Inputs!$C$30)^2)/(2*Inputs!$C$32^2))+-Inputs!$C$33*EXP(-(((((Scenario_Data!U181)-Inputs!$C$34)^2)+(((Inputs!$C$6)-Inputs!$C$35)^2))/(2*Inputs!$C$36^2)))+Inputs!$C$37*(0.55*SIN(2*PI()*(Scenario_Data!U181)/Inputs!$C$39)+0.35*COS(2*PI()*(Inputs!$C$6)/Inputs!$C$40)+0.2*SIN(2*PI()*((Scenario_Data!U181)+(Inputs!$C$6))/(0.5*(Inputs!$C$39+Inputs!$C$40))))+Inputs!$C$38*SIN(2*PI()*(Scenario_Data!U181)/Inputs!$C$39)*SIN(2*PI()*(Inputs!$C$6)/Inputs!$C$40)+-Inputs!$C$41*EXP(-(((Inputs!$C$6)-Inputs!$C$43)^2)/(2*Inputs!$C$44^2))*EXP(-(((Scenario_Data!U181)-Inputs!$C$42)^2)/(2*Inputs!$C$45^2))+Inputs!$C$48*(0.7*(0.45*SIN(2*PI()*(((Scenario_Data!U181)/Inputs!$C$49)+Inputs!$C$47*0.137))+0.35*COS(2*PI()*(((Inputs!$C$6)/Inputs!$C$50)+Inputs!$C$47*0.173))+0.2*SIN(2*PI()*((((Scenario_Data!U181)+(Inputs!$C$6))/(0.5*(Inputs!$C$49+Inputs!$C$50)))+Inputs!$C$47*0.097)))+0.3*(2*((SIN(((Scenario_Data!U181)*12.9898+(Inputs!$C$6)*78.233+Inputs!$C$47*37.719))*43758.5453)-INT((SIN(((Scenario_Data!U181)*12.9898+(Inputs!$C$6)*78.233+Inputs!$C$47*37.719))*43758.5453)))-1))))/1000))^2-2*(Inputs!$C$52+(Scenario_Data!C181))*(Inputs!$C$52+((IF(OR(Inputs!$C$27=TRUE,Inputs!$C$27="TRUE",Inputs!$C$27=1),1,0)*(Inputs!$C$51*(115*EXP(-(((Inputs!$C$6)-25)^2)/(4.5^2))+70*EXP(-(((Inputs!$C$6)+38)^2)/(7^2))*(0.55+0.45*SIN(2*PI()*(Scenario_Data!U181)/45))+24*SIN(2*PI()*(Inputs!$C$6)/9+(Scenario_Data!U181)/18)*EXP(-(((Inputs!$C$6)+5)^2)/(22^2))+18*SIN(2*PI()*(Scenario_Data!U181)/70))+Inputs!$C$28*EXP(-(((Scenario_Data!U181)-Inputs!$C$29)^2)/(2*Inputs!$C$31^2))*EXP(-(((Inputs!$C$6)-Inputs!$C$30)^2)/(2*Inputs!$C$32^2))+-Inputs!$C$33*EXP(-(((((Scenario_Data!U181)-Inputs!$C$34)^2)+(((Inputs!$C$6)-Inputs!$C$35)^2))/(2*Inputs!$C$36^2)))+Inputs!$C$37*(0.55*SIN(2*PI()*(Scenario_Data!U181)/Inputs!$C$39)+0.35*COS(2*PI()*(Inputs!$C$6)/Inputs!$C$40)+0.2*SIN(2*PI()*((Scenario_Data!U181)+(Inputs!$C$6))/(0.5*(Inputs!$C$39+Inputs!$C$40))))+Inputs!$C$38*SIN(2*PI()*(Scenario_Data!U181)/Inputs!$C$39)*SIN(2*PI()*(Inputs!$C$6)/Inputs!$C$40)+-Inputs!$C$41*EXP(-(((Inputs!$C$6)-Inputs!$C$43)^2)/(2*Inputs!$C$44^2))*EXP(-(((Scenario_Data!U181)-Inputs!$C$42)^2)/(2*Inputs!$C$45^2))+Inputs!$C$48*(0.7*(0.45*SIN(2*PI()*(((Scenario_Data!U181)/Inputs!$C$49)+Inputs!$C$47*0.137))+0.35*COS(2*PI()*(((Inputs!$C$6)/Inputs!$C$50)+Inputs!$C$47*0.173))+0.2*SIN(2*PI()*((((Scenario_Data!U181)+(Inputs!$C$6))/(0.5*(Inputs!$C$49+Inputs!$C$50)))+Inputs!$C$47*0.097)))+0.3*(2*((SIN(((Scenario_Data!U181)*12.9898+(Inputs!$C$6)*78.233+Inputs!$C$47*37.719))*43758.5453)-INT((SIN(((Scenario_Data!U181)*12.9898+(Inputs!$C$6)*78.233+Inputs!$C$47*37.719))*43758.5453)))-1))))/1000))*COS(SQRT((Scenario_Data!U181)^2+Inputs!$C$6^2)/Inputs!$C$52))*1000)/Inputs!$C$21*1000000</f>
        <v/>
      </c>
      <c r="AT181">
        <f>Scenario_Data!V181</f>
        <v/>
      </c>
      <c r="AU181">
        <f>2*(SQRT((Inputs!$C$52+(Scenario_Data!D181))^2+(Inputs!$C$52+((IF(OR(Inputs!$C$27=TRUE,Inputs!$C$27="TRUE",Inputs!$C$27=1),1,0)*(Inputs!$C$51*(115*EXP(-(((Inputs!$C$6)-25)^2)/(4.5^2))+70*EXP(-(((Inputs!$C$6)+38)^2)/(7^2))*(0.55+0.45*SIN(2*PI()*(Scenario_Data!V181)/45))+24*SIN(2*PI()*(Inputs!$C$6)/9+(Scenario_Data!V181)/18)*EXP(-(((Inputs!$C$6)+5)^2)/(22^2))+18*SIN(2*PI()*(Scenario_Data!V181)/70))+Inputs!$C$28*EXP(-(((Scenario_Data!V181)-Inputs!$C$29)^2)/(2*Inputs!$C$31^2))*EXP(-(((Inputs!$C$6)-Inputs!$C$30)^2)/(2*Inputs!$C$32^2))+-Inputs!$C$33*EXP(-(((((Scenario_Data!V181)-Inputs!$C$34)^2)+(((Inputs!$C$6)-Inputs!$C$35)^2))/(2*Inputs!$C$36^2)))+Inputs!$C$37*(0.55*SIN(2*PI()*(Scenario_Data!V181)/Inputs!$C$39)+0.35*COS(2*PI()*(Inputs!$C$6)/Inputs!$C$40)+0.2*SIN(2*PI()*((Scenario_Data!V181)+(Inputs!$C$6))/(0.5*(Inputs!$C$39+Inputs!$C$40))))+Inputs!$C$38*SIN(2*PI()*(Scenario_Data!V181)/Inputs!$C$39)*SIN(2*PI()*(Inputs!$C$6)/Inputs!$C$40)+-Inputs!$C$41*EXP(-(((Inputs!$C$6)-Inputs!$C$43)^2)/(2*Inputs!$C$44^2))*EXP(-(((Scenario_Data!V181)-Inputs!$C$42)^2)/(2*Inputs!$C$45^2))+Inputs!$C$48*(0.7*(0.45*SIN(2*PI()*(((Scenario_Data!V181)/Inputs!$C$49)+Inputs!$C$47*0.137))+0.35*COS(2*PI()*(((Inputs!$C$6)/Inputs!$C$50)+Inputs!$C$47*0.173))+0.2*SIN(2*PI()*((((Scenario_Data!V181)+(Inputs!$C$6))/(0.5*(Inputs!$C$49+Inputs!$C$50)))+Inputs!$C$47*0.097)))+0.3*(2*((SIN(((Scenario_Data!V181)*12.9898+(Inputs!$C$6)*78.233+Inputs!$C$47*37.719))*43758.5453)-INT((SIN(((Scenario_Data!V181)*12.9898+(Inputs!$C$6)*78.233+Inputs!$C$47*37.719))*43758.5453)))-1))))/1000))^2-2*(Inputs!$C$52+(Scenario_Data!D181))*(Inputs!$C$52+((IF(OR(Inputs!$C$27=TRUE,Inputs!$C$27="TRUE",Inputs!$C$27=1),1,0)*(Inputs!$C$51*(115*EXP(-(((Inputs!$C$6)-25)^2)/(4.5^2))+70*EXP(-(((Inputs!$C$6)+38)^2)/(7^2))*(0.55+0.45*SIN(2*PI()*(Scenario_Data!V181)/45))+24*SIN(2*PI()*(Inputs!$C$6)/9+(Scenario_Data!V181)/18)*EXP(-(((Inputs!$C$6)+5)^2)/(22^2))+18*SIN(2*PI()*(Scenario_Data!V181)/70))+Inputs!$C$28*EXP(-(((Scenario_Data!V181)-Inputs!$C$29)^2)/(2*Inputs!$C$31^2))*EXP(-(((Inputs!$C$6)-Inputs!$C$30)^2)/(2*Inputs!$C$32^2))+-Inputs!$C$33*EXP(-(((((Scenario_Data!V181)-Inputs!$C$34)^2)+(((Inputs!$C$6)-Inputs!$C$35)^2))/(2*Inputs!$C$36^2)))+Inputs!$C$37*(0.55*SIN(2*PI()*(Scenario_Data!V181)/Inputs!$C$39)+0.35*COS(2*PI()*(Inputs!$C$6)/Inputs!$C$40)+0.2*SIN(2*PI()*((Scenario_Data!V181)+(Inputs!$C$6))/(0.5*(Inputs!$C$39+Inputs!$C$40))))+Inputs!$C$38*SIN(2*PI()*(Scenario_Data!V181)/Inputs!$C$39)*SIN(2*PI()*(Inputs!$C$6)/Inputs!$C$40)+-Inputs!$C$41*EXP(-(((Inputs!$C$6)-Inputs!$C$43)^2)/(2*Inputs!$C$44^2))*EXP(-(((Scenario_Data!V181)-Inputs!$C$42)^2)/(2*Inputs!$C$45^2))+Inputs!$C$48*(0.7*(0.45*SIN(2*PI()*(((Scenario_Data!V181)/Inputs!$C$49)+Inputs!$C$47*0.137))+0.35*COS(2*PI()*(((Inputs!$C$6)/Inputs!$C$50)+Inputs!$C$47*0.173))+0.2*SIN(2*PI()*((((Scenario_Data!V181)+(Inputs!$C$6))/(0.5*(Inputs!$C$49+Inputs!$C$50)))+Inputs!$C$47*0.097)))+0.3*(2*((SIN(((Scenario_Data!V181)*12.9898+(Inputs!$C$6)*78.233+Inputs!$C$47*37.719))*43758.5453)-INT((SIN(((Scenario_Data!V181)*12.9898+(Inputs!$C$6)*78.233+Inputs!$C$47*37.719))*43758.5453)))-1))))/1000))*COS(SQRT((Scenario_Data!V181)^2+Inputs!$C$6^2)/Inputs!$C$52))*1000)/Inputs!$C$21*1000000</f>
        <v/>
      </c>
      <c r="AV181">
        <f>Scenario_Data!W181</f>
        <v/>
      </c>
      <c r="AW181">
        <f>2*(SQRT((Inputs!$C$52+(Scenario_Data!E181))^2+(Inputs!$C$52+((IF(OR(Inputs!$C$27=TRUE,Inputs!$C$27="TRUE",Inputs!$C$27=1),1,0)*(Inputs!$C$51*(115*EXP(-(((Inputs!$C$6)-25)^2)/(4.5^2))+70*EXP(-(((Inputs!$C$6)+38)^2)/(7^2))*(0.55+0.45*SIN(2*PI()*(Scenario_Data!W181)/45))+24*SIN(2*PI()*(Inputs!$C$6)/9+(Scenario_Data!W181)/18)*EXP(-(((Inputs!$C$6)+5)^2)/(22^2))+18*SIN(2*PI()*(Scenario_Data!W181)/70))+Inputs!$C$28*EXP(-(((Scenario_Data!W181)-Inputs!$C$29)^2)/(2*Inputs!$C$31^2))*EXP(-(((Inputs!$C$6)-Inputs!$C$30)^2)/(2*Inputs!$C$32^2))+-Inputs!$C$33*EXP(-(((((Scenario_Data!W181)-Inputs!$C$34)^2)+(((Inputs!$C$6)-Inputs!$C$35)^2))/(2*Inputs!$C$36^2)))+Inputs!$C$37*(0.55*SIN(2*PI()*(Scenario_Data!W181)/Inputs!$C$39)+0.35*COS(2*PI()*(Inputs!$C$6)/Inputs!$C$40)+0.2*SIN(2*PI()*((Scenario_Data!W181)+(Inputs!$C$6))/(0.5*(Inputs!$C$39+Inputs!$C$40))))+Inputs!$C$38*SIN(2*PI()*(Scenario_Data!W181)/Inputs!$C$39)*SIN(2*PI()*(Inputs!$C$6)/Inputs!$C$40)+-Inputs!$C$41*EXP(-(((Inputs!$C$6)-Inputs!$C$43)^2)/(2*Inputs!$C$44^2))*EXP(-(((Scenario_Data!W181)-Inputs!$C$42)^2)/(2*Inputs!$C$45^2))+Inputs!$C$48*(0.7*(0.45*SIN(2*PI()*(((Scenario_Data!W181)/Inputs!$C$49)+Inputs!$C$47*0.137))+0.35*COS(2*PI()*(((Inputs!$C$6)/Inputs!$C$50)+Inputs!$C$47*0.173))+0.2*SIN(2*PI()*((((Scenario_Data!W181)+(Inputs!$C$6))/(0.5*(Inputs!$C$49+Inputs!$C$50)))+Inputs!$C$47*0.097)))+0.3*(2*((SIN(((Scenario_Data!W181)*12.9898+(Inputs!$C$6)*78.233+Inputs!$C$47*37.719))*43758.5453)-INT((SIN(((Scenario_Data!W181)*12.9898+(Inputs!$C$6)*78.233+Inputs!$C$47*37.719))*43758.5453)))-1))))/1000))^2-2*(Inputs!$C$52+(Scenario_Data!E181))*(Inputs!$C$52+((IF(OR(Inputs!$C$27=TRUE,Inputs!$C$27="TRUE",Inputs!$C$27=1),1,0)*(Inputs!$C$51*(115*EXP(-(((Inputs!$C$6)-25)^2)/(4.5^2))+70*EXP(-(((Inputs!$C$6)+38)^2)/(7^2))*(0.55+0.45*SIN(2*PI()*(Scenario_Data!W181)/45))+24*SIN(2*PI()*(Inputs!$C$6)/9+(Scenario_Data!W181)/18)*EXP(-(((Inputs!$C$6)+5)^2)/(22^2))+18*SIN(2*PI()*(Scenario_Data!W181)/70))+Inputs!$C$28*EXP(-(((Scenario_Data!W181)-Inputs!$C$29)^2)/(2*Inputs!$C$31^2))*EXP(-(((Inputs!$C$6)-Inputs!$C$30)^2)/(2*Inputs!$C$32^2))+-Inputs!$C$33*EXP(-(((((Scenario_Data!W181)-Inputs!$C$34)^2)+(((Inputs!$C$6)-Inputs!$C$35)^2))/(2*Inputs!$C$36^2)))+Inputs!$C$37*(0.55*SIN(2*PI()*(Scenario_Data!W181)/Inputs!$C$39)+0.35*COS(2*PI()*(Inputs!$C$6)/Inputs!$C$40)+0.2*SIN(2*PI()*((Scenario_Data!W181)+(Inputs!$C$6))/(0.5*(Inputs!$C$39+Inputs!$C$40))))+Inputs!$C$38*SIN(2*PI()*(Scenario_Data!W181)/Inputs!$C$39)*SIN(2*PI()*(Inputs!$C$6)/Inputs!$C$40)+-Inputs!$C$41*EXP(-(((Inputs!$C$6)-Inputs!$C$43)^2)/(2*Inputs!$C$44^2))*EXP(-(((Scenario_Data!W181)-Inputs!$C$42)^2)/(2*Inputs!$C$45^2))+Inputs!$C$48*(0.7*(0.45*SIN(2*PI()*(((Scenario_Data!W181)/Inputs!$C$49)+Inputs!$C$47*0.137))+0.35*COS(2*PI()*(((Inputs!$C$6)/Inputs!$C$50)+Inputs!$C$47*0.173))+0.2*SIN(2*PI()*((((Scenario_Data!W181)+(Inputs!$C$6))/(0.5*(Inputs!$C$49+Inputs!$C$50)))+Inputs!$C$47*0.097)))+0.3*(2*((SIN(((Scenario_Data!W181)*12.9898+(Inputs!$C$6)*78.233+Inputs!$C$47*37.719))*43758.5453)-INT((SIN(((Scenario_Data!W181)*12.9898+(Inputs!$C$6)*78.233+Inputs!$C$47*37.719))*43758.5453)))-1))))/1000))*COS(SQRT((Scenario_Data!W181)^2+Inputs!$C$6^2)/Inputs!$C$52))*1000)/Inputs!$C$21*1000000</f>
        <v/>
      </c>
    </row>
    <row r="182">
      <c r="A182">
        <f>Chart_Data!K182</f>
        <v/>
      </c>
      <c r="B182">
        <f>Chart_Data!N182-Chart_Data!L182</f>
        <v/>
      </c>
      <c r="D182">
        <f>Chart_Data!G182</f>
        <v/>
      </c>
      <c r="E182">
        <f>Chart_Data!H182</f>
        <v/>
      </c>
      <c r="F182">
        <f>Chart_Data!I182</f>
        <v/>
      </c>
      <c r="G182">
        <f>Chart_Data!J182</f>
        <v/>
      </c>
      <c r="I182">
        <f>Scenario_Data!A182</f>
        <v/>
      </c>
      <c r="J182">
        <f>Scenario_Data!H182-(((SQRT((Inputs!$C$52+(Inputs!$H$6))^2+Inputs!$C$52^2-2*(Inputs!$C$52+(Inputs!$H$6))*Inputs!$C$52*COS(SQRT((Scenario_Data!T182)^2+Inputs!$C$6^2)/Inputs!$C$52)))-(Inputs!$H$6))*1000/Inputs!$C$12)</f>
        <v/>
      </c>
      <c r="K182">
        <f>Scenario_Data!I182-(((SQRT((Inputs!$C$52+(Inputs!$H$7))^2+Inputs!$C$52^2-2*(Inputs!$C$52+(Inputs!$H$7))*Inputs!$C$52*COS(SQRT((Scenario_Data!U182)^2+Inputs!$C$6^2)/Inputs!$C$52)))-(Inputs!$H$7))*1000/Inputs!$C$12)</f>
        <v/>
      </c>
      <c r="L182">
        <f>Scenario_Data!J182-(((SQRT((Inputs!$C$52+(Inputs!$H$8))^2+Inputs!$C$52^2-2*(Inputs!$C$52+(Inputs!$H$8))*Inputs!$C$52*COS(SQRT((Scenario_Data!V182)^2+Inputs!$C$6^2)/Inputs!$C$52)))-(Inputs!$H$8))*1000/Inputs!$C$12)</f>
        <v/>
      </c>
      <c r="M182">
        <f>Scenario_Data!K182-(((SQRT((Inputs!$C$52+(Inputs!$H$9))^2+Inputs!$C$52^2-2*(Inputs!$C$52+(Inputs!$H$9))*Inputs!$C$52*COS(SQRT((Scenario_Data!W182)^2+Inputs!$C$6^2)/Inputs!$C$52)))-(Inputs!$H$9))*1000/Inputs!$C$12)</f>
        <v/>
      </c>
      <c r="O182">
        <f>Scenario_Data!T182</f>
        <v/>
      </c>
      <c r="P182">
        <f>2*(Scenario_Data!B182*1000)/Inputs!$C$21*1000000</f>
        <v/>
      </c>
      <c r="Q182">
        <f>Scenario_Data!U182</f>
        <v/>
      </c>
      <c r="R182">
        <f>2*(Scenario_Data!C182*1000)/Inputs!$C$21*1000000</f>
        <v/>
      </c>
      <c r="S182">
        <f>Scenario_Data!V182</f>
        <v/>
      </c>
      <c r="T182">
        <f>2*(Scenario_Data!D182*1000)/Inputs!$C$21*1000000</f>
        <v/>
      </c>
      <c r="U182">
        <f>Scenario_Data!W182</f>
        <v/>
      </c>
      <c r="V182">
        <f>2*(Scenario_Data!E182*1000)/Inputs!$C$21*1000000</f>
        <v/>
      </c>
      <c r="X182">
        <f>Scenario_Data!T182</f>
        <v/>
      </c>
      <c r="Y182">
        <f>2*((Scenario_Data!B182*1000)-(IF(OR(Inputs!$C$27=TRUE,Inputs!$C$27="TRUE",Inputs!$C$27=1),1,0)*(Inputs!$C$51*(115*EXP(-(((0)-25)^2)/(4.5^2))+70*EXP(-(((0)+38)^2)/(7^2))*(0.55+0.45*SIN(2*PI()*(Scenario_Data!T182)/45))+24*SIN(2*PI()*(0)/9+(Scenario_Data!T182)/18)*EXP(-(((0)+5)^2)/(22^2))+18*SIN(2*PI()*(Scenario_Data!T182)/70))+Inputs!$C$28*EXP(-(((Scenario_Data!T182)-Inputs!$C$29)^2)/(2*Inputs!$C$31^2))*EXP(-(((0)-Inputs!$C$30)^2)/(2*Inputs!$C$32^2))+-Inputs!$C$33*EXP(-(((((Scenario_Data!T182)-Inputs!$C$34)^2)+(((0)-Inputs!$C$35)^2))/(2*Inputs!$C$36^2)))+Inputs!$C$37*(0.55*SIN(2*PI()*(Scenario_Data!T182)/Inputs!$C$39)+0.35*COS(2*PI()*(0)/Inputs!$C$40)+0.2*SIN(2*PI()*((Scenario_Data!T182)+(0))/(0.5*(Inputs!$C$39+Inputs!$C$40))))+Inputs!$C$38*SIN(2*PI()*(Scenario_Data!T182)/Inputs!$C$39)*SIN(2*PI()*(0)/Inputs!$C$40)+-Inputs!$C$41*EXP(-(((0)-Inputs!$C$43)^2)/(2*Inputs!$C$44^2))*EXP(-(((Scenario_Data!T182)-Inputs!$C$42)^2)/(2*Inputs!$C$45^2))+Inputs!$C$48*(0.7*(0.45*SIN(2*PI()*(((Scenario_Data!T182)/Inputs!$C$49)+Inputs!$C$47*0.137))+0.35*COS(2*PI()*(((0)/Inputs!$C$50)+Inputs!$C$47*0.173))+0.2*SIN(2*PI()*((((Scenario_Data!T182)+(0))/(0.5*(Inputs!$C$49+Inputs!$C$50)))+Inputs!$C$47*0.097)))+0.3*(2*((SIN(((Scenario_Data!T182)*12.9898+(0)*78.233+Inputs!$C$47*37.719))*43758.5453)-INT((SIN(((Scenario_Data!T182)*12.9898+(0)*78.233+Inputs!$C$47*37.719))*43758.5453)))-1)))))/Inputs!$C$21*1000000</f>
        <v/>
      </c>
      <c r="Z182">
        <f>Scenario_Data!U182</f>
        <v/>
      </c>
      <c r="AA182">
        <f>2*((Scenario_Data!C182*1000)-(IF(OR(Inputs!$C$27=TRUE,Inputs!$C$27="TRUE",Inputs!$C$27=1),1,0)*(Inputs!$C$51*(115*EXP(-(((0)-25)^2)/(4.5^2))+70*EXP(-(((0)+38)^2)/(7^2))*(0.55+0.45*SIN(2*PI()*(Scenario_Data!U182)/45))+24*SIN(2*PI()*(0)/9+(Scenario_Data!U182)/18)*EXP(-(((0)+5)^2)/(22^2))+18*SIN(2*PI()*(Scenario_Data!U182)/70))+Inputs!$C$28*EXP(-(((Scenario_Data!U182)-Inputs!$C$29)^2)/(2*Inputs!$C$31^2))*EXP(-(((0)-Inputs!$C$30)^2)/(2*Inputs!$C$32^2))+-Inputs!$C$33*EXP(-(((((Scenario_Data!U182)-Inputs!$C$34)^2)+(((0)-Inputs!$C$35)^2))/(2*Inputs!$C$36^2)))+Inputs!$C$37*(0.55*SIN(2*PI()*(Scenario_Data!U182)/Inputs!$C$39)+0.35*COS(2*PI()*(0)/Inputs!$C$40)+0.2*SIN(2*PI()*((Scenario_Data!U182)+(0))/(0.5*(Inputs!$C$39+Inputs!$C$40))))+Inputs!$C$38*SIN(2*PI()*(Scenario_Data!U182)/Inputs!$C$39)*SIN(2*PI()*(0)/Inputs!$C$40)+-Inputs!$C$41*EXP(-(((0)-Inputs!$C$43)^2)/(2*Inputs!$C$44^2))*EXP(-(((Scenario_Data!U182)-Inputs!$C$42)^2)/(2*Inputs!$C$45^2))+Inputs!$C$48*(0.7*(0.45*SIN(2*PI()*(((Scenario_Data!U182)/Inputs!$C$49)+Inputs!$C$47*0.137))+0.35*COS(2*PI()*(((0)/Inputs!$C$50)+Inputs!$C$47*0.173))+0.2*SIN(2*PI()*((((Scenario_Data!U182)+(0))/(0.5*(Inputs!$C$49+Inputs!$C$50)))+Inputs!$C$47*0.097)))+0.3*(2*((SIN(((Scenario_Data!U182)*12.9898+(0)*78.233+Inputs!$C$47*37.719))*43758.5453)-INT((SIN(((Scenario_Data!U182)*12.9898+(0)*78.233+Inputs!$C$47*37.719))*43758.5453)))-1)))))/Inputs!$C$21*1000000</f>
        <v/>
      </c>
      <c r="AB182">
        <f>Scenario_Data!V182</f>
        <v/>
      </c>
      <c r="AC182">
        <f>2*((Scenario_Data!D182*1000)-(IF(OR(Inputs!$C$27=TRUE,Inputs!$C$27="TRUE",Inputs!$C$27=1),1,0)*(Inputs!$C$51*(115*EXP(-(((0)-25)^2)/(4.5^2))+70*EXP(-(((0)+38)^2)/(7^2))*(0.55+0.45*SIN(2*PI()*(Scenario_Data!V182)/45))+24*SIN(2*PI()*(0)/9+(Scenario_Data!V182)/18)*EXP(-(((0)+5)^2)/(22^2))+18*SIN(2*PI()*(Scenario_Data!V182)/70))+Inputs!$C$28*EXP(-(((Scenario_Data!V182)-Inputs!$C$29)^2)/(2*Inputs!$C$31^2))*EXP(-(((0)-Inputs!$C$30)^2)/(2*Inputs!$C$32^2))+-Inputs!$C$33*EXP(-(((((Scenario_Data!V182)-Inputs!$C$34)^2)+(((0)-Inputs!$C$35)^2))/(2*Inputs!$C$36^2)))+Inputs!$C$37*(0.55*SIN(2*PI()*(Scenario_Data!V182)/Inputs!$C$39)+0.35*COS(2*PI()*(0)/Inputs!$C$40)+0.2*SIN(2*PI()*((Scenario_Data!V182)+(0))/(0.5*(Inputs!$C$39+Inputs!$C$40))))+Inputs!$C$38*SIN(2*PI()*(Scenario_Data!V182)/Inputs!$C$39)*SIN(2*PI()*(0)/Inputs!$C$40)+-Inputs!$C$41*EXP(-(((0)-Inputs!$C$43)^2)/(2*Inputs!$C$44^2))*EXP(-(((Scenario_Data!V182)-Inputs!$C$42)^2)/(2*Inputs!$C$45^2))+Inputs!$C$48*(0.7*(0.45*SIN(2*PI()*(((Scenario_Data!V182)/Inputs!$C$49)+Inputs!$C$47*0.137))+0.35*COS(2*PI()*(((0)/Inputs!$C$50)+Inputs!$C$47*0.173))+0.2*SIN(2*PI()*((((Scenario_Data!V182)+(0))/(0.5*(Inputs!$C$49+Inputs!$C$50)))+Inputs!$C$47*0.097)))+0.3*(2*((SIN(((Scenario_Data!V182)*12.9898+(0)*78.233+Inputs!$C$47*37.719))*43758.5453)-INT((SIN(((Scenario_Data!V182)*12.9898+(0)*78.233+Inputs!$C$47*37.719))*43758.5453)))-1)))))/Inputs!$C$21*1000000</f>
        <v/>
      </c>
      <c r="AD182">
        <f>Scenario_Data!W182</f>
        <v/>
      </c>
      <c r="AE182">
        <f>2*((Scenario_Data!E182*1000)-(IF(OR(Inputs!$C$27=TRUE,Inputs!$C$27="TRUE",Inputs!$C$27=1),1,0)*(Inputs!$C$51*(115*EXP(-(((0)-25)^2)/(4.5^2))+70*EXP(-(((0)+38)^2)/(7^2))*(0.55+0.45*SIN(2*PI()*(Scenario_Data!W182)/45))+24*SIN(2*PI()*(0)/9+(Scenario_Data!W182)/18)*EXP(-(((0)+5)^2)/(22^2))+18*SIN(2*PI()*(Scenario_Data!W182)/70))+Inputs!$C$28*EXP(-(((Scenario_Data!W182)-Inputs!$C$29)^2)/(2*Inputs!$C$31^2))*EXP(-(((0)-Inputs!$C$30)^2)/(2*Inputs!$C$32^2))+-Inputs!$C$33*EXP(-(((((Scenario_Data!W182)-Inputs!$C$34)^2)+(((0)-Inputs!$C$35)^2))/(2*Inputs!$C$36^2)))+Inputs!$C$37*(0.55*SIN(2*PI()*(Scenario_Data!W182)/Inputs!$C$39)+0.35*COS(2*PI()*(0)/Inputs!$C$40)+0.2*SIN(2*PI()*((Scenario_Data!W182)+(0))/(0.5*(Inputs!$C$39+Inputs!$C$40))))+Inputs!$C$38*SIN(2*PI()*(Scenario_Data!W182)/Inputs!$C$39)*SIN(2*PI()*(0)/Inputs!$C$40)+-Inputs!$C$41*EXP(-(((0)-Inputs!$C$43)^2)/(2*Inputs!$C$44^2))*EXP(-(((Scenario_Data!W182)-Inputs!$C$42)^2)/(2*Inputs!$C$45^2))+Inputs!$C$48*(0.7*(0.45*SIN(2*PI()*(((Scenario_Data!W182)/Inputs!$C$49)+Inputs!$C$47*0.137))+0.35*COS(2*PI()*(((0)/Inputs!$C$50)+Inputs!$C$47*0.173))+0.2*SIN(2*PI()*((((Scenario_Data!W182)+(0))/(0.5*(Inputs!$C$49+Inputs!$C$50)))+Inputs!$C$47*0.097)))+0.3*(2*((SIN(((Scenario_Data!W182)*12.9898+(0)*78.233+Inputs!$C$47*37.719))*43758.5453)-INT((SIN(((Scenario_Data!W182)*12.9898+(0)*78.233+Inputs!$C$47*37.719))*43758.5453)))-1)))))/Inputs!$C$21*1000000</f>
        <v/>
      </c>
      <c r="AG182">
        <f>Scenario_Data!T182</f>
        <v/>
      </c>
      <c r="AH182">
        <f>2*(SQRT((Inputs!$C$52+(Scenario_Data!B182))^2+Inputs!$C$52^2-2*(Inputs!$C$52+(Scenario_Data!B182))*Inputs!$C$52*COS(SQRT((Scenario_Data!T182)^2+Inputs!$C$6^2)/Inputs!$C$52))*1000)/Inputs!$C$21*1000000</f>
        <v/>
      </c>
      <c r="AI182">
        <f>Scenario_Data!U182</f>
        <v/>
      </c>
      <c r="AJ182">
        <f>2*(SQRT((Inputs!$C$52+(Scenario_Data!C182))^2+Inputs!$C$52^2-2*(Inputs!$C$52+(Scenario_Data!C182))*Inputs!$C$52*COS(SQRT((Scenario_Data!U182)^2+Inputs!$C$6^2)/Inputs!$C$52))*1000)/Inputs!$C$21*1000000</f>
        <v/>
      </c>
      <c r="AK182">
        <f>Scenario_Data!V182</f>
        <v/>
      </c>
      <c r="AL182">
        <f>2*(SQRT((Inputs!$C$52+(Scenario_Data!D182))^2+Inputs!$C$52^2-2*(Inputs!$C$52+(Scenario_Data!D182))*Inputs!$C$52*COS(SQRT((Scenario_Data!V182)^2+Inputs!$C$6^2)/Inputs!$C$52))*1000)/Inputs!$C$21*1000000</f>
        <v/>
      </c>
      <c r="AM182">
        <f>Scenario_Data!W182</f>
        <v/>
      </c>
      <c r="AN182">
        <f>2*(SQRT((Inputs!$C$52+(Scenario_Data!E182))^2+Inputs!$C$52^2-2*(Inputs!$C$52+(Scenario_Data!E182))*Inputs!$C$52*COS(SQRT((Scenario_Data!W182)^2+Inputs!$C$6^2)/Inputs!$C$52))*1000)/Inputs!$C$21*1000000</f>
        <v/>
      </c>
      <c r="AP182">
        <f>Scenario_Data!T182</f>
        <v/>
      </c>
      <c r="AQ182">
        <f>2*(SQRT((Inputs!$C$52+(Scenario_Data!B182))^2+(Inputs!$C$52+((IF(OR(Inputs!$C$27=TRUE,Inputs!$C$27="TRUE",Inputs!$C$27=1),1,0)*(Inputs!$C$51*(115*EXP(-(((Inputs!$C$6)-25)^2)/(4.5^2))+70*EXP(-(((Inputs!$C$6)+38)^2)/(7^2))*(0.55+0.45*SIN(2*PI()*(Scenario_Data!T182)/45))+24*SIN(2*PI()*(Inputs!$C$6)/9+(Scenario_Data!T182)/18)*EXP(-(((Inputs!$C$6)+5)^2)/(22^2))+18*SIN(2*PI()*(Scenario_Data!T182)/70))+Inputs!$C$28*EXP(-(((Scenario_Data!T182)-Inputs!$C$29)^2)/(2*Inputs!$C$31^2))*EXP(-(((Inputs!$C$6)-Inputs!$C$30)^2)/(2*Inputs!$C$32^2))+-Inputs!$C$33*EXP(-(((((Scenario_Data!T182)-Inputs!$C$34)^2)+(((Inputs!$C$6)-Inputs!$C$35)^2))/(2*Inputs!$C$36^2)))+Inputs!$C$37*(0.55*SIN(2*PI()*(Scenario_Data!T182)/Inputs!$C$39)+0.35*COS(2*PI()*(Inputs!$C$6)/Inputs!$C$40)+0.2*SIN(2*PI()*((Scenario_Data!T182)+(Inputs!$C$6))/(0.5*(Inputs!$C$39+Inputs!$C$40))))+Inputs!$C$38*SIN(2*PI()*(Scenario_Data!T182)/Inputs!$C$39)*SIN(2*PI()*(Inputs!$C$6)/Inputs!$C$40)+-Inputs!$C$41*EXP(-(((Inputs!$C$6)-Inputs!$C$43)^2)/(2*Inputs!$C$44^2))*EXP(-(((Scenario_Data!T182)-Inputs!$C$42)^2)/(2*Inputs!$C$45^2))+Inputs!$C$48*(0.7*(0.45*SIN(2*PI()*(((Scenario_Data!T182)/Inputs!$C$49)+Inputs!$C$47*0.137))+0.35*COS(2*PI()*(((Inputs!$C$6)/Inputs!$C$50)+Inputs!$C$47*0.173))+0.2*SIN(2*PI()*((((Scenario_Data!T182)+(Inputs!$C$6))/(0.5*(Inputs!$C$49+Inputs!$C$50)))+Inputs!$C$47*0.097)))+0.3*(2*((SIN(((Scenario_Data!T182)*12.9898+(Inputs!$C$6)*78.233+Inputs!$C$47*37.719))*43758.5453)-INT((SIN(((Scenario_Data!T182)*12.9898+(Inputs!$C$6)*78.233+Inputs!$C$47*37.719))*43758.5453)))-1))))/1000))^2-2*(Inputs!$C$52+(Scenario_Data!B182))*(Inputs!$C$52+((IF(OR(Inputs!$C$27=TRUE,Inputs!$C$27="TRUE",Inputs!$C$27=1),1,0)*(Inputs!$C$51*(115*EXP(-(((Inputs!$C$6)-25)^2)/(4.5^2))+70*EXP(-(((Inputs!$C$6)+38)^2)/(7^2))*(0.55+0.45*SIN(2*PI()*(Scenario_Data!T182)/45))+24*SIN(2*PI()*(Inputs!$C$6)/9+(Scenario_Data!T182)/18)*EXP(-(((Inputs!$C$6)+5)^2)/(22^2))+18*SIN(2*PI()*(Scenario_Data!T182)/70))+Inputs!$C$28*EXP(-(((Scenario_Data!T182)-Inputs!$C$29)^2)/(2*Inputs!$C$31^2))*EXP(-(((Inputs!$C$6)-Inputs!$C$30)^2)/(2*Inputs!$C$32^2))+-Inputs!$C$33*EXP(-(((((Scenario_Data!T182)-Inputs!$C$34)^2)+(((Inputs!$C$6)-Inputs!$C$35)^2))/(2*Inputs!$C$36^2)))+Inputs!$C$37*(0.55*SIN(2*PI()*(Scenario_Data!T182)/Inputs!$C$39)+0.35*COS(2*PI()*(Inputs!$C$6)/Inputs!$C$40)+0.2*SIN(2*PI()*((Scenario_Data!T182)+(Inputs!$C$6))/(0.5*(Inputs!$C$39+Inputs!$C$40))))+Inputs!$C$38*SIN(2*PI()*(Scenario_Data!T182)/Inputs!$C$39)*SIN(2*PI()*(Inputs!$C$6)/Inputs!$C$40)+-Inputs!$C$41*EXP(-(((Inputs!$C$6)-Inputs!$C$43)^2)/(2*Inputs!$C$44^2))*EXP(-(((Scenario_Data!T182)-Inputs!$C$42)^2)/(2*Inputs!$C$45^2))+Inputs!$C$48*(0.7*(0.45*SIN(2*PI()*(((Scenario_Data!T182)/Inputs!$C$49)+Inputs!$C$47*0.137))+0.35*COS(2*PI()*(((Inputs!$C$6)/Inputs!$C$50)+Inputs!$C$47*0.173))+0.2*SIN(2*PI()*((((Scenario_Data!T182)+(Inputs!$C$6))/(0.5*(Inputs!$C$49+Inputs!$C$50)))+Inputs!$C$47*0.097)))+0.3*(2*((SIN(((Scenario_Data!T182)*12.9898+(Inputs!$C$6)*78.233+Inputs!$C$47*37.719))*43758.5453)-INT((SIN(((Scenario_Data!T182)*12.9898+(Inputs!$C$6)*78.233+Inputs!$C$47*37.719))*43758.5453)))-1))))/1000))*COS(SQRT((Scenario_Data!T182)^2+Inputs!$C$6^2)/Inputs!$C$52))*1000)/Inputs!$C$21*1000000</f>
        <v/>
      </c>
      <c r="AR182">
        <f>Scenario_Data!U182</f>
        <v/>
      </c>
      <c r="AS182">
        <f>2*(SQRT((Inputs!$C$52+(Scenario_Data!C182))^2+(Inputs!$C$52+((IF(OR(Inputs!$C$27=TRUE,Inputs!$C$27="TRUE",Inputs!$C$27=1),1,0)*(Inputs!$C$51*(115*EXP(-(((Inputs!$C$6)-25)^2)/(4.5^2))+70*EXP(-(((Inputs!$C$6)+38)^2)/(7^2))*(0.55+0.45*SIN(2*PI()*(Scenario_Data!U182)/45))+24*SIN(2*PI()*(Inputs!$C$6)/9+(Scenario_Data!U182)/18)*EXP(-(((Inputs!$C$6)+5)^2)/(22^2))+18*SIN(2*PI()*(Scenario_Data!U182)/70))+Inputs!$C$28*EXP(-(((Scenario_Data!U182)-Inputs!$C$29)^2)/(2*Inputs!$C$31^2))*EXP(-(((Inputs!$C$6)-Inputs!$C$30)^2)/(2*Inputs!$C$32^2))+-Inputs!$C$33*EXP(-(((((Scenario_Data!U182)-Inputs!$C$34)^2)+(((Inputs!$C$6)-Inputs!$C$35)^2))/(2*Inputs!$C$36^2)))+Inputs!$C$37*(0.55*SIN(2*PI()*(Scenario_Data!U182)/Inputs!$C$39)+0.35*COS(2*PI()*(Inputs!$C$6)/Inputs!$C$40)+0.2*SIN(2*PI()*((Scenario_Data!U182)+(Inputs!$C$6))/(0.5*(Inputs!$C$39+Inputs!$C$40))))+Inputs!$C$38*SIN(2*PI()*(Scenario_Data!U182)/Inputs!$C$39)*SIN(2*PI()*(Inputs!$C$6)/Inputs!$C$40)+-Inputs!$C$41*EXP(-(((Inputs!$C$6)-Inputs!$C$43)^2)/(2*Inputs!$C$44^2))*EXP(-(((Scenario_Data!U182)-Inputs!$C$42)^2)/(2*Inputs!$C$45^2))+Inputs!$C$48*(0.7*(0.45*SIN(2*PI()*(((Scenario_Data!U182)/Inputs!$C$49)+Inputs!$C$47*0.137))+0.35*COS(2*PI()*(((Inputs!$C$6)/Inputs!$C$50)+Inputs!$C$47*0.173))+0.2*SIN(2*PI()*((((Scenario_Data!U182)+(Inputs!$C$6))/(0.5*(Inputs!$C$49+Inputs!$C$50)))+Inputs!$C$47*0.097)))+0.3*(2*((SIN(((Scenario_Data!U182)*12.9898+(Inputs!$C$6)*78.233+Inputs!$C$47*37.719))*43758.5453)-INT((SIN(((Scenario_Data!U182)*12.9898+(Inputs!$C$6)*78.233+Inputs!$C$47*37.719))*43758.5453)))-1))))/1000))^2-2*(Inputs!$C$52+(Scenario_Data!C182))*(Inputs!$C$52+((IF(OR(Inputs!$C$27=TRUE,Inputs!$C$27="TRUE",Inputs!$C$27=1),1,0)*(Inputs!$C$51*(115*EXP(-(((Inputs!$C$6)-25)^2)/(4.5^2))+70*EXP(-(((Inputs!$C$6)+38)^2)/(7^2))*(0.55+0.45*SIN(2*PI()*(Scenario_Data!U182)/45))+24*SIN(2*PI()*(Inputs!$C$6)/9+(Scenario_Data!U182)/18)*EXP(-(((Inputs!$C$6)+5)^2)/(22^2))+18*SIN(2*PI()*(Scenario_Data!U182)/70))+Inputs!$C$28*EXP(-(((Scenario_Data!U182)-Inputs!$C$29)^2)/(2*Inputs!$C$31^2))*EXP(-(((Inputs!$C$6)-Inputs!$C$30)^2)/(2*Inputs!$C$32^2))+-Inputs!$C$33*EXP(-(((((Scenario_Data!U182)-Inputs!$C$34)^2)+(((Inputs!$C$6)-Inputs!$C$35)^2))/(2*Inputs!$C$36^2)))+Inputs!$C$37*(0.55*SIN(2*PI()*(Scenario_Data!U182)/Inputs!$C$39)+0.35*COS(2*PI()*(Inputs!$C$6)/Inputs!$C$40)+0.2*SIN(2*PI()*((Scenario_Data!U182)+(Inputs!$C$6))/(0.5*(Inputs!$C$39+Inputs!$C$40))))+Inputs!$C$38*SIN(2*PI()*(Scenario_Data!U182)/Inputs!$C$39)*SIN(2*PI()*(Inputs!$C$6)/Inputs!$C$40)+-Inputs!$C$41*EXP(-(((Inputs!$C$6)-Inputs!$C$43)^2)/(2*Inputs!$C$44^2))*EXP(-(((Scenario_Data!U182)-Inputs!$C$42)^2)/(2*Inputs!$C$45^2))+Inputs!$C$48*(0.7*(0.45*SIN(2*PI()*(((Scenario_Data!U182)/Inputs!$C$49)+Inputs!$C$47*0.137))+0.35*COS(2*PI()*(((Inputs!$C$6)/Inputs!$C$50)+Inputs!$C$47*0.173))+0.2*SIN(2*PI()*((((Scenario_Data!U182)+(Inputs!$C$6))/(0.5*(Inputs!$C$49+Inputs!$C$50)))+Inputs!$C$47*0.097)))+0.3*(2*((SIN(((Scenario_Data!U182)*12.9898+(Inputs!$C$6)*78.233+Inputs!$C$47*37.719))*43758.5453)-INT((SIN(((Scenario_Data!U182)*12.9898+(Inputs!$C$6)*78.233+Inputs!$C$47*37.719))*43758.5453)))-1))))/1000))*COS(SQRT((Scenario_Data!U182)^2+Inputs!$C$6^2)/Inputs!$C$52))*1000)/Inputs!$C$21*1000000</f>
        <v/>
      </c>
      <c r="AT182">
        <f>Scenario_Data!V182</f>
        <v/>
      </c>
      <c r="AU182">
        <f>2*(SQRT((Inputs!$C$52+(Scenario_Data!D182))^2+(Inputs!$C$52+((IF(OR(Inputs!$C$27=TRUE,Inputs!$C$27="TRUE",Inputs!$C$27=1),1,0)*(Inputs!$C$51*(115*EXP(-(((Inputs!$C$6)-25)^2)/(4.5^2))+70*EXP(-(((Inputs!$C$6)+38)^2)/(7^2))*(0.55+0.45*SIN(2*PI()*(Scenario_Data!V182)/45))+24*SIN(2*PI()*(Inputs!$C$6)/9+(Scenario_Data!V182)/18)*EXP(-(((Inputs!$C$6)+5)^2)/(22^2))+18*SIN(2*PI()*(Scenario_Data!V182)/70))+Inputs!$C$28*EXP(-(((Scenario_Data!V182)-Inputs!$C$29)^2)/(2*Inputs!$C$31^2))*EXP(-(((Inputs!$C$6)-Inputs!$C$30)^2)/(2*Inputs!$C$32^2))+-Inputs!$C$33*EXP(-(((((Scenario_Data!V182)-Inputs!$C$34)^2)+(((Inputs!$C$6)-Inputs!$C$35)^2))/(2*Inputs!$C$36^2)))+Inputs!$C$37*(0.55*SIN(2*PI()*(Scenario_Data!V182)/Inputs!$C$39)+0.35*COS(2*PI()*(Inputs!$C$6)/Inputs!$C$40)+0.2*SIN(2*PI()*((Scenario_Data!V182)+(Inputs!$C$6))/(0.5*(Inputs!$C$39+Inputs!$C$40))))+Inputs!$C$38*SIN(2*PI()*(Scenario_Data!V182)/Inputs!$C$39)*SIN(2*PI()*(Inputs!$C$6)/Inputs!$C$40)+-Inputs!$C$41*EXP(-(((Inputs!$C$6)-Inputs!$C$43)^2)/(2*Inputs!$C$44^2))*EXP(-(((Scenario_Data!V182)-Inputs!$C$42)^2)/(2*Inputs!$C$45^2))+Inputs!$C$48*(0.7*(0.45*SIN(2*PI()*(((Scenario_Data!V182)/Inputs!$C$49)+Inputs!$C$47*0.137))+0.35*COS(2*PI()*(((Inputs!$C$6)/Inputs!$C$50)+Inputs!$C$47*0.173))+0.2*SIN(2*PI()*((((Scenario_Data!V182)+(Inputs!$C$6))/(0.5*(Inputs!$C$49+Inputs!$C$50)))+Inputs!$C$47*0.097)))+0.3*(2*((SIN(((Scenario_Data!V182)*12.9898+(Inputs!$C$6)*78.233+Inputs!$C$47*37.719))*43758.5453)-INT((SIN(((Scenario_Data!V182)*12.9898+(Inputs!$C$6)*78.233+Inputs!$C$47*37.719))*43758.5453)))-1))))/1000))^2-2*(Inputs!$C$52+(Scenario_Data!D182))*(Inputs!$C$52+((IF(OR(Inputs!$C$27=TRUE,Inputs!$C$27="TRUE",Inputs!$C$27=1),1,0)*(Inputs!$C$51*(115*EXP(-(((Inputs!$C$6)-25)^2)/(4.5^2))+70*EXP(-(((Inputs!$C$6)+38)^2)/(7^2))*(0.55+0.45*SIN(2*PI()*(Scenario_Data!V182)/45))+24*SIN(2*PI()*(Inputs!$C$6)/9+(Scenario_Data!V182)/18)*EXP(-(((Inputs!$C$6)+5)^2)/(22^2))+18*SIN(2*PI()*(Scenario_Data!V182)/70))+Inputs!$C$28*EXP(-(((Scenario_Data!V182)-Inputs!$C$29)^2)/(2*Inputs!$C$31^2))*EXP(-(((Inputs!$C$6)-Inputs!$C$30)^2)/(2*Inputs!$C$32^2))+-Inputs!$C$33*EXP(-(((((Scenario_Data!V182)-Inputs!$C$34)^2)+(((Inputs!$C$6)-Inputs!$C$35)^2))/(2*Inputs!$C$36^2)))+Inputs!$C$37*(0.55*SIN(2*PI()*(Scenario_Data!V182)/Inputs!$C$39)+0.35*COS(2*PI()*(Inputs!$C$6)/Inputs!$C$40)+0.2*SIN(2*PI()*((Scenario_Data!V182)+(Inputs!$C$6))/(0.5*(Inputs!$C$39+Inputs!$C$40))))+Inputs!$C$38*SIN(2*PI()*(Scenario_Data!V182)/Inputs!$C$39)*SIN(2*PI()*(Inputs!$C$6)/Inputs!$C$40)+-Inputs!$C$41*EXP(-(((Inputs!$C$6)-Inputs!$C$43)^2)/(2*Inputs!$C$44^2))*EXP(-(((Scenario_Data!V182)-Inputs!$C$42)^2)/(2*Inputs!$C$45^2))+Inputs!$C$48*(0.7*(0.45*SIN(2*PI()*(((Scenario_Data!V182)/Inputs!$C$49)+Inputs!$C$47*0.137))+0.35*COS(2*PI()*(((Inputs!$C$6)/Inputs!$C$50)+Inputs!$C$47*0.173))+0.2*SIN(2*PI()*((((Scenario_Data!V182)+(Inputs!$C$6))/(0.5*(Inputs!$C$49+Inputs!$C$50)))+Inputs!$C$47*0.097)))+0.3*(2*((SIN(((Scenario_Data!V182)*12.9898+(Inputs!$C$6)*78.233+Inputs!$C$47*37.719))*43758.5453)-INT((SIN(((Scenario_Data!V182)*12.9898+(Inputs!$C$6)*78.233+Inputs!$C$47*37.719))*43758.5453)))-1))))/1000))*COS(SQRT((Scenario_Data!V182)^2+Inputs!$C$6^2)/Inputs!$C$52))*1000)/Inputs!$C$21*1000000</f>
        <v/>
      </c>
      <c r="AV182">
        <f>Scenario_Data!W182</f>
        <v/>
      </c>
      <c r="AW182">
        <f>2*(SQRT((Inputs!$C$52+(Scenario_Data!E182))^2+(Inputs!$C$52+((IF(OR(Inputs!$C$27=TRUE,Inputs!$C$27="TRUE",Inputs!$C$27=1),1,0)*(Inputs!$C$51*(115*EXP(-(((Inputs!$C$6)-25)^2)/(4.5^2))+70*EXP(-(((Inputs!$C$6)+38)^2)/(7^2))*(0.55+0.45*SIN(2*PI()*(Scenario_Data!W182)/45))+24*SIN(2*PI()*(Inputs!$C$6)/9+(Scenario_Data!W182)/18)*EXP(-(((Inputs!$C$6)+5)^2)/(22^2))+18*SIN(2*PI()*(Scenario_Data!W182)/70))+Inputs!$C$28*EXP(-(((Scenario_Data!W182)-Inputs!$C$29)^2)/(2*Inputs!$C$31^2))*EXP(-(((Inputs!$C$6)-Inputs!$C$30)^2)/(2*Inputs!$C$32^2))+-Inputs!$C$33*EXP(-(((((Scenario_Data!W182)-Inputs!$C$34)^2)+(((Inputs!$C$6)-Inputs!$C$35)^2))/(2*Inputs!$C$36^2)))+Inputs!$C$37*(0.55*SIN(2*PI()*(Scenario_Data!W182)/Inputs!$C$39)+0.35*COS(2*PI()*(Inputs!$C$6)/Inputs!$C$40)+0.2*SIN(2*PI()*((Scenario_Data!W182)+(Inputs!$C$6))/(0.5*(Inputs!$C$39+Inputs!$C$40))))+Inputs!$C$38*SIN(2*PI()*(Scenario_Data!W182)/Inputs!$C$39)*SIN(2*PI()*(Inputs!$C$6)/Inputs!$C$40)+-Inputs!$C$41*EXP(-(((Inputs!$C$6)-Inputs!$C$43)^2)/(2*Inputs!$C$44^2))*EXP(-(((Scenario_Data!W182)-Inputs!$C$42)^2)/(2*Inputs!$C$45^2))+Inputs!$C$48*(0.7*(0.45*SIN(2*PI()*(((Scenario_Data!W182)/Inputs!$C$49)+Inputs!$C$47*0.137))+0.35*COS(2*PI()*(((Inputs!$C$6)/Inputs!$C$50)+Inputs!$C$47*0.173))+0.2*SIN(2*PI()*((((Scenario_Data!W182)+(Inputs!$C$6))/(0.5*(Inputs!$C$49+Inputs!$C$50)))+Inputs!$C$47*0.097)))+0.3*(2*((SIN(((Scenario_Data!W182)*12.9898+(Inputs!$C$6)*78.233+Inputs!$C$47*37.719))*43758.5453)-INT((SIN(((Scenario_Data!W182)*12.9898+(Inputs!$C$6)*78.233+Inputs!$C$47*37.719))*43758.5453)))-1))))/1000))^2-2*(Inputs!$C$52+(Scenario_Data!E182))*(Inputs!$C$52+((IF(OR(Inputs!$C$27=TRUE,Inputs!$C$27="TRUE",Inputs!$C$27=1),1,0)*(Inputs!$C$51*(115*EXP(-(((Inputs!$C$6)-25)^2)/(4.5^2))+70*EXP(-(((Inputs!$C$6)+38)^2)/(7^2))*(0.55+0.45*SIN(2*PI()*(Scenario_Data!W182)/45))+24*SIN(2*PI()*(Inputs!$C$6)/9+(Scenario_Data!W182)/18)*EXP(-(((Inputs!$C$6)+5)^2)/(22^2))+18*SIN(2*PI()*(Scenario_Data!W182)/70))+Inputs!$C$28*EXP(-(((Scenario_Data!W182)-Inputs!$C$29)^2)/(2*Inputs!$C$31^2))*EXP(-(((Inputs!$C$6)-Inputs!$C$30)^2)/(2*Inputs!$C$32^2))+-Inputs!$C$33*EXP(-(((((Scenario_Data!W182)-Inputs!$C$34)^2)+(((Inputs!$C$6)-Inputs!$C$35)^2))/(2*Inputs!$C$36^2)))+Inputs!$C$37*(0.55*SIN(2*PI()*(Scenario_Data!W182)/Inputs!$C$39)+0.35*COS(2*PI()*(Inputs!$C$6)/Inputs!$C$40)+0.2*SIN(2*PI()*((Scenario_Data!W182)+(Inputs!$C$6))/(0.5*(Inputs!$C$39+Inputs!$C$40))))+Inputs!$C$38*SIN(2*PI()*(Scenario_Data!W182)/Inputs!$C$39)*SIN(2*PI()*(Inputs!$C$6)/Inputs!$C$40)+-Inputs!$C$41*EXP(-(((Inputs!$C$6)-Inputs!$C$43)^2)/(2*Inputs!$C$44^2))*EXP(-(((Scenario_Data!W182)-Inputs!$C$42)^2)/(2*Inputs!$C$45^2))+Inputs!$C$48*(0.7*(0.45*SIN(2*PI()*(((Scenario_Data!W182)/Inputs!$C$49)+Inputs!$C$47*0.137))+0.35*COS(2*PI()*(((Inputs!$C$6)/Inputs!$C$50)+Inputs!$C$47*0.173))+0.2*SIN(2*PI()*((((Scenario_Data!W182)+(Inputs!$C$6))/(0.5*(Inputs!$C$49+Inputs!$C$50)))+Inputs!$C$47*0.097)))+0.3*(2*((SIN(((Scenario_Data!W182)*12.9898+(Inputs!$C$6)*78.233+Inputs!$C$47*37.719))*43758.5453)-INT((SIN(((Scenario_Data!W182)*12.9898+(Inputs!$C$6)*78.233+Inputs!$C$47*37.719))*43758.5453)))-1))))/1000))*COS(SQRT((Scenario_Data!W182)^2+Inputs!$C$6^2)/Inputs!$C$52))*1000)/Inputs!$C$21*1000000</f>
        <v/>
      </c>
    </row>
    <row r="183">
      <c r="A183">
        <f>Chart_Data!K183</f>
        <v/>
      </c>
      <c r="B183">
        <f>Chart_Data!N183-Chart_Data!L183</f>
        <v/>
      </c>
      <c r="D183">
        <f>Chart_Data!G183</f>
        <v/>
      </c>
      <c r="E183">
        <f>Chart_Data!H183</f>
        <v/>
      </c>
      <c r="F183">
        <f>Chart_Data!I183</f>
        <v/>
      </c>
      <c r="G183">
        <f>Chart_Data!J183</f>
        <v/>
      </c>
      <c r="I183">
        <f>Scenario_Data!A183</f>
        <v/>
      </c>
      <c r="J183">
        <f>Scenario_Data!H183-(((SQRT((Inputs!$C$52+(Inputs!$H$6))^2+Inputs!$C$52^2-2*(Inputs!$C$52+(Inputs!$H$6))*Inputs!$C$52*COS(SQRT((Scenario_Data!T183)^2+Inputs!$C$6^2)/Inputs!$C$52)))-(Inputs!$H$6))*1000/Inputs!$C$12)</f>
        <v/>
      </c>
      <c r="K183">
        <f>Scenario_Data!I183-(((SQRT((Inputs!$C$52+(Inputs!$H$7))^2+Inputs!$C$52^2-2*(Inputs!$C$52+(Inputs!$H$7))*Inputs!$C$52*COS(SQRT((Scenario_Data!U183)^2+Inputs!$C$6^2)/Inputs!$C$52)))-(Inputs!$H$7))*1000/Inputs!$C$12)</f>
        <v/>
      </c>
      <c r="L183">
        <f>Scenario_Data!J183-(((SQRT((Inputs!$C$52+(Inputs!$H$8))^2+Inputs!$C$52^2-2*(Inputs!$C$52+(Inputs!$H$8))*Inputs!$C$52*COS(SQRT((Scenario_Data!V183)^2+Inputs!$C$6^2)/Inputs!$C$52)))-(Inputs!$H$8))*1000/Inputs!$C$12)</f>
        <v/>
      </c>
      <c r="M183">
        <f>Scenario_Data!K183-(((SQRT((Inputs!$C$52+(Inputs!$H$9))^2+Inputs!$C$52^2-2*(Inputs!$C$52+(Inputs!$H$9))*Inputs!$C$52*COS(SQRT((Scenario_Data!W183)^2+Inputs!$C$6^2)/Inputs!$C$52)))-(Inputs!$H$9))*1000/Inputs!$C$12)</f>
        <v/>
      </c>
      <c r="O183">
        <f>Scenario_Data!T183</f>
        <v/>
      </c>
      <c r="P183">
        <f>2*(Scenario_Data!B183*1000)/Inputs!$C$21*1000000</f>
        <v/>
      </c>
      <c r="Q183">
        <f>Scenario_Data!U183</f>
        <v/>
      </c>
      <c r="R183">
        <f>2*(Scenario_Data!C183*1000)/Inputs!$C$21*1000000</f>
        <v/>
      </c>
      <c r="S183">
        <f>Scenario_Data!V183</f>
        <v/>
      </c>
      <c r="T183">
        <f>2*(Scenario_Data!D183*1000)/Inputs!$C$21*1000000</f>
        <v/>
      </c>
      <c r="U183">
        <f>Scenario_Data!W183</f>
        <v/>
      </c>
      <c r="V183">
        <f>2*(Scenario_Data!E183*1000)/Inputs!$C$21*1000000</f>
        <v/>
      </c>
      <c r="X183">
        <f>Scenario_Data!T183</f>
        <v/>
      </c>
      <c r="Y183">
        <f>2*((Scenario_Data!B183*1000)-(IF(OR(Inputs!$C$27=TRUE,Inputs!$C$27="TRUE",Inputs!$C$27=1),1,0)*(Inputs!$C$51*(115*EXP(-(((0)-25)^2)/(4.5^2))+70*EXP(-(((0)+38)^2)/(7^2))*(0.55+0.45*SIN(2*PI()*(Scenario_Data!T183)/45))+24*SIN(2*PI()*(0)/9+(Scenario_Data!T183)/18)*EXP(-(((0)+5)^2)/(22^2))+18*SIN(2*PI()*(Scenario_Data!T183)/70))+Inputs!$C$28*EXP(-(((Scenario_Data!T183)-Inputs!$C$29)^2)/(2*Inputs!$C$31^2))*EXP(-(((0)-Inputs!$C$30)^2)/(2*Inputs!$C$32^2))+-Inputs!$C$33*EXP(-(((((Scenario_Data!T183)-Inputs!$C$34)^2)+(((0)-Inputs!$C$35)^2))/(2*Inputs!$C$36^2)))+Inputs!$C$37*(0.55*SIN(2*PI()*(Scenario_Data!T183)/Inputs!$C$39)+0.35*COS(2*PI()*(0)/Inputs!$C$40)+0.2*SIN(2*PI()*((Scenario_Data!T183)+(0))/(0.5*(Inputs!$C$39+Inputs!$C$40))))+Inputs!$C$38*SIN(2*PI()*(Scenario_Data!T183)/Inputs!$C$39)*SIN(2*PI()*(0)/Inputs!$C$40)+-Inputs!$C$41*EXP(-(((0)-Inputs!$C$43)^2)/(2*Inputs!$C$44^2))*EXP(-(((Scenario_Data!T183)-Inputs!$C$42)^2)/(2*Inputs!$C$45^2))+Inputs!$C$48*(0.7*(0.45*SIN(2*PI()*(((Scenario_Data!T183)/Inputs!$C$49)+Inputs!$C$47*0.137))+0.35*COS(2*PI()*(((0)/Inputs!$C$50)+Inputs!$C$47*0.173))+0.2*SIN(2*PI()*((((Scenario_Data!T183)+(0))/(0.5*(Inputs!$C$49+Inputs!$C$50)))+Inputs!$C$47*0.097)))+0.3*(2*((SIN(((Scenario_Data!T183)*12.9898+(0)*78.233+Inputs!$C$47*37.719))*43758.5453)-INT((SIN(((Scenario_Data!T183)*12.9898+(0)*78.233+Inputs!$C$47*37.719))*43758.5453)))-1)))))/Inputs!$C$21*1000000</f>
        <v/>
      </c>
      <c r="Z183">
        <f>Scenario_Data!U183</f>
        <v/>
      </c>
      <c r="AA183">
        <f>2*((Scenario_Data!C183*1000)-(IF(OR(Inputs!$C$27=TRUE,Inputs!$C$27="TRUE",Inputs!$C$27=1),1,0)*(Inputs!$C$51*(115*EXP(-(((0)-25)^2)/(4.5^2))+70*EXP(-(((0)+38)^2)/(7^2))*(0.55+0.45*SIN(2*PI()*(Scenario_Data!U183)/45))+24*SIN(2*PI()*(0)/9+(Scenario_Data!U183)/18)*EXP(-(((0)+5)^2)/(22^2))+18*SIN(2*PI()*(Scenario_Data!U183)/70))+Inputs!$C$28*EXP(-(((Scenario_Data!U183)-Inputs!$C$29)^2)/(2*Inputs!$C$31^2))*EXP(-(((0)-Inputs!$C$30)^2)/(2*Inputs!$C$32^2))+-Inputs!$C$33*EXP(-(((((Scenario_Data!U183)-Inputs!$C$34)^2)+(((0)-Inputs!$C$35)^2))/(2*Inputs!$C$36^2)))+Inputs!$C$37*(0.55*SIN(2*PI()*(Scenario_Data!U183)/Inputs!$C$39)+0.35*COS(2*PI()*(0)/Inputs!$C$40)+0.2*SIN(2*PI()*((Scenario_Data!U183)+(0))/(0.5*(Inputs!$C$39+Inputs!$C$40))))+Inputs!$C$38*SIN(2*PI()*(Scenario_Data!U183)/Inputs!$C$39)*SIN(2*PI()*(0)/Inputs!$C$40)+-Inputs!$C$41*EXP(-(((0)-Inputs!$C$43)^2)/(2*Inputs!$C$44^2))*EXP(-(((Scenario_Data!U183)-Inputs!$C$42)^2)/(2*Inputs!$C$45^2))+Inputs!$C$48*(0.7*(0.45*SIN(2*PI()*(((Scenario_Data!U183)/Inputs!$C$49)+Inputs!$C$47*0.137))+0.35*COS(2*PI()*(((0)/Inputs!$C$50)+Inputs!$C$47*0.173))+0.2*SIN(2*PI()*((((Scenario_Data!U183)+(0))/(0.5*(Inputs!$C$49+Inputs!$C$50)))+Inputs!$C$47*0.097)))+0.3*(2*((SIN(((Scenario_Data!U183)*12.9898+(0)*78.233+Inputs!$C$47*37.719))*43758.5453)-INT((SIN(((Scenario_Data!U183)*12.9898+(0)*78.233+Inputs!$C$47*37.719))*43758.5453)))-1)))))/Inputs!$C$21*1000000</f>
        <v/>
      </c>
      <c r="AB183">
        <f>Scenario_Data!V183</f>
        <v/>
      </c>
      <c r="AC183">
        <f>2*((Scenario_Data!D183*1000)-(IF(OR(Inputs!$C$27=TRUE,Inputs!$C$27="TRUE",Inputs!$C$27=1),1,0)*(Inputs!$C$51*(115*EXP(-(((0)-25)^2)/(4.5^2))+70*EXP(-(((0)+38)^2)/(7^2))*(0.55+0.45*SIN(2*PI()*(Scenario_Data!V183)/45))+24*SIN(2*PI()*(0)/9+(Scenario_Data!V183)/18)*EXP(-(((0)+5)^2)/(22^2))+18*SIN(2*PI()*(Scenario_Data!V183)/70))+Inputs!$C$28*EXP(-(((Scenario_Data!V183)-Inputs!$C$29)^2)/(2*Inputs!$C$31^2))*EXP(-(((0)-Inputs!$C$30)^2)/(2*Inputs!$C$32^2))+-Inputs!$C$33*EXP(-(((((Scenario_Data!V183)-Inputs!$C$34)^2)+(((0)-Inputs!$C$35)^2))/(2*Inputs!$C$36^2)))+Inputs!$C$37*(0.55*SIN(2*PI()*(Scenario_Data!V183)/Inputs!$C$39)+0.35*COS(2*PI()*(0)/Inputs!$C$40)+0.2*SIN(2*PI()*((Scenario_Data!V183)+(0))/(0.5*(Inputs!$C$39+Inputs!$C$40))))+Inputs!$C$38*SIN(2*PI()*(Scenario_Data!V183)/Inputs!$C$39)*SIN(2*PI()*(0)/Inputs!$C$40)+-Inputs!$C$41*EXP(-(((0)-Inputs!$C$43)^2)/(2*Inputs!$C$44^2))*EXP(-(((Scenario_Data!V183)-Inputs!$C$42)^2)/(2*Inputs!$C$45^2))+Inputs!$C$48*(0.7*(0.45*SIN(2*PI()*(((Scenario_Data!V183)/Inputs!$C$49)+Inputs!$C$47*0.137))+0.35*COS(2*PI()*(((0)/Inputs!$C$50)+Inputs!$C$47*0.173))+0.2*SIN(2*PI()*((((Scenario_Data!V183)+(0))/(0.5*(Inputs!$C$49+Inputs!$C$50)))+Inputs!$C$47*0.097)))+0.3*(2*((SIN(((Scenario_Data!V183)*12.9898+(0)*78.233+Inputs!$C$47*37.719))*43758.5453)-INT((SIN(((Scenario_Data!V183)*12.9898+(0)*78.233+Inputs!$C$47*37.719))*43758.5453)))-1)))))/Inputs!$C$21*1000000</f>
        <v/>
      </c>
      <c r="AD183">
        <f>Scenario_Data!W183</f>
        <v/>
      </c>
      <c r="AE183">
        <f>2*((Scenario_Data!E183*1000)-(IF(OR(Inputs!$C$27=TRUE,Inputs!$C$27="TRUE",Inputs!$C$27=1),1,0)*(Inputs!$C$51*(115*EXP(-(((0)-25)^2)/(4.5^2))+70*EXP(-(((0)+38)^2)/(7^2))*(0.55+0.45*SIN(2*PI()*(Scenario_Data!W183)/45))+24*SIN(2*PI()*(0)/9+(Scenario_Data!W183)/18)*EXP(-(((0)+5)^2)/(22^2))+18*SIN(2*PI()*(Scenario_Data!W183)/70))+Inputs!$C$28*EXP(-(((Scenario_Data!W183)-Inputs!$C$29)^2)/(2*Inputs!$C$31^2))*EXP(-(((0)-Inputs!$C$30)^2)/(2*Inputs!$C$32^2))+-Inputs!$C$33*EXP(-(((((Scenario_Data!W183)-Inputs!$C$34)^2)+(((0)-Inputs!$C$35)^2))/(2*Inputs!$C$36^2)))+Inputs!$C$37*(0.55*SIN(2*PI()*(Scenario_Data!W183)/Inputs!$C$39)+0.35*COS(2*PI()*(0)/Inputs!$C$40)+0.2*SIN(2*PI()*((Scenario_Data!W183)+(0))/(0.5*(Inputs!$C$39+Inputs!$C$40))))+Inputs!$C$38*SIN(2*PI()*(Scenario_Data!W183)/Inputs!$C$39)*SIN(2*PI()*(0)/Inputs!$C$40)+-Inputs!$C$41*EXP(-(((0)-Inputs!$C$43)^2)/(2*Inputs!$C$44^2))*EXP(-(((Scenario_Data!W183)-Inputs!$C$42)^2)/(2*Inputs!$C$45^2))+Inputs!$C$48*(0.7*(0.45*SIN(2*PI()*(((Scenario_Data!W183)/Inputs!$C$49)+Inputs!$C$47*0.137))+0.35*COS(2*PI()*(((0)/Inputs!$C$50)+Inputs!$C$47*0.173))+0.2*SIN(2*PI()*((((Scenario_Data!W183)+(0))/(0.5*(Inputs!$C$49+Inputs!$C$50)))+Inputs!$C$47*0.097)))+0.3*(2*((SIN(((Scenario_Data!W183)*12.9898+(0)*78.233+Inputs!$C$47*37.719))*43758.5453)-INT((SIN(((Scenario_Data!W183)*12.9898+(0)*78.233+Inputs!$C$47*37.719))*43758.5453)))-1)))))/Inputs!$C$21*1000000</f>
        <v/>
      </c>
      <c r="AG183">
        <f>Scenario_Data!T183</f>
        <v/>
      </c>
      <c r="AH183">
        <f>2*(SQRT((Inputs!$C$52+(Scenario_Data!B183))^2+Inputs!$C$52^2-2*(Inputs!$C$52+(Scenario_Data!B183))*Inputs!$C$52*COS(SQRT((Scenario_Data!T183)^2+Inputs!$C$6^2)/Inputs!$C$52))*1000)/Inputs!$C$21*1000000</f>
        <v/>
      </c>
      <c r="AI183">
        <f>Scenario_Data!U183</f>
        <v/>
      </c>
      <c r="AJ183">
        <f>2*(SQRT((Inputs!$C$52+(Scenario_Data!C183))^2+Inputs!$C$52^2-2*(Inputs!$C$52+(Scenario_Data!C183))*Inputs!$C$52*COS(SQRT((Scenario_Data!U183)^2+Inputs!$C$6^2)/Inputs!$C$52))*1000)/Inputs!$C$21*1000000</f>
        <v/>
      </c>
      <c r="AK183">
        <f>Scenario_Data!V183</f>
        <v/>
      </c>
      <c r="AL183">
        <f>2*(SQRT((Inputs!$C$52+(Scenario_Data!D183))^2+Inputs!$C$52^2-2*(Inputs!$C$52+(Scenario_Data!D183))*Inputs!$C$52*COS(SQRT((Scenario_Data!V183)^2+Inputs!$C$6^2)/Inputs!$C$52))*1000)/Inputs!$C$21*1000000</f>
        <v/>
      </c>
      <c r="AM183">
        <f>Scenario_Data!W183</f>
        <v/>
      </c>
      <c r="AN183">
        <f>2*(SQRT((Inputs!$C$52+(Scenario_Data!E183))^2+Inputs!$C$52^2-2*(Inputs!$C$52+(Scenario_Data!E183))*Inputs!$C$52*COS(SQRT((Scenario_Data!W183)^2+Inputs!$C$6^2)/Inputs!$C$52))*1000)/Inputs!$C$21*1000000</f>
        <v/>
      </c>
      <c r="AP183">
        <f>Scenario_Data!T183</f>
        <v/>
      </c>
      <c r="AQ183">
        <f>2*(SQRT((Inputs!$C$52+(Scenario_Data!B183))^2+(Inputs!$C$52+((IF(OR(Inputs!$C$27=TRUE,Inputs!$C$27="TRUE",Inputs!$C$27=1),1,0)*(Inputs!$C$51*(115*EXP(-(((Inputs!$C$6)-25)^2)/(4.5^2))+70*EXP(-(((Inputs!$C$6)+38)^2)/(7^2))*(0.55+0.45*SIN(2*PI()*(Scenario_Data!T183)/45))+24*SIN(2*PI()*(Inputs!$C$6)/9+(Scenario_Data!T183)/18)*EXP(-(((Inputs!$C$6)+5)^2)/(22^2))+18*SIN(2*PI()*(Scenario_Data!T183)/70))+Inputs!$C$28*EXP(-(((Scenario_Data!T183)-Inputs!$C$29)^2)/(2*Inputs!$C$31^2))*EXP(-(((Inputs!$C$6)-Inputs!$C$30)^2)/(2*Inputs!$C$32^2))+-Inputs!$C$33*EXP(-(((((Scenario_Data!T183)-Inputs!$C$34)^2)+(((Inputs!$C$6)-Inputs!$C$35)^2))/(2*Inputs!$C$36^2)))+Inputs!$C$37*(0.55*SIN(2*PI()*(Scenario_Data!T183)/Inputs!$C$39)+0.35*COS(2*PI()*(Inputs!$C$6)/Inputs!$C$40)+0.2*SIN(2*PI()*((Scenario_Data!T183)+(Inputs!$C$6))/(0.5*(Inputs!$C$39+Inputs!$C$40))))+Inputs!$C$38*SIN(2*PI()*(Scenario_Data!T183)/Inputs!$C$39)*SIN(2*PI()*(Inputs!$C$6)/Inputs!$C$40)+-Inputs!$C$41*EXP(-(((Inputs!$C$6)-Inputs!$C$43)^2)/(2*Inputs!$C$44^2))*EXP(-(((Scenario_Data!T183)-Inputs!$C$42)^2)/(2*Inputs!$C$45^2))+Inputs!$C$48*(0.7*(0.45*SIN(2*PI()*(((Scenario_Data!T183)/Inputs!$C$49)+Inputs!$C$47*0.137))+0.35*COS(2*PI()*(((Inputs!$C$6)/Inputs!$C$50)+Inputs!$C$47*0.173))+0.2*SIN(2*PI()*((((Scenario_Data!T183)+(Inputs!$C$6))/(0.5*(Inputs!$C$49+Inputs!$C$50)))+Inputs!$C$47*0.097)))+0.3*(2*((SIN(((Scenario_Data!T183)*12.9898+(Inputs!$C$6)*78.233+Inputs!$C$47*37.719))*43758.5453)-INT((SIN(((Scenario_Data!T183)*12.9898+(Inputs!$C$6)*78.233+Inputs!$C$47*37.719))*43758.5453)))-1))))/1000))^2-2*(Inputs!$C$52+(Scenario_Data!B183))*(Inputs!$C$52+((IF(OR(Inputs!$C$27=TRUE,Inputs!$C$27="TRUE",Inputs!$C$27=1),1,0)*(Inputs!$C$51*(115*EXP(-(((Inputs!$C$6)-25)^2)/(4.5^2))+70*EXP(-(((Inputs!$C$6)+38)^2)/(7^2))*(0.55+0.45*SIN(2*PI()*(Scenario_Data!T183)/45))+24*SIN(2*PI()*(Inputs!$C$6)/9+(Scenario_Data!T183)/18)*EXP(-(((Inputs!$C$6)+5)^2)/(22^2))+18*SIN(2*PI()*(Scenario_Data!T183)/70))+Inputs!$C$28*EXP(-(((Scenario_Data!T183)-Inputs!$C$29)^2)/(2*Inputs!$C$31^2))*EXP(-(((Inputs!$C$6)-Inputs!$C$30)^2)/(2*Inputs!$C$32^2))+-Inputs!$C$33*EXP(-(((((Scenario_Data!T183)-Inputs!$C$34)^2)+(((Inputs!$C$6)-Inputs!$C$35)^2))/(2*Inputs!$C$36^2)))+Inputs!$C$37*(0.55*SIN(2*PI()*(Scenario_Data!T183)/Inputs!$C$39)+0.35*COS(2*PI()*(Inputs!$C$6)/Inputs!$C$40)+0.2*SIN(2*PI()*((Scenario_Data!T183)+(Inputs!$C$6))/(0.5*(Inputs!$C$39+Inputs!$C$40))))+Inputs!$C$38*SIN(2*PI()*(Scenario_Data!T183)/Inputs!$C$39)*SIN(2*PI()*(Inputs!$C$6)/Inputs!$C$40)+-Inputs!$C$41*EXP(-(((Inputs!$C$6)-Inputs!$C$43)^2)/(2*Inputs!$C$44^2))*EXP(-(((Scenario_Data!T183)-Inputs!$C$42)^2)/(2*Inputs!$C$45^2))+Inputs!$C$48*(0.7*(0.45*SIN(2*PI()*(((Scenario_Data!T183)/Inputs!$C$49)+Inputs!$C$47*0.137))+0.35*COS(2*PI()*(((Inputs!$C$6)/Inputs!$C$50)+Inputs!$C$47*0.173))+0.2*SIN(2*PI()*((((Scenario_Data!T183)+(Inputs!$C$6))/(0.5*(Inputs!$C$49+Inputs!$C$50)))+Inputs!$C$47*0.097)))+0.3*(2*((SIN(((Scenario_Data!T183)*12.9898+(Inputs!$C$6)*78.233+Inputs!$C$47*37.719))*43758.5453)-INT((SIN(((Scenario_Data!T183)*12.9898+(Inputs!$C$6)*78.233+Inputs!$C$47*37.719))*43758.5453)))-1))))/1000))*COS(SQRT((Scenario_Data!T183)^2+Inputs!$C$6^2)/Inputs!$C$52))*1000)/Inputs!$C$21*1000000</f>
        <v/>
      </c>
      <c r="AR183">
        <f>Scenario_Data!U183</f>
        <v/>
      </c>
      <c r="AS183">
        <f>2*(SQRT((Inputs!$C$52+(Scenario_Data!C183))^2+(Inputs!$C$52+((IF(OR(Inputs!$C$27=TRUE,Inputs!$C$27="TRUE",Inputs!$C$27=1),1,0)*(Inputs!$C$51*(115*EXP(-(((Inputs!$C$6)-25)^2)/(4.5^2))+70*EXP(-(((Inputs!$C$6)+38)^2)/(7^2))*(0.55+0.45*SIN(2*PI()*(Scenario_Data!U183)/45))+24*SIN(2*PI()*(Inputs!$C$6)/9+(Scenario_Data!U183)/18)*EXP(-(((Inputs!$C$6)+5)^2)/(22^2))+18*SIN(2*PI()*(Scenario_Data!U183)/70))+Inputs!$C$28*EXP(-(((Scenario_Data!U183)-Inputs!$C$29)^2)/(2*Inputs!$C$31^2))*EXP(-(((Inputs!$C$6)-Inputs!$C$30)^2)/(2*Inputs!$C$32^2))+-Inputs!$C$33*EXP(-(((((Scenario_Data!U183)-Inputs!$C$34)^2)+(((Inputs!$C$6)-Inputs!$C$35)^2))/(2*Inputs!$C$36^2)))+Inputs!$C$37*(0.55*SIN(2*PI()*(Scenario_Data!U183)/Inputs!$C$39)+0.35*COS(2*PI()*(Inputs!$C$6)/Inputs!$C$40)+0.2*SIN(2*PI()*((Scenario_Data!U183)+(Inputs!$C$6))/(0.5*(Inputs!$C$39+Inputs!$C$40))))+Inputs!$C$38*SIN(2*PI()*(Scenario_Data!U183)/Inputs!$C$39)*SIN(2*PI()*(Inputs!$C$6)/Inputs!$C$40)+-Inputs!$C$41*EXP(-(((Inputs!$C$6)-Inputs!$C$43)^2)/(2*Inputs!$C$44^2))*EXP(-(((Scenario_Data!U183)-Inputs!$C$42)^2)/(2*Inputs!$C$45^2))+Inputs!$C$48*(0.7*(0.45*SIN(2*PI()*(((Scenario_Data!U183)/Inputs!$C$49)+Inputs!$C$47*0.137))+0.35*COS(2*PI()*(((Inputs!$C$6)/Inputs!$C$50)+Inputs!$C$47*0.173))+0.2*SIN(2*PI()*((((Scenario_Data!U183)+(Inputs!$C$6))/(0.5*(Inputs!$C$49+Inputs!$C$50)))+Inputs!$C$47*0.097)))+0.3*(2*((SIN(((Scenario_Data!U183)*12.9898+(Inputs!$C$6)*78.233+Inputs!$C$47*37.719))*43758.5453)-INT((SIN(((Scenario_Data!U183)*12.9898+(Inputs!$C$6)*78.233+Inputs!$C$47*37.719))*43758.5453)))-1))))/1000))^2-2*(Inputs!$C$52+(Scenario_Data!C183))*(Inputs!$C$52+((IF(OR(Inputs!$C$27=TRUE,Inputs!$C$27="TRUE",Inputs!$C$27=1),1,0)*(Inputs!$C$51*(115*EXP(-(((Inputs!$C$6)-25)^2)/(4.5^2))+70*EXP(-(((Inputs!$C$6)+38)^2)/(7^2))*(0.55+0.45*SIN(2*PI()*(Scenario_Data!U183)/45))+24*SIN(2*PI()*(Inputs!$C$6)/9+(Scenario_Data!U183)/18)*EXP(-(((Inputs!$C$6)+5)^2)/(22^2))+18*SIN(2*PI()*(Scenario_Data!U183)/70))+Inputs!$C$28*EXP(-(((Scenario_Data!U183)-Inputs!$C$29)^2)/(2*Inputs!$C$31^2))*EXP(-(((Inputs!$C$6)-Inputs!$C$30)^2)/(2*Inputs!$C$32^2))+-Inputs!$C$33*EXP(-(((((Scenario_Data!U183)-Inputs!$C$34)^2)+(((Inputs!$C$6)-Inputs!$C$35)^2))/(2*Inputs!$C$36^2)))+Inputs!$C$37*(0.55*SIN(2*PI()*(Scenario_Data!U183)/Inputs!$C$39)+0.35*COS(2*PI()*(Inputs!$C$6)/Inputs!$C$40)+0.2*SIN(2*PI()*((Scenario_Data!U183)+(Inputs!$C$6))/(0.5*(Inputs!$C$39+Inputs!$C$40))))+Inputs!$C$38*SIN(2*PI()*(Scenario_Data!U183)/Inputs!$C$39)*SIN(2*PI()*(Inputs!$C$6)/Inputs!$C$40)+-Inputs!$C$41*EXP(-(((Inputs!$C$6)-Inputs!$C$43)^2)/(2*Inputs!$C$44^2))*EXP(-(((Scenario_Data!U183)-Inputs!$C$42)^2)/(2*Inputs!$C$45^2))+Inputs!$C$48*(0.7*(0.45*SIN(2*PI()*(((Scenario_Data!U183)/Inputs!$C$49)+Inputs!$C$47*0.137))+0.35*COS(2*PI()*(((Inputs!$C$6)/Inputs!$C$50)+Inputs!$C$47*0.173))+0.2*SIN(2*PI()*((((Scenario_Data!U183)+(Inputs!$C$6))/(0.5*(Inputs!$C$49+Inputs!$C$50)))+Inputs!$C$47*0.097)))+0.3*(2*((SIN(((Scenario_Data!U183)*12.9898+(Inputs!$C$6)*78.233+Inputs!$C$47*37.719))*43758.5453)-INT((SIN(((Scenario_Data!U183)*12.9898+(Inputs!$C$6)*78.233+Inputs!$C$47*37.719))*43758.5453)))-1))))/1000))*COS(SQRT((Scenario_Data!U183)^2+Inputs!$C$6^2)/Inputs!$C$52))*1000)/Inputs!$C$21*1000000</f>
        <v/>
      </c>
      <c r="AT183">
        <f>Scenario_Data!V183</f>
        <v/>
      </c>
      <c r="AU183">
        <f>2*(SQRT((Inputs!$C$52+(Scenario_Data!D183))^2+(Inputs!$C$52+((IF(OR(Inputs!$C$27=TRUE,Inputs!$C$27="TRUE",Inputs!$C$27=1),1,0)*(Inputs!$C$51*(115*EXP(-(((Inputs!$C$6)-25)^2)/(4.5^2))+70*EXP(-(((Inputs!$C$6)+38)^2)/(7^2))*(0.55+0.45*SIN(2*PI()*(Scenario_Data!V183)/45))+24*SIN(2*PI()*(Inputs!$C$6)/9+(Scenario_Data!V183)/18)*EXP(-(((Inputs!$C$6)+5)^2)/(22^2))+18*SIN(2*PI()*(Scenario_Data!V183)/70))+Inputs!$C$28*EXP(-(((Scenario_Data!V183)-Inputs!$C$29)^2)/(2*Inputs!$C$31^2))*EXP(-(((Inputs!$C$6)-Inputs!$C$30)^2)/(2*Inputs!$C$32^2))+-Inputs!$C$33*EXP(-(((((Scenario_Data!V183)-Inputs!$C$34)^2)+(((Inputs!$C$6)-Inputs!$C$35)^2))/(2*Inputs!$C$36^2)))+Inputs!$C$37*(0.55*SIN(2*PI()*(Scenario_Data!V183)/Inputs!$C$39)+0.35*COS(2*PI()*(Inputs!$C$6)/Inputs!$C$40)+0.2*SIN(2*PI()*((Scenario_Data!V183)+(Inputs!$C$6))/(0.5*(Inputs!$C$39+Inputs!$C$40))))+Inputs!$C$38*SIN(2*PI()*(Scenario_Data!V183)/Inputs!$C$39)*SIN(2*PI()*(Inputs!$C$6)/Inputs!$C$40)+-Inputs!$C$41*EXP(-(((Inputs!$C$6)-Inputs!$C$43)^2)/(2*Inputs!$C$44^2))*EXP(-(((Scenario_Data!V183)-Inputs!$C$42)^2)/(2*Inputs!$C$45^2))+Inputs!$C$48*(0.7*(0.45*SIN(2*PI()*(((Scenario_Data!V183)/Inputs!$C$49)+Inputs!$C$47*0.137))+0.35*COS(2*PI()*(((Inputs!$C$6)/Inputs!$C$50)+Inputs!$C$47*0.173))+0.2*SIN(2*PI()*((((Scenario_Data!V183)+(Inputs!$C$6))/(0.5*(Inputs!$C$49+Inputs!$C$50)))+Inputs!$C$47*0.097)))+0.3*(2*((SIN(((Scenario_Data!V183)*12.9898+(Inputs!$C$6)*78.233+Inputs!$C$47*37.719))*43758.5453)-INT((SIN(((Scenario_Data!V183)*12.9898+(Inputs!$C$6)*78.233+Inputs!$C$47*37.719))*43758.5453)))-1))))/1000))^2-2*(Inputs!$C$52+(Scenario_Data!D183))*(Inputs!$C$52+((IF(OR(Inputs!$C$27=TRUE,Inputs!$C$27="TRUE",Inputs!$C$27=1),1,0)*(Inputs!$C$51*(115*EXP(-(((Inputs!$C$6)-25)^2)/(4.5^2))+70*EXP(-(((Inputs!$C$6)+38)^2)/(7^2))*(0.55+0.45*SIN(2*PI()*(Scenario_Data!V183)/45))+24*SIN(2*PI()*(Inputs!$C$6)/9+(Scenario_Data!V183)/18)*EXP(-(((Inputs!$C$6)+5)^2)/(22^2))+18*SIN(2*PI()*(Scenario_Data!V183)/70))+Inputs!$C$28*EXP(-(((Scenario_Data!V183)-Inputs!$C$29)^2)/(2*Inputs!$C$31^2))*EXP(-(((Inputs!$C$6)-Inputs!$C$30)^2)/(2*Inputs!$C$32^2))+-Inputs!$C$33*EXP(-(((((Scenario_Data!V183)-Inputs!$C$34)^2)+(((Inputs!$C$6)-Inputs!$C$35)^2))/(2*Inputs!$C$36^2)))+Inputs!$C$37*(0.55*SIN(2*PI()*(Scenario_Data!V183)/Inputs!$C$39)+0.35*COS(2*PI()*(Inputs!$C$6)/Inputs!$C$40)+0.2*SIN(2*PI()*((Scenario_Data!V183)+(Inputs!$C$6))/(0.5*(Inputs!$C$39+Inputs!$C$40))))+Inputs!$C$38*SIN(2*PI()*(Scenario_Data!V183)/Inputs!$C$39)*SIN(2*PI()*(Inputs!$C$6)/Inputs!$C$40)+-Inputs!$C$41*EXP(-(((Inputs!$C$6)-Inputs!$C$43)^2)/(2*Inputs!$C$44^2))*EXP(-(((Scenario_Data!V183)-Inputs!$C$42)^2)/(2*Inputs!$C$45^2))+Inputs!$C$48*(0.7*(0.45*SIN(2*PI()*(((Scenario_Data!V183)/Inputs!$C$49)+Inputs!$C$47*0.137))+0.35*COS(2*PI()*(((Inputs!$C$6)/Inputs!$C$50)+Inputs!$C$47*0.173))+0.2*SIN(2*PI()*((((Scenario_Data!V183)+(Inputs!$C$6))/(0.5*(Inputs!$C$49+Inputs!$C$50)))+Inputs!$C$47*0.097)))+0.3*(2*((SIN(((Scenario_Data!V183)*12.9898+(Inputs!$C$6)*78.233+Inputs!$C$47*37.719))*43758.5453)-INT((SIN(((Scenario_Data!V183)*12.9898+(Inputs!$C$6)*78.233+Inputs!$C$47*37.719))*43758.5453)))-1))))/1000))*COS(SQRT((Scenario_Data!V183)^2+Inputs!$C$6^2)/Inputs!$C$52))*1000)/Inputs!$C$21*1000000</f>
        <v/>
      </c>
      <c r="AV183">
        <f>Scenario_Data!W183</f>
        <v/>
      </c>
      <c r="AW183">
        <f>2*(SQRT((Inputs!$C$52+(Scenario_Data!E183))^2+(Inputs!$C$52+((IF(OR(Inputs!$C$27=TRUE,Inputs!$C$27="TRUE",Inputs!$C$27=1),1,0)*(Inputs!$C$51*(115*EXP(-(((Inputs!$C$6)-25)^2)/(4.5^2))+70*EXP(-(((Inputs!$C$6)+38)^2)/(7^2))*(0.55+0.45*SIN(2*PI()*(Scenario_Data!W183)/45))+24*SIN(2*PI()*(Inputs!$C$6)/9+(Scenario_Data!W183)/18)*EXP(-(((Inputs!$C$6)+5)^2)/(22^2))+18*SIN(2*PI()*(Scenario_Data!W183)/70))+Inputs!$C$28*EXP(-(((Scenario_Data!W183)-Inputs!$C$29)^2)/(2*Inputs!$C$31^2))*EXP(-(((Inputs!$C$6)-Inputs!$C$30)^2)/(2*Inputs!$C$32^2))+-Inputs!$C$33*EXP(-(((((Scenario_Data!W183)-Inputs!$C$34)^2)+(((Inputs!$C$6)-Inputs!$C$35)^2))/(2*Inputs!$C$36^2)))+Inputs!$C$37*(0.55*SIN(2*PI()*(Scenario_Data!W183)/Inputs!$C$39)+0.35*COS(2*PI()*(Inputs!$C$6)/Inputs!$C$40)+0.2*SIN(2*PI()*((Scenario_Data!W183)+(Inputs!$C$6))/(0.5*(Inputs!$C$39+Inputs!$C$40))))+Inputs!$C$38*SIN(2*PI()*(Scenario_Data!W183)/Inputs!$C$39)*SIN(2*PI()*(Inputs!$C$6)/Inputs!$C$40)+-Inputs!$C$41*EXP(-(((Inputs!$C$6)-Inputs!$C$43)^2)/(2*Inputs!$C$44^2))*EXP(-(((Scenario_Data!W183)-Inputs!$C$42)^2)/(2*Inputs!$C$45^2))+Inputs!$C$48*(0.7*(0.45*SIN(2*PI()*(((Scenario_Data!W183)/Inputs!$C$49)+Inputs!$C$47*0.137))+0.35*COS(2*PI()*(((Inputs!$C$6)/Inputs!$C$50)+Inputs!$C$47*0.173))+0.2*SIN(2*PI()*((((Scenario_Data!W183)+(Inputs!$C$6))/(0.5*(Inputs!$C$49+Inputs!$C$50)))+Inputs!$C$47*0.097)))+0.3*(2*((SIN(((Scenario_Data!W183)*12.9898+(Inputs!$C$6)*78.233+Inputs!$C$47*37.719))*43758.5453)-INT((SIN(((Scenario_Data!W183)*12.9898+(Inputs!$C$6)*78.233+Inputs!$C$47*37.719))*43758.5453)))-1))))/1000))^2-2*(Inputs!$C$52+(Scenario_Data!E183))*(Inputs!$C$52+((IF(OR(Inputs!$C$27=TRUE,Inputs!$C$27="TRUE",Inputs!$C$27=1),1,0)*(Inputs!$C$51*(115*EXP(-(((Inputs!$C$6)-25)^2)/(4.5^2))+70*EXP(-(((Inputs!$C$6)+38)^2)/(7^2))*(0.55+0.45*SIN(2*PI()*(Scenario_Data!W183)/45))+24*SIN(2*PI()*(Inputs!$C$6)/9+(Scenario_Data!W183)/18)*EXP(-(((Inputs!$C$6)+5)^2)/(22^2))+18*SIN(2*PI()*(Scenario_Data!W183)/70))+Inputs!$C$28*EXP(-(((Scenario_Data!W183)-Inputs!$C$29)^2)/(2*Inputs!$C$31^2))*EXP(-(((Inputs!$C$6)-Inputs!$C$30)^2)/(2*Inputs!$C$32^2))+-Inputs!$C$33*EXP(-(((((Scenario_Data!W183)-Inputs!$C$34)^2)+(((Inputs!$C$6)-Inputs!$C$35)^2))/(2*Inputs!$C$36^2)))+Inputs!$C$37*(0.55*SIN(2*PI()*(Scenario_Data!W183)/Inputs!$C$39)+0.35*COS(2*PI()*(Inputs!$C$6)/Inputs!$C$40)+0.2*SIN(2*PI()*((Scenario_Data!W183)+(Inputs!$C$6))/(0.5*(Inputs!$C$39+Inputs!$C$40))))+Inputs!$C$38*SIN(2*PI()*(Scenario_Data!W183)/Inputs!$C$39)*SIN(2*PI()*(Inputs!$C$6)/Inputs!$C$40)+-Inputs!$C$41*EXP(-(((Inputs!$C$6)-Inputs!$C$43)^2)/(2*Inputs!$C$44^2))*EXP(-(((Scenario_Data!W183)-Inputs!$C$42)^2)/(2*Inputs!$C$45^2))+Inputs!$C$48*(0.7*(0.45*SIN(2*PI()*(((Scenario_Data!W183)/Inputs!$C$49)+Inputs!$C$47*0.137))+0.35*COS(2*PI()*(((Inputs!$C$6)/Inputs!$C$50)+Inputs!$C$47*0.173))+0.2*SIN(2*PI()*((((Scenario_Data!W183)+(Inputs!$C$6))/(0.5*(Inputs!$C$49+Inputs!$C$50)))+Inputs!$C$47*0.097)))+0.3*(2*((SIN(((Scenario_Data!W183)*12.9898+(Inputs!$C$6)*78.233+Inputs!$C$47*37.719))*43758.5453)-INT((SIN(((Scenario_Data!W183)*12.9898+(Inputs!$C$6)*78.233+Inputs!$C$47*37.719))*43758.5453)))-1))))/1000))*COS(SQRT((Scenario_Data!W183)^2+Inputs!$C$6^2)/Inputs!$C$52))*1000)/Inputs!$C$21*1000000</f>
        <v/>
      </c>
    </row>
    <row r="184">
      <c r="A184">
        <f>Chart_Data!K184</f>
        <v/>
      </c>
      <c r="B184">
        <f>Chart_Data!N184-Chart_Data!L184</f>
        <v/>
      </c>
      <c r="D184">
        <f>Chart_Data!G184</f>
        <v/>
      </c>
      <c r="E184">
        <f>Chart_Data!H184</f>
        <v/>
      </c>
      <c r="F184">
        <f>Chart_Data!I184</f>
        <v/>
      </c>
      <c r="G184">
        <f>Chart_Data!J184</f>
        <v/>
      </c>
      <c r="I184">
        <f>Scenario_Data!A184</f>
        <v/>
      </c>
      <c r="J184">
        <f>Scenario_Data!H184-(((SQRT((Inputs!$C$52+(Inputs!$H$6))^2+Inputs!$C$52^2-2*(Inputs!$C$52+(Inputs!$H$6))*Inputs!$C$52*COS(SQRT((Scenario_Data!T184)^2+Inputs!$C$6^2)/Inputs!$C$52)))-(Inputs!$H$6))*1000/Inputs!$C$12)</f>
        <v/>
      </c>
      <c r="K184">
        <f>Scenario_Data!I184-(((SQRT((Inputs!$C$52+(Inputs!$H$7))^2+Inputs!$C$52^2-2*(Inputs!$C$52+(Inputs!$H$7))*Inputs!$C$52*COS(SQRT((Scenario_Data!U184)^2+Inputs!$C$6^2)/Inputs!$C$52)))-(Inputs!$H$7))*1000/Inputs!$C$12)</f>
        <v/>
      </c>
      <c r="L184">
        <f>Scenario_Data!J184-(((SQRT((Inputs!$C$52+(Inputs!$H$8))^2+Inputs!$C$52^2-2*(Inputs!$C$52+(Inputs!$H$8))*Inputs!$C$52*COS(SQRT((Scenario_Data!V184)^2+Inputs!$C$6^2)/Inputs!$C$52)))-(Inputs!$H$8))*1000/Inputs!$C$12)</f>
        <v/>
      </c>
      <c r="M184">
        <f>Scenario_Data!K184-(((SQRT((Inputs!$C$52+(Inputs!$H$9))^2+Inputs!$C$52^2-2*(Inputs!$C$52+(Inputs!$H$9))*Inputs!$C$52*COS(SQRT((Scenario_Data!W184)^2+Inputs!$C$6^2)/Inputs!$C$52)))-(Inputs!$H$9))*1000/Inputs!$C$12)</f>
        <v/>
      </c>
      <c r="O184">
        <f>Scenario_Data!T184</f>
        <v/>
      </c>
      <c r="P184">
        <f>2*(Scenario_Data!B184*1000)/Inputs!$C$21*1000000</f>
        <v/>
      </c>
      <c r="Q184">
        <f>Scenario_Data!U184</f>
        <v/>
      </c>
      <c r="R184">
        <f>2*(Scenario_Data!C184*1000)/Inputs!$C$21*1000000</f>
        <v/>
      </c>
      <c r="S184">
        <f>Scenario_Data!V184</f>
        <v/>
      </c>
      <c r="T184">
        <f>2*(Scenario_Data!D184*1000)/Inputs!$C$21*1000000</f>
        <v/>
      </c>
      <c r="U184">
        <f>Scenario_Data!W184</f>
        <v/>
      </c>
      <c r="V184">
        <f>2*(Scenario_Data!E184*1000)/Inputs!$C$21*1000000</f>
        <v/>
      </c>
      <c r="X184">
        <f>Scenario_Data!T184</f>
        <v/>
      </c>
      <c r="Y184">
        <f>2*((Scenario_Data!B184*1000)-(IF(OR(Inputs!$C$27=TRUE,Inputs!$C$27="TRUE",Inputs!$C$27=1),1,0)*(Inputs!$C$51*(115*EXP(-(((0)-25)^2)/(4.5^2))+70*EXP(-(((0)+38)^2)/(7^2))*(0.55+0.45*SIN(2*PI()*(Scenario_Data!T184)/45))+24*SIN(2*PI()*(0)/9+(Scenario_Data!T184)/18)*EXP(-(((0)+5)^2)/(22^2))+18*SIN(2*PI()*(Scenario_Data!T184)/70))+Inputs!$C$28*EXP(-(((Scenario_Data!T184)-Inputs!$C$29)^2)/(2*Inputs!$C$31^2))*EXP(-(((0)-Inputs!$C$30)^2)/(2*Inputs!$C$32^2))+-Inputs!$C$33*EXP(-(((((Scenario_Data!T184)-Inputs!$C$34)^2)+(((0)-Inputs!$C$35)^2))/(2*Inputs!$C$36^2)))+Inputs!$C$37*(0.55*SIN(2*PI()*(Scenario_Data!T184)/Inputs!$C$39)+0.35*COS(2*PI()*(0)/Inputs!$C$40)+0.2*SIN(2*PI()*((Scenario_Data!T184)+(0))/(0.5*(Inputs!$C$39+Inputs!$C$40))))+Inputs!$C$38*SIN(2*PI()*(Scenario_Data!T184)/Inputs!$C$39)*SIN(2*PI()*(0)/Inputs!$C$40)+-Inputs!$C$41*EXP(-(((0)-Inputs!$C$43)^2)/(2*Inputs!$C$44^2))*EXP(-(((Scenario_Data!T184)-Inputs!$C$42)^2)/(2*Inputs!$C$45^2))+Inputs!$C$48*(0.7*(0.45*SIN(2*PI()*(((Scenario_Data!T184)/Inputs!$C$49)+Inputs!$C$47*0.137))+0.35*COS(2*PI()*(((0)/Inputs!$C$50)+Inputs!$C$47*0.173))+0.2*SIN(2*PI()*((((Scenario_Data!T184)+(0))/(0.5*(Inputs!$C$49+Inputs!$C$50)))+Inputs!$C$47*0.097)))+0.3*(2*((SIN(((Scenario_Data!T184)*12.9898+(0)*78.233+Inputs!$C$47*37.719))*43758.5453)-INT((SIN(((Scenario_Data!T184)*12.9898+(0)*78.233+Inputs!$C$47*37.719))*43758.5453)))-1)))))/Inputs!$C$21*1000000</f>
        <v/>
      </c>
      <c r="Z184">
        <f>Scenario_Data!U184</f>
        <v/>
      </c>
      <c r="AA184">
        <f>2*((Scenario_Data!C184*1000)-(IF(OR(Inputs!$C$27=TRUE,Inputs!$C$27="TRUE",Inputs!$C$27=1),1,0)*(Inputs!$C$51*(115*EXP(-(((0)-25)^2)/(4.5^2))+70*EXP(-(((0)+38)^2)/(7^2))*(0.55+0.45*SIN(2*PI()*(Scenario_Data!U184)/45))+24*SIN(2*PI()*(0)/9+(Scenario_Data!U184)/18)*EXP(-(((0)+5)^2)/(22^2))+18*SIN(2*PI()*(Scenario_Data!U184)/70))+Inputs!$C$28*EXP(-(((Scenario_Data!U184)-Inputs!$C$29)^2)/(2*Inputs!$C$31^2))*EXP(-(((0)-Inputs!$C$30)^2)/(2*Inputs!$C$32^2))+-Inputs!$C$33*EXP(-(((((Scenario_Data!U184)-Inputs!$C$34)^2)+(((0)-Inputs!$C$35)^2))/(2*Inputs!$C$36^2)))+Inputs!$C$37*(0.55*SIN(2*PI()*(Scenario_Data!U184)/Inputs!$C$39)+0.35*COS(2*PI()*(0)/Inputs!$C$40)+0.2*SIN(2*PI()*((Scenario_Data!U184)+(0))/(0.5*(Inputs!$C$39+Inputs!$C$40))))+Inputs!$C$38*SIN(2*PI()*(Scenario_Data!U184)/Inputs!$C$39)*SIN(2*PI()*(0)/Inputs!$C$40)+-Inputs!$C$41*EXP(-(((0)-Inputs!$C$43)^2)/(2*Inputs!$C$44^2))*EXP(-(((Scenario_Data!U184)-Inputs!$C$42)^2)/(2*Inputs!$C$45^2))+Inputs!$C$48*(0.7*(0.45*SIN(2*PI()*(((Scenario_Data!U184)/Inputs!$C$49)+Inputs!$C$47*0.137))+0.35*COS(2*PI()*(((0)/Inputs!$C$50)+Inputs!$C$47*0.173))+0.2*SIN(2*PI()*((((Scenario_Data!U184)+(0))/(0.5*(Inputs!$C$49+Inputs!$C$50)))+Inputs!$C$47*0.097)))+0.3*(2*((SIN(((Scenario_Data!U184)*12.9898+(0)*78.233+Inputs!$C$47*37.719))*43758.5453)-INT((SIN(((Scenario_Data!U184)*12.9898+(0)*78.233+Inputs!$C$47*37.719))*43758.5453)))-1)))))/Inputs!$C$21*1000000</f>
        <v/>
      </c>
      <c r="AB184">
        <f>Scenario_Data!V184</f>
        <v/>
      </c>
      <c r="AC184">
        <f>2*((Scenario_Data!D184*1000)-(IF(OR(Inputs!$C$27=TRUE,Inputs!$C$27="TRUE",Inputs!$C$27=1),1,0)*(Inputs!$C$51*(115*EXP(-(((0)-25)^2)/(4.5^2))+70*EXP(-(((0)+38)^2)/(7^2))*(0.55+0.45*SIN(2*PI()*(Scenario_Data!V184)/45))+24*SIN(2*PI()*(0)/9+(Scenario_Data!V184)/18)*EXP(-(((0)+5)^2)/(22^2))+18*SIN(2*PI()*(Scenario_Data!V184)/70))+Inputs!$C$28*EXP(-(((Scenario_Data!V184)-Inputs!$C$29)^2)/(2*Inputs!$C$31^2))*EXP(-(((0)-Inputs!$C$30)^2)/(2*Inputs!$C$32^2))+-Inputs!$C$33*EXP(-(((((Scenario_Data!V184)-Inputs!$C$34)^2)+(((0)-Inputs!$C$35)^2))/(2*Inputs!$C$36^2)))+Inputs!$C$37*(0.55*SIN(2*PI()*(Scenario_Data!V184)/Inputs!$C$39)+0.35*COS(2*PI()*(0)/Inputs!$C$40)+0.2*SIN(2*PI()*((Scenario_Data!V184)+(0))/(0.5*(Inputs!$C$39+Inputs!$C$40))))+Inputs!$C$38*SIN(2*PI()*(Scenario_Data!V184)/Inputs!$C$39)*SIN(2*PI()*(0)/Inputs!$C$40)+-Inputs!$C$41*EXP(-(((0)-Inputs!$C$43)^2)/(2*Inputs!$C$44^2))*EXP(-(((Scenario_Data!V184)-Inputs!$C$42)^2)/(2*Inputs!$C$45^2))+Inputs!$C$48*(0.7*(0.45*SIN(2*PI()*(((Scenario_Data!V184)/Inputs!$C$49)+Inputs!$C$47*0.137))+0.35*COS(2*PI()*(((0)/Inputs!$C$50)+Inputs!$C$47*0.173))+0.2*SIN(2*PI()*((((Scenario_Data!V184)+(0))/(0.5*(Inputs!$C$49+Inputs!$C$50)))+Inputs!$C$47*0.097)))+0.3*(2*((SIN(((Scenario_Data!V184)*12.9898+(0)*78.233+Inputs!$C$47*37.719))*43758.5453)-INT((SIN(((Scenario_Data!V184)*12.9898+(0)*78.233+Inputs!$C$47*37.719))*43758.5453)))-1)))))/Inputs!$C$21*1000000</f>
        <v/>
      </c>
      <c r="AD184">
        <f>Scenario_Data!W184</f>
        <v/>
      </c>
      <c r="AE184">
        <f>2*((Scenario_Data!E184*1000)-(IF(OR(Inputs!$C$27=TRUE,Inputs!$C$27="TRUE",Inputs!$C$27=1),1,0)*(Inputs!$C$51*(115*EXP(-(((0)-25)^2)/(4.5^2))+70*EXP(-(((0)+38)^2)/(7^2))*(0.55+0.45*SIN(2*PI()*(Scenario_Data!W184)/45))+24*SIN(2*PI()*(0)/9+(Scenario_Data!W184)/18)*EXP(-(((0)+5)^2)/(22^2))+18*SIN(2*PI()*(Scenario_Data!W184)/70))+Inputs!$C$28*EXP(-(((Scenario_Data!W184)-Inputs!$C$29)^2)/(2*Inputs!$C$31^2))*EXP(-(((0)-Inputs!$C$30)^2)/(2*Inputs!$C$32^2))+-Inputs!$C$33*EXP(-(((((Scenario_Data!W184)-Inputs!$C$34)^2)+(((0)-Inputs!$C$35)^2))/(2*Inputs!$C$36^2)))+Inputs!$C$37*(0.55*SIN(2*PI()*(Scenario_Data!W184)/Inputs!$C$39)+0.35*COS(2*PI()*(0)/Inputs!$C$40)+0.2*SIN(2*PI()*((Scenario_Data!W184)+(0))/(0.5*(Inputs!$C$39+Inputs!$C$40))))+Inputs!$C$38*SIN(2*PI()*(Scenario_Data!W184)/Inputs!$C$39)*SIN(2*PI()*(0)/Inputs!$C$40)+-Inputs!$C$41*EXP(-(((0)-Inputs!$C$43)^2)/(2*Inputs!$C$44^2))*EXP(-(((Scenario_Data!W184)-Inputs!$C$42)^2)/(2*Inputs!$C$45^2))+Inputs!$C$48*(0.7*(0.45*SIN(2*PI()*(((Scenario_Data!W184)/Inputs!$C$49)+Inputs!$C$47*0.137))+0.35*COS(2*PI()*(((0)/Inputs!$C$50)+Inputs!$C$47*0.173))+0.2*SIN(2*PI()*((((Scenario_Data!W184)+(0))/(0.5*(Inputs!$C$49+Inputs!$C$50)))+Inputs!$C$47*0.097)))+0.3*(2*((SIN(((Scenario_Data!W184)*12.9898+(0)*78.233+Inputs!$C$47*37.719))*43758.5453)-INT((SIN(((Scenario_Data!W184)*12.9898+(0)*78.233+Inputs!$C$47*37.719))*43758.5453)))-1)))))/Inputs!$C$21*1000000</f>
        <v/>
      </c>
      <c r="AG184">
        <f>Scenario_Data!T184</f>
        <v/>
      </c>
      <c r="AH184">
        <f>2*(SQRT((Inputs!$C$52+(Scenario_Data!B184))^2+Inputs!$C$52^2-2*(Inputs!$C$52+(Scenario_Data!B184))*Inputs!$C$52*COS(SQRT((Scenario_Data!T184)^2+Inputs!$C$6^2)/Inputs!$C$52))*1000)/Inputs!$C$21*1000000</f>
        <v/>
      </c>
      <c r="AI184">
        <f>Scenario_Data!U184</f>
        <v/>
      </c>
      <c r="AJ184">
        <f>2*(SQRT((Inputs!$C$52+(Scenario_Data!C184))^2+Inputs!$C$52^2-2*(Inputs!$C$52+(Scenario_Data!C184))*Inputs!$C$52*COS(SQRT((Scenario_Data!U184)^2+Inputs!$C$6^2)/Inputs!$C$52))*1000)/Inputs!$C$21*1000000</f>
        <v/>
      </c>
      <c r="AK184">
        <f>Scenario_Data!V184</f>
        <v/>
      </c>
      <c r="AL184">
        <f>2*(SQRT((Inputs!$C$52+(Scenario_Data!D184))^2+Inputs!$C$52^2-2*(Inputs!$C$52+(Scenario_Data!D184))*Inputs!$C$52*COS(SQRT((Scenario_Data!V184)^2+Inputs!$C$6^2)/Inputs!$C$52))*1000)/Inputs!$C$21*1000000</f>
        <v/>
      </c>
      <c r="AM184">
        <f>Scenario_Data!W184</f>
        <v/>
      </c>
      <c r="AN184">
        <f>2*(SQRT((Inputs!$C$52+(Scenario_Data!E184))^2+Inputs!$C$52^2-2*(Inputs!$C$52+(Scenario_Data!E184))*Inputs!$C$52*COS(SQRT((Scenario_Data!W184)^2+Inputs!$C$6^2)/Inputs!$C$52))*1000)/Inputs!$C$21*1000000</f>
        <v/>
      </c>
      <c r="AP184">
        <f>Scenario_Data!T184</f>
        <v/>
      </c>
      <c r="AQ184">
        <f>2*(SQRT((Inputs!$C$52+(Scenario_Data!B184))^2+(Inputs!$C$52+((IF(OR(Inputs!$C$27=TRUE,Inputs!$C$27="TRUE",Inputs!$C$27=1),1,0)*(Inputs!$C$51*(115*EXP(-(((Inputs!$C$6)-25)^2)/(4.5^2))+70*EXP(-(((Inputs!$C$6)+38)^2)/(7^2))*(0.55+0.45*SIN(2*PI()*(Scenario_Data!T184)/45))+24*SIN(2*PI()*(Inputs!$C$6)/9+(Scenario_Data!T184)/18)*EXP(-(((Inputs!$C$6)+5)^2)/(22^2))+18*SIN(2*PI()*(Scenario_Data!T184)/70))+Inputs!$C$28*EXP(-(((Scenario_Data!T184)-Inputs!$C$29)^2)/(2*Inputs!$C$31^2))*EXP(-(((Inputs!$C$6)-Inputs!$C$30)^2)/(2*Inputs!$C$32^2))+-Inputs!$C$33*EXP(-(((((Scenario_Data!T184)-Inputs!$C$34)^2)+(((Inputs!$C$6)-Inputs!$C$35)^2))/(2*Inputs!$C$36^2)))+Inputs!$C$37*(0.55*SIN(2*PI()*(Scenario_Data!T184)/Inputs!$C$39)+0.35*COS(2*PI()*(Inputs!$C$6)/Inputs!$C$40)+0.2*SIN(2*PI()*((Scenario_Data!T184)+(Inputs!$C$6))/(0.5*(Inputs!$C$39+Inputs!$C$40))))+Inputs!$C$38*SIN(2*PI()*(Scenario_Data!T184)/Inputs!$C$39)*SIN(2*PI()*(Inputs!$C$6)/Inputs!$C$40)+-Inputs!$C$41*EXP(-(((Inputs!$C$6)-Inputs!$C$43)^2)/(2*Inputs!$C$44^2))*EXP(-(((Scenario_Data!T184)-Inputs!$C$42)^2)/(2*Inputs!$C$45^2))+Inputs!$C$48*(0.7*(0.45*SIN(2*PI()*(((Scenario_Data!T184)/Inputs!$C$49)+Inputs!$C$47*0.137))+0.35*COS(2*PI()*(((Inputs!$C$6)/Inputs!$C$50)+Inputs!$C$47*0.173))+0.2*SIN(2*PI()*((((Scenario_Data!T184)+(Inputs!$C$6))/(0.5*(Inputs!$C$49+Inputs!$C$50)))+Inputs!$C$47*0.097)))+0.3*(2*((SIN(((Scenario_Data!T184)*12.9898+(Inputs!$C$6)*78.233+Inputs!$C$47*37.719))*43758.5453)-INT((SIN(((Scenario_Data!T184)*12.9898+(Inputs!$C$6)*78.233+Inputs!$C$47*37.719))*43758.5453)))-1))))/1000))^2-2*(Inputs!$C$52+(Scenario_Data!B184))*(Inputs!$C$52+((IF(OR(Inputs!$C$27=TRUE,Inputs!$C$27="TRUE",Inputs!$C$27=1),1,0)*(Inputs!$C$51*(115*EXP(-(((Inputs!$C$6)-25)^2)/(4.5^2))+70*EXP(-(((Inputs!$C$6)+38)^2)/(7^2))*(0.55+0.45*SIN(2*PI()*(Scenario_Data!T184)/45))+24*SIN(2*PI()*(Inputs!$C$6)/9+(Scenario_Data!T184)/18)*EXP(-(((Inputs!$C$6)+5)^2)/(22^2))+18*SIN(2*PI()*(Scenario_Data!T184)/70))+Inputs!$C$28*EXP(-(((Scenario_Data!T184)-Inputs!$C$29)^2)/(2*Inputs!$C$31^2))*EXP(-(((Inputs!$C$6)-Inputs!$C$30)^2)/(2*Inputs!$C$32^2))+-Inputs!$C$33*EXP(-(((((Scenario_Data!T184)-Inputs!$C$34)^2)+(((Inputs!$C$6)-Inputs!$C$35)^2))/(2*Inputs!$C$36^2)))+Inputs!$C$37*(0.55*SIN(2*PI()*(Scenario_Data!T184)/Inputs!$C$39)+0.35*COS(2*PI()*(Inputs!$C$6)/Inputs!$C$40)+0.2*SIN(2*PI()*((Scenario_Data!T184)+(Inputs!$C$6))/(0.5*(Inputs!$C$39+Inputs!$C$40))))+Inputs!$C$38*SIN(2*PI()*(Scenario_Data!T184)/Inputs!$C$39)*SIN(2*PI()*(Inputs!$C$6)/Inputs!$C$40)+-Inputs!$C$41*EXP(-(((Inputs!$C$6)-Inputs!$C$43)^2)/(2*Inputs!$C$44^2))*EXP(-(((Scenario_Data!T184)-Inputs!$C$42)^2)/(2*Inputs!$C$45^2))+Inputs!$C$48*(0.7*(0.45*SIN(2*PI()*(((Scenario_Data!T184)/Inputs!$C$49)+Inputs!$C$47*0.137))+0.35*COS(2*PI()*(((Inputs!$C$6)/Inputs!$C$50)+Inputs!$C$47*0.173))+0.2*SIN(2*PI()*((((Scenario_Data!T184)+(Inputs!$C$6))/(0.5*(Inputs!$C$49+Inputs!$C$50)))+Inputs!$C$47*0.097)))+0.3*(2*((SIN(((Scenario_Data!T184)*12.9898+(Inputs!$C$6)*78.233+Inputs!$C$47*37.719))*43758.5453)-INT((SIN(((Scenario_Data!T184)*12.9898+(Inputs!$C$6)*78.233+Inputs!$C$47*37.719))*43758.5453)))-1))))/1000))*COS(SQRT((Scenario_Data!T184)^2+Inputs!$C$6^2)/Inputs!$C$52))*1000)/Inputs!$C$21*1000000</f>
        <v/>
      </c>
      <c r="AR184">
        <f>Scenario_Data!U184</f>
        <v/>
      </c>
      <c r="AS184">
        <f>2*(SQRT((Inputs!$C$52+(Scenario_Data!C184))^2+(Inputs!$C$52+((IF(OR(Inputs!$C$27=TRUE,Inputs!$C$27="TRUE",Inputs!$C$27=1),1,0)*(Inputs!$C$51*(115*EXP(-(((Inputs!$C$6)-25)^2)/(4.5^2))+70*EXP(-(((Inputs!$C$6)+38)^2)/(7^2))*(0.55+0.45*SIN(2*PI()*(Scenario_Data!U184)/45))+24*SIN(2*PI()*(Inputs!$C$6)/9+(Scenario_Data!U184)/18)*EXP(-(((Inputs!$C$6)+5)^2)/(22^2))+18*SIN(2*PI()*(Scenario_Data!U184)/70))+Inputs!$C$28*EXP(-(((Scenario_Data!U184)-Inputs!$C$29)^2)/(2*Inputs!$C$31^2))*EXP(-(((Inputs!$C$6)-Inputs!$C$30)^2)/(2*Inputs!$C$32^2))+-Inputs!$C$33*EXP(-(((((Scenario_Data!U184)-Inputs!$C$34)^2)+(((Inputs!$C$6)-Inputs!$C$35)^2))/(2*Inputs!$C$36^2)))+Inputs!$C$37*(0.55*SIN(2*PI()*(Scenario_Data!U184)/Inputs!$C$39)+0.35*COS(2*PI()*(Inputs!$C$6)/Inputs!$C$40)+0.2*SIN(2*PI()*((Scenario_Data!U184)+(Inputs!$C$6))/(0.5*(Inputs!$C$39+Inputs!$C$40))))+Inputs!$C$38*SIN(2*PI()*(Scenario_Data!U184)/Inputs!$C$39)*SIN(2*PI()*(Inputs!$C$6)/Inputs!$C$40)+-Inputs!$C$41*EXP(-(((Inputs!$C$6)-Inputs!$C$43)^2)/(2*Inputs!$C$44^2))*EXP(-(((Scenario_Data!U184)-Inputs!$C$42)^2)/(2*Inputs!$C$45^2))+Inputs!$C$48*(0.7*(0.45*SIN(2*PI()*(((Scenario_Data!U184)/Inputs!$C$49)+Inputs!$C$47*0.137))+0.35*COS(2*PI()*(((Inputs!$C$6)/Inputs!$C$50)+Inputs!$C$47*0.173))+0.2*SIN(2*PI()*((((Scenario_Data!U184)+(Inputs!$C$6))/(0.5*(Inputs!$C$49+Inputs!$C$50)))+Inputs!$C$47*0.097)))+0.3*(2*((SIN(((Scenario_Data!U184)*12.9898+(Inputs!$C$6)*78.233+Inputs!$C$47*37.719))*43758.5453)-INT((SIN(((Scenario_Data!U184)*12.9898+(Inputs!$C$6)*78.233+Inputs!$C$47*37.719))*43758.5453)))-1))))/1000))^2-2*(Inputs!$C$52+(Scenario_Data!C184))*(Inputs!$C$52+((IF(OR(Inputs!$C$27=TRUE,Inputs!$C$27="TRUE",Inputs!$C$27=1),1,0)*(Inputs!$C$51*(115*EXP(-(((Inputs!$C$6)-25)^2)/(4.5^2))+70*EXP(-(((Inputs!$C$6)+38)^2)/(7^2))*(0.55+0.45*SIN(2*PI()*(Scenario_Data!U184)/45))+24*SIN(2*PI()*(Inputs!$C$6)/9+(Scenario_Data!U184)/18)*EXP(-(((Inputs!$C$6)+5)^2)/(22^2))+18*SIN(2*PI()*(Scenario_Data!U184)/70))+Inputs!$C$28*EXP(-(((Scenario_Data!U184)-Inputs!$C$29)^2)/(2*Inputs!$C$31^2))*EXP(-(((Inputs!$C$6)-Inputs!$C$30)^2)/(2*Inputs!$C$32^2))+-Inputs!$C$33*EXP(-(((((Scenario_Data!U184)-Inputs!$C$34)^2)+(((Inputs!$C$6)-Inputs!$C$35)^2))/(2*Inputs!$C$36^2)))+Inputs!$C$37*(0.55*SIN(2*PI()*(Scenario_Data!U184)/Inputs!$C$39)+0.35*COS(2*PI()*(Inputs!$C$6)/Inputs!$C$40)+0.2*SIN(2*PI()*((Scenario_Data!U184)+(Inputs!$C$6))/(0.5*(Inputs!$C$39+Inputs!$C$40))))+Inputs!$C$38*SIN(2*PI()*(Scenario_Data!U184)/Inputs!$C$39)*SIN(2*PI()*(Inputs!$C$6)/Inputs!$C$40)+-Inputs!$C$41*EXP(-(((Inputs!$C$6)-Inputs!$C$43)^2)/(2*Inputs!$C$44^2))*EXP(-(((Scenario_Data!U184)-Inputs!$C$42)^2)/(2*Inputs!$C$45^2))+Inputs!$C$48*(0.7*(0.45*SIN(2*PI()*(((Scenario_Data!U184)/Inputs!$C$49)+Inputs!$C$47*0.137))+0.35*COS(2*PI()*(((Inputs!$C$6)/Inputs!$C$50)+Inputs!$C$47*0.173))+0.2*SIN(2*PI()*((((Scenario_Data!U184)+(Inputs!$C$6))/(0.5*(Inputs!$C$49+Inputs!$C$50)))+Inputs!$C$47*0.097)))+0.3*(2*((SIN(((Scenario_Data!U184)*12.9898+(Inputs!$C$6)*78.233+Inputs!$C$47*37.719))*43758.5453)-INT((SIN(((Scenario_Data!U184)*12.9898+(Inputs!$C$6)*78.233+Inputs!$C$47*37.719))*43758.5453)))-1))))/1000))*COS(SQRT((Scenario_Data!U184)^2+Inputs!$C$6^2)/Inputs!$C$52))*1000)/Inputs!$C$21*1000000</f>
        <v/>
      </c>
      <c r="AT184">
        <f>Scenario_Data!V184</f>
        <v/>
      </c>
      <c r="AU184">
        <f>2*(SQRT((Inputs!$C$52+(Scenario_Data!D184))^2+(Inputs!$C$52+((IF(OR(Inputs!$C$27=TRUE,Inputs!$C$27="TRUE",Inputs!$C$27=1),1,0)*(Inputs!$C$51*(115*EXP(-(((Inputs!$C$6)-25)^2)/(4.5^2))+70*EXP(-(((Inputs!$C$6)+38)^2)/(7^2))*(0.55+0.45*SIN(2*PI()*(Scenario_Data!V184)/45))+24*SIN(2*PI()*(Inputs!$C$6)/9+(Scenario_Data!V184)/18)*EXP(-(((Inputs!$C$6)+5)^2)/(22^2))+18*SIN(2*PI()*(Scenario_Data!V184)/70))+Inputs!$C$28*EXP(-(((Scenario_Data!V184)-Inputs!$C$29)^2)/(2*Inputs!$C$31^2))*EXP(-(((Inputs!$C$6)-Inputs!$C$30)^2)/(2*Inputs!$C$32^2))+-Inputs!$C$33*EXP(-(((((Scenario_Data!V184)-Inputs!$C$34)^2)+(((Inputs!$C$6)-Inputs!$C$35)^2))/(2*Inputs!$C$36^2)))+Inputs!$C$37*(0.55*SIN(2*PI()*(Scenario_Data!V184)/Inputs!$C$39)+0.35*COS(2*PI()*(Inputs!$C$6)/Inputs!$C$40)+0.2*SIN(2*PI()*((Scenario_Data!V184)+(Inputs!$C$6))/(0.5*(Inputs!$C$39+Inputs!$C$40))))+Inputs!$C$38*SIN(2*PI()*(Scenario_Data!V184)/Inputs!$C$39)*SIN(2*PI()*(Inputs!$C$6)/Inputs!$C$40)+-Inputs!$C$41*EXP(-(((Inputs!$C$6)-Inputs!$C$43)^2)/(2*Inputs!$C$44^2))*EXP(-(((Scenario_Data!V184)-Inputs!$C$42)^2)/(2*Inputs!$C$45^2))+Inputs!$C$48*(0.7*(0.45*SIN(2*PI()*(((Scenario_Data!V184)/Inputs!$C$49)+Inputs!$C$47*0.137))+0.35*COS(2*PI()*(((Inputs!$C$6)/Inputs!$C$50)+Inputs!$C$47*0.173))+0.2*SIN(2*PI()*((((Scenario_Data!V184)+(Inputs!$C$6))/(0.5*(Inputs!$C$49+Inputs!$C$50)))+Inputs!$C$47*0.097)))+0.3*(2*((SIN(((Scenario_Data!V184)*12.9898+(Inputs!$C$6)*78.233+Inputs!$C$47*37.719))*43758.5453)-INT((SIN(((Scenario_Data!V184)*12.9898+(Inputs!$C$6)*78.233+Inputs!$C$47*37.719))*43758.5453)))-1))))/1000))^2-2*(Inputs!$C$52+(Scenario_Data!D184))*(Inputs!$C$52+((IF(OR(Inputs!$C$27=TRUE,Inputs!$C$27="TRUE",Inputs!$C$27=1),1,0)*(Inputs!$C$51*(115*EXP(-(((Inputs!$C$6)-25)^2)/(4.5^2))+70*EXP(-(((Inputs!$C$6)+38)^2)/(7^2))*(0.55+0.45*SIN(2*PI()*(Scenario_Data!V184)/45))+24*SIN(2*PI()*(Inputs!$C$6)/9+(Scenario_Data!V184)/18)*EXP(-(((Inputs!$C$6)+5)^2)/(22^2))+18*SIN(2*PI()*(Scenario_Data!V184)/70))+Inputs!$C$28*EXP(-(((Scenario_Data!V184)-Inputs!$C$29)^2)/(2*Inputs!$C$31^2))*EXP(-(((Inputs!$C$6)-Inputs!$C$30)^2)/(2*Inputs!$C$32^2))+-Inputs!$C$33*EXP(-(((((Scenario_Data!V184)-Inputs!$C$34)^2)+(((Inputs!$C$6)-Inputs!$C$35)^2))/(2*Inputs!$C$36^2)))+Inputs!$C$37*(0.55*SIN(2*PI()*(Scenario_Data!V184)/Inputs!$C$39)+0.35*COS(2*PI()*(Inputs!$C$6)/Inputs!$C$40)+0.2*SIN(2*PI()*((Scenario_Data!V184)+(Inputs!$C$6))/(0.5*(Inputs!$C$39+Inputs!$C$40))))+Inputs!$C$38*SIN(2*PI()*(Scenario_Data!V184)/Inputs!$C$39)*SIN(2*PI()*(Inputs!$C$6)/Inputs!$C$40)+-Inputs!$C$41*EXP(-(((Inputs!$C$6)-Inputs!$C$43)^2)/(2*Inputs!$C$44^2))*EXP(-(((Scenario_Data!V184)-Inputs!$C$42)^2)/(2*Inputs!$C$45^2))+Inputs!$C$48*(0.7*(0.45*SIN(2*PI()*(((Scenario_Data!V184)/Inputs!$C$49)+Inputs!$C$47*0.137))+0.35*COS(2*PI()*(((Inputs!$C$6)/Inputs!$C$50)+Inputs!$C$47*0.173))+0.2*SIN(2*PI()*((((Scenario_Data!V184)+(Inputs!$C$6))/(0.5*(Inputs!$C$49+Inputs!$C$50)))+Inputs!$C$47*0.097)))+0.3*(2*((SIN(((Scenario_Data!V184)*12.9898+(Inputs!$C$6)*78.233+Inputs!$C$47*37.719))*43758.5453)-INT((SIN(((Scenario_Data!V184)*12.9898+(Inputs!$C$6)*78.233+Inputs!$C$47*37.719))*43758.5453)))-1))))/1000))*COS(SQRT((Scenario_Data!V184)^2+Inputs!$C$6^2)/Inputs!$C$52))*1000)/Inputs!$C$21*1000000</f>
        <v/>
      </c>
      <c r="AV184">
        <f>Scenario_Data!W184</f>
        <v/>
      </c>
      <c r="AW184">
        <f>2*(SQRT((Inputs!$C$52+(Scenario_Data!E184))^2+(Inputs!$C$52+((IF(OR(Inputs!$C$27=TRUE,Inputs!$C$27="TRUE",Inputs!$C$27=1),1,0)*(Inputs!$C$51*(115*EXP(-(((Inputs!$C$6)-25)^2)/(4.5^2))+70*EXP(-(((Inputs!$C$6)+38)^2)/(7^2))*(0.55+0.45*SIN(2*PI()*(Scenario_Data!W184)/45))+24*SIN(2*PI()*(Inputs!$C$6)/9+(Scenario_Data!W184)/18)*EXP(-(((Inputs!$C$6)+5)^2)/(22^2))+18*SIN(2*PI()*(Scenario_Data!W184)/70))+Inputs!$C$28*EXP(-(((Scenario_Data!W184)-Inputs!$C$29)^2)/(2*Inputs!$C$31^2))*EXP(-(((Inputs!$C$6)-Inputs!$C$30)^2)/(2*Inputs!$C$32^2))+-Inputs!$C$33*EXP(-(((((Scenario_Data!W184)-Inputs!$C$34)^2)+(((Inputs!$C$6)-Inputs!$C$35)^2))/(2*Inputs!$C$36^2)))+Inputs!$C$37*(0.55*SIN(2*PI()*(Scenario_Data!W184)/Inputs!$C$39)+0.35*COS(2*PI()*(Inputs!$C$6)/Inputs!$C$40)+0.2*SIN(2*PI()*((Scenario_Data!W184)+(Inputs!$C$6))/(0.5*(Inputs!$C$39+Inputs!$C$40))))+Inputs!$C$38*SIN(2*PI()*(Scenario_Data!W184)/Inputs!$C$39)*SIN(2*PI()*(Inputs!$C$6)/Inputs!$C$40)+-Inputs!$C$41*EXP(-(((Inputs!$C$6)-Inputs!$C$43)^2)/(2*Inputs!$C$44^2))*EXP(-(((Scenario_Data!W184)-Inputs!$C$42)^2)/(2*Inputs!$C$45^2))+Inputs!$C$48*(0.7*(0.45*SIN(2*PI()*(((Scenario_Data!W184)/Inputs!$C$49)+Inputs!$C$47*0.137))+0.35*COS(2*PI()*(((Inputs!$C$6)/Inputs!$C$50)+Inputs!$C$47*0.173))+0.2*SIN(2*PI()*((((Scenario_Data!W184)+(Inputs!$C$6))/(0.5*(Inputs!$C$49+Inputs!$C$50)))+Inputs!$C$47*0.097)))+0.3*(2*((SIN(((Scenario_Data!W184)*12.9898+(Inputs!$C$6)*78.233+Inputs!$C$47*37.719))*43758.5453)-INT((SIN(((Scenario_Data!W184)*12.9898+(Inputs!$C$6)*78.233+Inputs!$C$47*37.719))*43758.5453)))-1))))/1000))^2-2*(Inputs!$C$52+(Scenario_Data!E184))*(Inputs!$C$52+((IF(OR(Inputs!$C$27=TRUE,Inputs!$C$27="TRUE",Inputs!$C$27=1),1,0)*(Inputs!$C$51*(115*EXP(-(((Inputs!$C$6)-25)^2)/(4.5^2))+70*EXP(-(((Inputs!$C$6)+38)^2)/(7^2))*(0.55+0.45*SIN(2*PI()*(Scenario_Data!W184)/45))+24*SIN(2*PI()*(Inputs!$C$6)/9+(Scenario_Data!W184)/18)*EXP(-(((Inputs!$C$6)+5)^2)/(22^2))+18*SIN(2*PI()*(Scenario_Data!W184)/70))+Inputs!$C$28*EXP(-(((Scenario_Data!W184)-Inputs!$C$29)^2)/(2*Inputs!$C$31^2))*EXP(-(((Inputs!$C$6)-Inputs!$C$30)^2)/(2*Inputs!$C$32^2))+-Inputs!$C$33*EXP(-(((((Scenario_Data!W184)-Inputs!$C$34)^2)+(((Inputs!$C$6)-Inputs!$C$35)^2))/(2*Inputs!$C$36^2)))+Inputs!$C$37*(0.55*SIN(2*PI()*(Scenario_Data!W184)/Inputs!$C$39)+0.35*COS(2*PI()*(Inputs!$C$6)/Inputs!$C$40)+0.2*SIN(2*PI()*((Scenario_Data!W184)+(Inputs!$C$6))/(0.5*(Inputs!$C$39+Inputs!$C$40))))+Inputs!$C$38*SIN(2*PI()*(Scenario_Data!W184)/Inputs!$C$39)*SIN(2*PI()*(Inputs!$C$6)/Inputs!$C$40)+-Inputs!$C$41*EXP(-(((Inputs!$C$6)-Inputs!$C$43)^2)/(2*Inputs!$C$44^2))*EXP(-(((Scenario_Data!W184)-Inputs!$C$42)^2)/(2*Inputs!$C$45^2))+Inputs!$C$48*(0.7*(0.45*SIN(2*PI()*(((Scenario_Data!W184)/Inputs!$C$49)+Inputs!$C$47*0.137))+0.35*COS(2*PI()*(((Inputs!$C$6)/Inputs!$C$50)+Inputs!$C$47*0.173))+0.2*SIN(2*PI()*((((Scenario_Data!W184)+(Inputs!$C$6))/(0.5*(Inputs!$C$49+Inputs!$C$50)))+Inputs!$C$47*0.097)))+0.3*(2*((SIN(((Scenario_Data!W184)*12.9898+(Inputs!$C$6)*78.233+Inputs!$C$47*37.719))*43758.5453)-INT((SIN(((Scenario_Data!W184)*12.9898+(Inputs!$C$6)*78.233+Inputs!$C$47*37.719))*43758.5453)))-1))))/1000))*COS(SQRT((Scenario_Data!W184)^2+Inputs!$C$6^2)/Inputs!$C$52))*1000)/Inputs!$C$21*1000000</f>
        <v/>
      </c>
    </row>
    <row r="185">
      <c r="A185">
        <f>Chart_Data!K185</f>
        <v/>
      </c>
      <c r="B185">
        <f>Chart_Data!N185-Chart_Data!L185</f>
        <v/>
      </c>
      <c r="D185">
        <f>Chart_Data!G185</f>
        <v/>
      </c>
      <c r="E185">
        <f>Chart_Data!H185</f>
        <v/>
      </c>
      <c r="F185">
        <f>Chart_Data!I185</f>
        <v/>
      </c>
      <c r="G185">
        <f>Chart_Data!J185</f>
        <v/>
      </c>
      <c r="I185">
        <f>Scenario_Data!A185</f>
        <v/>
      </c>
      <c r="J185">
        <f>Scenario_Data!H185-(((SQRT((Inputs!$C$52+(Inputs!$H$6))^2+Inputs!$C$52^2-2*(Inputs!$C$52+(Inputs!$H$6))*Inputs!$C$52*COS(SQRT((Scenario_Data!T185)^2+Inputs!$C$6^2)/Inputs!$C$52)))-(Inputs!$H$6))*1000/Inputs!$C$12)</f>
        <v/>
      </c>
      <c r="K185">
        <f>Scenario_Data!I185-(((SQRT((Inputs!$C$52+(Inputs!$H$7))^2+Inputs!$C$52^2-2*(Inputs!$C$52+(Inputs!$H$7))*Inputs!$C$52*COS(SQRT((Scenario_Data!U185)^2+Inputs!$C$6^2)/Inputs!$C$52)))-(Inputs!$H$7))*1000/Inputs!$C$12)</f>
        <v/>
      </c>
      <c r="L185">
        <f>Scenario_Data!J185-(((SQRT((Inputs!$C$52+(Inputs!$H$8))^2+Inputs!$C$52^2-2*(Inputs!$C$52+(Inputs!$H$8))*Inputs!$C$52*COS(SQRT((Scenario_Data!V185)^2+Inputs!$C$6^2)/Inputs!$C$52)))-(Inputs!$H$8))*1000/Inputs!$C$12)</f>
        <v/>
      </c>
      <c r="M185">
        <f>Scenario_Data!K185-(((SQRT((Inputs!$C$52+(Inputs!$H$9))^2+Inputs!$C$52^2-2*(Inputs!$C$52+(Inputs!$H$9))*Inputs!$C$52*COS(SQRT((Scenario_Data!W185)^2+Inputs!$C$6^2)/Inputs!$C$52)))-(Inputs!$H$9))*1000/Inputs!$C$12)</f>
        <v/>
      </c>
      <c r="O185">
        <f>Scenario_Data!T185</f>
        <v/>
      </c>
      <c r="P185">
        <f>2*(Scenario_Data!B185*1000)/Inputs!$C$21*1000000</f>
        <v/>
      </c>
      <c r="Q185">
        <f>Scenario_Data!U185</f>
        <v/>
      </c>
      <c r="R185">
        <f>2*(Scenario_Data!C185*1000)/Inputs!$C$21*1000000</f>
        <v/>
      </c>
      <c r="S185">
        <f>Scenario_Data!V185</f>
        <v/>
      </c>
      <c r="T185">
        <f>2*(Scenario_Data!D185*1000)/Inputs!$C$21*1000000</f>
        <v/>
      </c>
      <c r="U185">
        <f>Scenario_Data!W185</f>
        <v/>
      </c>
      <c r="V185">
        <f>2*(Scenario_Data!E185*1000)/Inputs!$C$21*1000000</f>
        <v/>
      </c>
      <c r="X185">
        <f>Scenario_Data!T185</f>
        <v/>
      </c>
      <c r="Y185">
        <f>2*((Scenario_Data!B185*1000)-(IF(OR(Inputs!$C$27=TRUE,Inputs!$C$27="TRUE",Inputs!$C$27=1),1,0)*(Inputs!$C$51*(115*EXP(-(((0)-25)^2)/(4.5^2))+70*EXP(-(((0)+38)^2)/(7^2))*(0.55+0.45*SIN(2*PI()*(Scenario_Data!T185)/45))+24*SIN(2*PI()*(0)/9+(Scenario_Data!T185)/18)*EXP(-(((0)+5)^2)/(22^2))+18*SIN(2*PI()*(Scenario_Data!T185)/70))+Inputs!$C$28*EXP(-(((Scenario_Data!T185)-Inputs!$C$29)^2)/(2*Inputs!$C$31^2))*EXP(-(((0)-Inputs!$C$30)^2)/(2*Inputs!$C$32^2))+-Inputs!$C$33*EXP(-(((((Scenario_Data!T185)-Inputs!$C$34)^2)+(((0)-Inputs!$C$35)^2))/(2*Inputs!$C$36^2)))+Inputs!$C$37*(0.55*SIN(2*PI()*(Scenario_Data!T185)/Inputs!$C$39)+0.35*COS(2*PI()*(0)/Inputs!$C$40)+0.2*SIN(2*PI()*((Scenario_Data!T185)+(0))/(0.5*(Inputs!$C$39+Inputs!$C$40))))+Inputs!$C$38*SIN(2*PI()*(Scenario_Data!T185)/Inputs!$C$39)*SIN(2*PI()*(0)/Inputs!$C$40)+-Inputs!$C$41*EXP(-(((0)-Inputs!$C$43)^2)/(2*Inputs!$C$44^2))*EXP(-(((Scenario_Data!T185)-Inputs!$C$42)^2)/(2*Inputs!$C$45^2))+Inputs!$C$48*(0.7*(0.45*SIN(2*PI()*(((Scenario_Data!T185)/Inputs!$C$49)+Inputs!$C$47*0.137))+0.35*COS(2*PI()*(((0)/Inputs!$C$50)+Inputs!$C$47*0.173))+0.2*SIN(2*PI()*((((Scenario_Data!T185)+(0))/(0.5*(Inputs!$C$49+Inputs!$C$50)))+Inputs!$C$47*0.097)))+0.3*(2*((SIN(((Scenario_Data!T185)*12.9898+(0)*78.233+Inputs!$C$47*37.719))*43758.5453)-INT((SIN(((Scenario_Data!T185)*12.9898+(0)*78.233+Inputs!$C$47*37.719))*43758.5453)))-1)))))/Inputs!$C$21*1000000</f>
        <v/>
      </c>
      <c r="Z185">
        <f>Scenario_Data!U185</f>
        <v/>
      </c>
      <c r="AA185">
        <f>2*((Scenario_Data!C185*1000)-(IF(OR(Inputs!$C$27=TRUE,Inputs!$C$27="TRUE",Inputs!$C$27=1),1,0)*(Inputs!$C$51*(115*EXP(-(((0)-25)^2)/(4.5^2))+70*EXP(-(((0)+38)^2)/(7^2))*(0.55+0.45*SIN(2*PI()*(Scenario_Data!U185)/45))+24*SIN(2*PI()*(0)/9+(Scenario_Data!U185)/18)*EXP(-(((0)+5)^2)/(22^2))+18*SIN(2*PI()*(Scenario_Data!U185)/70))+Inputs!$C$28*EXP(-(((Scenario_Data!U185)-Inputs!$C$29)^2)/(2*Inputs!$C$31^2))*EXP(-(((0)-Inputs!$C$30)^2)/(2*Inputs!$C$32^2))+-Inputs!$C$33*EXP(-(((((Scenario_Data!U185)-Inputs!$C$34)^2)+(((0)-Inputs!$C$35)^2))/(2*Inputs!$C$36^2)))+Inputs!$C$37*(0.55*SIN(2*PI()*(Scenario_Data!U185)/Inputs!$C$39)+0.35*COS(2*PI()*(0)/Inputs!$C$40)+0.2*SIN(2*PI()*((Scenario_Data!U185)+(0))/(0.5*(Inputs!$C$39+Inputs!$C$40))))+Inputs!$C$38*SIN(2*PI()*(Scenario_Data!U185)/Inputs!$C$39)*SIN(2*PI()*(0)/Inputs!$C$40)+-Inputs!$C$41*EXP(-(((0)-Inputs!$C$43)^2)/(2*Inputs!$C$44^2))*EXP(-(((Scenario_Data!U185)-Inputs!$C$42)^2)/(2*Inputs!$C$45^2))+Inputs!$C$48*(0.7*(0.45*SIN(2*PI()*(((Scenario_Data!U185)/Inputs!$C$49)+Inputs!$C$47*0.137))+0.35*COS(2*PI()*(((0)/Inputs!$C$50)+Inputs!$C$47*0.173))+0.2*SIN(2*PI()*((((Scenario_Data!U185)+(0))/(0.5*(Inputs!$C$49+Inputs!$C$50)))+Inputs!$C$47*0.097)))+0.3*(2*((SIN(((Scenario_Data!U185)*12.9898+(0)*78.233+Inputs!$C$47*37.719))*43758.5453)-INT((SIN(((Scenario_Data!U185)*12.9898+(0)*78.233+Inputs!$C$47*37.719))*43758.5453)))-1)))))/Inputs!$C$21*1000000</f>
        <v/>
      </c>
      <c r="AB185">
        <f>Scenario_Data!V185</f>
        <v/>
      </c>
      <c r="AC185">
        <f>2*((Scenario_Data!D185*1000)-(IF(OR(Inputs!$C$27=TRUE,Inputs!$C$27="TRUE",Inputs!$C$27=1),1,0)*(Inputs!$C$51*(115*EXP(-(((0)-25)^2)/(4.5^2))+70*EXP(-(((0)+38)^2)/(7^2))*(0.55+0.45*SIN(2*PI()*(Scenario_Data!V185)/45))+24*SIN(2*PI()*(0)/9+(Scenario_Data!V185)/18)*EXP(-(((0)+5)^2)/(22^2))+18*SIN(2*PI()*(Scenario_Data!V185)/70))+Inputs!$C$28*EXP(-(((Scenario_Data!V185)-Inputs!$C$29)^2)/(2*Inputs!$C$31^2))*EXP(-(((0)-Inputs!$C$30)^2)/(2*Inputs!$C$32^2))+-Inputs!$C$33*EXP(-(((((Scenario_Data!V185)-Inputs!$C$34)^2)+(((0)-Inputs!$C$35)^2))/(2*Inputs!$C$36^2)))+Inputs!$C$37*(0.55*SIN(2*PI()*(Scenario_Data!V185)/Inputs!$C$39)+0.35*COS(2*PI()*(0)/Inputs!$C$40)+0.2*SIN(2*PI()*((Scenario_Data!V185)+(0))/(0.5*(Inputs!$C$39+Inputs!$C$40))))+Inputs!$C$38*SIN(2*PI()*(Scenario_Data!V185)/Inputs!$C$39)*SIN(2*PI()*(0)/Inputs!$C$40)+-Inputs!$C$41*EXP(-(((0)-Inputs!$C$43)^2)/(2*Inputs!$C$44^2))*EXP(-(((Scenario_Data!V185)-Inputs!$C$42)^2)/(2*Inputs!$C$45^2))+Inputs!$C$48*(0.7*(0.45*SIN(2*PI()*(((Scenario_Data!V185)/Inputs!$C$49)+Inputs!$C$47*0.137))+0.35*COS(2*PI()*(((0)/Inputs!$C$50)+Inputs!$C$47*0.173))+0.2*SIN(2*PI()*((((Scenario_Data!V185)+(0))/(0.5*(Inputs!$C$49+Inputs!$C$50)))+Inputs!$C$47*0.097)))+0.3*(2*((SIN(((Scenario_Data!V185)*12.9898+(0)*78.233+Inputs!$C$47*37.719))*43758.5453)-INT((SIN(((Scenario_Data!V185)*12.9898+(0)*78.233+Inputs!$C$47*37.719))*43758.5453)))-1)))))/Inputs!$C$21*1000000</f>
        <v/>
      </c>
      <c r="AD185">
        <f>Scenario_Data!W185</f>
        <v/>
      </c>
      <c r="AE185">
        <f>2*((Scenario_Data!E185*1000)-(IF(OR(Inputs!$C$27=TRUE,Inputs!$C$27="TRUE",Inputs!$C$27=1),1,0)*(Inputs!$C$51*(115*EXP(-(((0)-25)^2)/(4.5^2))+70*EXP(-(((0)+38)^2)/(7^2))*(0.55+0.45*SIN(2*PI()*(Scenario_Data!W185)/45))+24*SIN(2*PI()*(0)/9+(Scenario_Data!W185)/18)*EXP(-(((0)+5)^2)/(22^2))+18*SIN(2*PI()*(Scenario_Data!W185)/70))+Inputs!$C$28*EXP(-(((Scenario_Data!W185)-Inputs!$C$29)^2)/(2*Inputs!$C$31^2))*EXP(-(((0)-Inputs!$C$30)^2)/(2*Inputs!$C$32^2))+-Inputs!$C$33*EXP(-(((((Scenario_Data!W185)-Inputs!$C$34)^2)+(((0)-Inputs!$C$35)^2))/(2*Inputs!$C$36^2)))+Inputs!$C$37*(0.55*SIN(2*PI()*(Scenario_Data!W185)/Inputs!$C$39)+0.35*COS(2*PI()*(0)/Inputs!$C$40)+0.2*SIN(2*PI()*((Scenario_Data!W185)+(0))/(0.5*(Inputs!$C$39+Inputs!$C$40))))+Inputs!$C$38*SIN(2*PI()*(Scenario_Data!W185)/Inputs!$C$39)*SIN(2*PI()*(0)/Inputs!$C$40)+-Inputs!$C$41*EXP(-(((0)-Inputs!$C$43)^2)/(2*Inputs!$C$44^2))*EXP(-(((Scenario_Data!W185)-Inputs!$C$42)^2)/(2*Inputs!$C$45^2))+Inputs!$C$48*(0.7*(0.45*SIN(2*PI()*(((Scenario_Data!W185)/Inputs!$C$49)+Inputs!$C$47*0.137))+0.35*COS(2*PI()*(((0)/Inputs!$C$50)+Inputs!$C$47*0.173))+0.2*SIN(2*PI()*((((Scenario_Data!W185)+(0))/(0.5*(Inputs!$C$49+Inputs!$C$50)))+Inputs!$C$47*0.097)))+0.3*(2*((SIN(((Scenario_Data!W185)*12.9898+(0)*78.233+Inputs!$C$47*37.719))*43758.5453)-INT((SIN(((Scenario_Data!W185)*12.9898+(0)*78.233+Inputs!$C$47*37.719))*43758.5453)))-1)))))/Inputs!$C$21*1000000</f>
        <v/>
      </c>
      <c r="AG185">
        <f>Scenario_Data!T185</f>
        <v/>
      </c>
      <c r="AH185">
        <f>2*(SQRT((Inputs!$C$52+(Scenario_Data!B185))^2+Inputs!$C$52^2-2*(Inputs!$C$52+(Scenario_Data!B185))*Inputs!$C$52*COS(SQRT((Scenario_Data!T185)^2+Inputs!$C$6^2)/Inputs!$C$52))*1000)/Inputs!$C$21*1000000</f>
        <v/>
      </c>
      <c r="AI185">
        <f>Scenario_Data!U185</f>
        <v/>
      </c>
      <c r="AJ185">
        <f>2*(SQRT((Inputs!$C$52+(Scenario_Data!C185))^2+Inputs!$C$52^2-2*(Inputs!$C$52+(Scenario_Data!C185))*Inputs!$C$52*COS(SQRT((Scenario_Data!U185)^2+Inputs!$C$6^2)/Inputs!$C$52))*1000)/Inputs!$C$21*1000000</f>
        <v/>
      </c>
      <c r="AK185">
        <f>Scenario_Data!V185</f>
        <v/>
      </c>
      <c r="AL185">
        <f>2*(SQRT((Inputs!$C$52+(Scenario_Data!D185))^2+Inputs!$C$52^2-2*(Inputs!$C$52+(Scenario_Data!D185))*Inputs!$C$52*COS(SQRT((Scenario_Data!V185)^2+Inputs!$C$6^2)/Inputs!$C$52))*1000)/Inputs!$C$21*1000000</f>
        <v/>
      </c>
      <c r="AM185">
        <f>Scenario_Data!W185</f>
        <v/>
      </c>
      <c r="AN185">
        <f>2*(SQRT((Inputs!$C$52+(Scenario_Data!E185))^2+Inputs!$C$52^2-2*(Inputs!$C$52+(Scenario_Data!E185))*Inputs!$C$52*COS(SQRT((Scenario_Data!W185)^2+Inputs!$C$6^2)/Inputs!$C$52))*1000)/Inputs!$C$21*1000000</f>
        <v/>
      </c>
      <c r="AP185">
        <f>Scenario_Data!T185</f>
        <v/>
      </c>
      <c r="AQ185">
        <f>2*(SQRT((Inputs!$C$52+(Scenario_Data!B185))^2+(Inputs!$C$52+((IF(OR(Inputs!$C$27=TRUE,Inputs!$C$27="TRUE",Inputs!$C$27=1),1,0)*(Inputs!$C$51*(115*EXP(-(((Inputs!$C$6)-25)^2)/(4.5^2))+70*EXP(-(((Inputs!$C$6)+38)^2)/(7^2))*(0.55+0.45*SIN(2*PI()*(Scenario_Data!T185)/45))+24*SIN(2*PI()*(Inputs!$C$6)/9+(Scenario_Data!T185)/18)*EXP(-(((Inputs!$C$6)+5)^2)/(22^2))+18*SIN(2*PI()*(Scenario_Data!T185)/70))+Inputs!$C$28*EXP(-(((Scenario_Data!T185)-Inputs!$C$29)^2)/(2*Inputs!$C$31^2))*EXP(-(((Inputs!$C$6)-Inputs!$C$30)^2)/(2*Inputs!$C$32^2))+-Inputs!$C$33*EXP(-(((((Scenario_Data!T185)-Inputs!$C$34)^2)+(((Inputs!$C$6)-Inputs!$C$35)^2))/(2*Inputs!$C$36^2)))+Inputs!$C$37*(0.55*SIN(2*PI()*(Scenario_Data!T185)/Inputs!$C$39)+0.35*COS(2*PI()*(Inputs!$C$6)/Inputs!$C$40)+0.2*SIN(2*PI()*((Scenario_Data!T185)+(Inputs!$C$6))/(0.5*(Inputs!$C$39+Inputs!$C$40))))+Inputs!$C$38*SIN(2*PI()*(Scenario_Data!T185)/Inputs!$C$39)*SIN(2*PI()*(Inputs!$C$6)/Inputs!$C$40)+-Inputs!$C$41*EXP(-(((Inputs!$C$6)-Inputs!$C$43)^2)/(2*Inputs!$C$44^2))*EXP(-(((Scenario_Data!T185)-Inputs!$C$42)^2)/(2*Inputs!$C$45^2))+Inputs!$C$48*(0.7*(0.45*SIN(2*PI()*(((Scenario_Data!T185)/Inputs!$C$49)+Inputs!$C$47*0.137))+0.35*COS(2*PI()*(((Inputs!$C$6)/Inputs!$C$50)+Inputs!$C$47*0.173))+0.2*SIN(2*PI()*((((Scenario_Data!T185)+(Inputs!$C$6))/(0.5*(Inputs!$C$49+Inputs!$C$50)))+Inputs!$C$47*0.097)))+0.3*(2*((SIN(((Scenario_Data!T185)*12.9898+(Inputs!$C$6)*78.233+Inputs!$C$47*37.719))*43758.5453)-INT((SIN(((Scenario_Data!T185)*12.9898+(Inputs!$C$6)*78.233+Inputs!$C$47*37.719))*43758.5453)))-1))))/1000))^2-2*(Inputs!$C$52+(Scenario_Data!B185))*(Inputs!$C$52+((IF(OR(Inputs!$C$27=TRUE,Inputs!$C$27="TRUE",Inputs!$C$27=1),1,0)*(Inputs!$C$51*(115*EXP(-(((Inputs!$C$6)-25)^2)/(4.5^2))+70*EXP(-(((Inputs!$C$6)+38)^2)/(7^2))*(0.55+0.45*SIN(2*PI()*(Scenario_Data!T185)/45))+24*SIN(2*PI()*(Inputs!$C$6)/9+(Scenario_Data!T185)/18)*EXP(-(((Inputs!$C$6)+5)^2)/(22^2))+18*SIN(2*PI()*(Scenario_Data!T185)/70))+Inputs!$C$28*EXP(-(((Scenario_Data!T185)-Inputs!$C$29)^2)/(2*Inputs!$C$31^2))*EXP(-(((Inputs!$C$6)-Inputs!$C$30)^2)/(2*Inputs!$C$32^2))+-Inputs!$C$33*EXP(-(((((Scenario_Data!T185)-Inputs!$C$34)^2)+(((Inputs!$C$6)-Inputs!$C$35)^2))/(2*Inputs!$C$36^2)))+Inputs!$C$37*(0.55*SIN(2*PI()*(Scenario_Data!T185)/Inputs!$C$39)+0.35*COS(2*PI()*(Inputs!$C$6)/Inputs!$C$40)+0.2*SIN(2*PI()*((Scenario_Data!T185)+(Inputs!$C$6))/(0.5*(Inputs!$C$39+Inputs!$C$40))))+Inputs!$C$38*SIN(2*PI()*(Scenario_Data!T185)/Inputs!$C$39)*SIN(2*PI()*(Inputs!$C$6)/Inputs!$C$40)+-Inputs!$C$41*EXP(-(((Inputs!$C$6)-Inputs!$C$43)^2)/(2*Inputs!$C$44^2))*EXP(-(((Scenario_Data!T185)-Inputs!$C$42)^2)/(2*Inputs!$C$45^2))+Inputs!$C$48*(0.7*(0.45*SIN(2*PI()*(((Scenario_Data!T185)/Inputs!$C$49)+Inputs!$C$47*0.137))+0.35*COS(2*PI()*(((Inputs!$C$6)/Inputs!$C$50)+Inputs!$C$47*0.173))+0.2*SIN(2*PI()*((((Scenario_Data!T185)+(Inputs!$C$6))/(0.5*(Inputs!$C$49+Inputs!$C$50)))+Inputs!$C$47*0.097)))+0.3*(2*((SIN(((Scenario_Data!T185)*12.9898+(Inputs!$C$6)*78.233+Inputs!$C$47*37.719))*43758.5453)-INT((SIN(((Scenario_Data!T185)*12.9898+(Inputs!$C$6)*78.233+Inputs!$C$47*37.719))*43758.5453)))-1))))/1000))*COS(SQRT((Scenario_Data!T185)^2+Inputs!$C$6^2)/Inputs!$C$52))*1000)/Inputs!$C$21*1000000</f>
        <v/>
      </c>
      <c r="AR185">
        <f>Scenario_Data!U185</f>
        <v/>
      </c>
      <c r="AS185">
        <f>2*(SQRT((Inputs!$C$52+(Scenario_Data!C185))^2+(Inputs!$C$52+((IF(OR(Inputs!$C$27=TRUE,Inputs!$C$27="TRUE",Inputs!$C$27=1),1,0)*(Inputs!$C$51*(115*EXP(-(((Inputs!$C$6)-25)^2)/(4.5^2))+70*EXP(-(((Inputs!$C$6)+38)^2)/(7^2))*(0.55+0.45*SIN(2*PI()*(Scenario_Data!U185)/45))+24*SIN(2*PI()*(Inputs!$C$6)/9+(Scenario_Data!U185)/18)*EXP(-(((Inputs!$C$6)+5)^2)/(22^2))+18*SIN(2*PI()*(Scenario_Data!U185)/70))+Inputs!$C$28*EXP(-(((Scenario_Data!U185)-Inputs!$C$29)^2)/(2*Inputs!$C$31^2))*EXP(-(((Inputs!$C$6)-Inputs!$C$30)^2)/(2*Inputs!$C$32^2))+-Inputs!$C$33*EXP(-(((((Scenario_Data!U185)-Inputs!$C$34)^2)+(((Inputs!$C$6)-Inputs!$C$35)^2))/(2*Inputs!$C$36^2)))+Inputs!$C$37*(0.55*SIN(2*PI()*(Scenario_Data!U185)/Inputs!$C$39)+0.35*COS(2*PI()*(Inputs!$C$6)/Inputs!$C$40)+0.2*SIN(2*PI()*((Scenario_Data!U185)+(Inputs!$C$6))/(0.5*(Inputs!$C$39+Inputs!$C$40))))+Inputs!$C$38*SIN(2*PI()*(Scenario_Data!U185)/Inputs!$C$39)*SIN(2*PI()*(Inputs!$C$6)/Inputs!$C$40)+-Inputs!$C$41*EXP(-(((Inputs!$C$6)-Inputs!$C$43)^2)/(2*Inputs!$C$44^2))*EXP(-(((Scenario_Data!U185)-Inputs!$C$42)^2)/(2*Inputs!$C$45^2))+Inputs!$C$48*(0.7*(0.45*SIN(2*PI()*(((Scenario_Data!U185)/Inputs!$C$49)+Inputs!$C$47*0.137))+0.35*COS(2*PI()*(((Inputs!$C$6)/Inputs!$C$50)+Inputs!$C$47*0.173))+0.2*SIN(2*PI()*((((Scenario_Data!U185)+(Inputs!$C$6))/(0.5*(Inputs!$C$49+Inputs!$C$50)))+Inputs!$C$47*0.097)))+0.3*(2*((SIN(((Scenario_Data!U185)*12.9898+(Inputs!$C$6)*78.233+Inputs!$C$47*37.719))*43758.5453)-INT((SIN(((Scenario_Data!U185)*12.9898+(Inputs!$C$6)*78.233+Inputs!$C$47*37.719))*43758.5453)))-1))))/1000))^2-2*(Inputs!$C$52+(Scenario_Data!C185))*(Inputs!$C$52+((IF(OR(Inputs!$C$27=TRUE,Inputs!$C$27="TRUE",Inputs!$C$27=1),1,0)*(Inputs!$C$51*(115*EXP(-(((Inputs!$C$6)-25)^2)/(4.5^2))+70*EXP(-(((Inputs!$C$6)+38)^2)/(7^2))*(0.55+0.45*SIN(2*PI()*(Scenario_Data!U185)/45))+24*SIN(2*PI()*(Inputs!$C$6)/9+(Scenario_Data!U185)/18)*EXP(-(((Inputs!$C$6)+5)^2)/(22^2))+18*SIN(2*PI()*(Scenario_Data!U185)/70))+Inputs!$C$28*EXP(-(((Scenario_Data!U185)-Inputs!$C$29)^2)/(2*Inputs!$C$31^2))*EXP(-(((Inputs!$C$6)-Inputs!$C$30)^2)/(2*Inputs!$C$32^2))+-Inputs!$C$33*EXP(-(((((Scenario_Data!U185)-Inputs!$C$34)^2)+(((Inputs!$C$6)-Inputs!$C$35)^2))/(2*Inputs!$C$36^2)))+Inputs!$C$37*(0.55*SIN(2*PI()*(Scenario_Data!U185)/Inputs!$C$39)+0.35*COS(2*PI()*(Inputs!$C$6)/Inputs!$C$40)+0.2*SIN(2*PI()*((Scenario_Data!U185)+(Inputs!$C$6))/(0.5*(Inputs!$C$39+Inputs!$C$40))))+Inputs!$C$38*SIN(2*PI()*(Scenario_Data!U185)/Inputs!$C$39)*SIN(2*PI()*(Inputs!$C$6)/Inputs!$C$40)+-Inputs!$C$41*EXP(-(((Inputs!$C$6)-Inputs!$C$43)^2)/(2*Inputs!$C$44^2))*EXP(-(((Scenario_Data!U185)-Inputs!$C$42)^2)/(2*Inputs!$C$45^2))+Inputs!$C$48*(0.7*(0.45*SIN(2*PI()*(((Scenario_Data!U185)/Inputs!$C$49)+Inputs!$C$47*0.137))+0.35*COS(2*PI()*(((Inputs!$C$6)/Inputs!$C$50)+Inputs!$C$47*0.173))+0.2*SIN(2*PI()*((((Scenario_Data!U185)+(Inputs!$C$6))/(0.5*(Inputs!$C$49+Inputs!$C$50)))+Inputs!$C$47*0.097)))+0.3*(2*((SIN(((Scenario_Data!U185)*12.9898+(Inputs!$C$6)*78.233+Inputs!$C$47*37.719))*43758.5453)-INT((SIN(((Scenario_Data!U185)*12.9898+(Inputs!$C$6)*78.233+Inputs!$C$47*37.719))*43758.5453)))-1))))/1000))*COS(SQRT((Scenario_Data!U185)^2+Inputs!$C$6^2)/Inputs!$C$52))*1000)/Inputs!$C$21*1000000</f>
        <v/>
      </c>
      <c r="AT185">
        <f>Scenario_Data!V185</f>
        <v/>
      </c>
      <c r="AU185">
        <f>2*(SQRT((Inputs!$C$52+(Scenario_Data!D185))^2+(Inputs!$C$52+((IF(OR(Inputs!$C$27=TRUE,Inputs!$C$27="TRUE",Inputs!$C$27=1),1,0)*(Inputs!$C$51*(115*EXP(-(((Inputs!$C$6)-25)^2)/(4.5^2))+70*EXP(-(((Inputs!$C$6)+38)^2)/(7^2))*(0.55+0.45*SIN(2*PI()*(Scenario_Data!V185)/45))+24*SIN(2*PI()*(Inputs!$C$6)/9+(Scenario_Data!V185)/18)*EXP(-(((Inputs!$C$6)+5)^2)/(22^2))+18*SIN(2*PI()*(Scenario_Data!V185)/70))+Inputs!$C$28*EXP(-(((Scenario_Data!V185)-Inputs!$C$29)^2)/(2*Inputs!$C$31^2))*EXP(-(((Inputs!$C$6)-Inputs!$C$30)^2)/(2*Inputs!$C$32^2))+-Inputs!$C$33*EXP(-(((((Scenario_Data!V185)-Inputs!$C$34)^2)+(((Inputs!$C$6)-Inputs!$C$35)^2))/(2*Inputs!$C$36^2)))+Inputs!$C$37*(0.55*SIN(2*PI()*(Scenario_Data!V185)/Inputs!$C$39)+0.35*COS(2*PI()*(Inputs!$C$6)/Inputs!$C$40)+0.2*SIN(2*PI()*((Scenario_Data!V185)+(Inputs!$C$6))/(0.5*(Inputs!$C$39+Inputs!$C$40))))+Inputs!$C$38*SIN(2*PI()*(Scenario_Data!V185)/Inputs!$C$39)*SIN(2*PI()*(Inputs!$C$6)/Inputs!$C$40)+-Inputs!$C$41*EXP(-(((Inputs!$C$6)-Inputs!$C$43)^2)/(2*Inputs!$C$44^2))*EXP(-(((Scenario_Data!V185)-Inputs!$C$42)^2)/(2*Inputs!$C$45^2))+Inputs!$C$48*(0.7*(0.45*SIN(2*PI()*(((Scenario_Data!V185)/Inputs!$C$49)+Inputs!$C$47*0.137))+0.35*COS(2*PI()*(((Inputs!$C$6)/Inputs!$C$50)+Inputs!$C$47*0.173))+0.2*SIN(2*PI()*((((Scenario_Data!V185)+(Inputs!$C$6))/(0.5*(Inputs!$C$49+Inputs!$C$50)))+Inputs!$C$47*0.097)))+0.3*(2*((SIN(((Scenario_Data!V185)*12.9898+(Inputs!$C$6)*78.233+Inputs!$C$47*37.719))*43758.5453)-INT((SIN(((Scenario_Data!V185)*12.9898+(Inputs!$C$6)*78.233+Inputs!$C$47*37.719))*43758.5453)))-1))))/1000))^2-2*(Inputs!$C$52+(Scenario_Data!D185))*(Inputs!$C$52+((IF(OR(Inputs!$C$27=TRUE,Inputs!$C$27="TRUE",Inputs!$C$27=1),1,0)*(Inputs!$C$51*(115*EXP(-(((Inputs!$C$6)-25)^2)/(4.5^2))+70*EXP(-(((Inputs!$C$6)+38)^2)/(7^2))*(0.55+0.45*SIN(2*PI()*(Scenario_Data!V185)/45))+24*SIN(2*PI()*(Inputs!$C$6)/9+(Scenario_Data!V185)/18)*EXP(-(((Inputs!$C$6)+5)^2)/(22^2))+18*SIN(2*PI()*(Scenario_Data!V185)/70))+Inputs!$C$28*EXP(-(((Scenario_Data!V185)-Inputs!$C$29)^2)/(2*Inputs!$C$31^2))*EXP(-(((Inputs!$C$6)-Inputs!$C$30)^2)/(2*Inputs!$C$32^2))+-Inputs!$C$33*EXP(-(((((Scenario_Data!V185)-Inputs!$C$34)^2)+(((Inputs!$C$6)-Inputs!$C$35)^2))/(2*Inputs!$C$36^2)))+Inputs!$C$37*(0.55*SIN(2*PI()*(Scenario_Data!V185)/Inputs!$C$39)+0.35*COS(2*PI()*(Inputs!$C$6)/Inputs!$C$40)+0.2*SIN(2*PI()*((Scenario_Data!V185)+(Inputs!$C$6))/(0.5*(Inputs!$C$39+Inputs!$C$40))))+Inputs!$C$38*SIN(2*PI()*(Scenario_Data!V185)/Inputs!$C$39)*SIN(2*PI()*(Inputs!$C$6)/Inputs!$C$40)+-Inputs!$C$41*EXP(-(((Inputs!$C$6)-Inputs!$C$43)^2)/(2*Inputs!$C$44^2))*EXP(-(((Scenario_Data!V185)-Inputs!$C$42)^2)/(2*Inputs!$C$45^2))+Inputs!$C$48*(0.7*(0.45*SIN(2*PI()*(((Scenario_Data!V185)/Inputs!$C$49)+Inputs!$C$47*0.137))+0.35*COS(2*PI()*(((Inputs!$C$6)/Inputs!$C$50)+Inputs!$C$47*0.173))+0.2*SIN(2*PI()*((((Scenario_Data!V185)+(Inputs!$C$6))/(0.5*(Inputs!$C$49+Inputs!$C$50)))+Inputs!$C$47*0.097)))+0.3*(2*((SIN(((Scenario_Data!V185)*12.9898+(Inputs!$C$6)*78.233+Inputs!$C$47*37.719))*43758.5453)-INT((SIN(((Scenario_Data!V185)*12.9898+(Inputs!$C$6)*78.233+Inputs!$C$47*37.719))*43758.5453)))-1))))/1000))*COS(SQRT((Scenario_Data!V185)^2+Inputs!$C$6^2)/Inputs!$C$52))*1000)/Inputs!$C$21*1000000</f>
        <v/>
      </c>
      <c r="AV185">
        <f>Scenario_Data!W185</f>
        <v/>
      </c>
      <c r="AW185">
        <f>2*(SQRT((Inputs!$C$52+(Scenario_Data!E185))^2+(Inputs!$C$52+((IF(OR(Inputs!$C$27=TRUE,Inputs!$C$27="TRUE",Inputs!$C$27=1),1,0)*(Inputs!$C$51*(115*EXP(-(((Inputs!$C$6)-25)^2)/(4.5^2))+70*EXP(-(((Inputs!$C$6)+38)^2)/(7^2))*(0.55+0.45*SIN(2*PI()*(Scenario_Data!W185)/45))+24*SIN(2*PI()*(Inputs!$C$6)/9+(Scenario_Data!W185)/18)*EXP(-(((Inputs!$C$6)+5)^2)/(22^2))+18*SIN(2*PI()*(Scenario_Data!W185)/70))+Inputs!$C$28*EXP(-(((Scenario_Data!W185)-Inputs!$C$29)^2)/(2*Inputs!$C$31^2))*EXP(-(((Inputs!$C$6)-Inputs!$C$30)^2)/(2*Inputs!$C$32^2))+-Inputs!$C$33*EXP(-(((((Scenario_Data!W185)-Inputs!$C$34)^2)+(((Inputs!$C$6)-Inputs!$C$35)^2))/(2*Inputs!$C$36^2)))+Inputs!$C$37*(0.55*SIN(2*PI()*(Scenario_Data!W185)/Inputs!$C$39)+0.35*COS(2*PI()*(Inputs!$C$6)/Inputs!$C$40)+0.2*SIN(2*PI()*((Scenario_Data!W185)+(Inputs!$C$6))/(0.5*(Inputs!$C$39+Inputs!$C$40))))+Inputs!$C$38*SIN(2*PI()*(Scenario_Data!W185)/Inputs!$C$39)*SIN(2*PI()*(Inputs!$C$6)/Inputs!$C$40)+-Inputs!$C$41*EXP(-(((Inputs!$C$6)-Inputs!$C$43)^2)/(2*Inputs!$C$44^2))*EXP(-(((Scenario_Data!W185)-Inputs!$C$42)^2)/(2*Inputs!$C$45^2))+Inputs!$C$48*(0.7*(0.45*SIN(2*PI()*(((Scenario_Data!W185)/Inputs!$C$49)+Inputs!$C$47*0.137))+0.35*COS(2*PI()*(((Inputs!$C$6)/Inputs!$C$50)+Inputs!$C$47*0.173))+0.2*SIN(2*PI()*((((Scenario_Data!W185)+(Inputs!$C$6))/(0.5*(Inputs!$C$49+Inputs!$C$50)))+Inputs!$C$47*0.097)))+0.3*(2*((SIN(((Scenario_Data!W185)*12.9898+(Inputs!$C$6)*78.233+Inputs!$C$47*37.719))*43758.5453)-INT((SIN(((Scenario_Data!W185)*12.9898+(Inputs!$C$6)*78.233+Inputs!$C$47*37.719))*43758.5453)))-1))))/1000))^2-2*(Inputs!$C$52+(Scenario_Data!E185))*(Inputs!$C$52+((IF(OR(Inputs!$C$27=TRUE,Inputs!$C$27="TRUE",Inputs!$C$27=1),1,0)*(Inputs!$C$51*(115*EXP(-(((Inputs!$C$6)-25)^2)/(4.5^2))+70*EXP(-(((Inputs!$C$6)+38)^2)/(7^2))*(0.55+0.45*SIN(2*PI()*(Scenario_Data!W185)/45))+24*SIN(2*PI()*(Inputs!$C$6)/9+(Scenario_Data!W185)/18)*EXP(-(((Inputs!$C$6)+5)^2)/(22^2))+18*SIN(2*PI()*(Scenario_Data!W185)/70))+Inputs!$C$28*EXP(-(((Scenario_Data!W185)-Inputs!$C$29)^2)/(2*Inputs!$C$31^2))*EXP(-(((Inputs!$C$6)-Inputs!$C$30)^2)/(2*Inputs!$C$32^2))+-Inputs!$C$33*EXP(-(((((Scenario_Data!W185)-Inputs!$C$34)^2)+(((Inputs!$C$6)-Inputs!$C$35)^2))/(2*Inputs!$C$36^2)))+Inputs!$C$37*(0.55*SIN(2*PI()*(Scenario_Data!W185)/Inputs!$C$39)+0.35*COS(2*PI()*(Inputs!$C$6)/Inputs!$C$40)+0.2*SIN(2*PI()*((Scenario_Data!W185)+(Inputs!$C$6))/(0.5*(Inputs!$C$39+Inputs!$C$40))))+Inputs!$C$38*SIN(2*PI()*(Scenario_Data!W185)/Inputs!$C$39)*SIN(2*PI()*(Inputs!$C$6)/Inputs!$C$40)+-Inputs!$C$41*EXP(-(((Inputs!$C$6)-Inputs!$C$43)^2)/(2*Inputs!$C$44^2))*EXP(-(((Scenario_Data!W185)-Inputs!$C$42)^2)/(2*Inputs!$C$45^2))+Inputs!$C$48*(0.7*(0.45*SIN(2*PI()*(((Scenario_Data!W185)/Inputs!$C$49)+Inputs!$C$47*0.137))+0.35*COS(2*PI()*(((Inputs!$C$6)/Inputs!$C$50)+Inputs!$C$47*0.173))+0.2*SIN(2*PI()*((((Scenario_Data!W185)+(Inputs!$C$6))/(0.5*(Inputs!$C$49+Inputs!$C$50)))+Inputs!$C$47*0.097)))+0.3*(2*((SIN(((Scenario_Data!W185)*12.9898+(Inputs!$C$6)*78.233+Inputs!$C$47*37.719))*43758.5453)-INT((SIN(((Scenario_Data!W185)*12.9898+(Inputs!$C$6)*78.233+Inputs!$C$47*37.719))*43758.5453)))-1))))/1000))*COS(SQRT((Scenario_Data!W185)^2+Inputs!$C$6^2)/Inputs!$C$52))*1000)/Inputs!$C$21*1000000</f>
        <v/>
      </c>
    </row>
    <row r="186">
      <c r="A186">
        <f>Chart_Data!K186</f>
        <v/>
      </c>
      <c r="B186">
        <f>Chart_Data!N186-Chart_Data!L186</f>
        <v/>
      </c>
      <c r="D186">
        <f>Chart_Data!G186</f>
        <v/>
      </c>
      <c r="E186">
        <f>Chart_Data!H186</f>
        <v/>
      </c>
      <c r="F186">
        <f>Chart_Data!I186</f>
        <v/>
      </c>
      <c r="G186">
        <f>Chart_Data!J186</f>
        <v/>
      </c>
      <c r="I186">
        <f>Scenario_Data!A186</f>
        <v/>
      </c>
      <c r="J186">
        <f>Scenario_Data!H186-(((SQRT((Inputs!$C$52+(Inputs!$H$6))^2+Inputs!$C$52^2-2*(Inputs!$C$52+(Inputs!$H$6))*Inputs!$C$52*COS(SQRT((Scenario_Data!T186)^2+Inputs!$C$6^2)/Inputs!$C$52)))-(Inputs!$H$6))*1000/Inputs!$C$12)</f>
        <v/>
      </c>
      <c r="K186">
        <f>Scenario_Data!I186-(((SQRT((Inputs!$C$52+(Inputs!$H$7))^2+Inputs!$C$52^2-2*(Inputs!$C$52+(Inputs!$H$7))*Inputs!$C$52*COS(SQRT((Scenario_Data!U186)^2+Inputs!$C$6^2)/Inputs!$C$52)))-(Inputs!$H$7))*1000/Inputs!$C$12)</f>
        <v/>
      </c>
      <c r="L186">
        <f>Scenario_Data!J186-(((SQRT((Inputs!$C$52+(Inputs!$H$8))^2+Inputs!$C$52^2-2*(Inputs!$C$52+(Inputs!$H$8))*Inputs!$C$52*COS(SQRT((Scenario_Data!V186)^2+Inputs!$C$6^2)/Inputs!$C$52)))-(Inputs!$H$8))*1000/Inputs!$C$12)</f>
        <v/>
      </c>
      <c r="M186">
        <f>Scenario_Data!K186-(((SQRT((Inputs!$C$52+(Inputs!$H$9))^2+Inputs!$C$52^2-2*(Inputs!$C$52+(Inputs!$H$9))*Inputs!$C$52*COS(SQRT((Scenario_Data!W186)^2+Inputs!$C$6^2)/Inputs!$C$52)))-(Inputs!$H$9))*1000/Inputs!$C$12)</f>
        <v/>
      </c>
      <c r="O186">
        <f>Scenario_Data!T186</f>
        <v/>
      </c>
      <c r="P186">
        <f>2*(Scenario_Data!B186*1000)/Inputs!$C$21*1000000</f>
        <v/>
      </c>
      <c r="Q186">
        <f>Scenario_Data!U186</f>
        <v/>
      </c>
      <c r="R186">
        <f>2*(Scenario_Data!C186*1000)/Inputs!$C$21*1000000</f>
        <v/>
      </c>
      <c r="S186">
        <f>Scenario_Data!V186</f>
        <v/>
      </c>
      <c r="T186">
        <f>2*(Scenario_Data!D186*1000)/Inputs!$C$21*1000000</f>
        <v/>
      </c>
      <c r="U186">
        <f>Scenario_Data!W186</f>
        <v/>
      </c>
      <c r="V186">
        <f>2*(Scenario_Data!E186*1000)/Inputs!$C$21*1000000</f>
        <v/>
      </c>
      <c r="X186">
        <f>Scenario_Data!T186</f>
        <v/>
      </c>
      <c r="Y186">
        <f>2*((Scenario_Data!B186*1000)-(IF(OR(Inputs!$C$27=TRUE,Inputs!$C$27="TRUE",Inputs!$C$27=1),1,0)*(Inputs!$C$51*(115*EXP(-(((0)-25)^2)/(4.5^2))+70*EXP(-(((0)+38)^2)/(7^2))*(0.55+0.45*SIN(2*PI()*(Scenario_Data!T186)/45))+24*SIN(2*PI()*(0)/9+(Scenario_Data!T186)/18)*EXP(-(((0)+5)^2)/(22^2))+18*SIN(2*PI()*(Scenario_Data!T186)/70))+Inputs!$C$28*EXP(-(((Scenario_Data!T186)-Inputs!$C$29)^2)/(2*Inputs!$C$31^2))*EXP(-(((0)-Inputs!$C$30)^2)/(2*Inputs!$C$32^2))+-Inputs!$C$33*EXP(-(((((Scenario_Data!T186)-Inputs!$C$34)^2)+(((0)-Inputs!$C$35)^2))/(2*Inputs!$C$36^2)))+Inputs!$C$37*(0.55*SIN(2*PI()*(Scenario_Data!T186)/Inputs!$C$39)+0.35*COS(2*PI()*(0)/Inputs!$C$40)+0.2*SIN(2*PI()*((Scenario_Data!T186)+(0))/(0.5*(Inputs!$C$39+Inputs!$C$40))))+Inputs!$C$38*SIN(2*PI()*(Scenario_Data!T186)/Inputs!$C$39)*SIN(2*PI()*(0)/Inputs!$C$40)+-Inputs!$C$41*EXP(-(((0)-Inputs!$C$43)^2)/(2*Inputs!$C$44^2))*EXP(-(((Scenario_Data!T186)-Inputs!$C$42)^2)/(2*Inputs!$C$45^2))+Inputs!$C$48*(0.7*(0.45*SIN(2*PI()*(((Scenario_Data!T186)/Inputs!$C$49)+Inputs!$C$47*0.137))+0.35*COS(2*PI()*(((0)/Inputs!$C$50)+Inputs!$C$47*0.173))+0.2*SIN(2*PI()*((((Scenario_Data!T186)+(0))/(0.5*(Inputs!$C$49+Inputs!$C$50)))+Inputs!$C$47*0.097)))+0.3*(2*((SIN(((Scenario_Data!T186)*12.9898+(0)*78.233+Inputs!$C$47*37.719))*43758.5453)-INT((SIN(((Scenario_Data!T186)*12.9898+(0)*78.233+Inputs!$C$47*37.719))*43758.5453)))-1)))))/Inputs!$C$21*1000000</f>
        <v/>
      </c>
      <c r="Z186">
        <f>Scenario_Data!U186</f>
        <v/>
      </c>
      <c r="AA186">
        <f>2*((Scenario_Data!C186*1000)-(IF(OR(Inputs!$C$27=TRUE,Inputs!$C$27="TRUE",Inputs!$C$27=1),1,0)*(Inputs!$C$51*(115*EXP(-(((0)-25)^2)/(4.5^2))+70*EXP(-(((0)+38)^2)/(7^2))*(0.55+0.45*SIN(2*PI()*(Scenario_Data!U186)/45))+24*SIN(2*PI()*(0)/9+(Scenario_Data!U186)/18)*EXP(-(((0)+5)^2)/(22^2))+18*SIN(2*PI()*(Scenario_Data!U186)/70))+Inputs!$C$28*EXP(-(((Scenario_Data!U186)-Inputs!$C$29)^2)/(2*Inputs!$C$31^2))*EXP(-(((0)-Inputs!$C$30)^2)/(2*Inputs!$C$32^2))+-Inputs!$C$33*EXP(-(((((Scenario_Data!U186)-Inputs!$C$34)^2)+(((0)-Inputs!$C$35)^2))/(2*Inputs!$C$36^2)))+Inputs!$C$37*(0.55*SIN(2*PI()*(Scenario_Data!U186)/Inputs!$C$39)+0.35*COS(2*PI()*(0)/Inputs!$C$40)+0.2*SIN(2*PI()*((Scenario_Data!U186)+(0))/(0.5*(Inputs!$C$39+Inputs!$C$40))))+Inputs!$C$38*SIN(2*PI()*(Scenario_Data!U186)/Inputs!$C$39)*SIN(2*PI()*(0)/Inputs!$C$40)+-Inputs!$C$41*EXP(-(((0)-Inputs!$C$43)^2)/(2*Inputs!$C$44^2))*EXP(-(((Scenario_Data!U186)-Inputs!$C$42)^2)/(2*Inputs!$C$45^2))+Inputs!$C$48*(0.7*(0.45*SIN(2*PI()*(((Scenario_Data!U186)/Inputs!$C$49)+Inputs!$C$47*0.137))+0.35*COS(2*PI()*(((0)/Inputs!$C$50)+Inputs!$C$47*0.173))+0.2*SIN(2*PI()*((((Scenario_Data!U186)+(0))/(0.5*(Inputs!$C$49+Inputs!$C$50)))+Inputs!$C$47*0.097)))+0.3*(2*((SIN(((Scenario_Data!U186)*12.9898+(0)*78.233+Inputs!$C$47*37.719))*43758.5453)-INT((SIN(((Scenario_Data!U186)*12.9898+(0)*78.233+Inputs!$C$47*37.719))*43758.5453)))-1)))))/Inputs!$C$21*1000000</f>
        <v/>
      </c>
      <c r="AB186">
        <f>Scenario_Data!V186</f>
        <v/>
      </c>
      <c r="AC186">
        <f>2*((Scenario_Data!D186*1000)-(IF(OR(Inputs!$C$27=TRUE,Inputs!$C$27="TRUE",Inputs!$C$27=1),1,0)*(Inputs!$C$51*(115*EXP(-(((0)-25)^2)/(4.5^2))+70*EXP(-(((0)+38)^2)/(7^2))*(0.55+0.45*SIN(2*PI()*(Scenario_Data!V186)/45))+24*SIN(2*PI()*(0)/9+(Scenario_Data!V186)/18)*EXP(-(((0)+5)^2)/(22^2))+18*SIN(2*PI()*(Scenario_Data!V186)/70))+Inputs!$C$28*EXP(-(((Scenario_Data!V186)-Inputs!$C$29)^2)/(2*Inputs!$C$31^2))*EXP(-(((0)-Inputs!$C$30)^2)/(2*Inputs!$C$32^2))+-Inputs!$C$33*EXP(-(((((Scenario_Data!V186)-Inputs!$C$34)^2)+(((0)-Inputs!$C$35)^2))/(2*Inputs!$C$36^2)))+Inputs!$C$37*(0.55*SIN(2*PI()*(Scenario_Data!V186)/Inputs!$C$39)+0.35*COS(2*PI()*(0)/Inputs!$C$40)+0.2*SIN(2*PI()*((Scenario_Data!V186)+(0))/(0.5*(Inputs!$C$39+Inputs!$C$40))))+Inputs!$C$38*SIN(2*PI()*(Scenario_Data!V186)/Inputs!$C$39)*SIN(2*PI()*(0)/Inputs!$C$40)+-Inputs!$C$41*EXP(-(((0)-Inputs!$C$43)^2)/(2*Inputs!$C$44^2))*EXP(-(((Scenario_Data!V186)-Inputs!$C$42)^2)/(2*Inputs!$C$45^2))+Inputs!$C$48*(0.7*(0.45*SIN(2*PI()*(((Scenario_Data!V186)/Inputs!$C$49)+Inputs!$C$47*0.137))+0.35*COS(2*PI()*(((0)/Inputs!$C$50)+Inputs!$C$47*0.173))+0.2*SIN(2*PI()*((((Scenario_Data!V186)+(0))/(0.5*(Inputs!$C$49+Inputs!$C$50)))+Inputs!$C$47*0.097)))+0.3*(2*((SIN(((Scenario_Data!V186)*12.9898+(0)*78.233+Inputs!$C$47*37.719))*43758.5453)-INT((SIN(((Scenario_Data!V186)*12.9898+(0)*78.233+Inputs!$C$47*37.719))*43758.5453)))-1)))))/Inputs!$C$21*1000000</f>
        <v/>
      </c>
      <c r="AD186">
        <f>Scenario_Data!W186</f>
        <v/>
      </c>
      <c r="AE186">
        <f>2*((Scenario_Data!E186*1000)-(IF(OR(Inputs!$C$27=TRUE,Inputs!$C$27="TRUE",Inputs!$C$27=1),1,0)*(Inputs!$C$51*(115*EXP(-(((0)-25)^2)/(4.5^2))+70*EXP(-(((0)+38)^2)/(7^2))*(0.55+0.45*SIN(2*PI()*(Scenario_Data!W186)/45))+24*SIN(2*PI()*(0)/9+(Scenario_Data!W186)/18)*EXP(-(((0)+5)^2)/(22^2))+18*SIN(2*PI()*(Scenario_Data!W186)/70))+Inputs!$C$28*EXP(-(((Scenario_Data!W186)-Inputs!$C$29)^2)/(2*Inputs!$C$31^2))*EXP(-(((0)-Inputs!$C$30)^2)/(2*Inputs!$C$32^2))+-Inputs!$C$33*EXP(-(((((Scenario_Data!W186)-Inputs!$C$34)^2)+(((0)-Inputs!$C$35)^2))/(2*Inputs!$C$36^2)))+Inputs!$C$37*(0.55*SIN(2*PI()*(Scenario_Data!W186)/Inputs!$C$39)+0.35*COS(2*PI()*(0)/Inputs!$C$40)+0.2*SIN(2*PI()*((Scenario_Data!W186)+(0))/(0.5*(Inputs!$C$39+Inputs!$C$40))))+Inputs!$C$38*SIN(2*PI()*(Scenario_Data!W186)/Inputs!$C$39)*SIN(2*PI()*(0)/Inputs!$C$40)+-Inputs!$C$41*EXP(-(((0)-Inputs!$C$43)^2)/(2*Inputs!$C$44^2))*EXP(-(((Scenario_Data!W186)-Inputs!$C$42)^2)/(2*Inputs!$C$45^2))+Inputs!$C$48*(0.7*(0.45*SIN(2*PI()*(((Scenario_Data!W186)/Inputs!$C$49)+Inputs!$C$47*0.137))+0.35*COS(2*PI()*(((0)/Inputs!$C$50)+Inputs!$C$47*0.173))+0.2*SIN(2*PI()*((((Scenario_Data!W186)+(0))/(0.5*(Inputs!$C$49+Inputs!$C$50)))+Inputs!$C$47*0.097)))+0.3*(2*((SIN(((Scenario_Data!W186)*12.9898+(0)*78.233+Inputs!$C$47*37.719))*43758.5453)-INT((SIN(((Scenario_Data!W186)*12.9898+(0)*78.233+Inputs!$C$47*37.719))*43758.5453)))-1)))))/Inputs!$C$21*1000000</f>
        <v/>
      </c>
      <c r="AG186">
        <f>Scenario_Data!T186</f>
        <v/>
      </c>
      <c r="AH186">
        <f>2*(SQRT((Inputs!$C$52+(Scenario_Data!B186))^2+Inputs!$C$52^2-2*(Inputs!$C$52+(Scenario_Data!B186))*Inputs!$C$52*COS(SQRT((Scenario_Data!T186)^2+Inputs!$C$6^2)/Inputs!$C$52))*1000)/Inputs!$C$21*1000000</f>
        <v/>
      </c>
      <c r="AI186">
        <f>Scenario_Data!U186</f>
        <v/>
      </c>
      <c r="AJ186">
        <f>2*(SQRT((Inputs!$C$52+(Scenario_Data!C186))^2+Inputs!$C$52^2-2*(Inputs!$C$52+(Scenario_Data!C186))*Inputs!$C$52*COS(SQRT((Scenario_Data!U186)^2+Inputs!$C$6^2)/Inputs!$C$52))*1000)/Inputs!$C$21*1000000</f>
        <v/>
      </c>
      <c r="AK186">
        <f>Scenario_Data!V186</f>
        <v/>
      </c>
      <c r="AL186">
        <f>2*(SQRT((Inputs!$C$52+(Scenario_Data!D186))^2+Inputs!$C$52^2-2*(Inputs!$C$52+(Scenario_Data!D186))*Inputs!$C$52*COS(SQRT((Scenario_Data!V186)^2+Inputs!$C$6^2)/Inputs!$C$52))*1000)/Inputs!$C$21*1000000</f>
        <v/>
      </c>
      <c r="AM186">
        <f>Scenario_Data!W186</f>
        <v/>
      </c>
      <c r="AN186">
        <f>2*(SQRT((Inputs!$C$52+(Scenario_Data!E186))^2+Inputs!$C$52^2-2*(Inputs!$C$52+(Scenario_Data!E186))*Inputs!$C$52*COS(SQRT((Scenario_Data!W186)^2+Inputs!$C$6^2)/Inputs!$C$52))*1000)/Inputs!$C$21*1000000</f>
        <v/>
      </c>
      <c r="AP186">
        <f>Scenario_Data!T186</f>
        <v/>
      </c>
      <c r="AQ186">
        <f>2*(SQRT((Inputs!$C$52+(Scenario_Data!B186))^2+(Inputs!$C$52+((IF(OR(Inputs!$C$27=TRUE,Inputs!$C$27="TRUE",Inputs!$C$27=1),1,0)*(Inputs!$C$51*(115*EXP(-(((Inputs!$C$6)-25)^2)/(4.5^2))+70*EXP(-(((Inputs!$C$6)+38)^2)/(7^2))*(0.55+0.45*SIN(2*PI()*(Scenario_Data!T186)/45))+24*SIN(2*PI()*(Inputs!$C$6)/9+(Scenario_Data!T186)/18)*EXP(-(((Inputs!$C$6)+5)^2)/(22^2))+18*SIN(2*PI()*(Scenario_Data!T186)/70))+Inputs!$C$28*EXP(-(((Scenario_Data!T186)-Inputs!$C$29)^2)/(2*Inputs!$C$31^2))*EXP(-(((Inputs!$C$6)-Inputs!$C$30)^2)/(2*Inputs!$C$32^2))+-Inputs!$C$33*EXP(-(((((Scenario_Data!T186)-Inputs!$C$34)^2)+(((Inputs!$C$6)-Inputs!$C$35)^2))/(2*Inputs!$C$36^2)))+Inputs!$C$37*(0.55*SIN(2*PI()*(Scenario_Data!T186)/Inputs!$C$39)+0.35*COS(2*PI()*(Inputs!$C$6)/Inputs!$C$40)+0.2*SIN(2*PI()*((Scenario_Data!T186)+(Inputs!$C$6))/(0.5*(Inputs!$C$39+Inputs!$C$40))))+Inputs!$C$38*SIN(2*PI()*(Scenario_Data!T186)/Inputs!$C$39)*SIN(2*PI()*(Inputs!$C$6)/Inputs!$C$40)+-Inputs!$C$41*EXP(-(((Inputs!$C$6)-Inputs!$C$43)^2)/(2*Inputs!$C$44^2))*EXP(-(((Scenario_Data!T186)-Inputs!$C$42)^2)/(2*Inputs!$C$45^2))+Inputs!$C$48*(0.7*(0.45*SIN(2*PI()*(((Scenario_Data!T186)/Inputs!$C$49)+Inputs!$C$47*0.137))+0.35*COS(2*PI()*(((Inputs!$C$6)/Inputs!$C$50)+Inputs!$C$47*0.173))+0.2*SIN(2*PI()*((((Scenario_Data!T186)+(Inputs!$C$6))/(0.5*(Inputs!$C$49+Inputs!$C$50)))+Inputs!$C$47*0.097)))+0.3*(2*((SIN(((Scenario_Data!T186)*12.9898+(Inputs!$C$6)*78.233+Inputs!$C$47*37.719))*43758.5453)-INT((SIN(((Scenario_Data!T186)*12.9898+(Inputs!$C$6)*78.233+Inputs!$C$47*37.719))*43758.5453)))-1))))/1000))^2-2*(Inputs!$C$52+(Scenario_Data!B186))*(Inputs!$C$52+((IF(OR(Inputs!$C$27=TRUE,Inputs!$C$27="TRUE",Inputs!$C$27=1),1,0)*(Inputs!$C$51*(115*EXP(-(((Inputs!$C$6)-25)^2)/(4.5^2))+70*EXP(-(((Inputs!$C$6)+38)^2)/(7^2))*(0.55+0.45*SIN(2*PI()*(Scenario_Data!T186)/45))+24*SIN(2*PI()*(Inputs!$C$6)/9+(Scenario_Data!T186)/18)*EXP(-(((Inputs!$C$6)+5)^2)/(22^2))+18*SIN(2*PI()*(Scenario_Data!T186)/70))+Inputs!$C$28*EXP(-(((Scenario_Data!T186)-Inputs!$C$29)^2)/(2*Inputs!$C$31^2))*EXP(-(((Inputs!$C$6)-Inputs!$C$30)^2)/(2*Inputs!$C$32^2))+-Inputs!$C$33*EXP(-(((((Scenario_Data!T186)-Inputs!$C$34)^2)+(((Inputs!$C$6)-Inputs!$C$35)^2))/(2*Inputs!$C$36^2)))+Inputs!$C$37*(0.55*SIN(2*PI()*(Scenario_Data!T186)/Inputs!$C$39)+0.35*COS(2*PI()*(Inputs!$C$6)/Inputs!$C$40)+0.2*SIN(2*PI()*((Scenario_Data!T186)+(Inputs!$C$6))/(0.5*(Inputs!$C$39+Inputs!$C$40))))+Inputs!$C$38*SIN(2*PI()*(Scenario_Data!T186)/Inputs!$C$39)*SIN(2*PI()*(Inputs!$C$6)/Inputs!$C$40)+-Inputs!$C$41*EXP(-(((Inputs!$C$6)-Inputs!$C$43)^2)/(2*Inputs!$C$44^2))*EXP(-(((Scenario_Data!T186)-Inputs!$C$42)^2)/(2*Inputs!$C$45^2))+Inputs!$C$48*(0.7*(0.45*SIN(2*PI()*(((Scenario_Data!T186)/Inputs!$C$49)+Inputs!$C$47*0.137))+0.35*COS(2*PI()*(((Inputs!$C$6)/Inputs!$C$50)+Inputs!$C$47*0.173))+0.2*SIN(2*PI()*((((Scenario_Data!T186)+(Inputs!$C$6))/(0.5*(Inputs!$C$49+Inputs!$C$50)))+Inputs!$C$47*0.097)))+0.3*(2*((SIN(((Scenario_Data!T186)*12.9898+(Inputs!$C$6)*78.233+Inputs!$C$47*37.719))*43758.5453)-INT((SIN(((Scenario_Data!T186)*12.9898+(Inputs!$C$6)*78.233+Inputs!$C$47*37.719))*43758.5453)))-1))))/1000))*COS(SQRT((Scenario_Data!T186)^2+Inputs!$C$6^2)/Inputs!$C$52))*1000)/Inputs!$C$21*1000000</f>
        <v/>
      </c>
      <c r="AR186">
        <f>Scenario_Data!U186</f>
        <v/>
      </c>
      <c r="AS186">
        <f>2*(SQRT((Inputs!$C$52+(Scenario_Data!C186))^2+(Inputs!$C$52+((IF(OR(Inputs!$C$27=TRUE,Inputs!$C$27="TRUE",Inputs!$C$27=1),1,0)*(Inputs!$C$51*(115*EXP(-(((Inputs!$C$6)-25)^2)/(4.5^2))+70*EXP(-(((Inputs!$C$6)+38)^2)/(7^2))*(0.55+0.45*SIN(2*PI()*(Scenario_Data!U186)/45))+24*SIN(2*PI()*(Inputs!$C$6)/9+(Scenario_Data!U186)/18)*EXP(-(((Inputs!$C$6)+5)^2)/(22^2))+18*SIN(2*PI()*(Scenario_Data!U186)/70))+Inputs!$C$28*EXP(-(((Scenario_Data!U186)-Inputs!$C$29)^2)/(2*Inputs!$C$31^2))*EXP(-(((Inputs!$C$6)-Inputs!$C$30)^2)/(2*Inputs!$C$32^2))+-Inputs!$C$33*EXP(-(((((Scenario_Data!U186)-Inputs!$C$34)^2)+(((Inputs!$C$6)-Inputs!$C$35)^2))/(2*Inputs!$C$36^2)))+Inputs!$C$37*(0.55*SIN(2*PI()*(Scenario_Data!U186)/Inputs!$C$39)+0.35*COS(2*PI()*(Inputs!$C$6)/Inputs!$C$40)+0.2*SIN(2*PI()*((Scenario_Data!U186)+(Inputs!$C$6))/(0.5*(Inputs!$C$39+Inputs!$C$40))))+Inputs!$C$38*SIN(2*PI()*(Scenario_Data!U186)/Inputs!$C$39)*SIN(2*PI()*(Inputs!$C$6)/Inputs!$C$40)+-Inputs!$C$41*EXP(-(((Inputs!$C$6)-Inputs!$C$43)^2)/(2*Inputs!$C$44^2))*EXP(-(((Scenario_Data!U186)-Inputs!$C$42)^2)/(2*Inputs!$C$45^2))+Inputs!$C$48*(0.7*(0.45*SIN(2*PI()*(((Scenario_Data!U186)/Inputs!$C$49)+Inputs!$C$47*0.137))+0.35*COS(2*PI()*(((Inputs!$C$6)/Inputs!$C$50)+Inputs!$C$47*0.173))+0.2*SIN(2*PI()*((((Scenario_Data!U186)+(Inputs!$C$6))/(0.5*(Inputs!$C$49+Inputs!$C$50)))+Inputs!$C$47*0.097)))+0.3*(2*((SIN(((Scenario_Data!U186)*12.9898+(Inputs!$C$6)*78.233+Inputs!$C$47*37.719))*43758.5453)-INT((SIN(((Scenario_Data!U186)*12.9898+(Inputs!$C$6)*78.233+Inputs!$C$47*37.719))*43758.5453)))-1))))/1000))^2-2*(Inputs!$C$52+(Scenario_Data!C186))*(Inputs!$C$52+((IF(OR(Inputs!$C$27=TRUE,Inputs!$C$27="TRUE",Inputs!$C$27=1),1,0)*(Inputs!$C$51*(115*EXP(-(((Inputs!$C$6)-25)^2)/(4.5^2))+70*EXP(-(((Inputs!$C$6)+38)^2)/(7^2))*(0.55+0.45*SIN(2*PI()*(Scenario_Data!U186)/45))+24*SIN(2*PI()*(Inputs!$C$6)/9+(Scenario_Data!U186)/18)*EXP(-(((Inputs!$C$6)+5)^2)/(22^2))+18*SIN(2*PI()*(Scenario_Data!U186)/70))+Inputs!$C$28*EXP(-(((Scenario_Data!U186)-Inputs!$C$29)^2)/(2*Inputs!$C$31^2))*EXP(-(((Inputs!$C$6)-Inputs!$C$30)^2)/(2*Inputs!$C$32^2))+-Inputs!$C$33*EXP(-(((((Scenario_Data!U186)-Inputs!$C$34)^2)+(((Inputs!$C$6)-Inputs!$C$35)^2))/(2*Inputs!$C$36^2)))+Inputs!$C$37*(0.55*SIN(2*PI()*(Scenario_Data!U186)/Inputs!$C$39)+0.35*COS(2*PI()*(Inputs!$C$6)/Inputs!$C$40)+0.2*SIN(2*PI()*((Scenario_Data!U186)+(Inputs!$C$6))/(0.5*(Inputs!$C$39+Inputs!$C$40))))+Inputs!$C$38*SIN(2*PI()*(Scenario_Data!U186)/Inputs!$C$39)*SIN(2*PI()*(Inputs!$C$6)/Inputs!$C$40)+-Inputs!$C$41*EXP(-(((Inputs!$C$6)-Inputs!$C$43)^2)/(2*Inputs!$C$44^2))*EXP(-(((Scenario_Data!U186)-Inputs!$C$42)^2)/(2*Inputs!$C$45^2))+Inputs!$C$48*(0.7*(0.45*SIN(2*PI()*(((Scenario_Data!U186)/Inputs!$C$49)+Inputs!$C$47*0.137))+0.35*COS(2*PI()*(((Inputs!$C$6)/Inputs!$C$50)+Inputs!$C$47*0.173))+0.2*SIN(2*PI()*((((Scenario_Data!U186)+(Inputs!$C$6))/(0.5*(Inputs!$C$49+Inputs!$C$50)))+Inputs!$C$47*0.097)))+0.3*(2*((SIN(((Scenario_Data!U186)*12.9898+(Inputs!$C$6)*78.233+Inputs!$C$47*37.719))*43758.5453)-INT((SIN(((Scenario_Data!U186)*12.9898+(Inputs!$C$6)*78.233+Inputs!$C$47*37.719))*43758.5453)))-1))))/1000))*COS(SQRT((Scenario_Data!U186)^2+Inputs!$C$6^2)/Inputs!$C$52))*1000)/Inputs!$C$21*1000000</f>
        <v/>
      </c>
      <c r="AT186">
        <f>Scenario_Data!V186</f>
        <v/>
      </c>
      <c r="AU186">
        <f>2*(SQRT((Inputs!$C$52+(Scenario_Data!D186))^2+(Inputs!$C$52+((IF(OR(Inputs!$C$27=TRUE,Inputs!$C$27="TRUE",Inputs!$C$27=1),1,0)*(Inputs!$C$51*(115*EXP(-(((Inputs!$C$6)-25)^2)/(4.5^2))+70*EXP(-(((Inputs!$C$6)+38)^2)/(7^2))*(0.55+0.45*SIN(2*PI()*(Scenario_Data!V186)/45))+24*SIN(2*PI()*(Inputs!$C$6)/9+(Scenario_Data!V186)/18)*EXP(-(((Inputs!$C$6)+5)^2)/(22^2))+18*SIN(2*PI()*(Scenario_Data!V186)/70))+Inputs!$C$28*EXP(-(((Scenario_Data!V186)-Inputs!$C$29)^2)/(2*Inputs!$C$31^2))*EXP(-(((Inputs!$C$6)-Inputs!$C$30)^2)/(2*Inputs!$C$32^2))+-Inputs!$C$33*EXP(-(((((Scenario_Data!V186)-Inputs!$C$34)^2)+(((Inputs!$C$6)-Inputs!$C$35)^2))/(2*Inputs!$C$36^2)))+Inputs!$C$37*(0.55*SIN(2*PI()*(Scenario_Data!V186)/Inputs!$C$39)+0.35*COS(2*PI()*(Inputs!$C$6)/Inputs!$C$40)+0.2*SIN(2*PI()*((Scenario_Data!V186)+(Inputs!$C$6))/(0.5*(Inputs!$C$39+Inputs!$C$40))))+Inputs!$C$38*SIN(2*PI()*(Scenario_Data!V186)/Inputs!$C$39)*SIN(2*PI()*(Inputs!$C$6)/Inputs!$C$40)+-Inputs!$C$41*EXP(-(((Inputs!$C$6)-Inputs!$C$43)^2)/(2*Inputs!$C$44^2))*EXP(-(((Scenario_Data!V186)-Inputs!$C$42)^2)/(2*Inputs!$C$45^2))+Inputs!$C$48*(0.7*(0.45*SIN(2*PI()*(((Scenario_Data!V186)/Inputs!$C$49)+Inputs!$C$47*0.137))+0.35*COS(2*PI()*(((Inputs!$C$6)/Inputs!$C$50)+Inputs!$C$47*0.173))+0.2*SIN(2*PI()*((((Scenario_Data!V186)+(Inputs!$C$6))/(0.5*(Inputs!$C$49+Inputs!$C$50)))+Inputs!$C$47*0.097)))+0.3*(2*((SIN(((Scenario_Data!V186)*12.9898+(Inputs!$C$6)*78.233+Inputs!$C$47*37.719))*43758.5453)-INT((SIN(((Scenario_Data!V186)*12.9898+(Inputs!$C$6)*78.233+Inputs!$C$47*37.719))*43758.5453)))-1))))/1000))^2-2*(Inputs!$C$52+(Scenario_Data!D186))*(Inputs!$C$52+((IF(OR(Inputs!$C$27=TRUE,Inputs!$C$27="TRUE",Inputs!$C$27=1),1,0)*(Inputs!$C$51*(115*EXP(-(((Inputs!$C$6)-25)^2)/(4.5^2))+70*EXP(-(((Inputs!$C$6)+38)^2)/(7^2))*(0.55+0.45*SIN(2*PI()*(Scenario_Data!V186)/45))+24*SIN(2*PI()*(Inputs!$C$6)/9+(Scenario_Data!V186)/18)*EXP(-(((Inputs!$C$6)+5)^2)/(22^2))+18*SIN(2*PI()*(Scenario_Data!V186)/70))+Inputs!$C$28*EXP(-(((Scenario_Data!V186)-Inputs!$C$29)^2)/(2*Inputs!$C$31^2))*EXP(-(((Inputs!$C$6)-Inputs!$C$30)^2)/(2*Inputs!$C$32^2))+-Inputs!$C$33*EXP(-(((((Scenario_Data!V186)-Inputs!$C$34)^2)+(((Inputs!$C$6)-Inputs!$C$35)^2))/(2*Inputs!$C$36^2)))+Inputs!$C$37*(0.55*SIN(2*PI()*(Scenario_Data!V186)/Inputs!$C$39)+0.35*COS(2*PI()*(Inputs!$C$6)/Inputs!$C$40)+0.2*SIN(2*PI()*((Scenario_Data!V186)+(Inputs!$C$6))/(0.5*(Inputs!$C$39+Inputs!$C$40))))+Inputs!$C$38*SIN(2*PI()*(Scenario_Data!V186)/Inputs!$C$39)*SIN(2*PI()*(Inputs!$C$6)/Inputs!$C$40)+-Inputs!$C$41*EXP(-(((Inputs!$C$6)-Inputs!$C$43)^2)/(2*Inputs!$C$44^2))*EXP(-(((Scenario_Data!V186)-Inputs!$C$42)^2)/(2*Inputs!$C$45^2))+Inputs!$C$48*(0.7*(0.45*SIN(2*PI()*(((Scenario_Data!V186)/Inputs!$C$49)+Inputs!$C$47*0.137))+0.35*COS(2*PI()*(((Inputs!$C$6)/Inputs!$C$50)+Inputs!$C$47*0.173))+0.2*SIN(2*PI()*((((Scenario_Data!V186)+(Inputs!$C$6))/(0.5*(Inputs!$C$49+Inputs!$C$50)))+Inputs!$C$47*0.097)))+0.3*(2*((SIN(((Scenario_Data!V186)*12.9898+(Inputs!$C$6)*78.233+Inputs!$C$47*37.719))*43758.5453)-INT((SIN(((Scenario_Data!V186)*12.9898+(Inputs!$C$6)*78.233+Inputs!$C$47*37.719))*43758.5453)))-1))))/1000))*COS(SQRT((Scenario_Data!V186)^2+Inputs!$C$6^2)/Inputs!$C$52))*1000)/Inputs!$C$21*1000000</f>
        <v/>
      </c>
      <c r="AV186">
        <f>Scenario_Data!W186</f>
        <v/>
      </c>
      <c r="AW186">
        <f>2*(SQRT((Inputs!$C$52+(Scenario_Data!E186))^2+(Inputs!$C$52+((IF(OR(Inputs!$C$27=TRUE,Inputs!$C$27="TRUE",Inputs!$C$27=1),1,0)*(Inputs!$C$51*(115*EXP(-(((Inputs!$C$6)-25)^2)/(4.5^2))+70*EXP(-(((Inputs!$C$6)+38)^2)/(7^2))*(0.55+0.45*SIN(2*PI()*(Scenario_Data!W186)/45))+24*SIN(2*PI()*(Inputs!$C$6)/9+(Scenario_Data!W186)/18)*EXP(-(((Inputs!$C$6)+5)^2)/(22^2))+18*SIN(2*PI()*(Scenario_Data!W186)/70))+Inputs!$C$28*EXP(-(((Scenario_Data!W186)-Inputs!$C$29)^2)/(2*Inputs!$C$31^2))*EXP(-(((Inputs!$C$6)-Inputs!$C$30)^2)/(2*Inputs!$C$32^2))+-Inputs!$C$33*EXP(-(((((Scenario_Data!W186)-Inputs!$C$34)^2)+(((Inputs!$C$6)-Inputs!$C$35)^2))/(2*Inputs!$C$36^2)))+Inputs!$C$37*(0.55*SIN(2*PI()*(Scenario_Data!W186)/Inputs!$C$39)+0.35*COS(2*PI()*(Inputs!$C$6)/Inputs!$C$40)+0.2*SIN(2*PI()*((Scenario_Data!W186)+(Inputs!$C$6))/(0.5*(Inputs!$C$39+Inputs!$C$40))))+Inputs!$C$38*SIN(2*PI()*(Scenario_Data!W186)/Inputs!$C$39)*SIN(2*PI()*(Inputs!$C$6)/Inputs!$C$40)+-Inputs!$C$41*EXP(-(((Inputs!$C$6)-Inputs!$C$43)^2)/(2*Inputs!$C$44^2))*EXP(-(((Scenario_Data!W186)-Inputs!$C$42)^2)/(2*Inputs!$C$45^2))+Inputs!$C$48*(0.7*(0.45*SIN(2*PI()*(((Scenario_Data!W186)/Inputs!$C$49)+Inputs!$C$47*0.137))+0.35*COS(2*PI()*(((Inputs!$C$6)/Inputs!$C$50)+Inputs!$C$47*0.173))+0.2*SIN(2*PI()*((((Scenario_Data!W186)+(Inputs!$C$6))/(0.5*(Inputs!$C$49+Inputs!$C$50)))+Inputs!$C$47*0.097)))+0.3*(2*((SIN(((Scenario_Data!W186)*12.9898+(Inputs!$C$6)*78.233+Inputs!$C$47*37.719))*43758.5453)-INT((SIN(((Scenario_Data!W186)*12.9898+(Inputs!$C$6)*78.233+Inputs!$C$47*37.719))*43758.5453)))-1))))/1000))^2-2*(Inputs!$C$52+(Scenario_Data!E186))*(Inputs!$C$52+((IF(OR(Inputs!$C$27=TRUE,Inputs!$C$27="TRUE",Inputs!$C$27=1),1,0)*(Inputs!$C$51*(115*EXP(-(((Inputs!$C$6)-25)^2)/(4.5^2))+70*EXP(-(((Inputs!$C$6)+38)^2)/(7^2))*(0.55+0.45*SIN(2*PI()*(Scenario_Data!W186)/45))+24*SIN(2*PI()*(Inputs!$C$6)/9+(Scenario_Data!W186)/18)*EXP(-(((Inputs!$C$6)+5)^2)/(22^2))+18*SIN(2*PI()*(Scenario_Data!W186)/70))+Inputs!$C$28*EXP(-(((Scenario_Data!W186)-Inputs!$C$29)^2)/(2*Inputs!$C$31^2))*EXP(-(((Inputs!$C$6)-Inputs!$C$30)^2)/(2*Inputs!$C$32^2))+-Inputs!$C$33*EXP(-(((((Scenario_Data!W186)-Inputs!$C$34)^2)+(((Inputs!$C$6)-Inputs!$C$35)^2))/(2*Inputs!$C$36^2)))+Inputs!$C$37*(0.55*SIN(2*PI()*(Scenario_Data!W186)/Inputs!$C$39)+0.35*COS(2*PI()*(Inputs!$C$6)/Inputs!$C$40)+0.2*SIN(2*PI()*((Scenario_Data!W186)+(Inputs!$C$6))/(0.5*(Inputs!$C$39+Inputs!$C$40))))+Inputs!$C$38*SIN(2*PI()*(Scenario_Data!W186)/Inputs!$C$39)*SIN(2*PI()*(Inputs!$C$6)/Inputs!$C$40)+-Inputs!$C$41*EXP(-(((Inputs!$C$6)-Inputs!$C$43)^2)/(2*Inputs!$C$44^2))*EXP(-(((Scenario_Data!W186)-Inputs!$C$42)^2)/(2*Inputs!$C$45^2))+Inputs!$C$48*(0.7*(0.45*SIN(2*PI()*(((Scenario_Data!W186)/Inputs!$C$49)+Inputs!$C$47*0.137))+0.35*COS(2*PI()*(((Inputs!$C$6)/Inputs!$C$50)+Inputs!$C$47*0.173))+0.2*SIN(2*PI()*((((Scenario_Data!W186)+(Inputs!$C$6))/(0.5*(Inputs!$C$49+Inputs!$C$50)))+Inputs!$C$47*0.097)))+0.3*(2*((SIN(((Scenario_Data!W186)*12.9898+(Inputs!$C$6)*78.233+Inputs!$C$47*37.719))*43758.5453)-INT((SIN(((Scenario_Data!W186)*12.9898+(Inputs!$C$6)*78.233+Inputs!$C$47*37.719))*43758.5453)))-1))))/1000))*COS(SQRT((Scenario_Data!W186)^2+Inputs!$C$6^2)/Inputs!$C$52))*1000)/Inputs!$C$21*1000000</f>
        <v/>
      </c>
    </row>
    <row r="187">
      <c r="A187">
        <f>Chart_Data!K187</f>
        <v/>
      </c>
      <c r="B187">
        <f>Chart_Data!N187-Chart_Data!L187</f>
        <v/>
      </c>
      <c r="D187">
        <f>Chart_Data!G187</f>
        <v/>
      </c>
      <c r="E187">
        <f>Chart_Data!H187</f>
        <v/>
      </c>
      <c r="F187">
        <f>Chart_Data!I187</f>
        <v/>
      </c>
      <c r="G187">
        <f>Chart_Data!J187</f>
        <v/>
      </c>
      <c r="I187">
        <f>Scenario_Data!A187</f>
        <v/>
      </c>
      <c r="J187">
        <f>Scenario_Data!H187-(((SQRT((Inputs!$C$52+(Inputs!$H$6))^2+Inputs!$C$52^2-2*(Inputs!$C$52+(Inputs!$H$6))*Inputs!$C$52*COS(SQRT((Scenario_Data!T187)^2+Inputs!$C$6^2)/Inputs!$C$52)))-(Inputs!$H$6))*1000/Inputs!$C$12)</f>
        <v/>
      </c>
      <c r="K187">
        <f>Scenario_Data!I187-(((SQRT((Inputs!$C$52+(Inputs!$H$7))^2+Inputs!$C$52^2-2*(Inputs!$C$52+(Inputs!$H$7))*Inputs!$C$52*COS(SQRT((Scenario_Data!U187)^2+Inputs!$C$6^2)/Inputs!$C$52)))-(Inputs!$H$7))*1000/Inputs!$C$12)</f>
        <v/>
      </c>
      <c r="L187">
        <f>Scenario_Data!J187-(((SQRT((Inputs!$C$52+(Inputs!$H$8))^2+Inputs!$C$52^2-2*(Inputs!$C$52+(Inputs!$H$8))*Inputs!$C$52*COS(SQRT((Scenario_Data!V187)^2+Inputs!$C$6^2)/Inputs!$C$52)))-(Inputs!$H$8))*1000/Inputs!$C$12)</f>
        <v/>
      </c>
      <c r="M187">
        <f>Scenario_Data!K187-(((SQRT((Inputs!$C$52+(Inputs!$H$9))^2+Inputs!$C$52^2-2*(Inputs!$C$52+(Inputs!$H$9))*Inputs!$C$52*COS(SQRT((Scenario_Data!W187)^2+Inputs!$C$6^2)/Inputs!$C$52)))-(Inputs!$H$9))*1000/Inputs!$C$12)</f>
        <v/>
      </c>
      <c r="O187">
        <f>Scenario_Data!T187</f>
        <v/>
      </c>
      <c r="P187">
        <f>2*(Scenario_Data!B187*1000)/Inputs!$C$21*1000000</f>
        <v/>
      </c>
      <c r="Q187">
        <f>Scenario_Data!U187</f>
        <v/>
      </c>
      <c r="R187">
        <f>2*(Scenario_Data!C187*1000)/Inputs!$C$21*1000000</f>
        <v/>
      </c>
      <c r="S187">
        <f>Scenario_Data!V187</f>
        <v/>
      </c>
      <c r="T187">
        <f>2*(Scenario_Data!D187*1000)/Inputs!$C$21*1000000</f>
        <v/>
      </c>
      <c r="U187">
        <f>Scenario_Data!W187</f>
        <v/>
      </c>
      <c r="V187">
        <f>2*(Scenario_Data!E187*1000)/Inputs!$C$21*1000000</f>
        <v/>
      </c>
      <c r="X187">
        <f>Scenario_Data!T187</f>
        <v/>
      </c>
      <c r="Y187">
        <f>2*((Scenario_Data!B187*1000)-(IF(OR(Inputs!$C$27=TRUE,Inputs!$C$27="TRUE",Inputs!$C$27=1),1,0)*(Inputs!$C$51*(115*EXP(-(((0)-25)^2)/(4.5^2))+70*EXP(-(((0)+38)^2)/(7^2))*(0.55+0.45*SIN(2*PI()*(Scenario_Data!T187)/45))+24*SIN(2*PI()*(0)/9+(Scenario_Data!T187)/18)*EXP(-(((0)+5)^2)/(22^2))+18*SIN(2*PI()*(Scenario_Data!T187)/70))+Inputs!$C$28*EXP(-(((Scenario_Data!T187)-Inputs!$C$29)^2)/(2*Inputs!$C$31^2))*EXP(-(((0)-Inputs!$C$30)^2)/(2*Inputs!$C$32^2))+-Inputs!$C$33*EXP(-(((((Scenario_Data!T187)-Inputs!$C$34)^2)+(((0)-Inputs!$C$35)^2))/(2*Inputs!$C$36^2)))+Inputs!$C$37*(0.55*SIN(2*PI()*(Scenario_Data!T187)/Inputs!$C$39)+0.35*COS(2*PI()*(0)/Inputs!$C$40)+0.2*SIN(2*PI()*((Scenario_Data!T187)+(0))/(0.5*(Inputs!$C$39+Inputs!$C$40))))+Inputs!$C$38*SIN(2*PI()*(Scenario_Data!T187)/Inputs!$C$39)*SIN(2*PI()*(0)/Inputs!$C$40)+-Inputs!$C$41*EXP(-(((0)-Inputs!$C$43)^2)/(2*Inputs!$C$44^2))*EXP(-(((Scenario_Data!T187)-Inputs!$C$42)^2)/(2*Inputs!$C$45^2))+Inputs!$C$48*(0.7*(0.45*SIN(2*PI()*(((Scenario_Data!T187)/Inputs!$C$49)+Inputs!$C$47*0.137))+0.35*COS(2*PI()*(((0)/Inputs!$C$50)+Inputs!$C$47*0.173))+0.2*SIN(2*PI()*((((Scenario_Data!T187)+(0))/(0.5*(Inputs!$C$49+Inputs!$C$50)))+Inputs!$C$47*0.097)))+0.3*(2*((SIN(((Scenario_Data!T187)*12.9898+(0)*78.233+Inputs!$C$47*37.719))*43758.5453)-INT((SIN(((Scenario_Data!T187)*12.9898+(0)*78.233+Inputs!$C$47*37.719))*43758.5453)))-1)))))/Inputs!$C$21*1000000</f>
        <v/>
      </c>
      <c r="Z187">
        <f>Scenario_Data!U187</f>
        <v/>
      </c>
      <c r="AA187">
        <f>2*((Scenario_Data!C187*1000)-(IF(OR(Inputs!$C$27=TRUE,Inputs!$C$27="TRUE",Inputs!$C$27=1),1,0)*(Inputs!$C$51*(115*EXP(-(((0)-25)^2)/(4.5^2))+70*EXP(-(((0)+38)^2)/(7^2))*(0.55+0.45*SIN(2*PI()*(Scenario_Data!U187)/45))+24*SIN(2*PI()*(0)/9+(Scenario_Data!U187)/18)*EXP(-(((0)+5)^2)/(22^2))+18*SIN(2*PI()*(Scenario_Data!U187)/70))+Inputs!$C$28*EXP(-(((Scenario_Data!U187)-Inputs!$C$29)^2)/(2*Inputs!$C$31^2))*EXP(-(((0)-Inputs!$C$30)^2)/(2*Inputs!$C$32^2))+-Inputs!$C$33*EXP(-(((((Scenario_Data!U187)-Inputs!$C$34)^2)+(((0)-Inputs!$C$35)^2))/(2*Inputs!$C$36^2)))+Inputs!$C$37*(0.55*SIN(2*PI()*(Scenario_Data!U187)/Inputs!$C$39)+0.35*COS(2*PI()*(0)/Inputs!$C$40)+0.2*SIN(2*PI()*((Scenario_Data!U187)+(0))/(0.5*(Inputs!$C$39+Inputs!$C$40))))+Inputs!$C$38*SIN(2*PI()*(Scenario_Data!U187)/Inputs!$C$39)*SIN(2*PI()*(0)/Inputs!$C$40)+-Inputs!$C$41*EXP(-(((0)-Inputs!$C$43)^2)/(2*Inputs!$C$44^2))*EXP(-(((Scenario_Data!U187)-Inputs!$C$42)^2)/(2*Inputs!$C$45^2))+Inputs!$C$48*(0.7*(0.45*SIN(2*PI()*(((Scenario_Data!U187)/Inputs!$C$49)+Inputs!$C$47*0.137))+0.35*COS(2*PI()*(((0)/Inputs!$C$50)+Inputs!$C$47*0.173))+0.2*SIN(2*PI()*((((Scenario_Data!U187)+(0))/(0.5*(Inputs!$C$49+Inputs!$C$50)))+Inputs!$C$47*0.097)))+0.3*(2*((SIN(((Scenario_Data!U187)*12.9898+(0)*78.233+Inputs!$C$47*37.719))*43758.5453)-INT((SIN(((Scenario_Data!U187)*12.9898+(0)*78.233+Inputs!$C$47*37.719))*43758.5453)))-1)))))/Inputs!$C$21*1000000</f>
        <v/>
      </c>
      <c r="AB187">
        <f>Scenario_Data!V187</f>
        <v/>
      </c>
      <c r="AC187">
        <f>2*((Scenario_Data!D187*1000)-(IF(OR(Inputs!$C$27=TRUE,Inputs!$C$27="TRUE",Inputs!$C$27=1),1,0)*(Inputs!$C$51*(115*EXP(-(((0)-25)^2)/(4.5^2))+70*EXP(-(((0)+38)^2)/(7^2))*(0.55+0.45*SIN(2*PI()*(Scenario_Data!V187)/45))+24*SIN(2*PI()*(0)/9+(Scenario_Data!V187)/18)*EXP(-(((0)+5)^2)/(22^2))+18*SIN(2*PI()*(Scenario_Data!V187)/70))+Inputs!$C$28*EXP(-(((Scenario_Data!V187)-Inputs!$C$29)^2)/(2*Inputs!$C$31^2))*EXP(-(((0)-Inputs!$C$30)^2)/(2*Inputs!$C$32^2))+-Inputs!$C$33*EXP(-(((((Scenario_Data!V187)-Inputs!$C$34)^2)+(((0)-Inputs!$C$35)^2))/(2*Inputs!$C$36^2)))+Inputs!$C$37*(0.55*SIN(2*PI()*(Scenario_Data!V187)/Inputs!$C$39)+0.35*COS(2*PI()*(0)/Inputs!$C$40)+0.2*SIN(2*PI()*((Scenario_Data!V187)+(0))/(0.5*(Inputs!$C$39+Inputs!$C$40))))+Inputs!$C$38*SIN(2*PI()*(Scenario_Data!V187)/Inputs!$C$39)*SIN(2*PI()*(0)/Inputs!$C$40)+-Inputs!$C$41*EXP(-(((0)-Inputs!$C$43)^2)/(2*Inputs!$C$44^2))*EXP(-(((Scenario_Data!V187)-Inputs!$C$42)^2)/(2*Inputs!$C$45^2))+Inputs!$C$48*(0.7*(0.45*SIN(2*PI()*(((Scenario_Data!V187)/Inputs!$C$49)+Inputs!$C$47*0.137))+0.35*COS(2*PI()*(((0)/Inputs!$C$50)+Inputs!$C$47*0.173))+0.2*SIN(2*PI()*((((Scenario_Data!V187)+(0))/(0.5*(Inputs!$C$49+Inputs!$C$50)))+Inputs!$C$47*0.097)))+0.3*(2*((SIN(((Scenario_Data!V187)*12.9898+(0)*78.233+Inputs!$C$47*37.719))*43758.5453)-INT((SIN(((Scenario_Data!V187)*12.9898+(0)*78.233+Inputs!$C$47*37.719))*43758.5453)))-1)))))/Inputs!$C$21*1000000</f>
        <v/>
      </c>
      <c r="AD187">
        <f>Scenario_Data!W187</f>
        <v/>
      </c>
      <c r="AE187">
        <f>2*((Scenario_Data!E187*1000)-(IF(OR(Inputs!$C$27=TRUE,Inputs!$C$27="TRUE",Inputs!$C$27=1),1,0)*(Inputs!$C$51*(115*EXP(-(((0)-25)^2)/(4.5^2))+70*EXP(-(((0)+38)^2)/(7^2))*(0.55+0.45*SIN(2*PI()*(Scenario_Data!W187)/45))+24*SIN(2*PI()*(0)/9+(Scenario_Data!W187)/18)*EXP(-(((0)+5)^2)/(22^2))+18*SIN(2*PI()*(Scenario_Data!W187)/70))+Inputs!$C$28*EXP(-(((Scenario_Data!W187)-Inputs!$C$29)^2)/(2*Inputs!$C$31^2))*EXP(-(((0)-Inputs!$C$30)^2)/(2*Inputs!$C$32^2))+-Inputs!$C$33*EXP(-(((((Scenario_Data!W187)-Inputs!$C$34)^2)+(((0)-Inputs!$C$35)^2))/(2*Inputs!$C$36^2)))+Inputs!$C$37*(0.55*SIN(2*PI()*(Scenario_Data!W187)/Inputs!$C$39)+0.35*COS(2*PI()*(0)/Inputs!$C$40)+0.2*SIN(2*PI()*((Scenario_Data!W187)+(0))/(0.5*(Inputs!$C$39+Inputs!$C$40))))+Inputs!$C$38*SIN(2*PI()*(Scenario_Data!W187)/Inputs!$C$39)*SIN(2*PI()*(0)/Inputs!$C$40)+-Inputs!$C$41*EXP(-(((0)-Inputs!$C$43)^2)/(2*Inputs!$C$44^2))*EXP(-(((Scenario_Data!W187)-Inputs!$C$42)^2)/(2*Inputs!$C$45^2))+Inputs!$C$48*(0.7*(0.45*SIN(2*PI()*(((Scenario_Data!W187)/Inputs!$C$49)+Inputs!$C$47*0.137))+0.35*COS(2*PI()*(((0)/Inputs!$C$50)+Inputs!$C$47*0.173))+0.2*SIN(2*PI()*((((Scenario_Data!W187)+(0))/(0.5*(Inputs!$C$49+Inputs!$C$50)))+Inputs!$C$47*0.097)))+0.3*(2*((SIN(((Scenario_Data!W187)*12.9898+(0)*78.233+Inputs!$C$47*37.719))*43758.5453)-INT((SIN(((Scenario_Data!W187)*12.9898+(0)*78.233+Inputs!$C$47*37.719))*43758.5453)))-1)))))/Inputs!$C$21*1000000</f>
        <v/>
      </c>
      <c r="AG187">
        <f>Scenario_Data!T187</f>
        <v/>
      </c>
      <c r="AH187">
        <f>2*(SQRT((Inputs!$C$52+(Scenario_Data!B187))^2+Inputs!$C$52^2-2*(Inputs!$C$52+(Scenario_Data!B187))*Inputs!$C$52*COS(SQRT((Scenario_Data!T187)^2+Inputs!$C$6^2)/Inputs!$C$52))*1000)/Inputs!$C$21*1000000</f>
        <v/>
      </c>
      <c r="AI187">
        <f>Scenario_Data!U187</f>
        <v/>
      </c>
      <c r="AJ187">
        <f>2*(SQRT((Inputs!$C$52+(Scenario_Data!C187))^2+Inputs!$C$52^2-2*(Inputs!$C$52+(Scenario_Data!C187))*Inputs!$C$52*COS(SQRT((Scenario_Data!U187)^2+Inputs!$C$6^2)/Inputs!$C$52))*1000)/Inputs!$C$21*1000000</f>
        <v/>
      </c>
      <c r="AK187">
        <f>Scenario_Data!V187</f>
        <v/>
      </c>
      <c r="AL187">
        <f>2*(SQRT((Inputs!$C$52+(Scenario_Data!D187))^2+Inputs!$C$52^2-2*(Inputs!$C$52+(Scenario_Data!D187))*Inputs!$C$52*COS(SQRT((Scenario_Data!V187)^2+Inputs!$C$6^2)/Inputs!$C$52))*1000)/Inputs!$C$21*1000000</f>
        <v/>
      </c>
      <c r="AM187">
        <f>Scenario_Data!W187</f>
        <v/>
      </c>
      <c r="AN187">
        <f>2*(SQRT((Inputs!$C$52+(Scenario_Data!E187))^2+Inputs!$C$52^2-2*(Inputs!$C$52+(Scenario_Data!E187))*Inputs!$C$52*COS(SQRT((Scenario_Data!W187)^2+Inputs!$C$6^2)/Inputs!$C$52))*1000)/Inputs!$C$21*1000000</f>
        <v/>
      </c>
      <c r="AP187">
        <f>Scenario_Data!T187</f>
        <v/>
      </c>
      <c r="AQ187">
        <f>2*(SQRT((Inputs!$C$52+(Scenario_Data!B187))^2+(Inputs!$C$52+((IF(OR(Inputs!$C$27=TRUE,Inputs!$C$27="TRUE",Inputs!$C$27=1),1,0)*(Inputs!$C$51*(115*EXP(-(((Inputs!$C$6)-25)^2)/(4.5^2))+70*EXP(-(((Inputs!$C$6)+38)^2)/(7^2))*(0.55+0.45*SIN(2*PI()*(Scenario_Data!T187)/45))+24*SIN(2*PI()*(Inputs!$C$6)/9+(Scenario_Data!T187)/18)*EXP(-(((Inputs!$C$6)+5)^2)/(22^2))+18*SIN(2*PI()*(Scenario_Data!T187)/70))+Inputs!$C$28*EXP(-(((Scenario_Data!T187)-Inputs!$C$29)^2)/(2*Inputs!$C$31^2))*EXP(-(((Inputs!$C$6)-Inputs!$C$30)^2)/(2*Inputs!$C$32^2))+-Inputs!$C$33*EXP(-(((((Scenario_Data!T187)-Inputs!$C$34)^2)+(((Inputs!$C$6)-Inputs!$C$35)^2))/(2*Inputs!$C$36^2)))+Inputs!$C$37*(0.55*SIN(2*PI()*(Scenario_Data!T187)/Inputs!$C$39)+0.35*COS(2*PI()*(Inputs!$C$6)/Inputs!$C$40)+0.2*SIN(2*PI()*((Scenario_Data!T187)+(Inputs!$C$6))/(0.5*(Inputs!$C$39+Inputs!$C$40))))+Inputs!$C$38*SIN(2*PI()*(Scenario_Data!T187)/Inputs!$C$39)*SIN(2*PI()*(Inputs!$C$6)/Inputs!$C$40)+-Inputs!$C$41*EXP(-(((Inputs!$C$6)-Inputs!$C$43)^2)/(2*Inputs!$C$44^2))*EXP(-(((Scenario_Data!T187)-Inputs!$C$42)^2)/(2*Inputs!$C$45^2))+Inputs!$C$48*(0.7*(0.45*SIN(2*PI()*(((Scenario_Data!T187)/Inputs!$C$49)+Inputs!$C$47*0.137))+0.35*COS(2*PI()*(((Inputs!$C$6)/Inputs!$C$50)+Inputs!$C$47*0.173))+0.2*SIN(2*PI()*((((Scenario_Data!T187)+(Inputs!$C$6))/(0.5*(Inputs!$C$49+Inputs!$C$50)))+Inputs!$C$47*0.097)))+0.3*(2*((SIN(((Scenario_Data!T187)*12.9898+(Inputs!$C$6)*78.233+Inputs!$C$47*37.719))*43758.5453)-INT((SIN(((Scenario_Data!T187)*12.9898+(Inputs!$C$6)*78.233+Inputs!$C$47*37.719))*43758.5453)))-1))))/1000))^2-2*(Inputs!$C$52+(Scenario_Data!B187))*(Inputs!$C$52+((IF(OR(Inputs!$C$27=TRUE,Inputs!$C$27="TRUE",Inputs!$C$27=1),1,0)*(Inputs!$C$51*(115*EXP(-(((Inputs!$C$6)-25)^2)/(4.5^2))+70*EXP(-(((Inputs!$C$6)+38)^2)/(7^2))*(0.55+0.45*SIN(2*PI()*(Scenario_Data!T187)/45))+24*SIN(2*PI()*(Inputs!$C$6)/9+(Scenario_Data!T187)/18)*EXP(-(((Inputs!$C$6)+5)^2)/(22^2))+18*SIN(2*PI()*(Scenario_Data!T187)/70))+Inputs!$C$28*EXP(-(((Scenario_Data!T187)-Inputs!$C$29)^2)/(2*Inputs!$C$31^2))*EXP(-(((Inputs!$C$6)-Inputs!$C$30)^2)/(2*Inputs!$C$32^2))+-Inputs!$C$33*EXP(-(((((Scenario_Data!T187)-Inputs!$C$34)^2)+(((Inputs!$C$6)-Inputs!$C$35)^2))/(2*Inputs!$C$36^2)))+Inputs!$C$37*(0.55*SIN(2*PI()*(Scenario_Data!T187)/Inputs!$C$39)+0.35*COS(2*PI()*(Inputs!$C$6)/Inputs!$C$40)+0.2*SIN(2*PI()*((Scenario_Data!T187)+(Inputs!$C$6))/(0.5*(Inputs!$C$39+Inputs!$C$40))))+Inputs!$C$38*SIN(2*PI()*(Scenario_Data!T187)/Inputs!$C$39)*SIN(2*PI()*(Inputs!$C$6)/Inputs!$C$40)+-Inputs!$C$41*EXP(-(((Inputs!$C$6)-Inputs!$C$43)^2)/(2*Inputs!$C$44^2))*EXP(-(((Scenario_Data!T187)-Inputs!$C$42)^2)/(2*Inputs!$C$45^2))+Inputs!$C$48*(0.7*(0.45*SIN(2*PI()*(((Scenario_Data!T187)/Inputs!$C$49)+Inputs!$C$47*0.137))+0.35*COS(2*PI()*(((Inputs!$C$6)/Inputs!$C$50)+Inputs!$C$47*0.173))+0.2*SIN(2*PI()*((((Scenario_Data!T187)+(Inputs!$C$6))/(0.5*(Inputs!$C$49+Inputs!$C$50)))+Inputs!$C$47*0.097)))+0.3*(2*((SIN(((Scenario_Data!T187)*12.9898+(Inputs!$C$6)*78.233+Inputs!$C$47*37.719))*43758.5453)-INT((SIN(((Scenario_Data!T187)*12.9898+(Inputs!$C$6)*78.233+Inputs!$C$47*37.719))*43758.5453)))-1))))/1000))*COS(SQRT((Scenario_Data!T187)^2+Inputs!$C$6^2)/Inputs!$C$52))*1000)/Inputs!$C$21*1000000</f>
        <v/>
      </c>
      <c r="AR187">
        <f>Scenario_Data!U187</f>
        <v/>
      </c>
      <c r="AS187">
        <f>2*(SQRT((Inputs!$C$52+(Scenario_Data!C187))^2+(Inputs!$C$52+((IF(OR(Inputs!$C$27=TRUE,Inputs!$C$27="TRUE",Inputs!$C$27=1),1,0)*(Inputs!$C$51*(115*EXP(-(((Inputs!$C$6)-25)^2)/(4.5^2))+70*EXP(-(((Inputs!$C$6)+38)^2)/(7^2))*(0.55+0.45*SIN(2*PI()*(Scenario_Data!U187)/45))+24*SIN(2*PI()*(Inputs!$C$6)/9+(Scenario_Data!U187)/18)*EXP(-(((Inputs!$C$6)+5)^2)/(22^2))+18*SIN(2*PI()*(Scenario_Data!U187)/70))+Inputs!$C$28*EXP(-(((Scenario_Data!U187)-Inputs!$C$29)^2)/(2*Inputs!$C$31^2))*EXP(-(((Inputs!$C$6)-Inputs!$C$30)^2)/(2*Inputs!$C$32^2))+-Inputs!$C$33*EXP(-(((((Scenario_Data!U187)-Inputs!$C$34)^2)+(((Inputs!$C$6)-Inputs!$C$35)^2))/(2*Inputs!$C$36^2)))+Inputs!$C$37*(0.55*SIN(2*PI()*(Scenario_Data!U187)/Inputs!$C$39)+0.35*COS(2*PI()*(Inputs!$C$6)/Inputs!$C$40)+0.2*SIN(2*PI()*((Scenario_Data!U187)+(Inputs!$C$6))/(0.5*(Inputs!$C$39+Inputs!$C$40))))+Inputs!$C$38*SIN(2*PI()*(Scenario_Data!U187)/Inputs!$C$39)*SIN(2*PI()*(Inputs!$C$6)/Inputs!$C$40)+-Inputs!$C$41*EXP(-(((Inputs!$C$6)-Inputs!$C$43)^2)/(2*Inputs!$C$44^2))*EXP(-(((Scenario_Data!U187)-Inputs!$C$42)^2)/(2*Inputs!$C$45^2))+Inputs!$C$48*(0.7*(0.45*SIN(2*PI()*(((Scenario_Data!U187)/Inputs!$C$49)+Inputs!$C$47*0.137))+0.35*COS(2*PI()*(((Inputs!$C$6)/Inputs!$C$50)+Inputs!$C$47*0.173))+0.2*SIN(2*PI()*((((Scenario_Data!U187)+(Inputs!$C$6))/(0.5*(Inputs!$C$49+Inputs!$C$50)))+Inputs!$C$47*0.097)))+0.3*(2*((SIN(((Scenario_Data!U187)*12.9898+(Inputs!$C$6)*78.233+Inputs!$C$47*37.719))*43758.5453)-INT((SIN(((Scenario_Data!U187)*12.9898+(Inputs!$C$6)*78.233+Inputs!$C$47*37.719))*43758.5453)))-1))))/1000))^2-2*(Inputs!$C$52+(Scenario_Data!C187))*(Inputs!$C$52+((IF(OR(Inputs!$C$27=TRUE,Inputs!$C$27="TRUE",Inputs!$C$27=1),1,0)*(Inputs!$C$51*(115*EXP(-(((Inputs!$C$6)-25)^2)/(4.5^2))+70*EXP(-(((Inputs!$C$6)+38)^2)/(7^2))*(0.55+0.45*SIN(2*PI()*(Scenario_Data!U187)/45))+24*SIN(2*PI()*(Inputs!$C$6)/9+(Scenario_Data!U187)/18)*EXP(-(((Inputs!$C$6)+5)^2)/(22^2))+18*SIN(2*PI()*(Scenario_Data!U187)/70))+Inputs!$C$28*EXP(-(((Scenario_Data!U187)-Inputs!$C$29)^2)/(2*Inputs!$C$31^2))*EXP(-(((Inputs!$C$6)-Inputs!$C$30)^2)/(2*Inputs!$C$32^2))+-Inputs!$C$33*EXP(-(((((Scenario_Data!U187)-Inputs!$C$34)^2)+(((Inputs!$C$6)-Inputs!$C$35)^2))/(2*Inputs!$C$36^2)))+Inputs!$C$37*(0.55*SIN(2*PI()*(Scenario_Data!U187)/Inputs!$C$39)+0.35*COS(2*PI()*(Inputs!$C$6)/Inputs!$C$40)+0.2*SIN(2*PI()*((Scenario_Data!U187)+(Inputs!$C$6))/(0.5*(Inputs!$C$39+Inputs!$C$40))))+Inputs!$C$38*SIN(2*PI()*(Scenario_Data!U187)/Inputs!$C$39)*SIN(2*PI()*(Inputs!$C$6)/Inputs!$C$40)+-Inputs!$C$41*EXP(-(((Inputs!$C$6)-Inputs!$C$43)^2)/(2*Inputs!$C$44^2))*EXP(-(((Scenario_Data!U187)-Inputs!$C$42)^2)/(2*Inputs!$C$45^2))+Inputs!$C$48*(0.7*(0.45*SIN(2*PI()*(((Scenario_Data!U187)/Inputs!$C$49)+Inputs!$C$47*0.137))+0.35*COS(2*PI()*(((Inputs!$C$6)/Inputs!$C$50)+Inputs!$C$47*0.173))+0.2*SIN(2*PI()*((((Scenario_Data!U187)+(Inputs!$C$6))/(0.5*(Inputs!$C$49+Inputs!$C$50)))+Inputs!$C$47*0.097)))+0.3*(2*((SIN(((Scenario_Data!U187)*12.9898+(Inputs!$C$6)*78.233+Inputs!$C$47*37.719))*43758.5453)-INT((SIN(((Scenario_Data!U187)*12.9898+(Inputs!$C$6)*78.233+Inputs!$C$47*37.719))*43758.5453)))-1))))/1000))*COS(SQRT((Scenario_Data!U187)^2+Inputs!$C$6^2)/Inputs!$C$52))*1000)/Inputs!$C$21*1000000</f>
        <v/>
      </c>
      <c r="AT187">
        <f>Scenario_Data!V187</f>
        <v/>
      </c>
      <c r="AU187">
        <f>2*(SQRT((Inputs!$C$52+(Scenario_Data!D187))^2+(Inputs!$C$52+((IF(OR(Inputs!$C$27=TRUE,Inputs!$C$27="TRUE",Inputs!$C$27=1),1,0)*(Inputs!$C$51*(115*EXP(-(((Inputs!$C$6)-25)^2)/(4.5^2))+70*EXP(-(((Inputs!$C$6)+38)^2)/(7^2))*(0.55+0.45*SIN(2*PI()*(Scenario_Data!V187)/45))+24*SIN(2*PI()*(Inputs!$C$6)/9+(Scenario_Data!V187)/18)*EXP(-(((Inputs!$C$6)+5)^2)/(22^2))+18*SIN(2*PI()*(Scenario_Data!V187)/70))+Inputs!$C$28*EXP(-(((Scenario_Data!V187)-Inputs!$C$29)^2)/(2*Inputs!$C$31^2))*EXP(-(((Inputs!$C$6)-Inputs!$C$30)^2)/(2*Inputs!$C$32^2))+-Inputs!$C$33*EXP(-(((((Scenario_Data!V187)-Inputs!$C$34)^2)+(((Inputs!$C$6)-Inputs!$C$35)^2))/(2*Inputs!$C$36^2)))+Inputs!$C$37*(0.55*SIN(2*PI()*(Scenario_Data!V187)/Inputs!$C$39)+0.35*COS(2*PI()*(Inputs!$C$6)/Inputs!$C$40)+0.2*SIN(2*PI()*((Scenario_Data!V187)+(Inputs!$C$6))/(0.5*(Inputs!$C$39+Inputs!$C$40))))+Inputs!$C$38*SIN(2*PI()*(Scenario_Data!V187)/Inputs!$C$39)*SIN(2*PI()*(Inputs!$C$6)/Inputs!$C$40)+-Inputs!$C$41*EXP(-(((Inputs!$C$6)-Inputs!$C$43)^2)/(2*Inputs!$C$44^2))*EXP(-(((Scenario_Data!V187)-Inputs!$C$42)^2)/(2*Inputs!$C$45^2))+Inputs!$C$48*(0.7*(0.45*SIN(2*PI()*(((Scenario_Data!V187)/Inputs!$C$49)+Inputs!$C$47*0.137))+0.35*COS(2*PI()*(((Inputs!$C$6)/Inputs!$C$50)+Inputs!$C$47*0.173))+0.2*SIN(2*PI()*((((Scenario_Data!V187)+(Inputs!$C$6))/(0.5*(Inputs!$C$49+Inputs!$C$50)))+Inputs!$C$47*0.097)))+0.3*(2*((SIN(((Scenario_Data!V187)*12.9898+(Inputs!$C$6)*78.233+Inputs!$C$47*37.719))*43758.5453)-INT((SIN(((Scenario_Data!V187)*12.9898+(Inputs!$C$6)*78.233+Inputs!$C$47*37.719))*43758.5453)))-1))))/1000))^2-2*(Inputs!$C$52+(Scenario_Data!D187))*(Inputs!$C$52+((IF(OR(Inputs!$C$27=TRUE,Inputs!$C$27="TRUE",Inputs!$C$27=1),1,0)*(Inputs!$C$51*(115*EXP(-(((Inputs!$C$6)-25)^2)/(4.5^2))+70*EXP(-(((Inputs!$C$6)+38)^2)/(7^2))*(0.55+0.45*SIN(2*PI()*(Scenario_Data!V187)/45))+24*SIN(2*PI()*(Inputs!$C$6)/9+(Scenario_Data!V187)/18)*EXP(-(((Inputs!$C$6)+5)^2)/(22^2))+18*SIN(2*PI()*(Scenario_Data!V187)/70))+Inputs!$C$28*EXP(-(((Scenario_Data!V187)-Inputs!$C$29)^2)/(2*Inputs!$C$31^2))*EXP(-(((Inputs!$C$6)-Inputs!$C$30)^2)/(2*Inputs!$C$32^2))+-Inputs!$C$33*EXP(-(((((Scenario_Data!V187)-Inputs!$C$34)^2)+(((Inputs!$C$6)-Inputs!$C$35)^2))/(2*Inputs!$C$36^2)))+Inputs!$C$37*(0.55*SIN(2*PI()*(Scenario_Data!V187)/Inputs!$C$39)+0.35*COS(2*PI()*(Inputs!$C$6)/Inputs!$C$40)+0.2*SIN(2*PI()*((Scenario_Data!V187)+(Inputs!$C$6))/(0.5*(Inputs!$C$39+Inputs!$C$40))))+Inputs!$C$38*SIN(2*PI()*(Scenario_Data!V187)/Inputs!$C$39)*SIN(2*PI()*(Inputs!$C$6)/Inputs!$C$40)+-Inputs!$C$41*EXP(-(((Inputs!$C$6)-Inputs!$C$43)^2)/(2*Inputs!$C$44^2))*EXP(-(((Scenario_Data!V187)-Inputs!$C$42)^2)/(2*Inputs!$C$45^2))+Inputs!$C$48*(0.7*(0.45*SIN(2*PI()*(((Scenario_Data!V187)/Inputs!$C$49)+Inputs!$C$47*0.137))+0.35*COS(2*PI()*(((Inputs!$C$6)/Inputs!$C$50)+Inputs!$C$47*0.173))+0.2*SIN(2*PI()*((((Scenario_Data!V187)+(Inputs!$C$6))/(0.5*(Inputs!$C$49+Inputs!$C$50)))+Inputs!$C$47*0.097)))+0.3*(2*((SIN(((Scenario_Data!V187)*12.9898+(Inputs!$C$6)*78.233+Inputs!$C$47*37.719))*43758.5453)-INT((SIN(((Scenario_Data!V187)*12.9898+(Inputs!$C$6)*78.233+Inputs!$C$47*37.719))*43758.5453)))-1))))/1000))*COS(SQRT((Scenario_Data!V187)^2+Inputs!$C$6^2)/Inputs!$C$52))*1000)/Inputs!$C$21*1000000</f>
        <v/>
      </c>
      <c r="AV187">
        <f>Scenario_Data!W187</f>
        <v/>
      </c>
      <c r="AW187">
        <f>2*(SQRT((Inputs!$C$52+(Scenario_Data!E187))^2+(Inputs!$C$52+((IF(OR(Inputs!$C$27=TRUE,Inputs!$C$27="TRUE",Inputs!$C$27=1),1,0)*(Inputs!$C$51*(115*EXP(-(((Inputs!$C$6)-25)^2)/(4.5^2))+70*EXP(-(((Inputs!$C$6)+38)^2)/(7^2))*(0.55+0.45*SIN(2*PI()*(Scenario_Data!W187)/45))+24*SIN(2*PI()*(Inputs!$C$6)/9+(Scenario_Data!W187)/18)*EXP(-(((Inputs!$C$6)+5)^2)/(22^2))+18*SIN(2*PI()*(Scenario_Data!W187)/70))+Inputs!$C$28*EXP(-(((Scenario_Data!W187)-Inputs!$C$29)^2)/(2*Inputs!$C$31^2))*EXP(-(((Inputs!$C$6)-Inputs!$C$30)^2)/(2*Inputs!$C$32^2))+-Inputs!$C$33*EXP(-(((((Scenario_Data!W187)-Inputs!$C$34)^2)+(((Inputs!$C$6)-Inputs!$C$35)^2))/(2*Inputs!$C$36^2)))+Inputs!$C$37*(0.55*SIN(2*PI()*(Scenario_Data!W187)/Inputs!$C$39)+0.35*COS(2*PI()*(Inputs!$C$6)/Inputs!$C$40)+0.2*SIN(2*PI()*((Scenario_Data!W187)+(Inputs!$C$6))/(0.5*(Inputs!$C$39+Inputs!$C$40))))+Inputs!$C$38*SIN(2*PI()*(Scenario_Data!W187)/Inputs!$C$39)*SIN(2*PI()*(Inputs!$C$6)/Inputs!$C$40)+-Inputs!$C$41*EXP(-(((Inputs!$C$6)-Inputs!$C$43)^2)/(2*Inputs!$C$44^2))*EXP(-(((Scenario_Data!W187)-Inputs!$C$42)^2)/(2*Inputs!$C$45^2))+Inputs!$C$48*(0.7*(0.45*SIN(2*PI()*(((Scenario_Data!W187)/Inputs!$C$49)+Inputs!$C$47*0.137))+0.35*COS(2*PI()*(((Inputs!$C$6)/Inputs!$C$50)+Inputs!$C$47*0.173))+0.2*SIN(2*PI()*((((Scenario_Data!W187)+(Inputs!$C$6))/(0.5*(Inputs!$C$49+Inputs!$C$50)))+Inputs!$C$47*0.097)))+0.3*(2*((SIN(((Scenario_Data!W187)*12.9898+(Inputs!$C$6)*78.233+Inputs!$C$47*37.719))*43758.5453)-INT((SIN(((Scenario_Data!W187)*12.9898+(Inputs!$C$6)*78.233+Inputs!$C$47*37.719))*43758.5453)))-1))))/1000))^2-2*(Inputs!$C$52+(Scenario_Data!E187))*(Inputs!$C$52+((IF(OR(Inputs!$C$27=TRUE,Inputs!$C$27="TRUE",Inputs!$C$27=1),1,0)*(Inputs!$C$51*(115*EXP(-(((Inputs!$C$6)-25)^2)/(4.5^2))+70*EXP(-(((Inputs!$C$6)+38)^2)/(7^2))*(0.55+0.45*SIN(2*PI()*(Scenario_Data!W187)/45))+24*SIN(2*PI()*(Inputs!$C$6)/9+(Scenario_Data!W187)/18)*EXP(-(((Inputs!$C$6)+5)^2)/(22^2))+18*SIN(2*PI()*(Scenario_Data!W187)/70))+Inputs!$C$28*EXP(-(((Scenario_Data!W187)-Inputs!$C$29)^2)/(2*Inputs!$C$31^2))*EXP(-(((Inputs!$C$6)-Inputs!$C$30)^2)/(2*Inputs!$C$32^2))+-Inputs!$C$33*EXP(-(((((Scenario_Data!W187)-Inputs!$C$34)^2)+(((Inputs!$C$6)-Inputs!$C$35)^2))/(2*Inputs!$C$36^2)))+Inputs!$C$37*(0.55*SIN(2*PI()*(Scenario_Data!W187)/Inputs!$C$39)+0.35*COS(2*PI()*(Inputs!$C$6)/Inputs!$C$40)+0.2*SIN(2*PI()*((Scenario_Data!W187)+(Inputs!$C$6))/(0.5*(Inputs!$C$39+Inputs!$C$40))))+Inputs!$C$38*SIN(2*PI()*(Scenario_Data!W187)/Inputs!$C$39)*SIN(2*PI()*(Inputs!$C$6)/Inputs!$C$40)+-Inputs!$C$41*EXP(-(((Inputs!$C$6)-Inputs!$C$43)^2)/(2*Inputs!$C$44^2))*EXP(-(((Scenario_Data!W187)-Inputs!$C$42)^2)/(2*Inputs!$C$45^2))+Inputs!$C$48*(0.7*(0.45*SIN(2*PI()*(((Scenario_Data!W187)/Inputs!$C$49)+Inputs!$C$47*0.137))+0.35*COS(2*PI()*(((Inputs!$C$6)/Inputs!$C$50)+Inputs!$C$47*0.173))+0.2*SIN(2*PI()*((((Scenario_Data!W187)+(Inputs!$C$6))/(0.5*(Inputs!$C$49+Inputs!$C$50)))+Inputs!$C$47*0.097)))+0.3*(2*((SIN(((Scenario_Data!W187)*12.9898+(Inputs!$C$6)*78.233+Inputs!$C$47*37.719))*43758.5453)-INT((SIN(((Scenario_Data!W187)*12.9898+(Inputs!$C$6)*78.233+Inputs!$C$47*37.719))*43758.5453)))-1))))/1000))*COS(SQRT((Scenario_Data!W187)^2+Inputs!$C$6^2)/Inputs!$C$52))*1000)/Inputs!$C$21*1000000</f>
        <v/>
      </c>
    </row>
    <row r="188">
      <c r="A188">
        <f>Chart_Data!K188</f>
        <v/>
      </c>
      <c r="B188">
        <f>Chart_Data!N188-Chart_Data!L188</f>
        <v/>
      </c>
      <c r="D188">
        <f>Chart_Data!G188</f>
        <v/>
      </c>
      <c r="E188">
        <f>Chart_Data!H188</f>
        <v/>
      </c>
      <c r="F188">
        <f>Chart_Data!I188</f>
        <v/>
      </c>
      <c r="G188">
        <f>Chart_Data!J188</f>
        <v/>
      </c>
      <c r="I188">
        <f>Scenario_Data!A188</f>
        <v/>
      </c>
      <c r="J188">
        <f>Scenario_Data!H188-(((SQRT((Inputs!$C$52+(Inputs!$H$6))^2+Inputs!$C$52^2-2*(Inputs!$C$52+(Inputs!$H$6))*Inputs!$C$52*COS(SQRT((Scenario_Data!T188)^2+Inputs!$C$6^2)/Inputs!$C$52)))-(Inputs!$H$6))*1000/Inputs!$C$12)</f>
        <v/>
      </c>
      <c r="K188">
        <f>Scenario_Data!I188-(((SQRT((Inputs!$C$52+(Inputs!$H$7))^2+Inputs!$C$52^2-2*(Inputs!$C$52+(Inputs!$H$7))*Inputs!$C$52*COS(SQRT((Scenario_Data!U188)^2+Inputs!$C$6^2)/Inputs!$C$52)))-(Inputs!$H$7))*1000/Inputs!$C$12)</f>
        <v/>
      </c>
      <c r="L188">
        <f>Scenario_Data!J188-(((SQRT((Inputs!$C$52+(Inputs!$H$8))^2+Inputs!$C$52^2-2*(Inputs!$C$52+(Inputs!$H$8))*Inputs!$C$52*COS(SQRT((Scenario_Data!V188)^2+Inputs!$C$6^2)/Inputs!$C$52)))-(Inputs!$H$8))*1000/Inputs!$C$12)</f>
        <v/>
      </c>
      <c r="M188">
        <f>Scenario_Data!K188-(((SQRT((Inputs!$C$52+(Inputs!$H$9))^2+Inputs!$C$52^2-2*(Inputs!$C$52+(Inputs!$H$9))*Inputs!$C$52*COS(SQRT((Scenario_Data!W188)^2+Inputs!$C$6^2)/Inputs!$C$52)))-(Inputs!$H$9))*1000/Inputs!$C$12)</f>
        <v/>
      </c>
      <c r="O188">
        <f>Scenario_Data!T188</f>
        <v/>
      </c>
      <c r="P188">
        <f>2*(Scenario_Data!B188*1000)/Inputs!$C$21*1000000</f>
        <v/>
      </c>
      <c r="Q188">
        <f>Scenario_Data!U188</f>
        <v/>
      </c>
      <c r="R188">
        <f>2*(Scenario_Data!C188*1000)/Inputs!$C$21*1000000</f>
        <v/>
      </c>
      <c r="S188">
        <f>Scenario_Data!V188</f>
        <v/>
      </c>
      <c r="T188">
        <f>2*(Scenario_Data!D188*1000)/Inputs!$C$21*1000000</f>
        <v/>
      </c>
      <c r="U188">
        <f>Scenario_Data!W188</f>
        <v/>
      </c>
      <c r="V188">
        <f>2*(Scenario_Data!E188*1000)/Inputs!$C$21*1000000</f>
        <v/>
      </c>
      <c r="X188">
        <f>Scenario_Data!T188</f>
        <v/>
      </c>
      <c r="Y188">
        <f>2*((Scenario_Data!B188*1000)-(IF(OR(Inputs!$C$27=TRUE,Inputs!$C$27="TRUE",Inputs!$C$27=1),1,0)*(Inputs!$C$51*(115*EXP(-(((0)-25)^2)/(4.5^2))+70*EXP(-(((0)+38)^2)/(7^2))*(0.55+0.45*SIN(2*PI()*(Scenario_Data!T188)/45))+24*SIN(2*PI()*(0)/9+(Scenario_Data!T188)/18)*EXP(-(((0)+5)^2)/(22^2))+18*SIN(2*PI()*(Scenario_Data!T188)/70))+Inputs!$C$28*EXP(-(((Scenario_Data!T188)-Inputs!$C$29)^2)/(2*Inputs!$C$31^2))*EXP(-(((0)-Inputs!$C$30)^2)/(2*Inputs!$C$32^2))+-Inputs!$C$33*EXP(-(((((Scenario_Data!T188)-Inputs!$C$34)^2)+(((0)-Inputs!$C$35)^2))/(2*Inputs!$C$36^2)))+Inputs!$C$37*(0.55*SIN(2*PI()*(Scenario_Data!T188)/Inputs!$C$39)+0.35*COS(2*PI()*(0)/Inputs!$C$40)+0.2*SIN(2*PI()*((Scenario_Data!T188)+(0))/(0.5*(Inputs!$C$39+Inputs!$C$40))))+Inputs!$C$38*SIN(2*PI()*(Scenario_Data!T188)/Inputs!$C$39)*SIN(2*PI()*(0)/Inputs!$C$40)+-Inputs!$C$41*EXP(-(((0)-Inputs!$C$43)^2)/(2*Inputs!$C$44^2))*EXP(-(((Scenario_Data!T188)-Inputs!$C$42)^2)/(2*Inputs!$C$45^2))+Inputs!$C$48*(0.7*(0.45*SIN(2*PI()*(((Scenario_Data!T188)/Inputs!$C$49)+Inputs!$C$47*0.137))+0.35*COS(2*PI()*(((0)/Inputs!$C$50)+Inputs!$C$47*0.173))+0.2*SIN(2*PI()*((((Scenario_Data!T188)+(0))/(0.5*(Inputs!$C$49+Inputs!$C$50)))+Inputs!$C$47*0.097)))+0.3*(2*((SIN(((Scenario_Data!T188)*12.9898+(0)*78.233+Inputs!$C$47*37.719))*43758.5453)-INT((SIN(((Scenario_Data!T188)*12.9898+(0)*78.233+Inputs!$C$47*37.719))*43758.5453)))-1)))))/Inputs!$C$21*1000000</f>
        <v/>
      </c>
      <c r="Z188">
        <f>Scenario_Data!U188</f>
        <v/>
      </c>
      <c r="AA188">
        <f>2*((Scenario_Data!C188*1000)-(IF(OR(Inputs!$C$27=TRUE,Inputs!$C$27="TRUE",Inputs!$C$27=1),1,0)*(Inputs!$C$51*(115*EXP(-(((0)-25)^2)/(4.5^2))+70*EXP(-(((0)+38)^2)/(7^2))*(0.55+0.45*SIN(2*PI()*(Scenario_Data!U188)/45))+24*SIN(2*PI()*(0)/9+(Scenario_Data!U188)/18)*EXP(-(((0)+5)^2)/(22^2))+18*SIN(2*PI()*(Scenario_Data!U188)/70))+Inputs!$C$28*EXP(-(((Scenario_Data!U188)-Inputs!$C$29)^2)/(2*Inputs!$C$31^2))*EXP(-(((0)-Inputs!$C$30)^2)/(2*Inputs!$C$32^2))+-Inputs!$C$33*EXP(-(((((Scenario_Data!U188)-Inputs!$C$34)^2)+(((0)-Inputs!$C$35)^2))/(2*Inputs!$C$36^2)))+Inputs!$C$37*(0.55*SIN(2*PI()*(Scenario_Data!U188)/Inputs!$C$39)+0.35*COS(2*PI()*(0)/Inputs!$C$40)+0.2*SIN(2*PI()*((Scenario_Data!U188)+(0))/(0.5*(Inputs!$C$39+Inputs!$C$40))))+Inputs!$C$38*SIN(2*PI()*(Scenario_Data!U188)/Inputs!$C$39)*SIN(2*PI()*(0)/Inputs!$C$40)+-Inputs!$C$41*EXP(-(((0)-Inputs!$C$43)^2)/(2*Inputs!$C$44^2))*EXP(-(((Scenario_Data!U188)-Inputs!$C$42)^2)/(2*Inputs!$C$45^2))+Inputs!$C$48*(0.7*(0.45*SIN(2*PI()*(((Scenario_Data!U188)/Inputs!$C$49)+Inputs!$C$47*0.137))+0.35*COS(2*PI()*(((0)/Inputs!$C$50)+Inputs!$C$47*0.173))+0.2*SIN(2*PI()*((((Scenario_Data!U188)+(0))/(0.5*(Inputs!$C$49+Inputs!$C$50)))+Inputs!$C$47*0.097)))+0.3*(2*((SIN(((Scenario_Data!U188)*12.9898+(0)*78.233+Inputs!$C$47*37.719))*43758.5453)-INT((SIN(((Scenario_Data!U188)*12.9898+(0)*78.233+Inputs!$C$47*37.719))*43758.5453)))-1)))))/Inputs!$C$21*1000000</f>
        <v/>
      </c>
      <c r="AB188">
        <f>Scenario_Data!V188</f>
        <v/>
      </c>
      <c r="AC188">
        <f>2*((Scenario_Data!D188*1000)-(IF(OR(Inputs!$C$27=TRUE,Inputs!$C$27="TRUE",Inputs!$C$27=1),1,0)*(Inputs!$C$51*(115*EXP(-(((0)-25)^2)/(4.5^2))+70*EXP(-(((0)+38)^2)/(7^2))*(0.55+0.45*SIN(2*PI()*(Scenario_Data!V188)/45))+24*SIN(2*PI()*(0)/9+(Scenario_Data!V188)/18)*EXP(-(((0)+5)^2)/(22^2))+18*SIN(2*PI()*(Scenario_Data!V188)/70))+Inputs!$C$28*EXP(-(((Scenario_Data!V188)-Inputs!$C$29)^2)/(2*Inputs!$C$31^2))*EXP(-(((0)-Inputs!$C$30)^2)/(2*Inputs!$C$32^2))+-Inputs!$C$33*EXP(-(((((Scenario_Data!V188)-Inputs!$C$34)^2)+(((0)-Inputs!$C$35)^2))/(2*Inputs!$C$36^2)))+Inputs!$C$37*(0.55*SIN(2*PI()*(Scenario_Data!V188)/Inputs!$C$39)+0.35*COS(2*PI()*(0)/Inputs!$C$40)+0.2*SIN(2*PI()*((Scenario_Data!V188)+(0))/(0.5*(Inputs!$C$39+Inputs!$C$40))))+Inputs!$C$38*SIN(2*PI()*(Scenario_Data!V188)/Inputs!$C$39)*SIN(2*PI()*(0)/Inputs!$C$40)+-Inputs!$C$41*EXP(-(((0)-Inputs!$C$43)^2)/(2*Inputs!$C$44^2))*EXP(-(((Scenario_Data!V188)-Inputs!$C$42)^2)/(2*Inputs!$C$45^2))+Inputs!$C$48*(0.7*(0.45*SIN(2*PI()*(((Scenario_Data!V188)/Inputs!$C$49)+Inputs!$C$47*0.137))+0.35*COS(2*PI()*(((0)/Inputs!$C$50)+Inputs!$C$47*0.173))+0.2*SIN(2*PI()*((((Scenario_Data!V188)+(0))/(0.5*(Inputs!$C$49+Inputs!$C$50)))+Inputs!$C$47*0.097)))+0.3*(2*((SIN(((Scenario_Data!V188)*12.9898+(0)*78.233+Inputs!$C$47*37.719))*43758.5453)-INT((SIN(((Scenario_Data!V188)*12.9898+(0)*78.233+Inputs!$C$47*37.719))*43758.5453)))-1)))))/Inputs!$C$21*1000000</f>
        <v/>
      </c>
      <c r="AD188">
        <f>Scenario_Data!W188</f>
        <v/>
      </c>
      <c r="AE188">
        <f>2*((Scenario_Data!E188*1000)-(IF(OR(Inputs!$C$27=TRUE,Inputs!$C$27="TRUE",Inputs!$C$27=1),1,0)*(Inputs!$C$51*(115*EXP(-(((0)-25)^2)/(4.5^2))+70*EXP(-(((0)+38)^2)/(7^2))*(0.55+0.45*SIN(2*PI()*(Scenario_Data!W188)/45))+24*SIN(2*PI()*(0)/9+(Scenario_Data!W188)/18)*EXP(-(((0)+5)^2)/(22^2))+18*SIN(2*PI()*(Scenario_Data!W188)/70))+Inputs!$C$28*EXP(-(((Scenario_Data!W188)-Inputs!$C$29)^2)/(2*Inputs!$C$31^2))*EXP(-(((0)-Inputs!$C$30)^2)/(2*Inputs!$C$32^2))+-Inputs!$C$33*EXP(-(((((Scenario_Data!W188)-Inputs!$C$34)^2)+(((0)-Inputs!$C$35)^2))/(2*Inputs!$C$36^2)))+Inputs!$C$37*(0.55*SIN(2*PI()*(Scenario_Data!W188)/Inputs!$C$39)+0.35*COS(2*PI()*(0)/Inputs!$C$40)+0.2*SIN(2*PI()*((Scenario_Data!W188)+(0))/(0.5*(Inputs!$C$39+Inputs!$C$40))))+Inputs!$C$38*SIN(2*PI()*(Scenario_Data!W188)/Inputs!$C$39)*SIN(2*PI()*(0)/Inputs!$C$40)+-Inputs!$C$41*EXP(-(((0)-Inputs!$C$43)^2)/(2*Inputs!$C$44^2))*EXP(-(((Scenario_Data!W188)-Inputs!$C$42)^2)/(2*Inputs!$C$45^2))+Inputs!$C$48*(0.7*(0.45*SIN(2*PI()*(((Scenario_Data!W188)/Inputs!$C$49)+Inputs!$C$47*0.137))+0.35*COS(2*PI()*(((0)/Inputs!$C$50)+Inputs!$C$47*0.173))+0.2*SIN(2*PI()*((((Scenario_Data!W188)+(0))/(0.5*(Inputs!$C$49+Inputs!$C$50)))+Inputs!$C$47*0.097)))+0.3*(2*((SIN(((Scenario_Data!W188)*12.9898+(0)*78.233+Inputs!$C$47*37.719))*43758.5453)-INT((SIN(((Scenario_Data!W188)*12.9898+(0)*78.233+Inputs!$C$47*37.719))*43758.5453)))-1)))))/Inputs!$C$21*1000000</f>
        <v/>
      </c>
      <c r="AG188">
        <f>Scenario_Data!T188</f>
        <v/>
      </c>
      <c r="AH188">
        <f>2*(SQRT((Inputs!$C$52+(Scenario_Data!B188))^2+Inputs!$C$52^2-2*(Inputs!$C$52+(Scenario_Data!B188))*Inputs!$C$52*COS(SQRT((Scenario_Data!T188)^2+Inputs!$C$6^2)/Inputs!$C$52))*1000)/Inputs!$C$21*1000000</f>
        <v/>
      </c>
      <c r="AI188">
        <f>Scenario_Data!U188</f>
        <v/>
      </c>
      <c r="AJ188">
        <f>2*(SQRT((Inputs!$C$52+(Scenario_Data!C188))^2+Inputs!$C$52^2-2*(Inputs!$C$52+(Scenario_Data!C188))*Inputs!$C$52*COS(SQRT((Scenario_Data!U188)^2+Inputs!$C$6^2)/Inputs!$C$52))*1000)/Inputs!$C$21*1000000</f>
        <v/>
      </c>
      <c r="AK188">
        <f>Scenario_Data!V188</f>
        <v/>
      </c>
      <c r="AL188">
        <f>2*(SQRT((Inputs!$C$52+(Scenario_Data!D188))^2+Inputs!$C$52^2-2*(Inputs!$C$52+(Scenario_Data!D188))*Inputs!$C$52*COS(SQRT((Scenario_Data!V188)^2+Inputs!$C$6^2)/Inputs!$C$52))*1000)/Inputs!$C$21*1000000</f>
        <v/>
      </c>
      <c r="AM188">
        <f>Scenario_Data!W188</f>
        <v/>
      </c>
      <c r="AN188">
        <f>2*(SQRT((Inputs!$C$52+(Scenario_Data!E188))^2+Inputs!$C$52^2-2*(Inputs!$C$52+(Scenario_Data!E188))*Inputs!$C$52*COS(SQRT((Scenario_Data!W188)^2+Inputs!$C$6^2)/Inputs!$C$52))*1000)/Inputs!$C$21*1000000</f>
        <v/>
      </c>
      <c r="AP188">
        <f>Scenario_Data!T188</f>
        <v/>
      </c>
      <c r="AQ188">
        <f>2*(SQRT((Inputs!$C$52+(Scenario_Data!B188))^2+(Inputs!$C$52+((IF(OR(Inputs!$C$27=TRUE,Inputs!$C$27="TRUE",Inputs!$C$27=1),1,0)*(Inputs!$C$51*(115*EXP(-(((Inputs!$C$6)-25)^2)/(4.5^2))+70*EXP(-(((Inputs!$C$6)+38)^2)/(7^2))*(0.55+0.45*SIN(2*PI()*(Scenario_Data!T188)/45))+24*SIN(2*PI()*(Inputs!$C$6)/9+(Scenario_Data!T188)/18)*EXP(-(((Inputs!$C$6)+5)^2)/(22^2))+18*SIN(2*PI()*(Scenario_Data!T188)/70))+Inputs!$C$28*EXP(-(((Scenario_Data!T188)-Inputs!$C$29)^2)/(2*Inputs!$C$31^2))*EXP(-(((Inputs!$C$6)-Inputs!$C$30)^2)/(2*Inputs!$C$32^2))+-Inputs!$C$33*EXP(-(((((Scenario_Data!T188)-Inputs!$C$34)^2)+(((Inputs!$C$6)-Inputs!$C$35)^2))/(2*Inputs!$C$36^2)))+Inputs!$C$37*(0.55*SIN(2*PI()*(Scenario_Data!T188)/Inputs!$C$39)+0.35*COS(2*PI()*(Inputs!$C$6)/Inputs!$C$40)+0.2*SIN(2*PI()*((Scenario_Data!T188)+(Inputs!$C$6))/(0.5*(Inputs!$C$39+Inputs!$C$40))))+Inputs!$C$38*SIN(2*PI()*(Scenario_Data!T188)/Inputs!$C$39)*SIN(2*PI()*(Inputs!$C$6)/Inputs!$C$40)+-Inputs!$C$41*EXP(-(((Inputs!$C$6)-Inputs!$C$43)^2)/(2*Inputs!$C$44^2))*EXP(-(((Scenario_Data!T188)-Inputs!$C$42)^2)/(2*Inputs!$C$45^2))+Inputs!$C$48*(0.7*(0.45*SIN(2*PI()*(((Scenario_Data!T188)/Inputs!$C$49)+Inputs!$C$47*0.137))+0.35*COS(2*PI()*(((Inputs!$C$6)/Inputs!$C$50)+Inputs!$C$47*0.173))+0.2*SIN(2*PI()*((((Scenario_Data!T188)+(Inputs!$C$6))/(0.5*(Inputs!$C$49+Inputs!$C$50)))+Inputs!$C$47*0.097)))+0.3*(2*((SIN(((Scenario_Data!T188)*12.9898+(Inputs!$C$6)*78.233+Inputs!$C$47*37.719))*43758.5453)-INT((SIN(((Scenario_Data!T188)*12.9898+(Inputs!$C$6)*78.233+Inputs!$C$47*37.719))*43758.5453)))-1))))/1000))^2-2*(Inputs!$C$52+(Scenario_Data!B188))*(Inputs!$C$52+((IF(OR(Inputs!$C$27=TRUE,Inputs!$C$27="TRUE",Inputs!$C$27=1),1,0)*(Inputs!$C$51*(115*EXP(-(((Inputs!$C$6)-25)^2)/(4.5^2))+70*EXP(-(((Inputs!$C$6)+38)^2)/(7^2))*(0.55+0.45*SIN(2*PI()*(Scenario_Data!T188)/45))+24*SIN(2*PI()*(Inputs!$C$6)/9+(Scenario_Data!T188)/18)*EXP(-(((Inputs!$C$6)+5)^2)/(22^2))+18*SIN(2*PI()*(Scenario_Data!T188)/70))+Inputs!$C$28*EXP(-(((Scenario_Data!T188)-Inputs!$C$29)^2)/(2*Inputs!$C$31^2))*EXP(-(((Inputs!$C$6)-Inputs!$C$30)^2)/(2*Inputs!$C$32^2))+-Inputs!$C$33*EXP(-(((((Scenario_Data!T188)-Inputs!$C$34)^2)+(((Inputs!$C$6)-Inputs!$C$35)^2))/(2*Inputs!$C$36^2)))+Inputs!$C$37*(0.55*SIN(2*PI()*(Scenario_Data!T188)/Inputs!$C$39)+0.35*COS(2*PI()*(Inputs!$C$6)/Inputs!$C$40)+0.2*SIN(2*PI()*((Scenario_Data!T188)+(Inputs!$C$6))/(0.5*(Inputs!$C$39+Inputs!$C$40))))+Inputs!$C$38*SIN(2*PI()*(Scenario_Data!T188)/Inputs!$C$39)*SIN(2*PI()*(Inputs!$C$6)/Inputs!$C$40)+-Inputs!$C$41*EXP(-(((Inputs!$C$6)-Inputs!$C$43)^2)/(2*Inputs!$C$44^2))*EXP(-(((Scenario_Data!T188)-Inputs!$C$42)^2)/(2*Inputs!$C$45^2))+Inputs!$C$48*(0.7*(0.45*SIN(2*PI()*(((Scenario_Data!T188)/Inputs!$C$49)+Inputs!$C$47*0.137))+0.35*COS(2*PI()*(((Inputs!$C$6)/Inputs!$C$50)+Inputs!$C$47*0.173))+0.2*SIN(2*PI()*((((Scenario_Data!T188)+(Inputs!$C$6))/(0.5*(Inputs!$C$49+Inputs!$C$50)))+Inputs!$C$47*0.097)))+0.3*(2*((SIN(((Scenario_Data!T188)*12.9898+(Inputs!$C$6)*78.233+Inputs!$C$47*37.719))*43758.5453)-INT((SIN(((Scenario_Data!T188)*12.9898+(Inputs!$C$6)*78.233+Inputs!$C$47*37.719))*43758.5453)))-1))))/1000))*COS(SQRT((Scenario_Data!T188)^2+Inputs!$C$6^2)/Inputs!$C$52))*1000)/Inputs!$C$21*1000000</f>
        <v/>
      </c>
      <c r="AR188">
        <f>Scenario_Data!U188</f>
        <v/>
      </c>
      <c r="AS188">
        <f>2*(SQRT((Inputs!$C$52+(Scenario_Data!C188))^2+(Inputs!$C$52+((IF(OR(Inputs!$C$27=TRUE,Inputs!$C$27="TRUE",Inputs!$C$27=1),1,0)*(Inputs!$C$51*(115*EXP(-(((Inputs!$C$6)-25)^2)/(4.5^2))+70*EXP(-(((Inputs!$C$6)+38)^2)/(7^2))*(0.55+0.45*SIN(2*PI()*(Scenario_Data!U188)/45))+24*SIN(2*PI()*(Inputs!$C$6)/9+(Scenario_Data!U188)/18)*EXP(-(((Inputs!$C$6)+5)^2)/(22^2))+18*SIN(2*PI()*(Scenario_Data!U188)/70))+Inputs!$C$28*EXP(-(((Scenario_Data!U188)-Inputs!$C$29)^2)/(2*Inputs!$C$31^2))*EXP(-(((Inputs!$C$6)-Inputs!$C$30)^2)/(2*Inputs!$C$32^2))+-Inputs!$C$33*EXP(-(((((Scenario_Data!U188)-Inputs!$C$34)^2)+(((Inputs!$C$6)-Inputs!$C$35)^2))/(2*Inputs!$C$36^2)))+Inputs!$C$37*(0.55*SIN(2*PI()*(Scenario_Data!U188)/Inputs!$C$39)+0.35*COS(2*PI()*(Inputs!$C$6)/Inputs!$C$40)+0.2*SIN(2*PI()*((Scenario_Data!U188)+(Inputs!$C$6))/(0.5*(Inputs!$C$39+Inputs!$C$40))))+Inputs!$C$38*SIN(2*PI()*(Scenario_Data!U188)/Inputs!$C$39)*SIN(2*PI()*(Inputs!$C$6)/Inputs!$C$40)+-Inputs!$C$41*EXP(-(((Inputs!$C$6)-Inputs!$C$43)^2)/(2*Inputs!$C$44^2))*EXP(-(((Scenario_Data!U188)-Inputs!$C$42)^2)/(2*Inputs!$C$45^2))+Inputs!$C$48*(0.7*(0.45*SIN(2*PI()*(((Scenario_Data!U188)/Inputs!$C$49)+Inputs!$C$47*0.137))+0.35*COS(2*PI()*(((Inputs!$C$6)/Inputs!$C$50)+Inputs!$C$47*0.173))+0.2*SIN(2*PI()*((((Scenario_Data!U188)+(Inputs!$C$6))/(0.5*(Inputs!$C$49+Inputs!$C$50)))+Inputs!$C$47*0.097)))+0.3*(2*((SIN(((Scenario_Data!U188)*12.9898+(Inputs!$C$6)*78.233+Inputs!$C$47*37.719))*43758.5453)-INT((SIN(((Scenario_Data!U188)*12.9898+(Inputs!$C$6)*78.233+Inputs!$C$47*37.719))*43758.5453)))-1))))/1000))^2-2*(Inputs!$C$52+(Scenario_Data!C188))*(Inputs!$C$52+((IF(OR(Inputs!$C$27=TRUE,Inputs!$C$27="TRUE",Inputs!$C$27=1),1,0)*(Inputs!$C$51*(115*EXP(-(((Inputs!$C$6)-25)^2)/(4.5^2))+70*EXP(-(((Inputs!$C$6)+38)^2)/(7^2))*(0.55+0.45*SIN(2*PI()*(Scenario_Data!U188)/45))+24*SIN(2*PI()*(Inputs!$C$6)/9+(Scenario_Data!U188)/18)*EXP(-(((Inputs!$C$6)+5)^2)/(22^2))+18*SIN(2*PI()*(Scenario_Data!U188)/70))+Inputs!$C$28*EXP(-(((Scenario_Data!U188)-Inputs!$C$29)^2)/(2*Inputs!$C$31^2))*EXP(-(((Inputs!$C$6)-Inputs!$C$30)^2)/(2*Inputs!$C$32^2))+-Inputs!$C$33*EXP(-(((((Scenario_Data!U188)-Inputs!$C$34)^2)+(((Inputs!$C$6)-Inputs!$C$35)^2))/(2*Inputs!$C$36^2)))+Inputs!$C$37*(0.55*SIN(2*PI()*(Scenario_Data!U188)/Inputs!$C$39)+0.35*COS(2*PI()*(Inputs!$C$6)/Inputs!$C$40)+0.2*SIN(2*PI()*((Scenario_Data!U188)+(Inputs!$C$6))/(0.5*(Inputs!$C$39+Inputs!$C$40))))+Inputs!$C$38*SIN(2*PI()*(Scenario_Data!U188)/Inputs!$C$39)*SIN(2*PI()*(Inputs!$C$6)/Inputs!$C$40)+-Inputs!$C$41*EXP(-(((Inputs!$C$6)-Inputs!$C$43)^2)/(2*Inputs!$C$44^2))*EXP(-(((Scenario_Data!U188)-Inputs!$C$42)^2)/(2*Inputs!$C$45^2))+Inputs!$C$48*(0.7*(0.45*SIN(2*PI()*(((Scenario_Data!U188)/Inputs!$C$49)+Inputs!$C$47*0.137))+0.35*COS(2*PI()*(((Inputs!$C$6)/Inputs!$C$50)+Inputs!$C$47*0.173))+0.2*SIN(2*PI()*((((Scenario_Data!U188)+(Inputs!$C$6))/(0.5*(Inputs!$C$49+Inputs!$C$50)))+Inputs!$C$47*0.097)))+0.3*(2*((SIN(((Scenario_Data!U188)*12.9898+(Inputs!$C$6)*78.233+Inputs!$C$47*37.719))*43758.5453)-INT((SIN(((Scenario_Data!U188)*12.9898+(Inputs!$C$6)*78.233+Inputs!$C$47*37.719))*43758.5453)))-1))))/1000))*COS(SQRT((Scenario_Data!U188)^2+Inputs!$C$6^2)/Inputs!$C$52))*1000)/Inputs!$C$21*1000000</f>
        <v/>
      </c>
      <c r="AT188">
        <f>Scenario_Data!V188</f>
        <v/>
      </c>
      <c r="AU188">
        <f>2*(SQRT((Inputs!$C$52+(Scenario_Data!D188))^2+(Inputs!$C$52+((IF(OR(Inputs!$C$27=TRUE,Inputs!$C$27="TRUE",Inputs!$C$27=1),1,0)*(Inputs!$C$51*(115*EXP(-(((Inputs!$C$6)-25)^2)/(4.5^2))+70*EXP(-(((Inputs!$C$6)+38)^2)/(7^2))*(0.55+0.45*SIN(2*PI()*(Scenario_Data!V188)/45))+24*SIN(2*PI()*(Inputs!$C$6)/9+(Scenario_Data!V188)/18)*EXP(-(((Inputs!$C$6)+5)^2)/(22^2))+18*SIN(2*PI()*(Scenario_Data!V188)/70))+Inputs!$C$28*EXP(-(((Scenario_Data!V188)-Inputs!$C$29)^2)/(2*Inputs!$C$31^2))*EXP(-(((Inputs!$C$6)-Inputs!$C$30)^2)/(2*Inputs!$C$32^2))+-Inputs!$C$33*EXP(-(((((Scenario_Data!V188)-Inputs!$C$34)^2)+(((Inputs!$C$6)-Inputs!$C$35)^2))/(2*Inputs!$C$36^2)))+Inputs!$C$37*(0.55*SIN(2*PI()*(Scenario_Data!V188)/Inputs!$C$39)+0.35*COS(2*PI()*(Inputs!$C$6)/Inputs!$C$40)+0.2*SIN(2*PI()*((Scenario_Data!V188)+(Inputs!$C$6))/(0.5*(Inputs!$C$39+Inputs!$C$40))))+Inputs!$C$38*SIN(2*PI()*(Scenario_Data!V188)/Inputs!$C$39)*SIN(2*PI()*(Inputs!$C$6)/Inputs!$C$40)+-Inputs!$C$41*EXP(-(((Inputs!$C$6)-Inputs!$C$43)^2)/(2*Inputs!$C$44^2))*EXP(-(((Scenario_Data!V188)-Inputs!$C$42)^2)/(2*Inputs!$C$45^2))+Inputs!$C$48*(0.7*(0.45*SIN(2*PI()*(((Scenario_Data!V188)/Inputs!$C$49)+Inputs!$C$47*0.137))+0.35*COS(2*PI()*(((Inputs!$C$6)/Inputs!$C$50)+Inputs!$C$47*0.173))+0.2*SIN(2*PI()*((((Scenario_Data!V188)+(Inputs!$C$6))/(0.5*(Inputs!$C$49+Inputs!$C$50)))+Inputs!$C$47*0.097)))+0.3*(2*((SIN(((Scenario_Data!V188)*12.9898+(Inputs!$C$6)*78.233+Inputs!$C$47*37.719))*43758.5453)-INT((SIN(((Scenario_Data!V188)*12.9898+(Inputs!$C$6)*78.233+Inputs!$C$47*37.719))*43758.5453)))-1))))/1000))^2-2*(Inputs!$C$52+(Scenario_Data!D188))*(Inputs!$C$52+((IF(OR(Inputs!$C$27=TRUE,Inputs!$C$27="TRUE",Inputs!$C$27=1),1,0)*(Inputs!$C$51*(115*EXP(-(((Inputs!$C$6)-25)^2)/(4.5^2))+70*EXP(-(((Inputs!$C$6)+38)^2)/(7^2))*(0.55+0.45*SIN(2*PI()*(Scenario_Data!V188)/45))+24*SIN(2*PI()*(Inputs!$C$6)/9+(Scenario_Data!V188)/18)*EXP(-(((Inputs!$C$6)+5)^2)/(22^2))+18*SIN(2*PI()*(Scenario_Data!V188)/70))+Inputs!$C$28*EXP(-(((Scenario_Data!V188)-Inputs!$C$29)^2)/(2*Inputs!$C$31^2))*EXP(-(((Inputs!$C$6)-Inputs!$C$30)^2)/(2*Inputs!$C$32^2))+-Inputs!$C$33*EXP(-(((((Scenario_Data!V188)-Inputs!$C$34)^2)+(((Inputs!$C$6)-Inputs!$C$35)^2))/(2*Inputs!$C$36^2)))+Inputs!$C$37*(0.55*SIN(2*PI()*(Scenario_Data!V188)/Inputs!$C$39)+0.35*COS(2*PI()*(Inputs!$C$6)/Inputs!$C$40)+0.2*SIN(2*PI()*((Scenario_Data!V188)+(Inputs!$C$6))/(0.5*(Inputs!$C$39+Inputs!$C$40))))+Inputs!$C$38*SIN(2*PI()*(Scenario_Data!V188)/Inputs!$C$39)*SIN(2*PI()*(Inputs!$C$6)/Inputs!$C$40)+-Inputs!$C$41*EXP(-(((Inputs!$C$6)-Inputs!$C$43)^2)/(2*Inputs!$C$44^2))*EXP(-(((Scenario_Data!V188)-Inputs!$C$42)^2)/(2*Inputs!$C$45^2))+Inputs!$C$48*(0.7*(0.45*SIN(2*PI()*(((Scenario_Data!V188)/Inputs!$C$49)+Inputs!$C$47*0.137))+0.35*COS(2*PI()*(((Inputs!$C$6)/Inputs!$C$50)+Inputs!$C$47*0.173))+0.2*SIN(2*PI()*((((Scenario_Data!V188)+(Inputs!$C$6))/(0.5*(Inputs!$C$49+Inputs!$C$50)))+Inputs!$C$47*0.097)))+0.3*(2*((SIN(((Scenario_Data!V188)*12.9898+(Inputs!$C$6)*78.233+Inputs!$C$47*37.719))*43758.5453)-INT((SIN(((Scenario_Data!V188)*12.9898+(Inputs!$C$6)*78.233+Inputs!$C$47*37.719))*43758.5453)))-1))))/1000))*COS(SQRT((Scenario_Data!V188)^2+Inputs!$C$6^2)/Inputs!$C$52))*1000)/Inputs!$C$21*1000000</f>
        <v/>
      </c>
      <c r="AV188">
        <f>Scenario_Data!W188</f>
        <v/>
      </c>
      <c r="AW188">
        <f>2*(SQRT((Inputs!$C$52+(Scenario_Data!E188))^2+(Inputs!$C$52+((IF(OR(Inputs!$C$27=TRUE,Inputs!$C$27="TRUE",Inputs!$C$27=1),1,0)*(Inputs!$C$51*(115*EXP(-(((Inputs!$C$6)-25)^2)/(4.5^2))+70*EXP(-(((Inputs!$C$6)+38)^2)/(7^2))*(0.55+0.45*SIN(2*PI()*(Scenario_Data!W188)/45))+24*SIN(2*PI()*(Inputs!$C$6)/9+(Scenario_Data!W188)/18)*EXP(-(((Inputs!$C$6)+5)^2)/(22^2))+18*SIN(2*PI()*(Scenario_Data!W188)/70))+Inputs!$C$28*EXP(-(((Scenario_Data!W188)-Inputs!$C$29)^2)/(2*Inputs!$C$31^2))*EXP(-(((Inputs!$C$6)-Inputs!$C$30)^2)/(2*Inputs!$C$32^2))+-Inputs!$C$33*EXP(-(((((Scenario_Data!W188)-Inputs!$C$34)^2)+(((Inputs!$C$6)-Inputs!$C$35)^2))/(2*Inputs!$C$36^2)))+Inputs!$C$37*(0.55*SIN(2*PI()*(Scenario_Data!W188)/Inputs!$C$39)+0.35*COS(2*PI()*(Inputs!$C$6)/Inputs!$C$40)+0.2*SIN(2*PI()*((Scenario_Data!W188)+(Inputs!$C$6))/(0.5*(Inputs!$C$39+Inputs!$C$40))))+Inputs!$C$38*SIN(2*PI()*(Scenario_Data!W188)/Inputs!$C$39)*SIN(2*PI()*(Inputs!$C$6)/Inputs!$C$40)+-Inputs!$C$41*EXP(-(((Inputs!$C$6)-Inputs!$C$43)^2)/(2*Inputs!$C$44^2))*EXP(-(((Scenario_Data!W188)-Inputs!$C$42)^2)/(2*Inputs!$C$45^2))+Inputs!$C$48*(0.7*(0.45*SIN(2*PI()*(((Scenario_Data!W188)/Inputs!$C$49)+Inputs!$C$47*0.137))+0.35*COS(2*PI()*(((Inputs!$C$6)/Inputs!$C$50)+Inputs!$C$47*0.173))+0.2*SIN(2*PI()*((((Scenario_Data!W188)+(Inputs!$C$6))/(0.5*(Inputs!$C$49+Inputs!$C$50)))+Inputs!$C$47*0.097)))+0.3*(2*((SIN(((Scenario_Data!W188)*12.9898+(Inputs!$C$6)*78.233+Inputs!$C$47*37.719))*43758.5453)-INT((SIN(((Scenario_Data!W188)*12.9898+(Inputs!$C$6)*78.233+Inputs!$C$47*37.719))*43758.5453)))-1))))/1000))^2-2*(Inputs!$C$52+(Scenario_Data!E188))*(Inputs!$C$52+((IF(OR(Inputs!$C$27=TRUE,Inputs!$C$27="TRUE",Inputs!$C$27=1),1,0)*(Inputs!$C$51*(115*EXP(-(((Inputs!$C$6)-25)^2)/(4.5^2))+70*EXP(-(((Inputs!$C$6)+38)^2)/(7^2))*(0.55+0.45*SIN(2*PI()*(Scenario_Data!W188)/45))+24*SIN(2*PI()*(Inputs!$C$6)/9+(Scenario_Data!W188)/18)*EXP(-(((Inputs!$C$6)+5)^2)/(22^2))+18*SIN(2*PI()*(Scenario_Data!W188)/70))+Inputs!$C$28*EXP(-(((Scenario_Data!W188)-Inputs!$C$29)^2)/(2*Inputs!$C$31^2))*EXP(-(((Inputs!$C$6)-Inputs!$C$30)^2)/(2*Inputs!$C$32^2))+-Inputs!$C$33*EXP(-(((((Scenario_Data!W188)-Inputs!$C$34)^2)+(((Inputs!$C$6)-Inputs!$C$35)^2))/(2*Inputs!$C$36^2)))+Inputs!$C$37*(0.55*SIN(2*PI()*(Scenario_Data!W188)/Inputs!$C$39)+0.35*COS(2*PI()*(Inputs!$C$6)/Inputs!$C$40)+0.2*SIN(2*PI()*((Scenario_Data!W188)+(Inputs!$C$6))/(0.5*(Inputs!$C$39+Inputs!$C$40))))+Inputs!$C$38*SIN(2*PI()*(Scenario_Data!W188)/Inputs!$C$39)*SIN(2*PI()*(Inputs!$C$6)/Inputs!$C$40)+-Inputs!$C$41*EXP(-(((Inputs!$C$6)-Inputs!$C$43)^2)/(2*Inputs!$C$44^2))*EXP(-(((Scenario_Data!W188)-Inputs!$C$42)^2)/(2*Inputs!$C$45^2))+Inputs!$C$48*(0.7*(0.45*SIN(2*PI()*(((Scenario_Data!W188)/Inputs!$C$49)+Inputs!$C$47*0.137))+0.35*COS(2*PI()*(((Inputs!$C$6)/Inputs!$C$50)+Inputs!$C$47*0.173))+0.2*SIN(2*PI()*((((Scenario_Data!W188)+(Inputs!$C$6))/(0.5*(Inputs!$C$49+Inputs!$C$50)))+Inputs!$C$47*0.097)))+0.3*(2*((SIN(((Scenario_Data!W188)*12.9898+(Inputs!$C$6)*78.233+Inputs!$C$47*37.719))*43758.5453)-INT((SIN(((Scenario_Data!W188)*12.9898+(Inputs!$C$6)*78.233+Inputs!$C$47*37.719))*43758.5453)))-1))))/1000))*COS(SQRT((Scenario_Data!W188)^2+Inputs!$C$6^2)/Inputs!$C$52))*1000)/Inputs!$C$21*1000000</f>
        <v/>
      </c>
    </row>
    <row r="189">
      <c r="A189">
        <f>Chart_Data!K189</f>
        <v/>
      </c>
      <c r="B189">
        <f>Chart_Data!N189-Chart_Data!L189</f>
        <v/>
      </c>
      <c r="D189">
        <f>Chart_Data!G189</f>
        <v/>
      </c>
      <c r="E189">
        <f>Chart_Data!H189</f>
        <v/>
      </c>
      <c r="F189">
        <f>Chart_Data!I189</f>
        <v/>
      </c>
      <c r="G189">
        <f>Chart_Data!J189</f>
        <v/>
      </c>
      <c r="I189">
        <f>Scenario_Data!A189</f>
        <v/>
      </c>
      <c r="J189">
        <f>Scenario_Data!H189-(((SQRT((Inputs!$C$52+(Inputs!$H$6))^2+Inputs!$C$52^2-2*(Inputs!$C$52+(Inputs!$H$6))*Inputs!$C$52*COS(SQRT((Scenario_Data!T189)^2+Inputs!$C$6^2)/Inputs!$C$52)))-(Inputs!$H$6))*1000/Inputs!$C$12)</f>
        <v/>
      </c>
      <c r="K189">
        <f>Scenario_Data!I189-(((SQRT((Inputs!$C$52+(Inputs!$H$7))^2+Inputs!$C$52^2-2*(Inputs!$C$52+(Inputs!$H$7))*Inputs!$C$52*COS(SQRT((Scenario_Data!U189)^2+Inputs!$C$6^2)/Inputs!$C$52)))-(Inputs!$H$7))*1000/Inputs!$C$12)</f>
        <v/>
      </c>
      <c r="L189">
        <f>Scenario_Data!J189-(((SQRT((Inputs!$C$52+(Inputs!$H$8))^2+Inputs!$C$52^2-2*(Inputs!$C$52+(Inputs!$H$8))*Inputs!$C$52*COS(SQRT((Scenario_Data!V189)^2+Inputs!$C$6^2)/Inputs!$C$52)))-(Inputs!$H$8))*1000/Inputs!$C$12)</f>
        <v/>
      </c>
      <c r="M189">
        <f>Scenario_Data!K189-(((SQRT((Inputs!$C$52+(Inputs!$H$9))^2+Inputs!$C$52^2-2*(Inputs!$C$52+(Inputs!$H$9))*Inputs!$C$52*COS(SQRT((Scenario_Data!W189)^2+Inputs!$C$6^2)/Inputs!$C$52)))-(Inputs!$H$9))*1000/Inputs!$C$12)</f>
        <v/>
      </c>
      <c r="O189">
        <f>Scenario_Data!T189</f>
        <v/>
      </c>
      <c r="P189">
        <f>2*(Scenario_Data!B189*1000)/Inputs!$C$21*1000000</f>
        <v/>
      </c>
      <c r="Q189">
        <f>Scenario_Data!U189</f>
        <v/>
      </c>
      <c r="R189">
        <f>2*(Scenario_Data!C189*1000)/Inputs!$C$21*1000000</f>
        <v/>
      </c>
      <c r="S189">
        <f>Scenario_Data!V189</f>
        <v/>
      </c>
      <c r="T189">
        <f>2*(Scenario_Data!D189*1000)/Inputs!$C$21*1000000</f>
        <v/>
      </c>
      <c r="U189">
        <f>Scenario_Data!W189</f>
        <v/>
      </c>
      <c r="V189">
        <f>2*(Scenario_Data!E189*1000)/Inputs!$C$21*1000000</f>
        <v/>
      </c>
      <c r="X189">
        <f>Scenario_Data!T189</f>
        <v/>
      </c>
      <c r="Y189">
        <f>2*((Scenario_Data!B189*1000)-(IF(OR(Inputs!$C$27=TRUE,Inputs!$C$27="TRUE",Inputs!$C$27=1),1,0)*(Inputs!$C$51*(115*EXP(-(((0)-25)^2)/(4.5^2))+70*EXP(-(((0)+38)^2)/(7^2))*(0.55+0.45*SIN(2*PI()*(Scenario_Data!T189)/45))+24*SIN(2*PI()*(0)/9+(Scenario_Data!T189)/18)*EXP(-(((0)+5)^2)/(22^2))+18*SIN(2*PI()*(Scenario_Data!T189)/70))+Inputs!$C$28*EXP(-(((Scenario_Data!T189)-Inputs!$C$29)^2)/(2*Inputs!$C$31^2))*EXP(-(((0)-Inputs!$C$30)^2)/(2*Inputs!$C$32^2))+-Inputs!$C$33*EXP(-(((((Scenario_Data!T189)-Inputs!$C$34)^2)+(((0)-Inputs!$C$35)^2))/(2*Inputs!$C$36^2)))+Inputs!$C$37*(0.55*SIN(2*PI()*(Scenario_Data!T189)/Inputs!$C$39)+0.35*COS(2*PI()*(0)/Inputs!$C$40)+0.2*SIN(2*PI()*((Scenario_Data!T189)+(0))/(0.5*(Inputs!$C$39+Inputs!$C$40))))+Inputs!$C$38*SIN(2*PI()*(Scenario_Data!T189)/Inputs!$C$39)*SIN(2*PI()*(0)/Inputs!$C$40)+-Inputs!$C$41*EXP(-(((0)-Inputs!$C$43)^2)/(2*Inputs!$C$44^2))*EXP(-(((Scenario_Data!T189)-Inputs!$C$42)^2)/(2*Inputs!$C$45^2))+Inputs!$C$48*(0.7*(0.45*SIN(2*PI()*(((Scenario_Data!T189)/Inputs!$C$49)+Inputs!$C$47*0.137))+0.35*COS(2*PI()*(((0)/Inputs!$C$50)+Inputs!$C$47*0.173))+0.2*SIN(2*PI()*((((Scenario_Data!T189)+(0))/(0.5*(Inputs!$C$49+Inputs!$C$50)))+Inputs!$C$47*0.097)))+0.3*(2*((SIN(((Scenario_Data!T189)*12.9898+(0)*78.233+Inputs!$C$47*37.719))*43758.5453)-INT((SIN(((Scenario_Data!T189)*12.9898+(0)*78.233+Inputs!$C$47*37.719))*43758.5453)))-1)))))/Inputs!$C$21*1000000</f>
        <v/>
      </c>
      <c r="Z189">
        <f>Scenario_Data!U189</f>
        <v/>
      </c>
      <c r="AA189">
        <f>2*((Scenario_Data!C189*1000)-(IF(OR(Inputs!$C$27=TRUE,Inputs!$C$27="TRUE",Inputs!$C$27=1),1,0)*(Inputs!$C$51*(115*EXP(-(((0)-25)^2)/(4.5^2))+70*EXP(-(((0)+38)^2)/(7^2))*(0.55+0.45*SIN(2*PI()*(Scenario_Data!U189)/45))+24*SIN(2*PI()*(0)/9+(Scenario_Data!U189)/18)*EXP(-(((0)+5)^2)/(22^2))+18*SIN(2*PI()*(Scenario_Data!U189)/70))+Inputs!$C$28*EXP(-(((Scenario_Data!U189)-Inputs!$C$29)^2)/(2*Inputs!$C$31^2))*EXP(-(((0)-Inputs!$C$30)^2)/(2*Inputs!$C$32^2))+-Inputs!$C$33*EXP(-(((((Scenario_Data!U189)-Inputs!$C$34)^2)+(((0)-Inputs!$C$35)^2))/(2*Inputs!$C$36^2)))+Inputs!$C$37*(0.55*SIN(2*PI()*(Scenario_Data!U189)/Inputs!$C$39)+0.35*COS(2*PI()*(0)/Inputs!$C$40)+0.2*SIN(2*PI()*((Scenario_Data!U189)+(0))/(0.5*(Inputs!$C$39+Inputs!$C$40))))+Inputs!$C$38*SIN(2*PI()*(Scenario_Data!U189)/Inputs!$C$39)*SIN(2*PI()*(0)/Inputs!$C$40)+-Inputs!$C$41*EXP(-(((0)-Inputs!$C$43)^2)/(2*Inputs!$C$44^2))*EXP(-(((Scenario_Data!U189)-Inputs!$C$42)^2)/(2*Inputs!$C$45^2))+Inputs!$C$48*(0.7*(0.45*SIN(2*PI()*(((Scenario_Data!U189)/Inputs!$C$49)+Inputs!$C$47*0.137))+0.35*COS(2*PI()*(((0)/Inputs!$C$50)+Inputs!$C$47*0.173))+0.2*SIN(2*PI()*((((Scenario_Data!U189)+(0))/(0.5*(Inputs!$C$49+Inputs!$C$50)))+Inputs!$C$47*0.097)))+0.3*(2*((SIN(((Scenario_Data!U189)*12.9898+(0)*78.233+Inputs!$C$47*37.719))*43758.5453)-INT((SIN(((Scenario_Data!U189)*12.9898+(0)*78.233+Inputs!$C$47*37.719))*43758.5453)))-1)))))/Inputs!$C$21*1000000</f>
        <v/>
      </c>
      <c r="AB189">
        <f>Scenario_Data!V189</f>
        <v/>
      </c>
      <c r="AC189">
        <f>2*((Scenario_Data!D189*1000)-(IF(OR(Inputs!$C$27=TRUE,Inputs!$C$27="TRUE",Inputs!$C$27=1),1,0)*(Inputs!$C$51*(115*EXP(-(((0)-25)^2)/(4.5^2))+70*EXP(-(((0)+38)^2)/(7^2))*(0.55+0.45*SIN(2*PI()*(Scenario_Data!V189)/45))+24*SIN(2*PI()*(0)/9+(Scenario_Data!V189)/18)*EXP(-(((0)+5)^2)/(22^2))+18*SIN(2*PI()*(Scenario_Data!V189)/70))+Inputs!$C$28*EXP(-(((Scenario_Data!V189)-Inputs!$C$29)^2)/(2*Inputs!$C$31^2))*EXP(-(((0)-Inputs!$C$30)^2)/(2*Inputs!$C$32^2))+-Inputs!$C$33*EXP(-(((((Scenario_Data!V189)-Inputs!$C$34)^2)+(((0)-Inputs!$C$35)^2))/(2*Inputs!$C$36^2)))+Inputs!$C$37*(0.55*SIN(2*PI()*(Scenario_Data!V189)/Inputs!$C$39)+0.35*COS(2*PI()*(0)/Inputs!$C$40)+0.2*SIN(2*PI()*((Scenario_Data!V189)+(0))/(0.5*(Inputs!$C$39+Inputs!$C$40))))+Inputs!$C$38*SIN(2*PI()*(Scenario_Data!V189)/Inputs!$C$39)*SIN(2*PI()*(0)/Inputs!$C$40)+-Inputs!$C$41*EXP(-(((0)-Inputs!$C$43)^2)/(2*Inputs!$C$44^2))*EXP(-(((Scenario_Data!V189)-Inputs!$C$42)^2)/(2*Inputs!$C$45^2))+Inputs!$C$48*(0.7*(0.45*SIN(2*PI()*(((Scenario_Data!V189)/Inputs!$C$49)+Inputs!$C$47*0.137))+0.35*COS(2*PI()*(((0)/Inputs!$C$50)+Inputs!$C$47*0.173))+0.2*SIN(2*PI()*((((Scenario_Data!V189)+(0))/(0.5*(Inputs!$C$49+Inputs!$C$50)))+Inputs!$C$47*0.097)))+0.3*(2*((SIN(((Scenario_Data!V189)*12.9898+(0)*78.233+Inputs!$C$47*37.719))*43758.5453)-INT((SIN(((Scenario_Data!V189)*12.9898+(0)*78.233+Inputs!$C$47*37.719))*43758.5453)))-1)))))/Inputs!$C$21*1000000</f>
        <v/>
      </c>
      <c r="AD189">
        <f>Scenario_Data!W189</f>
        <v/>
      </c>
      <c r="AE189">
        <f>2*((Scenario_Data!E189*1000)-(IF(OR(Inputs!$C$27=TRUE,Inputs!$C$27="TRUE",Inputs!$C$27=1),1,0)*(Inputs!$C$51*(115*EXP(-(((0)-25)^2)/(4.5^2))+70*EXP(-(((0)+38)^2)/(7^2))*(0.55+0.45*SIN(2*PI()*(Scenario_Data!W189)/45))+24*SIN(2*PI()*(0)/9+(Scenario_Data!W189)/18)*EXP(-(((0)+5)^2)/(22^2))+18*SIN(2*PI()*(Scenario_Data!W189)/70))+Inputs!$C$28*EXP(-(((Scenario_Data!W189)-Inputs!$C$29)^2)/(2*Inputs!$C$31^2))*EXP(-(((0)-Inputs!$C$30)^2)/(2*Inputs!$C$32^2))+-Inputs!$C$33*EXP(-(((((Scenario_Data!W189)-Inputs!$C$34)^2)+(((0)-Inputs!$C$35)^2))/(2*Inputs!$C$36^2)))+Inputs!$C$37*(0.55*SIN(2*PI()*(Scenario_Data!W189)/Inputs!$C$39)+0.35*COS(2*PI()*(0)/Inputs!$C$40)+0.2*SIN(2*PI()*((Scenario_Data!W189)+(0))/(0.5*(Inputs!$C$39+Inputs!$C$40))))+Inputs!$C$38*SIN(2*PI()*(Scenario_Data!W189)/Inputs!$C$39)*SIN(2*PI()*(0)/Inputs!$C$40)+-Inputs!$C$41*EXP(-(((0)-Inputs!$C$43)^2)/(2*Inputs!$C$44^2))*EXP(-(((Scenario_Data!W189)-Inputs!$C$42)^2)/(2*Inputs!$C$45^2))+Inputs!$C$48*(0.7*(0.45*SIN(2*PI()*(((Scenario_Data!W189)/Inputs!$C$49)+Inputs!$C$47*0.137))+0.35*COS(2*PI()*(((0)/Inputs!$C$50)+Inputs!$C$47*0.173))+0.2*SIN(2*PI()*((((Scenario_Data!W189)+(0))/(0.5*(Inputs!$C$49+Inputs!$C$50)))+Inputs!$C$47*0.097)))+0.3*(2*((SIN(((Scenario_Data!W189)*12.9898+(0)*78.233+Inputs!$C$47*37.719))*43758.5453)-INT((SIN(((Scenario_Data!W189)*12.9898+(0)*78.233+Inputs!$C$47*37.719))*43758.5453)))-1)))))/Inputs!$C$21*1000000</f>
        <v/>
      </c>
      <c r="AG189">
        <f>Scenario_Data!T189</f>
        <v/>
      </c>
      <c r="AH189">
        <f>2*(SQRT((Inputs!$C$52+(Scenario_Data!B189))^2+Inputs!$C$52^2-2*(Inputs!$C$52+(Scenario_Data!B189))*Inputs!$C$52*COS(SQRT((Scenario_Data!T189)^2+Inputs!$C$6^2)/Inputs!$C$52))*1000)/Inputs!$C$21*1000000</f>
        <v/>
      </c>
      <c r="AI189">
        <f>Scenario_Data!U189</f>
        <v/>
      </c>
      <c r="AJ189">
        <f>2*(SQRT((Inputs!$C$52+(Scenario_Data!C189))^2+Inputs!$C$52^2-2*(Inputs!$C$52+(Scenario_Data!C189))*Inputs!$C$52*COS(SQRT((Scenario_Data!U189)^2+Inputs!$C$6^2)/Inputs!$C$52))*1000)/Inputs!$C$21*1000000</f>
        <v/>
      </c>
      <c r="AK189">
        <f>Scenario_Data!V189</f>
        <v/>
      </c>
      <c r="AL189">
        <f>2*(SQRT((Inputs!$C$52+(Scenario_Data!D189))^2+Inputs!$C$52^2-2*(Inputs!$C$52+(Scenario_Data!D189))*Inputs!$C$52*COS(SQRT((Scenario_Data!V189)^2+Inputs!$C$6^2)/Inputs!$C$52))*1000)/Inputs!$C$21*1000000</f>
        <v/>
      </c>
      <c r="AM189">
        <f>Scenario_Data!W189</f>
        <v/>
      </c>
      <c r="AN189">
        <f>2*(SQRT((Inputs!$C$52+(Scenario_Data!E189))^2+Inputs!$C$52^2-2*(Inputs!$C$52+(Scenario_Data!E189))*Inputs!$C$52*COS(SQRT((Scenario_Data!W189)^2+Inputs!$C$6^2)/Inputs!$C$52))*1000)/Inputs!$C$21*1000000</f>
        <v/>
      </c>
      <c r="AP189">
        <f>Scenario_Data!T189</f>
        <v/>
      </c>
      <c r="AQ189">
        <f>2*(SQRT((Inputs!$C$52+(Scenario_Data!B189))^2+(Inputs!$C$52+((IF(OR(Inputs!$C$27=TRUE,Inputs!$C$27="TRUE",Inputs!$C$27=1),1,0)*(Inputs!$C$51*(115*EXP(-(((Inputs!$C$6)-25)^2)/(4.5^2))+70*EXP(-(((Inputs!$C$6)+38)^2)/(7^2))*(0.55+0.45*SIN(2*PI()*(Scenario_Data!T189)/45))+24*SIN(2*PI()*(Inputs!$C$6)/9+(Scenario_Data!T189)/18)*EXP(-(((Inputs!$C$6)+5)^2)/(22^2))+18*SIN(2*PI()*(Scenario_Data!T189)/70))+Inputs!$C$28*EXP(-(((Scenario_Data!T189)-Inputs!$C$29)^2)/(2*Inputs!$C$31^2))*EXP(-(((Inputs!$C$6)-Inputs!$C$30)^2)/(2*Inputs!$C$32^2))+-Inputs!$C$33*EXP(-(((((Scenario_Data!T189)-Inputs!$C$34)^2)+(((Inputs!$C$6)-Inputs!$C$35)^2))/(2*Inputs!$C$36^2)))+Inputs!$C$37*(0.55*SIN(2*PI()*(Scenario_Data!T189)/Inputs!$C$39)+0.35*COS(2*PI()*(Inputs!$C$6)/Inputs!$C$40)+0.2*SIN(2*PI()*((Scenario_Data!T189)+(Inputs!$C$6))/(0.5*(Inputs!$C$39+Inputs!$C$40))))+Inputs!$C$38*SIN(2*PI()*(Scenario_Data!T189)/Inputs!$C$39)*SIN(2*PI()*(Inputs!$C$6)/Inputs!$C$40)+-Inputs!$C$41*EXP(-(((Inputs!$C$6)-Inputs!$C$43)^2)/(2*Inputs!$C$44^2))*EXP(-(((Scenario_Data!T189)-Inputs!$C$42)^2)/(2*Inputs!$C$45^2))+Inputs!$C$48*(0.7*(0.45*SIN(2*PI()*(((Scenario_Data!T189)/Inputs!$C$49)+Inputs!$C$47*0.137))+0.35*COS(2*PI()*(((Inputs!$C$6)/Inputs!$C$50)+Inputs!$C$47*0.173))+0.2*SIN(2*PI()*((((Scenario_Data!T189)+(Inputs!$C$6))/(0.5*(Inputs!$C$49+Inputs!$C$50)))+Inputs!$C$47*0.097)))+0.3*(2*((SIN(((Scenario_Data!T189)*12.9898+(Inputs!$C$6)*78.233+Inputs!$C$47*37.719))*43758.5453)-INT((SIN(((Scenario_Data!T189)*12.9898+(Inputs!$C$6)*78.233+Inputs!$C$47*37.719))*43758.5453)))-1))))/1000))^2-2*(Inputs!$C$52+(Scenario_Data!B189))*(Inputs!$C$52+((IF(OR(Inputs!$C$27=TRUE,Inputs!$C$27="TRUE",Inputs!$C$27=1),1,0)*(Inputs!$C$51*(115*EXP(-(((Inputs!$C$6)-25)^2)/(4.5^2))+70*EXP(-(((Inputs!$C$6)+38)^2)/(7^2))*(0.55+0.45*SIN(2*PI()*(Scenario_Data!T189)/45))+24*SIN(2*PI()*(Inputs!$C$6)/9+(Scenario_Data!T189)/18)*EXP(-(((Inputs!$C$6)+5)^2)/(22^2))+18*SIN(2*PI()*(Scenario_Data!T189)/70))+Inputs!$C$28*EXP(-(((Scenario_Data!T189)-Inputs!$C$29)^2)/(2*Inputs!$C$31^2))*EXP(-(((Inputs!$C$6)-Inputs!$C$30)^2)/(2*Inputs!$C$32^2))+-Inputs!$C$33*EXP(-(((((Scenario_Data!T189)-Inputs!$C$34)^2)+(((Inputs!$C$6)-Inputs!$C$35)^2))/(2*Inputs!$C$36^2)))+Inputs!$C$37*(0.55*SIN(2*PI()*(Scenario_Data!T189)/Inputs!$C$39)+0.35*COS(2*PI()*(Inputs!$C$6)/Inputs!$C$40)+0.2*SIN(2*PI()*((Scenario_Data!T189)+(Inputs!$C$6))/(0.5*(Inputs!$C$39+Inputs!$C$40))))+Inputs!$C$38*SIN(2*PI()*(Scenario_Data!T189)/Inputs!$C$39)*SIN(2*PI()*(Inputs!$C$6)/Inputs!$C$40)+-Inputs!$C$41*EXP(-(((Inputs!$C$6)-Inputs!$C$43)^2)/(2*Inputs!$C$44^2))*EXP(-(((Scenario_Data!T189)-Inputs!$C$42)^2)/(2*Inputs!$C$45^2))+Inputs!$C$48*(0.7*(0.45*SIN(2*PI()*(((Scenario_Data!T189)/Inputs!$C$49)+Inputs!$C$47*0.137))+0.35*COS(2*PI()*(((Inputs!$C$6)/Inputs!$C$50)+Inputs!$C$47*0.173))+0.2*SIN(2*PI()*((((Scenario_Data!T189)+(Inputs!$C$6))/(0.5*(Inputs!$C$49+Inputs!$C$50)))+Inputs!$C$47*0.097)))+0.3*(2*((SIN(((Scenario_Data!T189)*12.9898+(Inputs!$C$6)*78.233+Inputs!$C$47*37.719))*43758.5453)-INT((SIN(((Scenario_Data!T189)*12.9898+(Inputs!$C$6)*78.233+Inputs!$C$47*37.719))*43758.5453)))-1))))/1000))*COS(SQRT((Scenario_Data!T189)^2+Inputs!$C$6^2)/Inputs!$C$52))*1000)/Inputs!$C$21*1000000</f>
        <v/>
      </c>
      <c r="AR189">
        <f>Scenario_Data!U189</f>
        <v/>
      </c>
      <c r="AS189">
        <f>2*(SQRT((Inputs!$C$52+(Scenario_Data!C189))^2+(Inputs!$C$52+((IF(OR(Inputs!$C$27=TRUE,Inputs!$C$27="TRUE",Inputs!$C$27=1),1,0)*(Inputs!$C$51*(115*EXP(-(((Inputs!$C$6)-25)^2)/(4.5^2))+70*EXP(-(((Inputs!$C$6)+38)^2)/(7^2))*(0.55+0.45*SIN(2*PI()*(Scenario_Data!U189)/45))+24*SIN(2*PI()*(Inputs!$C$6)/9+(Scenario_Data!U189)/18)*EXP(-(((Inputs!$C$6)+5)^2)/(22^2))+18*SIN(2*PI()*(Scenario_Data!U189)/70))+Inputs!$C$28*EXP(-(((Scenario_Data!U189)-Inputs!$C$29)^2)/(2*Inputs!$C$31^2))*EXP(-(((Inputs!$C$6)-Inputs!$C$30)^2)/(2*Inputs!$C$32^2))+-Inputs!$C$33*EXP(-(((((Scenario_Data!U189)-Inputs!$C$34)^2)+(((Inputs!$C$6)-Inputs!$C$35)^2))/(2*Inputs!$C$36^2)))+Inputs!$C$37*(0.55*SIN(2*PI()*(Scenario_Data!U189)/Inputs!$C$39)+0.35*COS(2*PI()*(Inputs!$C$6)/Inputs!$C$40)+0.2*SIN(2*PI()*((Scenario_Data!U189)+(Inputs!$C$6))/(0.5*(Inputs!$C$39+Inputs!$C$40))))+Inputs!$C$38*SIN(2*PI()*(Scenario_Data!U189)/Inputs!$C$39)*SIN(2*PI()*(Inputs!$C$6)/Inputs!$C$40)+-Inputs!$C$41*EXP(-(((Inputs!$C$6)-Inputs!$C$43)^2)/(2*Inputs!$C$44^2))*EXP(-(((Scenario_Data!U189)-Inputs!$C$42)^2)/(2*Inputs!$C$45^2))+Inputs!$C$48*(0.7*(0.45*SIN(2*PI()*(((Scenario_Data!U189)/Inputs!$C$49)+Inputs!$C$47*0.137))+0.35*COS(2*PI()*(((Inputs!$C$6)/Inputs!$C$50)+Inputs!$C$47*0.173))+0.2*SIN(2*PI()*((((Scenario_Data!U189)+(Inputs!$C$6))/(0.5*(Inputs!$C$49+Inputs!$C$50)))+Inputs!$C$47*0.097)))+0.3*(2*((SIN(((Scenario_Data!U189)*12.9898+(Inputs!$C$6)*78.233+Inputs!$C$47*37.719))*43758.5453)-INT((SIN(((Scenario_Data!U189)*12.9898+(Inputs!$C$6)*78.233+Inputs!$C$47*37.719))*43758.5453)))-1))))/1000))^2-2*(Inputs!$C$52+(Scenario_Data!C189))*(Inputs!$C$52+((IF(OR(Inputs!$C$27=TRUE,Inputs!$C$27="TRUE",Inputs!$C$27=1),1,0)*(Inputs!$C$51*(115*EXP(-(((Inputs!$C$6)-25)^2)/(4.5^2))+70*EXP(-(((Inputs!$C$6)+38)^2)/(7^2))*(0.55+0.45*SIN(2*PI()*(Scenario_Data!U189)/45))+24*SIN(2*PI()*(Inputs!$C$6)/9+(Scenario_Data!U189)/18)*EXP(-(((Inputs!$C$6)+5)^2)/(22^2))+18*SIN(2*PI()*(Scenario_Data!U189)/70))+Inputs!$C$28*EXP(-(((Scenario_Data!U189)-Inputs!$C$29)^2)/(2*Inputs!$C$31^2))*EXP(-(((Inputs!$C$6)-Inputs!$C$30)^2)/(2*Inputs!$C$32^2))+-Inputs!$C$33*EXP(-(((((Scenario_Data!U189)-Inputs!$C$34)^2)+(((Inputs!$C$6)-Inputs!$C$35)^2))/(2*Inputs!$C$36^2)))+Inputs!$C$37*(0.55*SIN(2*PI()*(Scenario_Data!U189)/Inputs!$C$39)+0.35*COS(2*PI()*(Inputs!$C$6)/Inputs!$C$40)+0.2*SIN(2*PI()*((Scenario_Data!U189)+(Inputs!$C$6))/(0.5*(Inputs!$C$39+Inputs!$C$40))))+Inputs!$C$38*SIN(2*PI()*(Scenario_Data!U189)/Inputs!$C$39)*SIN(2*PI()*(Inputs!$C$6)/Inputs!$C$40)+-Inputs!$C$41*EXP(-(((Inputs!$C$6)-Inputs!$C$43)^2)/(2*Inputs!$C$44^2))*EXP(-(((Scenario_Data!U189)-Inputs!$C$42)^2)/(2*Inputs!$C$45^2))+Inputs!$C$48*(0.7*(0.45*SIN(2*PI()*(((Scenario_Data!U189)/Inputs!$C$49)+Inputs!$C$47*0.137))+0.35*COS(2*PI()*(((Inputs!$C$6)/Inputs!$C$50)+Inputs!$C$47*0.173))+0.2*SIN(2*PI()*((((Scenario_Data!U189)+(Inputs!$C$6))/(0.5*(Inputs!$C$49+Inputs!$C$50)))+Inputs!$C$47*0.097)))+0.3*(2*((SIN(((Scenario_Data!U189)*12.9898+(Inputs!$C$6)*78.233+Inputs!$C$47*37.719))*43758.5453)-INT((SIN(((Scenario_Data!U189)*12.9898+(Inputs!$C$6)*78.233+Inputs!$C$47*37.719))*43758.5453)))-1))))/1000))*COS(SQRT((Scenario_Data!U189)^2+Inputs!$C$6^2)/Inputs!$C$52))*1000)/Inputs!$C$21*1000000</f>
        <v/>
      </c>
      <c r="AT189">
        <f>Scenario_Data!V189</f>
        <v/>
      </c>
      <c r="AU189">
        <f>2*(SQRT((Inputs!$C$52+(Scenario_Data!D189))^2+(Inputs!$C$52+((IF(OR(Inputs!$C$27=TRUE,Inputs!$C$27="TRUE",Inputs!$C$27=1),1,0)*(Inputs!$C$51*(115*EXP(-(((Inputs!$C$6)-25)^2)/(4.5^2))+70*EXP(-(((Inputs!$C$6)+38)^2)/(7^2))*(0.55+0.45*SIN(2*PI()*(Scenario_Data!V189)/45))+24*SIN(2*PI()*(Inputs!$C$6)/9+(Scenario_Data!V189)/18)*EXP(-(((Inputs!$C$6)+5)^2)/(22^2))+18*SIN(2*PI()*(Scenario_Data!V189)/70))+Inputs!$C$28*EXP(-(((Scenario_Data!V189)-Inputs!$C$29)^2)/(2*Inputs!$C$31^2))*EXP(-(((Inputs!$C$6)-Inputs!$C$30)^2)/(2*Inputs!$C$32^2))+-Inputs!$C$33*EXP(-(((((Scenario_Data!V189)-Inputs!$C$34)^2)+(((Inputs!$C$6)-Inputs!$C$35)^2))/(2*Inputs!$C$36^2)))+Inputs!$C$37*(0.55*SIN(2*PI()*(Scenario_Data!V189)/Inputs!$C$39)+0.35*COS(2*PI()*(Inputs!$C$6)/Inputs!$C$40)+0.2*SIN(2*PI()*((Scenario_Data!V189)+(Inputs!$C$6))/(0.5*(Inputs!$C$39+Inputs!$C$40))))+Inputs!$C$38*SIN(2*PI()*(Scenario_Data!V189)/Inputs!$C$39)*SIN(2*PI()*(Inputs!$C$6)/Inputs!$C$40)+-Inputs!$C$41*EXP(-(((Inputs!$C$6)-Inputs!$C$43)^2)/(2*Inputs!$C$44^2))*EXP(-(((Scenario_Data!V189)-Inputs!$C$42)^2)/(2*Inputs!$C$45^2))+Inputs!$C$48*(0.7*(0.45*SIN(2*PI()*(((Scenario_Data!V189)/Inputs!$C$49)+Inputs!$C$47*0.137))+0.35*COS(2*PI()*(((Inputs!$C$6)/Inputs!$C$50)+Inputs!$C$47*0.173))+0.2*SIN(2*PI()*((((Scenario_Data!V189)+(Inputs!$C$6))/(0.5*(Inputs!$C$49+Inputs!$C$50)))+Inputs!$C$47*0.097)))+0.3*(2*((SIN(((Scenario_Data!V189)*12.9898+(Inputs!$C$6)*78.233+Inputs!$C$47*37.719))*43758.5453)-INT((SIN(((Scenario_Data!V189)*12.9898+(Inputs!$C$6)*78.233+Inputs!$C$47*37.719))*43758.5453)))-1))))/1000))^2-2*(Inputs!$C$52+(Scenario_Data!D189))*(Inputs!$C$52+((IF(OR(Inputs!$C$27=TRUE,Inputs!$C$27="TRUE",Inputs!$C$27=1),1,0)*(Inputs!$C$51*(115*EXP(-(((Inputs!$C$6)-25)^2)/(4.5^2))+70*EXP(-(((Inputs!$C$6)+38)^2)/(7^2))*(0.55+0.45*SIN(2*PI()*(Scenario_Data!V189)/45))+24*SIN(2*PI()*(Inputs!$C$6)/9+(Scenario_Data!V189)/18)*EXP(-(((Inputs!$C$6)+5)^2)/(22^2))+18*SIN(2*PI()*(Scenario_Data!V189)/70))+Inputs!$C$28*EXP(-(((Scenario_Data!V189)-Inputs!$C$29)^2)/(2*Inputs!$C$31^2))*EXP(-(((Inputs!$C$6)-Inputs!$C$30)^2)/(2*Inputs!$C$32^2))+-Inputs!$C$33*EXP(-(((((Scenario_Data!V189)-Inputs!$C$34)^2)+(((Inputs!$C$6)-Inputs!$C$35)^2))/(2*Inputs!$C$36^2)))+Inputs!$C$37*(0.55*SIN(2*PI()*(Scenario_Data!V189)/Inputs!$C$39)+0.35*COS(2*PI()*(Inputs!$C$6)/Inputs!$C$40)+0.2*SIN(2*PI()*((Scenario_Data!V189)+(Inputs!$C$6))/(0.5*(Inputs!$C$39+Inputs!$C$40))))+Inputs!$C$38*SIN(2*PI()*(Scenario_Data!V189)/Inputs!$C$39)*SIN(2*PI()*(Inputs!$C$6)/Inputs!$C$40)+-Inputs!$C$41*EXP(-(((Inputs!$C$6)-Inputs!$C$43)^2)/(2*Inputs!$C$44^2))*EXP(-(((Scenario_Data!V189)-Inputs!$C$42)^2)/(2*Inputs!$C$45^2))+Inputs!$C$48*(0.7*(0.45*SIN(2*PI()*(((Scenario_Data!V189)/Inputs!$C$49)+Inputs!$C$47*0.137))+0.35*COS(2*PI()*(((Inputs!$C$6)/Inputs!$C$50)+Inputs!$C$47*0.173))+0.2*SIN(2*PI()*((((Scenario_Data!V189)+(Inputs!$C$6))/(0.5*(Inputs!$C$49+Inputs!$C$50)))+Inputs!$C$47*0.097)))+0.3*(2*((SIN(((Scenario_Data!V189)*12.9898+(Inputs!$C$6)*78.233+Inputs!$C$47*37.719))*43758.5453)-INT((SIN(((Scenario_Data!V189)*12.9898+(Inputs!$C$6)*78.233+Inputs!$C$47*37.719))*43758.5453)))-1))))/1000))*COS(SQRT((Scenario_Data!V189)^2+Inputs!$C$6^2)/Inputs!$C$52))*1000)/Inputs!$C$21*1000000</f>
        <v/>
      </c>
      <c r="AV189">
        <f>Scenario_Data!W189</f>
        <v/>
      </c>
      <c r="AW189">
        <f>2*(SQRT((Inputs!$C$52+(Scenario_Data!E189))^2+(Inputs!$C$52+((IF(OR(Inputs!$C$27=TRUE,Inputs!$C$27="TRUE",Inputs!$C$27=1),1,0)*(Inputs!$C$51*(115*EXP(-(((Inputs!$C$6)-25)^2)/(4.5^2))+70*EXP(-(((Inputs!$C$6)+38)^2)/(7^2))*(0.55+0.45*SIN(2*PI()*(Scenario_Data!W189)/45))+24*SIN(2*PI()*(Inputs!$C$6)/9+(Scenario_Data!W189)/18)*EXP(-(((Inputs!$C$6)+5)^2)/(22^2))+18*SIN(2*PI()*(Scenario_Data!W189)/70))+Inputs!$C$28*EXP(-(((Scenario_Data!W189)-Inputs!$C$29)^2)/(2*Inputs!$C$31^2))*EXP(-(((Inputs!$C$6)-Inputs!$C$30)^2)/(2*Inputs!$C$32^2))+-Inputs!$C$33*EXP(-(((((Scenario_Data!W189)-Inputs!$C$34)^2)+(((Inputs!$C$6)-Inputs!$C$35)^2))/(2*Inputs!$C$36^2)))+Inputs!$C$37*(0.55*SIN(2*PI()*(Scenario_Data!W189)/Inputs!$C$39)+0.35*COS(2*PI()*(Inputs!$C$6)/Inputs!$C$40)+0.2*SIN(2*PI()*((Scenario_Data!W189)+(Inputs!$C$6))/(0.5*(Inputs!$C$39+Inputs!$C$40))))+Inputs!$C$38*SIN(2*PI()*(Scenario_Data!W189)/Inputs!$C$39)*SIN(2*PI()*(Inputs!$C$6)/Inputs!$C$40)+-Inputs!$C$41*EXP(-(((Inputs!$C$6)-Inputs!$C$43)^2)/(2*Inputs!$C$44^2))*EXP(-(((Scenario_Data!W189)-Inputs!$C$42)^2)/(2*Inputs!$C$45^2))+Inputs!$C$48*(0.7*(0.45*SIN(2*PI()*(((Scenario_Data!W189)/Inputs!$C$49)+Inputs!$C$47*0.137))+0.35*COS(2*PI()*(((Inputs!$C$6)/Inputs!$C$50)+Inputs!$C$47*0.173))+0.2*SIN(2*PI()*((((Scenario_Data!W189)+(Inputs!$C$6))/(0.5*(Inputs!$C$49+Inputs!$C$50)))+Inputs!$C$47*0.097)))+0.3*(2*((SIN(((Scenario_Data!W189)*12.9898+(Inputs!$C$6)*78.233+Inputs!$C$47*37.719))*43758.5453)-INT((SIN(((Scenario_Data!W189)*12.9898+(Inputs!$C$6)*78.233+Inputs!$C$47*37.719))*43758.5453)))-1))))/1000))^2-2*(Inputs!$C$52+(Scenario_Data!E189))*(Inputs!$C$52+((IF(OR(Inputs!$C$27=TRUE,Inputs!$C$27="TRUE",Inputs!$C$27=1),1,0)*(Inputs!$C$51*(115*EXP(-(((Inputs!$C$6)-25)^2)/(4.5^2))+70*EXP(-(((Inputs!$C$6)+38)^2)/(7^2))*(0.55+0.45*SIN(2*PI()*(Scenario_Data!W189)/45))+24*SIN(2*PI()*(Inputs!$C$6)/9+(Scenario_Data!W189)/18)*EXP(-(((Inputs!$C$6)+5)^2)/(22^2))+18*SIN(2*PI()*(Scenario_Data!W189)/70))+Inputs!$C$28*EXP(-(((Scenario_Data!W189)-Inputs!$C$29)^2)/(2*Inputs!$C$31^2))*EXP(-(((Inputs!$C$6)-Inputs!$C$30)^2)/(2*Inputs!$C$32^2))+-Inputs!$C$33*EXP(-(((((Scenario_Data!W189)-Inputs!$C$34)^2)+(((Inputs!$C$6)-Inputs!$C$35)^2))/(2*Inputs!$C$36^2)))+Inputs!$C$37*(0.55*SIN(2*PI()*(Scenario_Data!W189)/Inputs!$C$39)+0.35*COS(2*PI()*(Inputs!$C$6)/Inputs!$C$40)+0.2*SIN(2*PI()*((Scenario_Data!W189)+(Inputs!$C$6))/(0.5*(Inputs!$C$39+Inputs!$C$40))))+Inputs!$C$38*SIN(2*PI()*(Scenario_Data!W189)/Inputs!$C$39)*SIN(2*PI()*(Inputs!$C$6)/Inputs!$C$40)+-Inputs!$C$41*EXP(-(((Inputs!$C$6)-Inputs!$C$43)^2)/(2*Inputs!$C$44^2))*EXP(-(((Scenario_Data!W189)-Inputs!$C$42)^2)/(2*Inputs!$C$45^2))+Inputs!$C$48*(0.7*(0.45*SIN(2*PI()*(((Scenario_Data!W189)/Inputs!$C$49)+Inputs!$C$47*0.137))+0.35*COS(2*PI()*(((Inputs!$C$6)/Inputs!$C$50)+Inputs!$C$47*0.173))+0.2*SIN(2*PI()*((((Scenario_Data!W189)+(Inputs!$C$6))/(0.5*(Inputs!$C$49+Inputs!$C$50)))+Inputs!$C$47*0.097)))+0.3*(2*((SIN(((Scenario_Data!W189)*12.9898+(Inputs!$C$6)*78.233+Inputs!$C$47*37.719))*43758.5453)-INT((SIN(((Scenario_Data!W189)*12.9898+(Inputs!$C$6)*78.233+Inputs!$C$47*37.719))*43758.5453)))-1))))/1000))*COS(SQRT((Scenario_Data!W189)^2+Inputs!$C$6^2)/Inputs!$C$52))*1000)/Inputs!$C$21*1000000</f>
        <v/>
      </c>
    </row>
    <row r="190">
      <c r="A190">
        <f>Chart_Data!K190</f>
        <v/>
      </c>
      <c r="B190">
        <f>Chart_Data!N190-Chart_Data!L190</f>
        <v/>
      </c>
      <c r="D190">
        <f>Chart_Data!G190</f>
        <v/>
      </c>
      <c r="E190">
        <f>Chart_Data!H190</f>
        <v/>
      </c>
      <c r="F190">
        <f>Chart_Data!I190</f>
        <v/>
      </c>
      <c r="G190">
        <f>Chart_Data!J190</f>
        <v/>
      </c>
      <c r="I190">
        <f>Scenario_Data!A190</f>
        <v/>
      </c>
      <c r="J190">
        <f>Scenario_Data!H190-(((SQRT((Inputs!$C$52+(Inputs!$H$6))^2+Inputs!$C$52^2-2*(Inputs!$C$52+(Inputs!$H$6))*Inputs!$C$52*COS(SQRT((Scenario_Data!T190)^2+Inputs!$C$6^2)/Inputs!$C$52)))-(Inputs!$H$6))*1000/Inputs!$C$12)</f>
        <v/>
      </c>
      <c r="K190">
        <f>Scenario_Data!I190-(((SQRT((Inputs!$C$52+(Inputs!$H$7))^2+Inputs!$C$52^2-2*(Inputs!$C$52+(Inputs!$H$7))*Inputs!$C$52*COS(SQRT((Scenario_Data!U190)^2+Inputs!$C$6^2)/Inputs!$C$52)))-(Inputs!$H$7))*1000/Inputs!$C$12)</f>
        <v/>
      </c>
      <c r="L190">
        <f>Scenario_Data!J190-(((SQRT((Inputs!$C$52+(Inputs!$H$8))^2+Inputs!$C$52^2-2*(Inputs!$C$52+(Inputs!$H$8))*Inputs!$C$52*COS(SQRT((Scenario_Data!V190)^2+Inputs!$C$6^2)/Inputs!$C$52)))-(Inputs!$H$8))*1000/Inputs!$C$12)</f>
        <v/>
      </c>
      <c r="M190">
        <f>Scenario_Data!K190-(((SQRT((Inputs!$C$52+(Inputs!$H$9))^2+Inputs!$C$52^2-2*(Inputs!$C$52+(Inputs!$H$9))*Inputs!$C$52*COS(SQRT((Scenario_Data!W190)^2+Inputs!$C$6^2)/Inputs!$C$52)))-(Inputs!$H$9))*1000/Inputs!$C$12)</f>
        <v/>
      </c>
      <c r="O190">
        <f>Scenario_Data!T190</f>
        <v/>
      </c>
      <c r="P190">
        <f>2*(Scenario_Data!B190*1000)/Inputs!$C$21*1000000</f>
        <v/>
      </c>
      <c r="Q190">
        <f>Scenario_Data!U190</f>
        <v/>
      </c>
      <c r="R190">
        <f>2*(Scenario_Data!C190*1000)/Inputs!$C$21*1000000</f>
        <v/>
      </c>
      <c r="S190">
        <f>Scenario_Data!V190</f>
        <v/>
      </c>
      <c r="T190">
        <f>2*(Scenario_Data!D190*1000)/Inputs!$C$21*1000000</f>
        <v/>
      </c>
      <c r="U190">
        <f>Scenario_Data!W190</f>
        <v/>
      </c>
      <c r="V190">
        <f>2*(Scenario_Data!E190*1000)/Inputs!$C$21*1000000</f>
        <v/>
      </c>
      <c r="X190">
        <f>Scenario_Data!T190</f>
        <v/>
      </c>
      <c r="Y190">
        <f>2*((Scenario_Data!B190*1000)-(IF(OR(Inputs!$C$27=TRUE,Inputs!$C$27="TRUE",Inputs!$C$27=1),1,0)*(Inputs!$C$51*(115*EXP(-(((0)-25)^2)/(4.5^2))+70*EXP(-(((0)+38)^2)/(7^2))*(0.55+0.45*SIN(2*PI()*(Scenario_Data!T190)/45))+24*SIN(2*PI()*(0)/9+(Scenario_Data!T190)/18)*EXP(-(((0)+5)^2)/(22^2))+18*SIN(2*PI()*(Scenario_Data!T190)/70))+Inputs!$C$28*EXP(-(((Scenario_Data!T190)-Inputs!$C$29)^2)/(2*Inputs!$C$31^2))*EXP(-(((0)-Inputs!$C$30)^2)/(2*Inputs!$C$32^2))+-Inputs!$C$33*EXP(-(((((Scenario_Data!T190)-Inputs!$C$34)^2)+(((0)-Inputs!$C$35)^2))/(2*Inputs!$C$36^2)))+Inputs!$C$37*(0.55*SIN(2*PI()*(Scenario_Data!T190)/Inputs!$C$39)+0.35*COS(2*PI()*(0)/Inputs!$C$40)+0.2*SIN(2*PI()*((Scenario_Data!T190)+(0))/(0.5*(Inputs!$C$39+Inputs!$C$40))))+Inputs!$C$38*SIN(2*PI()*(Scenario_Data!T190)/Inputs!$C$39)*SIN(2*PI()*(0)/Inputs!$C$40)+-Inputs!$C$41*EXP(-(((0)-Inputs!$C$43)^2)/(2*Inputs!$C$44^2))*EXP(-(((Scenario_Data!T190)-Inputs!$C$42)^2)/(2*Inputs!$C$45^2))+Inputs!$C$48*(0.7*(0.45*SIN(2*PI()*(((Scenario_Data!T190)/Inputs!$C$49)+Inputs!$C$47*0.137))+0.35*COS(2*PI()*(((0)/Inputs!$C$50)+Inputs!$C$47*0.173))+0.2*SIN(2*PI()*((((Scenario_Data!T190)+(0))/(0.5*(Inputs!$C$49+Inputs!$C$50)))+Inputs!$C$47*0.097)))+0.3*(2*((SIN(((Scenario_Data!T190)*12.9898+(0)*78.233+Inputs!$C$47*37.719))*43758.5453)-INT((SIN(((Scenario_Data!T190)*12.9898+(0)*78.233+Inputs!$C$47*37.719))*43758.5453)))-1)))))/Inputs!$C$21*1000000</f>
        <v/>
      </c>
      <c r="Z190">
        <f>Scenario_Data!U190</f>
        <v/>
      </c>
      <c r="AA190">
        <f>2*((Scenario_Data!C190*1000)-(IF(OR(Inputs!$C$27=TRUE,Inputs!$C$27="TRUE",Inputs!$C$27=1),1,0)*(Inputs!$C$51*(115*EXP(-(((0)-25)^2)/(4.5^2))+70*EXP(-(((0)+38)^2)/(7^2))*(0.55+0.45*SIN(2*PI()*(Scenario_Data!U190)/45))+24*SIN(2*PI()*(0)/9+(Scenario_Data!U190)/18)*EXP(-(((0)+5)^2)/(22^2))+18*SIN(2*PI()*(Scenario_Data!U190)/70))+Inputs!$C$28*EXP(-(((Scenario_Data!U190)-Inputs!$C$29)^2)/(2*Inputs!$C$31^2))*EXP(-(((0)-Inputs!$C$30)^2)/(2*Inputs!$C$32^2))+-Inputs!$C$33*EXP(-(((((Scenario_Data!U190)-Inputs!$C$34)^2)+(((0)-Inputs!$C$35)^2))/(2*Inputs!$C$36^2)))+Inputs!$C$37*(0.55*SIN(2*PI()*(Scenario_Data!U190)/Inputs!$C$39)+0.35*COS(2*PI()*(0)/Inputs!$C$40)+0.2*SIN(2*PI()*((Scenario_Data!U190)+(0))/(0.5*(Inputs!$C$39+Inputs!$C$40))))+Inputs!$C$38*SIN(2*PI()*(Scenario_Data!U190)/Inputs!$C$39)*SIN(2*PI()*(0)/Inputs!$C$40)+-Inputs!$C$41*EXP(-(((0)-Inputs!$C$43)^2)/(2*Inputs!$C$44^2))*EXP(-(((Scenario_Data!U190)-Inputs!$C$42)^2)/(2*Inputs!$C$45^2))+Inputs!$C$48*(0.7*(0.45*SIN(2*PI()*(((Scenario_Data!U190)/Inputs!$C$49)+Inputs!$C$47*0.137))+0.35*COS(2*PI()*(((0)/Inputs!$C$50)+Inputs!$C$47*0.173))+0.2*SIN(2*PI()*((((Scenario_Data!U190)+(0))/(0.5*(Inputs!$C$49+Inputs!$C$50)))+Inputs!$C$47*0.097)))+0.3*(2*((SIN(((Scenario_Data!U190)*12.9898+(0)*78.233+Inputs!$C$47*37.719))*43758.5453)-INT((SIN(((Scenario_Data!U190)*12.9898+(0)*78.233+Inputs!$C$47*37.719))*43758.5453)))-1)))))/Inputs!$C$21*1000000</f>
        <v/>
      </c>
      <c r="AB190">
        <f>Scenario_Data!V190</f>
        <v/>
      </c>
      <c r="AC190">
        <f>2*((Scenario_Data!D190*1000)-(IF(OR(Inputs!$C$27=TRUE,Inputs!$C$27="TRUE",Inputs!$C$27=1),1,0)*(Inputs!$C$51*(115*EXP(-(((0)-25)^2)/(4.5^2))+70*EXP(-(((0)+38)^2)/(7^2))*(0.55+0.45*SIN(2*PI()*(Scenario_Data!V190)/45))+24*SIN(2*PI()*(0)/9+(Scenario_Data!V190)/18)*EXP(-(((0)+5)^2)/(22^2))+18*SIN(2*PI()*(Scenario_Data!V190)/70))+Inputs!$C$28*EXP(-(((Scenario_Data!V190)-Inputs!$C$29)^2)/(2*Inputs!$C$31^2))*EXP(-(((0)-Inputs!$C$30)^2)/(2*Inputs!$C$32^2))+-Inputs!$C$33*EXP(-(((((Scenario_Data!V190)-Inputs!$C$34)^2)+(((0)-Inputs!$C$35)^2))/(2*Inputs!$C$36^2)))+Inputs!$C$37*(0.55*SIN(2*PI()*(Scenario_Data!V190)/Inputs!$C$39)+0.35*COS(2*PI()*(0)/Inputs!$C$40)+0.2*SIN(2*PI()*((Scenario_Data!V190)+(0))/(0.5*(Inputs!$C$39+Inputs!$C$40))))+Inputs!$C$38*SIN(2*PI()*(Scenario_Data!V190)/Inputs!$C$39)*SIN(2*PI()*(0)/Inputs!$C$40)+-Inputs!$C$41*EXP(-(((0)-Inputs!$C$43)^2)/(2*Inputs!$C$44^2))*EXP(-(((Scenario_Data!V190)-Inputs!$C$42)^2)/(2*Inputs!$C$45^2))+Inputs!$C$48*(0.7*(0.45*SIN(2*PI()*(((Scenario_Data!V190)/Inputs!$C$49)+Inputs!$C$47*0.137))+0.35*COS(2*PI()*(((0)/Inputs!$C$50)+Inputs!$C$47*0.173))+0.2*SIN(2*PI()*((((Scenario_Data!V190)+(0))/(0.5*(Inputs!$C$49+Inputs!$C$50)))+Inputs!$C$47*0.097)))+0.3*(2*((SIN(((Scenario_Data!V190)*12.9898+(0)*78.233+Inputs!$C$47*37.719))*43758.5453)-INT((SIN(((Scenario_Data!V190)*12.9898+(0)*78.233+Inputs!$C$47*37.719))*43758.5453)))-1)))))/Inputs!$C$21*1000000</f>
        <v/>
      </c>
      <c r="AD190">
        <f>Scenario_Data!W190</f>
        <v/>
      </c>
      <c r="AE190">
        <f>2*((Scenario_Data!E190*1000)-(IF(OR(Inputs!$C$27=TRUE,Inputs!$C$27="TRUE",Inputs!$C$27=1),1,0)*(Inputs!$C$51*(115*EXP(-(((0)-25)^2)/(4.5^2))+70*EXP(-(((0)+38)^2)/(7^2))*(0.55+0.45*SIN(2*PI()*(Scenario_Data!W190)/45))+24*SIN(2*PI()*(0)/9+(Scenario_Data!W190)/18)*EXP(-(((0)+5)^2)/(22^2))+18*SIN(2*PI()*(Scenario_Data!W190)/70))+Inputs!$C$28*EXP(-(((Scenario_Data!W190)-Inputs!$C$29)^2)/(2*Inputs!$C$31^2))*EXP(-(((0)-Inputs!$C$30)^2)/(2*Inputs!$C$32^2))+-Inputs!$C$33*EXP(-(((((Scenario_Data!W190)-Inputs!$C$34)^2)+(((0)-Inputs!$C$35)^2))/(2*Inputs!$C$36^2)))+Inputs!$C$37*(0.55*SIN(2*PI()*(Scenario_Data!W190)/Inputs!$C$39)+0.35*COS(2*PI()*(0)/Inputs!$C$40)+0.2*SIN(2*PI()*((Scenario_Data!W190)+(0))/(0.5*(Inputs!$C$39+Inputs!$C$40))))+Inputs!$C$38*SIN(2*PI()*(Scenario_Data!W190)/Inputs!$C$39)*SIN(2*PI()*(0)/Inputs!$C$40)+-Inputs!$C$41*EXP(-(((0)-Inputs!$C$43)^2)/(2*Inputs!$C$44^2))*EXP(-(((Scenario_Data!W190)-Inputs!$C$42)^2)/(2*Inputs!$C$45^2))+Inputs!$C$48*(0.7*(0.45*SIN(2*PI()*(((Scenario_Data!W190)/Inputs!$C$49)+Inputs!$C$47*0.137))+0.35*COS(2*PI()*(((0)/Inputs!$C$50)+Inputs!$C$47*0.173))+0.2*SIN(2*PI()*((((Scenario_Data!W190)+(0))/(0.5*(Inputs!$C$49+Inputs!$C$50)))+Inputs!$C$47*0.097)))+0.3*(2*((SIN(((Scenario_Data!W190)*12.9898+(0)*78.233+Inputs!$C$47*37.719))*43758.5453)-INT((SIN(((Scenario_Data!W190)*12.9898+(0)*78.233+Inputs!$C$47*37.719))*43758.5453)))-1)))))/Inputs!$C$21*1000000</f>
        <v/>
      </c>
      <c r="AG190">
        <f>Scenario_Data!T190</f>
        <v/>
      </c>
      <c r="AH190">
        <f>2*(SQRT((Inputs!$C$52+(Scenario_Data!B190))^2+Inputs!$C$52^2-2*(Inputs!$C$52+(Scenario_Data!B190))*Inputs!$C$52*COS(SQRT((Scenario_Data!T190)^2+Inputs!$C$6^2)/Inputs!$C$52))*1000)/Inputs!$C$21*1000000</f>
        <v/>
      </c>
      <c r="AI190">
        <f>Scenario_Data!U190</f>
        <v/>
      </c>
      <c r="AJ190">
        <f>2*(SQRT((Inputs!$C$52+(Scenario_Data!C190))^2+Inputs!$C$52^2-2*(Inputs!$C$52+(Scenario_Data!C190))*Inputs!$C$52*COS(SQRT((Scenario_Data!U190)^2+Inputs!$C$6^2)/Inputs!$C$52))*1000)/Inputs!$C$21*1000000</f>
        <v/>
      </c>
      <c r="AK190">
        <f>Scenario_Data!V190</f>
        <v/>
      </c>
      <c r="AL190">
        <f>2*(SQRT((Inputs!$C$52+(Scenario_Data!D190))^2+Inputs!$C$52^2-2*(Inputs!$C$52+(Scenario_Data!D190))*Inputs!$C$52*COS(SQRT((Scenario_Data!V190)^2+Inputs!$C$6^2)/Inputs!$C$52))*1000)/Inputs!$C$21*1000000</f>
        <v/>
      </c>
      <c r="AM190">
        <f>Scenario_Data!W190</f>
        <v/>
      </c>
      <c r="AN190">
        <f>2*(SQRT((Inputs!$C$52+(Scenario_Data!E190))^2+Inputs!$C$52^2-2*(Inputs!$C$52+(Scenario_Data!E190))*Inputs!$C$52*COS(SQRT((Scenario_Data!W190)^2+Inputs!$C$6^2)/Inputs!$C$52))*1000)/Inputs!$C$21*1000000</f>
        <v/>
      </c>
      <c r="AP190">
        <f>Scenario_Data!T190</f>
        <v/>
      </c>
      <c r="AQ190">
        <f>2*(SQRT((Inputs!$C$52+(Scenario_Data!B190))^2+(Inputs!$C$52+((IF(OR(Inputs!$C$27=TRUE,Inputs!$C$27="TRUE",Inputs!$C$27=1),1,0)*(Inputs!$C$51*(115*EXP(-(((Inputs!$C$6)-25)^2)/(4.5^2))+70*EXP(-(((Inputs!$C$6)+38)^2)/(7^2))*(0.55+0.45*SIN(2*PI()*(Scenario_Data!T190)/45))+24*SIN(2*PI()*(Inputs!$C$6)/9+(Scenario_Data!T190)/18)*EXP(-(((Inputs!$C$6)+5)^2)/(22^2))+18*SIN(2*PI()*(Scenario_Data!T190)/70))+Inputs!$C$28*EXP(-(((Scenario_Data!T190)-Inputs!$C$29)^2)/(2*Inputs!$C$31^2))*EXP(-(((Inputs!$C$6)-Inputs!$C$30)^2)/(2*Inputs!$C$32^2))+-Inputs!$C$33*EXP(-(((((Scenario_Data!T190)-Inputs!$C$34)^2)+(((Inputs!$C$6)-Inputs!$C$35)^2))/(2*Inputs!$C$36^2)))+Inputs!$C$37*(0.55*SIN(2*PI()*(Scenario_Data!T190)/Inputs!$C$39)+0.35*COS(2*PI()*(Inputs!$C$6)/Inputs!$C$40)+0.2*SIN(2*PI()*((Scenario_Data!T190)+(Inputs!$C$6))/(0.5*(Inputs!$C$39+Inputs!$C$40))))+Inputs!$C$38*SIN(2*PI()*(Scenario_Data!T190)/Inputs!$C$39)*SIN(2*PI()*(Inputs!$C$6)/Inputs!$C$40)+-Inputs!$C$41*EXP(-(((Inputs!$C$6)-Inputs!$C$43)^2)/(2*Inputs!$C$44^2))*EXP(-(((Scenario_Data!T190)-Inputs!$C$42)^2)/(2*Inputs!$C$45^2))+Inputs!$C$48*(0.7*(0.45*SIN(2*PI()*(((Scenario_Data!T190)/Inputs!$C$49)+Inputs!$C$47*0.137))+0.35*COS(2*PI()*(((Inputs!$C$6)/Inputs!$C$50)+Inputs!$C$47*0.173))+0.2*SIN(2*PI()*((((Scenario_Data!T190)+(Inputs!$C$6))/(0.5*(Inputs!$C$49+Inputs!$C$50)))+Inputs!$C$47*0.097)))+0.3*(2*((SIN(((Scenario_Data!T190)*12.9898+(Inputs!$C$6)*78.233+Inputs!$C$47*37.719))*43758.5453)-INT((SIN(((Scenario_Data!T190)*12.9898+(Inputs!$C$6)*78.233+Inputs!$C$47*37.719))*43758.5453)))-1))))/1000))^2-2*(Inputs!$C$52+(Scenario_Data!B190))*(Inputs!$C$52+((IF(OR(Inputs!$C$27=TRUE,Inputs!$C$27="TRUE",Inputs!$C$27=1),1,0)*(Inputs!$C$51*(115*EXP(-(((Inputs!$C$6)-25)^2)/(4.5^2))+70*EXP(-(((Inputs!$C$6)+38)^2)/(7^2))*(0.55+0.45*SIN(2*PI()*(Scenario_Data!T190)/45))+24*SIN(2*PI()*(Inputs!$C$6)/9+(Scenario_Data!T190)/18)*EXP(-(((Inputs!$C$6)+5)^2)/(22^2))+18*SIN(2*PI()*(Scenario_Data!T190)/70))+Inputs!$C$28*EXP(-(((Scenario_Data!T190)-Inputs!$C$29)^2)/(2*Inputs!$C$31^2))*EXP(-(((Inputs!$C$6)-Inputs!$C$30)^2)/(2*Inputs!$C$32^2))+-Inputs!$C$33*EXP(-(((((Scenario_Data!T190)-Inputs!$C$34)^2)+(((Inputs!$C$6)-Inputs!$C$35)^2))/(2*Inputs!$C$36^2)))+Inputs!$C$37*(0.55*SIN(2*PI()*(Scenario_Data!T190)/Inputs!$C$39)+0.35*COS(2*PI()*(Inputs!$C$6)/Inputs!$C$40)+0.2*SIN(2*PI()*((Scenario_Data!T190)+(Inputs!$C$6))/(0.5*(Inputs!$C$39+Inputs!$C$40))))+Inputs!$C$38*SIN(2*PI()*(Scenario_Data!T190)/Inputs!$C$39)*SIN(2*PI()*(Inputs!$C$6)/Inputs!$C$40)+-Inputs!$C$41*EXP(-(((Inputs!$C$6)-Inputs!$C$43)^2)/(2*Inputs!$C$44^2))*EXP(-(((Scenario_Data!T190)-Inputs!$C$42)^2)/(2*Inputs!$C$45^2))+Inputs!$C$48*(0.7*(0.45*SIN(2*PI()*(((Scenario_Data!T190)/Inputs!$C$49)+Inputs!$C$47*0.137))+0.35*COS(2*PI()*(((Inputs!$C$6)/Inputs!$C$50)+Inputs!$C$47*0.173))+0.2*SIN(2*PI()*((((Scenario_Data!T190)+(Inputs!$C$6))/(0.5*(Inputs!$C$49+Inputs!$C$50)))+Inputs!$C$47*0.097)))+0.3*(2*((SIN(((Scenario_Data!T190)*12.9898+(Inputs!$C$6)*78.233+Inputs!$C$47*37.719))*43758.5453)-INT((SIN(((Scenario_Data!T190)*12.9898+(Inputs!$C$6)*78.233+Inputs!$C$47*37.719))*43758.5453)))-1))))/1000))*COS(SQRT((Scenario_Data!T190)^2+Inputs!$C$6^2)/Inputs!$C$52))*1000)/Inputs!$C$21*1000000</f>
        <v/>
      </c>
      <c r="AR190">
        <f>Scenario_Data!U190</f>
        <v/>
      </c>
      <c r="AS190">
        <f>2*(SQRT((Inputs!$C$52+(Scenario_Data!C190))^2+(Inputs!$C$52+((IF(OR(Inputs!$C$27=TRUE,Inputs!$C$27="TRUE",Inputs!$C$27=1),1,0)*(Inputs!$C$51*(115*EXP(-(((Inputs!$C$6)-25)^2)/(4.5^2))+70*EXP(-(((Inputs!$C$6)+38)^2)/(7^2))*(0.55+0.45*SIN(2*PI()*(Scenario_Data!U190)/45))+24*SIN(2*PI()*(Inputs!$C$6)/9+(Scenario_Data!U190)/18)*EXP(-(((Inputs!$C$6)+5)^2)/(22^2))+18*SIN(2*PI()*(Scenario_Data!U190)/70))+Inputs!$C$28*EXP(-(((Scenario_Data!U190)-Inputs!$C$29)^2)/(2*Inputs!$C$31^2))*EXP(-(((Inputs!$C$6)-Inputs!$C$30)^2)/(2*Inputs!$C$32^2))+-Inputs!$C$33*EXP(-(((((Scenario_Data!U190)-Inputs!$C$34)^2)+(((Inputs!$C$6)-Inputs!$C$35)^2))/(2*Inputs!$C$36^2)))+Inputs!$C$37*(0.55*SIN(2*PI()*(Scenario_Data!U190)/Inputs!$C$39)+0.35*COS(2*PI()*(Inputs!$C$6)/Inputs!$C$40)+0.2*SIN(2*PI()*((Scenario_Data!U190)+(Inputs!$C$6))/(0.5*(Inputs!$C$39+Inputs!$C$40))))+Inputs!$C$38*SIN(2*PI()*(Scenario_Data!U190)/Inputs!$C$39)*SIN(2*PI()*(Inputs!$C$6)/Inputs!$C$40)+-Inputs!$C$41*EXP(-(((Inputs!$C$6)-Inputs!$C$43)^2)/(2*Inputs!$C$44^2))*EXP(-(((Scenario_Data!U190)-Inputs!$C$42)^2)/(2*Inputs!$C$45^2))+Inputs!$C$48*(0.7*(0.45*SIN(2*PI()*(((Scenario_Data!U190)/Inputs!$C$49)+Inputs!$C$47*0.137))+0.35*COS(2*PI()*(((Inputs!$C$6)/Inputs!$C$50)+Inputs!$C$47*0.173))+0.2*SIN(2*PI()*((((Scenario_Data!U190)+(Inputs!$C$6))/(0.5*(Inputs!$C$49+Inputs!$C$50)))+Inputs!$C$47*0.097)))+0.3*(2*((SIN(((Scenario_Data!U190)*12.9898+(Inputs!$C$6)*78.233+Inputs!$C$47*37.719))*43758.5453)-INT((SIN(((Scenario_Data!U190)*12.9898+(Inputs!$C$6)*78.233+Inputs!$C$47*37.719))*43758.5453)))-1))))/1000))^2-2*(Inputs!$C$52+(Scenario_Data!C190))*(Inputs!$C$52+((IF(OR(Inputs!$C$27=TRUE,Inputs!$C$27="TRUE",Inputs!$C$27=1),1,0)*(Inputs!$C$51*(115*EXP(-(((Inputs!$C$6)-25)^2)/(4.5^2))+70*EXP(-(((Inputs!$C$6)+38)^2)/(7^2))*(0.55+0.45*SIN(2*PI()*(Scenario_Data!U190)/45))+24*SIN(2*PI()*(Inputs!$C$6)/9+(Scenario_Data!U190)/18)*EXP(-(((Inputs!$C$6)+5)^2)/(22^2))+18*SIN(2*PI()*(Scenario_Data!U190)/70))+Inputs!$C$28*EXP(-(((Scenario_Data!U190)-Inputs!$C$29)^2)/(2*Inputs!$C$31^2))*EXP(-(((Inputs!$C$6)-Inputs!$C$30)^2)/(2*Inputs!$C$32^2))+-Inputs!$C$33*EXP(-(((((Scenario_Data!U190)-Inputs!$C$34)^2)+(((Inputs!$C$6)-Inputs!$C$35)^2))/(2*Inputs!$C$36^2)))+Inputs!$C$37*(0.55*SIN(2*PI()*(Scenario_Data!U190)/Inputs!$C$39)+0.35*COS(2*PI()*(Inputs!$C$6)/Inputs!$C$40)+0.2*SIN(2*PI()*((Scenario_Data!U190)+(Inputs!$C$6))/(0.5*(Inputs!$C$39+Inputs!$C$40))))+Inputs!$C$38*SIN(2*PI()*(Scenario_Data!U190)/Inputs!$C$39)*SIN(2*PI()*(Inputs!$C$6)/Inputs!$C$40)+-Inputs!$C$41*EXP(-(((Inputs!$C$6)-Inputs!$C$43)^2)/(2*Inputs!$C$44^2))*EXP(-(((Scenario_Data!U190)-Inputs!$C$42)^2)/(2*Inputs!$C$45^2))+Inputs!$C$48*(0.7*(0.45*SIN(2*PI()*(((Scenario_Data!U190)/Inputs!$C$49)+Inputs!$C$47*0.137))+0.35*COS(2*PI()*(((Inputs!$C$6)/Inputs!$C$50)+Inputs!$C$47*0.173))+0.2*SIN(2*PI()*((((Scenario_Data!U190)+(Inputs!$C$6))/(0.5*(Inputs!$C$49+Inputs!$C$50)))+Inputs!$C$47*0.097)))+0.3*(2*((SIN(((Scenario_Data!U190)*12.9898+(Inputs!$C$6)*78.233+Inputs!$C$47*37.719))*43758.5453)-INT((SIN(((Scenario_Data!U190)*12.9898+(Inputs!$C$6)*78.233+Inputs!$C$47*37.719))*43758.5453)))-1))))/1000))*COS(SQRT((Scenario_Data!U190)^2+Inputs!$C$6^2)/Inputs!$C$52))*1000)/Inputs!$C$21*1000000</f>
        <v/>
      </c>
      <c r="AT190">
        <f>Scenario_Data!V190</f>
        <v/>
      </c>
      <c r="AU190">
        <f>2*(SQRT((Inputs!$C$52+(Scenario_Data!D190))^2+(Inputs!$C$52+((IF(OR(Inputs!$C$27=TRUE,Inputs!$C$27="TRUE",Inputs!$C$27=1),1,0)*(Inputs!$C$51*(115*EXP(-(((Inputs!$C$6)-25)^2)/(4.5^2))+70*EXP(-(((Inputs!$C$6)+38)^2)/(7^2))*(0.55+0.45*SIN(2*PI()*(Scenario_Data!V190)/45))+24*SIN(2*PI()*(Inputs!$C$6)/9+(Scenario_Data!V190)/18)*EXP(-(((Inputs!$C$6)+5)^2)/(22^2))+18*SIN(2*PI()*(Scenario_Data!V190)/70))+Inputs!$C$28*EXP(-(((Scenario_Data!V190)-Inputs!$C$29)^2)/(2*Inputs!$C$31^2))*EXP(-(((Inputs!$C$6)-Inputs!$C$30)^2)/(2*Inputs!$C$32^2))+-Inputs!$C$33*EXP(-(((((Scenario_Data!V190)-Inputs!$C$34)^2)+(((Inputs!$C$6)-Inputs!$C$35)^2))/(2*Inputs!$C$36^2)))+Inputs!$C$37*(0.55*SIN(2*PI()*(Scenario_Data!V190)/Inputs!$C$39)+0.35*COS(2*PI()*(Inputs!$C$6)/Inputs!$C$40)+0.2*SIN(2*PI()*((Scenario_Data!V190)+(Inputs!$C$6))/(0.5*(Inputs!$C$39+Inputs!$C$40))))+Inputs!$C$38*SIN(2*PI()*(Scenario_Data!V190)/Inputs!$C$39)*SIN(2*PI()*(Inputs!$C$6)/Inputs!$C$40)+-Inputs!$C$41*EXP(-(((Inputs!$C$6)-Inputs!$C$43)^2)/(2*Inputs!$C$44^2))*EXP(-(((Scenario_Data!V190)-Inputs!$C$42)^2)/(2*Inputs!$C$45^2))+Inputs!$C$48*(0.7*(0.45*SIN(2*PI()*(((Scenario_Data!V190)/Inputs!$C$49)+Inputs!$C$47*0.137))+0.35*COS(2*PI()*(((Inputs!$C$6)/Inputs!$C$50)+Inputs!$C$47*0.173))+0.2*SIN(2*PI()*((((Scenario_Data!V190)+(Inputs!$C$6))/(0.5*(Inputs!$C$49+Inputs!$C$50)))+Inputs!$C$47*0.097)))+0.3*(2*((SIN(((Scenario_Data!V190)*12.9898+(Inputs!$C$6)*78.233+Inputs!$C$47*37.719))*43758.5453)-INT((SIN(((Scenario_Data!V190)*12.9898+(Inputs!$C$6)*78.233+Inputs!$C$47*37.719))*43758.5453)))-1))))/1000))^2-2*(Inputs!$C$52+(Scenario_Data!D190))*(Inputs!$C$52+((IF(OR(Inputs!$C$27=TRUE,Inputs!$C$27="TRUE",Inputs!$C$27=1),1,0)*(Inputs!$C$51*(115*EXP(-(((Inputs!$C$6)-25)^2)/(4.5^2))+70*EXP(-(((Inputs!$C$6)+38)^2)/(7^2))*(0.55+0.45*SIN(2*PI()*(Scenario_Data!V190)/45))+24*SIN(2*PI()*(Inputs!$C$6)/9+(Scenario_Data!V190)/18)*EXP(-(((Inputs!$C$6)+5)^2)/(22^2))+18*SIN(2*PI()*(Scenario_Data!V190)/70))+Inputs!$C$28*EXP(-(((Scenario_Data!V190)-Inputs!$C$29)^2)/(2*Inputs!$C$31^2))*EXP(-(((Inputs!$C$6)-Inputs!$C$30)^2)/(2*Inputs!$C$32^2))+-Inputs!$C$33*EXP(-(((((Scenario_Data!V190)-Inputs!$C$34)^2)+(((Inputs!$C$6)-Inputs!$C$35)^2))/(2*Inputs!$C$36^2)))+Inputs!$C$37*(0.55*SIN(2*PI()*(Scenario_Data!V190)/Inputs!$C$39)+0.35*COS(2*PI()*(Inputs!$C$6)/Inputs!$C$40)+0.2*SIN(2*PI()*((Scenario_Data!V190)+(Inputs!$C$6))/(0.5*(Inputs!$C$39+Inputs!$C$40))))+Inputs!$C$38*SIN(2*PI()*(Scenario_Data!V190)/Inputs!$C$39)*SIN(2*PI()*(Inputs!$C$6)/Inputs!$C$40)+-Inputs!$C$41*EXP(-(((Inputs!$C$6)-Inputs!$C$43)^2)/(2*Inputs!$C$44^2))*EXP(-(((Scenario_Data!V190)-Inputs!$C$42)^2)/(2*Inputs!$C$45^2))+Inputs!$C$48*(0.7*(0.45*SIN(2*PI()*(((Scenario_Data!V190)/Inputs!$C$49)+Inputs!$C$47*0.137))+0.35*COS(2*PI()*(((Inputs!$C$6)/Inputs!$C$50)+Inputs!$C$47*0.173))+0.2*SIN(2*PI()*((((Scenario_Data!V190)+(Inputs!$C$6))/(0.5*(Inputs!$C$49+Inputs!$C$50)))+Inputs!$C$47*0.097)))+0.3*(2*((SIN(((Scenario_Data!V190)*12.9898+(Inputs!$C$6)*78.233+Inputs!$C$47*37.719))*43758.5453)-INT((SIN(((Scenario_Data!V190)*12.9898+(Inputs!$C$6)*78.233+Inputs!$C$47*37.719))*43758.5453)))-1))))/1000))*COS(SQRT((Scenario_Data!V190)^2+Inputs!$C$6^2)/Inputs!$C$52))*1000)/Inputs!$C$21*1000000</f>
        <v/>
      </c>
      <c r="AV190">
        <f>Scenario_Data!W190</f>
        <v/>
      </c>
      <c r="AW190">
        <f>2*(SQRT((Inputs!$C$52+(Scenario_Data!E190))^2+(Inputs!$C$52+((IF(OR(Inputs!$C$27=TRUE,Inputs!$C$27="TRUE",Inputs!$C$27=1),1,0)*(Inputs!$C$51*(115*EXP(-(((Inputs!$C$6)-25)^2)/(4.5^2))+70*EXP(-(((Inputs!$C$6)+38)^2)/(7^2))*(0.55+0.45*SIN(2*PI()*(Scenario_Data!W190)/45))+24*SIN(2*PI()*(Inputs!$C$6)/9+(Scenario_Data!W190)/18)*EXP(-(((Inputs!$C$6)+5)^2)/(22^2))+18*SIN(2*PI()*(Scenario_Data!W190)/70))+Inputs!$C$28*EXP(-(((Scenario_Data!W190)-Inputs!$C$29)^2)/(2*Inputs!$C$31^2))*EXP(-(((Inputs!$C$6)-Inputs!$C$30)^2)/(2*Inputs!$C$32^2))+-Inputs!$C$33*EXP(-(((((Scenario_Data!W190)-Inputs!$C$34)^2)+(((Inputs!$C$6)-Inputs!$C$35)^2))/(2*Inputs!$C$36^2)))+Inputs!$C$37*(0.55*SIN(2*PI()*(Scenario_Data!W190)/Inputs!$C$39)+0.35*COS(2*PI()*(Inputs!$C$6)/Inputs!$C$40)+0.2*SIN(2*PI()*((Scenario_Data!W190)+(Inputs!$C$6))/(0.5*(Inputs!$C$39+Inputs!$C$40))))+Inputs!$C$38*SIN(2*PI()*(Scenario_Data!W190)/Inputs!$C$39)*SIN(2*PI()*(Inputs!$C$6)/Inputs!$C$40)+-Inputs!$C$41*EXP(-(((Inputs!$C$6)-Inputs!$C$43)^2)/(2*Inputs!$C$44^2))*EXP(-(((Scenario_Data!W190)-Inputs!$C$42)^2)/(2*Inputs!$C$45^2))+Inputs!$C$48*(0.7*(0.45*SIN(2*PI()*(((Scenario_Data!W190)/Inputs!$C$49)+Inputs!$C$47*0.137))+0.35*COS(2*PI()*(((Inputs!$C$6)/Inputs!$C$50)+Inputs!$C$47*0.173))+0.2*SIN(2*PI()*((((Scenario_Data!W190)+(Inputs!$C$6))/(0.5*(Inputs!$C$49+Inputs!$C$50)))+Inputs!$C$47*0.097)))+0.3*(2*((SIN(((Scenario_Data!W190)*12.9898+(Inputs!$C$6)*78.233+Inputs!$C$47*37.719))*43758.5453)-INT((SIN(((Scenario_Data!W190)*12.9898+(Inputs!$C$6)*78.233+Inputs!$C$47*37.719))*43758.5453)))-1))))/1000))^2-2*(Inputs!$C$52+(Scenario_Data!E190))*(Inputs!$C$52+((IF(OR(Inputs!$C$27=TRUE,Inputs!$C$27="TRUE",Inputs!$C$27=1),1,0)*(Inputs!$C$51*(115*EXP(-(((Inputs!$C$6)-25)^2)/(4.5^2))+70*EXP(-(((Inputs!$C$6)+38)^2)/(7^2))*(0.55+0.45*SIN(2*PI()*(Scenario_Data!W190)/45))+24*SIN(2*PI()*(Inputs!$C$6)/9+(Scenario_Data!W190)/18)*EXP(-(((Inputs!$C$6)+5)^2)/(22^2))+18*SIN(2*PI()*(Scenario_Data!W190)/70))+Inputs!$C$28*EXP(-(((Scenario_Data!W190)-Inputs!$C$29)^2)/(2*Inputs!$C$31^2))*EXP(-(((Inputs!$C$6)-Inputs!$C$30)^2)/(2*Inputs!$C$32^2))+-Inputs!$C$33*EXP(-(((((Scenario_Data!W190)-Inputs!$C$34)^2)+(((Inputs!$C$6)-Inputs!$C$35)^2))/(2*Inputs!$C$36^2)))+Inputs!$C$37*(0.55*SIN(2*PI()*(Scenario_Data!W190)/Inputs!$C$39)+0.35*COS(2*PI()*(Inputs!$C$6)/Inputs!$C$40)+0.2*SIN(2*PI()*((Scenario_Data!W190)+(Inputs!$C$6))/(0.5*(Inputs!$C$39+Inputs!$C$40))))+Inputs!$C$38*SIN(2*PI()*(Scenario_Data!W190)/Inputs!$C$39)*SIN(2*PI()*(Inputs!$C$6)/Inputs!$C$40)+-Inputs!$C$41*EXP(-(((Inputs!$C$6)-Inputs!$C$43)^2)/(2*Inputs!$C$44^2))*EXP(-(((Scenario_Data!W190)-Inputs!$C$42)^2)/(2*Inputs!$C$45^2))+Inputs!$C$48*(0.7*(0.45*SIN(2*PI()*(((Scenario_Data!W190)/Inputs!$C$49)+Inputs!$C$47*0.137))+0.35*COS(2*PI()*(((Inputs!$C$6)/Inputs!$C$50)+Inputs!$C$47*0.173))+0.2*SIN(2*PI()*((((Scenario_Data!W190)+(Inputs!$C$6))/(0.5*(Inputs!$C$49+Inputs!$C$50)))+Inputs!$C$47*0.097)))+0.3*(2*((SIN(((Scenario_Data!W190)*12.9898+(Inputs!$C$6)*78.233+Inputs!$C$47*37.719))*43758.5453)-INT((SIN(((Scenario_Data!W190)*12.9898+(Inputs!$C$6)*78.233+Inputs!$C$47*37.719))*43758.5453)))-1))))/1000))*COS(SQRT((Scenario_Data!W190)^2+Inputs!$C$6^2)/Inputs!$C$52))*1000)/Inputs!$C$21*1000000</f>
        <v/>
      </c>
    </row>
    <row r="191">
      <c r="A191">
        <f>Chart_Data!K191</f>
        <v/>
      </c>
      <c r="B191">
        <f>Chart_Data!N191-Chart_Data!L191</f>
        <v/>
      </c>
      <c r="D191">
        <f>Chart_Data!G191</f>
        <v/>
      </c>
      <c r="E191">
        <f>Chart_Data!H191</f>
        <v/>
      </c>
      <c r="F191">
        <f>Chart_Data!I191</f>
        <v/>
      </c>
      <c r="G191">
        <f>Chart_Data!J191</f>
        <v/>
      </c>
      <c r="I191">
        <f>Scenario_Data!A191</f>
        <v/>
      </c>
      <c r="J191">
        <f>Scenario_Data!H191-(((SQRT((Inputs!$C$52+(Inputs!$H$6))^2+Inputs!$C$52^2-2*(Inputs!$C$52+(Inputs!$H$6))*Inputs!$C$52*COS(SQRT((Scenario_Data!T191)^2+Inputs!$C$6^2)/Inputs!$C$52)))-(Inputs!$H$6))*1000/Inputs!$C$12)</f>
        <v/>
      </c>
      <c r="K191">
        <f>Scenario_Data!I191-(((SQRT((Inputs!$C$52+(Inputs!$H$7))^2+Inputs!$C$52^2-2*(Inputs!$C$52+(Inputs!$H$7))*Inputs!$C$52*COS(SQRT((Scenario_Data!U191)^2+Inputs!$C$6^2)/Inputs!$C$52)))-(Inputs!$H$7))*1000/Inputs!$C$12)</f>
        <v/>
      </c>
      <c r="L191">
        <f>Scenario_Data!J191-(((SQRT((Inputs!$C$52+(Inputs!$H$8))^2+Inputs!$C$52^2-2*(Inputs!$C$52+(Inputs!$H$8))*Inputs!$C$52*COS(SQRT((Scenario_Data!V191)^2+Inputs!$C$6^2)/Inputs!$C$52)))-(Inputs!$H$8))*1000/Inputs!$C$12)</f>
        <v/>
      </c>
      <c r="M191">
        <f>Scenario_Data!K191-(((SQRT((Inputs!$C$52+(Inputs!$H$9))^2+Inputs!$C$52^2-2*(Inputs!$C$52+(Inputs!$H$9))*Inputs!$C$52*COS(SQRT((Scenario_Data!W191)^2+Inputs!$C$6^2)/Inputs!$C$52)))-(Inputs!$H$9))*1000/Inputs!$C$12)</f>
        <v/>
      </c>
      <c r="O191">
        <f>Scenario_Data!T191</f>
        <v/>
      </c>
      <c r="P191">
        <f>2*(Scenario_Data!B191*1000)/Inputs!$C$21*1000000</f>
        <v/>
      </c>
      <c r="Q191">
        <f>Scenario_Data!U191</f>
        <v/>
      </c>
      <c r="R191">
        <f>2*(Scenario_Data!C191*1000)/Inputs!$C$21*1000000</f>
        <v/>
      </c>
      <c r="S191">
        <f>Scenario_Data!V191</f>
        <v/>
      </c>
      <c r="T191">
        <f>2*(Scenario_Data!D191*1000)/Inputs!$C$21*1000000</f>
        <v/>
      </c>
      <c r="U191">
        <f>Scenario_Data!W191</f>
        <v/>
      </c>
      <c r="V191">
        <f>2*(Scenario_Data!E191*1000)/Inputs!$C$21*1000000</f>
        <v/>
      </c>
      <c r="X191">
        <f>Scenario_Data!T191</f>
        <v/>
      </c>
      <c r="Y191">
        <f>2*((Scenario_Data!B191*1000)-(IF(OR(Inputs!$C$27=TRUE,Inputs!$C$27="TRUE",Inputs!$C$27=1),1,0)*(Inputs!$C$51*(115*EXP(-(((0)-25)^2)/(4.5^2))+70*EXP(-(((0)+38)^2)/(7^2))*(0.55+0.45*SIN(2*PI()*(Scenario_Data!T191)/45))+24*SIN(2*PI()*(0)/9+(Scenario_Data!T191)/18)*EXP(-(((0)+5)^2)/(22^2))+18*SIN(2*PI()*(Scenario_Data!T191)/70))+Inputs!$C$28*EXP(-(((Scenario_Data!T191)-Inputs!$C$29)^2)/(2*Inputs!$C$31^2))*EXP(-(((0)-Inputs!$C$30)^2)/(2*Inputs!$C$32^2))+-Inputs!$C$33*EXP(-(((((Scenario_Data!T191)-Inputs!$C$34)^2)+(((0)-Inputs!$C$35)^2))/(2*Inputs!$C$36^2)))+Inputs!$C$37*(0.55*SIN(2*PI()*(Scenario_Data!T191)/Inputs!$C$39)+0.35*COS(2*PI()*(0)/Inputs!$C$40)+0.2*SIN(2*PI()*((Scenario_Data!T191)+(0))/(0.5*(Inputs!$C$39+Inputs!$C$40))))+Inputs!$C$38*SIN(2*PI()*(Scenario_Data!T191)/Inputs!$C$39)*SIN(2*PI()*(0)/Inputs!$C$40)+-Inputs!$C$41*EXP(-(((0)-Inputs!$C$43)^2)/(2*Inputs!$C$44^2))*EXP(-(((Scenario_Data!T191)-Inputs!$C$42)^2)/(2*Inputs!$C$45^2))+Inputs!$C$48*(0.7*(0.45*SIN(2*PI()*(((Scenario_Data!T191)/Inputs!$C$49)+Inputs!$C$47*0.137))+0.35*COS(2*PI()*(((0)/Inputs!$C$50)+Inputs!$C$47*0.173))+0.2*SIN(2*PI()*((((Scenario_Data!T191)+(0))/(0.5*(Inputs!$C$49+Inputs!$C$50)))+Inputs!$C$47*0.097)))+0.3*(2*((SIN(((Scenario_Data!T191)*12.9898+(0)*78.233+Inputs!$C$47*37.719))*43758.5453)-INT((SIN(((Scenario_Data!T191)*12.9898+(0)*78.233+Inputs!$C$47*37.719))*43758.5453)))-1)))))/Inputs!$C$21*1000000</f>
        <v/>
      </c>
      <c r="Z191">
        <f>Scenario_Data!U191</f>
        <v/>
      </c>
      <c r="AA191">
        <f>2*((Scenario_Data!C191*1000)-(IF(OR(Inputs!$C$27=TRUE,Inputs!$C$27="TRUE",Inputs!$C$27=1),1,0)*(Inputs!$C$51*(115*EXP(-(((0)-25)^2)/(4.5^2))+70*EXP(-(((0)+38)^2)/(7^2))*(0.55+0.45*SIN(2*PI()*(Scenario_Data!U191)/45))+24*SIN(2*PI()*(0)/9+(Scenario_Data!U191)/18)*EXP(-(((0)+5)^2)/(22^2))+18*SIN(2*PI()*(Scenario_Data!U191)/70))+Inputs!$C$28*EXP(-(((Scenario_Data!U191)-Inputs!$C$29)^2)/(2*Inputs!$C$31^2))*EXP(-(((0)-Inputs!$C$30)^2)/(2*Inputs!$C$32^2))+-Inputs!$C$33*EXP(-(((((Scenario_Data!U191)-Inputs!$C$34)^2)+(((0)-Inputs!$C$35)^2))/(2*Inputs!$C$36^2)))+Inputs!$C$37*(0.55*SIN(2*PI()*(Scenario_Data!U191)/Inputs!$C$39)+0.35*COS(2*PI()*(0)/Inputs!$C$40)+0.2*SIN(2*PI()*((Scenario_Data!U191)+(0))/(0.5*(Inputs!$C$39+Inputs!$C$40))))+Inputs!$C$38*SIN(2*PI()*(Scenario_Data!U191)/Inputs!$C$39)*SIN(2*PI()*(0)/Inputs!$C$40)+-Inputs!$C$41*EXP(-(((0)-Inputs!$C$43)^2)/(2*Inputs!$C$44^2))*EXP(-(((Scenario_Data!U191)-Inputs!$C$42)^2)/(2*Inputs!$C$45^2))+Inputs!$C$48*(0.7*(0.45*SIN(2*PI()*(((Scenario_Data!U191)/Inputs!$C$49)+Inputs!$C$47*0.137))+0.35*COS(2*PI()*(((0)/Inputs!$C$50)+Inputs!$C$47*0.173))+0.2*SIN(2*PI()*((((Scenario_Data!U191)+(0))/(0.5*(Inputs!$C$49+Inputs!$C$50)))+Inputs!$C$47*0.097)))+0.3*(2*((SIN(((Scenario_Data!U191)*12.9898+(0)*78.233+Inputs!$C$47*37.719))*43758.5453)-INT((SIN(((Scenario_Data!U191)*12.9898+(0)*78.233+Inputs!$C$47*37.719))*43758.5453)))-1)))))/Inputs!$C$21*1000000</f>
        <v/>
      </c>
      <c r="AB191">
        <f>Scenario_Data!V191</f>
        <v/>
      </c>
      <c r="AC191">
        <f>2*((Scenario_Data!D191*1000)-(IF(OR(Inputs!$C$27=TRUE,Inputs!$C$27="TRUE",Inputs!$C$27=1),1,0)*(Inputs!$C$51*(115*EXP(-(((0)-25)^2)/(4.5^2))+70*EXP(-(((0)+38)^2)/(7^2))*(0.55+0.45*SIN(2*PI()*(Scenario_Data!V191)/45))+24*SIN(2*PI()*(0)/9+(Scenario_Data!V191)/18)*EXP(-(((0)+5)^2)/(22^2))+18*SIN(2*PI()*(Scenario_Data!V191)/70))+Inputs!$C$28*EXP(-(((Scenario_Data!V191)-Inputs!$C$29)^2)/(2*Inputs!$C$31^2))*EXP(-(((0)-Inputs!$C$30)^2)/(2*Inputs!$C$32^2))+-Inputs!$C$33*EXP(-(((((Scenario_Data!V191)-Inputs!$C$34)^2)+(((0)-Inputs!$C$35)^2))/(2*Inputs!$C$36^2)))+Inputs!$C$37*(0.55*SIN(2*PI()*(Scenario_Data!V191)/Inputs!$C$39)+0.35*COS(2*PI()*(0)/Inputs!$C$40)+0.2*SIN(2*PI()*((Scenario_Data!V191)+(0))/(0.5*(Inputs!$C$39+Inputs!$C$40))))+Inputs!$C$38*SIN(2*PI()*(Scenario_Data!V191)/Inputs!$C$39)*SIN(2*PI()*(0)/Inputs!$C$40)+-Inputs!$C$41*EXP(-(((0)-Inputs!$C$43)^2)/(2*Inputs!$C$44^2))*EXP(-(((Scenario_Data!V191)-Inputs!$C$42)^2)/(2*Inputs!$C$45^2))+Inputs!$C$48*(0.7*(0.45*SIN(2*PI()*(((Scenario_Data!V191)/Inputs!$C$49)+Inputs!$C$47*0.137))+0.35*COS(2*PI()*(((0)/Inputs!$C$50)+Inputs!$C$47*0.173))+0.2*SIN(2*PI()*((((Scenario_Data!V191)+(0))/(0.5*(Inputs!$C$49+Inputs!$C$50)))+Inputs!$C$47*0.097)))+0.3*(2*((SIN(((Scenario_Data!V191)*12.9898+(0)*78.233+Inputs!$C$47*37.719))*43758.5453)-INT((SIN(((Scenario_Data!V191)*12.9898+(0)*78.233+Inputs!$C$47*37.719))*43758.5453)))-1)))))/Inputs!$C$21*1000000</f>
        <v/>
      </c>
      <c r="AD191">
        <f>Scenario_Data!W191</f>
        <v/>
      </c>
      <c r="AE191">
        <f>2*((Scenario_Data!E191*1000)-(IF(OR(Inputs!$C$27=TRUE,Inputs!$C$27="TRUE",Inputs!$C$27=1),1,0)*(Inputs!$C$51*(115*EXP(-(((0)-25)^2)/(4.5^2))+70*EXP(-(((0)+38)^2)/(7^2))*(0.55+0.45*SIN(2*PI()*(Scenario_Data!W191)/45))+24*SIN(2*PI()*(0)/9+(Scenario_Data!W191)/18)*EXP(-(((0)+5)^2)/(22^2))+18*SIN(2*PI()*(Scenario_Data!W191)/70))+Inputs!$C$28*EXP(-(((Scenario_Data!W191)-Inputs!$C$29)^2)/(2*Inputs!$C$31^2))*EXP(-(((0)-Inputs!$C$30)^2)/(2*Inputs!$C$32^2))+-Inputs!$C$33*EXP(-(((((Scenario_Data!W191)-Inputs!$C$34)^2)+(((0)-Inputs!$C$35)^2))/(2*Inputs!$C$36^2)))+Inputs!$C$37*(0.55*SIN(2*PI()*(Scenario_Data!W191)/Inputs!$C$39)+0.35*COS(2*PI()*(0)/Inputs!$C$40)+0.2*SIN(2*PI()*((Scenario_Data!W191)+(0))/(0.5*(Inputs!$C$39+Inputs!$C$40))))+Inputs!$C$38*SIN(2*PI()*(Scenario_Data!W191)/Inputs!$C$39)*SIN(2*PI()*(0)/Inputs!$C$40)+-Inputs!$C$41*EXP(-(((0)-Inputs!$C$43)^2)/(2*Inputs!$C$44^2))*EXP(-(((Scenario_Data!W191)-Inputs!$C$42)^2)/(2*Inputs!$C$45^2))+Inputs!$C$48*(0.7*(0.45*SIN(2*PI()*(((Scenario_Data!W191)/Inputs!$C$49)+Inputs!$C$47*0.137))+0.35*COS(2*PI()*(((0)/Inputs!$C$50)+Inputs!$C$47*0.173))+0.2*SIN(2*PI()*((((Scenario_Data!W191)+(0))/(0.5*(Inputs!$C$49+Inputs!$C$50)))+Inputs!$C$47*0.097)))+0.3*(2*((SIN(((Scenario_Data!W191)*12.9898+(0)*78.233+Inputs!$C$47*37.719))*43758.5453)-INT((SIN(((Scenario_Data!W191)*12.9898+(0)*78.233+Inputs!$C$47*37.719))*43758.5453)))-1)))))/Inputs!$C$21*1000000</f>
        <v/>
      </c>
      <c r="AG191">
        <f>Scenario_Data!T191</f>
        <v/>
      </c>
      <c r="AH191">
        <f>2*(SQRT((Inputs!$C$52+(Scenario_Data!B191))^2+Inputs!$C$52^2-2*(Inputs!$C$52+(Scenario_Data!B191))*Inputs!$C$52*COS(SQRT((Scenario_Data!T191)^2+Inputs!$C$6^2)/Inputs!$C$52))*1000)/Inputs!$C$21*1000000</f>
        <v/>
      </c>
      <c r="AI191">
        <f>Scenario_Data!U191</f>
        <v/>
      </c>
      <c r="AJ191">
        <f>2*(SQRT((Inputs!$C$52+(Scenario_Data!C191))^2+Inputs!$C$52^2-2*(Inputs!$C$52+(Scenario_Data!C191))*Inputs!$C$52*COS(SQRT((Scenario_Data!U191)^2+Inputs!$C$6^2)/Inputs!$C$52))*1000)/Inputs!$C$21*1000000</f>
        <v/>
      </c>
      <c r="AK191">
        <f>Scenario_Data!V191</f>
        <v/>
      </c>
      <c r="AL191">
        <f>2*(SQRT((Inputs!$C$52+(Scenario_Data!D191))^2+Inputs!$C$52^2-2*(Inputs!$C$52+(Scenario_Data!D191))*Inputs!$C$52*COS(SQRT((Scenario_Data!V191)^2+Inputs!$C$6^2)/Inputs!$C$52))*1000)/Inputs!$C$21*1000000</f>
        <v/>
      </c>
      <c r="AM191">
        <f>Scenario_Data!W191</f>
        <v/>
      </c>
      <c r="AN191">
        <f>2*(SQRT((Inputs!$C$52+(Scenario_Data!E191))^2+Inputs!$C$52^2-2*(Inputs!$C$52+(Scenario_Data!E191))*Inputs!$C$52*COS(SQRT((Scenario_Data!W191)^2+Inputs!$C$6^2)/Inputs!$C$52))*1000)/Inputs!$C$21*1000000</f>
        <v/>
      </c>
      <c r="AP191">
        <f>Scenario_Data!T191</f>
        <v/>
      </c>
      <c r="AQ191">
        <f>2*(SQRT((Inputs!$C$52+(Scenario_Data!B191))^2+(Inputs!$C$52+((IF(OR(Inputs!$C$27=TRUE,Inputs!$C$27="TRUE",Inputs!$C$27=1),1,0)*(Inputs!$C$51*(115*EXP(-(((Inputs!$C$6)-25)^2)/(4.5^2))+70*EXP(-(((Inputs!$C$6)+38)^2)/(7^2))*(0.55+0.45*SIN(2*PI()*(Scenario_Data!T191)/45))+24*SIN(2*PI()*(Inputs!$C$6)/9+(Scenario_Data!T191)/18)*EXP(-(((Inputs!$C$6)+5)^2)/(22^2))+18*SIN(2*PI()*(Scenario_Data!T191)/70))+Inputs!$C$28*EXP(-(((Scenario_Data!T191)-Inputs!$C$29)^2)/(2*Inputs!$C$31^2))*EXP(-(((Inputs!$C$6)-Inputs!$C$30)^2)/(2*Inputs!$C$32^2))+-Inputs!$C$33*EXP(-(((((Scenario_Data!T191)-Inputs!$C$34)^2)+(((Inputs!$C$6)-Inputs!$C$35)^2))/(2*Inputs!$C$36^2)))+Inputs!$C$37*(0.55*SIN(2*PI()*(Scenario_Data!T191)/Inputs!$C$39)+0.35*COS(2*PI()*(Inputs!$C$6)/Inputs!$C$40)+0.2*SIN(2*PI()*((Scenario_Data!T191)+(Inputs!$C$6))/(0.5*(Inputs!$C$39+Inputs!$C$40))))+Inputs!$C$38*SIN(2*PI()*(Scenario_Data!T191)/Inputs!$C$39)*SIN(2*PI()*(Inputs!$C$6)/Inputs!$C$40)+-Inputs!$C$41*EXP(-(((Inputs!$C$6)-Inputs!$C$43)^2)/(2*Inputs!$C$44^2))*EXP(-(((Scenario_Data!T191)-Inputs!$C$42)^2)/(2*Inputs!$C$45^2))+Inputs!$C$48*(0.7*(0.45*SIN(2*PI()*(((Scenario_Data!T191)/Inputs!$C$49)+Inputs!$C$47*0.137))+0.35*COS(2*PI()*(((Inputs!$C$6)/Inputs!$C$50)+Inputs!$C$47*0.173))+0.2*SIN(2*PI()*((((Scenario_Data!T191)+(Inputs!$C$6))/(0.5*(Inputs!$C$49+Inputs!$C$50)))+Inputs!$C$47*0.097)))+0.3*(2*((SIN(((Scenario_Data!T191)*12.9898+(Inputs!$C$6)*78.233+Inputs!$C$47*37.719))*43758.5453)-INT((SIN(((Scenario_Data!T191)*12.9898+(Inputs!$C$6)*78.233+Inputs!$C$47*37.719))*43758.5453)))-1))))/1000))^2-2*(Inputs!$C$52+(Scenario_Data!B191))*(Inputs!$C$52+((IF(OR(Inputs!$C$27=TRUE,Inputs!$C$27="TRUE",Inputs!$C$27=1),1,0)*(Inputs!$C$51*(115*EXP(-(((Inputs!$C$6)-25)^2)/(4.5^2))+70*EXP(-(((Inputs!$C$6)+38)^2)/(7^2))*(0.55+0.45*SIN(2*PI()*(Scenario_Data!T191)/45))+24*SIN(2*PI()*(Inputs!$C$6)/9+(Scenario_Data!T191)/18)*EXP(-(((Inputs!$C$6)+5)^2)/(22^2))+18*SIN(2*PI()*(Scenario_Data!T191)/70))+Inputs!$C$28*EXP(-(((Scenario_Data!T191)-Inputs!$C$29)^2)/(2*Inputs!$C$31^2))*EXP(-(((Inputs!$C$6)-Inputs!$C$30)^2)/(2*Inputs!$C$32^2))+-Inputs!$C$33*EXP(-(((((Scenario_Data!T191)-Inputs!$C$34)^2)+(((Inputs!$C$6)-Inputs!$C$35)^2))/(2*Inputs!$C$36^2)))+Inputs!$C$37*(0.55*SIN(2*PI()*(Scenario_Data!T191)/Inputs!$C$39)+0.35*COS(2*PI()*(Inputs!$C$6)/Inputs!$C$40)+0.2*SIN(2*PI()*((Scenario_Data!T191)+(Inputs!$C$6))/(0.5*(Inputs!$C$39+Inputs!$C$40))))+Inputs!$C$38*SIN(2*PI()*(Scenario_Data!T191)/Inputs!$C$39)*SIN(2*PI()*(Inputs!$C$6)/Inputs!$C$40)+-Inputs!$C$41*EXP(-(((Inputs!$C$6)-Inputs!$C$43)^2)/(2*Inputs!$C$44^2))*EXP(-(((Scenario_Data!T191)-Inputs!$C$42)^2)/(2*Inputs!$C$45^2))+Inputs!$C$48*(0.7*(0.45*SIN(2*PI()*(((Scenario_Data!T191)/Inputs!$C$49)+Inputs!$C$47*0.137))+0.35*COS(2*PI()*(((Inputs!$C$6)/Inputs!$C$50)+Inputs!$C$47*0.173))+0.2*SIN(2*PI()*((((Scenario_Data!T191)+(Inputs!$C$6))/(0.5*(Inputs!$C$49+Inputs!$C$50)))+Inputs!$C$47*0.097)))+0.3*(2*((SIN(((Scenario_Data!T191)*12.9898+(Inputs!$C$6)*78.233+Inputs!$C$47*37.719))*43758.5453)-INT((SIN(((Scenario_Data!T191)*12.9898+(Inputs!$C$6)*78.233+Inputs!$C$47*37.719))*43758.5453)))-1))))/1000))*COS(SQRT((Scenario_Data!T191)^2+Inputs!$C$6^2)/Inputs!$C$52))*1000)/Inputs!$C$21*1000000</f>
        <v/>
      </c>
      <c r="AR191">
        <f>Scenario_Data!U191</f>
        <v/>
      </c>
      <c r="AS191">
        <f>2*(SQRT((Inputs!$C$52+(Scenario_Data!C191))^2+(Inputs!$C$52+((IF(OR(Inputs!$C$27=TRUE,Inputs!$C$27="TRUE",Inputs!$C$27=1),1,0)*(Inputs!$C$51*(115*EXP(-(((Inputs!$C$6)-25)^2)/(4.5^2))+70*EXP(-(((Inputs!$C$6)+38)^2)/(7^2))*(0.55+0.45*SIN(2*PI()*(Scenario_Data!U191)/45))+24*SIN(2*PI()*(Inputs!$C$6)/9+(Scenario_Data!U191)/18)*EXP(-(((Inputs!$C$6)+5)^2)/(22^2))+18*SIN(2*PI()*(Scenario_Data!U191)/70))+Inputs!$C$28*EXP(-(((Scenario_Data!U191)-Inputs!$C$29)^2)/(2*Inputs!$C$31^2))*EXP(-(((Inputs!$C$6)-Inputs!$C$30)^2)/(2*Inputs!$C$32^2))+-Inputs!$C$33*EXP(-(((((Scenario_Data!U191)-Inputs!$C$34)^2)+(((Inputs!$C$6)-Inputs!$C$35)^2))/(2*Inputs!$C$36^2)))+Inputs!$C$37*(0.55*SIN(2*PI()*(Scenario_Data!U191)/Inputs!$C$39)+0.35*COS(2*PI()*(Inputs!$C$6)/Inputs!$C$40)+0.2*SIN(2*PI()*((Scenario_Data!U191)+(Inputs!$C$6))/(0.5*(Inputs!$C$39+Inputs!$C$40))))+Inputs!$C$38*SIN(2*PI()*(Scenario_Data!U191)/Inputs!$C$39)*SIN(2*PI()*(Inputs!$C$6)/Inputs!$C$40)+-Inputs!$C$41*EXP(-(((Inputs!$C$6)-Inputs!$C$43)^2)/(2*Inputs!$C$44^2))*EXP(-(((Scenario_Data!U191)-Inputs!$C$42)^2)/(2*Inputs!$C$45^2))+Inputs!$C$48*(0.7*(0.45*SIN(2*PI()*(((Scenario_Data!U191)/Inputs!$C$49)+Inputs!$C$47*0.137))+0.35*COS(2*PI()*(((Inputs!$C$6)/Inputs!$C$50)+Inputs!$C$47*0.173))+0.2*SIN(2*PI()*((((Scenario_Data!U191)+(Inputs!$C$6))/(0.5*(Inputs!$C$49+Inputs!$C$50)))+Inputs!$C$47*0.097)))+0.3*(2*((SIN(((Scenario_Data!U191)*12.9898+(Inputs!$C$6)*78.233+Inputs!$C$47*37.719))*43758.5453)-INT((SIN(((Scenario_Data!U191)*12.9898+(Inputs!$C$6)*78.233+Inputs!$C$47*37.719))*43758.5453)))-1))))/1000))^2-2*(Inputs!$C$52+(Scenario_Data!C191))*(Inputs!$C$52+((IF(OR(Inputs!$C$27=TRUE,Inputs!$C$27="TRUE",Inputs!$C$27=1),1,0)*(Inputs!$C$51*(115*EXP(-(((Inputs!$C$6)-25)^2)/(4.5^2))+70*EXP(-(((Inputs!$C$6)+38)^2)/(7^2))*(0.55+0.45*SIN(2*PI()*(Scenario_Data!U191)/45))+24*SIN(2*PI()*(Inputs!$C$6)/9+(Scenario_Data!U191)/18)*EXP(-(((Inputs!$C$6)+5)^2)/(22^2))+18*SIN(2*PI()*(Scenario_Data!U191)/70))+Inputs!$C$28*EXP(-(((Scenario_Data!U191)-Inputs!$C$29)^2)/(2*Inputs!$C$31^2))*EXP(-(((Inputs!$C$6)-Inputs!$C$30)^2)/(2*Inputs!$C$32^2))+-Inputs!$C$33*EXP(-(((((Scenario_Data!U191)-Inputs!$C$34)^2)+(((Inputs!$C$6)-Inputs!$C$35)^2))/(2*Inputs!$C$36^2)))+Inputs!$C$37*(0.55*SIN(2*PI()*(Scenario_Data!U191)/Inputs!$C$39)+0.35*COS(2*PI()*(Inputs!$C$6)/Inputs!$C$40)+0.2*SIN(2*PI()*((Scenario_Data!U191)+(Inputs!$C$6))/(0.5*(Inputs!$C$39+Inputs!$C$40))))+Inputs!$C$38*SIN(2*PI()*(Scenario_Data!U191)/Inputs!$C$39)*SIN(2*PI()*(Inputs!$C$6)/Inputs!$C$40)+-Inputs!$C$41*EXP(-(((Inputs!$C$6)-Inputs!$C$43)^2)/(2*Inputs!$C$44^2))*EXP(-(((Scenario_Data!U191)-Inputs!$C$42)^2)/(2*Inputs!$C$45^2))+Inputs!$C$48*(0.7*(0.45*SIN(2*PI()*(((Scenario_Data!U191)/Inputs!$C$49)+Inputs!$C$47*0.137))+0.35*COS(2*PI()*(((Inputs!$C$6)/Inputs!$C$50)+Inputs!$C$47*0.173))+0.2*SIN(2*PI()*((((Scenario_Data!U191)+(Inputs!$C$6))/(0.5*(Inputs!$C$49+Inputs!$C$50)))+Inputs!$C$47*0.097)))+0.3*(2*((SIN(((Scenario_Data!U191)*12.9898+(Inputs!$C$6)*78.233+Inputs!$C$47*37.719))*43758.5453)-INT((SIN(((Scenario_Data!U191)*12.9898+(Inputs!$C$6)*78.233+Inputs!$C$47*37.719))*43758.5453)))-1))))/1000))*COS(SQRT((Scenario_Data!U191)^2+Inputs!$C$6^2)/Inputs!$C$52))*1000)/Inputs!$C$21*1000000</f>
        <v/>
      </c>
      <c r="AT191">
        <f>Scenario_Data!V191</f>
        <v/>
      </c>
      <c r="AU191">
        <f>2*(SQRT((Inputs!$C$52+(Scenario_Data!D191))^2+(Inputs!$C$52+((IF(OR(Inputs!$C$27=TRUE,Inputs!$C$27="TRUE",Inputs!$C$27=1),1,0)*(Inputs!$C$51*(115*EXP(-(((Inputs!$C$6)-25)^2)/(4.5^2))+70*EXP(-(((Inputs!$C$6)+38)^2)/(7^2))*(0.55+0.45*SIN(2*PI()*(Scenario_Data!V191)/45))+24*SIN(2*PI()*(Inputs!$C$6)/9+(Scenario_Data!V191)/18)*EXP(-(((Inputs!$C$6)+5)^2)/(22^2))+18*SIN(2*PI()*(Scenario_Data!V191)/70))+Inputs!$C$28*EXP(-(((Scenario_Data!V191)-Inputs!$C$29)^2)/(2*Inputs!$C$31^2))*EXP(-(((Inputs!$C$6)-Inputs!$C$30)^2)/(2*Inputs!$C$32^2))+-Inputs!$C$33*EXP(-(((((Scenario_Data!V191)-Inputs!$C$34)^2)+(((Inputs!$C$6)-Inputs!$C$35)^2))/(2*Inputs!$C$36^2)))+Inputs!$C$37*(0.55*SIN(2*PI()*(Scenario_Data!V191)/Inputs!$C$39)+0.35*COS(2*PI()*(Inputs!$C$6)/Inputs!$C$40)+0.2*SIN(2*PI()*((Scenario_Data!V191)+(Inputs!$C$6))/(0.5*(Inputs!$C$39+Inputs!$C$40))))+Inputs!$C$38*SIN(2*PI()*(Scenario_Data!V191)/Inputs!$C$39)*SIN(2*PI()*(Inputs!$C$6)/Inputs!$C$40)+-Inputs!$C$41*EXP(-(((Inputs!$C$6)-Inputs!$C$43)^2)/(2*Inputs!$C$44^2))*EXP(-(((Scenario_Data!V191)-Inputs!$C$42)^2)/(2*Inputs!$C$45^2))+Inputs!$C$48*(0.7*(0.45*SIN(2*PI()*(((Scenario_Data!V191)/Inputs!$C$49)+Inputs!$C$47*0.137))+0.35*COS(2*PI()*(((Inputs!$C$6)/Inputs!$C$50)+Inputs!$C$47*0.173))+0.2*SIN(2*PI()*((((Scenario_Data!V191)+(Inputs!$C$6))/(0.5*(Inputs!$C$49+Inputs!$C$50)))+Inputs!$C$47*0.097)))+0.3*(2*((SIN(((Scenario_Data!V191)*12.9898+(Inputs!$C$6)*78.233+Inputs!$C$47*37.719))*43758.5453)-INT((SIN(((Scenario_Data!V191)*12.9898+(Inputs!$C$6)*78.233+Inputs!$C$47*37.719))*43758.5453)))-1))))/1000))^2-2*(Inputs!$C$52+(Scenario_Data!D191))*(Inputs!$C$52+((IF(OR(Inputs!$C$27=TRUE,Inputs!$C$27="TRUE",Inputs!$C$27=1),1,0)*(Inputs!$C$51*(115*EXP(-(((Inputs!$C$6)-25)^2)/(4.5^2))+70*EXP(-(((Inputs!$C$6)+38)^2)/(7^2))*(0.55+0.45*SIN(2*PI()*(Scenario_Data!V191)/45))+24*SIN(2*PI()*(Inputs!$C$6)/9+(Scenario_Data!V191)/18)*EXP(-(((Inputs!$C$6)+5)^2)/(22^2))+18*SIN(2*PI()*(Scenario_Data!V191)/70))+Inputs!$C$28*EXP(-(((Scenario_Data!V191)-Inputs!$C$29)^2)/(2*Inputs!$C$31^2))*EXP(-(((Inputs!$C$6)-Inputs!$C$30)^2)/(2*Inputs!$C$32^2))+-Inputs!$C$33*EXP(-(((((Scenario_Data!V191)-Inputs!$C$34)^2)+(((Inputs!$C$6)-Inputs!$C$35)^2))/(2*Inputs!$C$36^2)))+Inputs!$C$37*(0.55*SIN(2*PI()*(Scenario_Data!V191)/Inputs!$C$39)+0.35*COS(2*PI()*(Inputs!$C$6)/Inputs!$C$40)+0.2*SIN(2*PI()*((Scenario_Data!V191)+(Inputs!$C$6))/(0.5*(Inputs!$C$39+Inputs!$C$40))))+Inputs!$C$38*SIN(2*PI()*(Scenario_Data!V191)/Inputs!$C$39)*SIN(2*PI()*(Inputs!$C$6)/Inputs!$C$40)+-Inputs!$C$41*EXP(-(((Inputs!$C$6)-Inputs!$C$43)^2)/(2*Inputs!$C$44^2))*EXP(-(((Scenario_Data!V191)-Inputs!$C$42)^2)/(2*Inputs!$C$45^2))+Inputs!$C$48*(0.7*(0.45*SIN(2*PI()*(((Scenario_Data!V191)/Inputs!$C$49)+Inputs!$C$47*0.137))+0.35*COS(2*PI()*(((Inputs!$C$6)/Inputs!$C$50)+Inputs!$C$47*0.173))+0.2*SIN(2*PI()*((((Scenario_Data!V191)+(Inputs!$C$6))/(0.5*(Inputs!$C$49+Inputs!$C$50)))+Inputs!$C$47*0.097)))+0.3*(2*((SIN(((Scenario_Data!V191)*12.9898+(Inputs!$C$6)*78.233+Inputs!$C$47*37.719))*43758.5453)-INT((SIN(((Scenario_Data!V191)*12.9898+(Inputs!$C$6)*78.233+Inputs!$C$47*37.719))*43758.5453)))-1))))/1000))*COS(SQRT((Scenario_Data!V191)^2+Inputs!$C$6^2)/Inputs!$C$52))*1000)/Inputs!$C$21*1000000</f>
        <v/>
      </c>
      <c r="AV191">
        <f>Scenario_Data!W191</f>
        <v/>
      </c>
      <c r="AW191">
        <f>2*(SQRT((Inputs!$C$52+(Scenario_Data!E191))^2+(Inputs!$C$52+((IF(OR(Inputs!$C$27=TRUE,Inputs!$C$27="TRUE",Inputs!$C$27=1),1,0)*(Inputs!$C$51*(115*EXP(-(((Inputs!$C$6)-25)^2)/(4.5^2))+70*EXP(-(((Inputs!$C$6)+38)^2)/(7^2))*(0.55+0.45*SIN(2*PI()*(Scenario_Data!W191)/45))+24*SIN(2*PI()*(Inputs!$C$6)/9+(Scenario_Data!W191)/18)*EXP(-(((Inputs!$C$6)+5)^2)/(22^2))+18*SIN(2*PI()*(Scenario_Data!W191)/70))+Inputs!$C$28*EXP(-(((Scenario_Data!W191)-Inputs!$C$29)^2)/(2*Inputs!$C$31^2))*EXP(-(((Inputs!$C$6)-Inputs!$C$30)^2)/(2*Inputs!$C$32^2))+-Inputs!$C$33*EXP(-(((((Scenario_Data!W191)-Inputs!$C$34)^2)+(((Inputs!$C$6)-Inputs!$C$35)^2))/(2*Inputs!$C$36^2)))+Inputs!$C$37*(0.55*SIN(2*PI()*(Scenario_Data!W191)/Inputs!$C$39)+0.35*COS(2*PI()*(Inputs!$C$6)/Inputs!$C$40)+0.2*SIN(2*PI()*((Scenario_Data!W191)+(Inputs!$C$6))/(0.5*(Inputs!$C$39+Inputs!$C$40))))+Inputs!$C$38*SIN(2*PI()*(Scenario_Data!W191)/Inputs!$C$39)*SIN(2*PI()*(Inputs!$C$6)/Inputs!$C$40)+-Inputs!$C$41*EXP(-(((Inputs!$C$6)-Inputs!$C$43)^2)/(2*Inputs!$C$44^2))*EXP(-(((Scenario_Data!W191)-Inputs!$C$42)^2)/(2*Inputs!$C$45^2))+Inputs!$C$48*(0.7*(0.45*SIN(2*PI()*(((Scenario_Data!W191)/Inputs!$C$49)+Inputs!$C$47*0.137))+0.35*COS(2*PI()*(((Inputs!$C$6)/Inputs!$C$50)+Inputs!$C$47*0.173))+0.2*SIN(2*PI()*((((Scenario_Data!W191)+(Inputs!$C$6))/(0.5*(Inputs!$C$49+Inputs!$C$50)))+Inputs!$C$47*0.097)))+0.3*(2*((SIN(((Scenario_Data!W191)*12.9898+(Inputs!$C$6)*78.233+Inputs!$C$47*37.719))*43758.5453)-INT((SIN(((Scenario_Data!W191)*12.9898+(Inputs!$C$6)*78.233+Inputs!$C$47*37.719))*43758.5453)))-1))))/1000))^2-2*(Inputs!$C$52+(Scenario_Data!E191))*(Inputs!$C$52+((IF(OR(Inputs!$C$27=TRUE,Inputs!$C$27="TRUE",Inputs!$C$27=1),1,0)*(Inputs!$C$51*(115*EXP(-(((Inputs!$C$6)-25)^2)/(4.5^2))+70*EXP(-(((Inputs!$C$6)+38)^2)/(7^2))*(0.55+0.45*SIN(2*PI()*(Scenario_Data!W191)/45))+24*SIN(2*PI()*(Inputs!$C$6)/9+(Scenario_Data!W191)/18)*EXP(-(((Inputs!$C$6)+5)^2)/(22^2))+18*SIN(2*PI()*(Scenario_Data!W191)/70))+Inputs!$C$28*EXP(-(((Scenario_Data!W191)-Inputs!$C$29)^2)/(2*Inputs!$C$31^2))*EXP(-(((Inputs!$C$6)-Inputs!$C$30)^2)/(2*Inputs!$C$32^2))+-Inputs!$C$33*EXP(-(((((Scenario_Data!W191)-Inputs!$C$34)^2)+(((Inputs!$C$6)-Inputs!$C$35)^2))/(2*Inputs!$C$36^2)))+Inputs!$C$37*(0.55*SIN(2*PI()*(Scenario_Data!W191)/Inputs!$C$39)+0.35*COS(2*PI()*(Inputs!$C$6)/Inputs!$C$40)+0.2*SIN(2*PI()*((Scenario_Data!W191)+(Inputs!$C$6))/(0.5*(Inputs!$C$39+Inputs!$C$40))))+Inputs!$C$38*SIN(2*PI()*(Scenario_Data!W191)/Inputs!$C$39)*SIN(2*PI()*(Inputs!$C$6)/Inputs!$C$40)+-Inputs!$C$41*EXP(-(((Inputs!$C$6)-Inputs!$C$43)^2)/(2*Inputs!$C$44^2))*EXP(-(((Scenario_Data!W191)-Inputs!$C$42)^2)/(2*Inputs!$C$45^2))+Inputs!$C$48*(0.7*(0.45*SIN(2*PI()*(((Scenario_Data!W191)/Inputs!$C$49)+Inputs!$C$47*0.137))+0.35*COS(2*PI()*(((Inputs!$C$6)/Inputs!$C$50)+Inputs!$C$47*0.173))+0.2*SIN(2*PI()*((((Scenario_Data!W191)+(Inputs!$C$6))/(0.5*(Inputs!$C$49+Inputs!$C$50)))+Inputs!$C$47*0.097)))+0.3*(2*((SIN(((Scenario_Data!W191)*12.9898+(Inputs!$C$6)*78.233+Inputs!$C$47*37.719))*43758.5453)-INT((SIN(((Scenario_Data!W191)*12.9898+(Inputs!$C$6)*78.233+Inputs!$C$47*37.719))*43758.5453)))-1))))/1000))*COS(SQRT((Scenario_Data!W191)^2+Inputs!$C$6^2)/Inputs!$C$52))*1000)/Inputs!$C$21*1000000</f>
        <v/>
      </c>
    </row>
    <row r="192">
      <c r="A192">
        <f>Chart_Data!K192</f>
        <v/>
      </c>
      <c r="B192">
        <f>Chart_Data!N192-Chart_Data!L192</f>
        <v/>
      </c>
      <c r="D192">
        <f>Chart_Data!G192</f>
        <v/>
      </c>
      <c r="E192">
        <f>Chart_Data!H192</f>
        <v/>
      </c>
      <c r="F192">
        <f>Chart_Data!I192</f>
        <v/>
      </c>
      <c r="G192">
        <f>Chart_Data!J192</f>
        <v/>
      </c>
      <c r="I192">
        <f>Scenario_Data!A192</f>
        <v/>
      </c>
      <c r="J192">
        <f>Scenario_Data!H192-(((SQRT((Inputs!$C$52+(Inputs!$H$6))^2+Inputs!$C$52^2-2*(Inputs!$C$52+(Inputs!$H$6))*Inputs!$C$52*COS(SQRT((Scenario_Data!T192)^2+Inputs!$C$6^2)/Inputs!$C$52)))-(Inputs!$H$6))*1000/Inputs!$C$12)</f>
        <v/>
      </c>
      <c r="K192">
        <f>Scenario_Data!I192-(((SQRT((Inputs!$C$52+(Inputs!$H$7))^2+Inputs!$C$52^2-2*(Inputs!$C$52+(Inputs!$H$7))*Inputs!$C$52*COS(SQRT((Scenario_Data!U192)^2+Inputs!$C$6^2)/Inputs!$C$52)))-(Inputs!$H$7))*1000/Inputs!$C$12)</f>
        <v/>
      </c>
      <c r="L192">
        <f>Scenario_Data!J192-(((SQRT((Inputs!$C$52+(Inputs!$H$8))^2+Inputs!$C$52^2-2*(Inputs!$C$52+(Inputs!$H$8))*Inputs!$C$52*COS(SQRT((Scenario_Data!V192)^2+Inputs!$C$6^2)/Inputs!$C$52)))-(Inputs!$H$8))*1000/Inputs!$C$12)</f>
        <v/>
      </c>
      <c r="M192">
        <f>Scenario_Data!K192-(((SQRT((Inputs!$C$52+(Inputs!$H$9))^2+Inputs!$C$52^2-2*(Inputs!$C$52+(Inputs!$H$9))*Inputs!$C$52*COS(SQRT((Scenario_Data!W192)^2+Inputs!$C$6^2)/Inputs!$C$52)))-(Inputs!$H$9))*1000/Inputs!$C$12)</f>
        <v/>
      </c>
      <c r="O192">
        <f>Scenario_Data!T192</f>
        <v/>
      </c>
      <c r="P192">
        <f>2*(Scenario_Data!B192*1000)/Inputs!$C$21*1000000</f>
        <v/>
      </c>
      <c r="Q192">
        <f>Scenario_Data!U192</f>
        <v/>
      </c>
      <c r="R192">
        <f>2*(Scenario_Data!C192*1000)/Inputs!$C$21*1000000</f>
        <v/>
      </c>
      <c r="S192">
        <f>Scenario_Data!V192</f>
        <v/>
      </c>
      <c r="T192">
        <f>2*(Scenario_Data!D192*1000)/Inputs!$C$21*1000000</f>
        <v/>
      </c>
      <c r="U192">
        <f>Scenario_Data!W192</f>
        <v/>
      </c>
      <c r="V192">
        <f>2*(Scenario_Data!E192*1000)/Inputs!$C$21*1000000</f>
        <v/>
      </c>
      <c r="X192">
        <f>Scenario_Data!T192</f>
        <v/>
      </c>
      <c r="Y192">
        <f>2*((Scenario_Data!B192*1000)-(IF(OR(Inputs!$C$27=TRUE,Inputs!$C$27="TRUE",Inputs!$C$27=1),1,0)*(Inputs!$C$51*(115*EXP(-(((0)-25)^2)/(4.5^2))+70*EXP(-(((0)+38)^2)/(7^2))*(0.55+0.45*SIN(2*PI()*(Scenario_Data!T192)/45))+24*SIN(2*PI()*(0)/9+(Scenario_Data!T192)/18)*EXP(-(((0)+5)^2)/(22^2))+18*SIN(2*PI()*(Scenario_Data!T192)/70))+Inputs!$C$28*EXP(-(((Scenario_Data!T192)-Inputs!$C$29)^2)/(2*Inputs!$C$31^2))*EXP(-(((0)-Inputs!$C$30)^2)/(2*Inputs!$C$32^2))+-Inputs!$C$33*EXP(-(((((Scenario_Data!T192)-Inputs!$C$34)^2)+(((0)-Inputs!$C$35)^2))/(2*Inputs!$C$36^2)))+Inputs!$C$37*(0.55*SIN(2*PI()*(Scenario_Data!T192)/Inputs!$C$39)+0.35*COS(2*PI()*(0)/Inputs!$C$40)+0.2*SIN(2*PI()*((Scenario_Data!T192)+(0))/(0.5*(Inputs!$C$39+Inputs!$C$40))))+Inputs!$C$38*SIN(2*PI()*(Scenario_Data!T192)/Inputs!$C$39)*SIN(2*PI()*(0)/Inputs!$C$40)+-Inputs!$C$41*EXP(-(((0)-Inputs!$C$43)^2)/(2*Inputs!$C$44^2))*EXP(-(((Scenario_Data!T192)-Inputs!$C$42)^2)/(2*Inputs!$C$45^2))+Inputs!$C$48*(0.7*(0.45*SIN(2*PI()*(((Scenario_Data!T192)/Inputs!$C$49)+Inputs!$C$47*0.137))+0.35*COS(2*PI()*(((0)/Inputs!$C$50)+Inputs!$C$47*0.173))+0.2*SIN(2*PI()*((((Scenario_Data!T192)+(0))/(0.5*(Inputs!$C$49+Inputs!$C$50)))+Inputs!$C$47*0.097)))+0.3*(2*((SIN(((Scenario_Data!T192)*12.9898+(0)*78.233+Inputs!$C$47*37.719))*43758.5453)-INT((SIN(((Scenario_Data!T192)*12.9898+(0)*78.233+Inputs!$C$47*37.719))*43758.5453)))-1)))))/Inputs!$C$21*1000000</f>
        <v/>
      </c>
      <c r="Z192">
        <f>Scenario_Data!U192</f>
        <v/>
      </c>
      <c r="AA192">
        <f>2*((Scenario_Data!C192*1000)-(IF(OR(Inputs!$C$27=TRUE,Inputs!$C$27="TRUE",Inputs!$C$27=1),1,0)*(Inputs!$C$51*(115*EXP(-(((0)-25)^2)/(4.5^2))+70*EXP(-(((0)+38)^2)/(7^2))*(0.55+0.45*SIN(2*PI()*(Scenario_Data!U192)/45))+24*SIN(2*PI()*(0)/9+(Scenario_Data!U192)/18)*EXP(-(((0)+5)^2)/(22^2))+18*SIN(2*PI()*(Scenario_Data!U192)/70))+Inputs!$C$28*EXP(-(((Scenario_Data!U192)-Inputs!$C$29)^2)/(2*Inputs!$C$31^2))*EXP(-(((0)-Inputs!$C$30)^2)/(2*Inputs!$C$32^2))+-Inputs!$C$33*EXP(-(((((Scenario_Data!U192)-Inputs!$C$34)^2)+(((0)-Inputs!$C$35)^2))/(2*Inputs!$C$36^2)))+Inputs!$C$37*(0.55*SIN(2*PI()*(Scenario_Data!U192)/Inputs!$C$39)+0.35*COS(2*PI()*(0)/Inputs!$C$40)+0.2*SIN(2*PI()*((Scenario_Data!U192)+(0))/(0.5*(Inputs!$C$39+Inputs!$C$40))))+Inputs!$C$38*SIN(2*PI()*(Scenario_Data!U192)/Inputs!$C$39)*SIN(2*PI()*(0)/Inputs!$C$40)+-Inputs!$C$41*EXP(-(((0)-Inputs!$C$43)^2)/(2*Inputs!$C$44^2))*EXP(-(((Scenario_Data!U192)-Inputs!$C$42)^2)/(2*Inputs!$C$45^2))+Inputs!$C$48*(0.7*(0.45*SIN(2*PI()*(((Scenario_Data!U192)/Inputs!$C$49)+Inputs!$C$47*0.137))+0.35*COS(2*PI()*(((0)/Inputs!$C$50)+Inputs!$C$47*0.173))+0.2*SIN(2*PI()*((((Scenario_Data!U192)+(0))/(0.5*(Inputs!$C$49+Inputs!$C$50)))+Inputs!$C$47*0.097)))+0.3*(2*((SIN(((Scenario_Data!U192)*12.9898+(0)*78.233+Inputs!$C$47*37.719))*43758.5453)-INT((SIN(((Scenario_Data!U192)*12.9898+(0)*78.233+Inputs!$C$47*37.719))*43758.5453)))-1)))))/Inputs!$C$21*1000000</f>
        <v/>
      </c>
      <c r="AB192">
        <f>Scenario_Data!V192</f>
        <v/>
      </c>
      <c r="AC192">
        <f>2*((Scenario_Data!D192*1000)-(IF(OR(Inputs!$C$27=TRUE,Inputs!$C$27="TRUE",Inputs!$C$27=1),1,0)*(Inputs!$C$51*(115*EXP(-(((0)-25)^2)/(4.5^2))+70*EXP(-(((0)+38)^2)/(7^2))*(0.55+0.45*SIN(2*PI()*(Scenario_Data!V192)/45))+24*SIN(2*PI()*(0)/9+(Scenario_Data!V192)/18)*EXP(-(((0)+5)^2)/(22^2))+18*SIN(2*PI()*(Scenario_Data!V192)/70))+Inputs!$C$28*EXP(-(((Scenario_Data!V192)-Inputs!$C$29)^2)/(2*Inputs!$C$31^2))*EXP(-(((0)-Inputs!$C$30)^2)/(2*Inputs!$C$32^2))+-Inputs!$C$33*EXP(-(((((Scenario_Data!V192)-Inputs!$C$34)^2)+(((0)-Inputs!$C$35)^2))/(2*Inputs!$C$36^2)))+Inputs!$C$37*(0.55*SIN(2*PI()*(Scenario_Data!V192)/Inputs!$C$39)+0.35*COS(2*PI()*(0)/Inputs!$C$40)+0.2*SIN(2*PI()*((Scenario_Data!V192)+(0))/(0.5*(Inputs!$C$39+Inputs!$C$40))))+Inputs!$C$38*SIN(2*PI()*(Scenario_Data!V192)/Inputs!$C$39)*SIN(2*PI()*(0)/Inputs!$C$40)+-Inputs!$C$41*EXP(-(((0)-Inputs!$C$43)^2)/(2*Inputs!$C$44^2))*EXP(-(((Scenario_Data!V192)-Inputs!$C$42)^2)/(2*Inputs!$C$45^2))+Inputs!$C$48*(0.7*(0.45*SIN(2*PI()*(((Scenario_Data!V192)/Inputs!$C$49)+Inputs!$C$47*0.137))+0.35*COS(2*PI()*(((0)/Inputs!$C$50)+Inputs!$C$47*0.173))+0.2*SIN(2*PI()*((((Scenario_Data!V192)+(0))/(0.5*(Inputs!$C$49+Inputs!$C$50)))+Inputs!$C$47*0.097)))+0.3*(2*((SIN(((Scenario_Data!V192)*12.9898+(0)*78.233+Inputs!$C$47*37.719))*43758.5453)-INT((SIN(((Scenario_Data!V192)*12.9898+(0)*78.233+Inputs!$C$47*37.719))*43758.5453)))-1)))))/Inputs!$C$21*1000000</f>
        <v/>
      </c>
      <c r="AD192">
        <f>Scenario_Data!W192</f>
        <v/>
      </c>
      <c r="AE192">
        <f>2*((Scenario_Data!E192*1000)-(IF(OR(Inputs!$C$27=TRUE,Inputs!$C$27="TRUE",Inputs!$C$27=1),1,0)*(Inputs!$C$51*(115*EXP(-(((0)-25)^2)/(4.5^2))+70*EXP(-(((0)+38)^2)/(7^2))*(0.55+0.45*SIN(2*PI()*(Scenario_Data!W192)/45))+24*SIN(2*PI()*(0)/9+(Scenario_Data!W192)/18)*EXP(-(((0)+5)^2)/(22^2))+18*SIN(2*PI()*(Scenario_Data!W192)/70))+Inputs!$C$28*EXP(-(((Scenario_Data!W192)-Inputs!$C$29)^2)/(2*Inputs!$C$31^2))*EXP(-(((0)-Inputs!$C$30)^2)/(2*Inputs!$C$32^2))+-Inputs!$C$33*EXP(-(((((Scenario_Data!W192)-Inputs!$C$34)^2)+(((0)-Inputs!$C$35)^2))/(2*Inputs!$C$36^2)))+Inputs!$C$37*(0.55*SIN(2*PI()*(Scenario_Data!W192)/Inputs!$C$39)+0.35*COS(2*PI()*(0)/Inputs!$C$40)+0.2*SIN(2*PI()*((Scenario_Data!W192)+(0))/(0.5*(Inputs!$C$39+Inputs!$C$40))))+Inputs!$C$38*SIN(2*PI()*(Scenario_Data!W192)/Inputs!$C$39)*SIN(2*PI()*(0)/Inputs!$C$40)+-Inputs!$C$41*EXP(-(((0)-Inputs!$C$43)^2)/(2*Inputs!$C$44^2))*EXP(-(((Scenario_Data!W192)-Inputs!$C$42)^2)/(2*Inputs!$C$45^2))+Inputs!$C$48*(0.7*(0.45*SIN(2*PI()*(((Scenario_Data!W192)/Inputs!$C$49)+Inputs!$C$47*0.137))+0.35*COS(2*PI()*(((0)/Inputs!$C$50)+Inputs!$C$47*0.173))+0.2*SIN(2*PI()*((((Scenario_Data!W192)+(0))/(0.5*(Inputs!$C$49+Inputs!$C$50)))+Inputs!$C$47*0.097)))+0.3*(2*((SIN(((Scenario_Data!W192)*12.9898+(0)*78.233+Inputs!$C$47*37.719))*43758.5453)-INT((SIN(((Scenario_Data!W192)*12.9898+(0)*78.233+Inputs!$C$47*37.719))*43758.5453)))-1)))))/Inputs!$C$21*1000000</f>
        <v/>
      </c>
      <c r="AG192">
        <f>Scenario_Data!T192</f>
        <v/>
      </c>
      <c r="AH192">
        <f>2*(SQRT((Inputs!$C$52+(Scenario_Data!B192))^2+Inputs!$C$52^2-2*(Inputs!$C$52+(Scenario_Data!B192))*Inputs!$C$52*COS(SQRT((Scenario_Data!T192)^2+Inputs!$C$6^2)/Inputs!$C$52))*1000)/Inputs!$C$21*1000000</f>
        <v/>
      </c>
      <c r="AI192">
        <f>Scenario_Data!U192</f>
        <v/>
      </c>
      <c r="AJ192">
        <f>2*(SQRT((Inputs!$C$52+(Scenario_Data!C192))^2+Inputs!$C$52^2-2*(Inputs!$C$52+(Scenario_Data!C192))*Inputs!$C$52*COS(SQRT((Scenario_Data!U192)^2+Inputs!$C$6^2)/Inputs!$C$52))*1000)/Inputs!$C$21*1000000</f>
        <v/>
      </c>
      <c r="AK192">
        <f>Scenario_Data!V192</f>
        <v/>
      </c>
      <c r="AL192">
        <f>2*(SQRT((Inputs!$C$52+(Scenario_Data!D192))^2+Inputs!$C$52^2-2*(Inputs!$C$52+(Scenario_Data!D192))*Inputs!$C$52*COS(SQRT((Scenario_Data!V192)^2+Inputs!$C$6^2)/Inputs!$C$52))*1000)/Inputs!$C$21*1000000</f>
        <v/>
      </c>
      <c r="AM192">
        <f>Scenario_Data!W192</f>
        <v/>
      </c>
      <c r="AN192">
        <f>2*(SQRT((Inputs!$C$52+(Scenario_Data!E192))^2+Inputs!$C$52^2-2*(Inputs!$C$52+(Scenario_Data!E192))*Inputs!$C$52*COS(SQRT((Scenario_Data!W192)^2+Inputs!$C$6^2)/Inputs!$C$52))*1000)/Inputs!$C$21*1000000</f>
        <v/>
      </c>
      <c r="AP192">
        <f>Scenario_Data!T192</f>
        <v/>
      </c>
      <c r="AQ192">
        <f>2*(SQRT((Inputs!$C$52+(Scenario_Data!B192))^2+(Inputs!$C$52+((IF(OR(Inputs!$C$27=TRUE,Inputs!$C$27="TRUE",Inputs!$C$27=1),1,0)*(Inputs!$C$51*(115*EXP(-(((Inputs!$C$6)-25)^2)/(4.5^2))+70*EXP(-(((Inputs!$C$6)+38)^2)/(7^2))*(0.55+0.45*SIN(2*PI()*(Scenario_Data!T192)/45))+24*SIN(2*PI()*(Inputs!$C$6)/9+(Scenario_Data!T192)/18)*EXP(-(((Inputs!$C$6)+5)^2)/(22^2))+18*SIN(2*PI()*(Scenario_Data!T192)/70))+Inputs!$C$28*EXP(-(((Scenario_Data!T192)-Inputs!$C$29)^2)/(2*Inputs!$C$31^2))*EXP(-(((Inputs!$C$6)-Inputs!$C$30)^2)/(2*Inputs!$C$32^2))+-Inputs!$C$33*EXP(-(((((Scenario_Data!T192)-Inputs!$C$34)^2)+(((Inputs!$C$6)-Inputs!$C$35)^2))/(2*Inputs!$C$36^2)))+Inputs!$C$37*(0.55*SIN(2*PI()*(Scenario_Data!T192)/Inputs!$C$39)+0.35*COS(2*PI()*(Inputs!$C$6)/Inputs!$C$40)+0.2*SIN(2*PI()*((Scenario_Data!T192)+(Inputs!$C$6))/(0.5*(Inputs!$C$39+Inputs!$C$40))))+Inputs!$C$38*SIN(2*PI()*(Scenario_Data!T192)/Inputs!$C$39)*SIN(2*PI()*(Inputs!$C$6)/Inputs!$C$40)+-Inputs!$C$41*EXP(-(((Inputs!$C$6)-Inputs!$C$43)^2)/(2*Inputs!$C$44^2))*EXP(-(((Scenario_Data!T192)-Inputs!$C$42)^2)/(2*Inputs!$C$45^2))+Inputs!$C$48*(0.7*(0.45*SIN(2*PI()*(((Scenario_Data!T192)/Inputs!$C$49)+Inputs!$C$47*0.137))+0.35*COS(2*PI()*(((Inputs!$C$6)/Inputs!$C$50)+Inputs!$C$47*0.173))+0.2*SIN(2*PI()*((((Scenario_Data!T192)+(Inputs!$C$6))/(0.5*(Inputs!$C$49+Inputs!$C$50)))+Inputs!$C$47*0.097)))+0.3*(2*((SIN(((Scenario_Data!T192)*12.9898+(Inputs!$C$6)*78.233+Inputs!$C$47*37.719))*43758.5453)-INT((SIN(((Scenario_Data!T192)*12.9898+(Inputs!$C$6)*78.233+Inputs!$C$47*37.719))*43758.5453)))-1))))/1000))^2-2*(Inputs!$C$52+(Scenario_Data!B192))*(Inputs!$C$52+((IF(OR(Inputs!$C$27=TRUE,Inputs!$C$27="TRUE",Inputs!$C$27=1),1,0)*(Inputs!$C$51*(115*EXP(-(((Inputs!$C$6)-25)^2)/(4.5^2))+70*EXP(-(((Inputs!$C$6)+38)^2)/(7^2))*(0.55+0.45*SIN(2*PI()*(Scenario_Data!T192)/45))+24*SIN(2*PI()*(Inputs!$C$6)/9+(Scenario_Data!T192)/18)*EXP(-(((Inputs!$C$6)+5)^2)/(22^2))+18*SIN(2*PI()*(Scenario_Data!T192)/70))+Inputs!$C$28*EXP(-(((Scenario_Data!T192)-Inputs!$C$29)^2)/(2*Inputs!$C$31^2))*EXP(-(((Inputs!$C$6)-Inputs!$C$30)^2)/(2*Inputs!$C$32^2))+-Inputs!$C$33*EXP(-(((((Scenario_Data!T192)-Inputs!$C$34)^2)+(((Inputs!$C$6)-Inputs!$C$35)^2))/(2*Inputs!$C$36^2)))+Inputs!$C$37*(0.55*SIN(2*PI()*(Scenario_Data!T192)/Inputs!$C$39)+0.35*COS(2*PI()*(Inputs!$C$6)/Inputs!$C$40)+0.2*SIN(2*PI()*((Scenario_Data!T192)+(Inputs!$C$6))/(0.5*(Inputs!$C$39+Inputs!$C$40))))+Inputs!$C$38*SIN(2*PI()*(Scenario_Data!T192)/Inputs!$C$39)*SIN(2*PI()*(Inputs!$C$6)/Inputs!$C$40)+-Inputs!$C$41*EXP(-(((Inputs!$C$6)-Inputs!$C$43)^2)/(2*Inputs!$C$44^2))*EXP(-(((Scenario_Data!T192)-Inputs!$C$42)^2)/(2*Inputs!$C$45^2))+Inputs!$C$48*(0.7*(0.45*SIN(2*PI()*(((Scenario_Data!T192)/Inputs!$C$49)+Inputs!$C$47*0.137))+0.35*COS(2*PI()*(((Inputs!$C$6)/Inputs!$C$50)+Inputs!$C$47*0.173))+0.2*SIN(2*PI()*((((Scenario_Data!T192)+(Inputs!$C$6))/(0.5*(Inputs!$C$49+Inputs!$C$50)))+Inputs!$C$47*0.097)))+0.3*(2*((SIN(((Scenario_Data!T192)*12.9898+(Inputs!$C$6)*78.233+Inputs!$C$47*37.719))*43758.5453)-INT((SIN(((Scenario_Data!T192)*12.9898+(Inputs!$C$6)*78.233+Inputs!$C$47*37.719))*43758.5453)))-1))))/1000))*COS(SQRT((Scenario_Data!T192)^2+Inputs!$C$6^2)/Inputs!$C$52))*1000)/Inputs!$C$21*1000000</f>
        <v/>
      </c>
      <c r="AR192">
        <f>Scenario_Data!U192</f>
        <v/>
      </c>
      <c r="AS192">
        <f>2*(SQRT((Inputs!$C$52+(Scenario_Data!C192))^2+(Inputs!$C$52+((IF(OR(Inputs!$C$27=TRUE,Inputs!$C$27="TRUE",Inputs!$C$27=1),1,0)*(Inputs!$C$51*(115*EXP(-(((Inputs!$C$6)-25)^2)/(4.5^2))+70*EXP(-(((Inputs!$C$6)+38)^2)/(7^2))*(0.55+0.45*SIN(2*PI()*(Scenario_Data!U192)/45))+24*SIN(2*PI()*(Inputs!$C$6)/9+(Scenario_Data!U192)/18)*EXP(-(((Inputs!$C$6)+5)^2)/(22^2))+18*SIN(2*PI()*(Scenario_Data!U192)/70))+Inputs!$C$28*EXP(-(((Scenario_Data!U192)-Inputs!$C$29)^2)/(2*Inputs!$C$31^2))*EXP(-(((Inputs!$C$6)-Inputs!$C$30)^2)/(2*Inputs!$C$32^2))+-Inputs!$C$33*EXP(-(((((Scenario_Data!U192)-Inputs!$C$34)^2)+(((Inputs!$C$6)-Inputs!$C$35)^2))/(2*Inputs!$C$36^2)))+Inputs!$C$37*(0.55*SIN(2*PI()*(Scenario_Data!U192)/Inputs!$C$39)+0.35*COS(2*PI()*(Inputs!$C$6)/Inputs!$C$40)+0.2*SIN(2*PI()*((Scenario_Data!U192)+(Inputs!$C$6))/(0.5*(Inputs!$C$39+Inputs!$C$40))))+Inputs!$C$38*SIN(2*PI()*(Scenario_Data!U192)/Inputs!$C$39)*SIN(2*PI()*(Inputs!$C$6)/Inputs!$C$40)+-Inputs!$C$41*EXP(-(((Inputs!$C$6)-Inputs!$C$43)^2)/(2*Inputs!$C$44^2))*EXP(-(((Scenario_Data!U192)-Inputs!$C$42)^2)/(2*Inputs!$C$45^2))+Inputs!$C$48*(0.7*(0.45*SIN(2*PI()*(((Scenario_Data!U192)/Inputs!$C$49)+Inputs!$C$47*0.137))+0.35*COS(2*PI()*(((Inputs!$C$6)/Inputs!$C$50)+Inputs!$C$47*0.173))+0.2*SIN(2*PI()*((((Scenario_Data!U192)+(Inputs!$C$6))/(0.5*(Inputs!$C$49+Inputs!$C$50)))+Inputs!$C$47*0.097)))+0.3*(2*((SIN(((Scenario_Data!U192)*12.9898+(Inputs!$C$6)*78.233+Inputs!$C$47*37.719))*43758.5453)-INT((SIN(((Scenario_Data!U192)*12.9898+(Inputs!$C$6)*78.233+Inputs!$C$47*37.719))*43758.5453)))-1))))/1000))^2-2*(Inputs!$C$52+(Scenario_Data!C192))*(Inputs!$C$52+((IF(OR(Inputs!$C$27=TRUE,Inputs!$C$27="TRUE",Inputs!$C$27=1),1,0)*(Inputs!$C$51*(115*EXP(-(((Inputs!$C$6)-25)^2)/(4.5^2))+70*EXP(-(((Inputs!$C$6)+38)^2)/(7^2))*(0.55+0.45*SIN(2*PI()*(Scenario_Data!U192)/45))+24*SIN(2*PI()*(Inputs!$C$6)/9+(Scenario_Data!U192)/18)*EXP(-(((Inputs!$C$6)+5)^2)/(22^2))+18*SIN(2*PI()*(Scenario_Data!U192)/70))+Inputs!$C$28*EXP(-(((Scenario_Data!U192)-Inputs!$C$29)^2)/(2*Inputs!$C$31^2))*EXP(-(((Inputs!$C$6)-Inputs!$C$30)^2)/(2*Inputs!$C$32^2))+-Inputs!$C$33*EXP(-(((((Scenario_Data!U192)-Inputs!$C$34)^2)+(((Inputs!$C$6)-Inputs!$C$35)^2))/(2*Inputs!$C$36^2)))+Inputs!$C$37*(0.55*SIN(2*PI()*(Scenario_Data!U192)/Inputs!$C$39)+0.35*COS(2*PI()*(Inputs!$C$6)/Inputs!$C$40)+0.2*SIN(2*PI()*((Scenario_Data!U192)+(Inputs!$C$6))/(0.5*(Inputs!$C$39+Inputs!$C$40))))+Inputs!$C$38*SIN(2*PI()*(Scenario_Data!U192)/Inputs!$C$39)*SIN(2*PI()*(Inputs!$C$6)/Inputs!$C$40)+-Inputs!$C$41*EXP(-(((Inputs!$C$6)-Inputs!$C$43)^2)/(2*Inputs!$C$44^2))*EXP(-(((Scenario_Data!U192)-Inputs!$C$42)^2)/(2*Inputs!$C$45^2))+Inputs!$C$48*(0.7*(0.45*SIN(2*PI()*(((Scenario_Data!U192)/Inputs!$C$49)+Inputs!$C$47*0.137))+0.35*COS(2*PI()*(((Inputs!$C$6)/Inputs!$C$50)+Inputs!$C$47*0.173))+0.2*SIN(2*PI()*((((Scenario_Data!U192)+(Inputs!$C$6))/(0.5*(Inputs!$C$49+Inputs!$C$50)))+Inputs!$C$47*0.097)))+0.3*(2*((SIN(((Scenario_Data!U192)*12.9898+(Inputs!$C$6)*78.233+Inputs!$C$47*37.719))*43758.5453)-INT((SIN(((Scenario_Data!U192)*12.9898+(Inputs!$C$6)*78.233+Inputs!$C$47*37.719))*43758.5453)))-1))))/1000))*COS(SQRT((Scenario_Data!U192)^2+Inputs!$C$6^2)/Inputs!$C$52))*1000)/Inputs!$C$21*1000000</f>
        <v/>
      </c>
      <c r="AT192">
        <f>Scenario_Data!V192</f>
        <v/>
      </c>
      <c r="AU192">
        <f>2*(SQRT((Inputs!$C$52+(Scenario_Data!D192))^2+(Inputs!$C$52+((IF(OR(Inputs!$C$27=TRUE,Inputs!$C$27="TRUE",Inputs!$C$27=1),1,0)*(Inputs!$C$51*(115*EXP(-(((Inputs!$C$6)-25)^2)/(4.5^2))+70*EXP(-(((Inputs!$C$6)+38)^2)/(7^2))*(0.55+0.45*SIN(2*PI()*(Scenario_Data!V192)/45))+24*SIN(2*PI()*(Inputs!$C$6)/9+(Scenario_Data!V192)/18)*EXP(-(((Inputs!$C$6)+5)^2)/(22^2))+18*SIN(2*PI()*(Scenario_Data!V192)/70))+Inputs!$C$28*EXP(-(((Scenario_Data!V192)-Inputs!$C$29)^2)/(2*Inputs!$C$31^2))*EXP(-(((Inputs!$C$6)-Inputs!$C$30)^2)/(2*Inputs!$C$32^2))+-Inputs!$C$33*EXP(-(((((Scenario_Data!V192)-Inputs!$C$34)^2)+(((Inputs!$C$6)-Inputs!$C$35)^2))/(2*Inputs!$C$36^2)))+Inputs!$C$37*(0.55*SIN(2*PI()*(Scenario_Data!V192)/Inputs!$C$39)+0.35*COS(2*PI()*(Inputs!$C$6)/Inputs!$C$40)+0.2*SIN(2*PI()*((Scenario_Data!V192)+(Inputs!$C$6))/(0.5*(Inputs!$C$39+Inputs!$C$40))))+Inputs!$C$38*SIN(2*PI()*(Scenario_Data!V192)/Inputs!$C$39)*SIN(2*PI()*(Inputs!$C$6)/Inputs!$C$40)+-Inputs!$C$41*EXP(-(((Inputs!$C$6)-Inputs!$C$43)^2)/(2*Inputs!$C$44^2))*EXP(-(((Scenario_Data!V192)-Inputs!$C$42)^2)/(2*Inputs!$C$45^2))+Inputs!$C$48*(0.7*(0.45*SIN(2*PI()*(((Scenario_Data!V192)/Inputs!$C$49)+Inputs!$C$47*0.137))+0.35*COS(2*PI()*(((Inputs!$C$6)/Inputs!$C$50)+Inputs!$C$47*0.173))+0.2*SIN(2*PI()*((((Scenario_Data!V192)+(Inputs!$C$6))/(0.5*(Inputs!$C$49+Inputs!$C$50)))+Inputs!$C$47*0.097)))+0.3*(2*((SIN(((Scenario_Data!V192)*12.9898+(Inputs!$C$6)*78.233+Inputs!$C$47*37.719))*43758.5453)-INT((SIN(((Scenario_Data!V192)*12.9898+(Inputs!$C$6)*78.233+Inputs!$C$47*37.719))*43758.5453)))-1))))/1000))^2-2*(Inputs!$C$52+(Scenario_Data!D192))*(Inputs!$C$52+((IF(OR(Inputs!$C$27=TRUE,Inputs!$C$27="TRUE",Inputs!$C$27=1),1,0)*(Inputs!$C$51*(115*EXP(-(((Inputs!$C$6)-25)^2)/(4.5^2))+70*EXP(-(((Inputs!$C$6)+38)^2)/(7^2))*(0.55+0.45*SIN(2*PI()*(Scenario_Data!V192)/45))+24*SIN(2*PI()*(Inputs!$C$6)/9+(Scenario_Data!V192)/18)*EXP(-(((Inputs!$C$6)+5)^2)/(22^2))+18*SIN(2*PI()*(Scenario_Data!V192)/70))+Inputs!$C$28*EXP(-(((Scenario_Data!V192)-Inputs!$C$29)^2)/(2*Inputs!$C$31^2))*EXP(-(((Inputs!$C$6)-Inputs!$C$30)^2)/(2*Inputs!$C$32^2))+-Inputs!$C$33*EXP(-(((((Scenario_Data!V192)-Inputs!$C$34)^2)+(((Inputs!$C$6)-Inputs!$C$35)^2))/(2*Inputs!$C$36^2)))+Inputs!$C$37*(0.55*SIN(2*PI()*(Scenario_Data!V192)/Inputs!$C$39)+0.35*COS(2*PI()*(Inputs!$C$6)/Inputs!$C$40)+0.2*SIN(2*PI()*((Scenario_Data!V192)+(Inputs!$C$6))/(0.5*(Inputs!$C$39+Inputs!$C$40))))+Inputs!$C$38*SIN(2*PI()*(Scenario_Data!V192)/Inputs!$C$39)*SIN(2*PI()*(Inputs!$C$6)/Inputs!$C$40)+-Inputs!$C$41*EXP(-(((Inputs!$C$6)-Inputs!$C$43)^2)/(2*Inputs!$C$44^2))*EXP(-(((Scenario_Data!V192)-Inputs!$C$42)^2)/(2*Inputs!$C$45^2))+Inputs!$C$48*(0.7*(0.45*SIN(2*PI()*(((Scenario_Data!V192)/Inputs!$C$49)+Inputs!$C$47*0.137))+0.35*COS(2*PI()*(((Inputs!$C$6)/Inputs!$C$50)+Inputs!$C$47*0.173))+0.2*SIN(2*PI()*((((Scenario_Data!V192)+(Inputs!$C$6))/(0.5*(Inputs!$C$49+Inputs!$C$50)))+Inputs!$C$47*0.097)))+0.3*(2*((SIN(((Scenario_Data!V192)*12.9898+(Inputs!$C$6)*78.233+Inputs!$C$47*37.719))*43758.5453)-INT((SIN(((Scenario_Data!V192)*12.9898+(Inputs!$C$6)*78.233+Inputs!$C$47*37.719))*43758.5453)))-1))))/1000))*COS(SQRT((Scenario_Data!V192)^2+Inputs!$C$6^2)/Inputs!$C$52))*1000)/Inputs!$C$21*1000000</f>
        <v/>
      </c>
      <c r="AV192">
        <f>Scenario_Data!W192</f>
        <v/>
      </c>
      <c r="AW192">
        <f>2*(SQRT((Inputs!$C$52+(Scenario_Data!E192))^2+(Inputs!$C$52+((IF(OR(Inputs!$C$27=TRUE,Inputs!$C$27="TRUE",Inputs!$C$27=1),1,0)*(Inputs!$C$51*(115*EXP(-(((Inputs!$C$6)-25)^2)/(4.5^2))+70*EXP(-(((Inputs!$C$6)+38)^2)/(7^2))*(0.55+0.45*SIN(2*PI()*(Scenario_Data!W192)/45))+24*SIN(2*PI()*(Inputs!$C$6)/9+(Scenario_Data!W192)/18)*EXP(-(((Inputs!$C$6)+5)^2)/(22^2))+18*SIN(2*PI()*(Scenario_Data!W192)/70))+Inputs!$C$28*EXP(-(((Scenario_Data!W192)-Inputs!$C$29)^2)/(2*Inputs!$C$31^2))*EXP(-(((Inputs!$C$6)-Inputs!$C$30)^2)/(2*Inputs!$C$32^2))+-Inputs!$C$33*EXP(-(((((Scenario_Data!W192)-Inputs!$C$34)^2)+(((Inputs!$C$6)-Inputs!$C$35)^2))/(2*Inputs!$C$36^2)))+Inputs!$C$37*(0.55*SIN(2*PI()*(Scenario_Data!W192)/Inputs!$C$39)+0.35*COS(2*PI()*(Inputs!$C$6)/Inputs!$C$40)+0.2*SIN(2*PI()*((Scenario_Data!W192)+(Inputs!$C$6))/(0.5*(Inputs!$C$39+Inputs!$C$40))))+Inputs!$C$38*SIN(2*PI()*(Scenario_Data!W192)/Inputs!$C$39)*SIN(2*PI()*(Inputs!$C$6)/Inputs!$C$40)+-Inputs!$C$41*EXP(-(((Inputs!$C$6)-Inputs!$C$43)^2)/(2*Inputs!$C$44^2))*EXP(-(((Scenario_Data!W192)-Inputs!$C$42)^2)/(2*Inputs!$C$45^2))+Inputs!$C$48*(0.7*(0.45*SIN(2*PI()*(((Scenario_Data!W192)/Inputs!$C$49)+Inputs!$C$47*0.137))+0.35*COS(2*PI()*(((Inputs!$C$6)/Inputs!$C$50)+Inputs!$C$47*0.173))+0.2*SIN(2*PI()*((((Scenario_Data!W192)+(Inputs!$C$6))/(0.5*(Inputs!$C$49+Inputs!$C$50)))+Inputs!$C$47*0.097)))+0.3*(2*((SIN(((Scenario_Data!W192)*12.9898+(Inputs!$C$6)*78.233+Inputs!$C$47*37.719))*43758.5453)-INT((SIN(((Scenario_Data!W192)*12.9898+(Inputs!$C$6)*78.233+Inputs!$C$47*37.719))*43758.5453)))-1))))/1000))^2-2*(Inputs!$C$52+(Scenario_Data!E192))*(Inputs!$C$52+((IF(OR(Inputs!$C$27=TRUE,Inputs!$C$27="TRUE",Inputs!$C$27=1),1,0)*(Inputs!$C$51*(115*EXP(-(((Inputs!$C$6)-25)^2)/(4.5^2))+70*EXP(-(((Inputs!$C$6)+38)^2)/(7^2))*(0.55+0.45*SIN(2*PI()*(Scenario_Data!W192)/45))+24*SIN(2*PI()*(Inputs!$C$6)/9+(Scenario_Data!W192)/18)*EXP(-(((Inputs!$C$6)+5)^2)/(22^2))+18*SIN(2*PI()*(Scenario_Data!W192)/70))+Inputs!$C$28*EXP(-(((Scenario_Data!W192)-Inputs!$C$29)^2)/(2*Inputs!$C$31^2))*EXP(-(((Inputs!$C$6)-Inputs!$C$30)^2)/(2*Inputs!$C$32^2))+-Inputs!$C$33*EXP(-(((((Scenario_Data!W192)-Inputs!$C$34)^2)+(((Inputs!$C$6)-Inputs!$C$35)^2))/(2*Inputs!$C$36^2)))+Inputs!$C$37*(0.55*SIN(2*PI()*(Scenario_Data!W192)/Inputs!$C$39)+0.35*COS(2*PI()*(Inputs!$C$6)/Inputs!$C$40)+0.2*SIN(2*PI()*((Scenario_Data!W192)+(Inputs!$C$6))/(0.5*(Inputs!$C$39+Inputs!$C$40))))+Inputs!$C$38*SIN(2*PI()*(Scenario_Data!W192)/Inputs!$C$39)*SIN(2*PI()*(Inputs!$C$6)/Inputs!$C$40)+-Inputs!$C$41*EXP(-(((Inputs!$C$6)-Inputs!$C$43)^2)/(2*Inputs!$C$44^2))*EXP(-(((Scenario_Data!W192)-Inputs!$C$42)^2)/(2*Inputs!$C$45^2))+Inputs!$C$48*(0.7*(0.45*SIN(2*PI()*(((Scenario_Data!W192)/Inputs!$C$49)+Inputs!$C$47*0.137))+0.35*COS(2*PI()*(((Inputs!$C$6)/Inputs!$C$50)+Inputs!$C$47*0.173))+0.2*SIN(2*PI()*((((Scenario_Data!W192)+(Inputs!$C$6))/(0.5*(Inputs!$C$49+Inputs!$C$50)))+Inputs!$C$47*0.097)))+0.3*(2*((SIN(((Scenario_Data!W192)*12.9898+(Inputs!$C$6)*78.233+Inputs!$C$47*37.719))*43758.5453)-INT((SIN(((Scenario_Data!W192)*12.9898+(Inputs!$C$6)*78.233+Inputs!$C$47*37.719))*43758.5453)))-1))))/1000))*COS(SQRT((Scenario_Data!W192)^2+Inputs!$C$6^2)/Inputs!$C$52))*1000)/Inputs!$C$21*1000000</f>
        <v/>
      </c>
    </row>
    <row r="193">
      <c r="A193">
        <f>Chart_Data!K193</f>
        <v/>
      </c>
      <c r="B193">
        <f>Chart_Data!N193-Chart_Data!L193</f>
        <v/>
      </c>
      <c r="D193">
        <f>Chart_Data!G193</f>
        <v/>
      </c>
      <c r="E193">
        <f>Chart_Data!H193</f>
        <v/>
      </c>
      <c r="F193">
        <f>Chart_Data!I193</f>
        <v/>
      </c>
      <c r="G193">
        <f>Chart_Data!J193</f>
        <v/>
      </c>
      <c r="I193">
        <f>Scenario_Data!A193</f>
        <v/>
      </c>
      <c r="J193">
        <f>Scenario_Data!H193-(((SQRT((Inputs!$C$52+(Inputs!$H$6))^2+Inputs!$C$52^2-2*(Inputs!$C$52+(Inputs!$H$6))*Inputs!$C$52*COS(SQRT((Scenario_Data!T193)^2+Inputs!$C$6^2)/Inputs!$C$52)))-(Inputs!$H$6))*1000/Inputs!$C$12)</f>
        <v/>
      </c>
      <c r="K193">
        <f>Scenario_Data!I193-(((SQRT((Inputs!$C$52+(Inputs!$H$7))^2+Inputs!$C$52^2-2*(Inputs!$C$52+(Inputs!$H$7))*Inputs!$C$52*COS(SQRT((Scenario_Data!U193)^2+Inputs!$C$6^2)/Inputs!$C$52)))-(Inputs!$H$7))*1000/Inputs!$C$12)</f>
        <v/>
      </c>
      <c r="L193">
        <f>Scenario_Data!J193-(((SQRT((Inputs!$C$52+(Inputs!$H$8))^2+Inputs!$C$52^2-2*(Inputs!$C$52+(Inputs!$H$8))*Inputs!$C$52*COS(SQRT((Scenario_Data!V193)^2+Inputs!$C$6^2)/Inputs!$C$52)))-(Inputs!$H$8))*1000/Inputs!$C$12)</f>
        <v/>
      </c>
      <c r="M193">
        <f>Scenario_Data!K193-(((SQRT((Inputs!$C$52+(Inputs!$H$9))^2+Inputs!$C$52^2-2*(Inputs!$C$52+(Inputs!$H$9))*Inputs!$C$52*COS(SQRT((Scenario_Data!W193)^2+Inputs!$C$6^2)/Inputs!$C$52)))-(Inputs!$H$9))*1000/Inputs!$C$12)</f>
        <v/>
      </c>
      <c r="O193">
        <f>Scenario_Data!T193</f>
        <v/>
      </c>
      <c r="P193">
        <f>2*(Scenario_Data!B193*1000)/Inputs!$C$21*1000000</f>
        <v/>
      </c>
      <c r="Q193">
        <f>Scenario_Data!U193</f>
        <v/>
      </c>
      <c r="R193">
        <f>2*(Scenario_Data!C193*1000)/Inputs!$C$21*1000000</f>
        <v/>
      </c>
      <c r="S193">
        <f>Scenario_Data!V193</f>
        <v/>
      </c>
      <c r="T193">
        <f>2*(Scenario_Data!D193*1000)/Inputs!$C$21*1000000</f>
        <v/>
      </c>
      <c r="U193">
        <f>Scenario_Data!W193</f>
        <v/>
      </c>
      <c r="V193">
        <f>2*(Scenario_Data!E193*1000)/Inputs!$C$21*1000000</f>
        <v/>
      </c>
      <c r="X193">
        <f>Scenario_Data!T193</f>
        <v/>
      </c>
      <c r="Y193">
        <f>2*((Scenario_Data!B193*1000)-(IF(OR(Inputs!$C$27=TRUE,Inputs!$C$27="TRUE",Inputs!$C$27=1),1,0)*(Inputs!$C$51*(115*EXP(-(((0)-25)^2)/(4.5^2))+70*EXP(-(((0)+38)^2)/(7^2))*(0.55+0.45*SIN(2*PI()*(Scenario_Data!T193)/45))+24*SIN(2*PI()*(0)/9+(Scenario_Data!T193)/18)*EXP(-(((0)+5)^2)/(22^2))+18*SIN(2*PI()*(Scenario_Data!T193)/70))+Inputs!$C$28*EXP(-(((Scenario_Data!T193)-Inputs!$C$29)^2)/(2*Inputs!$C$31^2))*EXP(-(((0)-Inputs!$C$30)^2)/(2*Inputs!$C$32^2))+-Inputs!$C$33*EXP(-(((((Scenario_Data!T193)-Inputs!$C$34)^2)+(((0)-Inputs!$C$35)^2))/(2*Inputs!$C$36^2)))+Inputs!$C$37*(0.55*SIN(2*PI()*(Scenario_Data!T193)/Inputs!$C$39)+0.35*COS(2*PI()*(0)/Inputs!$C$40)+0.2*SIN(2*PI()*((Scenario_Data!T193)+(0))/(0.5*(Inputs!$C$39+Inputs!$C$40))))+Inputs!$C$38*SIN(2*PI()*(Scenario_Data!T193)/Inputs!$C$39)*SIN(2*PI()*(0)/Inputs!$C$40)+-Inputs!$C$41*EXP(-(((0)-Inputs!$C$43)^2)/(2*Inputs!$C$44^2))*EXP(-(((Scenario_Data!T193)-Inputs!$C$42)^2)/(2*Inputs!$C$45^2))+Inputs!$C$48*(0.7*(0.45*SIN(2*PI()*(((Scenario_Data!T193)/Inputs!$C$49)+Inputs!$C$47*0.137))+0.35*COS(2*PI()*(((0)/Inputs!$C$50)+Inputs!$C$47*0.173))+0.2*SIN(2*PI()*((((Scenario_Data!T193)+(0))/(0.5*(Inputs!$C$49+Inputs!$C$50)))+Inputs!$C$47*0.097)))+0.3*(2*((SIN(((Scenario_Data!T193)*12.9898+(0)*78.233+Inputs!$C$47*37.719))*43758.5453)-INT((SIN(((Scenario_Data!T193)*12.9898+(0)*78.233+Inputs!$C$47*37.719))*43758.5453)))-1)))))/Inputs!$C$21*1000000</f>
        <v/>
      </c>
      <c r="Z193">
        <f>Scenario_Data!U193</f>
        <v/>
      </c>
      <c r="AA193">
        <f>2*((Scenario_Data!C193*1000)-(IF(OR(Inputs!$C$27=TRUE,Inputs!$C$27="TRUE",Inputs!$C$27=1),1,0)*(Inputs!$C$51*(115*EXP(-(((0)-25)^2)/(4.5^2))+70*EXP(-(((0)+38)^2)/(7^2))*(0.55+0.45*SIN(2*PI()*(Scenario_Data!U193)/45))+24*SIN(2*PI()*(0)/9+(Scenario_Data!U193)/18)*EXP(-(((0)+5)^2)/(22^2))+18*SIN(2*PI()*(Scenario_Data!U193)/70))+Inputs!$C$28*EXP(-(((Scenario_Data!U193)-Inputs!$C$29)^2)/(2*Inputs!$C$31^2))*EXP(-(((0)-Inputs!$C$30)^2)/(2*Inputs!$C$32^2))+-Inputs!$C$33*EXP(-(((((Scenario_Data!U193)-Inputs!$C$34)^2)+(((0)-Inputs!$C$35)^2))/(2*Inputs!$C$36^2)))+Inputs!$C$37*(0.55*SIN(2*PI()*(Scenario_Data!U193)/Inputs!$C$39)+0.35*COS(2*PI()*(0)/Inputs!$C$40)+0.2*SIN(2*PI()*((Scenario_Data!U193)+(0))/(0.5*(Inputs!$C$39+Inputs!$C$40))))+Inputs!$C$38*SIN(2*PI()*(Scenario_Data!U193)/Inputs!$C$39)*SIN(2*PI()*(0)/Inputs!$C$40)+-Inputs!$C$41*EXP(-(((0)-Inputs!$C$43)^2)/(2*Inputs!$C$44^2))*EXP(-(((Scenario_Data!U193)-Inputs!$C$42)^2)/(2*Inputs!$C$45^2))+Inputs!$C$48*(0.7*(0.45*SIN(2*PI()*(((Scenario_Data!U193)/Inputs!$C$49)+Inputs!$C$47*0.137))+0.35*COS(2*PI()*(((0)/Inputs!$C$50)+Inputs!$C$47*0.173))+0.2*SIN(2*PI()*((((Scenario_Data!U193)+(0))/(0.5*(Inputs!$C$49+Inputs!$C$50)))+Inputs!$C$47*0.097)))+0.3*(2*((SIN(((Scenario_Data!U193)*12.9898+(0)*78.233+Inputs!$C$47*37.719))*43758.5453)-INT((SIN(((Scenario_Data!U193)*12.9898+(0)*78.233+Inputs!$C$47*37.719))*43758.5453)))-1)))))/Inputs!$C$21*1000000</f>
        <v/>
      </c>
      <c r="AB193">
        <f>Scenario_Data!V193</f>
        <v/>
      </c>
      <c r="AC193">
        <f>2*((Scenario_Data!D193*1000)-(IF(OR(Inputs!$C$27=TRUE,Inputs!$C$27="TRUE",Inputs!$C$27=1),1,0)*(Inputs!$C$51*(115*EXP(-(((0)-25)^2)/(4.5^2))+70*EXP(-(((0)+38)^2)/(7^2))*(0.55+0.45*SIN(2*PI()*(Scenario_Data!V193)/45))+24*SIN(2*PI()*(0)/9+(Scenario_Data!V193)/18)*EXP(-(((0)+5)^2)/(22^2))+18*SIN(2*PI()*(Scenario_Data!V193)/70))+Inputs!$C$28*EXP(-(((Scenario_Data!V193)-Inputs!$C$29)^2)/(2*Inputs!$C$31^2))*EXP(-(((0)-Inputs!$C$30)^2)/(2*Inputs!$C$32^2))+-Inputs!$C$33*EXP(-(((((Scenario_Data!V193)-Inputs!$C$34)^2)+(((0)-Inputs!$C$35)^2))/(2*Inputs!$C$36^2)))+Inputs!$C$37*(0.55*SIN(2*PI()*(Scenario_Data!V193)/Inputs!$C$39)+0.35*COS(2*PI()*(0)/Inputs!$C$40)+0.2*SIN(2*PI()*((Scenario_Data!V193)+(0))/(0.5*(Inputs!$C$39+Inputs!$C$40))))+Inputs!$C$38*SIN(2*PI()*(Scenario_Data!V193)/Inputs!$C$39)*SIN(2*PI()*(0)/Inputs!$C$40)+-Inputs!$C$41*EXP(-(((0)-Inputs!$C$43)^2)/(2*Inputs!$C$44^2))*EXP(-(((Scenario_Data!V193)-Inputs!$C$42)^2)/(2*Inputs!$C$45^2))+Inputs!$C$48*(0.7*(0.45*SIN(2*PI()*(((Scenario_Data!V193)/Inputs!$C$49)+Inputs!$C$47*0.137))+0.35*COS(2*PI()*(((0)/Inputs!$C$50)+Inputs!$C$47*0.173))+0.2*SIN(2*PI()*((((Scenario_Data!V193)+(0))/(0.5*(Inputs!$C$49+Inputs!$C$50)))+Inputs!$C$47*0.097)))+0.3*(2*((SIN(((Scenario_Data!V193)*12.9898+(0)*78.233+Inputs!$C$47*37.719))*43758.5453)-INT((SIN(((Scenario_Data!V193)*12.9898+(0)*78.233+Inputs!$C$47*37.719))*43758.5453)))-1)))))/Inputs!$C$21*1000000</f>
        <v/>
      </c>
      <c r="AD193">
        <f>Scenario_Data!W193</f>
        <v/>
      </c>
      <c r="AE193">
        <f>2*((Scenario_Data!E193*1000)-(IF(OR(Inputs!$C$27=TRUE,Inputs!$C$27="TRUE",Inputs!$C$27=1),1,0)*(Inputs!$C$51*(115*EXP(-(((0)-25)^2)/(4.5^2))+70*EXP(-(((0)+38)^2)/(7^2))*(0.55+0.45*SIN(2*PI()*(Scenario_Data!W193)/45))+24*SIN(2*PI()*(0)/9+(Scenario_Data!W193)/18)*EXP(-(((0)+5)^2)/(22^2))+18*SIN(2*PI()*(Scenario_Data!W193)/70))+Inputs!$C$28*EXP(-(((Scenario_Data!W193)-Inputs!$C$29)^2)/(2*Inputs!$C$31^2))*EXP(-(((0)-Inputs!$C$30)^2)/(2*Inputs!$C$32^2))+-Inputs!$C$33*EXP(-(((((Scenario_Data!W193)-Inputs!$C$34)^2)+(((0)-Inputs!$C$35)^2))/(2*Inputs!$C$36^2)))+Inputs!$C$37*(0.55*SIN(2*PI()*(Scenario_Data!W193)/Inputs!$C$39)+0.35*COS(2*PI()*(0)/Inputs!$C$40)+0.2*SIN(2*PI()*((Scenario_Data!W193)+(0))/(0.5*(Inputs!$C$39+Inputs!$C$40))))+Inputs!$C$38*SIN(2*PI()*(Scenario_Data!W193)/Inputs!$C$39)*SIN(2*PI()*(0)/Inputs!$C$40)+-Inputs!$C$41*EXP(-(((0)-Inputs!$C$43)^2)/(2*Inputs!$C$44^2))*EXP(-(((Scenario_Data!W193)-Inputs!$C$42)^2)/(2*Inputs!$C$45^2))+Inputs!$C$48*(0.7*(0.45*SIN(2*PI()*(((Scenario_Data!W193)/Inputs!$C$49)+Inputs!$C$47*0.137))+0.35*COS(2*PI()*(((0)/Inputs!$C$50)+Inputs!$C$47*0.173))+0.2*SIN(2*PI()*((((Scenario_Data!W193)+(0))/(0.5*(Inputs!$C$49+Inputs!$C$50)))+Inputs!$C$47*0.097)))+0.3*(2*((SIN(((Scenario_Data!W193)*12.9898+(0)*78.233+Inputs!$C$47*37.719))*43758.5453)-INT((SIN(((Scenario_Data!W193)*12.9898+(0)*78.233+Inputs!$C$47*37.719))*43758.5453)))-1)))))/Inputs!$C$21*1000000</f>
        <v/>
      </c>
      <c r="AG193">
        <f>Scenario_Data!T193</f>
        <v/>
      </c>
      <c r="AH193">
        <f>2*(SQRT((Inputs!$C$52+(Scenario_Data!B193))^2+Inputs!$C$52^2-2*(Inputs!$C$52+(Scenario_Data!B193))*Inputs!$C$52*COS(SQRT((Scenario_Data!T193)^2+Inputs!$C$6^2)/Inputs!$C$52))*1000)/Inputs!$C$21*1000000</f>
        <v/>
      </c>
      <c r="AI193">
        <f>Scenario_Data!U193</f>
        <v/>
      </c>
      <c r="AJ193">
        <f>2*(SQRT((Inputs!$C$52+(Scenario_Data!C193))^2+Inputs!$C$52^2-2*(Inputs!$C$52+(Scenario_Data!C193))*Inputs!$C$52*COS(SQRT((Scenario_Data!U193)^2+Inputs!$C$6^2)/Inputs!$C$52))*1000)/Inputs!$C$21*1000000</f>
        <v/>
      </c>
      <c r="AK193">
        <f>Scenario_Data!V193</f>
        <v/>
      </c>
      <c r="AL193">
        <f>2*(SQRT((Inputs!$C$52+(Scenario_Data!D193))^2+Inputs!$C$52^2-2*(Inputs!$C$52+(Scenario_Data!D193))*Inputs!$C$52*COS(SQRT((Scenario_Data!V193)^2+Inputs!$C$6^2)/Inputs!$C$52))*1000)/Inputs!$C$21*1000000</f>
        <v/>
      </c>
      <c r="AM193">
        <f>Scenario_Data!W193</f>
        <v/>
      </c>
      <c r="AN193">
        <f>2*(SQRT((Inputs!$C$52+(Scenario_Data!E193))^2+Inputs!$C$52^2-2*(Inputs!$C$52+(Scenario_Data!E193))*Inputs!$C$52*COS(SQRT((Scenario_Data!W193)^2+Inputs!$C$6^2)/Inputs!$C$52))*1000)/Inputs!$C$21*1000000</f>
        <v/>
      </c>
      <c r="AP193">
        <f>Scenario_Data!T193</f>
        <v/>
      </c>
      <c r="AQ193">
        <f>2*(SQRT((Inputs!$C$52+(Scenario_Data!B193))^2+(Inputs!$C$52+((IF(OR(Inputs!$C$27=TRUE,Inputs!$C$27="TRUE",Inputs!$C$27=1),1,0)*(Inputs!$C$51*(115*EXP(-(((Inputs!$C$6)-25)^2)/(4.5^2))+70*EXP(-(((Inputs!$C$6)+38)^2)/(7^2))*(0.55+0.45*SIN(2*PI()*(Scenario_Data!T193)/45))+24*SIN(2*PI()*(Inputs!$C$6)/9+(Scenario_Data!T193)/18)*EXP(-(((Inputs!$C$6)+5)^2)/(22^2))+18*SIN(2*PI()*(Scenario_Data!T193)/70))+Inputs!$C$28*EXP(-(((Scenario_Data!T193)-Inputs!$C$29)^2)/(2*Inputs!$C$31^2))*EXP(-(((Inputs!$C$6)-Inputs!$C$30)^2)/(2*Inputs!$C$32^2))+-Inputs!$C$33*EXP(-(((((Scenario_Data!T193)-Inputs!$C$34)^2)+(((Inputs!$C$6)-Inputs!$C$35)^2))/(2*Inputs!$C$36^2)))+Inputs!$C$37*(0.55*SIN(2*PI()*(Scenario_Data!T193)/Inputs!$C$39)+0.35*COS(2*PI()*(Inputs!$C$6)/Inputs!$C$40)+0.2*SIN(2*PI()*((Scenario_Data!T193)+(Inputs!$C$6))/(0.5*(Inputs!$C$39+Inputs!$C$40))))+Inputs!$C$38*SIN(2*PI()*(Scenario_Data!T193)/Inputs!$C$39)*SIN(2*PI()*(Inputs!$C$6)/Inputs!$C$40)+-Inputs!$C$41*EXP(-(((Inputs!$C$6)-Inputs!$C$43)^2)/(2*Inputs!$C$44^2))*EXP(-(((Scenario_Data!T193)-Inputs!$C$42)^2)/(2*Inputs!$C$45^2))+Inputs!$C$48*(0.7*(0.45*SIN(2*PI()*(((Scenario_Data!T193)/Inputs!$C$49)+Inputs!$C$47*0.137))+0.35*COS(2*PI()*(((Inputs!$C$6)/Inputs!$C$50)+Inputs!$C$47*0.173))+0.2*SIN(2*PI()*((((Scenario_Data!T193)+(Inputs!$C$6))/(0.5*(Inputs!$C$49+Inputs!$C$50)))+Inputs!$C$47*0.097)))+0.3*(2*((SIN(((Scenario_Data!T193)*12.9898+(Inputs!$C$6)*78.233+Inputs!$C$47*37.719))*43758.5453)-INT((SIN(((Scenario_Data!T193)*12.9898+(Inputs!$C$6)*78.233+Inputs!$C$47*37.719))*43758.5453)))-1))))/1000))^2-2*(Inputs!$C$52+(Scenario_Data!B193))*(Inputs!$C$52+((IF(OR(Inputs!$C$27=TRUE,Inputs!$C$27="TRUE",Inputs!$C$27=1),1,0)*(Inputs!$C$51*(115*EXP(-(((Inputs!$C$6)-25)^2)/(4.5^2))+70*EXP(-(((Inputs!$C$6)+38)^2)/(7^2))*(0.55+0.45*SIN(2*PI()*(Scenario_Data!T193)/45))+24*SIN(2*PI()*(Inputs!$C$6)/9+(Scenario_Data!T193)/18)*EXP(-(((Inputs!$C$6)+5)^2)/(22^2))+18*SIN(2*PI()*(Scenario_Data!T193)/70))+Inputs!$C$28*EXP(-(((Scenario_Data!T193)-Inputs!$C$29)^2)/(2*Inputs!$C$31^2))*EXP(-(((Inputs!$C$6)-Inputs!$C$30)^2)/(2*Inputs!$C$32^2))+-Inputs!$C$33*EXP(-(((((Scenario_Data!T193)-Inputs!$C$34)^2)+(((Inputs!$C$6)-Inputs!$C$35)^2))/(2*Inputs!$C$36^2)))+Inputs!$C$37*(0.55*SIN(2*PI()*(Scenario_Data!T193)/Inputs!$C$39)+0.35*COS(2*PI()*(Inputs!$C$6)/Inputs!$C$40)+0.2*SIN(2*PI()*((Scenario_Data!T193)+(Inputs!$C$6))/(0.5*(Inputs!$C$39+Inputs!$C$40))))+Inputs!$C$38*SIN(2*PI()*(Scenario_Data!T193)/Inputs!$C$39)*SIN(2*PI()*(Inputs!$C$6)/Inputs!$C$40)+-Inputs!$C$41*EXP(-(((Inputs!$C$6)-Inputs!$C$43)^2)/(2*Inputs!$C$44^2))*EXP(-(((Scenario_Data!T193)-Inputs!$C$42)^2)/(2*Inputs!$C$45^2))+Inputs!$C$48*(0.7*(0.45*SIN(2*PI()*(((Scenario_Data!T193)/Inputs!$C$49)+Inputs!$C$47*0.137))+0.35*COS(2*PI()*(((Inputs!$C$6)/Inputs!$C$50)+Inputs!$C$47*0.173))+0.2*SIN(2*PI()*((((Scenario_Data!T193)+(Inputs!$C$6))/(0.5*(Inputs!$C$49+Inputs!$C$50)))+Inputs!$C$47*0.097)))+0.3*(2*((SIN(((Scenario_Data!T193)*12.9898+(Inputs!$C$6)*78.233+Inputs!$C$47*37.719))*43758.5453)-INT((SIN(((Scenario_Data!T193)*12.9898+(Inputs!$C$6)*78.233+Inputs!$C$47*37.719))*43758.5453)))-1))))/1000))*COS(SQRT((Scenario_Data!T193)^2+Inputs!$C$6^2)/Inputs!$C$52))*1000)/Inputs!$C$21*1000000</f>
        <v/>
      </c>
      <c r="AR193">
        <f>Scenario_Data!U193</f>
        <v/>
      </c>
      <c r="AS193">
        <f>2*(SQRT((Inputs!$C$52+(Scenario_Data!C193))^2+(Inputs!$C$52+((IF(OR(Inputs!$C$27=TRUE,Inputs!$C$27="TRUE",Inputs!$C$27=1),1,0)*(Inputs!$C$51*(115*EXP(-(((Inputs!$C$6)-25)^2)/(4.5^2))+70*EXP(-(((Inputs!$C$6)+38)^2)/(7^2))*(0.55+0.45*SIN(2*PI()*(Scenario_Data!U193)/45))+24*SIN(2*PI()*(Inputs!$C$6)/9+(Scenario_Data!U193)/18)*EXP(-(((Inputs!$C$6)+5)^2)/(22^2))+18*SIN(2*PI()*(Scenario_Data!U193)/70))+Inputs!$C$28*EXP(-(((Scenario_Data!U193)-Inputs!$C$29)^2)/(2*Inputs!$C$31^2))*EXP(-(((Inputs!$C$6)-Inputs!$C$30)^2)/(2*Inputs!$C$32^2))+-Inputs!$C$33*EXP(-(((((Scenario_Data!U193)-Inputs!$C$34)^2)+(((Inputs!$C$6)-Inputs!$C$35)^2))/(2*Inputs!$C$36^2)))+Inputs!$C$37*(0.55*SIN(2*PI()*(Scenario_Data!U193)/Inputs!$C$39)+0.35*COS(2*PI()*(Inputs!$C$6)/Inputs!$C$40)+0.2*SIN(2*PI()*((Scenario_Data!U193)+(Inputs!$C$6))/(0.5*(Inputs!$C$39+Inputs!$C$40))))+Inputs!$C$38*SIN(2*PI()*(Scenario_Data!U193)/Inputs!$C$39)*SIN(2*PI()*(Inputs!$C$6)/Inputs!$C$40)+-Inputs!$C$41*EXP(-(((Inputs!$C$6)-Inputs!$C$43)^2)/(2*Inputs!$C$44^2))*EXP(-(((Scenario_Data!U193)-Inputs!$C$42)^2)/(2*Inputs!$C$45^2))+Inputs!$C$48*(0.7*(0.45*SIN(2*PI()*(((Scenario_Data!U193)/Inputs!$C$49)+Inputs!$C$47*0.137))+0.35*COS(2*PI()*(((Inputs!$C$6)/Inputs!$C$50)+Inputs!$C$47*0.173))+0.2*SIN(2*PI()*((((Scenario_Data!U193)+(Inputs!$C$6))/(0.5*(Inputs!$C$49+Inputs!$C$50)))+Inputs!$C$47*0.097)))+0.3*(2*((SIN(((Scenario_Data!U193)*12.9898+(Inputs!$C$6)*78.233+Inputs!$C$47*37.719))*43758.5453)-INT((SIN(((Scenario_Data!U193)*12.9898+(Inputs!$C$6)*78.233+Inputs!$C$47*37.719))*43758.5453)))-1))))/1000))^2-2*(Inputs!$C$52+(Scenario_Data!C193))*(Inputs!$C$52+((IF(OR(Inputs!$C$27=TRUE,Inputs!$C$27="TRUE",Inputs!$C$27=1),1,0)*(Inputs!$C$51*(115*EXP(-(((Inputs!$C$6)-25)^2)/(4.5^2))+70*EXP(-(((Inputs!$C$6)+38)^2)/(7^2))*(0.55+0.45*SIN(2*PI()*(Scenario_Data!U193)/45))+24*SIN(2*PI()*(Inputs!$C$6)/9+(Scenario_Data!U193)/18)*EXP(-(((Inputs!$C$6)+5)^2)/(22^2))+18*SIN(2*PI()*(Scenario_Data!U193)/70))+Inputs!$C$28*EXP(-(((Scenario_Data!U193)-Inputs!$C$29)^2)/(2*Inputs!$C$31^2))*EXP(-(((Inputs!$C$6)-Inputs!$C$30)^2)/(2*Inputs!$C$32^2))+-Inputs!$C$33*EXP(-(((((Scenario_Data!U193)-Inputs!$C$34)^2)+(((Inputs!$C$6)-Inputs!$C$35)^2))/(2*Inputs!$C$36^2)))+Inputs!$C$37*(0.55*SIN(2*PI()*(Scenario_Data!U193)/Inputs!$C$39)+0.35*COS(2*PI()*(Inputs!$C$6)/Inputs!$C$40)+0.2*SIN(2*PI()*((Scenario_Data!U193)+(Inputs!$C$6))/(0.5*(Inputs!$C$39+Inputs!$C$40))))+Inputs!$C$38*SIN(2*PI()*(Scenario_Data!U193)/Inputs!$C$39)*SIN(2*PI()*(Inputs!$C$6)/Inputs!$C$40)+-Inputs!$C$41*EXP(-(((Inputs!$C$6)-Inputs!$C$43)^2)/(2*Inputs!$C$44^2))*EXP(-(((Scenario_Data!U193)-Inputs!$C$42)^2)/(2*Inputs!$C$45^2))+Inputs!$C$48*(0.7*(0.45*SIN(2*PI()*(((Scenario_Data!U193)/Inputs!$C$49)+Inputs!$C$47*0.137))+0.35*COS(2*PI()*(((Inputs!$C$6)/Inputs!$C$50)+Inputs!$C$47*0.173))+0.2*SIN(2*PI()*((((Scenario_Data!U193)+(Inputs!$C$6))/(0.5*(Inputs!$C$49+Inputs!$C$50)))+Inputs!$C$47*0.097)))+0.3*(2*((SIN(((Scenario_Data!U193)*12.9898+(Inputs!$C$6)*78.233+Inputs!$C$47*37.719))*43758.5453)-INT((SIN(((Scenario_Data!U193)*12.9898+(Inputs!$C$6)*78.233+Inputs!$C$47*37.719))*43758.5453)))-1))))/1000))*COS(SQRT((Scenario_Data!U193)^2+Inputs!$C$6^2)/Inputs!$C$52))*1000)/Inputs!$C$21*1000000</f>
        <v/>
      </c>
      <c r="AT193">
        <f>Scenario_Data!V193</f>
        <v/>
      </c>
      <c r="AU193">
        <f>2*(SQRT((Inputs!$C$52+(Scenario_Data!D193))^2+(Inputs!$C$52+((IF(OR(Inputs!$C$27=TRUE,Inputs!$C$27="TRUE",Inputs!$C$27=1),1,0)*(Inputs!$C$51*(115*EXP(-(((Inputs!$C$6)-25)^2)/(4.5^2))+70*EXP(-(((Inputs!$C$6)+38)^2)/(7^2))*(0.55+0.45*SIN(2*PI()*(Scenario_Data!V193)/45))+24*SIN(2*PI()*(Inputs!$C$6)/9+(Scenario_Data!V193)/18)*EXP(-(((Inputs!$C$6)+5)^2)/(22^2))+18*SIN(2*PI()*(Scenario_Data!V193)/70))+Inputs!$C$28*EXP(-(((Scenario_Data!V193)-Inputs!$C$29)^2)/(2*Inputs!$C$31^2))*EXP(-(((Inputs!$C$6)-Inputs!$C$30)^2)/(2*Inputs!$C$32^2))+-Inputs!$C$33*EXP(-(((((Scenario_Data!V193)-Inputs!$C$34)^2)+(((Inputs!$C$6)-Inputs!$C$35)^2))/(2*Inputs!$C$36^2)))+Inputs!$C$37*(0.55*SIN(2*PI()*(Scenario_Data!V193)/Inputs!$C$39)+0.35*COS(2*PI()*(Inputs!$C$6)/Inputs!$C$40)+0.2*SIN(2*PI()*((Scenario_Data!V193)+(Inputs!$C$6))/(0.5*(Inputs!$C$39+Inputs!$C$40))))+Inputs!$C$38*SIN(2*PI()*(Scenario_Data!V193)/Inputs!$C$39)*SIN(2*PI()*(Inputs!$C$6)/Inputs!$C$40)+-Inputs!$C$41*EXP(-(((Inputs!$C$6)-Inputs!$C$43)^2)/(2*Inputs!$C$44^2))*EXP(-(((Scenario_Data!V193)-Inputs!$C$42)^2)/(2*Inputs!$C$45^2))+Inputs!$C$48*(0.7*(0.45*SIN(2*PI()*(((Scenario_Data!V193)/Inputs!$C$49)+Inputs!$C$47*0.137))+0.35*COS(2*PI()*(((Inputs!$C$6)/Inputs!$C$50)+Inputs!$C$47*0.173))+0.2*SIN(2*PI()*((((Scenario_Data!V193)+(Inputs!$C$6))/(0.5*(Inputs!$C$49+Inputs!$C$50)))+Inputs!$C$47*0.097)))+0.3*(2*((SIN(((Scenario_Data!V193)*12.9898+(Inputs!$C$6)*78.233+Inputs!$C$47*37.719))*43758.5453)-INT((SIN(((Scenario_Data!V193)*12.9898+(Inputs!$C$6)*78.233+Inputs!$C$47*37.719))*43758.5453)))-1))))/1000))^2-2*(Inputs!$C$52+(Scenario_Data!D193))*(Inputs!$C$52+((IF(OR(Inputs!$C$27=TRUE,Inputs!$C$27="TRUE",Inputs!$C$27=1),1,0)*(Inputs!$C$51*(115*EXP(-(((Inputs!$C$6)-25)^2)/(4.5^2))+70*EXP(-(((Inputs!$C$6)+38)^2)/(7^2))*(0.55+0.45*SIN(2*PI()*(Scenario_Data!V193)/45))+24*SIN(2*PI()*(Inputs!$C$6)/9+(Scenario_Data!V193)/18)*EXP(-(((Inputs!$C$6)+5)^2)/(22^2))+18*SIN(2*PI()*(Scenario_Data!V193)/70))+Inputs!$C$28*EXP(-(((Scenario_Data!V193)-Inputs!$C$29)^2)/(2*Inputs!$C$31^2))*EXP(-(((Inputs!$C$6)-Inputs!$C$30)^2)/(2*Inputs!$C$32^2))+-Inputs!$C$33*EXP(-(((((Scenario_Data!V193)-Inputs!$C$34)^2)+(((Inputs!$C$6)-Inputs!$C$35)^2))/(2*Inputs!$C$36^2)))+Inputs!$C$37*(0.55*SIN(2*PI()*(Scenario_Data!V193)/Inputs!$C$39)+0.35*COS(2*PI()*(Inputs!$C$6)/Inputs!$C$40)+0.2*SIN(2*PI()*((Scenario_Data!V193)+(Inputs!$C$6))/(0.5*(Inputs!$C$39+Inputs!$C$40))))+Inputs!$C$38*SIN(2*PI()*(Scenario_Data!V193)/Inputs!$C$39)*SIN(2*PI()*(Inputs!$C$6)/Inputs!$C$40)+-Inputs!$C$41*EXP(-(((Inputs!$C$6)-Inputs!$C$43)^2)/(2*Inputs!$C$44^2))*EXP(-(((Scenario_Data!V193)-Inputs!$C$42)^2)/(2*Inputs!$C$45^2))+Inputs!$C$48*(0.7*(0.45*SIN(2*PI()*(((Scenario_Data!V193)/Inputs!$C$49)+Inputs!$C$47*0.137))+0.35*COS(2*PI()*(((Inputs!$C$6)/Inputs!$C$50)+Inputs!$C$47*0.173))+0.2*SIN(2*PI()*((((Scenario_Data!V193)+(Inputs!$C$6))/(0.5*(Inputs!$C$49+Inputs!$C$50)))+Inputs!$C$47*0.097)))+0.3*(2*((SIN(((Scenario_Data!V193)*12.9898+(Inputs!$C$6)*78.233+Inputs!$C$47*37.719))*43758.5453)-INT((SIN(((Scenario_Data!V193)*12.9898+(Inputs!$C$6)*78.233+Inputs!$C$47*37.719))*43758.5453)))-1))))/1000))*COS(SQRT((Scenario_Data!V193)^2+Inputs!$C$6^2)/Inputs!$C$52))*1000)/Inputs!$C$21*1000000</f>
        <v/>
      </c>
      <c r="AV193">
        <f>Scenario_Data!W193</f>
        <v/>
      </c>
      <c r="AW193">
        <f>2*(SQRT((Inputs!$C$52+(Scenario_Data!E193))^2+(Inputs!$C$52+((IF(OR(Inputs!$C$27=TRUE,Inputs!$C$27="TRUE",Inputs!$C$27=1),1,0)*(Inputs!$C$51*(115*EXP(-(((Inputs!$C$6)-25)^2)/(4.5^2))+70*EXP(-(((Inputs!$C$6)+38)^2)/(7^2))*(0.55+0.45*SIN(2*PI()*(Scenario_Data!W193)/45))+24*SIN(2*PI()*(Inputs!$C$6)/9+(Scenario_Data!W193)/18)*EXP(-(((Inputs!$C$6)+5)^2)/(22^2))+18*SIN(2*PI()*(Scenario_Data!W193)/70))+Inputs!$C$28*EXP(-(((Scenario_Data!W193)-Inputs!$C$29)^2)/(2*Inputs!$C$31^2))*EXP(-(((Inputs!$C$6)-Inputs!$C$30)^2)/(2*Inputs!$C$32^2))+-Inputs!$C$33*EXP(-(((((Scenario_Data!W193)-Inputs!$C$34)^2)+(((Inputs!$C$6)-Inputs!$C$35)^2))/(2*Inputs!$C$36^2)))+Inputs!$C$37*(0.55*SIN(2*PI()*(Scenario_Data!W193)/Inputs!$C$39)+0.35*COS(2*PI()*(Inputs!$C$6)/Inputs!$C$40)+0.2*SIN(2*PI()*((Scenario_Data!W193)+(Inputs!$C$6))/(0.5*(Inputs!$C$39+Inputs!$C$40))))+Inputs!$C$38*SIN(2*PI()*(Scenario_Data!W193)/Inputs!$C$39)*SIN(2*PI()*(Inputs!$C$6)/Inputs!$C$40)+-Inputs!$C$41*EXP(-(((Inputs!$C$6)-Inputs!$C$43)^2)/(2*Inputs!$C$44^2))*EXP(-(((Scenario_Data!W193)-Inputs!$C$42)^2)/(2*Inputs!$C$45^2))+Inputs!$C$48*(0.7*(0.45*SIN(2*PI()*(((Scenario_Data!W193)/Inputs!$C$49)+Inputs!$C$47*0.137))+0.35*COS(2*PI()*(((Inputs!$C$6)/Inputs!$C$50)+Inputs!$C$47*0.173))+0.2*SIN(2*PI()*((((Scenario_Data!W193)+(Inputs!$C$6))/(0.5*(Inputs!$C$49+Inputs!$C$50)))+Inputs!$C$47*0.097)))+0.3*(2*((SIN(((Scenario_Data!W193)*12.9898+(Inputs!$C$6)*78.233+Inputs!$C$47*37.719))*43758.5453)-INT((SIN(((Scenario_Data!W193)*12.9898+(Inputs!$C$6)*78.233+Inputs!$C$47*37.719))*43758.5453)))-1))))/1000))^2-2*(Inputs!$C$52+(Scenario_Data!E193))*(Inputs!$C$52+((IF(OR(Inputs!$C$27=TRUE,Inputs!$C$27="TRUE",Inputs!$C$27=1),1,0)*(Inputs!$C$51*(115*EXP(-(((Inputs!$C$6)-25)^2)/(4.5^2))+70*EXP(-(((Inputs!$C$6)+38)^2)/(7^2))*(0.55+0.45*SIN(2*PI()*(Scenario_Data!W193)/45))+24*SIN(2*PI()*(Inputs!$C$6)/9+(Scenario_Data!W193)/18)*EXP(-(((Inputs!$C$6)+5)^2)/(22^2))+18*SIN(2*PI()*(Scenario_Data!W193)/70))+Inputs!$C$28*EXP(-(((Scenario_Data!W193)-Inputs!$C$29)^2)/(2*Inputs!$C$31^2))*EXP(-(((Inputs!$C$6)-Inputs!$C$30)^2)/(2*Inputs!$C$32^2))+-Inputs!$C$33*EXP(-(((((Scenario_Data!W193)-Inputs!$C$34)^2)+(((Inputs!$C$6)-Inputs!$C$35)^2))/(2*Inputs!$C$36^2)))+Inputs!$C$37*(0.55*SIN(2*PI()*(Scenario_Data!W193)/Inputs!$C$39)+0.35*COS(2*PI()*(Inputs!$C$6)/Inputs!$C$40)+0.2*SIN(2*PI()*((Scenario_Data!W193)+(Inputs!$C$6))/(0.5*(Inputs!$C$39+Inputs!$C$40))))+Inputs!$C$38*SIN(2*PI()*(Scenario_Data!W193)/Inputs!$C$39)*SIN(2*PI()*(Inputs!$C$6)/Inputs!$C$40)+-Inputs!$C$41*EXP(-(((Inputs!$C$6)-Inputs!$C$43)^2)/(2*Inputs!$C$44^2))*EXP(-(((Scenario_Data!W193)-Inputs!$C$42)^2)/(2*Inputs!$C$45^2))+Inputs!$C$48*(0.7*(0.45*SIN(2*PI()*(((Scenario_Data!W193)/Inputs!$C$49)+Inputs!$C$47*0.137))+0.35*COS(2*PI()*(((Inputs!$C$6)/Inputs!$C$50)+Inputs!$C$47*0.173))+0.2*SIN(2*PI()*((((Scenario_Data!W193)+(Inputs!$C$6))/(0.5*(Inputs!$C$49+Inputs!$C$50)))+Inputs!$C$47*0.097)))+0.3*(2*((SIN(((Scenario_Data!W193)*12.9898+(Inputs!$C$6)*78.233+Inputs!$C$47*37.719))*43758.5453)-INT((SIN(((Scenario_Data!W193)*12.9898+(Inputs!$C$6)*78.233+Inputs!$C$47*37.719))*43758.5453)))-1))))/1000))*COS(SQRT((Scenario_Data!W193)^2+Inputs!$C$6^2)/Inputs!$C$52))*1000)/Inputs!$C$21*1000000</f>
        <v/>
      </c>
    </row>
    <row r="194">
      <c r="A194">
        <f>Chart_Data!K194</f>
        <v/>
      </c>
      <c r="B194">
        <f>Chart_Data!N194-Chart_Data!L194</f>
        <v/>
      </c>
      <c r="D194">
        <f>Chart_Data!G194</f>
        <v/>
      </c>
      <c r="E194">
        <f>Chart_Data!H194</f>
        <v/>
      </c>
      <c r="F194">
        <f>Chart_Data!I194</f>
        <v/>
      </c>
      <c r="G194">
        <f>Chart_Data!J194</f>
        <v/>
      </c>
      <c r="I194">
        <f>Scenario_Data!A194</f>
        <v/>
      </c>
      <c r="J194">
        <f>Scenario_Data!H194-(((SQRT((Inputs!$C$52+(Inputs!$H$6))^2+Inputs!$C$52^2-2*(Inputs!$C$52+(Inputs!$H$6))*Inputs!$C$52*COS(SQRT((Scenario_Data!T194)^2+Inputs!$C$6^2)/Inputs!$C$52)))-(Inputs!$H$6))*1000/Inputs!$C$12)</f>
        <v/>
      </c>
      <c r="K194">
        <f>Scenario_Data!I194-(((SQRT((Inputs!$C$52+(Inputs!$H$7))^2+Inputs!$C$52^2-2*(Inputs!$C$52+(Inputs!$H$7))*Inputs!$C$52*COS(SQRT((Scenario_Data!U194)^2+Inputs!$C$6^2)/Inputs!$C$52)))-(Inputs!$H$7))*1000/Inputs!$C$12)</f>
        <v/>
      </c>
      <c r="L194">
        <f>Scenario_Data!J194-(((SQRT((Inputs!$C$52+(Inputs!$H$8))^2+Inputs!$C$52^2-2*(Inputs!$C$52+(Inputs!$H$8))*Inputs!$C$52*COS(SQRT((Scenario_Data!V194)^2+Inputs!$C$6^2)/Inputs!$C$52)))-(Inputs!$H$8))*1000/Inputs!$C$12)</f>
        <v/>
      </c>
      <c r="M194">
        <f>Scenario_Data!K194-(((SQRT((Inputs!$C$52+(Inputs!$H$9))^2+Inputs!$C$52^2-2*(Inputs!$C$52+(Inputs!$H$9))*Inputs!$C$52*COS(SQRT((Scenario_Data!W194)^2+Inputs!$C$6^2)/Inputs!$C$52)))-(Inputs!$H$9))*1000/Inputs!$C$12)</f>
        <v/>
      </c>
      <c r="O194">
        <f>Scenario_Data!T194</f>
        <v/>
      </c>
      <c r="P194">
        <f>2*(Scenario_Data!B194*1000)/Inputs!$C$21*1000000</f>
        <v/>
      </c>
      <c r="Q194">
        <f>Scenario_Data!U194</f>
        <v/>
      </c>
      <c r="R194">
        <f>2*(Scenario_Data!C194*1000)/Inputs!$C$21*1000000</f>
        <v/>
      </c>
      <c r="S194">
        <f>Scenario_Data!V194</f>
        <v/>
      </c>
      <c r="T194">
        <f>2*(Scenario_Data!D194*1000)/Inputs!$C$21*1000000</f>
        <v/>
      </c>
      <c r="U194">
        <f>Scenario_Data!W194</f>
        <v/>
      </c>
      <c r="V194">
        <f>2*(Scenario_Data!E194*1000)/Inputs!$C$21*1000000</f>
        <v/>
      </c>
      <c r="X194">
        <f>Scenario_Data!T194</f>
        <v/>
      </c>
      <c r="Y194">
        <f>2*((Scenario_Data!B194*1000)-(IF(OR(Inputs!$C$27=TRUE,Inputs!$C$27="TRUE",Inputs!$C$27=1),1,0)*(Inputs!$C$51*(115*EXP(-(((0)-25)^2)/(4.5^2))+70*EXP(-(((0)+38)^2)/(7^2))*(0.55+0.45*SIN(2*PI()*(Scenario_Data!T194)/45))+24*SIN(2*PI()*(0)/9+(Scenario_Data!T194)/18)*EXP(-(((0)+5)^2)/(22^2))+18*SIN(2*PI()*(Scenario_Data!T194)/70))+Inputs!$C$28*EXP(-(((Scenario_Data!T194)-Inputs!$C$29)^2)/(2*Inputs!$C$31^2))*EXP(-(((0)-Inputs!$C$30)^2)/(2*Inputs!$C$32^2))+-Inputs!$C$33*EXP(-(((((Scenario_Data!T194)-Inputs!$C$34)^2)+(((0)-Inputs!$C$35)^2))/(2*Inputs!$C$36^2)))+Inputs!$C$37*(0.55*SIN(2*PI()*(Scenario_Data!T194)/Inputs!$C$39)+0.35*COS(2*PI()*(0)/Inputs!$C$40)+0.2*SIN(2*PI()*((Scenario_Data!T194)+(0))/(0.5*(Inputs!$C$39+Inputs!$C$40))))+Inputs!$C$38*SIN(2*PI()*(Scenario_Data!T194)/Inputs!$C$39)*SIN(2*PI()*(0)/Inputs!$C$40)+-Inputs!$C$41*EXP(-(((0)-Inputs!$C$43)^2)/(2*Inputs!$C$44^2))*EXP(-(((Scenario_Data!T194)-Inputs!$C$42)^2)/(2*Inputs!$C$45^2))+Inputs!$C$48*(0.7*(0.45*SIN(2*PI()*(((Scenario_Data!T194)/Inputs!$C$49)+Inputs!$C$47*0.137))+0.35*COS(2*PI()*(((0)/Inputs!$C$50)+Inputs!$C$47*0.173))+0.2*SIN(2*PI()*((((Scenario_Data!T194)+(0))/(0.5*(Inputs!$C$49+Inputs!$C$50)))+Inputs!$C$47*0.097)))+0.3*(2*((SIN(((Scenario_Data!T194)*12.9898+(0)*78.233+Inputs!$C$47*37.719))*43758.5453)-INT((SIN(((Scenario_Data!T194)*12.9898+(0)*78.233+Inputs!$C$47*37.719))*43758.5453)))-1)))))/Inputs!$C$21*1000000</f>
        <v/>
      </c>
      <c r="Z194">
        <f>Scenario_Data!U194</f>
        <v/>
      </c>
      <c r="AA194">
        <f>2*((Scenario_Data!C194*1000)-(IF(OR(Inputs!$C$27=TRUE,Inputs!$C$27="TRUE",Inputs!$C$27=1),1,0)*(Inputs!$C$51*(115*EXP(-(((0)-25)^2)/(4.5^2))+70*EXP(-(((0)+38)^2)/(7^2))*(0.55+0.45*SIN(2*PI()*(Scenario_Data!U194)/45))+24*SIN(2*PI()*(0)/9+(Scenario_Data!U194)/18)*EXP(-(((0)+5)^2)/(22^2))+18*SIN(2*PI()*(Scenario_Data!U194)/70))+Inputs!$C$28*EXP(-(((Scenario_Data!U194)-Inputs!$C$29)^2)/(2*Inputs!$C$31^2))*EXP(-(((0)-Inputs!$C$30)^2)/(2*Inputs!$C$32^2))+-Inputs!$C$33*EXP(-(((((Scenario_Data!U194)-Inputs!$C$34)^2)+(((0)-Inputs!$C$35)^2))/(2*Inputs!$C$36^2)))+Inputs!$C$37*(0.55*SIN(2*PI()*(Scenario_Data!U194)/Inputs!$C$39)+0.35*COS(2*PI()*(0)/Inputs!$C$40)+0.2*SIN(2*PI()*((Scenario_Data!U194)+(0))/(0.5*(Inputs!$C$39+Inputs!$C$40))))+Inputs!$C$38*SIN(2*PI()*(Scenario_Data!U194)/Inputs!$C$39)*SIN(2*PI()*(0)/Inputs!$C$40)+-Inputs!$C$41*EXP(-(((0)-Inputs!$C$43)^2)/(2*Inputs!$C$44^2))*EXP(-(((Scenario_Data!U194)-Inputs!$C$42)^2)/(2*Inputs!$C$45^2))+Inputs!$C$48*(0.7*(0.45*SIN(2*PI()*(((Scenario_Data!U194)/Inputs!$C$49)+Inputs!$C$47*0.137))+0.35*COS(2*PI()*(((0)/Inputs!$C$50)+Inputs!$C$47*0.173))+0.2*SIN(2*PI()*((((Scenario_Data!U194)+(0))/(0.5*(Inputs!$C$49+Inputs!$C$50)))+Inputs!$C$47*0.097)))+0.3*(2*((SIN(((Scenario_Data!U194)*12.9898+(0)*78.233+Inputs!$C$47*37.719))*43758.5453)-INT((SIN(((Scenario_Data!U194)*12.9898+(0)*78.233+Inputs!$C$47*37.719))*43758.5453)))-1)))))/Inputs!$C$21*1000000</f>
        <v/>
      </c>
      <c r="AB194">
        <f>Scenario_Data!V194</f>
        <v/>
      </c>
      <c r="AC194">
        <f>2*((Scenario_Data!D194*1000)-(IF(OR(Inputs!$C$27=TRUE,Inputs!$C$27="TRUE",Inputs!$C$27=1),1,0)*(Inputs!$C$51*(115*EXP(-(((0)-25)^2)/(4.5^2))+70*EXP(-(((0)+38)^2)/(7^2))*(0.55+0.45*SIN(2*PI()*(Scenario_Data!V194)/45))+24*SIN(2*PI()*(0)/9+(Scenario_Data!V194)/18)*EXP(-(((0)+5)^2)/(22^2))+18*SIN(2*PI()*(Scenario_Data!V194)/70))+Inputs!$C$28*EXP(-(((Scenario_Data!V194)-Inputs!$C$29)^2)/(2*Inputs!$C$31^2))*EXP(-(((0)-Inputs!$C$30)^2)/(2*Inputs!$C$32^2))+-Inputs!$C$33*EXP(-(((((Scenario_Data!V194)-Inputs!$C$34)^2)+(((0)-Inputs!$C$35)^2))/(2*Inputs!$C$36^2)))+Inputs!$C$37*(0.55*SIN(2*PI()*(Scenario_Data!V194)/Inputs!$C$39)+0.35*COS(2*PI()*(0)/Inputs!$C$40)+0.2*SIN(2*PI()*((Scenario_Data!V194)+(0))/(0.5*(Inputs!$C$39+Inputs!$C$40))))+Inputs!$C$38*SIN(2*PI()*(Scenario_Data!V194)/Inputs!$C$39)*SIN(2*PI()*(0)/Inputs!$C$40)+-Inputs!$C$41*EXP(-(((0)-Inputs!$C$43)^2)/(2*Inputs!$C$44^2))*EXP(-(((Scenario_Data!V194)-Inputs!$C$42)^2)/(2*Inputs!$C$45^2))+Inputs!$C$48*(0.7*(0.45*SIN(2*PI()*(((Scenario_Data!V194)/Inputs!$C$49)+Inputs!$C$47*0.137))+0.35*COS(2*PI()*(((0)/Inputs!$C$50)+Inputs!$C$47*0.173))+0.2*SIN(2*PI()*((((Scenario_Data!V194)+(0))/(0.5*(Inputs!$C$49+Inputs!$C$50)))+Inputs!$C$47*0.097)))+0.3*(2*((SIN(((Scenario_Data!V194)*12.9898+(0)*78.233+Inputs!$C$47*37.719))*43758.5453)-INT((SIN(((Scenario_Data!V194)*12.9898+(0)*78.233+Inputs!$C$47*37.719))*43758.5453)))-1)))))/Inputs!$C$21*1000000</f>
        <v/>
      </c>
      <c r="AD194">
        <f>Scenario_Data!W194</f>
        <v/>
      </c>
      <c r="AE194">
        <f>2*((Scenario_Data!E194*1000)-(IF(OR(Inputs!$C$27=TRUE,Inputs!$C$27="TRUE",Inputs!$C$27=1),1,0)*(Inputs!$C$51*(115*EXP(-(((0)-25)^2)/(4.5^2))+70*EXP(-(((0)+38)^2)/(7^2))*(0.55+0.45*SIN(2*PI()*(Scenario_Data!W194)/45))+24*SIN(2*PI()*(0)/9+(Scenario_Data!W194)/18)*EXP(-(((0)+5)^2)/(22^2))+18*SIN(2*PI()*(Scenario_Data!W194)/70))+Inputs!$C$28*EXP(-(((Scenario_Data!W194)-Inputs!$C$29)^2)/(2*Inputs!$C$31^2))*EXP(-(((0)-Inputs!$C$30)^2)/(2*Inputs!$C$32^2))+-Inputs!$C$33*EXP(-(((((Scenario_Data!W194)-Inputs!$C$34)^2)+(((0)-Inputs!$C$35)^2))/(2*Inputs!$C$36^2)))+Inputs!$C$37*(0.55*SIN(2*PI()*(Scenario_Data!W194)/Inputs!$C$39)+0.35*COS(2*PI()*(0)/Inputs!$C$40)+0.2*SIN(2*PI()*((Scenario_Data!W194)+(0))/(0.5*(Inputs!$C$39+Inputs!$C$40))))+Inputs!$C$38*SIN(2*PI()*(Scenario_Data!W194)/Inputs!$C$39)*SIN(2*PI()*(0)/Inputs!$C$40)+-Inputs!$C$41*EXP(-(((0)-Inputs!$C$43)^2)/(2*Inputs!$C$44^2))*EXP(-(((Scenario_Data!W194)-Inputs!$C$42)^2)/(2*Inputs!$C$45^2))+Inputs!$C$48*(0.7*(0.45*SIN(2*PI()*(((Scenario_Data!W194)/Inputs!$C$49)+Inputs!$C$47*0.137))+0.35*COS(2*PI()*(((0)/Inputs!$C$50)+Inputs!$C$47*0.173))+0.2*SIN(2*PI()*((((Scenario_Data!W194)+(0))/(0.5*(Inputs!$C$49+Inputs!$C$50)))+Inputs!$C$47*0.097)))+0.3*(2*((SIN(((Scenario_Data!W194)*12.9898+(0)*78.233+Inputs!$C$47*37.719))*43758.5453)-INT((SIN(((Scenario_Data!W194)*12.9898+(0)*78.233+Inputs!$C$47*37.719))*43758.5453)))-1)))))/Inputs!$C$21*1000000</f>
        <v/>
      </c>
      <c r="AG194">
        <f>Scenario_Data!T194</f>
        <v/>
      </c>
      <c r="AH194">
        <f>2*(SQRT((Inputs!$C$52+(Scenario_Data!B194))^2+Inputs!$C$52^2-2*(Inputs!$C$52+(Scenario_Data!B194))*Inputs!$C$52*COS(SQRT((Scenario_Data!T194)^2+Inputs!$C$6^2)/Inputs!$C$52))*1000)/Inputs!$C$21*1000000</f>
        <v/>
      </c>
      <c r="AI194">
        <f>Scenario_Data!U194</f>
        <v/>
      </c>
      <c r="AJ194">
        <f>2*(SQRT((Inputs!$C$52+(Scenario_Data!C194))^2+Inputs!$C$52^2-2*(Inputs!$C$52+(Scenario_Data!C194))*Inputs!$C$52*COS(SQRT((Scenario_Data!U194)^2+Inputs!$C$6^2)/Inputs!$C$52))*1000)/Inputs!$C$21*1000000</f>
        <v/>
      </c>
      <c r="AK194">
        <f>Scenario_Data!V194</f>
        <v/>
      </c>
      <c r="AL194">
        <f>2*(SQRT((Inputs!$C$52+(Scenario_Data!D194))^2+Inputs!$C$52^2-2*(Inputs!$C$52+(Scenario_Data!D194))*Inputs!$C$52*COS(SQRT((Scenario_Data!V194)^2+Inputs!$C$6^2)/Inputs!$C$52))*1000)/Inputs!$C$21*1000000</f>
        <v/>
      </c>
      <c r="AM194">
        <f>Scenario_Data!W194</f>
        <v/>
      </c>
      <c r="AN194">
        <f>2*(SQRT((Inputs!$C$52+(Scenario_Data!E194))^2+Inputs!$C$52^2-2*(Inputs!$C$52+(Scenario_Data!E194))*Inputs!$C$52*COS(SQRT((Scenario_Data!W194)^2+Inputs!$C$6^2)/Inputs!$C$52))*1000)/Inputs!$C$21*1000000</f>
        <v/>
      </c>
      <c r="AP194">
        <f>Scenario_Data!T194</f>
        <v/>
      </c>
      <c r="AQ194">
        <f>2*(SQRT((Inputs!$C$52+(Scenario_Data!B194))^2+(Inputs!$C$52+((IF(OR(Inputs!$C$27=TRUE,Inputs!$C$27="TRUE",Inputs!$C$27=1),1,0)*(Inputs!$C$51*(115*EXP(-(((Inputs!$C$6)-25)^2)/(4.5^2))+70*EXP(-(((Inputs!$C$6)+38)^2)/(7^2))*(0.55+0.45*SIN(2*PI()*(Scenario_Data!T194)/45))+24*SIN(2*PI()*(Inputs!$C$6)/9+(Scenario_Data!T194)/18)*EXP(-(((Inputs!$C$6)+5)^2)/(22^2))+18*SIN(2*PI()*(Scenario_Data!T194)/70))+Inputs!$C$28*EXP(-(((Scenario_Data!T194)-Inputs!$C$29)^2)/(2*Inputs!$C$31^2))*EXP(-(((Inputs!$C$6)-Inputs!$C$30)^2)/(2*Inputs!$C$32^2))+-Inputs!$C$33*EXP(-(((((Scenario_Data!T194)-Inputs!$C$34)^2)+(((Inputs!$C$6)-Inputs!$C$35)^2))/(2*Inputs!$C$36^2)))+Inputs!$C$37*(0.55*SIN(2*PI()*(Scenario_Data!T194)/Inputs!$C$39)+0.35*COS(2*PI()*(Inputs!$C$6)/Inputs!$C$40)+0.2*SIN(2*PI()*((Scenario_Data!T194)+(Inputs!$C$6))/(0.5*(Inputs!$C$39+Inputs!$C$40))))+Inputs!$C$38*SIN(2*PI()*(Scenario_Data!T194)/Inputs!$C$39)*SIN(2*PI()*(Inputs!$C$6)/Inputs!$C$40)+-Inputs!$C$41*EXP(-(((Inputs!$C$6)-Inputs!$C$43)^2)/(2*Inputs!$C$44^2))*EXP(-(((Scenario_Data!T194)-Inputs!$C$42)^2)/(2*Inputs!$C$45^2))+Inputs!$C$48*(0.7*(0.45*SIN(2*PI()*(((Scenario_Data!T194)/Inputs!$C$49)+Inputs!$C$47*0.137))+0.35*COS(2*PI()*(((Inputs!$C$6)/Inputs!$C$50)+Inputs!$C$47*0.173))+0.2*SIN(2*PI()*((((Scenario_Data!T194)+(Inputs!$C$6))/(0.5*(Inputs!$C$49+Inputs!$C$50)))+Inputs!$C$47*0.097)))+0.3*(2*((SIN(((Scenario_Data!T194)*12.9898+(Inputs!$C$6)*78.233+Inputs!$C$47*37.719))*43758.5453)-INT((SIN(((Scenario_Data!T194)*12.9898+(Inputs!$C$6)*78.233+Inputs!$C$47*37.719))*43758.5453)))-1))))/1000))^2-2*(Inputs!$C$52+(Scenario_Data!B194))*(Inputs!$C$52+((IF(OR(Inputs!$C$27=TRUE,Inputs!$C$27="TRUE",Inputs!$C$27=1),1,0)*(Inputs!$C$51*(115*EXP(-(((Inputs!$C$6)-25)^2)/(4.5^2))+70*EXP(-(((Inputs!$C$6)+38)^2)/(7^2))*(0.55+0.45*SIN(2*PI()*(Scenario_Data!T194)/45))+24*SIN(2*PI()*(Inputs!$C$6)/9+(Scenario_Data!T194)/18)*EXP(-(((Inputs!$C$6)+5)^2)/(22^2))+18*SIN(2*PI()*(Scenario_Data!T194)/70))+Inputs!$C$28*EXP(-(((Scenario_Data!T194)-Inputs!$C$29)^2)/(2*Inputs!$C$31^2))*EXP(-(((Inputs!$C$6)-Inputs!$C$30)^2)/(2*Inputs!$C$32^2))+-Inputs!$C$33*EXP(-(((((Scenario_Data!T194)-Inputs!$C$34)^2)+(((Inputs!$C$6)-Inputs!$C$35)^2))/(2*Inputs!$C$36^2)))+Inputs!$C$37*(0.55*SIN(2*PI()*(Scenario_Data!T194)/Inputs!$C$39)+0.35*COS(2*PI()*(Inputs!$C$6)/Inputs!$C$40)+0.2*SIN(2*PI()*((Scenario_Data!T194)+(Inputs!$C$6))/(0.5*(Inputs!$C$39+Inputs!$C$40))))+Inputs!$C$38*SIN(2*PI()*(Scenario_Data!T194)/Inputs!$C$39)*SIN(2*PI()*(Inputs!$C$6)/Inputs!$C$40)+-Inputs!$C$41*EXP(-(((Inputs!$C$6)-Inputs!$C$43)^2)/(2*Inputs!$C$44^2))*EXP(-(((Scenario_Data!T194)-Inputs!$C$42)^2)/(2*Inputs!$C$45^2))+Inputs!$C$48*(0.7*(0.45*SIN(2*PI()*(((Scenario_Data!T194)/Inputs!$C$49)+Inputs!$C$47*0.137))+0.35*COS(2*PI()*(((Inputs!$C$6)/Inputs!$C$50)+Inputs!$C$47*0.173))+0.2*SIN(2*PI()*((((Scenario_Data!T194)+(Inputs!$C$6))/(0.5*(Inputs!$C$49+Inputs!$C$50)))+Inputs!$C$47*0.097)))+0.3*(2*((SIN(((Scenario_Data!T194)*12.9898+(Inputs!$C$6)*78.233+Inputs!$C$47*37.719))*43758.5453)-INT((SIN(((Scenario_Data!T194)*12.9898+(Inputs!$C$6)*78.233+Inputs!$C$47*37.719))*43758.5453)))-1))))/1000))*COS(SQRT((Scenario_Data!T194)^2+Inputs!$C$6^2)/Inputs!$C$52))*1000)/Inputs!$C$21*1000000</f>
        <v/>
      </c>
      <c r="AR194">
        <f>Scenario_Data!U194</f>
        <v/>
      </c>
      <c r="AS194">
        <f>2*(SQRT((Inputs!$C$52+(Scenario_Data!C194))^2+(Inputs!$C$52+((IF(OR(Inputs!$C$27=TRUE,Inputs!$C$27="TRUE",Inputs!$C$27=1),1,0)*(Inputs!$C$51*(115*EXP(-(((Inputs!$C$6)-25)^2)/(4.5^2))+70*EXP(-(((Inputs!$C$6)+38)^2)/(7^2))*(0.55+0.45*SIN(2*PI()*(Scenario_Data!U194)/45))+24*SIN(2*PI()*(Inputs!$C$6)/9+(Scenario_Data!U194)/18)*EXP(-(((Inputs!$C$6)+5)^2)/(22^2))+18*SIN(2*PI()*(Scenario_Data!U194)/70))+Inputs!$C$28*EXP(-(((Scenario_Data!U194)-Inputs!$C$29)^2)/(2*Inputs!$C$31^2))*EXP(-(((Inputs!$C$6)-Inputs!$C$30)^2)/(2*Inputs!$C$32^2))+-Inputs!$C$33*EXP(-(((((Scenario_Data!U194)-Inputs!$C$34)^2)+(((Inputs!$C$6)-Inputs!$C$35)^2))/(2*Inputs!$C$36^2)))+Inputs!$C$37*(0.55*SIN(2*PI()*(Scenario_Data!U194)/Inputs!$C$39)+0.35*COS(2*PI()*(Inputs!$C$6)/Inputs!$C$40)+0.2*SIN(2*PI()*((Scenario_Data!U194)+(Inputs!$C$6))/(0.5*(Inputs!$C$39+Inputs!$C$40))))+Inputs!$C$38*SIN(2*PI()*(Scenario_Data!U194)/Inputs!$C$39)*SIN(2*PI()*(Inputs!$C$6)/Inputs!$C$40)+-Inputs!$C$41*EXP(-(((Inputs!$C$6)-Inputs!$C$43)^2)/(2*Inputs!$C$44^2))*EXP(-(((Scenario_Data!U194)-Inputs!$C$42)^2)/(2*Inputs!$C$45^2))+Inputs!$C$48*(0.7*(0.45*SIN(2*PI()*(((Scenario_Data!U194)/Inputs!$C$49)+Inputs!$C$47*0.137))+0.35*COS(2*PI()*(((Inputs!$C$6)/Inputs!$C$50)+Inputs!$C$47*0.173))+0.2*SIN(2*PI()*((((Scenario_Data!U194)+(Inputs!$C$6))/(0.5*(Inputs!$C$49+Inputs!$C$50)))+Inputs!$C$47*0.097)))+0.3*(2*((SIN(((Scenario_Data!U194)*12.9898+(Inputs!$C$6)*78.233+Inputs!$C$47*37.719))*43758.5453)-INT((SIN(((Scenario_Data!U194)*12.9898+(Inputs!$C$6)*78.233+Inputs!$C$47*37.719))*43758.5453)))-1))))/1000))^2-2*(Inputs!$C$52+(Scenario_Data!C194))*(Inputs!$C$52+((IF(OR(Inputs!$C$27=TRUE,Inputs!$C$27="TRUE",Inputs!$C$27=1),1,0)*(Inputs!$C$51*(115*EXP(-(((Inputs!$C$6)-25)^2)/(4.5^2))+70*EXP(-(((Inputs!$C$6)+38)^2)/(7^2))*(0.55+0.45*SIN(2*PI()*(Scenario_Data!U194)/45))+24*SIN(2*PI()*(Inputs!$C$6)/9+(Scenario_Data!U194)/18)*EXP(-(((Inputs!$C$6)+5)^2)/(22^2))+18*SIN(2*PI()*(Scenario_Data!U194)/70))+Inputs!$C$28*EXP(-(((Scenario_Data!U194)-Inputs!$C$29)^2)/(2*Inputs!$C$31^2))*EXP(-(((Inputs!$C$6)-Inputs!$C$30)^2)/(2*Inputs!$C$32^2))+-Inputs!$C$33*EXP(-(((((Scenario_Data!U194)-Inputs!$C$34)^2)+(((Inputs!$C$6)-Inputs!$C$35)^2))/(2*Inputs!$C$36^2)))+Inputs!$C$37*(0.55*SIN(2*PI()*(Scenario_Data!U194)/Inputs!$C$39)+0.35*COS(2*PI()*(Inputs!$C$6)/Inputs!$C$40)+0.2*SIN(2*PI()*((Scenario_Data!U194)+(Inputs!$C$6))/(0.5*(Inputs!$C$39+Inputs!$C$40))))+Inputs!$C$38*SIN(2*PI()*(Scenario_Data!U194)/Inputs!$C$39)*SIN(2*PI()*(Inputs!$C$6)/Inputs!$C$40)+-Inputs!$C$41*EXP(-(((Inputs!$C$6)-Inputs!$C$43)^2)/(2*Inputs!$C$44^2))*EXP(-(((Scenario_Data!U194)-Inputs!$C$42)^2)/(2*Inputs!$C$45^2))+Inputs!$C$48*(0.7*(0.45*SIN(2*PI()*(((Scenario_Data!U194)/Inputs!$C$49)+Inputs!$C$47*0.137))+0.35*COS(2*PI()*(((Inputs!$C$6)/Inputs!$C$50)+Inputs!$C$47*0.173))+0.2*SIN(2*PI()*((((Scenario_Data!U194)+(Inputs!$C$6))/(0.5*(Inputs!$C$49+Inputs!$C$50)))+Inputs!$C$47*0.097)))+0.3*(2*((SIN(((Scenario_Data!U194)*12.9898+(Inputs!$C$6)*78.233+Inputs!$C$47*37.719))*43758.5453)-INT((SIN(((Scenario_Data!U194)*12.9898+(Inputs!$C$6)*78.233+Inputs!$C$47*37.719))*43758.5453)))-1))))/1000))*COS(SQRT((Scenario_Data!U194)^2+Inputs!$C$6^2)/Inputs!$C$52))*1000)/Inputs!$C$21*1000000</f>
        <v/>
      </c>
      <c r="AT194">
        <f>Scenario_Data!V194</f>
        <v/>
      </c>
      <c r="AU194">
        <f>2*(SQRT((Inputs!$C$52+(Scenario_Data!D194))^2+(Inputs!$C$52+((IF(OR(Inputs!$C$27=TRUE,Inputs!$C$27="TRUE",Inputs!$C$27=1),1,0)*(Inputs!$C$51*(115*EXP(-(((Inputs!$C$6)-25)^2)/(4.5^2))+70*EXP(-(((Inputs!$C$6)+38)^2)/(7^2))*(0.55+0.45*SIN(2*PI()*(Scenario_Data!V194)/45))+24*SIN(2*PI()*(Inputs!$C$6)/9+(Scenario_Data!V194)/18)*EXP(-(((Inputs!$C$6)+5)^2)/(22^2))+18*SIN(2*PI()*(Scenario_Data!V194)/70))+Inputs!$C$28*EXP(-(((Scenario_Data!V194)-Inputs!$C$29)^2)/(2*Inputs!$C$31^2))*EXP(-(((Inputs!$C$6)-Inputs!$C$30)^2)/(2*Inputs!$C$32^2))+-Inputs!$C$33*EXP(-(((((Scenario_Data!V194)-Inputs!$C$34)^2)+(((Inputs!$C$6)-Inputs!$C$35)^2))/(2*Inputs!$C$36^2)))+Inputs!$C$37*(0.55*SIN(2*PI()*(Scenario_Data!V194)/Inputs!$C$39)+0.35*COS(2*PI()*(Inputs!$C$6)/Inputs!$C$40)+0.2*SIN(2*PI()*((Scenario_Data!V194)+(Inputs!$C$6))/(0.5*(Inputs!$C$39+Inputs!$C$40))))+Inputs!$C$38*SIN(2*PI()*(Scenario_Data!V194)/Inputs!$C$39)*SIN(2*PI()*(Inputs!$C$6)/Inputs!$C$40)+-Inputs!$C$41*EXP(-(((Inputs!$C$6)-Inputs!$C$43)^2)/(2*Inputs!$C$44^2))*EXP(-(((Scenario_Data!V194)-Inputs!$C$42)^2)/(2*Inputs!$C$45^2))+Inputs!$C$48*(0.7*(0.45*SIN(2*PI()*(((Scenario_Data!V194)/Inputs!$C$49)+Inputs!$C$47*0.137))+0.35*COS(2*PI()*(((Inputs!$C$6)/Inputs!$C$50)+Inputs!$C$47*0.173))+0.2*SIN(2*PI()*((((Scenario_Data!V194)+(Inputs!$C$6))/(0.5*(Inputs!$C$49+Inputs!$C$50)))+Inputs!$C$47*0.097)))+0.3*(2*((SIN(((Scenario_Data!V194)*12.9898+(Inputs!$C$6)*78.233+Inputs!$C$47*37.719))*43758.5453)-INT((SIN(((Scenario_Data!V194)*12.9898+(Inputs!$C$6)*78.233+Inputs!$C$47*37.719))*43758.5453)))-1))))/1000))^2-2*(Inputs!$C$52+(Scenario_Data!D194))*(Inputs!$C$52+((IF(OR(Inputs!$C$27=TRUE,Inputs!$C$27="TRUE",Inputs!$C$27=1),1,0)*(Inputs!$C$51*(115*EXP(-(((Inputs!$C$6)-25)^2)/(4.5^2))+70*EXP(-(((Inputs!$C$6)+38)^2)/(7^2))*(0.55+0.45*SIN(2*PI()*(Scenario_Data!V194)/45))+24*SIN(2*PI()*(Inputs!$C$6)/9+(Scenario_Data!V194)/18)*EXP(-(((Inputs!$C$6)+5)^2)/(22^2))+18*SIN(2*PI()*(Scenario_Data!V194)/70))+Inputs!$C$28*EXP(-(((Scenario_Data!V194)-Inputs!$C$29)^2)/(2*Inputs!$C$31^2))*EXP(-(((Inputs!$C$6)-Inputs!$C$30)^2)/(2*Inputs!$C$32^2))+-Inputs!$C$33*EXP(-(((((Scenario_Data!V194)-Inputs!$C$34)^2)+(((Inputs!$C$6)-Inputs!$C$35)^2))/(2*Inputs!$C$36^2)))+Inputs!$C$37*(0.55*SIN(2*PI()*(Scenario_Data!V194)/Inputs!$C$39)+0.35*COS(2*PI()*(Inputs!$C$6)/Inputs!$C$40)+0.2*SIN(2*PI()*((Scenario_Data!V194)+(Inputs!$C$6))/(0.5*(Inputs!$C$39+Inputs!$C$40))))+Inputs!$C$38*SIN(2*PI()*(Scenario_Data!V194)/Inputs!$C$39)*SIN(2*PI()*(Inputs!$C$6)/Inputs!$C$40)+-Inputs!$C$41*EXP(-(((Inputs!$C$6)-Inputs!$C$43)^2)/(2*Inputs!$C$44^2))*EXP(-(((Scenario_Data!V194)-Inputs!$C$42)^2)/(2*Inputs!$C$45^2))+Inputs!$C$48*(0.7*(0.45*SIN(2*PI()*(((Scenario_Data!V194)/Inputs!$C$49)+Inputs!$C$47*0.137))+0.35*COS(2*PI()*(((Inputs!$C$6)/Inputs!$C$50)+Inputs!$C$47*0.173))+0.2*SIN(2*PI()*((((Scenario_Data!V194)+(Inputs!$C$6))/(0.5*(Inputs!$C$49+Inputs!$C$50)))+Inputs!$C$47*0.097)))+0.3*(2*((SIN(((Scenario_Data!V194)*12.9898+(Inputs!$C$6)*78.233+Inputs!$C$47*37.719))*43758.5453)-INT((SIN(((Scenario_Data!V194)*12.9898+(Inputs!$C$6)*78.233+Inputs!$C$47*37.719))*43758.5453)))-1))))/1000))*COS(SQRT((Scenario_Data!V194)^2+Inputs!$C$6^2)/Inputs!$C$52))*1000)/Inputs!$C$21*1000000</f>
        <v/>
      </c>
      <c r="AV194">
        <f>Scenario_Data!W194</f>
        <v/>
      </c>
      <c r="AW194">
        <f>2*(SQRT((Inputs!$C$52+(Scenario_Data!E194))^2+(Inputs!$C$52+((IF(OR(Inputs!$C$27=TRUE,Inputs!$C$27="TRUE",Inputs!$C$27=1),1,0)*(Inputs!$C$51*(115*EXP(-(((Inputs!$C$6)-25)^2)/(4.5^2))+70*EXP(-(((Inputs!$C$6)+38)^2)/(7^2))*(0.55+0.45*SIN(2*PI()*(Scenario_Data!W194)/45))+24*SIN(2*PI()*(Inputs!$C$6)/9+(Scenario_Data!W194)/18)*EXP(-(((Inputs!$C$6)+5)^2)/(22^2))+18*SIN(2*PI()*(Scenario_Data!W194)/70))+Inputs!$C$28*EXP(-(((Scenario_Data!W194)-Inputs!$C$29)^2)/(2*Inputs!$C$31^2))*EXP(-(((Inputs!$C$6)-Inputs!$C$30)^2)/(2*Inputs!$C$32^2))+-Inputs!$C$33*EXP(-(((((Scenario_Data!W194)-Inputs!$C$34)^2)+(((Inputs!$C$6)-Inputs!$C$35)^2))/(2*Inputs!$C$36^2)))+Inputs!$C$37*(0.55*SIN(2*PI()*(Scenario_Data!W194)/Inputs!$C$39)+0.35*COS(2*PI()*(Inputs!$C$6)/Inputs!$C$40)+0.2*SIN(2*PI()*((Scenario_Data!W194)+(Inputs!$C$6))/(0.5*(Inputs!$C$39+Inputs!$C$40))))+Inputs!$C$38*SIN(2*PI()*(Scenario_Data!W194)/Inputs!$C$39)*SIN(2*PI()*(Inputs!$C$6)/Inputs!$C$40)+-Inputs!$C$41*EXP(-(((Inputs!$C$6)-Inputs!$C$43)^2)/(2*Inputs!$C$44^2))*EXP(-(((Scenario_Data!W194)-Inputs!$C$42)^2)/(2*Inputs!$C$45^2))+Inputs!$C$48*(0.7*(0.45*SIN(2*PI()*(((Scenario_Data!W194)/Inputs!$C$49)+Inputs!$C$47*0.137))+0.35*COS(2*PI()*(((Inputs!$C$6)/Inputs!$C$50)+Inputs!$C$47*0.173))+0.2*SIN(2*PI()*((((Scenario_Data!W194)+(Inputs!$C$6))/(0.5*(Inputs!$C$49+Inputs!$C$50)))+Inputs!$C$47*0.097)))+0.3*(2*((SIN(((Scenario_Data!W194)*12.9898+(Inputs!$C$6)*78.233+Inputs!$C$47*37.719))*43758.5453)-INT((SIN(((Scenario_Data!W194)*12.9898+(Inputs!$C$6)*78.233+Inputs!$C$47*37.719))*43758.5453)))-1))))/1000))^2-2*(Inputs!$C$52+(Scenario_Data!E194))*(Inputs!$C$52+((IF(OR(Inputs!$C$27=TRUE,Inputs!$C$27="TRUE",Inputs!$C$27=1),1,0)*(Inputs!$C$51*(115*EXP(-(((Inputs!$C$6)-25)^2)/(4.5^2))+70*EXP(-(((Inputs!$C$6)+38)^2)/(7^2))*(0.55+0.45*SIN(2*PI()*(Scenario_Data!W194)/45))+24*SIN(2*PI()*(Inputs!$C$6)/9+(Scenario_Data!W194)/18)*EXP(-(((Inputs!$C$6)+5)^2)/(22^2))+18*SIN(2*PI()*(Scenario_Data!W194)/70))+Inputs!$C$28*EXP(-(((Scenario_Data!W194)-Inputs!$C$29)^2)/(2*Inputs!$C$31^2))*EXP(-(((Inputs!$C$6)-Inputs!$C$30)^2)/(2*Inputs!$C$32^2))+-Inputs!$C$33*EXP(-(((((Scenario_Data!W194)-Inputs!$C$34)^2)+(((Inputs!$C$6)-Inputs!$C$35)^2))/(2*Inputs!$C$36^2)))+Inputs!$C$37*(0.55*SIN(2*PI()*(Scenario_Data!W194)/Inputs!$C$39)+0.35*COS(2*PI()*(Inputs!$C$6)/Inputs!$C$40)+0.2*SIN(2*PI()*((Scenario_Data!W194)+(Inputs!$C$6))/(0.5*(Inputs!$C$39+Inputs!$C$40))))+Inputs!$C$38*SIN(2*PI()*(Scenario_Data!W194)/Inputs!$C$39)*SIN(2*PI()*(Inputs!$C$6)/Inputs!$C$40)+-Inputs!$C$41*EXP(-(((Inputs!$C$6)-Inputs!$C$43)^2)/(2*Inputs!$C$44^2))*EXP(-(((Scenario_Data!W194)-Inputs!$C$42)^2)/(2*Inputs!$C$45^2))+Inputs!$C$48*(0.7*(0.45*SIN(2*PI()*(((Scenario_Data!W194)/Inputs!$C$49)+Inputs!$C$47*0.137))+0.35*COS(2*PI()*(((Inputs!$C$6)/Inputs!$C$50)+Inputs!$C$47*0.173))+0.2*SIN(2*PI()*((((Scenario_Data!W194)+(Inputs!$C$6))/(0.5*(Inputs!$C$49+Inputs!$C$50)))+Inputs!$C$47*0.097)))+0.3*(2*((SIN(((Scenario_Data!W194)*12.9898+(Inputs!$C$6)*78.233+Inputs!$C$47*37.719))*43758.5453)-INT((SIN(((Scenario_Data!W194)*12.9898+(Inputs!$C$6)*78.233+Inputs!$C$47*37.719))*43758.5453)))-1))))/1000))*COS(SQRT((Scenario_Data!W194)^2+Inputs!$C$6^2)/Inputs!$C$52))*1000)/Inputs!$C$21*1000000</f>
        <v/>
      </c>
    </row>
    <row r="195">
      <c r="A195">
        <f>Chart_Data!K195</f>
        <v/>
      </c>
      <c r="B195">
        <f>Chart_Data!N195-Chart_Data!L195</f>
        <v/>
      </c>
      <c r="D195">
        <f>Chart_Data!G195</f>
        <v/>
      </c>
      <c r="E195">
        <f>Chart_Data!H195</f>
        <v/>
      </c>
      <c r="F195">
        <f>Chart_Data!I195</f>
        <v/>
      </c>
      <c r="G195">
        <f>Chart_Data!J195</f>
        <v/>
      </c>
      <c r="I195">
        <f>Scenario_Data!A195</f>
        <v/>
      </c>
      <c r="J195">
        <f>Scenario_Data!H195-(((SQRT((Inputs!$C$52+(Inputs!$H$6))^2+Inputs!$C$52^2-2*(Inputs!$C$52+(Inputs!$H$6))*Inputs!$C$52*COS(SQRT((Scenario_Data!T195)^2+Inputs!$C$6^2)/Inputs!$C$52)))-(Inputs!$H$6))*1000/Inputs!$C$12)</f>
        <v/>
      </c>
      <c r="K195">
        <f>Scenario_Data!I195-(((SQRT((Inputs!$C$52+(Inputs!$H$7))^2+Inputs!$C$52^2-2*(Inputs!$C$52+(Inputs!$H$7))*Inputs!$C$52*COS(SQRT((Scenario_Data!U195)^2+Inputs!$C$6^2)/Inputs!$C$52)))-(Inputs!$H$7))*1000/Inputs!$C$12)</f>
        <v/>
      </c>
      <c r="L195">
        <f>Scenario_Data!J195-(((SQRT((Inputs!$C$52+(Inputs!$H$8))^2+Inputs!$C$52^2-2*(Inputs!$C$52+(Inputs!$H$8))*Inputs!$C$52*COS(SQRT((Scenario_Data!V195)^2+Inputs!$C$6^2)/Inputs!$C$52)))-(Inputs!$H$8))*1000/Inputs!$C$12)</f>
        <v/>
      </c>
      <c r="M195">
        <f>Scenario_Data!K195-(((SQRT((Inputs!$C$52+(Inputs!$H$9))^2+Inputs!$C$52^2-2*(Inputs!$C$52+(Inputs!$H$9))*Inputs!$C$52*COS(SQRT((Scenario_Data!W195)^2+Inputs!$C$6^2)/Inputs!$C$52)))-(Inputs!$H$9))*1000/Inputs!$C$12)</f>
        <v/>
      </c>
      <c r="O195">
        <f>Scenario_Data!T195</f>
        <v/>
      </c>
      <c r="P195">
        <f>2*(Scenario_Data!B195*1000)/Inputs!$C$21*1000000</f>
        <v/>
      </c>
      <c r="Q195">
        <f>Scenario_Data!U195</f>
        <v/>
      </c>
      <c r="R195">
        <f>2*(Scenario_Data!C195*1000)/Inputs!$C$21*1000000</f>
        <v/>
      </c>
      <c r="S195">
        <f>Scenario_Data!V195</f>
        <v/>
      </c>
      <c r="T195">
        <f>2*(Scenario_Data!D195*1000)/Inputs!$C$21*1000000</f>
        <v/>
      </c>
      <c r="U195">
        <f>Scenario_Data!W195</f>
        <v/>
      </c>
      <c r="V195">
        <f>2*(Scenario_Data!E195*1000)/Inputs!$C$21*1000000</f>
        <v/>
      </c>
      <c r="X195">
        <f>Scenario_Data!T195</f>
        <v/>
      </c>
      <c r="Y195">
        <f>2*((Scenario_Data!B195*1000)-(IF(OR(Inputs!$C$27=TRUE,Inputs!$C$27="TRUE",Inputs!$C$27=1),1,0)*(Inputs!$C$51*(115*EXP(-(((0)-25)^2)/(4.5^2))+70*EXP(-(((0)+38)^2)/(7^2))*(0.55+0.45*SIN(2*PI()*(Scenario_Data!T195)/45))+24*SIN(2*PI()*(0)/9+(Scenario_Data!T195)/18)*EXP(-(((0)+5)^2)/(22^2))+18*SIN(2*PI()*(Scenario_Data!T195)/70))+Inputs!$C$28*EXP(-(((Scenario_Data!T195)-Inputs!$C$29)^2)/(2*Inputs!$C$31^2))*EXP(-(((0)-Inputs!$C$30)^2)/(2*Inputs!$C$32^2))+-Inputs!$C$33*EXP(-(((((Scenario_Data!T195)-Inputs!$C$34)^2)+(((0)-Inputs!$C$35)^2))/(2*Inputs!$C$36^2)))+Inputs!$C$37*(0.55*SIN(2*PI()*(Scenario_Data!T195)/Inputs!$C$39)+0.35*COS(2*PI()*(0)/Inputs!$C$40)+0.2*SIN(2*PI()*((Scenario_Data!T195)+(0))/(0.5*(Inputs!$C$39+Inputs!$C$40))))+Inputs!$C$38*SIN(2*PI()*(Scenario_Data!T195)/Inputs!$C$39)*SIN(2*PI()*(0)/Inputs!$C$40)+-Inputs!$C$41*EXP(-(((0)-Inputs!$C$43)^2)/(2*Inputs!$C$44^2))*EXP(-(((Scenario_Data!T195)-Inputs!$C$42)^2)/(2*Inputs!$C$45^2))+Inputs!$C$48*(0.7*(0.45*SIN(2*PI()*(((Scenario_Data!T195)/Inputs!$C$49)+Inputs!$C$47*0.137))+0.35*COS(2*PI()*(((0)/Inputs!$C$50)+Inputs!$C$47*0.173))+0.2*SIN(2*PI()*((((Scenario_Data!T195)+(0))/(0.5*(Inputs!$C$49+Inputs!$C$50)))+Inputs!$C$47*0.097)))+0.3*(2*((SIN(((Scenario_Data!T195)*12.9898+(0)*78.233+Inputs!$C$47*37.719))*43758.5453)-INT((SIN(((Scenario_Data!T195)*12.9898+(0)*78.233+Inputs!$C$47*37.719))*43758.5453)))-1)))))/Inputs!$C$21*1000000</f>
        <v/>
      </c>
      <c r="Z195">
        <f>Scenario_Data!U195</f>
        <v/>
      </c>
      <c r="AA195">
        <f>2*((Scenario_Data!C195*1000)-(IF(OR(Inputs!$C$27=TRUE,Inputs!$C$27="TRUE",Inputs!$C$27=1),1,0)*(Inputs!$C$51*(115*EXP(-(((0)-25)^2)/(4.5^2))+70*EXP(-(((0)+38)^2)/(7^2))*(0.55+0.45*SIN(2*PI()*(Scenario_Data!U195)/45))+24*SIN(2*PI()*(0)/9+(Scenario_Data!U195)/18)*EXP(-(((0)+5)^2)/(22^2))+18*SIN(2*PI()*(Scenario_Data!U195)/70))+Inputs!$C$28*EXP(-(((Scenario_Data!U195)-Inputs!$C$29)^2)/(2*Inputs!$C$31^2))*EXP(-(((0)-Inputs!$C$30)^2)/(2*Inputs!$C$32^2))+-Inputs!$C$33*EXP(-(((((Scenario_Data!U195)-Inputs!$C$34)^2)+(((0)-Inputs!$C$35)^2))/(2*Inputs!$C$36^2)))+Inputs!$C$37*(0.55*SIN(2*PI()*(Scenario_Data!U195)/Inputs!$C$39)+0.35*COS(2*PI()*(0)/Inputs!$C$40)+0.2*SIN(2*PI()*((Scenario_Data!U195)+(0))/(0.5*(Inputs!$C$39+Inputs!$C$40))))+Inputs!$C$38*SIN(2*PI()*(Scenario_Data!U195)/Inputs!$C$39)*SIN(2*PI()*(0)/Inputs!$C$40)+-Inputs!$C$41*EXP(-(((0)-Inputs!$C$43)^2)/(2*Inputs!$C$44^2))*EXP(-(((Scenario_Data!U195)-Inputs!$C$42)^2)/(2*Inputs!$C$45^2))+Inputs!$C$48*(0.7*(0.45*SIN(2*PI()*(((Scenario_Data!U195)/Inputs!$C$49)+Inputs!$C$47*0.137))+0.35*COS(2*PI()*(((0)/Inputs!$C$50)+Inputs!$C$47*0.173))+0.2*SIN(2*PI()*((((Scenario_Data!U195)+(0))/(0.5*(Inputs!$C$49+Inputs!$C$50)))+Inputs!$C$47*0.097)))+0.3*(2*((SIN(((Scenario_Data!U195)*12.9898+(0)*78.233+Inputs!$C$47*37.719))*43758.5453)-INT((SIN(((Scenario_Data!U195)*12.9898+(0)*78.233+Inputs!$C$47*37.719))*43758.5453)))-1)))))/Inputs!$C$21*1000000</f>
        <v/>
      </c>
      <c r="AB195">
        <f>Scenario_Data!V195</f>
        <v/>
      </c>
      <c r="AC195">
        <f>2*((Scenario_Data!D195*1000)-(IF(OR(Inputs!$C$27=TRUE,Inputs!$C$27="TRUE",Inputs!$C$27=1),1,0)*(Inputs!$C$51*(115*EXP(-(((0)-25)^2)/(4.5^2))+70*EXP(-(((0)+38)^2)/(7^2))*(0.55+0.45*SIN(2*PI()*(Scenario_Data!V195)/45))+24*SIN(2*PI()*(0)/9+(Scenario_Data!V195)/18)*EXP(-(((0)+5)^2)/(22^2))+18*SIN(2*PI()*(Scenario_Data!V195)/70))+Inputs!$C$28*EXP(-(((Scenario_Data!V195)-Inputs!$C$29)^2)/(2*Inputs!$C$31^2))*EXP(-(((0)-Inputs!$C$30)^2)/(2*Inputs!$C$32^2))+-Inputs!$C$33*EXP(-(((((Scenario_Data!V195)-Inputs!$C$34)^2)+(((0)-Inputs!$C$35)^2))/(2*Inputs!$C$36^2)))+Inputs!$C$37*(0.55*SIN(2*PI()*(Scenario_Data!V195)/Inputs!$C$39)+0.35*COS(2*PI()*(0)/Inputs!$C$40)+0.2*SIN(2*PI()*((Scenario_Data!V195)+(0))/(0.5*(Inputs!$C$39+Inputs!$C$40))))+Inputs!$C$38*SIN(2*PI()*(Scenario_Data!V195)/Inputs!$C$39)*SIN(2*PI()*(0)/Inputs!$C$40)+-Inputs!$C$41*EXP(-(((0)-Inputs!$C$43)^2)/(2*Inputs!$C$44^2))*EXP(-(((Scenario_Data!V195)-Inputs!$C$42)^2)/(2*Inputs!$C$45^2))+Inputs!$C$48*(0.7*(0.45*SIN(2*PI()*(((Scenario_Data!V195)/Inputs!$C$49)+Inputs!$C$47*0.137))+0.35*COS(2*PI()*(((0)/Inputs!$C$50)+Inputs!$C$47*0.173))+0.2*SIN(2*PI()*((((Scenario_Data!V195)+(0))/(0.5*(Inputs!$C$49+Inputs!$C$50)))+Inputs!$C$47*0.097)))+0.3*(2*((SIN(((Scenario_Data!V195)*12.9898+(0)*78.233+Inputs!$C$47*37.719))*43758.5453)-INT((SIN(((Scenario_Data!V195)*12.9898+(0)*78.233+Inputs!$C$47*37.719))*43758.5453)))-1)))))/Inputs!$C$21*1000000</f>
        <v/>
      </c>
      <c r="AD195">
        <f>Scenario_Data!W195</f>
        <v/>
      </c>
      <c r="AE195">
        <f>2*((Scenario_Data!E195*1000)-(IF(OR(Inputs!$C$27=TRUE,Inputs!$C$27="TRUE",Inputs!$C$27=1),1,0)*(Inputs!$C$51*(115*EXP(-(((0)-25)^2)/(4.5^2))+70*EXP(-(((0)+38)^2)/(7^2))*(0.55+0.45*SIN(2*PI()*(Scenario_Data!W195)/45))+24*SIN(2*PI()*(0)/9+(Scenario_Data!W195)/18)*EXP(-(((0)+5)^2)/(22^2))+18*SIN(2*PI()*(Scenario_Data!W195)/70))+Inputs!$C$28*EXP(-(((Scenario_Data!W195)-Inputs!$C$29)^2)/(2*Inputs!$C$31^2))*EXP(-(((0)-Inputs!$C$30)^2)/(2*Inputs!$C$32^2))+-Inputs!$C$33*EXP(-(((((Scenario_Data!W195)-Inputs!$C$34)^2)+(((0)-Inputs!$C$35)^2))/(2*Inputs!$C$36^2)))+Inputs!$C$37*(0.55*SIN(2*PI()*(Scenario_Data!W195)/Inputs!$C$39)+0.35*COS(2*PI()*(0)/Inputs!$C$40)+0.2*SIN(2*PI()*((Scenario_Data!W195)+(0))/(0.5*(Inputs!$C$39+Inputs!$C$40))))+Inputs!$C$38*SIN(2*PI()*(Scenario_Data!W195)/Inputs!$C$39)*SIN(2*PI()*(0)/Inputs!$C$40)+-Inputs!$C$41*EXP(-(((0)-Inputs!$C$43)^2)/(2*Inputs!$C$44^2))*EXP(-(((Scenario_Data!W195)-Inputs!$C$42)^2)/(2*Inputs!$C$45^2))+Inputs!$C$48*(0.7*(0.45*SIN(2*PI()*(((Scenario_Data!W195)/Inputs!$C$49)+Inputs!$C$47*0.137))+0.35*COS(2*PI()*(((0)/Inputs!$C$50)+Inputs!$C$47*0.173))+0.2*SIN(2*PI()*((((Scenario_Data!W195)+(0))/(0.5*(Inputs!$C$49+Inputs!$C$50)))+Inputs!$C$47*0.097)))+0.3*(2*((SIN(((Scenario_Data!W195)*12.9898+(0)*78.233+Inputs!$C$47*37.719))*43758.5453)-INT((SIN(((Scenario_Data!W195)*12.9898+(0)*78.233+Inputs!$C$47*37.719))*43758.5453)))-1)))))/Inputs!$C$21*1000000</f>
        <v/>
      </c>
      <c r="AG195">
        <f>Scenario_Data!T195</f>
        <v/>
      </c>
      <c r="AH195">
        <f>2*(SQRT((Inputs!$C$52+(Scenario_Data!B195))^2+Inputs!$C$52^2-2*(Inputs!$C$52+(Scenario_Data!B195))*Inputs!$C$52*COS(SQRT((Scenario_Data!T195)^2+Inputs!$C$6^2)/Inputs!$C$52))*1000)/Inputs!$C$21*1000000</f>
        <v/>
      </c>
      <c r="AI195">
        <f>Scenario_Data!U195</f>
        <v/>
      </c>
      <c r="AJ195">
        <f>2*(SQRT((Inputs!$C$52+(Scenario_Data!C195))^2+Inputs!$C$52^2-2*(Inputs!$C$52+(Scenario_Data!C195))*Inputs!$C$52*COS(SQRT((Scenario_Data!U195)^2+Inputs!$C$6^2)/Inputs!$C$52))*1000)/Inputs!$C$21*1000000</f>
        <v/>
      </c>
      <c r="AK195">
        <f>Scenario_Data!V195</f>
        <v/>
      </c>
      <c r="AL195">
        <f>2*(SQRT((Inputs!$C$52+(Scenario_Data!D195))^2+Inputs!$C$52^2-2*(Inputs!$C$52+(Scenario_Data!D195))*Inputs!$C$52*COS(SQRT((Scenario_Data!V195)^2+Inputs!$C$6^2)/Inputs!$C$52))*1000)/Inputs!$C$21*1000000</f>
        <v/>
      </c>
      <c r="AM195">
        <f>Scenario_Data!W195</f>
        <v/>
      </c>
      <c r="AN195">
        <f>2*(SQRT((Inputs!$C$52+(Scenario_Data!E195))^2+Inputs!$C$52^2-2*(Inputs!$C$52+(Scenario_Data!E195))*Inputs!$C$52*COS(SQRT((Scenario_Data!W195)^2+Inputs!$C$6^2)/Inputs!$C$52))*1000)/Inputs!$C$21*1000000</f>
        <v/>
      </c>
      <c r="AP195">
        <f>Scenario_Data!T195</f>
        <v/>
      </c>
      <c r="AQ195">
        <f>2*(SQRT((Inputs!$C$52+(Scenario_Data!B195))^2+(Inputs!$C$52+((IF(OR(Inputs!$C$27=TRUE,Inputs!$C$27="TRUE",Inputs!$C$27=1),1,0)*(Inputs!$C$51*(115*EXP(-(((Inputs!$C$6)-25)^2)/(4.5^2))+70*EXP(-(((Inputs!$C$6)+38)^2)/(7^2))*(0.55+0.45*SIN(2*PI()*(Scenario_Data!T195)/45))+24*SIN(2*PI()*(Inputs!$C$6)/9+(Scenario_Data!T195)/18)*EXP(-(((Inputs!$C$6)+5)^2)/(22^2))+18*SIN(2*PI()*(Scenario_Data!T195)/70))+Inputs!$C$28*EXP(-(((Scenario_Data!T195)-Inputs!$C$29)^2)/(2*Inputs!$C$31^2))*EXP(-(((Inputs!$C$6)-Inputs!$C$30)^2)/(2*Inputs!$C$32^2))+-Inputs!$C$33*EXP(-(((((Scenario_Data!T195)-Inputs!$C$34)^2)+(((Inputs!$C$6)-Inputs!$C$35)^2))/(2*Inputs!$C$36^2)))+Inputs!$C$37*(0.55*SIN(2*PI()*(Scenario_Data!T195)/Inputs!$C$39)+0.35*COS(2*PI()*(Inputs!$C$6)/Inputs!$C$40)+0.2*SIN(2*PI()*((Scenario_Data!T195)+(Inputs!$C$6))/(0.5*(Inputs!$C$39+Inputs!$C$40))))+Inputs!$C$38*SIN(2*PI()*(Scenario_Data!T195)/Inputs!$C$39)*SIN(2*PI()*(Inputs!$C$6)/Inputs!$C$40)+-Inputs!$C$41*EXP(-(((Inputs!$C$6)-Inputs!$C$43)^2)/(2*Inputs!$C$44^2))*EXP(-(((Scenario_Data!T195)-Inputs!$C$42)^2)/(2*Inputs!$C$45^2))+Inputs!$C$48*(0.7*(0.45*SIN(2*PI()*(((Scenario_Data!T195)/Inputs!$C$49)+Inputs!$C$47*0.137))+0.35*COS(2*PI()*(((Inputs!$C$6)/Inputs!$C$50)+Inputs!$C$47*0.173))+0.2*SIN(2*PI()*((((Scenario_Data!T195)+(Inputs!$C$6))/(0.5*(Inputs!$C$49+Inputs!$C$50)))+Inputs!$C$47*0.097)))+0.3*(2*((SIN(((Scenario_Data!T195)*12.9898+(Inputs!$C$6)*78.233+Inputs!$C$47*37.719))*43758.5453)-INT((SIN(((Scenario_Data!T195)*12.9898+(Inputs!$C$6)*78.233+Inputs!$C$47*37.719))*43758.5453)))-1))))/1000))^2-2*(Inputs!$C$52+(Scenario_Data!B195))*(Inputs!$C$52+((IF(OR(Inputs!$C$27=TRUE,Inputs!$C$27="TRUE",Inputs!$C$27=1),1,0)*(Inputs!$C$51*(115*EXP(-(((Inputs!$C$6)-25)^2)/(4.5^2))+70*EXP(-(((Inputs!$C$6)+38)^2)/(7^2))*(0.55+0.45*SIN(2*PI()*(Scenario_Data!T195)/45))+24*SIN(2*PI()*(Inputs!$C$6)/9+(Scenario_Data!T195)/18)*EXP(-(((Inputs!$C$6)+5)^2)/(22^2))+18*SIN(2*PI()*(Scenario_Data!T195)/70))+Inputs!$C$28*EXP(-(((Scenario_Data!T195)-Inputs!$C$29)^2)/(2*Inputs!$C$31^2))*EXP(-(((Inputs!$C$6)-Inputs!$C$30)^2)/(2*Inputs!$C$32^2))+-Inputs!$C$33*EXP(-(((((Scenario_Data!T195)-Inputs!$C$34)^2)+(((Inputs!$C$6)-Inputs!$C$35)^2))/(2*Inputs!$C$36^2)))+Inputs!$C$37*(0.55*SIN(2*PI()*(Scenario_Data!T195)/Inputs!$C$39)+0.35*COS(2*PI()*(Inputs!$C$6)/Inputs!$C$40)+0.2*SIN(2*PI()*((Scenario_Data!T195)+(Inputs!$C$6))/(0.5*(Inputs!$C$39+Inputs!$C$40))))+Inputs!$C$38*SIN(2*PI()*(Scenario_Data!T195)/Inputs!$C$39)*SIN(2*PI()*(Inputs!$C$6)/Inputs!$C$40)+-Inputs!$C$41*EXP(-(((Inputs!$C$6)-Inputs!$C$43)^2)/(2*Inputs!$C$44^2))*EXP(-(((Scenario_Data!T195)-Inputs!$C$42)^2)/(2*Inputs!$C$45^2))+Inputs!$C$48*(0.7*(0.45*SIN(2*PI()*(((Scenario_Data!T195)/Inputs!$C$49)+Inputs!$C$47*0.137))+0.35*COS(2*PI()*(((Inputs!$C$6)/Inputs!$C$50)+Inputs!$C$47*0.173))+0.2*SIN(2*PI()*((((Scenario_Data!T195)+(Inputs!$C$6))/(0.5*(Inputs!$C$49+Inputs!$C$50)))+Inputs!$C$47*0.097)))+0.3*(2*((SIN(((Scenario_Data!T195)*12.9898+(Inputs!$C$6)*78.233+Inputs!$C$47*37.719))*43758.5453)-INT((SIN(((Scenario_Data!T195)*12.9898+(Inputs!$C$6)*78.233+Inputs!$C$47*37.719))*43758.5453)))-1))))/1000))*COS(SQRT((Scenario_Data!T195)^2+Inputs!$C$6^2)/Inputs!$C$52))*1000)/Inputs!$C$21*1000000</f>
        <v/>
      </c>
      <c r="AR195">
        <f>Scenario_Data!U195</f>
        <v/>
      </c>
      <c r="AS195">
        <f>2*(SQRT((Inputs!$C$52+(Scenario_Data!C195))^2+(Inputs!$C$52+((IF(OR(Inputs!$C$27=TRUE,Inputs!$C$27="TRUE",Inputs!$C$27=1),1,0)*(Inputs!$C$51*(115*EXP(-(((Inputs!$C$6)-25)^2)/(4.5^2))+70*EXP(-(((Inputs!$C$6)+38)^2)/(7^2))*(0.55+0.45*SIN(2*PI()*(Scenario_Data!U195)/45))+24*SIN(2*PI()*(Inputs!$C$6)/9+(Scenario_Data!U195)/18)*EXP(-(((Inputs!$C$6)+5)^2)/(22^2))+18*SIN(2*PI()*(Scenario_Data!U195)/70))+Inputs!$C$28*EXP(-(((Scenario_Data!U195)-Inputs!$C$29)^2)/(2*Inputs!$C$31^2))*EXP(-(((Inputs!$C$6)-Inputs!$C$30)^2)/(2*Inputs!$C$32^2))+-Inputs!$C$33*EXP(-(((((Scenario_Data!U195)-Inputs!$C$34)^2)+(((Inputs!$C$6)-Inputs!$C$35)^2))/(2*Inputs!$C$36^2)))+Inputs!$C$37*(0.55*SIN(2*PI()*(Scenario_Data!U195)/Inputs!$C$39)+0.35*COS(2*PI()*(Inputs!$C$6)/Inputs!$C$40)+0.2*SIN(2*PI()*((Scenario_Data!U195)+(Inputs!$C$6))/(0.5*(Inputs!$C$39+Inputs!$C$40))))+Inputs!$C$38*SIN(2*PI()*(Scenario_Data!U195)/Inputs!$C$39)*SIN(2*PI()*(Inputs!$C$6)/Inputs!$C$40)+-Inputs!$C$41*EXP(-(((Inputs!$C$6)-Inputs!$C$43)^2)/(2*Inputs!$C$44^2))*EXP(-(((Scenario_Data!U195)-Inputs!$C$42)^2)/(2*Inputs!$C$45^2))+Inputs!$C$48*(0.7*(0.45*SIN(2*PI()*(((Scenario_Data!U195)/Inputs!$C$49)+Inputs!$C$47*0.137))+0.35*COS(2*PI()*(((Inputs!$C$6)/Inputs!$C$50)+Inputs!$C$47*0.173))+0.2*SIN(2*PI()*((((Scenario_Data!U195)+(Inputs!$C$6))/(0.5*(Inputs!$C$49+Inputs!$C$50)))+Inputs!$C$47*0.097)))+0.3*(2*((SIN(((Scenario_Data!U195)*12.9898+(Inputs!$C$6)*78.233+Inputs!$C$47*37.719))*43758.5453)-INT((SIN(((Scenario_Data!U195)*12.9898+(Inputs!$C$6)*78.233+Inputs!$C$47*37.719))*43758.5453)))-1))))/1000))^2-2*(Inputs!$C$52+(Scenario_Data!C195))*(Inputs!$C$52+((IF(OR(Inputs!$C$27=TRUE,Inputs!$C$27="TRUE",Inputs!$C$27=1),1,0)*(Inputs!$C$51*(115*EXP(-(((Inputs!$C$6)-25)^2)/(4.5^2))+70*EXP(-(((Inputs!$C$6)+38)^2)/(7^2))*(0.55+0.45*SIN(2*PI()*(Scenario_Data!U195)/45))+24*SIN(2*PI()*(Inputs!$C$6)/9+(Scenario_Data!U195)/18)*EXP(-(((Inputs!$C$6)+5)^2)/(22^2))+18*SIN(2*PI()*(Scenario_Data!U195)/70))+Inputs!$C$28*EXP(-(((Scenario_Data!U195)-Inputs!$C$29)^2)/(2*Inputs!$C$31^2))*EXP(-(((Inputs!$C$6)-Inputs!$C$30)^2)/(2*Inputs!$C$32^2))+-Inputs!$C$33*EXP(-(((((Scenario_Data!U195)-Inputs!$C$34)^2)+(((Inputs!$C$6)-Inputs!$C$35)^2))/(2*Inputs!$C$36^2)))+Inputs!$C$37*(0.55*SIN(2*PI()*(Scenario_Data!U195)/Inputs!$C$39)+0.35*COS(2*PI()*(Inputs!$C$6)/Inputs!$C$40)+0.2*SIN(2*PI()*((Scenario_Data!U195)+(Inputs!$C$6))/(0.5*(Inputs!$C$39+Inputs!$C$40))))+Inputs!$C$38*SIN(2*PI()*(Scenario_Data!U195)/Inputs!$C$39)*SIN(2*PI()*(Inputs!$C$6)/Inputs!$C$40)+-Inputs!$C$41*EXP(-(((Inputs!$C$6)-Inputs!$C$43)^2)/(2*Inputs!$C$44^2))*EXP(-(((Scenario_Data!U195)-Inputs!$C$42)^2)/(2*Inputs!$C$45^2))+Inputs!$C$48*(0.7*(0.45*SIN(2*PI()*(((Scenario_Data!U195)/Inputs!$C$49)+Inputs!$C$47*0.137))+0.35*COS(2*PI()*(((Inputs!$C$6)/Inputs!$C$50)+Inputs!$C$47*0.173))+0.2*SIN(2*PI()*((((Scenario_Data!U195)+(Inputs!$C$6))/(0.5*(Inputs!$C$49+Inputs!$C$50)))+Inputs!$C$47*0.097)))+0.3*(2*((SIN(((Scenario_Data!U195)*12.9898+(Inputs!$C$6)*78.233+Inputs!$C$47*37.719))*43758.5453)-INT((SIN(((Scenario_Data!U195)*12.9898+(Inputs!$C$6)*78.233+Inputs!$C$47*37.719))*43758.5453)))-1))))/1000))*COS(SQRT((Scenario_Data!U195)^2+Inputs!$C$6^2)/Inputs!$C$52))*1000)/Inputs!$C$21*1000000</f>
        <v/>
      </c>
      <c r="AT195">
        <f>Scenario_Data!V195</f>
        <v/>
      </c>
      <c r="AU195">
        <f>2*(SQRT((Inputs!$C$52+(Scenario_Data!D195))^2+(Inputs!$C$52+((IF(OR(Inputs!$C$27=TRUE,Inputs!$C$27="TRUE",Inputs!$C$27=1),1,0)*(Inputs!$C$51*(115*EXP(-(((Inputs!$C$6)-25)^2)/(4.5^2))+70*EXP(-(((Inputs!$C$6)+38)^2)/(7^2))*(0.55+0.45*SIN(2*PI()*(Scenario_Data!V195)/45))+24*SIN(2*PI()*(Inputs!$C$6)/9+(Scenario_Data!V195)/18)*EXP(-(((Inputs!$C$6)+5)^2)/(22^2))+18*SIN(2*PI()*(Scenario_Data!V195)/70))+Inputs!$C$28*EXP(-(((Scenario_Data!V195)-Inputs!$C$29)^2)/(2*Inputs!$C$31^2))*EXP(-(((Inputs!$C$6)-Inputs!$C$30)^2)/(2*Inputs!$C$32^2))+-Inputs!$C$33*EXP(-(((((Scenario_Data!V195)-Inputs!$C$34)^2)+(((Inputs!$C$6)-Inputs!$C$35)^2))/(2*Inputs!$C$36^2)))+Inputs!$C$37*(0.55*SIN(2*PI()*(Scenario_Data!V195)/Inputs!$C$39)+0.35*COS(2*PI()*(Inputs!$C$6)/Inputs!$C$40)+0.2*SIN(2*PI()*((Scenario_Data!V195)+(Inputs!$C$6))/(0.5*(Inputs!$C$39+Inputs!$C$40))))+Inputs!$C$38*SIN(2*PI()*(Scenario_Data!V195)/Inputs!$C$39)*SIN(2*PI()*(Inputs!$C$6)/Inputs!$C$40)+-Inputs!$C$41*EXP(-(((Inputs!$C$6)-Inputs!$C$43)^2)/(2*Inputs!$C$44^2))*EXP(-(((Scenario_Data!V195)-Inputs!$C$42)^2)/(2*Inputs!$C$45^2))+Inputs!$C$48*(0.7*(0.45*SIN(2*PI()*(((Scenario_Data!V195)/Inputs!$C$49)+Inputs!$C$47*0.137))+0.35*COS(2*PI()*(((Inputs!$C$6)/Inputs!$C$50)+Inputs!$C$47*0.173))+0.2*SIN(2*PI()*((((Scenario_Data!V195)+(Inputs!$C$6))/(0.5*(Inputs!$C$49+Inputs!$C$50)))+Inputs!$C$47*0.097)))+0.3*(2*((SIN(((Scenario_Data!V195)*12.9898+(Inputs!$C$6)*78.233+Inputs!$C$47*37.719))*43758.5453)-INT((SIN(((Scenario_Data!V195)*12.9898+(Inputs!$C$6)*78.233+Inputs!$C$47*37.719))*43758.5453)))-1))))/1000))^2-2*(Inputs!$C$52+(Scenario_Data!D195))*(Inputs!$C$52+((IF(OR(Inputs!$C$27=TRUE,Inputs!$C$27="TRUE",Inputs!$C$27=1),1,0)*(Inputs!$C$51*(115*EXP(-(((Inputs!$C$6)-25)^2)/(4.5^2))+70*EXP(-(((Inputs!$C$6)+38)^2)/(7^2))*(0.55+0.45*SIN(2*PI()*(Scenario_Data!V195)/45))+24*SIN(2*PI()*(Inputs!$C$6)/9+(Scenario_Data!V195)/18)*EXP(-(((Inputs!$C$6)+5)^2)/(22^2))+18*SIN(2*PI()*(Scenario_Data!V195)/70))+Inputs!$C$28*EXP(-(((Scenario_Data!V195)-Inputs!$C$29)^2)/(2*Inputs!$C$31^2))*EXP(-(((Inputs!$C$6)-Inputs!$C$30)^2)/(2*Inputs!$C$32^2))+-Inputs!$C$33*EXP(-(((((Scenario_Data!V195)-Inputs!$C$34)^2)+(((Inputs!$C$6)-Inputs!$C$35)^2))/(2*Inputs!$C$36^2)))+Inputs!$C$37*(0.55*SIN(2*PI()*(Scenario_Data!V195)/Inputs!$C$39)+0.35*COS(2*PI()*(Inputs!$C$6)/Inputs!$C$40)+0.2*SIN(2*PI()*((Scenario_Data!V195)+(Inputs!$C$6))/(0.5*(Inputs!$C$39+Inputs!$C$40))))+Inputs!$C$38*SIN(2*PI()*(Scenario_Data!V195)/Inputs!$C$39)*SIN(2*PI()*(Inputs!$C$6)/Inputs!$C$40)+-Inputs!$C$41*EXP(-(((Inputs!$C$6)-Inputs!$C$43)^2)/(2*Inputs!$C$44^2))*EXP(-(((Scenario_Data!V195)-Inputs!$C$42)^2)/(2*Inputs!$C$45^2))+Inputs!$C$48*(0.7*(0.45*SIN(2*PI()*(((Scenario_Data!V195)/Inputs!$C$49)+Inputs!$C$47*0.137))+0.35*COS(2*PI()*(((Inputs!$C$6)/Inputs!$C$50)+Inputs!$C$47*0.173))+0.2*SIN(2*PI()*((((Scenario_Data!V195)+(Inputs!$C$6))/(0.5*(Inputs!$C$49+Inputs!$C$50)))+Inputs!$C$47*0.097)))+0.3*(2*((SIN(((Scenario_Data!V195)*12.9898+(Inputs!$C$6)*78.233+Inputs!$C$47*37.719))*43758.5453)-INT((SIN(((Scenario_Data!V195)*12.9898+(Inputs!$C$6)*78.233+Inputs!$C$47*37.719))*43758.5453)))-1))))/1000))*COS(SQRT((Scenario_Data!V195)^2+Inputs!$C$6^2)/Inputs!$C$52))*1000)/Inputs!$C$21*1000000</f>
        <v/>
      </c>
      <c r="AV195">
        <f>Scenario_Data!W195</f>
        <v/>
      </c>
      <c r="AW195">
        <f>2*(SQRT((Inputs!$C$52+(Scenario_Data!E195))^2+(Inputs!$C$52+((IF(OR(Inputs!$C$27=TRUE,Inputs!$C$27="TRUE",Inputs!$C$27=1),1,0)*(Inputs!$C$51*(115*EXP(-(((Inputs!$C$6)-25)^2)/(4.5^2))+70*EXP(-(((Inputs!$C$6)+38)^2)/(7^2))*(0.55+0.45*SIN(2*PI()*(Scenario_Data!W195)/45))+24*SIN(2*PI()*(Inputs!$C$6)/9+(Scenario_Data!W195)/18)*EXP(-(((Inputs!$C$6)+5)^2)/(22^2))+18*SIN(2*PI()*(Scenario_Data!W195)/70))+Inputs!$C$28*EXP(-(((Scenario_Data!W195)-Inputs!$C$29)^2)/(2*Inputs!$C$31^2))*EXP(-(((Inputs!$C$6)-Inputs!$C$30)^2)/(2*Inputs!$C$32^2))+-Inputs!$C$33*EXP(-(((((Scenario_Data!W195)-Inputs!$C$34)^2)+(((Inputs!$C$6)-Inputs!$C$35)^2))/(2*Inputs!$C$36^2)))+Inputs!$C$37*(0.55*SIN(2*PI()*(Scenario_Data!W195)/Inputs!$C$39)+0.35*COS(2*PI()*(Inputs!$C$6)/Inputs!$C$40)+0.2*SIN(2*PI()*((Scenario_Data!W195)+(Inputs!$C$6))/(0.5*(Inputs!$C$39+Inputs!$C$40))))+Inputs!$C$38*SIN(2*PI()*(Scenario_Data!W195)/Inputs!$C$39)*SIN(2*PI()*(Inputs!$C$6)/Inputs!$C$40)+-Inputs!$C$41*EXP(-(((Inputs!$C$6)-Inputs!$C$43)^2)/(2*Inputs!$C$44^2))*EXP(-(((Scenario_Data!W195)-Inputs!$C$42)^2)/(2*Inputs!$C$45^2))+Inputs!$C$48*(0.7*(0.45*SIN(2*PI()*(((Scenario_Data!W195)/Inputs!$C$49)+Inputs!$C$47*0.137))+0.35*COS(2*PI()*(((Inputs!$C$6)/Inputs!$C$50)+Inputs!$C$47*0.173))+0.2*SIN(2*PI()*((((Scenario_Data!W195)+(Inputs!$C$6))/(0.5*(Inputs!$C$49+Inputs!$C$50)))+Inputs!$C$47*0.097)))+0.3*(2*((SIN(((Scenario_Data!W195)*12.9898+(Inputs!$C$6)*78.233+Inputs!$C$47*37.719))*43758.5453)-INT((SIN(((Scenario_Data!W195)*12.9898+(Inputs!$C$6)*78.233+Inputs!$C$47*37.719))*43758.5453)))-1))))/1000))^2-2*(Inputs!$C$52+(Scenario_Data!E195))*(Inputs!$C$52+((IF(OR(Inputs!$C$27=TRUE,Inputs!$C$27="TRUE",Inputs!$C$27=1),1,0)*(Inputs!$C$51*(115*EXP(-(((Inputs!$C$6)-25)^2)/(4.5^2))+70*EXP(-(((Inputs!$C$6)+38)^2)/(7^2))*(0.55+0.45*SIN(2*PI()*(Scenario_Data!W195)/45))+24*SIN(2*PI()*(Inputs!$C$6)/9+(Scenario_Data!W195)/18)*EXP(-(((Inputs!$C$6)+5)^2)/(22^2))+18*SIN(2*PI()*(Scenario_Data!W195)/70))+Inputs!$C$28*EXP(-(((Scenario_Data!W195)-Inputs!$C$29)^2)/(2*Inputs!$C$31^2))*EXP(-(((Inputs!$C$6)-Inputs!$C$30)^2)/(2*Inputs!$C$32^2))+-Inputs!$C$33*EXP(-(((((Scenario_Data!W195)-Inputs!$C$34)^2)+(((Inputs!$C$6)-Inputs!$C$35)^2))/(2*Inputs!$C$36^2)))+Inputs!$C$37*(0.55*SIN(2*PI()*(Scenario_Data!W195)/Inputs!$C$39)+0.35*COS(2*PI()*(Inputs!$C$6)/Inputs!$C$40)+0.2*SIN(2*PI()*((Scenario_Data!W195)+(Inputs!$C$6))/(0.5*(Inputs!$C$39+Inputs!$C$40))))+Inputs!$C$38*SIN(2*PI()*(Scenario_Data!W195)/Inputs!$C$39)*SIN(2*PI()*(Inputs!$C$6)/Inputs!$C$40)+-Inputs!$C$41*EXP(-(((Inputs!$C$6)-Inputs!$C$43)^2)/(2*Inputs!$C$44^2))*EXP(-(((Scenario_Data!W195)-Inputs!$C$42)^2)/(2*Inputs!$C$45^2))+Inputs!$C$48*(0.7*(0.45*SIN(2*PI()*(((Scenario_Data!W195)/Inputs!$C$49)+Inputs!$C$47*0.137))+0.35*COS(2*PI()*(((Inputs!$C$6)/Inputs!$C$50)+Inputs!$C$47*0.173))+0.2*SIN(2*PI()*((((Scenario_Data!W195)+(Inputs!$C$6))/(0.5*(Inputs!$C$49+Inputs!$C$50)))+Inputs!$C$47*0.097)))+0.3*(2*((SIN(((Scenario_Data!W195)*12.9898+(Inputs!$C$6)*78.233+Inputs!$C$47*37.719))*43758.5453)-INT((SIN(((Scenario_Data!W195)*12.9898+(Inputs!$C$6)*78.233+Inputs!$C$47*37.719))*43758.5453)))-1))))/1000))*COS(SQRT((Scenario_Data!W195)^2+Inputs!$C$6^2)/Inputs!$C$52))*1000)/Inputs!$C$21*1000000</f>
        <v/>
      </c>
    </row>
    <row r="196">
      <c r="A196">
        <f>Chart_Data!K196</f>
        <v/>
      </c>
      <c r="B196">
        <f>Chart_Data!N196-Chart_Data!L196</f>
        <v/>
      </c>
      <c r="D196">
        <f>Chart_Data!G196</f>
        <v/>
      </c>
      <c r="E196">
        <f>Chart_Data!H196</f>
        <v/>
      </c>
      <c r="F196">
        <f>Chart_Data!I196</f>
        <v/>
      </c>
      <c r="G196">
        <f>Chart_Data!J196</f>
        <v/>
      </c>
      <c r="I196">
        <f>Scenario_Data!A196</f>
        <v/>
      </c>
      <c r="J196">
        <f>Scenario_Data!H196-(((SQRT((Inputs!$C$52+(Inputs!$H$6))^2+Inputs!$C$52^2-2*(Inputs!$C$52+(Inputs!$H$6))*Inputs!$C$52*COS(SQRT((Scenario_Data!T196)^2+Inputs!$C$6^2)/Inputs!$C$52)))-(Inputs!$H$6))*1000/Inputs!$C$12)</f>
        <v/>
      </c>
      <c r="K196">
        <f>Scenario_Data!I196-(((SQRT((Inputs!$C$52+(Inputs!$H$7))^2+Inputs!$C$52^2-2*(Inputs!$C$52+(Inputs!$H$7))*Inputs!$C$52*COS(SQRT((Scenario_Data!U196)^2+Inputs!$C$6^2)/Inputs!$C$52)))-(Inputs!$H$7))*1000/Inputs!$C$12)</f>
        <v/>
      </c>
      <c r="L196">
        <f>Scenario_Data!J196-(((SQRT((Inputs!$C$52+(Inputs!$H$8))^2+Inputs!$C$52^2-2*(Inputs!$C$52+(Inputs!$H$8))*Inputs!$C$52*COS(SQRT((Scenario_Data!V196)^2+Inputs!$C$6^2)/Inputs!$C$52)))-(Inputs!$H$8))*1000/Inputs!$C$12)</f>
        <v/>
      </c>
      <c r="M196">
        <f>Scenario_Data!K196-(((SQRT((Inputs!$C$52+(Inputs!$H$9))^2+Inputs!$C$52^2-2*(Inputs!$C$52+(Inputs!$H$9))*Inputs!$C$52*COS(SQRT((Scenario_Data!W196)^2+Inputs!$C$6^2)/Inputs!$C$52)))-(Inputs!$H$9))*1000/Inputs!$C$12)</f>
        <v/>
      </c>
      <c r="O196">
        <f>Scenario_Data!T196</f>
        <v/>
      </c>
      <c r="P196">
        <f>2*(Scenario_Data!B196*1000)/Inputs!$C$21*1000000</f>
        <v/>
      </c>
      <c r="Q196">
        <f>Scenario_Data!U196</f>
        <v/>
      </c>
      <c r="R196">
        <f>2*(Scenario_Data!C196*1000)/Inputs!$C$21*1000000</f>
        <v/>
      </c>
      <c r="S196">
        <f>Scenario_Data!V196</f>
        <v/>
      </c>
      <c r="T196">
        <f>2*(Scenario_Data!D196*1000)/Inputs!$C$21*1000000</f>
        <v/>
      </c>
      <c r="U196">
        <f>Scenario_Data!W196</f>
        <v/>
      </c>
      <c r="V196">
        <f>2*(Scenario_Data!E196*1000)/Inputs!$C$21*1000000</f>
        <v/>
      </c>
      <c r="X196">
        <f>Scenario_Data!T196</f>
        <v/>
      </c>
      <c r="Y196">
        <f>2*((Scenario_Data!B196*1000)-(IF(OR(Inputs!$C$27=TRUE,Inputs!$C$27="TRUE",Inputs!$C$27=1),1,0)*(Inputs!$C$51*(115*EXP(-(((0)-25)^2)/(4.5^2))+70*EXP(-(((0)+38)^2)/(7^2))*(0.55+0.45*SIN(2*PI()*(Scenario_Data!T196)/45))+24*SIN(2*PI()*(0)/9+(Scenario_Data!T196)/18)*EXP(-(((0)+5)^2)/(22^2))+18*SIN(2*PI()*(Scenario_Data!T196)/70))+Inputs!$C$28*EXP(-(((Scenario_Data!T196)-Inputs!$C$29)^2)/(2*Inputs!$C$31^2))*EXP(-(((0)-Inputs!$C$30)^2)/(2*Inputs!$C$32^2))+-Inputs!$C$33*EXP(-(((((Scenario_Data!T196)-Inputs!$C$34)^2)+(((0)-Inputs!$C$35)^2))/(2*Inputs!$C$36^2)))+Inputs!$C$37*(0.55*SIN(2*PI()*(Scenario_Data!T196)/Inputs!$C$39)+0.35*COS(2*PI()*(0)/Inputs!$C$40)+0.2*SIN(2*PI()*((Scenario_Data!T196)+(0))/(0.5*(Inputs!$C$39+Inputs!$C$40))))+Inputs!$C$38*SIN(2*PI()*(Scenario_Data!T196)/Inputs!$C$39)*SIN(2*PI()*(0)/Inputs!$C$40)+-Inputs!$C$41*EXP(-(((0)-Inputs!$C$43)^2)/(2*Inputs!$C$44^2))*EXP(-(((Scenario_Data!T196)-Inputs!$C$42)^2)/(2*Inputs!$C$45^2))+Inputs!$C$48*(0.7*(0.45*SIN(2*PI()*(((Scenario_Data!T196)/Inputs!$C$49)+Inputs!$C$47*0.137))+0.35*COS(2*PI()*(((0)/Inputs!$C$50)+Inputs!$C$47*0.173))+0.2*SIN(2*PI()*((((Scenario_Data!T196)+(0))/(0.5*(Inputs!$C$49+Inputs!$C$50)))+Inputs!$C$47*0.097)))+0.3*(2*((SIN(((Scenario_Data!T196)*12.9898+(0)*78.233+Inputs!$C$47*37.719))*43758.5453)-INT((SIN(((Scenario_Data!T196)*12.9898+(0)*78.233+Inputs!$C$47*37.719))*43758.5453)))-1)))))/Inputs!$C$21*1000000</f>
        <v/>
      </c>
      <c r="Z196">
        <f>Scenario_Data!U196</f>
        <v/>
      </c>
      <c r="AA196">
        <f>2*((Scenario_Data!C196*1000)-(IF(OR(Inputs!$C$27=TRUE,Inputs!$C$27="TRUE",Inputs!$C$27=1),1,0)*(Inputs!$C$51*(115*EXP(-(((0)-25)^2)/(4.5^2))+70*EXP(-(((0)+38)^2)/(7^2))*(0.55+0.45*SIN(2*PI()*(Scenario_Data!U196)/45))+24*SIN(2*PI()*(0)/9+(Scenario_Data!U196)/18)*EXP(-(((0)+5)^2)/(22^2))+18*SIN(2*PI()*(Scenario_Data!U196)/70))+Inputs!$C$28*EXP(-(((Scenario_Data!U196)-Inputs!$C$29)^2)/(2*Inputs!$C$31^2))*EXP(-(((0)-Inputs!$C$30)^2)/(2*Inputs!$C$32^2))+-Inputs!$C$33*EXP(-(((((Scenario_Data!U196)-Inputs!$C$34)^2)+(((0)-Inputs!$C$35)^2))/(2*Inputs!$C$36^2)))+Inputs!$C$37*(0.55*SIN(2*PI()*(Scenario_Data!U196)/Inputs!$C$39)+0.35*COS(2*PI()*(0)/Inputs!$C$40)+0.2*SIN(2*PI()*((Scenario_Data!U196)+(0))/(0.5*(Inputs!$C$39+Inputs!$C$40))))+Inputs!$C$38*SIN(2*PI()*(Scenario_Data!U196)/Inputs!$C$39)*SIN(2*PI()*(0)/Inputs!$C$40)+-Inputs!$C$41*EXP(-(((0)-Inputs!$C$43)^2)/(2*Inputs!$C$44^2))*EXP(-(((Scenario_Data!U196)-Inputs!$C$42)^2)/(2*Inputs!$C$45^2))+Inputs!$C$48*(0.7*(0.45*SIN(2*PI()*(((Scenario_Data!U196)/Inputs!$C$49)+Inputs!$C$47*0.137))+0.35*COS(2*PI()*(((0)/Inputs!$C$50)+Inputs!$C$47*0.173))+0.2*SIN(2*PI()*((((Scenario_Data!U196)+(0))/(0.5*(Inputs!$C$49+Inputs!$C$50)))+Inputs!$C$47*0.097)))+0.3*(2*((SIN(((Scenario_Data!U196)*12.9898+(0)*78.233+Inputs!$C$47*37.719))*43758.5453)-INT((SIN(((Scenario_Data!U196)*12.9898+(0)*78.233+Inputs!$C$47*37.719))*43758.5453)))-1)))))/Inputs!$C$21*1000000</f>
        <v/>
      </c>
      <c r="AB196">
        <f>Scenario_Data!V196</f>
        <v/>
      </c>
      <c r="AC196">
        <f>2*((Scenario_Data!D196*1000)-(IF(OR(Inputs!$C$27=TRUE,Inputs!$C$27="TRUE",Inputs!$C$27=1),1,0)*(Inputs!$C$51*(115*EXP(-(((0)-25)^2)/(4.5^2))+70*EXP(-(((0)+38)^2)/(7^2))*(0.55+0.45*SIN(2*PI()*(Scenario_Data!V196)/45))+24*SIN(2*PI()*(0)/9+(Scenario_Data!V196)/18)*EXP(-(((0)+5)^2)/(22^2))+18*SIN(2*PI()*(Scenario_Data!V196)/70))+Inputs!$C$28*EXP(-(((Scenario_Data!V196)-Inputs!$C$29)^2)/(2*Inputs!$C$31^2))*EXP(-(((0)-Inputs!$C$30)^2)/(2*Inputs!$C$32^2))+-Inputs!$C$33*EXP(-(((((Scenario_Data!V196)-Inputs!$C$34)^2)+(((0)-Inputs!$C$35)^2))/(2*Inputs!$C$36^2)))+Inputs!$C$37*(0.55*SIN(2*PI()*(Scenario_Data!V196)/Inputs!$C$39)+0.35*COS(2*PI()*(0)/Inputs!$C$40)+0.2*SIN(2*PI()*((Scenario_Data!V196)+(0))/(0.5*(Inputs!$C$39+Inputs!$C$40))))+Inputs!$C$38*SIN(2*PI()*(Scenario_Data!V196)/Inputs!$C$39)*SIN(2*PI()*(0)/Inputs!$C$40)+-Inputs!$C$41*EXP(-(((0)-Inputs!$C$43)^2)/(2*Inputs!$C$44^2))*EXP(-(((Scenario_Data!V196)-Inputs!$C$42)^2)/(2*Inputs!$C$45^2))+Inputs!$C$48*(0.7*(0.45*SIN(2*PI()*(((Scenario_Data!V196)/Inputs!$C$49)+Inputs!$C$47*0.137))+0.35*COS(2*PI()*(((0)/Inputs!$C$50)+Inputs!$C$47*0.173))+0.2*SIN(2*PI()*((((Scenario_Data!V196)+(0))/(0.5*(Inputs!$C$49+Inputs!$C$50)))+Inputs!$C$47*0.097)))+0.3*(2*((SIN(((Scenario_Data!V196)*12.9898+(0)*78.233+Inputs!$C$47*37.719))*43758.5453)-INT((SIN(((Scenario_Data!V196)*12.9898+(0)*78.233+Inputs!$C$47*37.719))*43758.5453)))-1)))))/Inputs!$C$21*1000000</f>
        <v/>
      </c>
      <c r="AD196">
        <f>Scenario_Data!W196</f>
        <v/>
      </c>
      <c r="AE196">
        <f>2*((Scenario_Data!E196*1000)-(IF(OR(Inputs!$C$27=TRUE,Inputs!$C$27="TRUE",Inputs!$C$27=1),1,0)*(Inputs!$C$51*(115*EXP(-(((0)-25)^2)/(4.5^2))+70*EXP(-(((0)+38)^2)/(7^2))*(0.55+0.45*SIN(2*PI()*(Scenario_Data!W196)/45))+24*SIN(2*PI()*(0)/9+(Scenario_Data!W196)/18)*EXP(-(((0)+5)^2)/(22^2))+18*SIN(2*PI()*(Scenario_Data!W196)/70))+Inputs!$C$28*EXP(-(((Scenario_Data!W196)-Inputs!$C$29)^2)/(2*Inputs!$C$31^2))*EXP(-(((0)-Inputs!$C$30)^2)/(2*Inputs!$C$32^2))+-Inputs!$C$33*EXP(-(((((Scenario_Data!W196)-Inputs!$C$34)^2)+(((0)-Inputs!$C$35)^2))/(2*Inputs!$C$36^2)))+Inputs!$C$37*(0.55*SIN(2*PI()*(Scenario_Data!W196)/Inputs!$C$39)+0.35*COS(2*PI()*(0)/Inputs!$C$40)+0.2*SIN(2*PI()*((Scenario_Data!W196)+(0))/(0.5*(Inputs!$C$39+Inputs!$C$40))))+Inputs!$C$38*SIN(2*PI()*(Scenario_Data!W196)/Inputs!$C$39)*SIN(2*PI()*(0)/Inputs!$C$40)+-Inputs!$C$41*EXP(-(((0)-Inputs!$C$43)^2)/(2*Inputs!$C$44^2))*EXP(-(((Scenario_Data!W196)-Inputs!$C$42)^2)/(2*Inputs!$C$45^2))+Inputs!$C$48*(0.7*(0.45*SIN(2*PI()*(((Scenario_Data!W196)/Inputs!$C$49)+Inputs!$C$47*0.137))+0.35*COS(2*PI()*(((0)/Inputs!$C$50)+Inputs!$C$47*0.173))+0.2*SIN(2*PI()*((((Scenario_Data!W196)+(0))/(0.5*(Inputs!$C$49+Inputs!$C$50)))+Inputs!$C$47*0.097)))+0.3*(2*((SIN(((Scenario_Data!W196)*12.9898+(0)*78.233+Inputs!$C$47*37.719))*43758.5453)-INT((SIN(((Scenario_Data!W196)*12.9898+(0)*78.233+Inputs!$C$47*37.719))*43758.5453)))-1)))))/Inputs!$C$21*1000000</f>
        <v/>
      </c>
      <c r="AG196">
        <f>Scenario_Data!T196</f>
        <v/>
      </c>
      <c r="AH196">
        <f>2*(SQRT((Inputs!$C$52+(Scenario_Data!B196))^2+Inputs!$C$52^2-2*(Inputs!$C$52+(Scenario_Data!B196))*Inputs!$C$52*COS(SQRT((Scenario_Data!T196)^2+Inputs!$C$6^2)/Inputs!$C$52))*1000)/Inputs!$C$21*1000000</f>
        <v/>
      </c>
      <c r="AI196">
        <f>Scenario_Data!U196</f>
        <v/>
      </c>
      <c r="AJ196">
        <f>2*(SQRT((Inputs!$C$52+(Scenario_Data!C196))^2+Inputs!$C$52^2-2*(Inputs!$C$52+(Scenario_Data!C196))*Inputs!$C$52*COS(SQRT((Scenario_Data!U196)^2+Inputs!$C$6^2)/Inputs!$C$52))*1000)/Inputs!$C$21*1000000</f>
        <v/>
      </c>
      <c r="AK196">
        <f>Scenario_Data!V196</f>
        <v/>
      </c>
      <c r="AL196">
        <f>2*(SQRT((Inputs!$C$52+(Scenario_Data!D196))^2+Inputs!$C$52^2-2*(Inputs!$C$52+(Scenario_Data!D196))*Inputs!$C$52*COS(SQRT((Scenario_Data!V196)^2+Inputs!$C$6^2)/Inputs!$C$52))*1000)/Inputs!$C$21*1000000</f>
        <v/>
      </c>
      <c r="AM196">
        <f>Scenario_Data!W196</f>
        <v/>
      </c>
      <c r="AN196">
        <f>2*(SQRT((Inputs!$C$52+(Scenario_Data!E196))^2+Inputs!$C$52^2-2*(Inputs!$C$52+(Scenario_Data!E196))*Inputs!$C$52*COS(SQRT((Scenario_Data!W196)^2+Inputs!$C$6^2)/Inputs!$C$52))*1000)/Inputs!$C$21*1000000</f>
        <v/>
      </c>
      <c r="AP196">
        <f>Scenario_Data!T196</f>
        <v/>
      </c>
      <c r="AQ196">
        <f>2*(SQRT((Inputs!$C$52+(Scenario_Data!B196))^2+(Inputs!$C$52+((IF(OR(Inputs!$C$27=TRUE,Inputs!$C$27="TRUE",Inputs!$C$27=1),1,0)*(Inputs!$C$51*(115*EXP(-(((Inputs!$C$6)-25)^2)/(4.5^2))+70*EXP(-(((Inputs!$C$6)+38)^2)/(7^2))*(0.55+0.45*SIN(2*PI()*(Scenario_Data!T196)/45))+24*SIN(2*PI()*(Inputs!$C$6)/9+(Scenario_Data!T196)/18)*EXP(-(((Inputs!$C$6)+5)^2)/(22^2))+18*SIN(2*PI()*(Scenario_Data!T196)/70))+Inputs!$C$28*EXP(-(((Scenario_Data!T196)-Inputs!$C$29)^2)/(2*Inputs!$C$31^2))*EXP(-(((Inputs!$C$6)-Inputs!$C$30)^2)/(2*Inputs!$C$32^2))+-Inputs!$C$33*EXP(-(((((Scenario_Data!T196)-Inputs!$C$34)^2)+(((Inputs!$C$6)-Inputs!$C$35)^2))/(2*Inputs!$C$36^2)))+Inputs!$C$37*(0.55*SIN(2*PI()*(Scenario_Data!T196)/Inputs!$C$39)+0.35*COS(2*PI()*(Inputs!$C$6)/Inputs!$C$40)+0.2*SIN(2*PI()*((Scenario_Data!T196)+(Inputs!$C$6))/(0.5*(Inputs!$C$39+Inputs!$C$40))))+Inputs!$C$38*SIN(2*PI()*(Scenario_Data!T196)/Inputs!$C$39)*SIN(2*PI()*(Inputs!$C$6)/Inputs!$C$40)+-Inputs!$C$41*EXP(-(((Inputs!$C$6)-Inputs!$C$43)^2)/(2*Inputs!$C$44^2))*EXP(-(((Scenario_Data!T196)-Inputs!$C$42)^2)/(2*Inputs!$C$45^2))+Inputs!$C$48*(0.7*(0.45*SIN(2*PI()*(((Scenario_Data!T196)/Inputs!$C$49)+Inputs!$C$47*0.137))+0.35*COS(2*PI()*(((Inputs!$C$6)/Inputs!$C$50)+Inputs!$C$47*0.173))+0.2*SIN(2*PI()*((((Scenario_Data!T196)+(Inputs!$C$6))/(0.5*(Inputs!$C$49+Inputs!$C$50)))+Inputs!$C$47*0.097)))+0.3*(2*((SIN(((Scenario_Data!T196)*12.9898+(Inputs!$C$6)*78.233+Inputs!$C$47*37.719))*43758.5453)-INT((SIN(((Scenario_Data!T196)*12.9898+(Inputs!$C$6)*78.233+Inputs!$C$47*37.719))*43758.5453)))-1))))/1000))^2-2*(Inputs!$C$52+(Scenario_Data!B196))*(Inputs!$C$52+((IF(OR(Inputs!$C$27=TRUE,Inputs!$C$27="TRUE",Inputs!$C$27=1),1,0)*(Inputs!$C$51*(115*EXP(-(((Inputs!$C$6)-25)^2)/(4.5^2))+70*EXP(-(((Inputs!$C$6)+38)^2)/(7^2))*(0.55+0.45*SIN(2*PI()*(Scenario_Data!T196)/45))+24*SIN(2*PI()*(Inputs!$C$6)/9+(Scenario_Data!T196)/18)*EXP(-(((Inputs!$C$6)+5)^2)/(22^2))+18*SIN(2*PI()*(Scenario_Data!T196)/70))+Inputs!$C$28*EXP(-(((Scenario_Data!T196)-Inputs!$C$29)^2)/(2*Inputs!$C$31^2))*EXP(-(((Inputs!$C$6)-Inputs!$C$30)^2)/(2*Inputs!$C$32^2))+-Inputs!$C$33*EXP(-(((((Scenario_Data!T196)-Inputs!$C$34)^2)+(((Inputs!$C$6)-Inputs!$C$35)^2))/(2*Inputs!$C$36^2)))+Inputs!$C$37*(0.55*SIN(2*PI()*(Scenario_Data!T196)/Inputs!$C$39)+0.35*COS(2*PI()*(Inputs!$C$6)/Inputs!$C$40)+0.2*SIN(2*PI()*((Scenario_Data!T196)+(Inputs!$C$6))/(0.5*(Inputs!$C$39+Inputs!$C$40))))+Inputs!$C$38*SIN(2*PI()*(Scenario_Data!T196)/Inputs!$C$39)*SIN(2*PI()*(Inputs!$C$6)/Inputs!$C$40)+-Inputs!$C$41*EXP(-(((Inputs!$C$6)-Inputs!$C$43)^2)/(2*Inputs!$C$44^2))*EXP(-(((Scenario_Data!T196)-Inputs!$C$42)^2)/(2*Inputs!$C$45^2))+Inputs!$C$48*(0.7*(0.45*SIN(2*PI()*(((Scenario_Data!T196)/Inputs!$C$49)+Inputs!$C$47*0.137))+0.35*COS(2*PI()*(((Inputs!$C$6)/Inputs!$C$50)+Inputs!$C$47*0.173))+0.2*SIN(2*PI()*((((Scenario_Data!T196)+(Inputs!$C$6))/(0.5*(Inputs!$C$49+Inputs!$C$50)))+Inputs!$C$47*0.097)))+0.3*(2*((SIN(((Scenario_Data!T196)*12.9898+(Inputs!$C$6)*78.233+Inputs!$C$47*37.719))*43758.5453)-INT((SIN(((Scenario_Data!T196)*12.9898+(Inputs!$C$6)*78.233+Inputs!$C$47*37.719))*43758.5453)))-1))))/1000))*COS(SQRT((Scenario_Data!T196)^2+Inputs!$C$6^2)/Inputs!$C$52))*1000)/Inputs!$C$21*1000000</f>
        <v/>
      </c>
      <c r="AR196">
        <f>Scenario_Data!U196</f>
        <v/>
      </c>
      <c r="AS196">
        <f>2*(SQRT((Inputs!$C$52+(Scenario_Data!C196))^2+(Inputs!$C$52+((IF(OR(Inputs!$C$27=TRUE,Inputs!$C$27="TRUE",Inputs!$C$27=1),1,0)*(Inputs!$C$51*(115*EXP(-(((Inputs!$C$6)-25)^2)/(4.5^2))+70*EXP(-(((Inputs!$C$6)+38)^2)/(7^2))*(0.55+0.45*SIN(2*PI()*(Scenario_Data!U196)/45))+24*SIN(2*PI()*(Inputs!$C$6)/9+(Scenario_Data!U196)/18)*EXP(-(((Inputs!$C$6)+5)^2)/(22^2))+18*SIN(2*PI()*(Scenario_Data!U196)/70))+Inputs!$C$28*EXP(-(((Scenario_Data!U196)-Inputs!$C$29)^2)/(2*Inputs!$C$31^2))*EXP(-(((Inputs!$C$6)-Inputs!$C$30)^2)/(2*Inputs!$C$32^2))+-Inputs!$C$33*EXP(-(((((Scenario_Data!U196)-Inputs!$C$34)^2)+(((Inputs!$C$6)-Inputs!$C$35)^2))/(2*Inputs!$C$36^2)))+Inputs!$C$37*(0.55*SIN(2*PI()*(Scenario_Data!U196)/Inputs!$C$39)+0.35*COS(2*PI()*(Inputs!$C$6)/Inputs!$C$40)+0.2*SIN(2*PI()*((Scenario_Data!U196)+(Inputs!$C$6))/(0.5*(Inputs!$C$39+Inputs!$C$40))))+Inputs!$C$38*SIN(2*PI()*(Scenario_Data!U196)/Inputs!$C$39)*SIN(2*PI()*(Inputs!$C$6)/Inputs!$C$40)+-Inputs!$C$41*EXP(-(((Inputs!$C$6)-Inputs!$C$43)^2)/(2*Inputs!$C$44^2))*EXP(-(((Scenario_Data!U196)-Inputs!$C$42)^2)/(2*Inputs!$C$45^2))+Inputs!$C$48*(0.7*(0.45*SIN(2*PI()*(((Scenario_Data!U196)/Inputs!$C$49)+Inputs!$C$47*0.137))+0.35*COS(2*PI()*(((Inputs!$C$6)/Inputs!$C$50)+Inputs!$C$47*0.173))+0.2*SIN(2*PI()*((((Scenario_Data!U196)+(Inputs!$C$6))/(0.5*(Inputs!$C$49+Inputs!$C$50)))+Inputs!$C$47*0.097)))+0.3*(2*((SIN(((Scenario_Data!U196)*12.9898+(Inputs!$C$6)*78.233+Inputs!$C$47*37.719))*43758.5453)-INT((SIN(((Scenario_Data!U196)*12.9898+(Inputs!$C$6)*78.233+Inputs!$C$47*37.719))*43758.5453)))-1))))/1000))^2-2*(Inputs!$C$52+(Scenario_Data!C196))*(Inputs!$C$52+((IF(OR(Inputs!$C$27=TRUE,Inputs!$C$27="TRUE",Inputs!$C$27=1),1,0)*(Inputs!$C$51*(115*EXP(-(((Inputs!$C$6)-25)^2)/(4.5^2))+70*EXP(-(((Inputs!$C$6)+38)^2)/(7^2))*(0.55+0.45*SIN(2*PI()*(Scenario_Data!U196)/45))+24*SIN(2*PI()*(Inputs!$C$6)/9+(Scenario_Data!U196)/18)*EXP(-(((Inputs!$C$6)+5)^2)/(22^2))+18*SIN(2*PI()*(Scenario_Data!U196)/70))+Inputs!$C$28*EXP(-(((Scenario_Data!U196)-Inputs!$C$29)^2)/(2*Inputs!$C$31^2))*EXP(-(((Inputs!$C$6)-Inputs!$C$30)^2)/(2*Inputs!$C$32^2))+-Inputs!$C$33*EXP(-(((((Scenario_Data!U196)-Inputs!$C$34)^2)+(((Inputs!$C$6)-Inputs!$C$35)^2))/(2*Inputs!$C$36^2)))+Inputs!$C$37*(0.55*SIN(2*PI()*(Scenario_Data!U196)/Inputs!$C$39)+0.35*COS(2*PI()*(Inputs!$C$6)/Inputs!$C$40)+0.2*SIN(2*PI()*((Scenario_Data!U196)+(Inputs!$C$6))/(0.5*(Inputs!$C$39+Inputs!$C$40))))+Inputs!$C$38*SIN(2*PI()*(Scenario_Data!U196)/Inputs!$C$39)*SIN(2*PI()*(Inputs!$C$6)/Inputs!$C$40)+-Inputs!$C$41*EXP(-(((Inputs!$C$6)-Inputs!$C$43)^2)/(2*Inputs!$C$44^2))*EXP(-(((Scenario_Data!U196)-Inputs!$C$42)^2)/(2*Inputs!$C$45^2))+Inputs!$C$48*(0.7*(0.45*SIN(2*PI()*(((Scenario_Data!U196)/Inputs!$C$49)+Inputs!$C$47*0.137))+0.35*COS(2*PI()*(((Inputs!$C$6)/Inputs!$C$50)+Inputs!$C$47*0.173))+0.2*SIN(2*PI()*((((Scenario_Data!U196)+(Inputs!$C$6))/(0.5*(Inputs!$C$49+Inputs!$C$50)))+Inputs!$C$47*0.097)))+0.3*(2*((SIN(((Scenario_Data!U196)*12.9898+(Inputs!$C$6)*78.233+Inputs!$C$47*37.719))*43758.5453)-INT((SIN(((Scenario_Data!U196)*12.9898+(Inputs!$C$6)*78.233+Inputs!$C$47*37.719))*43758.5453)))-1))))/1000))*COS(SQRT((Scenario_Data!U196)^2+Inputs!$C$6^2)/Inputs!$C$52))*1000)/Inputs!$C$21*1000000</f>
        <v/>
      </c>
      <c r="AT196">
        <f>Scenario_Data!V196</f>
        <v/>
      </c>
      <c r="AU196">
        <f>2*(SQRT((Inputs!$C$52+(Scenario_Data!D196))^2+(Inputs!$C$52+((IF(OR(Inputs!$C$27=TRUE,Inputs!$C$27="TRUE",Inputs!$C$27=1),1,0)*(Inputs!$C$51*(115*EXP(-(((Inputs!$C$6)-25)^2)/(4.5^2))+70*EXP(-(((Inputs!$C$6)+38)^2)/(7^2))*(0.55+0.45*SIN(2*PI()*(Scenario_Data!V196)/45))+24*SIN(2*PI()*(Inputs!$C$6)/9+(Scenario_Data!V196)/18)*EXP(-(((Inputs!$C$6)+5)^2)/(22^2))+18*SIN(2*PI()*(Scenario_Data!V196)/70))+Inputs!$C$28*EXP(-(((Scenario_Data!V196)-Inputs!$C$29)^2)/(2*Inputs!$C$31^2))*EXP(-(((Inputs!$C$6)-Inputs!$C$30)^2)/(2*Inputs!$C$32^2))+-Inputs!$C$33*EXP(-(((((Scenario_Data!V196)-Inputs!$C$34)^2)+(((Inputs!$C$6)-Inputs!$C$35)^2))/(2*Inputs!$C$36^2)))+Inputs!$C$37*(0.55*SIN(2*PI()*(Scenario_Data!V196)/Inputs!$C$39)+0.35*COS(2*PI()*(Inputs!$C$6)/Inputs!$C$40)+0.2*SIN(2*PI()*((Scenario_Data!V196)+(Inputs!$C$6))/(0.5*(Inputs!$C$39+Inputs!$C$40))))+Inputs!$C$38*SIN(2*PI()*(Scenario_Data!V196)/Inputs!$C$39)*SIN(2*PI()*(Inputs!$C$6)/Inputs!$C$40)+-Inputs!$C$41*EXP(-(((Inputs!$C$6)-Inputs!$C$43)^2)/(2*Inputs!$C$44^2))*EXP(-(((Scenario_Data!V196)-Inputs!$C$42)^2)/(2*Inputs!$C$45^2))+Inputs!$C$48*(0.7*(0.45*SIN(2*PI()*(((Scenario_Data!V196)/Inputs!$C$49)+Inputs!$C$47*0.137))+0.35*COS(2*PI()*(((Inputs!$C$6)/Inputs!$C$50)+Inputs!$C$47*0.173))+0.2*SIN(2*PI()*((((Scenario_Data!V196)+(Inputs!$C$6))/(0.5*(Inputs!$C$49+Inputs!$C$50)))+Inputs!$C$47*0.097)))+0.3*(2*((SIN(((Scenario_Data!V196)*12.9898+(Inputs!$C$6)*78.233+Inputs!$C$47*37.719))*43758.5453)-INT((SIN(((Scenario_Data!V196)*12.9898+(Inputs!$C$6)*78.233+Inputs!$C$47*37.719))*43758.5453)))-1))))/1000))^2-2*(Inputs!$C$52+(Scenario_Data!D196))*(Inputs!$C$52+((IF(OR(Inputs!$C$27=TRUE,Inputs!$C$27="TRUE",Inputs!$C$27=1),1,0)*(Inputs!$C$51*(115*EXP(-(((Inputs!$C$6)-25)^2)/(4.5^2))+70*EXP(-(((Inputs!$C$6)+38)^2)/(7^2))*(0.55+0.45*SIN(2*PI()*(Scenario_Data!V196)/45))+24*SIN(2*PI()*(Inputs!$C$6)/9+(Scenario_Data!V196)/18)*EXP(-(((Inputs!$C$6)+5)^2)/(22^2))+18*SIN(2*PI()*(Scenario_Data!V196)/70))+Inputs!$C$28*EXP(-(((Scenario_Data!V196)-Inputs!$C$29)^2)/(2*Inputs!$C$31^2))*EXP(-(((Inputs!$C$6)-Inputs!$C$30)^2)/(2*Inputs!$C$32^2))+-Inputs!$C$33*EXP(-(((((Scenario_Data!V196)-Inputs!$C$34)^2)+(((Inputs!$C$6)-Inputs!$C$35)^2))/(2*Inputs!$C$36^2)))+Inputs!$C$37*(0.55*SIN(2*PI()*(Scenario_Data!V196)/Inputs!$C$39)+0.35*COS(2*PI()*(Inputs!$C$6)/Inputs!$C$40)+0.2*SIN(2*PI()*((Scenario_Data!V196)+(Inputs!$C$6))/(0.5*(Inputs!$C$39+Inputs!$C$40))))+Inputs!$C$38*SIN(2*PI()*(Scenario_Data!V196)/Inputs!$C$39)*SIN(2*PI()*(Inputs!$C$6)/Inputs!$C$40)+-Inputs!$C$41*EXP(-(((Inputs!$C$6)-Inputs!$C$43)^2)/(2*Inputs!$C$44^2))*EXP(-(((Scenario_Data!V196)-Inputs!$C$42)^2)/(2*Inputs!$C$45^2))+Inputs!$C$48*(0.7*(0.45*SIN(2*PI()*(((Scenario_Data!V196)/Inputs!$C$49)+Inputs!$C$47*0.137))+0.35*COS(2*PI()*(((Inputs!$C$6)/Inputs!$C$50)+Inputs!$C$47*0.173))+0.2*SIN(2*PI()*((((Scenario_Data!V196)+(Inputs!$C$6))/(0.5*(Inputs!$C$49+Inputs!$C$50)))+Inputs!$C$47*0.097)))+0.3*(2*((SIN(((Scenario_Data!V196)*12.9898+(Inputs!$C$6)*78.233+Inputs!$C$47*37.719))*43758.5453)-INT((SIN(((Scenario_Data!V196)*12.9898+(Inputs!$C$6)*78.233+Inputs!$C$47*37.719))*43758.5453)))-1))))/1000))*COS(SQRT((Scenario_Data!V196)^2+Inputs!$C$6^2)/Inputs!$C$52))*1000)/Inputs!$C$21*1000000</f>
        <v/>
      </c>
      <c r="AV196">
        <f>Scenario_Data!W196</f>
        <v/>
      </c>
      <c r="AW196">
        <f>2*(SQRT((Inputs!$C$52+(Scenario_Data!E196))^2+(Inputs!$C$52+((IF(OR(Inputs!$C$27=TRUE,Inputs!$C$27="TRUE",Inputs!$C$27=1),1,0)*(Inputs!$C$51*(115*EXP(-(((Inputs!$C$6)-25)^2)/(4.5^2))+70*EXP(-(((Inputs!$C$6)+38)^2)/(7^2))*(0.55+0.45*SIN(2*PI()*(Scenario_Data!W196)/45))+24*SIN(2*PI()*(Inputs!$C$6)/9+(Scenario_Data!W196)/18)*EXP(-(((Inputs!$C$6)+5)^2)/(22^2))+18*SIN(2*PI()*(Scenario_Data!W196)/70))+Inputs!$C$28*EXP(-(((Scenario_Data!W196)-Inputs!$C$29)^2)/(2*Inputs!$C$31^2))*EXP(-(((Inputs!$C$6)-Inputs!$C$30)^2)/(2*Inputs!$C$32^2))+-Inputs!$C$33*EXP(-(((((Scenario_Data!W196)-Inputs!$C$34)^2)+(((Inputs!$C$6)-Inputs!$C$35)^2))/(2*Inputs!$C$36^2)))+Inputs!$C$37*(0.55*SIN(2*PI()*(Scenario_Data!W196)/Inputs!$C$39)+0.35*COS(2*PI()*(Inputs!$C$6)/Inputs!$C$40)+0.2*SIN(2*PI()*((Scenario_Data!W196)+(Inputs!$C$6))/(0.5*(Inputs!$C$39+Inputs!$C$40))))+Inputs!$C$38*SIN(2*PI()*(Scenario_Data!W196)/Inputs!$C$39)*SIN(2*PI()*(Inputs!$C$6)/Inputs!$C$40)+-Inputs!$C$41*EXP(-(((Inputs!$C$6)-Inputs!$C$43)^2)/(2*Inputs!$C$44^2))*EXP(-(((Scenario_Data!W196)-Inputs!$C$42)^2)/(2*Inputs!$C$45^2))+Inputs!$C$48*(0.7*(0.45*SIN(2*PI()*(((Scenario_Data!W196)/Inputs!$C$49)+Inputs!$C$47*0.137))+0.35*COS(2*PI()*(((Inputs!$C$6)/Inputs!$C$50)+Inputs!$C$47*0.173))+0.2*SIN(2*PI()*((((Scenario_Data!W196)+(Inputs!$C$6))/(0.5*(Inputs!$C$49+Inputs!$C$50)))+Inputs!$C$47*0.097)))+0.3*(2*((SIN(((Scenario_Data!W196)*12.9898+(Inputs!$C$6)*78.233+Inputs!$C$47*37.719))*43758.5453)-INT((SIN(((Scenario_Data!W196)*12.9898+(Inputs!$C$6)*78.233+Inputs!$C$47*37.719))*43758.5453)))-1))))/1000))^2-2*(Inputs!$C$52+(Scenario_Data!E196))*(Inputs!$C$52+((IF(OR(Inputs!$C$27=TRUE,Inputs!$C$27="TRUE",Inputs!$C$27=1),1,0)*(Inputs!$C$51*(115*EXP(-(((Inputs!$C$6)-25)^2)/(4.5^2))+70*EXP(-(((Inputs!$C$6)+38)^2)/(7^2))*(0.55+0.45*SIN(2*PI()*(Scenario_Data!W196)/45))+24*SIN(2*PI()*(Inputs!$C$6)/9+(Scenario_Data!W196)/18)*EXP(-(((Inputs!$C$6)+5)^2)/(22^2))+18*SIN(2*PI()*(Scenario_Data!W196)/70))+Inputs!$C$28*EXP(-(((Scenario_Data!W196)-Inputs!$C$29)^2)/(2*Inputs!$C$31^2))*EXP(-(((Inputs!$C$6)-Inputs!$C$30)^2)/(2*Inputs!$C$32^2))+-Inputs!$C$33*EXP(-(((((Scenario_Data!W196)-Inputs!$C$34)^2)+(((Inputs!$C$6)-Inputs!$C$35)^2))/(2*Inputs!$C$36^2)))+Inputs!$C$37*(0.55*SIN(2*PI()*(Scenario_Data!W196)/Inputs!$C$39)+0.35*COS(2*PI()*(Inputs!$C$6)/Inputs!$C$40)+0.2*SIN(2*PI()*((Scenario_Data!W196)+(Inputs!$C$6))/(0.5*(Inputs!$C$39+Inputs!$C$40))))+Inputs!$C$38*SIN(2*PI()*(Scenario_Data!W196)/Inputs!$C$39)*SIN(2*PI()*(Inputs!$C$6)/Inputs!$C$40)+-Inputs!$C$41*EXP(-(((Inputs!$C$6)-Inputs!$C$43)^2)/(2*Inputs!$C$44^2))*EXP(-(((Scenario_Data!W196)-Inputs!$C$42)^2)/(2*Inputs!$C$45^2))+Inputs!$C$48*(0.7*(0.45*SIN(2*PI()*(((Scenario_Data!W196)/Inputs!$C$49)+Inputs!$C$47*0.137))+0.35*COS(2*PI()*(((Inputs!$C$6)/Inputs!$C$50)+Inputs!$C$47*0.173))+0.2*SIN(2*PI()*((((Scenario_Data!W196)+(Inputs!$C$6))/(0.5*(Inputs!$C$49+Inputs!$C$50)))+Inputs!$C$47*0.097)))+0.3*(2*((SIN(((Scenario_Data!W196)*12.9898+(Inputs!$C$6)*78.233+Inputs!$C$47*37.719))*43758.5453)-INT((SIN(((Scenario_Data!W196)*12.9898+(Inputs!$C$6)*78.233+Inputs!$C$47*37.719))*43758.5453)))-1))))/1000))*COS(SQRT((Scenario_Data!W196)^2+Inputs!$C$6^2)/Inputs!$C$52))*1000)/Inputs!$C$21*1000000</f>
        <v/>
      </c>
    </row>
    <row r="197">
      <c r="A197">
        <f>Chart_Data!K197</f>
        <v/>
      </c>
      <c r="B197">
        <f>Chart_Data!N197-Chart_Data!L197</f>
        <v/>
      </c>
      <c r="D197">
        <f>Chart_Data!G197</f>
        <v/>
      </c>
      <c r="E197">
        <f>Chart_Data!H197</f>
        <v/>
      </c>
      <c r="F197">
        <f>Chart_Data!I197</f>
        <v/>
      </c>
      <c r="G197">
        <f>Chart_Data!J197</f>
        <v/>
      </c>
      <c r="I197">
        <f>Scenario_Data!A197</f>
        <v/>
      </c>
      <c r="J197">
        <f>Scenario_Data!H197-(((SQRT((Inputs!$C$52+(Inputs!$H$6))^2+Inputs!$C$52^2-2*(Inputs!$C$52+(Inputs!$H$6))*Inputs!$C$52*COS(SQRT((Scenario_Data!T197)^2+Inputs!$C$6^2)/Inputs!$C$52)))-(Inputs!$H$6))*1000/Inputs!$C$12)</f>
        <v/>
      </c>
      <c r="K197">
        <f>Scenario_Data!I197-(((SQRT((Inputs!$C$52+(Inputs!$H$7))^2+Inputs!$C$52^2-2*(Inputs!$C$52+(Inputs!$H$7))*Inputs!$C$52*COS(SQRT((Scenario_Data!U197)^2+Inputs!$C$6^2)/Inputs!$C$52)))-(Inputs!$H$7))*1000/Inputs!$C$12)</f>
        <v/>
      </c>
      <c r="L197">
        <f>Scenario_Data!J197-(((SQRT((Inputs!$C$52+(Inputs!$H$8))^2+Inputs!$C$52^2-2*(Inputs!$C$52+(Inputs!$H$8))*Inputs!$C$52*COS(SQRT((Scenario_Data!V197)^2+Inputs!$C$6^2)/Inputs!$C$52)))-(Inputs!$H$8))*1000/Inputs!$C$12)</f>
        <v/>
      </c>
      <c r="M197">
        <f>Scenario_Data!K197-(((SQRT((Inputs!$C$52+(Inputs!$H$9))^2+Inputs!$C$52^2-2*(Inputs!$C$52+(Inputs!$H$9))*Inputs!$C$52*COS(SQRT((Scenario_Data!W197)^2+Inputs!$C$6^2)/Inputs!$C$52)))-(Inputs!$H$9))*1000/Inputs!$C$12)</f>
        <v/>
      </c>
      <c r="O197">
        <f>Scenario_Data!T197</f>
        <v/>
      </c>
      <c r="P197">
        <f>2*(Scenario_Data!B197*1000)/Inputs!$C$21*1000000</f>
        <v/>
      </c>
      <c r="Q197">
        <f>Scenario_Data!U197</f>
        <v/>
      </c>
      <c r="R197">
        <f>2*(Scenario_Data!C197*1000)/Inputs!$C$21*1000000</f>
        <v/>
      </c>
      <c r="S197">
        <f>Scenario_Data!V197</f>
        <v/>
      </c>
      <c r="T197">
        <f>2*(Scenario_Data!D197*1000)/Inputs!$C$21*1000000</f>
        <v/>
      </c>
      <c r="U197">
        <f>Scenario_Data!W197</f>
        <v/>
      </c>
      <c r="V197">
        <f>2*(Scenario_Data!E197*1000)/Inputs!$C$21*1000000</f>
        <v/>
      </c>
      <c r="X197">
        <f>Scenario_Data!T197</f>
        <v/>
      </c>
      <c r="Y197">
        <f>2*((Scenario_Data!B197*1000)-(IF(OR(Inputs!$C$27=TRUE,Inputs!$C$27="TRUE",Inputs!$C$27=1),1,0)*(Inputs!$C$51*(115*EXP(-(((0)-25)^2)/(4.5^2))+70*EXP(-(((0)+38)^2)/(7^2))*(0.55+0.45*SIN(2*PI()*(Scenario_Data!T197)/45))+24*SIN(2*PI()*(0)/9+(Scenario_Data!T197)/18)*EXP(-(((0)+5)^2)/(22^2))+18*SIN(2*PI()*(Scenario_Data!T197)/70))+Inputs!$C$28*EXP(-(((Scenario_Data!T197)-Inputs!$C$29)^2)/(2*Inputs!$C$31^2))*EXP(-(((0)-Inputs!$C$30)^2)/(2*Inputs!$C$32^2))+-Inputs!$C$33*EXP(-(((((Scenario_Data!T197)-Inputs!$C$34)^2)+(((0)-Inputs!$C$35)^2))/(2*Inputs!$C$36^2)))+Inputs!$C$37*(0.55*SIN(2*PI()*(Scenario_Data!T197)/Inputs!$C$39)+0.35*COS(2*PI()*(0)/Inputs!$C$40)+0.2*SIN(2*PI()*((Scenario_Data!T197)+(0))/(0.5*(Inputs!$C$39+Inputs!$C$40))))+Inputs!$C$38*SIN(2*PI()*(Scenario_Data!T197)/Inputs!$C$39)*SIN(2*PI()*(0)/Inputs!$C$40)+-Inputs!$C$41*EXP(-(((0)-Inputs!$C$43)^2)/(2*Inputs!$C$44^2))*EXP(-(((Scenario_Data!T197)-Inputs!$C$42)^2)/(2*Inputs!$C$45^2))+Inputs!$C$48*(0.7*(0.45*SIN(2*PI()*(((Scenario_Data!T197)/Inputs!$C$49)+Inputs!$C$47*0.137))+0.35*COS(2*PI()*(((0)/Inputs!$C$50)+Inputs!$C$47*0.173))+0.2*SIN(2*PI()*((((Scenario_Data!T197)+(0))/(0.5*(Inputs!$C$49+Inputs!$C$50)))+Inputs!$C$47*0.097)))+0.3*(2*((SIN(((Scenario_Data!T197)*12.9898+(0)*78.233+Inputs!$C$47*37.719))*43758.5453)-INT((SIN(((Scenario_Data!T197)*12.9898+(0)*78.233+Inputs!$C$47*37.719))*43758.5453)))-1)))))/Inputs!$C$21*1000000</f>
        <v/>
      </c>
      <c r="Z197">
        <f>Scenario_Data!U197</f>
        <v/>
      </c>
      <c r="AA197">
        <f>2*((Scenario_Data!C197*1000)-(IF(OR(Inputs!$C$27=TRUE,Inputs!$C$27="TRUE",Inputs!$C$27=1),1,0)*(Inputs!$C$51*(115*EXP(-(((0)-25)^2)/(4.5^2))+70*EXP(-(((0)+38)^2)/(7^2))*(0.55+0.45*SIN(2*PI()*(Scenario_Data!U197)/45))+24*SIN(2*PI()*(0)/9+(Scenario_Data!U197)/18)*EXP(-(((0)+5)^2)/(22^2))+18*SIN(2*PI()*(Scenario_Data!U197)/70))+Inputs!$C$28*EXP(-(((Scenario_Data!U197)-Inputs!$C$29)^2)/(2*Inputs!$C$31^2))*EXP(-(((0)-Inputs!$C$30)^2)/(2*Inputs!$C$32^2))+-Inputs!$C$33*EXP(-(((((Scenario_Data!U197)-Inputs!$C$34)^2)+(((0)-Inputs!$C$35)^2))/(2*Inputs!$C$36^2)))+Inputs!$C$37*(0.55*SIN(2*PI()*(Scenario_Data!U197)/Inputs!$C$39)+0.35*COS(2*PI()*(0)/Inputs!$C$40)+0.2*SIN(2*PI()*((Scenario_Data!U197)+(0))/(0.5*(Inputs!$C$39+Inputs!$C$40))))+Inputs!$C$38*SIN(2*PI()*(Scenario_Data!U197)/Inputs!$C$39)*SIN(2*PI()*(0)/Inputs!$C$40)+-Inputs!$C$41*EXP(-(((0)-Inputs!$C$43)^2)/(2*Inputs!$C$44^2))*EXP(-(((Scenario_Data!U197)-Inputs!$C$42)^2)/(2*Inputs!$C$45^2))+Inputs!$C$48*(0.7*(0.45*SIN(2*PI()*(((Scenario_Data!U197)/Inputs!$C$49)+Inputs!$C$47*0.137))+0.35*COS(2*PI()*(((0)/Inputs!$C$50)+Inputs!$C$47*0.173))+0.2*SIN(2*PI()*((((Scenario_Data!U197)+(0))/(0.5*(Inputs!$C$49+Inputs!$C$50)))+Inputs!$C$47*0.097)))+0.3*(2*((SIN(((Scenario_Data!U197)*12.9898+(0)*78.233+Inputs!$C$47*37.719))*43758.5453)-INT((SIN(((Scenario_Data!U197)*12.9898+(0)*78.233+Inputs!$C$47*37.719))*43758.5453)))-1)))))/Inputs!$C$21*1000000</f>
        <v/>
      </c>
      <c r="AB197">
        <f>Scenario_Data!V197</f>
        <v/>
      </c>
      <c r="AC197">
        <f>2*((Scenario_Data!D197*1000)-(IF(OR(Inputs!$C$27=TRUE,Inputs!$C$27="TRUE",Inputs!$C$27=1),1,0)*(Inputs!$C$51*(115*EXP(-(((0)-25)^2)/(4.5^2))+70*EXP(-(((0)+38)^2)/(7^2))*(0.55+0.45*SIN(2*PI()*(Scenario_Data!V197)/45))+24*SIN(2*PI()*(0)/9+(Scenario_Data!V197)/18)*EXP(-(((0)+5)^2)/(22^2))+18*SIN(2*PI()*(Scenario_Data!V197)/70))+Inputs!$C$28*EXP(-(((Scenario_Data!V197)-Inputs!$C$29)^2)/(2*Inputs!$C$31^2))*EXP(-(((0)-Inputs!$C$30)^2)/(2*Inputs!$C$32^2))+-Inputs!$C$33*EXP(-(((((Scenario_Data!V197)-Inputs!$C$34)^2)+(((0)-Inputs!$C$35)^2))/(2*Inputs!$C$36^2)))+Inputs!$C$37*(0.55*SIN(2*PI()*(Scenario_Data!V197)/Inputs!$C$39)+0.35*COS(2*PI()*(0)/Inputs!$C$40)+0.2*SIN(2*PI()*((Scenario_Data!V197)+(0))/(0.5*(Inputs!$C$39+Inputs!$C$40))))+Inputs!$C$38*SIN(2*PI()*(Scenario_Data!V197)/Inputs!$C$39)*SIN(2*PI()*(0)/Inputs!$C$40)+-Inputs!$C$41*EXP(-(((0)-Inputs!$C$43)^2)/(2*Inputs!$C$44^2))*EXP(-(((Scenario_Data!V197)-Inputs!$C$42)^2)/(2*Inputs!$C$45^2))+Inputs!$C$48*(0.7*(0.45*SIN(2*PI()*(((Scenario_Data!V197)/Inputs!$C$49)+Inputs!$C$47*0.137))+0.35*COS(2*PI()*(((0)/Inputs!$C$50)+Inputs!$C$47*0.173))+0.2*SIN(2*PI()*((((Scenario_Data!V197)+(0))/(0.5*(Inputs!$C$49+Inputs!$C$50)))+Inputs!$C$47*0.097)))+0.3*(2*((SIN(((Scenario_Data!V197)*12.9898+(0)*78.233+Inputs!$C$47*37.719))*43758.5453)-INT((SIN(((Scenario_Data!V197)*12.9898+(0)*78.233+Inputs!$C$47*37.719))*43758.5453)))-1)))))/Inputs!$C$21*1000000</f>
        <v/>
      </c>
      <c r="AD197">
        <f>Scenario_Data!W197</f>
        <v/>
      </c>
      <c r="AE197">
        <f>2*((Scenario_Data!E197*1000)-(IF(OR(Inputs!$C$27=TRUE,Inputs!$C$27="TRUE",Inputs!$C$27=1),1,0)*(Inputs!$C$51*(115*EXP(-(((0)-25)^2)/(4.5^2))+70*EXP(-(((0)+38)^2)/(7^2))*(0.55+0.45*SIN(2*PI()*(Scenario_Data!W197)/45))+24*SIN(2*PI()*(0)/9+(Scenario_Data!W197)/18)*EXP(-(((0)+5)^2)/(22^2))+18*SIN(2*PI()*(Scenario_Data!W197)/70))+Inputs!$C$28*EXP(-(((Scenario_Data!W197)-Inputs!$C$29)^2)/(2*Inputs!$C$31^2))*EXP(-(((0)-Inputs!$C$30)^2)/(2*Inputs!$C$32^2))+-Inputs!$C$33*EXP(-(((((Scenario_Data!W197)-Inputs!$C$34)^2)+(((0)-Inputs!$C$35)^2))/(2*Inputs!$C$36^2)))+Inputs!$C$37*(0.55*SIN(2*PI()*(Scenario_Data!W197)/Inputs!$C$39)+0.35*COS(2*PI()*(0)/Inputs!$C$40)+0.2*SIN(2*PI()*((Scenario_Data!W197)+(0))/(0.5*(Inputs!$C$39+Inputs!$C$40))))+Inputs!$C$38*SIN(2*PI()*(Scenario_Data!W197)/Inputs!$C$39)*SIN(2*PI()*(0)/Inputs!$C$40)+-Inputs!$C$41*EXP(-(((0)-Inputs!$C$43)^2)/(2*Inputs!$C$44^2))*EXP(-(((Scenario_Data!W197)-Inputs!$C$42)^2)/(2*Inputs!$C$45^2))+Inputs!$C$48*(0.7*(0.45*SIN(2*PI()*(((Scenario_Data!W197)/Inputs!$C$49)+Inputs!$C$47*0.137))+0.35*COS(2*PI()*(((0)/Inputs!$C$50)+Inputs!$C$47*0.173))+0.2*SIN(2*PI()*((((Scenario_Data!W197)+(0))/(0.5*(Inputs!$C$49+Inputs!$C$50)))+Inputs!$C$47*0.097)))+0.3*(2*((SIN(((Scenario_Data!W197)*12.9898+(0)*78.233+Inputs!$C$47*37.719))*43758.5453)-INT((SIN(((Scenario_Data!W197)*12.9898+(0)*78.233+Inputs!$C$47*37.719))*43758.5453)))-1)))))/Inputs!$C$21*1000000</f>
        <v/>
      </c>
      <c r="AG197">
        <f>Scenario_Data!T197</f>
        <v/>
      </c>
      <c r="AH197">
        <f>2*(SQRT((Inputs!$C$52+(Scenario_Data!B197))^2+Inputs!$C$52^2-2*(Inputs!$C$52+(Scenario_Data!B197))*Inputs!$C$52*COS(SQRT((Scenario_Data!T197)^2+Inputs!$C$6^2)/Inputs!$C$52))*1000)/Inputs!$C$21*1000000</f>
        <v/>
      </c>
      <c r="AI197">
        <f>Scenario_Data!U197</f>
        <v/>
      </c>
      <c r="AJ197">
        <f>2*(SQRT((Inputs!$C$52+(Scenario_Data!C197))^2+Inputs!$C$52^2-2*(Inputs!$C$52+(Scenario_Data!C197))*Inputs!$C$52*COS(SQRT((Scenario_Data!U197)^2+Inputs!$C$6^2)/Inputs!$C$52))*1000)/Inputs!$C$21*1000000</f>
        <v/>
      </c>
      <c r="AK197">
        <f>Scenario_Data!V197</f>
        <v/>
      </c>
      <c r="AL197">
        <f>2*(SQRT((Inputs!$C$52+(Scenario_Data!D197))^2+Inputs!$C$52^2-2*(Inputs!$C$52+(Scenario_Data!D197))*Inputs!$C$52*COS(SQRT((Scenario_Data!V197)^2+Inputs!$C$6^2)/Inputs!$C$52))*1000)/Inputs!$C$21*1000000</f>
        <v/>
      </c>
      <c r="AM197">
        <f>Scenario_Data!W197</f>
        <v/>
      </c>
      <c r="AN197">
        <f>2*(SQRT((Inputs!$C$52+(Scenario_Data!E197))^2+Inputs!$C$52^2-2*(Inputs!$C$52+(Scenario_Data!E197))*Inputs!$C$52*COS(SQRT((Scenario_Data!W197)^2+Inputs!$C$6^2)/Inputs!$C$52))*1000)/Inputs!$C$21*1000000</f>
        <v/>
      </c>
      <c r="AP197">
        <f>Scenario_Data!T197</f>
        <v/>
      </c>
      <c r="AQ197">
        <f>2*(SQRT((Inputs!$C$52+(Scenario_Data!B197))^2+(Inputs!$C$52+((IF(OR(Inputs!$C$27=TRUE,Inputs!$C$27="TRUE",Inputs!$C$27=1),1,0)*(Inputs!$C$51*(115*EXP(-(((Inputs!$C$6)-25)^2)/(4.5^2))+70*EXP(-(((Inputs!$C$6)+38)^2)/(7^2))*(0.55+0.45*SIN(2*PI()*(Scenario_Data!T197)/45))+24*SIN(2*PI()*(Inputs!$C$6)/9+(Scenario_Data!T197)/18)*EXP(-(((Inputs!$C$6)+5)^2)/(22^2))+18*SIN(2*PI()*(Scenario_Data!T197)/70))+Inputs!$C$28*EXP(-(((Scenario_Data!T197)-Inputs!$C$29)^2)/(2*Inputs!$C$31^2))*EXP(-(((Inputs!$C$6)-Inputs!$C$30)^2)/(2*Inputs!$C$32^2))+-Inputs!$C$33*EXP(-(((((Scenario_Data!T197)-Inputs!$C$34)^2)+(((Inputs!$C$6)-Inputs!$C$35)^2))/(2*Inputs!$C$36^2)))+Inputs!$C$37*(0.55*SIN(2*PI()*(Scenario_Data!T197)/Inputs!$C$39)+0.35*COS(2*PI()*(Inputs!$C$6)/Inputs!$C$40)+0.2*SIN(2*PI()*((Scenario_Data!T197)+(Inputs!$C$6))/(0.5*(Inputs!$C$39+Inputs!$C$40))))+Inputs!$C$38*SIN(2*PI()*(Scenario_Data!T197)/Inputs!$C$39)*SIN(2*PI()*(Inputs!$C$6)/Inputs!$C$40)+-Inputs!$C$41*EXP(-(((Inputs!$C$6)-Inputs!$C$43)^2)/(2*Inputs!$C$44^2))*EXP(-(((Scenario_Data!T197)-Inputs!$C$42)^2)/(2*Inputs!$C$45^2))+Inputs!$C$48*(0.7*(0.45*SIN(2*PI()*(((Scenario_Data!T197)/Inputs!$C$49)+Inputs!$C$47*0.137))+0.35*COS(2*PI()*(((Inputs!$C$6)/Inputs!$C$50)+Inputs!$C$47*0.173))+0.2*SIN(2*PI()*((((Scenario_Data!T197)+(Inputs!$C$6))/(0.5*(Inputs!$C$49+Inputs!$C$50)))+Inputs!$C$47*0.097)))+0.3*(2*((SIN(((Scenario_Data!T197)*12.9898+(Inputs!$C$6)*78.233+Inputs!$C$47*37.719))*43758.5453)-INT((SIN(((Scenario_Data!T197)*12.9898+(Inputs!$C$6)*78.233+Inputs!$C$47*37.719))*43758.5453)))-1))))/1000))^2-2*(Inputs!$C$52+(Scenario_Data!B197))*(Inputs!$C$52+((IF(OR(Inputs!$C$27=TRUE,Inputs!$C$27="TRUE",Inputs!$C$27=1),1,0)*(Inputs!$C$51*(115*EXP(-(((Inputs!$C$6)-25)^2)/(4.5^2))+70*EXP(-(((Inputs!$C$6)+38)^2)/(7^2))*(0.55+0.45*SIN(2*PI()*(Scenario_Data!T197)/45))+24*SIN(2*PI()*(Inputs!$C$6)/9+(Scenario_Data!T197)/18)*EXP(-(((Inputs!$C$6)+5)^2)/(22^2))+18*SIN(2*PI()*(Scenario_Data!T197)/70))+Inputs!$C$28*EXP(-(((Scenario_Data!T197)-Inputs!$C$29)^2)/(2*Inputs!$C$31^2))*EXP(-(((Inputs!$C$6)-Inputs!$C$30)^2)/(2*Inputs!$C$32^2))+-Inputs!$C$33*EXP(-(((((Scenario_Data!T197)-Inputs!$C$34)^2)+(((Inputs!$C$6)-Inputs!$C$35)^2))/(2*Inputs!$C$36^2)))+Inputs!$C$37*(0.55*SIN(2*PI()*(Scenario_Data!T197)/Inputs!$C$39)+0.35*COS(2*PI()*(Inputs!$C$6)/Inputs!$C$40)+0.2*SIN(2*PI()*((Scenario_Data!T197)+(Inputs!$C$6))/(0.5*(Inputs!$C$39+Inputs!$C$40))))+Inputs!$C$38*SIN(2*PI()*(Scenario_Data!T197)/Inputs!$C$39)*SIN(2*PI()*(Inputs!$C$6)/Inputs!$C$40)+-Inputs!$C$41*EXP(-(((Inputs!$C$6)-Inputs!$C$43)^2)/(2*Inputs!$C$44^2))*EXP(-(((Scenario_Data!T197)-Inputs!$C$42)^2)/(2*Inputs!$C$45^2))+Inputs!$C$48*(0.7*(0.45*SIN(2*PI()*(((Scenario_Data!T197)/Inputs!$C$49)+Inputs!$C$47*0.137))+0.35*COS(2*PI()*(((Inputs!$C$6)/Inputs!$C$50)+Inputs!$C$47*0.173))+0.2*SIN(2*PI()*((((Scenario_Data!T197)+(Inputs!$C$6))/(0.5*(Inputs!$C$49+Inputs!$C$50)))+Inputs!$C$47*0.097)))+0.3*(2*((SIN(((Scenario_Data!T197)*12.9898+(Inputs!$C$6)*78.233+Inputs!$C$47*37.719))*43758.5453)-INT((SIN(((Scenario_Data!T197)*12.9898+(Inputs!$C$6)*78.233+Inputs!$C$47*37.719))*43758.5453)))-1))))/1000))*COS(SQRT((Scenario_Data!T197)^2+Inputs!$C$6^2)/Inputs!$C$52))*1000)/Inputs!$C$21*1000000</f>
        <v/>
      </c>
      <c r="AR197">
        <f>Scenario_Data!U197</f>
        <v/>
      </c>
      <c r="AS197">
        <f>2*(SQRT((Inputs!$C$52+(Scenario_Data!C197))^2+(Inputs!$C$52+((IF(OR(Inputs!$C$27=TRUE,Inputs!$C$27="TRUE",Inputs!$C$27=1),1,0)*(Inputs!$C$51*(115*EXP(-(((Inputs!$C$6)-25)^2)/(4.5^2))+70*EXP(-(((Inputs!$C$6)+38)^2)/(7^2))*(0.55+0.45*SIN(2*PI()*(Scenario_Data!U197)/45))+24*SIN(2*PI()*(Inputs!$C$6)/9+(Scenario_Data!U197)/18)*EXP(-(((Inputs!$C$6)+5)^2)/(22^2))+18*SIN(2*PI()*(Scenario_Data!U197)/70))+Inputs!$C$28*EXP(-(((Scenario_Data!U197)-Inputs!$C$29)^2)/(2*Inputs!$C$31^2))*EXP(-(((Inputs!$C$6)-Inputs!$C$30)^2)/(2*Inputs!$C$32^2))+-Inputs!$C$33*EXP(-(((((Scenario_Data!U197)-Inputs!$C$34)^2)+(((Inputs!$C$6)-Inputs!$C$35)^2))/(2*Inputs!$C$36^2)))+Inputs!$C$37*(0.55*SIN(2*PI()*(Scenario_Data!U197)/Inputs!$C$39)+0.35*COS(2*PI()*(Inputs!$C$6)/Inputs!$C$40)+0.2*SIN(2*PI()*((Scenario_Data!U197)+(Inputs!$C$6))/(0.5*(Inputs!$C$39+Inputs!$C$40))))+Inputs!$C$38*SIN(2*PI()*(Scenario_Data!U197)/Inputs!$C$39)*SIN(2*PI()*(Inputs!$C$6)/Inputs!$C$40)+-Inputs!$C$41*EXP(-(((Inputs!$C$6)-Inputs!$C$43)^2)/(2*Inputs!$C$44^2))*EXP(-(((Scenario_Data!U197)-Inputs!$C$42)^2)/(2*Inputs!$C$45^2))+Inputs!$C$48*(0.7*(0.45*SIN(2*PI()*(((Scenario_Data!U197)/Inputs!$C$49)+Inputs!$C$47*0.137))+0.35*COS(2*PI()*(((Inputs!$C$6)/Inputs!$C$50)+Inputs!$C$47*0.173))+0.2*SIN(2*PI()*((((Scenario_Data!U197)+(Inputs!$C$6))/(0.5*(Inputs!$C$49+Inputs!$C$50)))+Inputs!$C$47*0.097)))+0.3*(2*((SIN(((Scenario_Data!U197)*12.9898+(Inputs!$C$6)*78.233+Inputs!$C$47*37.719))*43758.5453)-INT((SIN(((Scenario_Data!U197)*12.9898+(Inputs!$C$6)*78.233+Inputs!$C$47*37.719))*43758.5453)))-1))))/1000))^2-2*(Inputs!$C$52+(Scenario_Data!C197))*(Inputs!$C$52+((IF(OR(Inputs!$C$27=TRUE,Inputs!$C$27="TRUE",Inputs!$C$27=1),1,0)*(Inputs!$C$51*(115*EXP(-(((Inputs!$C$6)-25)^2)/(4.5^2))+70*EXP(-(((Inputs!$C$6)+38)^2)/(7^2))*(0.55+0.45*SIN(2*PI()*(Scenario_Data!U197)/45))+24*SIN(2*PI()*(Inputs!$C$6)/9+(Scenario_Data!U197)/18)*EXP(-(((Inputs!$C$6)+5)^2)/(22^2))+18*SIN(2*PI()*(Scenario_Data!U197)/70))+Inputs!$C$28*EXP(-(((Scenario_Data!U197)-Inputs!$C$29)^2)/(2*Inputs!$C$31^2))*EXP(-(((Inputs!$C$6)-Inputs!$C$30)^2)/(2*Inputs!$C$32^2))+-Inputs!$C$33*EXP(-(((((Scenario_Data!U197)-Inputs!$C$34)^2)+(((Inputs!$C$6)-Inputs!$C$35)^2))/(2*Inputs!$C$36^2)))+Inputs!$C$37*(0.55*SIN(2*PI()*(Scenario_Data!U197)/Inputs!$C$39)+0.35*COS(2*PI()*(Inputs!$C$6)/Inputs!$C$40)+0.2*SIN(2*PI()*((Scenario_Data!U197)+(Inputs!$C$6))/(0.5*(Inputs!$C$39+Inputs!$C$40))))+Inputs!$C$38*SIN(2*PI()*(Scenario_Data!U197)/Inputs!$C$39)*SIN(2*PI()*(Inputs!$C$6)/Inputs!$C$40)+-Inputs!$C$41*EXP(-(((Inputs!$C$6)-Inputs!$C$43)^2)/(2*Inputs!$C$44^2))*EXP(-(((Scenario_Data!U197)-Inputs!$C$42)^2)/(2*Inputs!$C$45^2))+Inputs!$C$48*(0.7*(0.45*SIN(2*PI()*(((Scenario_Data!U197)/Inputs!$C$49)+Inputs!$C$47*0.137))+0.35*COS(2*PI()*(((Inputs!$C$6)/Inputs!$C$50)+Inputs!$C$47*0.173))+0.2*SIN(2*PI()*((((Scenario_Data!U197)+(Inputs!$C$6))/(0.5*(Inputs!$C$49+Inputs!$C$50)))+Inputs!$C$47*0.097)))+0.3*(2*((SIN(((Scenario_Data!U197)*12.9898+(Inputs!$C$6)*78.233+Inputs!$C$47*37.719))*43758.5453)-INT((SIN(((Scenario_Data!U197)*12.9898+(Inputs!$C$6)*78.233+Inputs!$C$47*37.719))*43758.5453)))-1))))/1000))*COS(SQRT((Scenario_Data!U197)^2+Inputs!$C$6^2)/Inputs!$C$52))*1000)/Inputs!$C$21*1000000</f>
        <v/>
      </c>
      <c r="AT197">
        <f>Scenario_Data!V197</f>
        <v/>
      </c>
      <c r="AU197">
        <f>2*(SQRT((Inputs!$C$52+(Scenario_Data!D197))^2+(Inputs!$C$52+((IF(OR(Inputs!$C$27=TRUE,Inputs!$C$27="TRUE",Inputs!$C$27=1),1,0)*(Inputs!$C$51*(115*EXP(-(((Inputs!$C$6)-25)^2)/(4.5^2))+70*EXP(-(((Inputs!$C$6)+38)^2)/(7^2))*(0.55+0.45*SIN(2*PI()*(Scenario_Data!V197)/45))+24*SIN(2*PI()*(Inputs!$C$6)/9+(Scenario_Data!V197)/18)*EXP(-(((Inputs!$C$6)+5)^2)/(22^2))+18*SIN(2*PI()*(Scenario_Data!V197)/70))+Inputs!$C$28*EXP(-(((Scenario_Data!V197)-Inputs!$C$29)^2)/(2*Inputs!$C$31^2))*EXP(-(((Inputs!$C$6)-Inputs!$C$30)^2)/(2*Inputs!$C$32^2))+-Inputs!$C$33*EXP(-(((((Scenario_Data!V197)-Inputs!$C$34)^2)+(((Inputs!$C$6)-Inputs!$C$35)^2))/(2*Inputs!$C$36^2)))+Inputs!$C$37*(0.55*SIN(2*PI()*(Scenario_Data!V197)/Inputs!$C$39)+0.35*COS(2*PI()*(Inputs!$C$6)/Inputs!$C$40)+0.2*SIN(2*PI()*((Scenario_Data!V197)+(Inputs!$C$6))/(0.5*(Inputs!$C$39+Inputs!$C$40))))+Inputs!$C$38*SIN(2*PI()*(Scenario_Data!V197)/Inputs!$C$39)*SIN(2*PI()*(Inputs!$C$6)/Inputs!$C$40)+-Inputs!$C$41*EXP(-(((Inputs!$C$6)-Inputs!$C$43)^2)/(2*Inputs!$C$44^2))*EXP(-(((Scenario_Data!V197)-Inputs!$C$42)^2)/(2*Inputs!$C$45^2))+Inputs!$C$48*(0.7*(0.45*SIN(2*PI()*(((Scenario_Data!V197)/Inputs!$C$49)+Inputs!$C$47*0.137))+0.35*COS(2*PI()*(((Inputs!$C$6)/Inputs!$C$50)+Inputs!$C$47*0.173))+0.2*SIN(2*PI()*((((Scenario_Data!V197)+(Inputs!$C$6))/(0.5*(Inputs!$C$49+Inputs!$C$50)))+Inputs!$C$47*0.097)))+0.3*(2*((SIN(((Scenario_Data!V197)*12.9898+(Inputs!$C$6)*78.233+Inputs!$C$47*37.719))*43758.5453)-INT((SIN(((Scenario_Data!V197)*12.9898+(Inputs!$C$6)*78.233+Inputs!$C$47*37.719))*43758.5453)))-1))))/1000))^2-2*(Inputs!$C$52+(Scenario_Data!D197))*(Inputs!$C$52+((IF(OR(Inputs!$C$27=TRUE,Inputs!$C$27="TRUE",Inputs!$C$27=1),1,0)*(Inputs!$C$51*(115*EXP(-(((Inputs!$C$6)-25)^2)/(4.5^2))+70*EXP(-(((Inputs!$C$6)+38)^2)/(7^2))*(0.55+0.45*SIN(2*PI()*(Scenario_Data!V197)/45))+24*SIN(2*PI()*(Inputs!$C$6)/9+(Scenario_Data!V197)/18)*EXP(-(((Inputs!$C$6)+5)^2)/(22^2))+18*SIN(2*PI()*(Scenario_Data!V197)/70))+Inputs!$C$28*EXP(-(((Scenario_Data!V197)-Inputs!$C$29)^2)/(2*Inputs!$C$31^2))*EXP(-(((Inputs!$C$6)-Inputs!$C$30)^2)/(2*Inputs!$C$32^2))+-Inputs!$C$33*EXP(-(((((Scenario_Data!V197)-Inputs!$C$34)^2)+(((Inputs!$C$6)-Inputs!$C$35)^2))/(2*Inputs!$C$36^2)))+Inputs!$C$37*(0.55*SIN(2*PI()*(Scenario_Data!V197)/Inputs!$C$39)+0.35*COS(2*PI()*(Inputs!$C$6)/Inputs!$C$40)+0.2*SIN(2*PI()*((Scenario_Data!V197)+(Inputs!$C$6))/(0.5*(Inputs!$C$39+Inputs!$C$40))))+Inputs!$C$38*SIN(2*PI()*(Scenario_Data!V197)/Inputs!$C$39)*SIN(2*PI()*(Inputs!$C$6)/Inputs!$C$40)+-Inputs!$C$41*EXP(-(((Inputs!$C$6)-Inputs!$C$43)^2)/(2*Inputs!$C$44^2))*EXP(-(((Scenario_Data!V197)-Inputs!$C$42)^2)/(2*Inputs!$C$45^2))+Inputs!$C$48*(0.7*(0.45*SIN(2*PI()*(((Scenario_Data!V197)/Inputs!$C$49)+Inputs!$C$47*0.137))+0.35*COS(2*PI()*(((Inputs!$C$6)/Inputs!$C$50)+Inputs!$C$47*0.173))+0.2*SIN(2*PI()*((((Scenario_Data!V197)+(Inputs!$C$6))/(0.5*(Inputs!$C$49+Inputs!$C$50)))+Inputs!$C$47*0.097)))+0.3*(2*((SIN(((Scenario_Data!V197)*12.9898+(Inputs!$C$6)*78.233+Inputs!$C$47*37.719))*43758.5453)-INT((SIN(((Scenario_Data!V197)*12.9898+(Inputs!$C$6)*78.233+Inputs!$C$47*37.719))*43758.5453)))-1))))/1000))*COS(SQRT((Scenario_Data!V197)^2+Inputs!$C$6^2)/Inputs!$C$52))*1000)/Inputs!$C$21*1000000</f>
        <v/>
      </c>
      <c r="AV197">
        <f>Scenario_Data!W197</f>
        <v/>
      </c>
      <c r="AW197">
        <f>2*(SQRT((Inputs!$C$52+(Scenario_Data!E197))^2+(Inputs!$C$52+((IF(OR(Inputs!$C$27=TRUE,Inputs!$C$27="TRUE",Inputs!$C$27=1),1,0)*(Inputs!$C$51*(115*EXP(-(((Inputs!$C$6)-25)^2)/(4.5^2))+70*EXP(-(((Inputs!$C$6)+38)^2)/(7^2))*(0.55+0.45*SIN(2*PI()*(Scenario_Data!W197)/45))+24*SIN(2*PI()*(Inputs!$C$6)/9+(Scenario_Data!W197)/18)*EXP(-(((Inputs!$C$6)+5)^2)/(22^2))+18*SIN(2*PI()*(Scenario_Data!W197)/70))+Inputs!$C$28*EXP(-(((Scenario_Data!W197)-Inputs!$C$29)^2)/(2*Inputs!$C$31^2))*EXP(-(((Inputs!$C$6)-Inputs!$C$30)^2)/(2*Inputs!$C$32^2))+-Inputs!$C$33*EXP(-(((((Scenario_Data!W197)-Inputs!$C$34)^2)+(((Inputs!$C$6)-Inputs!$C$35)^2))/(2*Inputs!$C$36^2)))+Inputs!$C$37*(0.55*SIN(2*PI()*(Scenario_Data!W197)/Inputs!$C$39)+0.35*COS(2*PI()*(Inputs!$C$6)/Inputs!$C$40)+0.2*SIN(2*PI()*((Scenario_Data!W197)+(Inputs!$C$6))/(0.5*(Inputs!$C$39+Inputs!$C$40))))+Inputs!$C$38*SIN(2*PI()*(Scenario_Data!W197)/Inputs!$C$39)*SIN(2*PI()*(Inputs!$C$6)/Inputs!$C$40)+-Inputs!$C$41*EXP(-(((Inputs!$C$6)-Inputs!$C$43)^2)/(2*Inputs!$C$44^2))*EXP(-(((Scenario_Data!W197)-Inputs!$C$42)^2)/(2*Inputs!$C$45^2))+Inputs!$C$48*(0.7*(0.45*SIN(2*PI()*(((Scenario_Data!W197)/Inputs!$C$49)+Inputs!$C$47*0.137))+0.35*COS(2*PI()*(((Inputs!$C$6)/Inputs!$C$50)+Inputs!$C$47*0.173))+0.2*SIN(2*PI()*((((Scenario_Data!W197)+(Inputs!$C$6))/(0.5*(Inputs!$C$49+Inputs!$C$50)))+Inputs!$C$47*0.097)))+0.3*(2*((SIN(((Scenario_Data!W197)*12.9898+(Inputs!$C$6)*78.233+Inputs!$C$47*37.719))*43758.5453)-INT((SIN(((Scenario_Data!W197)*12.9898+(Inputs!$C$6)*78.233+Inputs!$C$47*37.719))*43758.5453)))-1))))/1000))^2-2*(Inputs!$C$52+(Scenario_Data!E197))*(Inputs!$C$52+((IF(OR(Inputs!$C$27=TRUE,Inputs!$C$27="TRUE",Inputs!$C$27=1),1,0)*(Inputs!$C$51*(115*EXP(-(((Inputs!$C$6)-25)^2)/(4.5^2))+70*EXP(-(((Inputs!$C$6)+38)^2)/(7^2))*(0.55+0.45*SIN(2*PI()*(Scenario_Data!W197)/45))+24*SIN(2*PI()*(Inputs!$C$6)/9+(Scenario_Data!W197)/18)*EXP(-(((Inputs!$C$6)+5)^2)/(22^2))+18*SIN(2*PI()*(Scenario_Data!W197)/70))+Inputs!$C$28*EXP(-(((Scenario_Data!W197)-Inputs!$C$29)^2)/(2*Inputs!$C$31^2))*EXP(-(((Inputs!$C$6)-Inputs!$C$30)^2)/(2*Inputs!$C$32^2))+-Inputs!$C$33*EXP(-(((((Scenario_Data!W197)-Inputs!$C$34)^2)+(((Inputs!$C$6)-Inputs!$C$35)^2))/(2*Inputs!$C$36^2)))+Inputs!$C$37*(0.55*SIN(2*PI()*(Scenario_Data!W197)/Inputs!$C$39)+0.35*COS(2*PI()*(Inputs!$C$6)/Inputs!$C$40)+0.2*SIN(2*PI()*((Scenario_Data!W197)+(Inputs!$C$6))/(0.5*(Inputs!$C$39+Inputs!$C$40))))+Inputs!$C$38*SIN(2*PI()*(Scenario_Data!W197)/Inputs!$C$39)*SIN(2*PI()*(Inputs!$C$6)/Inputs!$C$40)+-Inputs!$C$41*EXP(-(((Inputs!$C$6)-Inputs!$C$43)^2)/(2*Inputs!$C$44^2))*EXP(-(((Scenario_Data!W197)-Inputs!$C$42)^2)/(2*Inputs!$C$45^2))+Inputs!$C$48*(0.7*(0.45*SIN(2*PI()*(((Scenario_Data!W197)/Inputs!$C$49)+Inputs!$C$47*0.137))+0.35*COS(2*PI()*(((Inputs!$C$6)/Inputs!$C$50)+Inputs!$C$47*0.173))+0.2*SIN(2*PI()*((((Scenario_Data!W197)+(Inputs!$C$6))/(0.5*(Inputs!$C$49+Inputs!$C$50)))+Inputs!$C$47*0.097)))+0.3*(2*((SIN(((Scenario_Data!W197)*12.9898+(Inputs!$C$6)*78.233+Inputs!$C$47*37.719))*43758.5453)-INT((SIN(((Scenario_Data!W197)*12.9898+(Inputs!$C$6)*78.233+Inputs!$C$47*37.719))*43758.5453)))-1))))/1000))*COS(SQRT((Scenario_Data!W197)^2+Inputs!$C$6^2)/Inputs!$C$52))*1000)/Inputs!$C$21*1000000</f>
        <v/>
      </c>
    </row>
    <row r="198">
      <c r="A198">
        <f>Chart_Data!K198</f>
        <v/>
      </c>
      <c r="B198">
        <f>Chart_Data!N198-Chart_Data!L198</f>
        <v/>
      </c>
      <c r="D198">
        <f>Chart_Data!G198</f>
        <v/>
      </c>
      <c r="E198">
        <f>Chart_Data!H198</f>
        <v/>
      </c>
      <c r="F198">
        <f>Chart_Data!I198</f>
        <v/>
      </c>
      <c r="G198">
        <f>Chart_Data!J198</f>
        <v/>
      </c>
      <c r="I198">
        <f>Scenario_Data!A198</f>
        <v/>
      </c>
      <c r="J198">
        <f>Scenario_Data!H198-(((SQRT((Inputs!$C$52+(Inputs!$H$6))^2+Inputs!$C$52^2-2*(Inputs!$C$52+(Inputs!$H$6))*Inputs!$C$52*COS(SQRT((Scenario_Data!T198)^2+Inputs!$C$6^2)/Inputs!$C$52)))-(Inputs!$H$6))*1000/Inputs!$C$12)</f>
        <v/>
      </c>
      <c r="K198">
        <f>Scenario_Data!I198-(((SQRT((Inputs!$C$52+(Inputs!$H$7))^2+Inputs!$C$52^2-2*(Inputs!$C$52+(Inputs!$H$7))*Inputs!$C$52*COS(SQRT((Scenario_Data!U198)^2+Inputs!$C$6^2)/Inputs!$C$52)))-(Inputs!$H$7))*1000/Inputs!$C$12)</f>
        <v/>
      </c>
      <c r="L198">
        <f>Scenario_Data!J198-(((SQRT((Inputs!$C$52+(Inputs!$H$8))^2+Inputs!$C$52^2-2*(Inputs!$C$52+(Inputs!$H$8))*Inputs!$C$52*COS(SQRT((Scenario_Data!V198)^2+Inputs!$C$6^2)/Inputs!$C$52)))-(Inputs!$H$8))*1000/Inputs!$C$12)</f>
        <v/>
      </c>
      <c r="M198">
        <f>Scenario_Data!K198-(((SQRT((Inputs!$C$52+(Inputs!$H$9))^2+Inputs!$C$52^2-2*(Inputs!$C$52+(Inputs!$H$9))*Inputs!$C$52*COS(SQRT((Scenario_Data!W198)^2+Inputs!$C$6^2)/Inputs!$C$52)))-(Inputs!$H$9))*1000/Inputs!$C$12)</f>
        <v/>
      </c>
      <c r="O198">
        <f>Scenario_Data!T198</f>
        <v/>
      </c>
      <c r="P198">
        <f>2*(Scenario_Data!B198*1000)/Inputs!$C$21*1000000</f>
        <v/>
      </c>
      <c r="Q198">
        <f>Scenario_Data!U198</f>
        <v/>
      </c>
      <c r="R198">
        <f>2*(Scenario_Data!C198*1000)/Inputs!$C$21*1000000</f>
        <v/>
      </c>
      <c r="S198">
        <f>Scenario_Data!V198</f>
        <v/>
      </c>
      <c r="T198">
        <f>2*(Scenario_Data!D198*1000)/Inputs!$C$21*1000000</f>
        <v/>
      </c>
      <c r="U198">
        <f>Scenario_Data!W198</f>
        <v/>
      </c>
      <c r="V198">
        <f>2*(Scenario_Data!E198*1000)/Inputs!$C$21*1000000</f>
        <v/>
      </c>
      <c r="X198">
        <f>Scenario_Data!T198</f>
        <v/>
      </c>
      <c r="Y198">
        <f>2*((Scenario_Data!B198*1000)-(IF(OR(Inputs!$C$27=TRUE,Inputs!$C$27="TRUE",Inputs!$C$27=1),1,0)*(Inputs!$C$51*(115*EXP(-(((0)-25)^2)/(4.5^2))+70*EXP(-(((0)+38)^2)/(7^2))*(0.55+0.45*SIN(2*PI()*(Scenario_Data!T198)/45))+24*SIN(2*PI()*(0)/9+(Scenario_Data!T198)/18)*EXP(-(((0)+5)^2)/(22^2))+18*SIN(2*PI()*(Scenario_Data!T198)/70))+Inputs!$C$28*EXP(-(((Scenario_Data!T198)-Inputs!$C$29)^2)/(2*Inputs!$C$31^2))*EXP(-(((0)-Inputs!$C$30)^2)/(2*Inputs!$C$32^2))+-Inputs!$C$33*EXP(-(((((Scenario_Data!T198)-Inputs!$C$34)^2)+(((0)-Inputs!$C$35)^2))/(2*Inputs!$C$36^2)))+Inputs!$C$37*(0.55*SIN(2*PI()*(Scenario_Data!T198)/Inputs!$C$39)+0.35*COS(2*PI()*(0)/Inputs!$C$40)+0.2*SIN(2*PI()*((Scenario_Data!T198)+(0))/(0.5*(Inputs!$C$39+Inputs!$C$40))))+Inputs!$C$38*SIN(2*PI()*(Scenario_Data!T198)/Inputs!$C$39)*SIN(2*PI()*(0)/Inputs!$C$40)+-Inputs!$C$41*EXP(-(((0)-Inputs!$C$43)^2)/(2*Inputs!$C$44^2))*EXP(-(((Scenario_Data!T198)-Inputs!$C$42)^2)/(2*Inputs!$C$45^2))+Inputs!$C$48*(0.7*(0.45*SIN(2*PI()*(((Scenario_Data!T198)/Inputs!$C$49)+Inputs!$C$47*0.137))+0.35*COS(2*PI()*(((0)/Inputs!$C$50)+Inputs!$C$47*0.173))+0.2*SIN(2*PI()*((((Scenario_Data!T198)+(0))/(0.5*(Inputs!$C$49+Inputs!$C$50)))+Inputs!$C$47*0.097)))+0.3*(2*((SIN(((Scenario_Data!T198)*12.9898+(0)*78.233+Inputs!$C$47*37.719))*43758.5453)-INT((SIN(((Scenario_Data!T198)*12.9898+(0)*78.233+Inputs!$C$47*37.719))*43758.5453)))-1)))))/Inputs!$C$21*1000000</f>
        <v/>
      </c>
      <c r="Z198">
        <f>Scenario_Data!U198</f>
        <v/>
      </c>
      <c r="AA198">
        <f>2*((Scenario_Data!C198*1000)-(IF(OR(Inputs!$C$27=TRUE,Inputs!$C$27="TRUE",Inputs!$C$27=1),1,0)*(Inputs!$C$51*(115*EXP(-(((0)-25)^2)/(4.5^2))+70*EXP(-(((0)+38)^2)/(7^2))*(0.55+0.45*SIN(2*PI()*(Scenario_Data!U198)/45))+24*SIN(2*PI()*(0)/9+(Scenario_Data!U198)/18)*EXP(-(((0)+5)^2)/(22^2))+18*SIN(2*PI()*(Scenario_Data!U198)/70))+Inputs!$C$28*EXP(-(((Scenario_Data!U198)-Inputs!$C$29)^2)/(2*Inputs!$C$31^2))*EXP(-(((0)-Inputs!$C$30)^2)/(2*Inputs!$C$32^2))+-Inputs!$C$33*EXP(-(((((Scenario_Data!U198)-Inputs!$C$34)^2)+(((0)-Inputs!$C$35)^2))/(2*Inputs!$C$36^2)))+Inputs!$C$37*(0.55*SIN(2*PI()*(Scenario_Data!U198)/Inputs!$C$39)+0.35*COS(2*PI()*(0)/Inputs!$C$40)+0.2*SIN(2*PI()*((Scenario_Data!U198)+(0))/(0.5*(Inputs!$C$39+Inputs!$C$40))))+Inputs!$C$38*SIN(2*PI()*(Scenario_Data!U198)/Inputs!$C$39)*SIN(2*PI()*(0)/Inputs!$C$40)+-Inputs!$C$41*EXP(-(((0)-Inputs!$C$43)^2)/(2*Inputs!$C$44^2))*EXP(-(((Scenario_Data!U198)-Inputs!$C$42)^2)/(2*Inputs!$C$45^2))+Inputs!$C$48*(0.7*(0.45*SIN(2*PI()*(((Scenario_Data!U198)/Inputs!$C$49)+Inputs!$C$47*0.137))+0.35*COS(2*PI()*(((0)/Inputs!$C$50)+Inputs!$C$47*0.173))+0.2*SIN(2*PI()*((((Scenario_Data!U198)+(0))/(0.5*(Inputs!$C$49+Inputs!$C$50)))+Inputs!$C$47*0.097)))+0.3*(2*((SIN(((Scenario_Data!U198)*12.9898+(0)*78.233+Inputs!$C$47*37.719))*43758.5453)-INT((SIN(((Scenario_Data!U198)*12.9898+(0)*78.233+Inputs!$C$47*37.719))*43758.5453)))-1)))))/Inputs!$C$21*1000000</f>
        <v/>
      </c>
      <c r="AB198">
        <f>Scenario_Data!V198</f>
        <v/>
      </c>
      <c r="AC198">
        <f>2*((Scenario_Data!D198*1000)-(IF(OR(Inputs!$C$27=TRUE,Inputs!$C$27="TRUE",Inputs!$C$27=1),1,0)*(Inputs!$C$51*(115*EXP(-(((0)-25)^2)/(4.5^2))+70*EXP(-(((0)+38)^2)/(7^2))*(0.55+0.45*SIN(2*PI()*(Scenario_Data!V198)/45))+24*SIN(2*PI()*(0)/9+(Scenario_Data!V198)/18)*EXP(-(((0)+5)^2)/(22^2))+18*SIN(2*PI()*(Scenario_Data!V198)/70))+Inputs!$C$28*EXP(-(((Scenario_Data!V198)-Inputs!$C$29)^2)/(2*Inputs!$C$31^2))*EXP(-(((0)-Inputs!$C$30)^2)/(2*Inputs!$C$32^2))+-Inputs!$C$33*EXP(-(((((Scenario_Data!V198)-Inputs!$C$34)^2)+(((0)-Inputs!$C$35)^2))/(2*Inputs!$C$36^2)))+Inputs!$C$37*(0.55*SIN(2*PI()*(Scenario_Data!V198)/Inputs!$C$39)+0.35*COS(2*PI()*(0)/Inputs!$C$40)+0.2*SIN(2*PI()*((Scenario_Data!V198)+(0))/(0.5*(Inputs!$C$39+Inputs!$C$40))))+Inputs!$C$38*SIN(2*PI()*(Scenario_Data!V198)/Inputs!$C$39)*SIN(2*PI()*(0)/Inputs!$C$40)+-Inputs!$C$41*EXP(-(((0)-Inputs!$C$43)^2)/(2*Inputs!$C$44^2))*EXP(-(((Scenario_Data!V198)-Inputs!$C$42)^2)/(2*Inputs!$C$45^2))+Inputs!$C$48*(0.7*(0.45*SIN(2*PI()*(((Scenario_Data!V198)/Inputs!$C$49)+Inputs!$C$47*0.137))+0.35*COS(2*PI()*(((0)/Inputs!$C$50)+Inputs!$C$47*0.173))+0.2*SIN(2*PI()*((((Scenario_Data!V198)+(0))/(0.5*(Inputs!$C$49+Inputs!$C$50)))+Inputs!$C$47*0.097)))+0.3*(2*((SIN(((Scenario_Data!V198)*12.9898+(0)*78.233+Inputs!$C$47*37.719))*43758.5453)-INT((SIN(((Scenario_Data!V198)*12.9898+(0)*78.233+Inputs!$C$47*37.719))*43758.5453)))-1)))))/Inputs!$C$21*1000000</f>
        <v/>
      </c>
      <c r="AD198">
        <f>Scenario_Data!W198</f>
        <v/>
      </c>
      <c r="AE198">
        <f>2*((Scenario_Data!E198*1000)-(IF(OR(Inputs!$C$27=TRUE,Inputs!$C$27="TRUE",Inputs!$C$27=1),1,0)*(Inputs!$C$51*(115*EXP(-(((0)-25)^2)/(4.5^2))+70*EXP(-(((0)+38)^2)/(7^2))*(0.55+0.45*SIN(2*PI()*(Scenario_Data!W198)/45))+24*SIN(2*PI()*(0)/9+(Scenario_Data!W198)/18)*EXP(-(((0)+5)^2)/(22^2))+18*SIN(2*PI()*(Scenario_Data!W198)/70))+Inputs!$C$28*EXP(-(((Scenario_Data!W198)-Inputs!$C$29)^2)/(2*Inputs!$C$31^2))*EXP(-(((0)-Inputs!$C$30)^2)/(2*Inputs!$C$32^2))+-Inputs!$C$33*EXP(-(((((Scenario_Data!W198)-Inputs!$C$34)^2)+(((0)-Inputs!$C$35)^2))/(2*Inputs!$C$36^2)))+Inputs!$C$37*(0.55*SIN(2*PI()*(Scenario_Data!W198)/Inputs!$C$39)+0.35*COS(2*PI()*(0)/Inputs!$C$40)+0.2*SIN(2*PI()*((Scenario_Data!W198)+(0))/(0.5*(Inputs!$C$39+Inputs!$C$40))))+Inputs!$C$38*SIN(2*PI()*(Scenario_Data!W198)/Inputs!$C$39)*SIN(2*PI()*(0)/Inputs!$C$40)+-Inputs!$C$41*EXP(-(((0)-Inputs!$C$43)^2)/(2*Inputs!$C$44^2))*EXP(-(((Scenario_Data!W198)-Inputs!$C$42)^2)/(2*Inputs!$C$45^2))+Inputs!$C$48*(0.7*(0.45*SIN(2*PI()*(((Scenario_Data!W198)/Inputs!$C$49)+Inputs!$C$47*0.137))+0.35*COS(2*PI()*(((0)/Inputs!$C$50)+Inputs!$C$47*0.173))+0.2*SIN(2*PI()*((((Scenario_Data!W198)+(0))/(0.5*(Inputs!$C$49+Inputs!$C$50)))+Inputs!$C$47*0.097)))+0.3*(2*((SIN(((Scenario_Data!W198)*12.9898+(0)*78.233+Inputs!$C$47*37.719))*43758.5453)-INT((SIN(((Scenario_Data!W198)*12.9898+(0)*78.233+Inputs!$C$47*37.719))*43758.5453)))-1)))))/Inputs!$C$21*1000000</f>
        <v/>
      </c>
      <c r="AG198">
        <f>Scenario_Data!T198</f>
        <v/>
      </c>
      <c r="AH198">
        <f>2*(SQRT((Inputs!$C$52+(Scenario_Data!B198))^2+Inputs!$C$52^2-2*(Inputs!$C$52+(Scenario_Data!B198))*Inputs!$C$52*COS(SQRT((Scenario_Data!T198)^2+Inputs!$C$6^2)/Inputs!$C$52))*1000)/Inputs!$C$21*1000000</f>
        <v/>
      </c>
      <c r="AI198">
        <f>Scenario_Data!U198</f>
        <v/>
      </c>
      <c r="AJ198">
        <f>2*(SQRT((Inputs!$C$52+(Scenario_Data!C198))^2+Inputs!$C$52^2-2*(Inputs!$C$52+(Scenario_Data!C198))*Inputs!$C$52*COS(SQRT((Scenario_Data!U198)^2+Inputs!$C$6^2)/Inputs!$C$52))*1000)/Inputs!$C$21*1000000</f>
        <v/>
      </c>
      <c r="AK198">
        <f>Scenario_Data!V198</f>
        <v/>
      </c>
      <c r="AL198">
        <f>2*(SQRT((Inputs!$C$52+(Scenario_Data!D198))^2+Inputs!$C$52^2-2*(Inputs!$C$52+(Scenario_Data!D198))*Inputs!$C$52*COS(SQRT((Scenario_Data!V198)^2+Inputs!$C$6^2)/Inputs!$C$52))*1000)/Inputs!$C$21*1000000</f>
        <v/>
      </c>
      <c r="AM198">
        <f>Scenario_Data!W198</f>
        <v/>
      </c>
      <c r="AN198">
        <f>2*(SQRT((Inputs!$C$52+(Scenario_Data!E198))^2+Inputs!$C$52^2-2*(Inputs!$C$52+(Scenario_Data!E198))*Inputs!$C$52*COS(SQRT((Scenario_Data!W198)^2+Inputs!$C$6^2)/Inputs!$C$52))*1000)/Inputs!$C$21*1000000</f>
        <v/>
      </c>
      <c r="AP198">
        <f>Scenario_Data!T198</f>
        <v/>
      </c>
      <c r="AQ198">
        <f>2*(SQRT((Inputs!$C$52+(Scenario_Data!B198))^2+(Inputs!$C$52+((IF(OR(Inputs!$C$27=TRUE,Inputs!$C$27="TRUE",Inputs!$C$27=1),1,0)*(Inputs!$C$51*(115*EXP(-(((Inputs!$C$6)-25)^2)/(4.5^2))+70*EXP(-(((Inputs!$C$6)+38)^2)/(7^2))*(0.55+0.45*SIN(2*PI()*(Scenario_Data!T198)/45))+24*SIN(2*PI()*(Inputs!$C$6)/9+(Scenario_Data!T198)/18)*EXP(-(((Inputs!$C$6)+5)^2)/(22^2))+18*SIN(2*PI()*(Scenario_Data!T198)/70))+Inputs!$C$28*EXP(-(((Scenario_Data!T198)-Inputs!$C$29)^2)/(2*Inputs!$C$31^2))*EXP(-(((Inputs!$C$6)-Inputs!$C$30)^2)/(2*Inputs!$C$32^2))+-Inputs!$C$33*EXP(-(((((Scenario_Data!T198)-Inputs!$C$34)^2)+(((Inputs!$C$6)-Inputs!$C$35)^2))/(2*Inputs!$C$36^2)))+Inputs!$C$37*(0.55*SIN(2*PI()*(Scenario_Data!T198)/Inputs!$C$39)+0.35*COS(2*PI()*(Inputs!$C$6)/Inputs!$C$40)+0.2*SIN(2*PI()*((Scenario_Data!T198)+(Inputs!$C$6))/(0.5*(Inputs!$C$39+Inputs!$C$40))))+Inputs!$C$38*SIN(2*PI()*(Scenario_Data!T198)/Inputs!$C$39)*SIN(2*PI()*(Inputs!$C$6)/Inputs!$C$40)+-Inputs!$C$41*EXP(-(((Inputs!$C$6)-Inputs!$C$43)^2)/(2*Inputs!$C$44^2))*EXP(-(((Scenario_Data!T198)-Inputs!$C$42)^2)/(2*Inputs!$C$45^2))+Inputs!$C$48*(0.7*(0.45*SIN(2*PI()*(((Scenario_Data!T198)/Inputs!$C$49)+Inputs!$C$47*0.137))+0.35*COS(2*PI()*(((Inputs!$C$6)/Inputs!$C$50)+Inputs!$C$47*0.173))+0.2*SIN(2*PI()*((((Scenario_Data!T198)+(Inputs!$C$6))/(0.5*(Inputs!$C$49+Inputs!$C$50)))+Inputs!$C$47*0.097)))+0.3*(2*((SIN(((Scenario_Data!T198)*12.9898+(Inputs!$C$6)*78.233+Inputs!$C$47*37.719))*43758.5453)-INT((SIN(((Scenario_Data!T198)*12.9898+(Inputs!$C$6)*78.233+Inputs!$C$47*37.719))*43758.5453)))-1))))/1000))^2-2*(Inputs!$C$52+(Scenario_Data!B198))*(Inputs!$C$52+((IF(OR(Inputs!$C$27=TRUE,Inputs!$C$27="TRUE",Inputs!$C$27=1),1,0)*(Inputs!$C$51*(115*EXP(-(((Inputs!$C$6)-25)^2)/(4.5^2))+70*EXP(-(((Inputs!$C$6)+38)^2)/(7^2))*(0.55+0.45*SIN(2*PI()*(Scenario_Data!T198)/45))+24*SIN(2*PI()*(Inputs!$C$6)/9+(Scenario_Data!T198)/18)*EXP(-(((Inputs!$C$6)+5)^2)/(22^2))+18*SIN(2*PI()*(Scenario_Data!T198)/70))+Inputs!$C$28*EXP(-(((Scenario_Data!T198)-Inputs!$C$29)^2)/(2*Inputs!$C$31^2))*EXP(-(((Inputs!$C$6)-Inputs!$C$30)^2)/(2*Inputs!$C$32^2))+-Inputs!$C$33*EXP(-(((((Scenario_Data!T198)-Inputs!$C$34)^2)+(((Inputs!$C$6)-Inputs!$C$35)^2))/(2*Inputs!$C$36^2)))+Inputs!$C$37*(0.55*SIN(2*PI()*(Scenario_Data!T198)/Inputs!$C$39)+0.35*COS(2*PI()*(Inputs!$C$6)/Inputs!$C$40)+0.2*SIN(2*PI()*((Scenario_Data!T198)+(Inputs!$C$6))/(0.5*(Inputs!$C$39+Inputs!$C$40))))+Inputs!$C$38*SIN(2*PI()*(Scenario_Data!T198)/Inputs!$C$39)*SIN(2*PI()*(Inputs!$C$6)/Inputs!$C$40)+-Inputs!$C$41*EXP(-(((Inputs!$C$6)-Inputs!$C$43)^2)/(2*Inputs!$C$44^2))*EXP(-(((Scenario_Data!T198)-Inputs!$C$42)^2)/(2*Inputs!$C$45^2))+Inputs!$C$48*(0.7*(0.45*SIN(2*PI()*(((Scenario_Data!T198)/Inputs!$C$49)+Inputs!$C$47*0.137))+0.35*COS(2*PI()*(((Inputs!$C$6)/Inputs!$C$50)+Inputs!$C$47*0.173))+0.2*SIN(2*PI()*((((Scenario_Data!T198)+(Inputs!$C$6))/(0.5*(Inputs!$C$49+Inputs!$C$50)))+Inputs!$C$47*0.097)))+0.3*(2*((SIN(((Scenario_Data!T198)*12.9898+(Inputs!$C$6)*78.233+Inputs!$C$47*37.719))*43758.5453)-INT((SIN(((Scenario_Data!T198)*12.9898+(Inputs!$C$6)*78.233+Inputs!$C$47*37.719))*43758.5453)))-1))))/1000))*COS(SQRT((Scenario_Data!T198)^2+Inputs!$C$6^2)/Inputs!$C$52))*1000)/Inputs!$C$21*1000000</f>
        <v/>
      </c>
      <c r="AR198">
        <f>Scenario_Data!U198</f>
        <v/>
      </c>
      <c r="AS198">
        <f>2*(SQRT((Inputs!$C$52+(Scenario_Data!C198))^2+(Inputs!$C$52+((IF(OR(Inputs!$C$27=TRUE,Inputs!$C$27="TRUE",Inputs!$C$27=1),1,0)*(Inputs!$C$51*(115*EXP(-(((Inputs!$C$6)-25)^2)/(4.5^2))+70*EXP(-(((Inputs!$C$6)+38)^2)/(7^2))*(0.55+0.45*SIN(2*PI()*(Scenario_Data!U198)/45))+24*SIN(2*PI()*(Inputs!$C$6)/9+(Scenario_Data!U198)/18)*EXP(-(((Inputs!$C$6)+5)^2)/(22^2))+18*SIN(2*PI()*(Scenario_Data!U198)/70))+Inputs!$C$28*EXP(-(((Scenario_Data!U198)-Inputs!$C$29)^2)/(2*Inputs!$C$31^2))*EXP(-(((Inputs!$C$6)-Inputs!$C$30)^2)/(2*Inputs!$C$32^2))+-Inputs!$C$33*EXP(-(((((Scenario_Data!U198)-Inputs!$C$34)^2)+(((Inputs!$C$6)-Inputs!$C$35)^2))/(2*Inputs!$C$36^2)))+Inputs!$C$37*(0.55*SIN(2*PI()*(Scenario_Data!U198)/Inputs!$C$39)+0.35*COS(2*PI()*(Inputs!$C$6)/Inputs!$C$40)+0.2*SIN(2*PI()*((Scenario_Data!U198)+(Inputs!$C$6))/(0.5*(Inputs!$C$39+Inputs!$C$40))))+Inputs!$C$38*SIN(2*PI()*(Scenario_Data!U198)/Inputs!$C$39)*SIN(2*PI()*(Inputs!$C$6)/Inputs!$C$40)+-Inputs!$C$41*EXP(-(((Inputs!$C$6)-Inputs!$C$43)^2)/(2*Inputs!$C$44^2))*EXP(-(((Scenario_Data!U198)-Inputs!$C$42)^2)/(2*Inputs!$C$45^2))+Inputs!$C$48*(0.7*(0.45*SIN(2*PI()*(((Scenario_Data!U198)/Inputs!$C$49)+Inputs!$C$47*0.137))+0.35*COS(2*PI()*(((Inputs!$C$6)/Inputs!$C$50)+Inputs!$C$47*0.173))+0.2*SIN(2*PI()*((((Scenario_Data!U198)+(Inputs!$C$6))/(0.5*(Inputs!$C$49+Inputs!$C$50)))+Inputs!$C$47*0.097)))+0.3*(2*((SIN(((Scenario_Data!U198)*12.9898+(Inputs!$C$6)*78.233+Inputs!$C$47*37.719))*43758.5453)-INT((SIN(((Scenario_Data!U198)*12.9898+(Inputs!$C$6)*78.233+Inputs!$C$47*37.719))*43758.5453)))-1))))/1000))^2-2*(Inputs!$C$52+(Scenario_Data!C198))*(Inputs!$C$52+((IF(OR(Inputs!$C$27=TRUE,Inputs!$C$27="TRUE",Inputs!$C$27=1),1,0)*(Inputs!$C$51*(115*EXP(-(((Inputs!$C$6)-25)^2)/(4.5^2))+70*EXP(-(((Inputs!$C$6)+38)^2)/(7^2))*(0.55+0.45*SIN(2*PI()*(Scenario_Data!U198)/45))+24*SIN(2*PI()*(Inputs!$C$6)/9+(Scenario_Data!U198)/18)*EXP(-(((Inputs!$C$6)+5)^2)/(22^2))+18*SIN(2*PI()*(Scenario_Data!U198)/70))+Inputs!$C$28*EXP(-(((Scenario_Data!U198)-Inputs!$C$29)^2)/(2*Inputs!$C$31^2))*EXP(-(((Inputs!$C$6)-Inputs!$C$30)^2)/(2*Inputs!$C$32^2))+-Inputs!$C$33*EXP(-(((((Scenario_Data!U198)-Inputs!$C$34)^2)+(((Inputs!$C$6)-Inputs!$C$35)^2))/(2*Inputs!$C$36^2)))+Inputs!$C$37*(0.55*SIN(2*PI()*(Scenario_Data!U198)/Inputs!$C$39)+0.35*COS(2*PI()*(Inputs!$C$6)/Inputs!$C$40)+0.2*SIN(2*PI()*((Scenario_Data!U198)+(Inputs!$C$6))/(0.5*(Inputs!$C$39+Inputs!$C$40))))+Inputs!$C$38*SIN(2*PI()*(Scenario_Data!U198)/Inputs!$C$39)*SIN(2*PI()*(Inputs!$C$6)/Inputs!$C$40)+-Inputs!$C$41*EXP(-(((Inputs!$C$6)-Inputs!$C$43)^2)/(2*Inputs!$C$44^2))*EXP(-(((Scenario_Data!U198)-Inputs!$C$42)^2)/(2*Inputs!$C$45^2))+Inputs!$C$48*(0.7*(0.45*SIN(2*PI()*(((Scenario_Data!U198)/Inputs!$C$49)+Inputs!$C$47*0.137))+0.35*COS(2*PI()*(((Inputs!$C$6)/Inputs!$C$50)+Inputs!$C$47*0.173))+0.2*SIN(2*PI()*((((Scenario_Data!U198)+(Inputs!$C$6))/(0.5*(Inputs!$C$49+Inputs!$C$50)))+Inputs!$C$47*0.097)))+0.3*(2*((SIN(((Scenario_Data!U198)*12.9898+(Inputs!$C$6)*78.233+Inputs!$C$47*37.719))*43758.5453)-INT((SIN(((Scenario_Data!U198)*12.9898+(Inputs!$C$6)*78.233+Inputs!$C$47*37.719))*43758.5453)))-1))))/1000))*COS(SQRT((Scenario_Data!U198)^2+Inputs!$C$6^2)/Inputs!$C$52))*1000)/Inputs!$C$21*1000000</f>
        <v/>
      </c>
      <c r="AT198">
        <f>Scenario_Data!V198</f>
        <v/>
      </c>
      <c r="AU198">
        <f>2*(SQRT((Inputs!$C$52+(Scenario_Data!D198))^2+(Inputs!$C$52+((IF(OR(Inputs!$C$27=TRUE,Inputs!$C$27="TRUE",Inputs!$C$27=1),1,0)*(Inputs!$C$51*(115*EXP(-(((Inputs!$C$6)-25)^2)/(4.5^2))+70*EXP(-(((Inputs!$C$6)+38)^2)/(7^2))*(0.55+0.45*SIN(2*PI()*(Scenario_Data!V198)/45))+24*SIN(2*PI()*(Inputs!$C$6)/9+(Scenario_Data!V198)/18)*EXP(-(((Inputs!$C$6)+5)^2)/(22^2))+18*SIN(2*PI()*(Scenario_Data!V198)/70))+Inputs!$C$28*EXP(-(((Scenario_Data!V198)-Inputs!$C$29)^2)/(2*Inputs!$C$31^2))*EXP(-(((Inputs!$C$6)-Inputs!$C$30)^2)/(2*Inputs!$C$32^2))+-Inputs!$C$33*EXP(-(((((Scenario_Data!V198)-Inputs!$C$34)^2)+(((Inputs!$C$6)-Inputs!$C$35)^2))/(2*Inputs!$C$36^2)))+Inputs!$C$37*(0.55*SIN(2*PI()*(Scenario_Data!V198)/Inputs!$C$39)+0.35*COS(2*PI()*(Inputs!$C$6)/Inputs!$C$40)+0.2*SIN(2*PI()*((Scenario_Data!V198)+(Inputs!$C$6))/(0.5*(Inputs!$C$39+Inputs!$C$40))))+Inputs!$C$38*SIN(2*PI()*(Scenario_Data!V198)/Inputs!$C$39)*SIN(2*PI()*(Inputs!$C$6)/Inputs!$C$40)+-Inputs!$C$41*EXP(-(((Inputs!$C$6)-Inputs!$C$43)^2)/(2*Inputs!$C$44^2))*EXP(-(((Scenario_Data!V198)-Inputs!$C$42)^2)/(2*Inputs!$C$45^2))+Inputs!$C$48*(0.7*(0.45*SIN(2*PI()*(((Scenario_Data!V198)/Inputs!$C$49)+Inputs!$C$47*0.137))+0.35*COS(2*PI()*(((Inputs!$C$6)/Inputs!$C$50)+Inputs!$C$47*0.173))+0.2*SIN(2*PI()*((((Scenario_Data!V198)+(Inputs!$C$6))/(0.5*(Inputs!$C$49+Inputs!$C$50)))+Inputs!$C$47*0.097)))+0.3*(2*((SIN(((Scenario_Data!V198)*12.9898+(Inputs!$C$6)*78.233+Inputs!$C$47*37.719))*43758.5453)-INT((SIN(((Scenario_Data!V198)*12.9898+(Inputs!$C$6)*78.233+Inputs!$C$47*37.719))*43758.5453)))-1))))/1000))^2-2*(Inputs!$C$52+(Scenario_Data!D198))*(Inputs!$C$52+((IF(OR(Inputs!$C$27=TRUE,Inputs!$C$27="TRUE",Inputs!$C$27=1),1,0)*(Inputs!$C$51*(115*EXP(-(((Inputs!$C$6)-25)^2)/(4.5^2))+70*EXP(-(((Inputs!$C$6)+38)^2)/(7^2))*(0.55+0.45*SIN(2*PI()*(Scenario_Data!V198)/45))+24*SIN(2*PI()*(Inputs!$C$6)/9+(Scenario_Data!V198)/18)*EXP(-(((Inputs!$C$6)+5)^2)/(22^2))+18*SIN(2*PI()*(Scenario_Data!V198)/70))+Inputs!$C$28*EXP(-(((Scenario_Data!V198)-Inputs!$C$29)^2)/(2*Inputs!$C$31^2))*EXP(-(((Inputs!$C$6)-Inputs!$C$30)^2)/(2*Inputs!$C$32^2))+-Inputs!$C$33*EXP(-(((((Scenario_Data!V198)-Inputs!$C$34)^2)+(((Inputs!$C$6)-Inputs!$C$35)^2))/(2*Inputs!$C$36^2)))+Inputs!$C$37*(0.55*SIN(2*PI()*(Scenario_Data!V198)/Inputs!$C$39)+0.35*COS(2*PI()*(Inputs!$C$6)/Inputs!$C$40)+0.2*SIN(2*PI()*((Scenario_Data!V198)+(Inputs!$C$6))/(0.5*(Inputs!$C$39+Inputs!$C$40))))+Inputs!$C$38*SIN(2*PI()*(Scenario_Data!V198)/Inputs!$C$39)*SIN(2*PI()*(Inputs!$C$6)/Inputs!$C$40)+-Inputs!$C$41*EXP(-(((Inputs!$C$6)-Inputs!$C$43)^2)/(2*Inputs!$C$44^2))*EXP(-(((Scenario_Data!V198)-Inputs!$C$42)^2)/(2*Inputs!$C$45^2))+Inputs!$C$48*(0.7*(0.45*SIN(2*PI()*(((Scenario_Data!V198)/Inputs!$C$49)+Inputs!$C$47*0.137))+0.35*COS(2*PI()*(((Inputs!$C$6)/Inputs!$C$50)+Inputs!$C$47*0.173))+0.2*SIN(2*PI()*((((Scenario_Data!V198)+(Inputs!$C$6))/(0.5*(Inputs!$C$49+Inputs!$C$50)))+Inputs!$C$47*0.097)))+0.3*(2*((SIN(((Scenario_Data!V198)*12.9898+(Inputs!$C$6)*78.233+Inputs!$C$47*37.719))*43758.5453)-INT((SIN(((Scenario_Data!V198)*12.9898+(Inputs!$C$6)*78.233+Inputs!$C$47*37.719))*43758.5453)))-1))))/1000))*COS(SQRT((Scenario_Data!V198)^2+Inputs!$C$6^2)/Inputs!$C$52))*1000)/Inputs!$C$21*1000000</f>
        <v/>
      </c>
      <c r="AV198">
        <f>Scenario_Data!W198</f>
        <v/>
      </c>
      <c r="AW198">
        <f>2*(SQRT((Inputs!$C$52+(Scenario_Data!E198))^2+(Inputs!$C$52+((IF(OR(Inputs!$C$27=TRUE,Inputs!$C$27="TRUE",Inputs!$C$27=1),1,0)*(Inputs!$C$51*(115*EXP(-(((Inputs!$C$6)-25)^2)/(4.5^2))+70*EXP(-(((Inputs!$C$6)+38)^2)/(7^2))*(0.55+0.45*SIN(2*PI()*(Scenario_Data!W198)/45))+24*SIN(2*PI()*(Inputs!$C$6)/9+(Scenario_Data!W198)/18)*EXP(-(((Inputs!$C$6)+5)^2)/(22^2))+18*SIN(2*PI()*(Scenario_Data!W198)/70))+Inputs!$C$28*EXP(-(((Scenario_Data!W198)-Inputs!$C$29)^2)/(2*Inputs!$C$31^2))*EXP(-(((Inputs!$C$6)-Inputs!$C$30)^2)/(2*Inputs!$C$32^2))+-Inputs!$C$33*EXP(-(((((Scenario_Data!W198)-Inputs!$C$34)^2)+(((Inputs!$C$6)-Inputs!$C$35)^2))/(2*Inputs!$C$36^2)))+Inputs!$C$37*(0.55*SIN(2*PI()*(Scenario_Data!W198)/Inputs!$C$39)+0.35*COS(2*PI()*(Inputs!$C$6)/Inputs!$C$40)+0.2*SIN(2*PI()*((Scenario_Data!W198)+(Inputs!$C$6))/(0.5*(Inputs!$C$39+Inputs!$C$40))))+Inputs!$C$38*SIN(2*PI()*(Scenario_Data!W198)/Inputs!$C$39)*SIN(2*PI()*(Inputs!$C$6)/Inputs!$C$40)+-Inputs!$C$41*EXP(-(((Inputs!$C$6)-Inputs!$C$43)^2)/(2*Inputs!$C$44^2))*EXP(-(((Scenario_Data!W198)-Inputs!$C$42)^2)/(2*Inputs!$C$45^2))+Inputs!$C$48*(0.7*(0.45*SIN(2*PI()*(((Scenario_Data!W198)/Inputs!$C$49)+Inputs!$C$47*0.137))+0.35*COS(2*PI()*(((Inputs!$C$6)/Inputs!$C$50)+Inputs!$C$47*0.173))+0.2*SIN(2*PI()*((((Scenario_Data!W198)+(Inputs!$C$6))/(0.5*(Inputs!$C$49+Inputs!$C$50)))+Inputs!$C$47*0.097)))+0.3*(2*((SIN(((Scenario_Data!W198)*12.9898+(Inputs!$C$6)*78.233+Inputs!$C$47*37.719))*43758.5453)-INT((SIN(((Scenario_Data!W198)*12.9898+(Inputs!$C$6)*78.233+Inputs!$C$47*37.719))*43758.5453)))-1))))/1000))^2-2*(Inputs!$C$52+(Scenario_Data!E198))*(Inputs!$C$52+((IF(OR(Inputs!$C$27=TRUE,Inputs!$C$27="TRUE",Inputs!$C$27=1),1,0)*(Inputs!$C$51*(115*EXP(-(((Inputs!$C$6)-25)^2)/(4.5^2))+70*EXP(-(((Inputs!$C$6)+38)^2)/(7^2))*(0.55+0.45*SIN(2*PI()*(Scenario_Data!W198)/45))+24*SIN(2*PI()*(Inputs!$C$6)/9+(Scenario_Data!W198)/18)*EXP(-(((Inputs!$C$6)+5)^2)/(22^2))+18*SIN(2*PI()*(Scenario_Data!W198)/70))+Inputs!$C$28*EXP(-(((Scenario_Data!W198)-Inputs!$C$29)^2)/(2*Inputs!$C$31^2))*EXP(-(((Inputs!$C$6)-Inputs!$C$30)^2)/(2*Inputs!$C$32^2))+-Inputs!$C$33*EXP(-(((((Scenario_Data!W198)-Inputs!$C$34)^2)+(((Inputs!$C$6)-Inputs!$C$35)^2))/(2*Inputs!$C$36^2)))+Inputs!$C$37*(0.55*SIN(2*PI()*(Scenario_Data!W198)/Inputs!$C$39)+0.35*COS(2*PI()*(Inputs!$C$6)/Inputs!$C$40)+0.2*SIN(2*PI()*((Scenario_Data!W198)+(Inputs!$C$6))/(0.5*(Inputs!$C$39+Inputs!$C$40))))+Inputs!$C$38*SIN(2*PI()*(Scenario_Data!W198)/Inputs!$C$39)*SIN(2*PI()*(Inputs!$C$6)/Inputs!$C$40)+-Inputs!$C$41*EXP(-(((Inputs!$C$6)-Inputs!$C$43)^2)/(2*Inputs!$C$44^2))*EXP(-(((Scenario_Data!W198)-Inputs!$C$42)^2)/(2*Inputs!$C$45^2))+Inputs!$C$48*(0.7*(0.45*SIN(2*PI()*(((Scenario_Data!W198)/Inputs!$C$49)+Inputs!$C$47*0.137))+0.35*COS(2*PI()*(((Inputs!$C$6)/Inputs!$C$50)+Inputs!$C$47*0.173))+0.2*SIN(2*PI()*((((Scenario_Data!W198)+(Inputs!$C$6))/(0.5*(Inputs!$C$49+Inputs!$C$50)))+Inputs!$C$47*0.097)))+0.3*(2*((SIN(((Scenario_Data!W198)*12.9898+(Inputs!$C$6)*78.233+Inputs!$C$47*37.719))*43758.5453)-INT((SIN(((Scenario_Data!W198)*12.9898+(Inputs!$C$6)*78.233+Inputs!$C$47*37.719))*43758.5453)))-1))))/1000))*COS(SQRT((Scenario_Data!W198)^2+Inputs!$C$6^2)/Inputs!$C$52))*1000)/Inputs!$C$21*1000000</f>
        <v/>
      </c>
    </row>
    <row r="199">
      <c r="A199">
        <f>Chart_Data!K199</f>
        <v/>
      </c>
      <c r="B199">
        <f>Chart_Data!N199-Chart_Data!L199</f>
        <v/>
      </c>
      <c r="D199">
        <f>Chart_Data!G199</f>
        <v/>
      </c>
      <c r="E199">
        <f>Chart_Data!H199</f>
        <v/>
      </c>
      <c r="F199">
        <f>Chart_Data!I199</f>
        <v/>
      </c>
      <c r="G199">
        <f>Chart_Data!J199</f>
        <v/>
      </c>
      <c r="I199">
        <f>Scenario_Data!A199</f>
        <v/>
      </c>
      <c r="J199">
        <f>Scenario_Data!H199-(((SQRT((Inputs!$C$52+(Inputs!$H$6))^2+Inputs!$C$52^2-2*(Inputs!$C$52+(Inputs!$H$6))*Inputs!$C$52*COS(SQRT((Scenario_Data!T199)^2+Inputs!$C$6^2)/Inputs!$C$52)))-(Inputs!$H$6))*1000/Inputs!$C$12)</f>
        <v/>
      </c>
      <c r="K199">
        <f>Scenario_Data!I199-(((SQRT((Inputs!$C$52+(Inputs!$H$7))^2+Inputs!$C$52^2-2*(Inputs!$C$52+(Inputs!$H$7))*Inputs!$C$52*COS(SQRT((Scenario_Data!U199)^2+Inputs!$C$6^2)/Inputs!$C$52)))-(Inputs!$H$7))*1000/Inputs!$C$12)</f>
        <v/>
      </c>
      <c r="L199">
        <f>Scenario_Data!J199-(((SQRT((Inputs!$C$52+(Inputs!$H$8))^2+Inputs!$C$52^2-2*(Inputs!$C$52+(Inputs!$H$8))*Inputs!$C$52*COS(SQRT((Scenario_Data!V199)^2+Inputs!$C$6^2)/Inputs!$C$52)))-(Inputs!$H$8))*1000/Inputs!$C$12)</f>
        <v/>
      </c>
      <c r="M199">
        <f>Scenario_Data!K199-(((SQRT((Inputs!$C$52+(Inputs!$H$9))^2+Inputs!$C$52^2-2*(Inputs!$C$52+(Inputs!$H$9))*Inputs!$C$52*COS(SQRT((Scenario_Data!W199)^2+Inputs!$C$6^2)/Inputs!$C$52)))-(Inputs!$H$9))*1000/Inputs!$C$12)</f>
        <v/>
      </c>
      <c r="O199">
        <f>Scenario_Data!T199</f>
        <v/>
      </c>
      <c r="P199">
        <f>2*(Scenario_Data!B199*1000)/Inputs!$C$21*1000000</f>
        <v/>
      </c>
      <c r="Q199">
        <f>Scenario_Data!U199</f>
        <v/>
      </c>
      <c r="R199">
        <f>2*(Scenario_Data!C199*1000)/Inputs!$C$21*1000000</f>
        <v/>
      </c>
      <c r="S199">
        <f>Scenario_Data!V199</f>
        <v/>
      </c>
      <c r="T199">
        <f>2*(Scenario_Data!D199*1000)/Inputs!$C$21*1000000</f>
        <v/>
      </c>
      <c r="U199">
        <f>Scenario_Data!W199</f>
        <v/>
      </c>
      <c r="V199">
        <f>2*(Scenario_Data!E199*1000)/Inputs!$C$21*1000000</f>
        <v/>
      </c>
      <c r="X199">
        <f>Scenario_Data!T199</f>
        <v/>
      </c>
      <c r="Y199">
        <f>2*((Scenario_Data!B199*1000)-(IF(OR(Inputs!$C$27=TRUE,Inputs!$C$27="TRUE",Inputs!$C$27=1),1,0)*(Inputs!$C$51*(115*EXP(-(((0)-25)^2)/(4.5^2))+70*EXP(-(((0)+38)^2)/(7^2))*(0.55+0.45*SIN(2*PI()*(Scenario_Data!T199)/45))+24*SIN(2*PI()*(0)/9+(Scenario_Data!T199)/18)*EXP(-(((0)+5)^2)/(22^2))+18*SIN(2*PI()*(Scenario_Data!T199)/70))+Inputs!$C$28*EXP(-(((Scenario_Data!T199)-Inputs!$C$29)^2)/(2*Inputs!$C$31^2))*EXP(-(((0)-Inputs!$C$30)^2)/(2*Inputs!$C$32^2))+-Inputs!$C$33*EXP(-(((((Scenario_Data!T199)-Inputs!$C$34)^2)+(((0)-Inputs!$C$35)^2))/(2*Inputs!$C$36^2)))+Inputs!$C$37*(0.55*SIN(2*PI()*(Scenario_Data!T199)/Inputs!$C$39)+0.35*COS(2*PI()*(0)/Inputs!$C$40)+0.2*SIN(2*PI()*((Scenario_Data!T199)+(0))/(0.5*(Inputs!$C$39+Inputs!$C$40))))+Inputs!$C$38*SIN(2*PI()*(Scenario_Data!T199)/Inputs!$C$39)*SIN(2*PI()*(0)/Inputs!$C$40)+-Inputs!$C$41*EXP(-(((0)-Inputs!$C$43)^2)/(2*Inputs!$C$44^2))*EXP(-(((Scenario_Data!T199)-Inputs!$C$42)^2)/(2*Inputs!$C$45^2))+Inputs!$C$48*(0.7*(0.45*SIN(2*PI()*(((Scenario_Data!T199)/Inputs!$C$49)+Inputs!$C$47*0.137))+0.35*COS(2*PI()*(((0)/Inputs!$C$50)+Inputs!$C$47*0.173))+0.2*SIN(2*PI()*((((Scenario_Data!T199)+(0))/(0.5*(Inputs!$C$49+Inputs!$C$50)))+Inputs!$C$47*0.097)))+0.3*(2*((SIN(((Scenario_Data!T199)*12.9898+(0)*78.233+Inputs!$C$47*37.719))*43758.5453)-INT((SIN(((Scenario_Data!T199)*12.9898+(0)*78.233+Inputs!$C$47*37.719))*43758.5453)))-1)))))/Inputs!$C$21*1000000</f>
        <v/>
      </c>
      <c r="Z199">
        <f>Scenario_Data!U199</f>
        <v/>
      </c>
      <c r="AA199">
        <f>2*((Scenario_Data!C199*1000)-(IF(OR(Inputs!$C$27=TRUE,Inputs!$C$27="TRUE",Inputs!$C$27=1),1,0)*(Inputs!$C$51*(115*EXP(-(((0)-25)^2)/(4.5^2))+70*EXP(-(((0)+38)^2)/(7^2))*(0.55+0.45*SIN(2*PI()*(Scenario_Data!U199)/45))+24*SIN(2*PI()*(0)/9+(Scenario_Data!U199)/18)*EXP(-(((0)+5)^2)/(22^2))+18*SIN(2*PI()*(Scenario_Data!U199)/70))+Inputs!$C$28*EXP(-(((Scenario_Data!U199)-Inputs!$C$29)^2)/(2*Inputs!$C$31^2))*EXP(-(((0)-Inputs!$C$30)^2)/(2*Inputs!$C$32^2))+-Inputs!$C$33*EXP(-(((((Scenario_Data!U199)-Inputs!$C$34)^2)+(((0)-Inputs!$C$35)^2))/(2*Inputs!$C$36^2)))+Inputs!$C$37*(0.55*SIN(2*PI()*(Scenario_Data!U199)/Inputs!$C$39)+0.35*COS(2*PI()*(0)/Inputs!$C$40)+0.2*SIN(2*PI()*((Scenario_Data!U199)+(0))/(0.5*(Inputs!$C$39+Inputs!$C$40))))+Inputs!$C$38*SIN(2*PI()*(Scenario_Data!U199)/Inputs!$C$39)*SIN(2*PI()*(0)/Inputs!$C$40)+-Inputs!$C$41*EXP(-(((0)-Inputs!$C$43)^2)/(2*Inputs!$C$44^2))*EXP(-(((Scenario_Data!U199)-Inputs!$C$42)^2)/(2*Inputs!$C$45^2))+Inputs!$C$48*(0.7*(0.45*SIN(2*PI()*(((Scenario_Data!U199)/Inputs!$C$49)+Inputs!$C$47*0.137))+0.35*COS(2*PI()*(((0)/Inputs!$C$50)+Inputs!$C$47*0.173))+0.2*SIN(2*PI()*((((Scenario_Data!U199)+(0))/(0.5*(Inputs!$C$49+Inputs!$C$50)))+Inputs!$C$47*0.097)))+0.3*(2*((SIN(((Scenario_Data!U199)*12.9898+(0)*78.233+Inputs!$C$47*37.719))*43758.5453)-INT((SIN(((Scenario_Data!U199)*12.9898+(0)*78.233+Inputs!$C$47*37.719))*43758.5453)))-1)))))/Inputs!$C$21*1000000</f>
        <v/>
      </c>
      <c r="AB199">
        <f>Scenario_Data!V199</f>
        <v/>
      </c>
      <c r="AC199">
        <f>2*((Scenario_Data!D199*1000)-(IF(OR(Inputs!$C$27=TRUE,Inputs!$C$27="TRUE",Inputs!$C$27=1),1,0)*(Inputs!$C$51*(115*EXP(-(((0)-25)^2)/(4.5^2))+70*EXP(-(((0)+38)^2)/(7^2))*(0.55+0.45*SIN(2*PI()*(Scenario_Data!V199)/45))+24*SIN(2*PI()*(0)/9+(Scenario_Data!V199)/18)*EXP(-(((0)+5)^2)/(22^2))+18*SIN(2*PI()*(Scenario_Data!V199)/70))+Inputs!$C$28*EXP(-(((Scenario_Data!V199)-Inputs!$C$29)^2)/(2*Inputs!$C$31^2))*EXP(-(((0)-Inputs!$C$30)^2)/(2*Inputs!$C$32^2))+-Inputs!$C$33*EXP(-(((((Scenario_Data!V199)-Inputs!$C$34)^2)+(((0)-Inputs!$C$35)^2))/(2*Inputs!$C$36^2)))+Inputs!$C$37*(0.55*SIN(2*PI()*(Scenario_Data!V199)/Inputs!$C$39)+0.35*COS(2*PI()*(0)/Inputs!$C$40)+0.2*SIN(2*PI()*((Scenario_Data!V199)+(0))/(0.5*(Inputs!$C$39+Inputs!$C$40))))+Inputs!$C$38*SIN(2*PI()*(Scenario_Data!V199)/Inputs!$C$39)*SIN(2*PI()*(0)/Inputs!$C$40)+-Inputs!$C$41*EXP(-(((0)-Inputs!$C$43)^2)/(2*Inputs!$C$44^2))*EXP(-(((Scenario_Data!V199)-Inputs!$C$42)^2)/(2*Inputs!$C$45^2))+Inputs!$C$48*(0.7*(0.45*SIN(2*PI()*(((Scenario_Data!V199)/Inputs!$C$49)+Inputs!$C$47*0.137))+0.35*COS(2*PI()*(((0)/Inputs!$C$50)+Inputs!$C$47*0.173))+0.2*SIN(2*PI()*((((Scenario_Data!V199)+(0))/(0.5*(Inputs!$C$49+Inputs!$C$50)))+Inputs!$C$47*0.097)))+0.3*(2*((SIN(((Scenario_Data!V199)*12.9898+(0)*78.233+Inputs!$C$47*37.719))*43758.5453)-INT((SIN(((Scenario_Data!V199)*12.9898+(0)*78.233+Inputs!$C$47*37.719))*43758.5453)))-1)))))/Inputs!$C$21*1000000</f>
        <v/>
      </c>
      <c r="AD199">
        <f>Scenario_Data!W199</f>
        <v/>
      </c>
      <c r="AE199">
        <f>2*((Scenario_Data!E199*1000)-(IF(OR(Inputs!$C$27=TRUE,Inputs!$C$27="TRUE",Inputs!$C$27=1),1,0)*(Inputs!$C$51*(115*EXP(-(((0)-25)^2)/(4.5^2))+70*EXP(-(((0)+38)^2)/(7^2))*(0.55+0.45*SIN(2*PI()*(Scenario_Data!W199)/45))+24*SIN(2*PI()*(0)/9+(Scenario_Data!W199)/18)*EXP(-(((0)+5)^2)/(22^2))+18*SIN(2*PI()*(Scenario_Data!W199)/70))+Inputs!$C$28*EXP(-(((Scenario_Data!W199)-Inputs!$C$29)^2)/(2*Inputs!$C$31^2))*EXP(-(((0)-Inputs!$C$30)^2)/(2*Inputs!$C$32^2))+-Inputs!$C$33*EXP(-(((((Scenario_Data!W199)-Inputs!$C$34)^2)+(((0)-Inputs!$C$35)^2))/(2*Inputs!$C$36^2)))+Inputs!$C$37*(0.55*SIN(2*PI()*(Scenario_Data!W199)/Inputs!$C$39)+0.35*COS(2*PI()*(0)/Inputs!$C$40)+0.2*SIN(2*PI()*((Scenario_Data!W199)+(0))/(0.5*(Inputs!$C$39+Inputs!$C$40))))+Inputs!$C$38*SIN(2*PI()*(Scenario_Data!W199)/Inputs!$C$39)*SIN(2*PI()*(0)/Inputs!$C$40)+-Inputs!$C$41*EXP(-(((0)-Inputs!$C$43)^2)/(2*Inputs!$C$44^2))*EXP(-(((Scenario_Data!W199)-Inputs!$C$42)^2)/(2*Inputs!$C$45^2))+Inputs!$C$48*(0.7*(0.45*SIN(2*PI()*(((Scenario_Data!W199)/Inputs!$C$49)+Inputs!$C$47*0.137))+0.35*COS(2*PI()*(((0)/Inputs!$C$50)+Inputs!$C$47*0.173))+0.2*SIN(2*PI()*((((Scenario_Data!W199)+(0))/(0.5*(Inputs!$C$49+Inputs!$C$50)))+Inputs!$C$47*0.097)))+0.3*(2*((SIN(((Scenario_Data!W199)*12.9898+(0)*78.233+Inputs!$C$47*37.719))*43758.5453)-INT((SIN(((Scenario_Data!W199)*12.9898+(0)*78.233+Inputs!$C$47*37.719))*43758.5453)))-1)))))/Inputs!$C$21*1000000</f>
        <v/>
      </c>
      <c r="AG199">
        <f>Scenario_Data!T199</f>
        <v/>
      </c>
      <c r="AH199">
        <f>2*(SQRT((Inputs!$C$52+(Scenario_Data!B199))^2+Inputs!$C$52^2-2*(Inputs!$C$52+(Scenario_Data!B199))*Inputs!$C$52*COS(SQRT((Scenario_Data!T199)^2+Inputs!$C$6^2)/Inputs!$C$52))*1000)/Inputs!$C$21*1000000</f>
        <v/>
      </c>
      <c r="AI199">
        <f>Scenario_Data!U199</f>
        <v/>
      </c>
      <c r="AJ199">
        <f>2*(SQRT((Inputs!$C$52+(Scenario_Data!C199))^2+Inputs!$C$52^2-2*(Inputs!$C$52+(Scenario_Data!C199))*Inputs!$C$52*COS(SQRT((Scenario_Data!U199)^2+Inputs!$C$6^2)/Inputs!$C$52))*1000)/Inputs!$C$21*1000000</f>
        <v/>
      </c>
      <c r="AK199">
        <f>Scenario_Data!V199</f>
        <v/>
      </c>
      <c r="AL199">
        <f>2*(SQRT((Inputs!$C$52+(Scenario_Data!D199))^2+Inputs!$C$52^2-2*(Inputs!$C$52+(Scenario_Data!D199))*Inputs!$C$52*COS(SQRT((Scenario_Data!V199)^2+Inputs!$C$6^2)/Inputs!$C$52))*1000)/Inputs!$C$21*1000000</f>
        <v/>
      </c>
      <c r="AM199">
        <f>Scenario_Data!W199</f>
        <v/>
      </c>
      <c r="AN199">
        <f>2*(SQRT((Inputs!$C$52+(Scenario_Data!E199))^2+Inputs!$C$52^2-2*(Inputs!$C$52+(Scenario_Data!E199))*Inputs!$C$52*COS(SQRT((Scenario_Data!W199)^2+Inputs!$C$6^2)/Inputs!$C$52))*1000)/Inputs!$C$21*1000000</f>
        <v/>
      </c>
      <c r="AP199">
        <f>Scenario_Data!T199</f>
        <v/>
      </c>
      <c r="AQ199">
        <f>2*(SQRT((Inputs!$C$52+(Scenario_Data!B199))^2+(Inputs!$C$52+((IF(OR(Inputs!$C$27=TRUE,Inputs!$C$27="TRUE",Inputs!$C$27=1),1,0)*(Inputs!$C$51*(115*EXP(-(((Inputs!$C$6)-25)^2)/(4.5^2))+70*EXP(-(((Inputs!$C$6)+38)^2)/(7^2))*(0.55+0.45*SIN(2*PI()*(Scenario_Data!T199)/45))+24*SIN(2*PI()*(Inputs!$C$6)/9+(Scenario_Data!T199)/18)*EXP(-(((Inputs!$C$6)+5)^2)/(22^2))+18*SIN(2*PI()*(Scenario_Data!T199)/70))+Inputs!$C$28*EXP(-(((Scenario_Data!T199)-Inputs!$C$29)^2)/(2*Inputs!$C$31^2))*EXP(-(((Inputs!$C$6)-Inputs!$C$30)^2)/(2*Inputs!$C$32^2))+-Inputs!$C$33*EXP(-(((((Scenario_Data!T199)-Inputs!$C$34)^2)+(((Inputs!$C$6)-Inputs!$C$35)^2))/(2*Inputs!$C$36^2)))+Inputs!$C$37*(0.55*SIN(2*PI()*(Scenario_Data!T199)/Inputs!$C$39)+0.35*COS(2*PI()*(Inputs!$C$6)/Inputs!$C$40)+0.2*SIN(2*PI()*((Scenario_Data!T199)+(Inputs!$C$6))/(0.5*(Inputs!$C$39+Inputs!$C$40))))+Inputs!$C$38*SIN(2*PI()*(Scenario_Data!T199)/Inputs!$C$39)*SIN(2*PI()*(Inputs!$C$6)/Inputs!$C$40)+-Inputs!$C$41*EXP(-(((Inputs!$C$6)-Inputs!$C$43)^2)/(2*Inputs!$C$44^2))*EXP(-(((Scenario_Data!T199)-Inputs!$C$42)^2)/(2*Inputs!$C$45^2))+Inputs!$C$48*(0.7*(0.45*SIN(2*PI()*(((Scenario_Data!T199)/Inputs!$C$49)+Inputs!$C$47*0.137))+0.35*COS(2*PI()*(((Inputs!$C$6)/Inputs!$C$50)+Inputs!$C$47*0.173))+0.2*SIN(2*PI()*((((Scenario_Data!T199)+(Inputs!$C$6))/(0.5*(Inputs!$C$49+Inputs!$C$50)))+Inputs!$C$47*0.097)))+0.3*(2*((SIN(((Scenario_Data!T199)*12.9898+(Inputs!$C$6)*78.233+Inputs!$C$47*37.719))*43758.5453)-INT((SIN(((Scenario_Data!T199)*12.9898+(Inputs!$C$6)*78.233+Inputs!$C$47*37.719))*43758.5453)))-1))))/1000))^2-2*(Inputs!$C$52+(Scenario_Data!B199))*(Inputs!$C$52+((IF(OR(Inputs!$C$27=TRUE,Inputs!$C$27="TRUE",Inputs!$C$27=1),1,0)*(Inputs!$C$51*(115*EXP(-(((Inputs!$C$6)-25)^2)/(4.5^2))+70*EXP(-(((Inputs!$C$6)+38)^2)/(7^2))*(0.55+0.45*SIN(2*PI()*(Scenario_Data!T199)/45))+24*SIN(2*PI()*(Inputs!$C$6)/9+(Scenario_Data!T199)/18)*EXP(-(((Inputs!$C$6)+5)^2)/(22^2))+18*SIN(2*PI()*(Scenario_Data!T199)/70))+Inputs!$C$28*EXP(-(((Scenario_Data!T199)-Inputs!$C$29)^2)/(2*Inputs!$C$31^2))*EXP(-(((Inputs!$C$6)-Inputs!$C$30)^2)/(2*Inputs!$C$32^2))+-Inputs!$C$33*EXP(-(((((Scenario_Data!T199)-Inputs!$C$34)^2)+(((Inputs!$C$6)-Inputs!$C$35)^2))/(2*Inputs!$C$36^2)))+Inputs!$C$37*(0.55*SIN(2*PI()*(Scenario_Data!T199)/Inputs!$C$39)+0.35*COS(2*PI()*(Inputs!$C$6)/Inputs!$C$40)+0.2*SIN(2*PI()*((Scenario_Data!T199)+(Inputs!$C$6))/(0.5*(Inputs!$C$39+Inputs!$C$40))))+Inputs!$C$38*SIN(2*PI()*(Scenario_Data!T199)/Inputs!$C$39)*SIN(2*PI()*(Inputs!$C$6)/Inputs!$C$40)+-Inputs!$C$41*EXP(-(((Inputs!$C$6)-Inputs!$C$43)^2)/(2*Inputs!$C$44^2))*EXP(-(((Scenario_Data!T199)-Inputs!$C$42)^2)/(2*Inputs!$C$45^2))+Inputs!$C$48*(0.7*(0.45*SIN(2*PI()*(((Scenario_Data!T199)/Inputs!$C$49)+Inputs!$C$47*0.137))+0.35*COS(2*PI()*(((Inputs!$C$6)/Inputs!$C$50)+Inputs!$C$47*0.173))+0.2*SIN(2*PI()*((((Scenario_Data!T199)+(Inputs!$C$6))/(0.5*(Inputs!$C$49+Inputs!$C$50)))+Inputs!$C$47*0.097)))+0.3*(2*((SIN(((Scenario_Data!T199)*12.9898+(Inputs!$C$6)*78.233+Inputs!$C$47*37.719))*43758.5453)-INT((SIN(((Scenario_Data!T199)*12.9898+(Inputs!$C$6)*78.233+Inputs!$C$47*37.719))*43758.5453)))-1))))/1000))*COS(SQRT((Scenario_Data!T199)^2+Inputs!$C$6^2)/Inputs!$C$52))*1000)/Inputs!$C$21*1000000</f>
        <v/>
      </c>
      <c r="AR199">
        <f>Scenario_Data!U199</f>
        <v/>
      </c>
      <c r="AS199">
        <f>2*(SQRT((Inputs!$C$52+(Scenario_Data!C199))^2+(Inputs!$C$52+((IF(OR(Inputs!$C$27=TRUE,Inputs!$C$27="TRUE",Inputs!$C$27=1),1,0)*(Inputs!$C$51*(115*EXP(-(((Inputs!$C$6)-25)^2)/(4.5^2))+70*EXP(-(((Inputs!$C$6)+38)^2)/(7^2))*(0.55+0.45*SIN(2*PI()*(Scenario_Data!U199)/45))+24*SIN(2*PI()*(Inputs!$C$6)/9+(Scenario_Data!U199)/18)*EXP(-(((Inputs!$C$6)+5)^2)/(22^2))+18*SIN(2*PI()*(Scenario_Data!U199)/70))+Inputs!$C$28*EXP(-(((Scenario_Data!U199)-Inputs!$C$29)^2)/(2*Inputs!$C$31^2))*EXP(-(((Inputs!$C$6)-Inputs!$C$30)^2)/(2*Inputs!$C$32^2))+-Inputs!$C$33*EXP(-(((((Scenario_Data!U199)-Inputs!$C$34)^2)+(((Inputs!$C$6)-Inputs!$C$35)^2))/(2*Inputs!$C$36^2)))+Inputs!$C$37*(0.55*SIN(2*PI()*(Scenario_Data!U199)/Inputs!$C$39)+0.35*COS(2*PI()*(Inputs!$C$6)/Inputs!$C$40)+0.2*SIN(2*PI()*((Scenario_Data!U199)+(Inputs!$C$6))/(0.5*(Inputs!$C$39+Inputs!$C$40))))+Inputs!$C$38*SIN(2*PI()*(Scenario_Data!U199)/Inputs!$C$39)*SIN(2*PI()*(Inputs!$C$6)/Inputs!$C$40)+-Inputs!$C$41*EXP(-(((Inputs!$C$6)-Inputs!$C$43)^2)/(2*Inputs!$C$44^2))*EXP(-(((Scenario_Data!U199)-Inputs!$C$42)^2)/(2*Inputs!$C$45^2))+Inputs!$C$48*(0.7*(0.45*SIN(2*PI()*(((Scenario_Data!U199)/Inputs!$C$49)+Inputs!$C$47*0.137))+0.35*COS(2*PI()*(((Inputs!$C$6)/Inputs!$C$50)+Inputs!$C$47*0.173))+0.2*SIN(2*PI()*((((Scenario_Data!U199)+(Inputs!$C$6))/(0.5*(Inputs!$C$49+Inputs!$C$50)))+Inputs!$C$47*0.097)))+0.3*(2*((SIN(((Scenario_Data!U199)*12.9898+(Inputs!$C$6)*78.233+Inputs!$C$47*37.719))*43758.5453)-INT((SIN(((Scenario_Data!U199)*12.9898+(Inputs!$C$6)*78.233+Inputs!$C$47*37.719))*43758.5453)))-1))))/1000))^2-2*(Inputs!$C$52+(Scenario_Data!C199))*(Inputs!$C$52+((IF(OR(Inputs!$C$27=TRUE,Inputs!$C$27="TRUE",Inputs!$C$27=1),1,0)*(Inputs!$C$51*(115*EXP(-(((Inputs!$C$6)-25)^2)/(4.5^2))+70*EXP(-(((Inputs!$C$6)+38)^2)/(7^2))*(0.55+0.45*SIN(2*PI()*(Scenario_Data!U199)/45))+24*SIN(2*PI()*(Inputs!$C$6)/9+(Scenario_Data!U199)/18)*EXP(-(((Inputs!$C$6)+5)^2)/(22^2))+18*SIN(2*PI()*(Scenario_Data!U199)/70))+Inputs!$C$28*EXP(-(((Scenario_Data!U199)-Inputs!$C$29)^2)/(2*Inputs!$C$31^2))*EXP(-(((Inputs!$C$6)-Inputs!$C$30)^2)/(2*Inputs!$C$32^2))+-Inputs!$C$33*EXP(-(((((Scenario_Data!U199)-Inputs!$C$34)^2)+(((Inputs!$C$6)-Inputs!$C$35)^2))/(2*Inputs!$C$36^2)))+Inputs!$C$37*(0.55*SIN(2*PI()*(Scenario_Data!U199)/Inputs!$C$39)+0.35*COS(2*PI()*(Inputs!$C$6)/Inputs!$C$40)+0.2*SIN(2*PI()*((Scenario_Data!U199)+(Inputs!$C$6))/(0.5*(Inputs!$C$39+Inputs!$C$40))))+Inputs!$C$38*SIN(2*PI()*(Scenario_Data!U199)/Inputs!$C$39)*SIN(2*PI()*(Inputs!$C$6)/Inputs!$C$40)+-Inputs!$C$41*EXP(-(((Inputs!$C$6)-Inputs!$C$43)^2)/(2*Inputs!$C$44^2))*EXP(-(((Scenario_Data!U199)-Inputs!$C$42)^2)/(2*Inputs!$C$45^2))+Inputs!$C$48*(0.7*(0.45*SIN(2*PI()*(((Scenario_Data!U199)/Inputs!$C$49)+Inputs!$C$47*0.137))+0.35*COS(2*PI()*(((Inputs!$C$6)/Inputs!$C$50)+Inputs!$C$47*0.173))+0.2*SIN(2*PI()*((((Scenario_Data!U199)+(Inputs!$C$6))/(0.5*(Inputs!$C$49+Inputs!$C$50)))+Inputs!$C$47*0.097)))+0.3*(2*((SIN(((Scenario_Data!U199)*12.9898+(Inputs!$C$6)*78.233+Inputs!$C$47*37.719))*43758.5453)-INT((SIN(((Scenario_Data!U199)*12.9898+(Inputs!$C$6)*78.233+Inputs!$C$47*37.719))*43758.5453)))-1))))/1000))*COS(SQRT((Scenario_Data!U199)^2+Inputs!$C$6^2)/Inputs!$C$52))*1000)/Inputs!$C$21*1000000</f>
        <v/>
      </c>
      <c r="AT199">
        <f>Scenario_Data!V199</f>
        <v/>
      </c>
      <c r="AU199">
        <f>2*(SQRT((Inputs!$C$52+(Scenario_Data!D199))^2+(Inputs!$C$52+((IF(OR(Inputs!$C$27=TRUE,Inputs!$C$27="TRUE",Inputs!$C$27=1),1,0)*(Inputs!$C$51*(115*EXP(-(((Inputs!$C$6)-25)^2)/(4.5^2))+70*EXP(-(((Inputs!$C$6)+38)^2)/(7^2))*(0.55+0.45*SIN(2*PI()*(Scenario_Data!V199)/45))+24*SIN(2*PI()*(Inputs!$C$6)/9+(Scenario_Data!V199)/18)*EXP(-(((Inputs!$C$6)+5)^2)/(22^2))+18*SIN(2*PI()*(Scenario_Data!V199)/70))+Inputs!$C$28*EXP(-(((Scenario_Data!V199)-Inputs!$C$29)^2)/(2*Inputs!$C$31^2))*EXP(-(((Inputs!$C$6)-Inputs!$C$30)^2)/(2*Inputs!$C$32^2))+-Inputs!$C$33*EXP(-(((((Scenario_Data!V199)-Inputs!$C$34)^2)+(((Inputs!$C$6)-Inputs!$C$35)^2))/(2*Inputs!$C$36^2)))+Inputs!$C$37*(0.55*SIN(2*PI()*(Scenario_Data!V199)/Inputs!$C$39)+0.35*COS(2*PI()*(Inputs!$C$6)/Inputs!$C$40)+0.2*SIN(2*PI()*((Scenario_Data!V199)+(Inputs!$C$6))/(0.5*(Inputs!$C$39+Inputs!$C$40))))+Inputs!$C$38*SIN(2*PI()*(Scenario_Data!V199)/Inputs!$C$39)*SIN(2*PI()*(Inputs!$C$6)/Inputs!$C$40)+-Inputs!$C$41*EXP(-(((Inputs!$C$6)-Inputs!$C$43)^2)/(2*Inputs!$C$44^2))*EXP(-(((Scenario_Data!V199)-Inputs!$C$42)^2)/(2*Inputs!$C$45^2))+Inputs!$C$48*(0.7*(0.45*SIN(2*PI()*(((Scenario_Data!V199)/Inputs!$C$49)+Inputs!$C$47*0.137))+0.35*COS(2*PI()*(((Inputs!$C$6)/Inputs!$C$50)+Inputs!$C$47*0.173))+0.2*SIN(2*PI()*((((Scenario_Data!V199)+(Inputs!$C$6))/(0.5*(Inputs!$C$49+Inputs!$C$50)))+Inputs!$C$47*0.097)))+0.3*(2*((SIN(((Scenario_Data!V199)*12.9898+(Inputs!$C$6)*78.233+Inputs!$C$47*37.719))*43758.5453)-INT((SIN(((Scenario_Data!V199)*12.9898+(Inputs!$C$6)*78.233+Inputs!$C$47*37.719))*43758.5453)))-1))))/1000))^2-2*(Inputs!$C$52+(Scenario_Data!D199))*(Inputs!$C$52+((IF(OR(Inputs!$C$27=TRUE,Inputs!$C$27="TRUE",Inputs!$C$27=1),1,0)*(Inputs!$C$51*(115*EXP(-(((Inputs!$C$6)-25)^2)/(4.5^2))+70*EXP(-(((Inputs!$C$6)+38)^2)/(7^2))*(0.55+0.45*SIN(2*PI()*(Scenario_Data!V199)/45))+24*SIN(2*PI()*(Inputs!$C$6)/9+(Scenario_Data!V199)/18)*EXP(-(((Inputs!$C$6)+5)^2)/(22^2))+18*SIN(2*PI()*(Scenario_Data!V199)/70))+Inputs!$C$28*EXP(-(((Scenario_Data!V199)-Inputs!$C$29)^2)/(2*Inputs!$C$31^2))*EXP(-(((Inputs!$C$6)-Inputs!$C$30)^2)/(2*Inputs!$C$32^2))+-Inputs!$C$33*EXP(-(((((Scenario_Data!V199)-Inputs!$C$34)^2)+(((Inputs!$C$6)-Inputs!$C$35)^2))/(2*Inputs!$C$36^2)))+Inputs!$C$37*(0.55*SIN(2*PI()*(Scenario_Data!V199)/Inputs!$C$39)+0.35*COS(2*PI()*(Inputs!$C$6)/Inputs!$C$40)+0.2*SIN(2*PI()*((Scenario_Data!V199)+(Inputs!$C$6))/(0.5*(Inputs!$C$39+Inputs!$C$40))))+Inputs!$C$38*SIN(2*PI()*(Scenario_Data!V199)/Inputs!$C$39)*SIN(2*PI()*(Inputs!$C$6)/Inputs!$C$40)+-Inputs!$C$41*EXP(-(((Inputs!$C$6)-Inputs!$C$43)^2)/(2*Inputs!$C$44^2))*EXP(-(((Scenario_Data!V199)-Inputs!$C$42)^2)/(2*Inputs!$C$45^2))+Inputs!$C$48*(0.7*(0.45*SIN(2*PI()*(((Scenario_Data!V199)/Inputs!$C$49)+Inputs!$C$47*0.137))+0.35*COS(2*PI()*(((Inputs!$C$6)/Inputs!$C$50)+Inputs!$C$47*0.173))+0.2*SIN(2*PI()*((((Scenario_Data!V199)+(Inputs!$C$6))/(0.5*(Inputs!$C$49+Inputs!$C$50)))+Inputs!$C$47*0.097)))+0.3*(2*((SIN(((Scenario_Data!V199)*12.9898+(Inputs!$C$6)*78.233+Inputs!$C$47*37.719))*43758.5453)-INT((SIN(((Scenario_Data!V199)*12.9898+(Inputs!$C$6)*78.233+Inputs!$C$47*37.719))*43758.5453)))-1))))/1000))*COS(SQRT((Scenario_Data!V199)^2+Inputs!$C$6^2)/Inputs!$C$52))*1000)/Inputs!$C$21*1000000</f>
        <v/>
      </c>
      <c r="AV199">
        <f>Scenario_Data!W199</f>
        <v/>
      </c>
      <c r="AW199">
        <f>2*(SQRT((Inputs!$C$52+(Scenario_Data!E199))^2+(Inputs!$C$52+((IF(OR(Inputs!$C$27=TRUE,Inputs!$C$27="TRUE",Inputs!$C$27=1),1,0)*(Inputs!$C$51*(115*EXP(-(((Inputs!$C$6)-25)^2)/(4.5^2))+70*EXP(-(((Inputs!$C$6)+38)^2)/(7^2))*(0.55+0.45*SIN(2*PI()*(Scenario_Data!W199)/45))+24*SIN(2*PI()*(Inputs!$C$6)/9+(Scenario_Data!W199)/18)*EXP(-(((Inputs!$C$6)+5)^2)/(22^2))+18*SIN(2*PI()*(Scenario_Data!W199)/70))+Inputs!$C$28*EXP(-(((Scenario_Data!W199)-Inputs!$C$29)^2)/(2*Inputs!$C$31^2))*EXP(-(((Inputs!$C$6)-Inputs!$C$30)^2)/(2*Inputs!$C$32^2))+-Inputs!$C$33*EXP(-(((((Scenario_Data!W199)-Inputs!$C$34)^2)+(((Inputs!$C$6)-Inputs!$C$35)^2))/(2*Inputs!$C$36^2)))+Inputs!$C$37*(0.55*SIN(2*PI()*(Scenario_Data!W199)/Inputs!$C$39)+0.35*COS(2*PI()*(Inputs!$C$6)/Inputs!$C$40)+0.2*SIN(2*PI()*((Scenario_Data!W199)+(Inputs!$C$6))/(0.5*(Inputs!$C$39+Inputs!$C$40))))+Inputs!$C$38*SIN(2*PI()*(Scenario_Data!W199)/Inputs!$C$39)*SIN(2*PI()*(Inputs!$C$6)/Inputs!$C$40)+-Inputs!$C$41*EXP(-(((Inputs!$C$6)-Inputs!$C$43)^2)/(2*Inputs!$C$44^2))*EXP(-(((Scenario_Data!W199)-Inputs!$C$42)^2)/(2*Inputs!$C$45^2))+Inputs!$C$48*(0.7*(0.45*SIN(2*PI()*(((Scenario_Data!W199)/Inputs!$C$49)+Inputs!$C$47*0.137))+0.35*COS(2*PI()*(((Inputs!$C$6)/Inputs!$C$50)+Inputs!$C$47*0.173))+0.2*SIN(2*PI()*((((Scenario_Data!W199)+(Inputs!$C$6))/(0.5*(Inputs!$C$49+Inputs!$C$50)))+Inputs!$C$47*0.097)))+0.3*(2*((SIN(((Scenario_Data!W199)*12.9898+(Inputs!$C$6)*78.233+Inputs!$C$47*37.719))*43758.5453)-INT((SIN(((Scenario_Data!W199)*12.9898+(Inputs!$C$6)*78.233+Inputs!$C$47*37.719))*43758.5453)))-1))))/1000))^2-2*(Inputs!$C$52+(Scenario_Data!E199))*(Inputs!$C$52+((IF(OR(Inputs!$C$27=TRUE,Inputs!$C$27="TRUE",Inputs!$C$27=1),1,0)*(Inputs!$C$51*(115*EXP(-(((Inputs!$C$6)-25)^2)/(4.5^2))+70*EXP(-(((Inputs!$C$6)+38)^2)/(7^2))*(0.55+0.45*SIN(2*PI()*(Scenario_Data!W199)/45))+24*SIN(2*PI()*(Inputs!$C$6)/9+(Scenario_Data!W199)/18)*EXP(-(((Inputs!$C$6)+5)^2)/(22^2))+18*SIN(2*PI()*(Scenario_Data!W199)/70))+Inputs!$C$28*EXP(-(((Scenario_Data!W199)-Inputs!$C$29)^2)/(2*Inputs!$C$31^2))*EXP(-(((Inputs!$C$6)-Inputs!$C$30)^2)/(2*Inputs!$C$32^2))+-Inputs!$C$33*EXP(-(((((Scenario_Data!W199)-Inputs!$C$34)^2)+(((Inputs!$C$6)-Inputs!$C$35)^2))/(2*Inputs!$C$36^2)))+Inputs!$C$37*(0.55*SIN(2*PI()*(Scenario_Data!W199)/Inputs!$C$39)+0.35*COS(2*PI()*(Inputs!$C$6)/Inputs!$C$40)+0.2*SIN(2*PI()*((Scenario_Data!W199)+(Inputs!$C$6))/(0.5*(Inputs!$C$39+Inputs!$C$40))))+Inputs!$C$38*SIN(2*PI()*(Scenario_Data!W199)/Inputs!$C$39)*SIN(2*PI()*(Inputs!$C$6)/Inputs!$C$40)+-Inputs!$C$41*EXP(-(((Inputs!$C$6)-Inputs!$C$43)^2)/(2*Inputs!$C$44^2))*EXP(-(((Scenario_Data!W199)-Inputs!$C$42)^2)/(2*Inputs!$C$45^2))+Inputs!$C$48*(0.7*(0.45*SIN(2*PI()*(((Scenario_Data!W199)/Inputs!$C$49)+Inputs!$C$47*0.137))+0.35*COS(2*PI()*(((Inputs!$C$6)/Inputs!$C$50)+Inputs!$C$47*0.173))+0.2*SIN(2*PI()*((((Scenario_Data!W199)+(Inputs!$C$6))/(0.5*(Inputs!$C$49+Inputs!$C$50)))+Inputs!$C$47*0.097)))+0.3*(2*((SIN(((Scenario_Data!W199)*12.9898+(Inputs!$C$6)*78.233+Inputs!$C$47*37.719))*43758.5453)-INT((SIN(((Scenario_Data!W199)*12.9898+(Inputs!$C$6)*78.233+Inputs!$C$47*37.719))*43758.5453)))-1))))/1000))*COS(SQRT((Scenario_Data!W199)^2+Inputs!$C$6^2)/Inputs!$C$52))*1000)/Inputs!$C$21*1000000</f>
        <v/>
      </c>
    </row>
    <row r="200">
      <c r="A200">
        <f>Chart_Data!K200</f>
        <v/>
      </c>
      <c r="B200">
        <f>Chart_Data!N200-Chart_Data!L200</f>
        <v/>
      </c>
      <c r="D200">
        <f>Chart_Data!G200</f>
        <v/>
      </c>
      <c r="E200">
        <f>Chart_Data!H200</f>
        <v/>
      </c>
      <c r="F200">
        <f>Chart_Data!I200</f>
        <v/>
      </c>
      <c r="G200">
        <f>Chart_Data!J200</f>
        <v/>
      </c>
      <c r="I200">
        <f>Scenario_Data!A200</f>
        <v/>
      </c>
      <c r="J200">
        <f>Scenario_Data!H200-(((SQRT((Inputs!$C$52+(Inputs!$H$6))^2+Inputs!$C$52^2-2*(Inputs!$C$52+(Inputs!$H$6))*Inputs!$C$52*COS(SQRT((Scenario_Data!T200)^2+Inputs!$C$6^2)/Inputs!$C$52)))-(Inputs!$H$6))*1000/Inputs!$C$12)</f>
        <v/>
      </c>
      <c r="K200">
        <f>Scenario_Data!I200-(((SQRT((Inputs!$C$52+(Inputs!$H$7))^2+Inputs!$C$52^2-2*(Inputs!$C$52+(Inputs!$H$7))*Inputs!$C$52*COS(SQRT((Scenario_Data!U200)^2+Inputs!$C$6^2)/Inputs!$C$52)))-(Inputs!$H$7))*1000/Inputs!$C$12)</f>
        <v/>
      </c>
      <c r="L200">
        <f>Scenario_Data!J200-(((SQRT((Inputs!$C$52+(Inputs!$H$8))^2+Inputs!$C$52^2-2*(Inputs!$C$52+(Inputs!$H$8))*Inputs!$C$52*COS(SQRT((Scenario_Data!V200)^2+Inputs!$C$6^2)/Inputs!$C$52)))-(Inputs!$H$8))*1000/Inputs!$C$12)</f>
        <v/>
      </c>
      <c r="M200">
        <f>Scenario_Data!K200-(((SQRT((Inputs!$C$52+(Inputs!$H$9))^2+Inputs!$C$52^2-2*(Inputs!$C$52+(Inputs!$H$9))*Inputs!$C$52*COS(SQRT((Scenario_Data!W200)^2+Inputs!$C$6^2)/Inputs!$C$52)))-(Inputs!$H$9))*1000/Inputs!$C$12)</f>
        <v/>
      </c>
      <c r="O200">
        <f>Scenario_Data!T200</f>
        <v/>
      </c>
      <c r="P200">
        <f>2*(Scenario_Data!B200*1000)/Inputs!$C$21*1000000</f>
        <v/>
      </c>
      <c r="Q200">
        <f>Scenario_Data!U200</f>
        <v/>
      </c>
      <c r="R200">
        <f>2*(Scenario_Data!C200*1000)/Inputs!$C$21*1000000</f>
        <v/>
      </c>
      <c r="S200">
        <f>Scenario_Data!V200</f>
        <v/>
      </c>
      <c r="T200">
        <f>2*(Scenario_Data!D200*1000)/Inputs!$C$21*1000000</f>
        <v/>
      </c>
      <c r="U200">
        <f>Scenario_Data!W200</f>
        <v/>
      </c>
      <c r="V200">
        <f>2*(Scenario_Data!E200*1000)/Inputs!$C$21*1000000</f>
        <v/>
      </c>
      <c r="X200">
        <f>Scenario_Data!T200</f>
        <v/>
      </c>
      <c r="Y200">
        <f>2*((Scenario_Data!B200*1000)-(IF(OR(Inputs!$C$27=TRUE,Inputs!$C$27="TRUE",Inputs!$C$27=1),1,0)*(Inputs!$C$51*(115*EXP(-(((0)-25)^2)/(4.5^2))+70*EXP(-(((0)+38)^2)/(7^2))*(0.55+0.45*SIN(2*PI()*(Scenario_Data!T200)/45))+24*SIN(2*PI()*(0)/9+(Scenario_Data!T200)/18)*EXP(-(((0)+5)^2)/(22^2))+18*SIN(2*PI()*(Scenario_Data!T200)/70))+Inputs!$C$28*EXP(-(((Scenario_Data!T200)-Inputs!$C$29)^2)/(2*Inputs!$C$31^2))*EXP(-(((0)-Inputs!$C$30)^2)/(2*Inputs!$C$32^2))+-Inputs!$C$33*EXP(-(((((Scenario_Data!T200)-Inputs!$C$34)^2)+(((0)-Inputs!$C$35)^2))/(2*Inputs!$C$36^2)))+Inputs!$C$37*(0.55*SIN(2*PI()*(Scenario_Data!T200)/Inputs!$C$39)+0.35*COS(2*PI()*(0)/Inputs!$C$40)+0.2*SIN(2*PI()*((Scenario_Data!T200)+(0))/(0.5*(Inputs!$C$39+Inputs!$C$40))))+Inputs!$C$38*SIN(2*PI()*(Scenario_Data!T200)/Inputs!$C$39)*SIN(2*PI()*(0)/Inputs!$C$40)+-Inputs!$C$41*EXP(-(((0)-Inputs!$C$43)^2)/(2*Inputs!$C$44^2))*EXP(-(((Scenario_Data!T200)-Inputs!$C$42)^2)/(2*Inputs!$C$45^2))+Inputs!$C$48*(0.7*(0.45*SIN(2*PI()*(((Scenario_Data!T200)/Inputs!$C$49)+Inputs!$C$47*0.137))+0.35*COS(2*PI()*(((0)/Inputs!$C$50)+Inputs!$C$47*0.173))+0.2*SIN(2*PI()*((((Scenario_Data!T200)+(0))/(0.5*(Inputs!$C$49+Inputs!$C$50)))+Inputs!$C$47*0.097)))+0.3*(2*((SIN(((Scenario_Data!T200)*12.9898+(0)*78.233+Inputs!$C$47*37.719))*43758.5453)-INT((SIN(((Scenario_Data!T200)*12.9898+(0)*78.233+Inputs!$C$47*37.719))*43758.5453)))-1)))))/Inputs!$C$21*1000000</f>
        <v/>
      </c>
      <c r="Z200">
        <f>Scenario_Data!U200</f>
        <v/>
      </c>
      <c r="AA200">
        <f>2*((Scenario_Data!C200*1000)-(IF(OR(Inputs!$C$27=TRUE,Inputs!$C$27="TRUE",Inputs!$C$27=1),1,0)*(Inputs!$C$51*(115*EXP(-(((0)-25)^2)/(4.5^2))+70*EXP(-(((0)+38)^2)/(7^2))*(0.55+0.45*SIN(2*PI()*(Scenario_Data!U200)/45))+24*SIN(2*PI()*(0)/9+(Scenario_Data!U200)/18)*EXP(-(((0)+5)^2)/(22^2))+18*SIN(2*PI()*(Scenario_Data!U200)/70))+Inputs!$C$28*EXP(-(((Scenario_Data!U200)-Inputs!$C$29)^2)/(2*Inputs!$C$31^2))*EXP(-(((0)-Inputs!$C$30)^2)/(2*Inputs!$C$32^2))+-Inputs!$C$33*EXP(-(((((Scenario_Data!U200)-Inputs!$C$34)^2)+(((0)-Inputs!$C$35)^2))/(2*Inputs!$C$36^2)))+Inputs!$C$37*(0.55*SIN(2*PI()*(Scenario_Data!U200)/Inputs!$C$39)+0.35*COS(2*PI()*(0)/Inputs!$C$40)+0.2*SIN(2*PI()*((Scenario_Data!U200)+(0))/(0.5*(Inputs!$C$39+Inputs!$C$40))))+Inputs!$C$38*SIN(2*PI()*(Scenario_Data!U200)/Inputs!$C$39)*SIN(2*PI()*(0)/Inputs!$C$40)+-Inputs!$C$41*EXP(-(((0)-Inputs!$C$43)^2)/(2*Inputs!$C$44^2))*EXP(-(((Scenario_Data!U200)-Inputs!$C$42)^2)/(2*Inputs!$C$45^2))+Inputs!$C$48*(0.7*(0.45*SIN(2*PI()*(((Scenario_Data!U200)/Inputs!$C$49)+Inputs!$C$47*0.137))+0.35*COS(2*PI()*(((0)/Inputs!$C$50)+Inputs!$C$47*0.173))+0.2*SIN(2*PI()*((((Scenario_Data!U200)+(0))/(0.5*(Inputs!$C$49+Inputs!$C$50)))+Inputs!$C$47*0.097)))+0.3*(2*((SIN(((Scenario_Data!U200)*12.9898+(0)*78.233+Inputs!$C$47*37.719))*43758.5453)-INT((SIN(((Scenario_Data!U200)*12.9898+(0)*78.233+Inputs!$C$47*37.719))*43758.5453)))-1)))))/Inputs!$C$21*1000000</f>
        <v/>
      </c>
      <c r="AB200">
        <f>Scenario_Data!V200</f>
        <v/>
      </c>
      <c r="AC200">
        <f>2*((Scenario_Data!D200*1000)-(IF(OR(Inputs!$C$27=TRUE,Inputs!$C$27="TRUE",Inputs!$C$27=1),1,0)*(Inputs!$C$51*(115*EXP(-(((0)-25)^2)/(4.5^2))+70*EXP(-(((0)+38)^2)/(7^2))*(0.55+0.45*SIN(2*PI()*(Scenario_Data!V200)/45))+24*SIN(2*PI()*(0)/9+(Scenario_Data!V200)/18)*EXP(-(((0)+5)^2)/(22^2))+18*SIN(2*PI()*(Scenario_Data!V200)/70))+Inputs!$C$28*EXP(-(((Scenario_Data!V200)-Inputs!$C$29)^2)/(2*Inputs!$C$31^2))*EXP(-(((0)-Inputs!$C$30)^2)/(2*Inputs!$C$32^2))+-Inputs!$C$33*EXP(-(((((Scenario_Data!V200)-Inputs!$C$34)^2)+(((0)-Inputs!$C$35)^2))/(2*Inputs!$C$36^2)))+Inputs!$C$37*(0.55*SIN(2*PI()*(Scenario_Data!V200)/Inputs!$C$39)+0.35*COS(2*PI()*(0)/Inputs!$C$40)+0.2*SIN(2*PI()*((Scenario_Data!V200)+(0))/(0.5*(Inputs!$C$39+Inputs!$C$40))))+Inputs!$C$38*SIN(2*PI()*(Scenario_Data!V200)/Inputs!$C$39)*SIN(2*PI()*(0)/Inputs!$C$40)+-Inputs!$C$41*EXP(-(((0)-Inputs!$C$43)^2)/(2*Inputs!$C$44^2))*EXP(-(((Scenario_Data!V200)-Inputs!$C$42)^2)/(2*Inputs!$C$45^2))+Inputs!$C$48*(0.7*(0.45*SIN(2*PI()*(((Scenario_Data!V200)/Inputs!$C$49)+Inputs!$C$47*0.137))+0.35*COS(2*PI()*(((0)/Inputs!$C$50)+Inputs!$C$47*0.173))+0.2*SIN(2*PI()*((((Scenario_Data!V200)+(0))/(0.5*(Inputs!$C$49+Inputs!$C$50)))+Inputs!$C$47*0.097)))+0.3*(2*((SIN(((Scenario_Data!V200)*12.9898+(0)*78.233+Inputs!$C$47*37.719))*43758.5453)-INT((SIN(((Scenario_Data!V200)*12.9898+(0)*78.233+Inputs!$C$47*37.719))*43758.5453)))-1)))))/Inputs!$C$21*1000000</f>
        <v/>
      </c>
      <c r="AD200">
        <f>Scenario_Data!W200</f>
        <v/>
      </c>
      <c r="AE200">
        <f>2*((Scenario_Data!E200*1000)-(IF(OR(Inputs!$C$27=TRUE,Inputs!$C$27="TRUE",Inputs!$C$27=1),1,0)*(Inputs!$C$51*(115*EXP(-(((0)-25)^2)/(4.5^2))+70*EXP(-(((0)+38)^2)/(7^2))*(0.55+0.45*SIN(2*PI()*(Scenario_Data!W200)/45))+24*SIN(2*PI()*(0)/9+(Scenario_Data!W200)/18)*EXP(-(((0)+5)^2)/(22^2))+18*SIN(2*PI()*(Scenario_Data!W200)/70))+Inputs!$C$28*EXP(-(((Scenario_Data!W200)-Inputs!$C$29)^2)/(2*Inputs!$C$31^2))*EXP(-(((0)-Inputs!$C$30)^2)/(2*Inputs!$C$32^2))+-Inputs!$C$33*EXP(-(((((Scenario_Data!W200)-Inputs!$C$34)^2)+(((0)-Inputs!$C$35)^2))/(2*Inputs!$C$36^2)))+Inputs!$C$37*(0.55*SIN(2*PI()*(Scenario_Data!W200)/Inputs!$C$39)+0.35*COS(2*PI()*(0)/Inputs!$C$40)+0.2*SIN(2*PI()*((Scenario_Data!W200)+(0))/(0.5*(Inputs!$C$39+Inputs!$C$40))))+Inputs!$C$38*SIN(2*PI()*(Scenario_Data!W200)/Inputs!$C$39)*SIN(2*PI()*(0)/Inputs!$C$40)+-Inputs!$C$41*EXP(-(((0)-Inputs!$C$43)^2)/(2*Inputs!$C$44^2))*EXP(-(((Scenario_Data!W200)-Inputs!$C$42)^2)/(2*Inputs!$C$45^2))+Inputs!$C$48*(0.7*(0.45*SIN(2*PI()*(((Scenario_Data!W200)/Inputs!$C$49)+Inputs!$C$47*0.137))+0.35*COS(2*PI()*(((0)/Inputs!$C$50)+Inputs!$C$47*0.173))+0.2*SIN(2*PI()*((((Scenario_Data!W200)+(0))/(0.5*(Inputs!$C$49+Inputs!$C$50)))+Inputs!$C$47*0.097)))+0.3*(2*((SIN(((Scenario_Data!W200)*12.9898+(0)*78.233+Inputs!$C$47*37.719))*43758.5453)-INT((SIN(((Scenario_Data!W200)*12.9898+(0)*78.233+Inputs!$C$47*37.719))*43758.5453)))-1)))))/Inputs!$C$21*1000000</f>
        <v/>
      </c>
      <c r="AG200">
        <f>Scenario_Data!T200</f>
        <v/>
      </c>
      <c r="AH200">
        <f>2*(SQRT((Inputs!$C$52+(Scenario_Data!B200))^2+Inputs!$C$52^2-2*(Inputs!$C$52+(Scenario_Data!B200))*Inputs!$C$52*COS(SQRT((Scenario_Data!T200)^2+Inputs!$C$6^2)/Inputs!$C$52))*1000)/Inputs!$C$21*1000000</f>
        <v/>
      </c>
      <c r="AI200">
        <f>Scenario_Data!U200</f>
        <v/>
      </c>
      <c r="AJ200">
        <f>2*(SQRT((Inputs!$C$52+(Scenario_Data!C200))^2+Inputs!$C$52^2-2*(Inputs!$C$52+(Scenario_Data!C200))*Inputs!$C$52*COS(SQRT((Scenario_Data!U200)^2+Inputs!$C$6^2)/Inputs!$C$52))*1000)/Inputs!$C$21*1000000</f>
        <v/>
      </c>
      <c r="AK200">
        <f>Scenario_Data!V200</f>
        <v/>
      </c>
      <c r="AL200">
        <f>2*(SQRT((Inputs!$C$52+(Scenario_Data!D200))^2+Inputs!$C$52^2-2*(Inputs!$C$52+(Scenario_Data!D200))*Inputs!$C$52*COS(SQRT((Scenario_Data!V200)^2+Inputs!$C$6^2)/Inputs!$C$52))*1000)/Inputs!$C$21*1000000</f>
        <v/>
      </c>
      <c r="AM200">
        <f>Scenario_Data!W200</f>
        <v/>
      </c>
      <c r="AN200">
        <f>2*(SQRT((Inputs!$C$52+(Scenario_Data!E200))^2+Inputs!$C$52^2-2*(Inputs!$C$52+(Scenario_Data!E200))*Inputs!$C$52*COS(SQRT((Scenario_Data!W200)^2+Inputs!$C$6^2)/Inputs!$C$52))*1000)/Inputs!$C$21*1000000</f>
        <v/>
      </c>
      <c r="AP200">
        <f>Scenario_Data!T200</f>
        <v/>
      </c>
      <c r="AQ200">
        <f>2*(SQRT((Inputs!$C$52+(Scenario_Data!B200))^2+(Inputs!$C$52+((IF(OR(Inputs!$C$27=TRUE,Inputs!$C$27="TRUE",Inputs!$C$27=1),1,0)*(Inputs!$C$51*(115*EXP(-(((Inputs!$C$6)-25)^2)/(4.5^2))+70*EXP(-(((Inputs!$C$6)+38)^2)/(7^2))*(0.55+0.45*SIN(2*PI()*(Scenario_Data!T200)/45))+24*SIN(2*PI()*(Inputs!$C$6)/9+(Scenario_Data!T200)/18)*EXP(-(((Inputs!$C$6)+5)^2)/(22^2))+18*SIN(2*PI()*(Scenario_Data!T200)/70))+Inputs!$C$28*EXP(-(((Scenario_Data!T200)-Inputs!$C$29)^2)/(2*Inputs!$C$31^2))*EXP(-(((Inputs!$C$6)-Inputs!$C$30)^2)/(2*Inputs!$C$32^2))+-Inputs!$C$33*EXP(-(((((Scenario_Data!T200)-Inputs!$C$34)^2)+(((Inputs!$C$6)-Inputs!$C$35)^2))/(2*Inputs!$C$36^2)))+Inputs!$C$37*(0.55*SIN(2*PI()*(Scenario_Data!T200)/Inputs!$C$39)+0.35*COS(2*PI()*(Inputs!$C$6)/Inputs!$C$40)+0.2*SIN(2*PI()*((Scenario_Data!T200)+(Inputs!$C$6))/(0.5*(Inputs!$C$39+Inputs!$C$40))))+Inputs!$C$38*SIN(2*PI()*(Scenario_Data!T200)/Inputs!$C$39)*SIN(2*PI()*(Inputs!$C$6)/Inputs!$C$40)+-Inputs!$C$41*EXP(-(((Inputs!$C$6)-Inputs!$C$43)^2)/(2*Inputs!$C$44^2))*EXP(-(((Scenario_Data!T200)-Inputs!$C$42)^2)/(2*Inputs!$C$45^2))+Inputs!$C$48*(0.7*(0.45*SIN(2*PI()*(((Scenario_Data!T200)/Inputs!$C$49)+Inputs!$C$47*0.137))+0.35*COS(2*PI()*(((Inputs!$C$6)/Inputs!$C$50)+Inputs!$C$47*0.173))+0.2*SIN(2*PI()*((((Scenario_Data!T200)+(Inputs!$C$6))/(0.5*(Inputs!$C$49+Inputs!$C$50)))+Inputs!$C$47*0.097)))+0.3*(2*((SIN(((Scenario_Data!T200)*12.9898+(Inputs!$C$6)*78.233+Inputs!$C$47*37.719))*43758.5453)-INT((SIN(((Scenario_Data!T200)*12.9898+(Inputs!$C$6)*78.233+Inputs!$C$47*37.719))*43758.5453)))-1))))/1000))^2-2*(Inputs!$C$52+(Scenario_Data!B200))*(Inputs!$C$52+((IF(OR(Inputs!$C$27=TRUE,Inputs!$C$27="TRUE",Inputs!$C$27=1),1,0)*(Inputs!$C$51*(115*EXP(-(((Inputs!$C$6)-25)^2)/(4.5^2))+70*EXP(-(((Inputs!$C$6)+38)^2)/(7^2))*(0.55+0.45*SIN(2*PI()*(Scenario_Data!T200)/45))+24*SIN(2*PI()*(Inputs!$C$6)/9+(Scenario_Data!T200)/18)*EXP(-(((Inputs!$C$6)+5)^2)/(22^2))+18*SIN(2*PI()*(Scenario_Data!T200)/70))+Inputs!$C$28*EXP(-(((Scenario_Data!T200)-Inputs!$C$29)^2)/(2*Inputs!$C$31^2))*EXP(-(((Inputs!$C$6)-Inputs!$C$30)^2)/(2*Inputs!$C$32^2))+-Inputs!$C$33*EXP(-(((((Scenario_Data!T200)-Inputs!$C$34)^2)+(((Inputs!$C$6)-Inputs!$C$35)^2))/(2*Inputs!$C$36^2)))+Inputs!$C$37*(0.55*SIN(2*PI()*(Scenario_Data!T200)/Inputs!$C$39)+0.35*COS(2*PI()*(Inputs!$C$6)/Inputs!$C$40)+0.2*SIN(2*PI()*((Scenario_Data!T200)+(Inputs!$C$6))/(0.5*(Inputs!$C$39+Inputs!$C$40))))+Inputs!$C$38*SIN(2*PI()*(Scenario_Data!T200)/Inputs!$C$39)*SIN(2*PI()*(Inputs!$C$6)/Inputs!$C$40)+-Inputs!$C$41*EXP(-(((Inputs!$C$6)-Inputs!$C$43)^2)/(2*Inputs!$C$44^2))*EXP(-(((Scenario_Data!T200)-Inputs!$C$42)^2)/(2*Inputs!$C$45^2))+Inputs!$C$48*(0.7*(0.45*SIN(2*PI()*(((Scenario_Data!T200)/Inputs!$C$49)+Inputs!$C$47*0.137))+0.35*COS(2*PI()*(((Inputs!$C$6)/Inputs!$C$50)+Inputs!$C$47*0.173))+0.2*SIN(2*PI()*((((Scenario_Data!T200)+(Inputs!$C$6))/(0.5*(Inputs!$C$49+Inputs!$C$50)))+Inputs!$C$47*0.097)))+0.3*(2*((SIN(((Scenario_Data!T200)*12.9898+(Inputs!$C$6)*78.233+Inputs!$C$47*37.719))*43758.5453)-INT((SIN(((Scenario_Data!T200)*12.9898+(Inputs!$C$6)*78.233+Inputs!$C$47*37.719))*43758.5453)))-1))))/1000))*COS(SQRT((Scenario_Data!T200)^2+Inputs!$C$6^2)/Inputs!$C$52))*1000)/Inputs!$C$21*1000000</f>
        <v/>
      </c>
      <c r="AR200">
        <f>Scenario_Data!U200</f>
        <v/>
      </c>
      <c r="AS200">
        <f>2*(SQRT((Inputs!$C$52+(Scenario_Data!C200))^2+(Inputs!$C$52+((IF(OR(Inputs!$C$27=TRUE,Inputs!$C$27="TRUE",Inputs!$C$27=1),1,0)*(Inputs!$C$51*(115*EXP(-(((Inputs!$C$6)-25)^2)/(4.5^2))+70*EXP(-(((Inputs!$C$6)+38)^2)/(7^2))*(0.55+0.45*SIN(2*PI()*(Scenario_Data!U200)/45))+24*SIN(2*PI()*(Inputs!$C$6)/9+(Scenario_Data!U200)/18)*EXP(-(((Inputs!$C$6)+5)^2)/(22^2))+18*SIN(2*PI()*(Scenario_Data!U200)/70))+Inputs!$C$28*EXP(-(((Scenario_Data!U200)-Inputs!$C$29)^2)/(2*Inputs!$C$31^2))*EXP(-(((Inputs!$C$6)-Inputs!$C$30)^2)/(2*Inputs!$C$32^2))+-Inputs!$C$33*EXP(-(((((Scenario_Data!U200)-Inputs!$C$34)^2)+(((Inputs!$C$6)-Inputs!$C$35)^2))/(2*Inputs!$C$36^2)))+Inputs!$C$37*(0.55*SIN(2*PI()*(Scenario_Data!U200)/Inputs!$C$39)+0.35*COS(2*PI()*(Inputs!$C$6)/Inputs!$C$40)+0.2*SIN(2*PI()*((Scenario_Data!U200)+(Inputs!$C$6))/(0.5*(Inputs!$C$39+Inputs!$C$40))))+Inputs!$C$38*SIN(2*PI()*(Scenario_Data!U200)/Inputs!$C$39)*SIN(2*PI()*(Inputs!$C$6)/Inputs!$C$40)+-Inputs!$C$41*EXP(-(((Inputs!$C$6)-Inputs!$C$43)^2)/(2*Inputs!$C$44^2))*EXP(-(((Scenario_Data!U200)-Inputs!$C$42)^2)/(2*Inputs!$C$45^2))+Inputs!$C$48*(0.7*(0.45*SIN(2*PI()*(((Scenario_Data!U200)/Inputs!$C$49)+Inputs!$C$47*0.137))+0.35*COS(2*PI()*(((Inputs!$C$6)/Inputs!$C$50)+Inputs!$C$47*0.173))+0.2*SIN(2*PI()*((((Scenario_Data!U200)+(Inputs!$C$6))/(0.5*(Inputs!$C$49+Inputs!$C$50)))+Inputs!$C$47*0.097)))+0.3*(2*((SIN(((Scenario_Data!U200)*12.9898+(Inputs!$C$6)*78.233+Inputs!$C$47*37.719))*43758.5453)-INT((SIN(((Scenario_Data!U200)*12.9898+(Inputs!$C$6)*78.233+Inputs!$C$47*37.719))*43758.5453)))-1))))/1000))^2-2*(Inputs!$C$52+(Scenario_Data!C200))*(Inputs!$C$52+((IF(OR(Inputs!$C$27=TRUE,Inputs!$C$27="TRUE",Inputs!$C$27=1),1,0)*(Inputs!$C$51*(115*EXP(-(((Inputs!$C$6)-25)^2)/(4.5^2))+70*EXP(-(((Inputs!$C$6)+38)^2)/(7^2))*(0.55+0.45*SIN(2*PI()*(Scenario_Data!U200)/45))+24*SIN(2*PI()*(Inputs!$C$6)/9+(Scenario_Data!U200)/18)*EXP(-(((Inputs!$C$6)+5)^2)/(22^2))+18*SIN(2*PI()*(Scenario_Data!U200)/70))+Inputs!$C$28*EXP(-(((Scenario_Data!U200)-Inputs!$C$29)^2)/(2*Inputs!$C$31^2))*EXP(-(((Inputs!$C$6)-Inputs!$C$30)^2)/(2*Inputs!$C$32^2))+-Inputs!$C$33*EXP(-(((((Scenario_Data!U200)-Inputs!$C$34)^2)+(((Inputs!$C$6)-Inputs!$C$35)^2))/(2*Inputs!$C$36^2)))+Inputs!$C$37*(0.55*SIN(2*PI()*(Scenario_Data!U200)/Inputs!$C$39)+0.35*COS(2*PI()*(Inputs!$C$6)/Inputs!$C$40)+0.2*SIN(2*PI()*((Scenario_Data!U200)+(Inputs!$C$6))/(0.5*(Inputs!$C$39+Inputs!$C$40))))+Inputs!$C$38*SIN(2*PI()*(Scenario_Data!U200)/Inputs!$C$39)*SIN(2*PI()*(Inputs!$C$6)/Inputs!$C$40)+-Inputs!$C$41*EXP(-(((Inputs!$C$6)-Inputs!$C$43)^2)/(2*Inputs!$C$44^2))*EXP(-(((Scenario_Data!U200)-Inputs!$C$42)^2)/(2*Inputs!$C$45^2))+Inputs!$C$48*(0.7*(0.45*SIN(2*PI()*(((Scenario_Data!U200)/Inputs!$C$49)+Inputs!$C$47*0.137))+0.35*COS(2*PI()*(((Inputs!$C$6)/Inputs!$C$50)+Inputs!$C$47*0.173))+0.2*SIN(2*PI()*((((Scenario_Data!U200)+(Inputs!$C$6))/(0.5*(Inputs!$C$49+Inputs!$C$50)))+Inputs!$C$47*0.097)))+0.3*(2*((SIN(((Scenario_Data!U200)*12.9898+(Inputs!$C$6)*78.233+Inputs!$C$47*37.719))*43758.5453)-INT((SIN(((Scenario_Data!U200)*12.9898+(Inputs!$C$6)*78.233+Inputs!$C$47*37.719))*43758.5453)))-1))))/1000))*COS(SQRT((Scenario_Data!U200)^2+Inputs!$C$6^2)/Inputs!$C$52))*1000)/Inputs!$C$21*1000000</f>
        <v/>
      </c>
      <c r="AT200">
        <f>Scenario_Data!V200</f>
        <v/>
      </c>
      <c r="AU200">
        <f>2*(SQRT((Inputs!$C$52+(Scenario_Data!D200))^2+(Inputs!$C$52+((IF(OR(Inputs!$C$27=TRUE,Inputs!$C$27="TRUE",Inputs!$C$27=1),1,0)*(Inputs!$C$51*(115*EXP(-(((Inputs!$C$6)-25)^2)/(4.5^2))+70*EXP(-(((Inputs!$C$6)+38)^2)/(7^2))*(0.55+0.45*SIN(2*PI()*(Scenario_Data!V200)/45))+24*SIN(2*PI()*(Inputs!$C$6)/9+(Scenario_Data!V200)/18)*EXP(-(((Inputs!$C$6)+5)^2)/(22^2))+18*SIN(2*PI()*(Scenario_Data!V200)/70))+Inputs!$C$28*EXP(-(((Scenario_Data!V200)-Inputs!$C$29)^2)/(2*Inputs!$C$31^2))*EXP(-(((Inputs!$C$6)-Inputs!$C$30)^2)/(2*Inputs!$C$32^2))+-Inputs!$C$33*EXP(-(((((Scenario_Data!V200)-Inputs!$C$34)^2)+(((Inputs!$C$6)-Inputs!$C$35)^2))/(2*Inputs!$C$36^2)))+Inputs!$C$37*(0.55*SIN(2*PI()*(Scenario_Data!V200)/Inputs!$C$39)+0.35*COS(2*PI()*(Inputs!$C$6)/Inputs!$C$40)+0.2*SIN(2*PI()*((Scenario_Data!V200)+(Inputs!$C$6))/(0.5*(Inputs!$C$39+Inputs!$C$40))))+Inputs!$C$38*SIN(2*PI()*(Scenario_Data!V200)/Inputs!$C$39)*SIN(2*PI()*(Inputs!$C$6)/Inputs!$C$40)+-Inputs!$C$41*EXP(-(((Inputs!$C$6)-Inputs!$C$43)^2)/(2*Inputs!$C$44^2))*EXP(-(((Scenario_Data!V200)-Inputs!$C$42)^2)/(2*Inputs!$C$45^2))+Inputs!$C$48*(0.7*(0.45*SIN(2*PI()*(((Scenario_Data!V200)/Inputs!$C$49)+Inputs!$C$47*0.137))+0.35*COS(2*PI()*(((Inputs!$C$6)/Inputs!$C$50)+Inputs!$C$47*0.173))+0.2*SIN(2*PI()*((((Scenario_Data!V200)+(Inputs!$C$6))/(0.5*(Inputs!$C$49+Inputs!$C$50)))+Inputs!$C$47*0.097)))+0.3*(2*((SIN(((Scenario_Data!V200)*12.9898+(Inputs!$C$6)*78.233+Inputs!$C$47*37.719))*43758.5453)-INT((SIN(((Scenario_Data!V200)*12.9898+(Inputs!$C$6)*78.233+Inputs!$C$47*37.719))*43758.5453)))-1))))/1000))^2-2*(Inputs!$C$52+(Scenario_Data!D200))*(Inputs!$C$52+((IF(OR(Inputs!$C$27=TRUE,Inputs!$C$27="TRUE",Inputs!$C$27=1),1,0)*(Inputs!$C$51*(115*EXP(-(((Inputs!$C$6)-25)^2)/(4.5^2))+70*EXP(-(((Inputs!$C$6)+38)^2)/(7^2))*(0.55+0.45*SIN(2*PI()*(Scenario_Data!V200)/45))+24*SIN(2*PI()*(Inputs!$C$6)/9+(Scenario_Data!V200)/18)*EXP(-(((Inputs!$C$6)+5)^2)/(22^2))+18*SIN(2*PI()*(Scenario_Data!V200)/70))+Inputs!$C$28*EXP(-(((Scenario_Data!V200)-Inputs!$C$29)^2)/(2*Inputs!$C$31^2))*EXP(-(((Inputs!$C$6)-Inputs!$C$30)^2)/(2*Inputs!$C$32^2))+-Inputs!$C$33*EXP(-(((((Scenario_Data!V200)-Inputs!$C$34)^2)+(((Inputs!$C$6)-Inputs!$C$35)^2))/(2*Inputs!$C$36^2)))+Inputs!$C$37*(0.55*SIN(2*PI()*(Scenario_Data!V200)/Inputs!$C$39)+0.35*COS(2*PI()*(Inputs!$C$6)/Inputs!$C$40)+0.2*SIN(2*PI()*((Scenario_Data!V200)+(Inputs!$C$6))/(0.5*(Inputs!$C$39+Inputs!$C$40))))+Inputs!$C$38*SIN(2*PI()*(Scenario_Data!V200)/Inputs!$C$39)*SIN(2*PI()*(Inputs!$C$6)/Inputs!$C$40)+-Inputs!$C$41*EXP(-(((Inputs!$C$6)-Inputs!$C$43)^2)/(2*Inputs!$C$44^2))*EXP(-(((Scenario_Data!V200)-Inputs!$C$42)^2)/(2*Inputs!$C$45^2))+Inputs!$C$48*(0.7*(0.45*SIN(2*PI()*(((Scenario_Data!V200)/Inputs!$C$49)+Inputs!$C$47*0.137))+0.35*COS(2*PI()*(((Inputs!$C$6)/Inputs!$C$50)+Inputs!$C$47*0.173))+0.2*SIN(2*PI()*((((Scenario_Data!V200)+(Inputs!$C$6))/(0.5*(Inputs!$C$49+Inputs!$C$50)))+Inputs!$C$47*0.097)))+0.3*(2*((SIN(((Scenario_Data!V200)*12.9898+(Inputs!$C$6)*78.233+Inputs!$C$47*37.719))*43758.5453)-INT((SIN(((Scenario_Data!V200)*12.9898+(Inputs!$C$6)*78.233+Inputs!$C$47*37.719))*43758.5453)))-1))))/1000))*COS(SQRT((Scenario_Data!V200)^2+Inputs!$C$6^2)/Inputs!$C$52))*1000)/Inputs!$C$21*1000000</f>
        <v/>
      </c>
      <c r="AV200">
        <f>Scenario_Data!W200</f>
        <v/>
      </c>
      <c r="AW200">
        <f>2*(SQRT((Inputs!$C$52+(Scenario_Data!E200))^2+(Inputs!$C$52+((IF(OR(Inputs!$C$27=TRUE,Inputs!$C$27="TRUE",Inputs!$C$27=1),1,0)*(Inputs!$C$51*(115*EXP(-(((Inputs!$C$6)-25)^2)/(4.5^2))+70*EXP(-(((Inputs!$C$6)+38)^2)/(7^2))*(0.55+0.45*SIN(2*PI()*(Scenario_Data!W200)/45))+24*SIN(2*PI()*(Inputs!$C$6)/9+(Scenario_Data!W200)/18)*EXP(-(((Inputs!$C$6)+5)^2)/(22^2))+18*SIN(2*PI()*(Scenario_Data!W200)/70))+Inputs!$C$28*EXP(-(((Scenario_Data!W200)-Inputs!$C$29)^2)/(2*Inputs!$C$31^2))*EXP(-(((Inputs!$C$6)-Inputs!$C$30)^2)/(2*Inputs!$C$32^2))+-Inputs!$C$33*EXP(-(((((Scenario_Data!W200)-Inputs!$C$34)^2)+(((Inputs!$C$6)-Inputs!$C$35)^2))/(2*Inputs!$C$36^2)))+Inputs!$C$37*(0.55*SIN(2*PI()*(Scenario_Data!W200)/Inputs!$C$39)+0.35*COS(2*PI()*(Inputs!$C$6)/Inputs!$C$40)+0.2*SIN(2*PI()*((Scenario_Data!W200)+(Inputs!$C$6))/(0.5*(Inputs!$C$39+Inputs!$C$40))))+Inputs!$C$38*SIN(2*PI()*(Scenario_Data!W200)/Inputs!$C$39)*SIN(2*PI()*(Inputs!$C$6)/Inputs!$C$40)+-Inputs!$C$41*EXP(-(((Inputs!$C$6)-Inputs!$C$43)^2)/(2*Inputs!$C$44^2))*EXP(-(((Scenario_Data!W200)-Inputs!$C$42)^2)/(2*Inputs!$C$45^2))+Inputs!$C$48*(0.7*(0.45*SIN(2*PI()*(((Scenario_Data!W200)/Inputs!$C$49)+Inputs!$C$47*0.137))+0.35*COS(2*PI()*(((Inputs!$C$6)/Inputs!$C$50)+Inputs!$C$47*0.173))+0.2*SIN(2*PI()*((((Scenario_Data!W200)+(Inputs!$C$6))/(0.5*(Inputs!$C$49+Inputs!$C$50)))+Inputs!$C$47*0.097)))+0.3*(2*((SIN(((Scenario_Data!W200)*12.9898+(Inputs!$C$6)*78.233+Inputs!$C$47*37.719))*43758.5453)-INT((SIN(((Scenario_Data!W200)*12.9898+(Inputs!$C$6)*78.233+Inputs!$C$47*37.719))*43758.5453)))-1))))/1000))^2-2*(Inputs!$C$52+(Scenario_Data!E200))*(Inputs!$C$52+((IF(OR(Inputs!$C$27=TRUE,Inputs!$C$27="TRUE",Inputs!$C$27=1),1,0)*(Inputs!$C$51*(115*EXP(-(((Inputs!$C$6)-25)^2)/(4.5^2))+70*EXP(-(((Inputs!$C$6)+38)^2)/(7^2))*(0.55+0.45*SIN(2*PI()*(Scenario_Data!W200)/45))+24*SIN(2*PI()*(Inputs!$C$6)/9+(Scenario_Data!W200)/18)*EXP(-(((Inputs!$C$6)+5)^2)/(22^2))+18*SIN(2*PI()*(Scenario_Data!W200)/70))+Inputs!$C$28*EXP(-(((Scenario_Data!W200)-Inputs!$C$29)^2)/(2*Inputs!$C$31^2))*EXP(-(((Inputs!$C$6)-Inputs!$C$30)^2)/(2*Inputs!$C$32^2))+-Inputs!$C$33*EXP(-(((((Scenario_Data!W200)-Inputs!$C$34)^2)+(((Inputs!$C$6)-Inputs!$C$35)^2))/(2*Inputs!$C$36^2)))+Inputs!$C$37*(0.55*SIN(2*PI()*(Scenario_Data!W200)/Inputs!$C$39)+0.35*COS(2*PI()*(Inputs!$C$6)/Inputs!$C$40)+0.2*SIN(2*PI()*((Scenario_Data!W200)+(Inputs!$C$6))/(0.5*(Inputs!$C$39+Inputs!$C$40))))+Inputs!$C$38*SIN(2*PI()*(Scenario_Data!W200)/Inputs!$C$39)*SIN(2*PI()*(Inputs!$C$6)/Inputs!$C$40)+-Inputs!$C$41*EXP(-(((Inputs!$C$6)-Inputs!$C$43)^2)/(2*Inputs!$C$44^2))*EXP(-(((Scenario_Data!W200)-Inputs!$C$42)^2)/(2*Inputs!$C$45^2))+Inputs!$C$48*(0.7*(0.45*SIN(2*PI()*(((Scenario_Data!W200)/Inputs!$C$49)+Inputs!$C$47*0.137))+0.35*COS(2*PI()*(((Inputs!$C$6)/Inputs!$C$50)+Inputs!$C$47*0.173))+0.2*SIN(2*PI()*((((Scenario_Data!W200)+(Inputs!$C$6))/(0.5*(Inputs!$C$49+Inputs!$C$50)))+Inputs!$C$47*0.097)))+0.3*(2*((SIN(((Scenario_Data!W200)*12.9898+(Inputs!$C$6)*78.233+Inputs!$C$47*37.719))*43758.5453)-INT((SIN(((Scenario_Data!W200)*12.9898+(Inputs!$C$6)*78.233+Inputs!$C$47*37.719))*43758.5453)))-1))))/1000))*COS(SQRT((Scenario_Data!W200)^2+Inputs!$C$6^2)/Inputs!$C$52))*1000)/Inputs!$C$21*1000000</f>
        <v/>
      </c>
    </row>
    <row r="201">
      <c r="A201">
        <f>Chart_Data!K201</f>
        <v/>
      </c>
      <c r="B201">
        <f>Chart_Data!N201-Chart_Data!L201</f>
        <v/>
      </c>
      <c r="D201">
        <f>Chart_Data!G201</f>
        <v/>
      </c>
      <c r="E201">
        <f>Chart_Data!H201</f>
        <v/>
      </c>
      <c r="F201">
        <f>Chart_Data!I201</f>
        <v/>
      </c>
      <c r="G201">
        <f>Chart_Data!J201</f>
        <v/>
      </c>
      <c r="I201">
        <f>Scenario_Data!A201</f>
        <v/>
      </c>
      <c r="J201">
        <f>Scenario_Data!H201-(((SQRT((Inputs!$C$52+(Inputs!$H$6))^2+Inputs!$C$52^2-2*(Inputs!$C$52+(Inputs!$H$6))*Inputs!$C$52*COS(SQRT((Scenario_Data!T201)^2+Inputs!$C$6^2)/Inputs!$C$52)))-(Inputs!$H$6))*1000/Inputs!$C$12)</f>
        <v/>
      </c>
      <c r="K201">
        <f>Scenario_Data!I201-(((SQRT((Inputs!$C$52+(Inputs!$H$7))^2+Inputs!$C$52^2-2*(Inputs!$C$52+(Inputs!$H$7))*Inputs!$C$52*COS(SQRT((Scenario_Data!U201)^2+Inputs!$C$6^2)/Inputs!$C$52)))-(Inputs!$H$7))*1000/Inputs!$C$12)</f>
        <v/>
      </c>
      <c r="L201">
        <f>Scenario_Data!J201-(((SQRT((Inputs!$C$52+(Inputs!$H$8))^2+Inputs!$C$52^2-2*(Inputs!$C$52+(Inputs!$H$8))*Inputs!$C$52*COS(SQRT((Scenario_Data!V201)^2+Inputs!$C$6^2)/Inputs!$C$52)))-(Inputs!$H$8))*1000/Inputs!$C$12)</f>
        <v/>
      </c>
      <c r="M201">
        <f>Scenario_Data!K201-(((SQRT((Inputs!$C$52+(Inputs!$H$9))^2+Inputs!$C$52^2-2*(Inputs!$C$52+(Inputs!$H$9))*Inputs!$C$52*COS(SQRT((Scenario_Data!W201)^2+Inputs!$C$6^2)/Inputs!$C$52)))-(Inputs!$H$9))*1000/Inputs!$C$12)</f>
        <v/>
      </c>
      <c r="O201">
        <f>Scenario_Data!T201</f>
        <v/>
      </c>
      <c r="P201">
        <f>2*(Scenario_Data!B201*1000)/Inputs!$C$21*1000000</f>
        <v/>
      </c>
      <c r="Q201">
        <f>Scenario_Data!U201</f>
        <v/>
      </c>
      <c r="R201">
        <f>2*(Scenario_Data!C201*1000)/Inputs!$C$21*1000000</f>
        <v/>
      </c>
      <c r="S201">
        <f>Scenario_Data!V201</f>
        <v/>
      </c>
      <c r="T201">
        <f>2*(Scenario_Data!D201*1000)/Inputs!$C$21*1000000</f>
        <v/>
      </c>
      <c r="U201">
        <f>Scenario_Data!W201</f>
        <v/>
      </c>
      <c r="V201">
        <f>2*(Scenario_Data!E201*1000)/Inputs!$C$21*1000000</f>
        <v/>
      </c>
      <c r="X201">
        <f>Scenario_Data!T201</f>
        <v/>
      </c>
      <c r="Y201">
        <f>2*((Scenario_Data!B201*1000)-(IF(OR(Inputs!$C$27=TRUE,Inputs!$C$27="TRUE",Inputs!$C$27=1),1,0)*(Inputs!$C$51*(115*EXP(-(((0)-25)^2)/(4.5^2))+70*EXP(-(((0)+38)^2)/(7^2))*(0.55+0.45*SIN(2*PI()*(Scenario_Data!T201)/45))+24*SIN(2*PI()*(0)/9+(Scenario_Data!T201)/18)*EXP(-(((0)+5)^2)/(22^2))+18*SIN(2*PI()*(Scenario_Data!T201)/70))+Inputs!$C$28*EXP(-(((Scenario_Data!T201)-Inputs!$C$29)^2)/(2*Inputs!$C$31^2))*EXP(-(((0)-Inputs!$C$30)^2)/(2*Inputs!$C$32^2))+-Inputs!$C$33*EXP(-(((((Scenario_Data!T201)-Inputs!$C$34)^2)+(((0)-Inputs!$C$35)^2))/(2*Inputs!$C$36^2)))+Inputs!$C$37*(0.55*SIN(2*PI()*(Scenario_Data!T201)/Inputs!$C$39)+0.35*COS(2*PI()*(0)/Inputs!$C$40)+0.2*SIN(2*PI()*((Scenario_Data!T201)+(0))/(0.5*(Inputs!$C$39+Inputs!$C$40))))+Inputs!$C$38*SIN(2*PI()*(Scenario_Data!T201)/Inputs!$C$39)*SIN(2*PI()*(0)/Inputs!$C$40)+-Inputs!$C$41*EXP(-(((0)-Inputs!$C$43)^2)/(2*Inputs!$C$44^2))*EXP(-(((Scenario_Data!T201)-Inputs!$C$42)^2)/(2*Inputs!$C$45^2))+Inputs!$C$48*(0.7*(0.45*SIN(2*PI()*(((Scenario_Data!T201)/Inputs!$C$49)+Inputs!$C$47*0.137))+0.35*COS(2*PI()*(((0)/Inputs!$C$50)+Inputs!$C$47*0.173))+0.2*SIN(2*PI()*((((Scenario_Data!T201)+(0))/(0.5*(Inputs!$C$49+Inputs!$C$50)))+Inputs!$C$47*0.097)))+0.3*(2*((SIN(((Scenario_Data!T201)*12.9898+(0)*78.233+Inputs!$C$47*37.719))*43758.5453)-INT((SIN(((Scenario_Data!T201)*12.9898+(0)*78.233+Inputs!$C$47*37.719))*43758.5453)))-1)))))/Inputs!$C$21*1000000</f>
        <v/>
      </c>
      <c r="Z201">
        <f>Scenario_Data!U201</f>
        <v/>
      </c>
      <c r="AA201">
        <f>2*((Scenario_Data!C201*1000)-(IF(OR(Inputs!$C$27=TRUE,Inputs!$C$27="TRUE",Inputs!$C$27=1),1,0)*(Inputs!$C$51*(115*EXP(-(((0)-25)^2)/(4.5^2))+70*EXP(-(((0)+38)^2)/(7^2))*(0.55+0.45*SIN(2*PI()*(Scenario_Data!U201)/45))+24*SIN(2*PI()*(0)/9+(Scenario_Data!U201)/18)*EXP(-(((0)+5)^2)/(22^2))+18*SIN(2*PI()*(Scenario_Data!U201)/70))+Inputs!$C$28*EXP(-(((Scenario_Data!U201)-Inputs!$C$29)^2)/(2*Inputs!$C$31^2))*EXP(-(((0)-Inputs!$C$30)^2)/(2*Inputs!$C$32^2))+-Inputs!$C$33*EXP(-(((((Scenario_Data!U201)-Inputs!$C$34)^2)+(((0)-Inputs!$C$35)^2))/(2*Inputs!$C$36^2)))+Inputs!$C$37*(0.55*SIN(2*PI()*(Scenario_Data!U201)/Inputs!$C$39)+0.35*COS(2*PI()*(0)/Inputs!$C$40)+0.2*SIN(2*PI()*((Scenario_Data!U201)+(0))/(0.5*(Inputs!$C$39+Inputs!$C$40))))+Inputs!$C$38*SIN(2*PI()*(Scenario_Data!U201)/Inputs!$C$39)*SIN(2*PI()*(0)/Inputs!$C$40)+-Inputs!$C$41*EXP(-(((0)-Inputs!$C$43)^2)/(2*Inputs!$C$44^2))*EXP(-(((Scenario_Data!U201)-Inputs!$C$42)^2)/(2*Inputs!$C$45^2))+Inputs!$C$48*(0.7*(0.45*SIN(2*PI()*(((Scenario_Data!U201)/Inputs!$C$49)+Inputs!$C$47*0.137))+0.35*COS(2*PI()*(((0)/Inputs!$C$50)+Inputs!$C$47*0.173))+0.2*SIN(2*PI()*((((Scenario_Data!U201)+(0))/(0.5*(Inputs!$C$49+Inputs!$C$50)))+Inputs!$C$47*0.097)))+0.3*(2*((SIN(((Scenario_Data!U201)*12.9898+(0)*78.233+Inputs!$C$47*37.719))*43758.5453)-INT((SIN(((Scenario_Data!U201)*12.9898+(0)*78.233+Inputs!$C$47*37.719))*43758.5453)))-1)))))/Inputs!$C$21*1000000</f>
        <v/>
      </c>
      <c r="AB201">
        <f>Scenario_Data!V201</f>
        <v/>
      </c>
      <c r="AC201">
        <f>2*((Scenario_Data!D201*1000)-(IF(OR(Inputs!$C$27=TRUE,Inputs!$C$27="TRUE",Inputs!$C$27=1),1,0)*(Inputs!$C$51*(115*EXP(-(((0)-25)^2)/(4.5^2))+70*EXP(-(((0)+38)^2)/(7^2))*(0.55+0.45*SIN(2*PI()*(Scenario_Data!V201)/45))+24*SIN(2*PI()*(0)/9+(Scenario_Data!V201)/18)*EXP(-(((0)+5)^2)/(22^2))+18*SIN(2*PI()*(Scenario_Data!V201)/70))+Inputs!$C$28*EXP(-(((Scenario_Data!V201)-Inputs!$C$29)^2)/(2*Inputs!$C$31^2))*EXP(-(((0)-Inputs!$C$30)^2)/(2*Inputs!$C$32^2))+-Inputs!$C$33*EXP(-(((((Scenario_Data!V201)-Inputs!$C$34)^2)+(((0)-Inputs!$C$35)^2))/(2*Inputs!$C$36^2)))+Inputs!$C$37*(0.55*SIN(2*PI()*(Scenario_Data!V201)/Inputs!$C$39)+0.35*COS(2*PI()*(0)/Inputs!$C$40)+0.2*SIN(2*PI()*((Scenario_Data!V201)+(0))/(0.5*(Inputs!$C$39+Inputs!$C$40))))+Inputs!$C$38*SIN(2*PI()*(Scenario_Data!V201)/Inputs!$C$39)*SIN(2*PI()*(0)/Inputs!$C$40)+-Inputs!$C$41*EXP(-(((0)-Inputs!$C$43)^2)/(2*Inputs!$C$44^2))*EXP(-(((Scenario_Data!V201)-Inputs!$C$42)^2)/(2*Inputs!$C$45^2))+Inputs!$C$48*(0.7*(0.45*SIN(2*PI()*(((Scenario_Data!V201)/Inputs!$C$49)+Inputs!$C$47*0.137))+0.35*COS(2*PI()*(((0)/Inputs!$C$50)+Inputs!$C$47*0.173))+0.2*SIN(2*PI()*((((Scenario_Data!V201)+(0))/(0.5*(Inputs!$C$49+Inputs!$C$50)))+Inputs!$C$47*0.097)))+0.3*(2*((SIN(((Scenario_Data!V201)*12.9898+(0)*78.233+Inputs!$C$47*37.719))*43758.5453)-INT((SIN(((Scenario_Data!V201)*12.9898+(0)*78.233+Inputs!$C$47*37.719))*43758.5453)))-1)))))/Inputs!$C$21*1000000</f>
        <v/>
      </c>
      <c r="AD201">
        <f>Scenario_Data!W201</f>
        <v/>
      </c>
      <c r="AE201">
        <f>2*((Scenario_Data!E201*1000)-(IF(OR(Inputs!$C$27=TRUE,Inputs!$C$27="TRUE",Inputs!$C$27=1),1,0)*(Inputs!$C$51*(115*EXP(-(((0)-25)^2)/(4.5^2))+70*EXP(-(((0)+38)^2)/(7^2))*(0.55+0.45*SIN(2*PI()*(Scenario_Data!W201)/45))+24*SIN(2*PI()*(0)/9+(Scenario_Data!W201)/18)*EXP(-(((0)+5)^2)/(22^2))+18*SIN(2*PI()*(Scenario_Data!W201)/70))+Inputs!$C$28*EXP(-(((Scenario_Data!W201)-Inputs!$C$29)^2)/(2*Inputs!$C$31^2))*EXP(-(((0)-Inputs!$C$30)^2)/(2*Inputs!$C$32^2))+-Inputs!$C$33*EXP(-(((((Scenario_Data!W201)-Inputs!$C$34)^2)+(((0)-Inputs!$C$35)^2))/(2*Inputs!$C$36^2)))+Inputs!$C$37*(0.55*SIN(2*PI()*(Scenario_Data!W201)/Inputs!$C$39)+0.35*COS(2*PI()*(0)/Inputs!$C$40)+0.2*SIN(2*PI()*((Scenario_Data!W201)+(0))/(0.5*(Inputs!$C$39+Inputs!$C$40))))+Inputs!$C$38*SIN(2*PI()*(Scenario_Data!W201)/Inputs!$C$39)*SIN(2*PI()*(0)/Inputs!$C$40)+-Inputs!$C$41*EXP(-(((0)-Inputs!$C$43)^2)/(2*Inputs!$C$44^2))*EXP(-(((Scenario_Data!W201)-Inputs!$C$42)^2)/(2*Inputs!$C$45^2))+Inputs!$C$48*(0.7*(0.45*SIN(2*PI()*(((Scenario_Data!W201)/Inputs!$C$49)+Inputs!$C$47*0.137))+0.35*COS(2*PI()*(((0)/Inputs!$C$50)+Inputs!$C$47*0.173))+0.2*SIN(2*PI()*((((Scenario_Data!W201)+(0))/(0.5*(Inputs!$C$49+Inputs!$C$50)))+Inputs!$C$47*0.097)))+0.3*(2*((SIN(((Scenario_Data!W201)*12.9898+(0)*78.233+Inputs!$C$47*37.719))*43758.5453)-INT((SIN(((Scenario_Data!W201)*12.9898+(0)*78.233+Inputs!$C$47*37.719))*43758.5453)))-1)))))/Inputs!$C$21*1000000</f>
        <v/>
      </c>
      <c r="AG201">
        <f>Scenario_Data!T201</f>
        <v/>
      </c>
      <c r="AH201">
        <f>2*(SQRT((Inputs!$C$52+(Scenario_Data!B201))^2+Inputs!$C$52^2-2*(Inputs!$C$52+(Scenario_Data!B201))*Inputs!$C$52*COS(SQRT((Scenario_Data!T201)^2+Inputs!$C$6^2)/Inputs!$C$52))*1000)/Inputs!$C$21*1000000</f>
        <v/>
      </c>
      <c r="AI201">
        <f>Scenario_Data!U201</f>
        <v/>
      </c>
      <c r="AJ201">
        <f>2*(SQRT((Inputs!$C$52+(Scenario_Data!C201))^2+Inputs!$C$52^2-2*(Inputs!$C$52+(Scenario_Data!C201))*Inputs!$C$52*COS(SQRT((Scenario_Data!U201)^2+Inputs!$C$6^2)/Inputs!$C$52))*1000)/Inputs!$C$21*1000000</f>
        <v/>
      </c>
      <c r="AK201">
        <f>Scenario_Data!V201</f>
        <v/>
      </c>
      <c r="AL201">
        <f>2*(SQRT((Inputs!$C$52+(Scenario_Data!D201))^2+Inputs!$C$52^2-2*(Inputs!$C$52+(Scenario_Data!D201))*Inputs!$C$52*COS(SQRT((Scenario_Data!V201)^2+Inputs!$C$6^2)/Inputs!$C$52))*1000)/Inputs!$C$21*1000000</f>
        <v/>
      </c>
      <c r="AM201">
        <f>Scenario_Data!W201</f>
        <v/>
      </c>
      <c r="AN201">
        <f>2*(SQRT((Inputs!$C$52+(Scenario_Data!E201))^2+Inputs!$C$52^2-2*(Inputs!$C$52+(Scenario_Data!E201))*Inputs!$C$52*COS(SQRT((Scenario_Data!W201)^2+Inputs!$C$6^2)/Inputs!$C$52))*1000)/Inputs!$C$21*1000000</f>
        <v/>
      </c>
      <c r="AP201">
        <f>Scenario_Data!T201</f>
        <v/>
      </c>
      <c r="AQ201">
        <f>2*(SQRT((Inputs!$C$52+(Scenario_Data!B201))^2+(Inputs!$C$52+((IF(OR(Inputs!$C$27=TRUE,Inputs!$C$27="TRUE",Inputs!$C$27=1),1,0)*(Inputs!$C$51*(115*EXP(-(((Inputs!$C$6)-25)^2)/(4.5^2))+70*EXP(-(((Inputs!$C$6)+38)^2)/(7^2))*(0.55+0.45*SIN(2*PI()*(Scenario_Data!T201)/45))+24*SIN(2*PI()*(Inputs!$C$6)/9+(Scenario_Data!T201)/18)*EXP(-(((Inputs!$C$6)+5)^2)/(22^2))+18*SIN(2*PI()*(Scenario_Data!T201)/70))+Inputs!$C$28*EXP(-(((Scenario_Data!T201)-Inputs!$C$29)^2)/(2*Inputs!$C$31^2))*EXP(-(((Inputs!$C$6)-Inputs!$C$30)^2)/(2*Inputs!$C$32^2))+-Inputs!$C$33*EXP(-(((((Scenario_Data!T201)-Inputs!$C$34)^2)+(((Inputs!$C$6)-Inputs!$C$35)^2))/(2*Inputs!$C$36^2)))+Inputs!$C$37*(0.55*SIN(2*PI()*(Scenario_Data!T201)/Inputs!$C$39)+0.35*COS(2*PI()*(Inputs!$C$6)/Inputs!$C$40)+0.2*SIN(2*PI()*((Scenario_Data!T201)+(Inputs!$C$6))/(0.5*(Inputs!$C$39+Inputs!$C$40))))+Inputs!$C$38*SIN(2*PI()*(Scenario_Data!T201)/Inputs!$C$39)*SIN(2*PI()*(Inputs!$C$6)/Inputs!$C$40)+-Inputs!$C$41*EXP(-(((Inputs!$C$6)-Inputs!$C$43)^2)/(2*Inputs!$C$44^2))*EXP(-(((Scenario_Data!T201)-Inputs!$C$42)^2)/(2*Inputs!$C$45^2))+Inputs!$C$48*(0.7*(0.45*SIN(2*PI()*(((Scenario_Data!T201)/Inputs!$C$49)+Inputs!$C$47*0.137))+0.35*COS(2*PI()*(((Inputs!$C$6)/Inputs!$C$50)+Inputs!$C$47*0.173))+0.2*SIN(2*PI()*((((Scenario_Data!T201)+(Inputs!$C$6))/(0.5*(Inputs!$C$49+Inputs!$C$50)))+Inputs!$C$47*0.097)))+0.3*(2*((SIN(((Scenario_Data!T201)*12.9898+(Inputs!$C$6)*78.233+Inputs!$C$47*37.719))*43758.5453)-INT((SIN(((Scenario_Data!T201)*12.9898+(Inputs!$C$6)*78.233+Inputs!$C$47*37.719))*43758.5453)))-1))))/1000))^2-2*(Inputs!$C$52+(Scenario_Data!B201))*(Inputs!$C$52+((IF(OR(Inputs!$C$27=TRUE,Inputs!$C$27="TRUE",Inputs!$C$27=1),1,0)*(Inputs!$C$51*(115*EXP(-(((Inputs!$C$6)-25)^2)/(4.5^2))+70*EXP(-(((Inputs!$C$6)+38)^2)/(7^2))*(0.55+0.45*SIN(2*PI()*(Scenario_Data!T201)/45))+24*SIN(2*PI()*(Inputs!$C$6)/9+(Scenario_Data!T201)/18)*EXP(-(((Inputs!$C$6)+5)^2)/(22^2))+18*SIN(2*PI()*(Scenario_Data!T201)/70))+Inputs!$C$28*EXP(-(((Scenario_Data!T201)-Inputs!$C$29)^2)/(2*Inputs!$C$31^2))*EXP(-(((Inputs!$C$6)-Inputs!$C$30)^2)/(2*Inputs!$C$32^2))+-Inputs!$C$33*EXP(-(((((Scenario_Data!T201)-Inputs!$C$34)^2)+(((Inputs!$C$6)-Inputs!$C$35)^2))/(2*Inputs!$C$36^2)))+Inputs!$C$37*(0.55*SIN(2*PI()*(Scenario_Data!T201)/Inputs!$C$39)+0.35*COS(2*PI()*(Inputs!$C$6)/Inputs!$C$40)+0.2*SIN(2*PI()*((Scenario_Data!T201)+(Inputs!$C$6))/(0.5*(Inputs!$C$39+Inputs!$C$40))))+Inputs!$C$38*SIN(2*PI()*(Scenario_Data!T201)/Inputs!$C$39)*SIN(2*PI()*(Inputs!$C$6)/Inputs!$C$40)+-Inputs!$C$41*EXP(-(((Inputs!$C$6)-Inputs!$C$43)^2)/(2*Inputs!$C$44^2))*EXP(-(((Scenario_Data!T201)-Inputs!$C$42)^2)/(2*Inputs!$C$45^2))+Inputs!$C$48*(0.7*(0.45*SIN(2*PI()*(((Scenario_Data!T201)/Inputs!$C$49)+Inputs!$C$47*0.137))+0.35*COS(2*PI()*(((Inputs!$C$6)/Inputs!$C$50)+Inputs!$C$47*0.173))+0.2*SIN(2*PI()*((((Scenario_Data!T201)+(Inputs!$C$6))/(0.5*(Inputs!$C$49+Inputs!$C$50)))+Inputs!$C$47*0.097)))+0.3*(2*((SIN(((Scenario_Data!T201)*12.9898+(Inputs!$C$6)*78.233+Inputs!$C$47*37.719))*43758.5453)-INT((SIN(((Scenario_Data!T201)*12.9898+(Inputs!$C$6)*78.233+Inputs!$C$47*37.719))*43758.5453)))-1))))/1000))*COS(SQRT((Scenario_Data!T201)^2+Inputs!$C$6^2)/Inputs!$C$52))*1000)/Inputs!$C$21*1000000</f>
        <v/>
      </c>
      <c r="AR201">
        <f>Scenario_Data!U201</f>
        <v/>
      </c>
      <c r="AS201">
        <f>2*(SQRT((Inputs!$C$52+(Scenario_Data!C201))^2+(Inputs!$C$52+((IF(OR(Inputs!$C$27=TRUE,Inputs!$C$27="TRUE",Inputs!$C$27=1),1,0)*(Inputs!$C$51*(115*EXP(-(((Inputs!$C$6)-25)^2)/(4.5^2))+70*EXP(-(((Inputs!$C$6)+38)^2)/(7^2))*(0.55+0.45*SIN(2*PI()*(Scenario_Data!U201)/45))+24*SIN(2*PI()*(Inputs!$C$6)/9+(Scenario_Data!U201)/18)*EXP(-(((Inputs!$C$6)+5)^2)/(22^2))+18*SIN(2*PI()*(Scenario_Data!U201)/70))+Inputs!$C$28*EXP(-(((Scenario_Data!U201)-Inputs!$C$29)^2)/(2*Inputs!$C$31^2))*EXP(-(((Inputs!$C$6)-Inputs!$C$30)^2)/(2*Inputs!$C$32^2))+-Inputs!$C$33*EXP(-(((((Scenario_Data!U201)-Inputs!$C$34)^2)+(((Inputs!$C$6)-Inputs!$C$35)^2))/(2*Inputs!$C$36^2)))+Inputs!$C$37*(0.55*SIN(2*PI()*(Scenario_Data!U201)/Inputs!$C$39)+0.35*COS(2*PI()*(Inputs!$C$6)/Inputs!$C$40)+0.2*SIN(2*PI()*((Scenario_Data!U201)+(Inputs!$C$6))/(0.5*(Inputs!$C$39+Inputs!$C$40))))+Inputs!$C$38*SIN(2*PI()*(Scenario_Data!U201)/Inputs!$C$39)*SIN(2*PI()*(Inputs!$C$6)/Inputs!$C$40)+-Inputs!$C$41*EXP(-(((Inputs!$C$6)-Inputs!$C$43)^2)/(2*Inputs!$C$44^2))*EXP(-(((Scenario_Data!U201)-Inputs!$C$42)^2)/(2*Inputs!$C$45^2))+Inputs!$C$48*(0.7*(0.45*SIN(2*PI()*(((Scenario_Data!U201)/Inputs!$C$49)+Inputs!$C$47*0.137))+0.35*COS(2*PI()*(((Inputs!$C$6)/Inputs!$C$50)+Inputs!$C$47*0.173))+0.2*SIN(2*PI()*((((Scenario_Data!U201)+(Inputs!$C$6))/(0.5*(Inputs!$C$49+Inputs!$C$50)))+Inputs!$C$47*0.097)))+0.3*(2*((SIN(((Scenario_Data!U201)*12.9898+(Inputs!$C$6)*78.233+Inputs!$C$47*37.719))*43758.5453)-INT((SIN(((Scenario_Data!U201)*12.9898+(Inputs!$C$6)*78.233+Inputs!$C$47*37.719))*43758.5453)))-1))))/1000))^2-2*(Inputs!$C$52+(Scenario_Data!C201))*(Inputs!$C$52+((IF(OR(Inputs!$C$27=TRUE,Inputs!$C$27="TRUE",Inputs!$C$27=1),1,0)*(Inputs!$C$51*(115*EXP(-(((Inputs!$C$6)-25)^2)/(4.5^2))+70*EXP(-(((Inputs!$C$6)+38)^2)/(7^2))*(0.55+0.45*SIN(2*PI()*(Scenario_Data!U201)/45))+24*SIN(2*PI()*(Inputs!$C$6)/9+(Scenario_Data!U201)/18)*EXP(-(((Inputs!$C$6)+5)^2)/(22^2))+18*SIN(2*PI()*(Scenario_Data!U201)/70))+Inputs!$C$28*EXP(-(((Scenario_Data!U201)-Inputs!$C$29)^2)/(2*Inputs!$C$31^2))*EXP(-(((Inputs!$C$6)-Inputs!$C$30)^2)/(2*Inputs!$C$32^2))+-Inputs!$C$33*EXP(-(((((Scenario_Data!U201)-Inputs!$C$34)^2)+(((Inputs!$C$6)-Inputs!$C$35)^2))/(2*Inputs!$C$36^2)))+Inputs!$C$37*(0.55*SIN(2*PI()*(Scenario_Data!U201)/Inputs!$C$39)+0.35*COS(2*PI()*(Inputs!$C$6)/Inputs!$C$40)+0.2*SIN(2*PI()*((Scenario_Data!U201)+(Inputs!$C$6))/(0.5*(Inputs!$C$39+Inputs!$C$40))))+Inputs!$C$38*SIN(2*PI()*(Scenario_Data!U201)/Inputs!$C$39)*SIN(2*PI()*(Inputs!$C$6)/Inputs!$C$40)+-Inputs!$C$41*EXP(-(((Inputs!$C$6)-Inputs!$C$43)^2)/(2*Inputs!$C$44^2))*EXP(-(((Scenario_Data!U201)-Inputs!$C$42)^2)/(2*Inputs!$C$45^2))+Inputs!$C$48*(0.7*(0.45*SIN(2*PI()*(((Scenario_Data!U201)/Inputs!$C$49)+Inputs!$C$47*0.137))+0.35*COS(2*PI()*(((Inputs!$C$6)/Inputs!$C$50)+Inputs!$C$47*0.173))+0.2*SIN(2*PI()*((((Scenario_Data!U201)+(Inputs!$C$6))/(0.5*(Inputs!$C$49+Inputs!$C$50)))+Inputs!$C$47*0.097)))+0.3*(2*((SIN(((Scenario_Data!U201)*12.9898+(Inputs!$C$6)*78.233+Inputs!$C$47*37.719))*43758.5453)-INT((SIN(((Scenario_Data!U201)*12.9898+(Inputs!$C$6)*78.233+Inputs!$C$47*37.719))*43758.5453)))-1))))/1000))*COS(SQRT((Scenario_Data!U201)^2+Inputs!$C$6^2)/Inputs!$C$52))*1000)/Inputs!$C$21*1000000</f>
        <v/>
      </c>
      <c r="AT201">
        <f>Scenario_Data!V201</f>
        <v/>
      </c>
      <c r="AU201">
        <f>2*(SQRT((Inputs!$C$52+(Scenario_Data!D201))^2+(Inputs!$C$52+((IF(OR(Inputs!$C$27=TRUE,Inputs!$C$27="TRUE",Inputs!$C$27=1),1,0)*(Inputs!$C$51*(115*EXP(-(((Inputs!$C$6)-25)^2)/(4.5^2))+70*EXP(-(((Inputs!$C$6)+38)^2)/(7^2))*(0.55+0.45*SIN(2*PI()*(Scenario_Data!V201)/45))+24*SIN(2*PI()*(Inputs!$C$6)/9+(Scenario_Data!V201)/18)*EXP(-(((Inputs!$C$6)+5)^2)/(22^2))+18*SIN(2*PI()*(Scenario_Data!V201)/70))+Inputs!$C$28*EXP(-(((Scenario_Data!V201)-Inputs!$C$29)^2)/(2*Inputs!$C$31^2))*EXP(-(((Inputs!$C$6)-Inputs!$C$30)^2)/(2*Inputs!$C$32^2))+-Inputs!$C$33*EXP(-(((((Scenario_Data!V201)-Inputs!$C$34)^2)+(((Inputs!$C$6)-Inputs!$C$35)^2))/(2*Inputs!$C$36^2)))+Inputs!$C$37*(0.55*SIN(2*PI()*(Scenario_Data!V201)/Inputs!$C$39)+0.35*COS(2*PI()*(Inputs!$C$6)/Inputs!$C$40)+0.2*SIN(2*PI()*((Scenario_Data!V201)+(Inputs!$C$6))/(0.5*(Inputs!$C$39+Inputs!$C$40))))+Inputs!$C$38*SIN(2*PI()*(Scenario_Data!V201)/Inputs!$C$39)*SIN(2*PI()*(Inputs!$C$6)/Inputs!$C$40)+-Inputs!$C$41*EXP(-(((Inputs!$C$6)-Inputs!$C$43)^2)/(2*Inputs!$C$44^2))*EXP(-(((Scenario_Data!V201)-Inputs!$C$42)^2)/(2*Inputs!$C$45^2))+Inputs!$C$48*(0.7*(0.45*SIN(2*PI()*(((Scenario_Data!V201)/Inputs!$C$49)+Inputs!$C$47*0.137))+0.35*COS(2*PI()*(((Inputs!$C$6)/Inputs!$C$50)+Inputs!$C$47*0.173))+0.2*SIN(2*PI()*((((Scenario_Data!V201)+(Inputs!$C$6))/(0.5*(Inputs!$C$49+Inputs!$C$50)))+Inputs!$C$47*0.097)))+0.3*(2*((SIN(((Scenario_Data!V201)*12.9898+(Inputs!$C$6)*78.233+Inputs!$C$47*37.719))*43758.5453)-INT((SIN(((Scenario_Data!V201)*12.9898+(Inputs!$C$6)*78.233+Inputs!$C$47*37.719))*43758.5453)))-1))))/1000))^2-2*(Inputs!$C$52+(Scenario_Data!D201))*(Inputs!$C$52+((IF(OR(Inputs!$C$27=TRUE,Inputs!$C$27="TRUE",Inputs!$C$27=1),1,0)*(Inputs!$C$51*(115*EXP(-(((Inputs!$C$6)-25)^2)/(4.5^2))+70*EXP(-(((Inputs!$C$6)+38)^2)/(7^2))*(0.55+0.45*SIN(2*PI()*(Scenario_Data!V201)/45))+24*SIN(2*PI()*(Inputs!$C$6)/9+(Scenario_Data!V201)/18)*EXP(-(((Inputs!$C$6)+5)^2)/(22^2))+18*SIN(2*PI()*(Scenario_Data!V201)/70))+Inputs!$C$28*EXP(-(((Scenario_Data!V201)-Inputs!$C$29)^2)/(2*Inputs!$C$31^2))*EXP(-(((Inputs!$C$6)-Inputs!$C$30)^2)/(2*Inputs!$C$32^2))+-Inputs!$C$33*EXP(-(((((Scenario_Data!V201)-Inputs!$C$34)^2)+(((Inputs!$C$6)-Inputs!$C$35)^2))/(2*Inputs!$C$36^2)))+Inputs!$C$37*(0.55*SIN(2*PI()*(Scenario_Data!V201)/Inputs!$C$39)+0.35*COS(2*PI()*(Inputs!$C$6)/Inputs!$C$40)+0.2*SIN(2*PI()*((Scenario_Data!V201)+(Inputs!$C$6))/(0.5*(Inputs!$C$39+Inputs!$C$40))))+Inputs!$C$38*SIN(2*PI()*(Scenario_Data!V201)/Inputs!$C$39)*SIN(2*PI()*(Inputs!$C$6)/Inputs!$C$40)+-Inputs!$C$41*EXP(-(((Inputs!$C$6)-Inputs!$C$43)^2)/(2*Inputs!$C$44^2))*EXP(-(((Scenario_Data!V201)-Inputs!$C$42)^2)/(2*Inputs!$C$45^2))+Inputs!$C$48*(0.7*(0.45*SIN(2*PI()*(((Scenario_Data!V201)/Inputs!$C$49)+Inputs!$C$47*0.137))+0.35*COS(2*PI()*(((Inputs!$C$6)/Inputs!$C$50)+Inputs!$C$47*0.173))+0.2*SIN(2*PI()*((((Scenario_Data!V201)+(Inputs!$C$6))/(0.5*(Inputs!$C$49+Inputs!$C$50)))+Inputs!$C$47*0.097)))+0.3*(2*((SIN(((Scenario_Data!V201)*12.9898+(Inputs!$C$6)*78.233+Inputs!$C$47*37.719))*43758.5453)-INT((SIN(((Scenario_Data!V201)*12.9898+(Inputs!$C$6)*78.233+Inputs!$C$47*37.719))*43758.5453)))-1))))/1000))*COS(SQRT((Scenario_Data!V201)^2+Inputs!$C$6^2)/Inputs!$C$52))*1000)/Inputs!$C$21*1000000</f>
        <v/>
      </c>
      <c r="AV201">
        <f>Scenario_Data!W201</f>
        <v/>
      </c>
      <c r="AW201">
        <f>2*(SQRT((Inputs!$C$52+(Scenario_Data!E201))^2+(Inputs!$C$52+((IF(OR(Inputs!$C$27=TRUE,Inputs!$C$27="TRUE",Inputs!$C$27=1),1,0)*(Inputs!$C$51*(115*EXP(-(((Inputs!$C$6)-25)^2)/(4.5^2))+70*EXP(-(((Inputs!$C$6)+38)^2)/(7^2))*(0.55+0.45*SIN(2*PI()*(Scenario_Data!W201)/45))+24*SIN(2*PI()*(Inputs!$C$6)/9+(Scenario_Data!W201)/18)*EXP(-(((Inputs!$C$6)+5)^2)/(22^2))+18*SIN(2*PI()*(Scenario_Data!W201)/70))+Inputs!$C$28*EXP(-(((Scenario_Data!W201)-Inputs!$C$29)^2)/(2*Inputs!$C$31^2))*EXP(-(((Inputs!$C$6)-Inputs!$C$30)^2)/(2*Inputs!$C$32^2))+-Inputs!$C$33*EXP(-(((((Scenario_Data!W201)-Inputs!$C$34)^2)+(((Inputs!$C$6)-Inputs!$C$35)^2))/(2*Inputs!$C$36^2)))+Inputs!$C$37*(0.55*SIN(2*PI()*(Scenario_Data!W201)/Inputs!$C$39)+0.35*COS(2*PI()*(Inputs!$C$6)/Inputs!$C$40)+0.2*SIN(2*PI()*((Scenario_Data!W201)+(Inputs!$C$6))/(0.5*(Inputs!$C$39+Inputs!$C$40))))+Inputs!$C$38*SIN(2*PI()*(Scenario_Data!W201)/Inputs!$C$39)*SIN(2*PI()*(Inputs!$C$6)/Inputs!$C$40)+-Inputs!$C$41*EXP(-(((Inputs!$C$6)-Inputs!$C$43)^2)/(2*Inputs!$C$44^2))*EXP(-(((Scenario_Data!W201)-Inputs!$C$42)^2)/(2*Inputs!$C$45^2))+Inputs!$C$48*(0.7*(0.45*SIN(2*PI()*(((Scenario_Data!W201)/Inputs!$C$49)+Inputs!$C$47*0.137))+0.35*COS(2*PI()*(((Inputs!$C$6)/Inputs!$C$50)+Inputs!$C$47*0.173))+0.2*SIN(2*PI()*((((Scenario_Data!W201)+(Inputs!$C$6))/(0.5*(Inputs!$C$49+Inputs!$C$50)))+Inputs!$C$47*0.097)))+0.3*(2*((SIN(((Scenario_Data!W201)*12.9898+(Inputs!$C$6)*78.233+Inputs!$C$47*37.719))*43758.5453)-INT((SIN(((Scenario_Data!W201)*12.9898+(Inputs!$C$6)*78.233+Inputs!$C$47*37.719))*43758.5453)))-1))))/1000))^2-2*(Inputs!$C$52+(Scenario_Data!E201))*(Inputs!$C$52+((IF(OR(Inputs!$C$27=TRUE,Inputs!$C$27="TRUE",Inputs!$C$27=1),1,0)*(Inputs!$C$51*(115*EXP(-(((Inputs!$C$6)-25)^2)/(4.5^2))+70*EXP(-(((Inputs!$C$6)+38)^2)/(7^2))*(0.55+0.45*SIN(2*PI()*(Scenario_Data!W201)/45))+24*SIN(2*PI()*(Inputs!$C$6)/9+(Scenario_Data!W201)/18)*EXP(-(((Inputs!$C$6)+5)^2)/(22^2))+18*SIN(2*PI()*(Scenario_Data!W201)/70))+Inputs!$C$28*EXP(-(((Scenario_Data!W201)-Inputs!$C$29)^2)/(2*Inputs!$C$31^2))*EXP(-(((Inputs!$C$6)-Inputs!$C$30)^2)/(2*Inputs!$C$32^2))+-Inputs!$C$33*EXP(-(((((Scenario_Data!W201)-Inputs!$C$34)^2)+(((Inputs!$C$6)-Inputs!$C$35)^2))/(2*Inputs!$C$36^2)))+Inputs!$C$37*(0.55*SIN(2*PI()*(Scenario_Data!W201)/Inputs!$C$39)+0.35*COS(2*PI()*(Inputs!$C$6)/Inputs!$C$40)+0.2*SIN(2*PI()*((Scenario_Data!W201)+(Inputs!$C$6))/(0.5*(Inputs!$C$39+Inputs!$C$40))))+Inputs!$C$38*SIN(2*PI()*(Scenario_Data!W201)/Inputs!$C$39)*SIN(2*PI()*(Inputs!$C$6)/Inputs!$C$40)+-Inputs!$C$41*EXP(-(((Inputs!$C$6)-Inputs!$C$43)^2)/(2*Inputs!$C$44^2))*EXP(-(((Scenario_Data!W201)-Inputs!$C$42)^2)/(2*Inputs!$C$45^2))+Inputs!$C$48*(0.7*(0.45*SIN(2*PI()*(((Scenario_Data!W201)/Inputs!$C$49)+Inputs!$C$47*0.137))+0.35*COS(2*PI()*(((Inputs!$C$6)/Inputs!$C$50)+Inputs!$C$47*0.173))+0.2*SIN(2*PI()*((((Scenario_Data!W201)+(Inputs!$C$6))/(0.5*(Inputs!$C$49+Inputs!$C$50)))+Inputs!$C$47*0.097)))+0.3*(2*((SIN(((Scenario_Data!W201)*12.9898+(Inputs!$C$6)*78.233+Inputs!$C$47*37.719))*43758.5453)-INT((SIN(((Scenario_Data!W201)*12.9898+(Inputs!$C$6)*78.233+Inputs!$C$47*37.719))*43758.5453)))-1))))/1000))*COS(SQRT((Scenario_Data!W201)^2+Inputs!$C$6^2)/Inputs!$C$52))*1000)/Inputs!$C$21*1000000</f>
        <v/>
      </c>
    </row>
    <row r="202">
      <c r="A202">
        <f>Chart_Data!K202</f>
        <v/>
      </c>
      <c r="B202">
        <f>Chart_Data!N202-Chart_Data!L202</f>
        <v/>
      </c>
      <c r="D202">
        <f>Chart_Data!G202</f>
        <v/>
      </c>
      <c r="E202">
        <f>Chart_Data!H202</f>
        <v/>
      </c>
      <c r="F202">
        <f>Chart_Data!I202</f>
        <v/>
      </c>
      <c r="G202">
        <f>Chart_Data!J202</f>
        <v/>
      </c>
      <c r="I202">
        <f>Scenario_Data!A202</f>
        <v/>
      </c>
      <c r="J202">
        <f>Scenario_Data!H202-(((SQRT((Inputs!$C$52+(Inputs!$H$6))^2+Inputs!$C$52^2-2*(Inputs!$C$52+(Inputs!$H$6))*Inputs!$C$52*COS(SQRT((Scenario_Data!T202)^2+Inputs!$C$6^2)/Inputs!$C$52)))-(Inputs!$H$6))*1000/Inputs!$C$12)</f>
        <v/>
      </c>
      <c r="K202">
        <f>Scenario_Data!I202-(((SQRT((Inputs!$C$52+(Inputs!$H$7))^2+Inputs!$C$52^2-2*(Inputs!$C$52+(Inputs!$H$7))*Inputs!$C$52*COS(SQRT((Scenario_Data!U202)^2+Inputs!$C$6^2)/Inputs!$C$52)))-(Inputs!$H$7))*1000/Inputs!$C$12)</f>
        <v/>
      </c>
      <c r="L202">
        <f>Scenario_Data!J202-(((SQRT((Inputs!$C$52+(Inputs!$H$8))^2+Inputs!$C$52^2-2*(Inputs!$C$52+(Inputs!$H$8))*Inputs!$C$52*COS(SQRT((Scenario_Data!V202)^2+Inputs!$C$6^2)/Inputs!$C$52)))-(Inputs!$H$8))*1000/Inputs!$C$12)</f>
        <v/>
      </c>
      <c r="M202">
        <f>Scenario_Data!K202-(((SQRT((Inputs!$C$52+(Inputs!$H$9))^2+Inputs!$C$52^2-2*(Inputs!$C$52+(Inputs!$H$9))*Inputs!$C$52*COS(SQRT((Scenario_Data!W202)^2+Inputs!$C$6^2)/Inputs!$C$52)))-(Inputs!$H$9))*1000/Inputs!$C$12)</f>
        <v/>
      </c>
      <c r="O202">
        <f>Scenario_Data!T202</f>
        <v/>
      </c>
      <c r="P202">
        <f>2*(Scenario_Data!B202*1000)/Inputs!$C$21*1000000</f>
        <v/>
      </c>
      <c r="Q202">
        <f>Scenario_Data!U202</f>
        <v/>
      </c>
      <c r="R202">
        <f>2*(Scenario_Data!C202*1000)/Inputs!$C$21*1000000</f>
        <v/>
      </c>
      <c r="S202">
        <f>Scenario_Data!V202</f>
        <v/>
      </c>
      <c r="T202">
        <f>2*(Scenario_Data!D202*1000)/Inputs!$C$21*1000000</f>
        <v/>
      </c>
      <c r="U202">
        <f>Scenario_Data!W202</f>
        <v/>
      </c>
      <c r="V202">
        <f>2*(Scenario_Data!E202*1000)/Inputs!$C$21*1000000</f>
        <v/>
      </c>
      <c r="X202">
        <f>Scenario_Data!T202</f>
        <v/>
      </c>
      <c r="Y202">
        <f>2*((Scenario_Data!B202*1000)-(IF(OR(Inputs!$C$27=TRUE,Inputs!$C$27="TRUE",Inputs!$C$27=1),1,0)*(Inputs!$C$51*(115*EXP(-(((0)-25)^2)/(4.5^2))+70*EXP(-(((0)+38)^2)/(7^2))*(0.55+0.45*SIN(2*PI()*(Scenario_Data!T202)/45))+24*SIN(2*PI()*(0)/9+(Scenario_Data!T202)/18)*EXP(-(((0)+5)^2)/(22^2))+18*SIN(2*PI()*(Scenario_Data!T202)/70))+Inputs!$C$28*EXP(-(((Scenario_Data!T202)-Inputs!$C$29)^2)/(2*Inputs!$C$31^2))*EXP(-(((0)-Inputs!$C$30)^2)/(2*Inputs!$C$32^2))+-Inputs!$C$33*EXP(-(((((Scenario_Data!T202)-Inputs!$C$34)^2)+(((0)-Inputs!$C$35)^2))/(2*Inputs!$C$36^2)))+Inputs!$C$37*(0.55*SIN(2*PI()*(Scenario_Data!T202)/Inputs!$C$39)+0.35*COS(2*PI()*(0)/Inputs!$C$40)+0.2*SIN(2*PI()*((Scenario_Data!T202)+(0))/(0.5*(Inputs!$C$39+Inputs!$C$40))))+Inputs!$C$38*SIN(2*PI()*(Scenario_Data!T202)/Inputs!$C$39)*SIN(2*PI()*(0)/Inputs!$C$40)+-Inputs!$C$41*EXP(-(((0)-Inputs!$C$43)^2)/(2*Inputs!$C$44^2))*EXP(-(((Scenario_Data!T202)-Inputs!$C$42)^2)/(2*Inputs!$C$45^2))+Inputs!$C$48*(0.7*(0.45*SIN(2*PI()*(((Scenario_Data!T202)/Inputs!$C$49)+Inputs!$C$47*0.137))+0.35*COS(2*PI()*(((0)/Inputs!$C$50)+Inputs!$C$47*0.173))+0.2*SIN(2*PI()*((((Scenario_Data!T202)+(0))/(0.5*(Inputs!$C$49+Inputs!$C$50)))+Inputs!$C$47*0.097)))+0.3*(2*((SIN(((Scenario_Data!T202)*12.9898+(0)*78.233+Inputs!$C$47*37.719))*43758.5453)-INT((SIN(((Scenario_Data!T202)*12.9898+(0)*78.233+Inputs!$C$47*37.719))*43758.5453)))-1)))))/Inputs!$C$21*1000000</f>
        <v/>
      </c>
      <c r="Z202">
        <f>Scenario_Data!U202</f>
        <v/>
      </c>
      <c r="AA202">
        <f>2*((Scenario_Data!C202*1000)-(IF(OR(Inputs!$C$27=TRUE,Inputs!$C$27="TRUE",Inputs!$C$27=1),1,0)*(Inputs!$C$51*(115*EXP(-(((0)-25)^2)/(4.5^2))+70*EXP(-(((0)+38)^2)/(7^2))*(0.55+0.45*SIN(2*PI()*(Scenario_Data!U202)/45))+24*SIN(2*PI()*(0)/9+(Scenario_Data!U202)/18)*EXP(-(((0)+5)^2)/(22^2))+18*SIN(2*PI()*(Scenario_Data!U202)/70))+Inputs!$C$28*EXP(-(((Scenario_Data!U202)-Inputs!$C$29)^2)/(2*Inputs!$C$31^2))*EXP(-(((0)-Inputs!$C$30)^2)/(2*Inputs!$C$32^2))+-Inputs!$C$33*EXP(-(((((Scenario_Data!U202)-Inputs!$C$34)^2)+(((0)-Inputs!$C$35)^2))/(2*Inputs!$C$36^2)))+Inputs!$C$37*(0.55*SIN(2*PI()*(Scenario_Data!U202)/Inputs!$C$39)+0.35*COS(2*PI()*(0)/Inputs!$C$40)+0.2*SIN(2*PI()*((Scenario_Data!U202)+(0))/(0.5*(Inputs!$C$39+Inputs!$C$40))))+Inputs!$C$38*SIN(2*PI()*(Scenario_Data!U202)/Inputs!$C$39)*SIN(2*PI()*(0)/Inputs!$C$40)+-Inputs!$C$41*EXP(-(((0)-Inputs!$C$43)^2)/(2*Inputs!$C$44^2))*EXP(-(((Scenario_Data!U202)-Inputs!$C$42)^2)/(2*Inputs!$C$45^2))+Inputs!$C$48*(0.7*(0.45*SIN(2*PI()*(((Scenario_Data!U202)/Inputs!$C$49)+Inputs!$C$47*0.137))+0.35*COS(2*PI()*(((0)/Inputs!$C$50)+Inputs!$C$47*0.173))+0.2*SIN(2*PI()*((((Scenario_Data!U202)+(0))/(0.5*(Inputs!$C$49+Inputs!$C$50)))+Inputs!$C$47*0.097)))+0.3*(2*((SIN(((Scenario_Data!U202)*12.9898+(0)*78.233+Inputs!$C$47*37.719))*43758.5453)-INT((SIN(((Scenario_Data!U202)*12.9898+(0)*78.233+Inputs!$C$47*37.719))*43758.5453)))-1)))))/Inputs!$C$21*1000000</f>
        <v/>
      </c>
      <c r="AB202">
        <f>Scenario_Data!V202</f>
        <v/>
      </c>
      <c r="AC202">
        <f>2*((Scenario_Data!D202*1000)-(IF(OR(Inputs!$C$27=TRUE,Inputs!$C$27="TRUE",Inputs!$C$27=1),1,0)*(Inputs!$C$51*(115*EXP(-(((0)-25)^2)/(4.5^2))+70*EXP(-(((0)+38)^2)/(7^2))*(0.55+0.45*SIN(2*PI()*(Scenario_Data!V202)/45))+24*SIN(2*PI()*(0)/9+(Scenario_Data!V202)/18)*EXP(-(((0)+5)^2)/(22^2))+18*SIN(2*PI()*(Scenario_Data!V202)/70))+Inputs!$C$28*EXP(-(((Scenario_Data!V202)-Inputs!$C$29)^2)/(2*Inputs!$C$31^2))*EXP(-(((0)-Inputs!$C$30)^2)/(2*Inputs!$C$32^2))+-Inputs!$C$33*EXP(-(((((Scenario_Data!V202)-Inputs!$C$34)^2)+(((0)-Inputs!$C$35)^2))/(2*Inputs!$C$36^2)))+Inputs!$C$37*(0.55*SIN(2*PI()*(Scenario_Data!V202)/Inputs!$C$39)+0.35*COS(2*PI()*(0)/Inputs!$C$40)+0.2*SIN(2*PI()*((Scenario_Data!V202)+(0))/(0.5*(Inputs!$C$39+Inputs!$C$40))))+Inputs!$C$38*SIN(2*PI()*(Scenario_Data!V202)/Inputs!$C$39)*SIN(2*PI()*(0)/Inputs!$C$40)+-Inputs!$C$41*EXP(-(((0)-Inputs!$C$43)^2)/(2*Inputs!$C$44^2))*EXP(-(((Scenario_Data!V202)-Inputs!$C$42)^2)/(2*Inputs!$C$45^2))+Inputs!$C$48*(0.7*(0.45*SIN(2*PI()*(((Scenario_Data!V202)/Inputs!$C$49)+Inputs!$C$47*0.137))+0.35*COS(2*PI()*(((0)/Inputs!$C$50)+Inputs!$C$47*0.173))+0.2*SIN(2*PI()*((((Scenario_Data!V202)+(0))/(0.5*(Inputs!$C$49+Inputs!$C$50)))+Inputs!$C$47*0.097)))+0.3*(2*((SIN(((Scenario_Data!V202)*12.9898+(0)*78.233+Inputs!$C$47*37.719))*43758.5453)-INT((SIN(((Scenario_Data!V202)*12.9898+(0)*78.233+Inputs!$C$47*37.719))*43758.5453)))-1)))))/Inputs!$C$21*1000000</f>
        <v/>
      </c>
      <c r="AD202">
        <f>Scenario_Data!W202</f>
        <v/>
      </c>
      <c r="AE202">
        <f>2*((Scenario_Data!E202*1000)-(IF(OR(Inputs!$C$27=TRUE,Inputs!$C$27="TRUE",Inputs!$C$27=1),1,0)*(Inputs!$C$51*(115*EXP(-(((0)-25)^2)/(4.5^2))+70*EXP(-(((0)+38)^2)/(7^2))*(0.55+0.45*SIN(2*PI()*(Scenario_Data!W202)/45))+24*SIN(2*PI()*(0)/9+(Scenario_Data!W202)/18)*EXP(-(((0)+5)^2)/(22^2))+18*SIN(2*PI()*(Scenario_Data!W202)/70))+Inputs!$C$28*EXP(-(((Scenario_Data!W202)-Inputs!$C$29)^2)/(2*Inputs!$C$31^2))*EXP(-(((0)-Inputs!$C$30)^2)/(2*Inputs!$C$32^2))+-Inputs!$C$33*EXP(-(((((Scenario_Data!W202)-Inputs!$C$34)^2)+(((0)-Inputs!$C$35)^2))/(2*Inputs!$C$36^2)))+Inputs!$C$37*(0.55*SIN(2*PI()*(Scenario_Data!W202)/Inputs!$C$39)+0.35*COS(2*PI()*(0)/Inputs!$C$40)+0.2*SIN(2*PI()*((Scenario_Data!W202)+(0))/(0.5*(Inputs!$C$39+Inputs!$C$40))))+Inputs!$C$38*SIN(2*PI()*(Scenario_Data!W202)/Inputs!$C$39)*SIN(2*PI()*(0)/Inputs!$C$40)+-Inputs!$C$41*EXP(-(((0)-Inputs!$C$43)^2)/(2*Inputs!$C$44^2))*EXP(-(((Scenario_Data!W202)-Inputs!$C$42)^2)/(2*Inputs!$C$45^2))+Inputs!$C$48*(0.7*(0.45*SIN(2*PI()*(((Scenario_Data!W202)/Inputs!$C$49)+Inputs!$C$47*0.137))+0.35*COS(2*PI()*(((0)/Inputs!$C$50)+Inputs!$C$47*0.173))+0.2*SIN(2*PI()*((((Scenario_Data!W202)+(0))/(0.5*(Inputs!$C$49+Inputs!$C$50)))+Inputs!$C$47*0.097)))+0.3*(2*((SIN(((Scenario_Data!W202)*12.9898+(0)*78.233+Inputs!$C$47*37.719))*43758.5453)-INT((SIN(((Scenario_Data!W202)*12.9898+(0)*78.233+Inputs!$C$47*37.719))*43758.5453)))-1)))))/Inputs!$C$21*1000000</f>
        <v/>
      </c>
      <c r="AG202">
        <f>Scenario_Data!T202</f>
        <v/>
      </c>
      <c r="AH202">
        <f>2*(SQRT((Inputs!$C$52+(Scenario_Data!B202))^2+Inputs!$C$52^2-2*(Inputs!$C$52+(Scenario_Data!B202))*Inputs!$C$52*COS(SQRT((Scenario_Data!T202)^2+Inputs!$C$6^2)/Inputs!$C$52))*1000)/Inputs!$C$21*1000000</f>
        <v/>
      </c>
      <c r="AI202">
        <f>Scenario_Data!U202</f>
        <v/>
      </c>
      <c r="AJ202">
        <f>2*(SQRT((Inputs!$C$52+(Scenario_Data!C202))^2+Inputs!$C$52^2-2*(Inputs!$C$52+(Scenario_Data!C202))*Inputs!$C$52*COS(SQRT((Scenario_Data!U202)^2+Inputs!$C$6^2)/Inputs!$C$52))*1000)/Inputs!$C$21*1000000</f>
        <v/>
      </c>
      <c r="AK202">
        <f>Scenario_Data!V202</f>
        <v/>
      </c>
      <c r="AL202">
        <f>2*(SQRT((Inputs!$C$52+(Scenario_Data!D202))^2+Inputs!$C$52^2-2*(Inputs!$C$52+(Scenario_Data!D202))*Inputs!$C$52*COS(SQRT((Scenario_Data!V202)^2+Inputs!$C$6^2)/Inputs!$C$52))*1000)/Inputs!$C$21*1000000</f>
        <v/>
      </c>
      <c r="AM202">
        <f>Scenario_Data!W202</f>
        <v/>
      </c>
      <c r="AN202">
        <f>2*(SQRT((Inputs!$C$52+(Scenario_Data!E202))^2+Inputs!$C$52^2-2*(Inputs!$C$52+(Scenario_Data!E202))*Inputs!$C$52*COS(SQRT((Scenario_Data!W202)^2+Inputs!$C$6^2)/Inputs!$C$52))*1000)/Inputs!$C$21*1000000</f>
        <v/>
      </c>
      <c r="AP202">
        <f>Scenario_Data!T202</f>
        <v/>
      </c>
      <c r="AQ202">
        <f>2*(SQRT((Inputs!$C$52+(Scenario_Data!B202))^2+(Inputs!$C$52+((IF(OR(Inputs!$C$27=TRUE,Inputs!$C$27="TRUE",Inputs!$C$27=1),1,0)*(Inputs!$C$51*(115*EXP(-(((Inputs!$C$6)-25)^2)/(4.5^2))+70*EXP(-(((Inputs!$C$6)+38)^2)/(7^2))*(0.55+0.45*SIN(2*PI()*(Scenario_Data!T202)/45))+24*SIN(2*PI()*(Inputs!$C$6)/9+(Scenario_Data!T202)/18)*EXP(-(((Inputs!$C$6)+5)^2)/(22^2))+18*SIN(2*PI()*(Scenario_Data!T202)/70))+Inputs!$C$28*EXP(-(((Scenario_Data!T202)-Inputs!$C$29)^2)/(2*Inputs!$C$31^2))*EXP(-(((Inputs!$C$6)-Inputs!$C$30)^2)/(2*Inputs!$C$32^2))+-Inputs!$C$33*EXP(-(((((Scenario_Data!T202)-Inputs!$C$34)^2)+(((Inputs!$C$6)-Inputs!$C$35)^2))/(2*Inputs!$C$36^2)))+Inputs!$C$37*(0.55*SIN(2*PI()*(Scenario_Data!T202)/Inputs!$C$39)+0.35*COS(2*PI()*(Inputs!$C$6)/Inputs!$C$40)+0.2*SIN(2*PI()*((Scenario_Data!T202)+(Inputs!$C$6))/(0.5*(Inputs!$C$39+Inputs!$C$40))))+Inputs!$C$38*SIN(2*PI()*(Scenario_Data!T202)/Inputs!$C$39)*SIN(2*PI()*(Inputs!$C$6)/Inputs!$C$40)+-Inputs!$C$41*EXP(-(((Inputs!$C$6)-Inputs!$C$43)^2)/(2*Inputs!$C$44^2))*EXP(-(((Scenario_Data!T202)-Inputs!$C$42)^2)/(2*Inputs!$C$45^2))+Inputs!$C$48*(0.7*(0.45*SIN(2*PI()*(((Scenario_Data!T202)/Inputs!$C$49)+Inputs!$C$47*0.137))+0.35*COS(2*PI()*(((Inputs!$C$6)/Inputs!$C$50)+Inputs!$C$47*0.173))+0.2*SIN(2*PI()*((((Scenario_Data!T202)+(Inputs!$C$6))/(0.5*(Inputs!$C$49+Inputs!$C$50)))+Inputs!$C$47*0.097)))+0.3*(2*((SIN(((Scenario_Data!T202)*12.9898+(Inputs!$C$6)*78.233+Inputs!$C$47*37.719))*43758.5453)-INT((SIN(((Scenario_Data!T202)*12.9898+(Inputs!$C$6)*78.233+Inputs!$C$47*37.719))*43758.5453)))-1))))/1000))^2-2*(Inputs!$C$52+(Scenario_Data!B202))*(Inputs!$C$52+((IF(OR(Inputs!$C$27=TRUE,Inputs!$C$27="TRUE",Inputs!$C$27=1),1,0)*(Inputs!$C$51*(115*EXP(-(((Inputs!$C$6)-25)^2)/(4.5^2))+70*EXP(-(((Inputs!$C$6)+38)^2)/(7^2))*(0.55+0.45*SIN(2*PI()*(Scenario_Data!T202)/45))+24*SIN(2*PI()*(Inputs!$C$6)/9+(Scenario_Data!T202)/18)*EXP(-(((Inputs!$C$6)+5)^2)/(22^2))+18*SIN(2*PI()*(Scenario_Data!T202)/70))+Inputs!$C$28*EXP(-(((Scenario_Data!T202)-Inputs!$C$29)^2)/(2*Inputs!$C$31^2))*EXP(-(((Inputs!$C$6)-Inputs!$C$30)^2)/(2*Inputs!$C$32^2))+-Inputs!$C$33*EXP(-(((((Scenario_Data!T202)-Inputs!$C$34)^2)+(((Inputs!$C$6)-Inputs!$C$35)^2))/(2*Inputs!$C$36^2)))+Inputs!$C$37*(0.55*SIN(2*PI()*(Scenario_Data!T202)/Inputs!$C$39)+0.35*COS(2*PI()*(Inputs!$C$6)/Inputs!$C$40)+0.2*SIN(2*PI()*((Scenario_Data!T202)+(Inputs!$C$6))/(0.5*(Inputs!$C$39+Inputs!$C$40))))+Inputs!$C$38*SIN(2*PI()*(Scenario_Data!T202)/Inputs!$C$39)*SIN(2*PI()*(Inputs!$C$6)/Inputs!$C$40)+-Inputs!$C$41*EXP(-(((Inputs!$C$6)-Inputs!$C$43)^2)/(2*Inputs!$C$44^2))*EXP(-(((Scenario_Data!T202)-Inputs!$C$42)^2)/(2*Inputs!$C$45^2))+Inputs!$C$48*(0.7*(0.45*SIN(2*PI()*(((Scenario_Data!T202)/Inputs!$C$49)+Inputs!$C$47*0.137))+0.35*COS(2*PI()*(((Inputs!$C$6)/Inputs!$C$50)+Inputs!$C$47*0.173))+0.2*SIN(2*PI()*((((Scenario_Data!T202)+(Inputs!$C$6))/(0.5*(Inputs!$C$49+Inputs!$C$50)))+Inputs!$C$47*0.097)))+0.3*(2*((SIN(((Scenario_Data!T202)*12.9898+(Inputs!$C$6)*78.233+Inputs!$C$47*37.719))*43758.5453)-INT((SIN(((Scenario_Data!T202)*12.9898+(Inputs!$C$6)*78.233+Inputs!$C$47*37.719))*43758.5453)))-1))))/1000))*COS(SQRT((Scenario_Data!T202)^2+Inputs!$C$6^2)/Inputs!$C$52))*1000)/Inputs!$C$21*1000000</f>
        <v/>
      </c>
      <c r="AR202">
        <f>Scenario_Data!U202</f>
        <v/>
      </c>
      <c r="AS202">
        <f>2*(SQRT((Inputs!$C$52+(Scenario_Data!C202))^2+(Inputs!$C$52+((IF(OR(Inputs!$C$27=TRUE,Inputs!$C$27="TRUE",Inputs!$C$27=1),1,0)*(Inputs!$C$51*(115*EXP(-(((Inputs!$C$6)-25)^2)/(4.5^2))+70*EXP(-(((Inputs!$C$6)+38)^2)/(7^2))*(0.55+0.45*SIN(2*PI()*(Scenario_Data!U202)/45))+24*SIN(2*PI()*(Inputs!$C$6)/9+(Scenario_Data!U202)/18)*EXP(-(((Inputs!$C$6)+5)^2)/(22^2))+18*SIN(2*PI()*(Scenario_Data!U202)/70))+Inputs!$C$28*EXP(-(((Scenario_Data!U202)-Inputs!$C$29)^2)/(2*Inputs!$C$31^2))*EXP(-(((Inputs!$C$6)-Inputs!$C$30)^2)/(2*Inputs!$C$32^2))+-Inputs!$C$33*EXP(-(((((Scenario_Data!U202)-Inputs!$C$34)^2)+(((Inputs!$C$6)-Inputs!$C$35)^2))/(2*Inputs!$C$36^2)))+Inputs!$C$37*(0.55*SIN(2*PI()*(Scenario_Data!U202)/Inputs!$C$39)+0.35*COS(2*PI()*(Inputs!$C$6)/Inputs!$C$40)+0.2*SIN(2*PI()*((Scenario_Data!U202)+(Inputs!$C$6))/(0.5*(Inputs!$C$39+Inputs!$C$40))))+Inputs!$C$38*SIN(2*PI()*(Scenario_Data!U202)/Inputs!$C$39)*SIN(2*PI()*(Inputs!$C$6)/Inputs!$C$40)+-Inputs!$C$41*EXP(-(((Inputs!$C$6)-Inputs!$C$43)^2)/(2*Inputs!$C$44^2))*EXP(-(((Scenario_Data!U202)-Inputs!$C$42)^2)/(2*Inputs!$C$45^2))+Inputs!$C$48*(0.7*(0.45*SIN(2*PI()*(((Scenario_Data!U202)/Inputs!$C$49)+Inputs!$C$47*0.137))+0.35*COS(2*PI()*(((Inputs!$C$6)/Inputs!$C$50)+Inputs!$C$47*0.173))+0.2*SIN(2*PI()*((((Scenario_Data!U202)+(Inputs!$C$6))/(0.5*(Inputs!$C$49+Inputs!$C$50)))+Inputs!$C$47*0.097)))+0.3*(2*((SIN(((Scenario_Data!U202)*12.9898+(Inputs!$C$6)*78.233+Inputs!$C$47*37.719))*43758.5453)-INT((SIN(((Scenario_Data!U202)*12.9898+(Inputs!$C$6)*78.233+Inputs!$C$47*37.719))*43758.5453)))-1))))/1000))^2-2*(Inputs!$C$52+(Scenario_Data!C202))*(Inputs!$C$52+((IF(OR(Inputs!$C$27=TRUE,Inputs!$C$27="TRUE",Inputs!$C$27=1),1,0)*(Inputs!$C$51*(115*EXP(-(((Inputs!$C$6)-25)^2)/(4.5^2))+70*EXP(-(((Inputs!$C$6)+38)^2)/(7^2))*(0.55+0.45*SIN(2*PI()*(Scenario_Data!U202)/45))+24*SIN(2*PI()*(Inputs!$C$6)/9+(Scenario_Data!U202)/18)*EXP(-(((Inputs!$C$6)+5)^2)/(22^2))+18*SIN(2*PI()*(Scenario_Data!U202)/70))+Inputs!$C$28*EXP(-(((Scenario_Data!U202)-Inputs!$C$29)^2)/(2*Inputs!$C$31^2))*EXP(-(((Inputs!$C$6)-Inputs!$C$30)^2)/(2*Inputs!$C$32^2))+-Inputs!$C$33*EXP(-(((((Scenario_Data!U202)-Inputs!$C$34)^2)+(((Inputs!$C$6)-Inputs!$C$35)^2))/(2*Inputs!$C$36^2)))+Inputs!$C$37*(0.55*SIN(2*PI()*(Scenario_Data!U202)/Inputs!$C$39)+0.35*COS(2*PI()*(Inputs!$C$6)/Inputs!$C$40)+0.2*SIN(2*PI()*((Scenario_Data!U202)+(Inputs!$C$6))/(0.5*(Inputs!$C$39+Inputs!$C$40))))+Inputs!$C$38*SIN(2*PI()*(Scenario_Data!U202)/Inputs!$C$39)*SIN(2*PI()*(Inputs!$C$6)/Inputs!$C$40)+-Inputs!$C$41*EXP(-(((Inputs!$C$6)-Inputs!$C$43)^2)/(2*Inputs!$C$44^2))*EXP(-(((Scenario_Data!U202)-Inputs!$C$42)^2)/(2*Inputs!$C$45^2))+Inputs!$C$48*(0.7*(0.45*SIN(2*PI()*(((Scenario_Data!U202)/Inputs!$C$49)+Inputs!$C$47*0.137))+0.35*COS(2*PI()*(((Inputs!$C$6)/Inputs!$C$50)+Inputs!$C$47*0.173))+0.2*SIN(2*PI()*((((Scenario_Data!U202)+(Inputs!$C$6))/(0.5*(Inputs!$C$49+Inputs!$C$50)))+Inputs!$C$47*0.097)))+0.3*(2*((SIN(((Scenario_Data!U202)*12.9898+(Inputs!$C$6)*78.233+Inputs!$C$47*37.719))*43758.5453)-INT((SIN(((Scenario_Data!U202)*12.9898+(Inputs!$C$6)*78.233+Inputs!$C$47*37.719))*43758.5453)))-1))))/1000))*COS(SQRT((Scenario_Data!U202)^2+Inputs!$C$6^2)/Inputs!$C$52))*1000)/Inputs!$C$21*1000000</f>
        <v/>
      </c>
      <c r="AT202">
        <f>Scenario_Data!V202</f>
        <v/>
      </c>
      <c r="AU202">
        <f>2*(SQRT((Inputs!$C$52+(Scenario_Data!D202))^2+(Inputs!$C$52+((IF(OR(Inputs!$C$27=TRUE,Inputs!$C$27="TRUE",Inputs!$C$27=1),1,0)*(Inputs!$C$51*(115*EXP(-(((Inputs!$C$6)-25)^2)/(4.5^2))+70*EXP(-(((Inputs!$C$6)+38)^2)/(7^2))*(0.55+0.45*SIN(2*PI()*(Scenario_Data!V202)/45))+24*SIN(2*PI()*(Inputs!$C$6)/9+(Scenario_Data!V202)/18)*EXP(-(((Inputs!$C$6)+5)^2)/(22^2))+18*SIN(2*PI()*(Scenario_Data!V202)/70))+Inputs!$C$28*EXP(-(((Scenario_Data!V202)-Inputs!$C$29)^2)/(2*Inputs!$C$31^2))*EXP(-(((Inputs!$C$6)-Inputs!$C$30)^2)/(2*Inputs!$C$32^2))+-Inputs!$C$33*EXP(-(((((Scenario_Data!V202)-Inputs!$C$34)^2)+(((Inputs!$C$6)-Inputs!$C$35)^2))/(2*Inputs!$C$36^2)))+Inputs!$C$37*(0.55*SIN(2*PI()*(Scenario_Data!V202)/Inputs!$C$39)+0.35*COS(2*PI()*(Inputs!$C$6)/Inputs!$C$40)+0.2*SIN(2*PI()*((Scenario_Data!V202)+(Inputs!$C$6))/(0.5*(Inputs!$C$39+Inputs!$C$40))))+Inputs!$C$38*SIN(2*PI()*(Scenario_Data!V202)/Inputs!$C$39)*SIN(2*PI()*(Inputs!$C$6)/Inputs!$C$40)+-Inputs!$C$41*EXP(-(((Inputs!$C$6)-Inputs!$C$43)^2)/(2*Inputs!$C$44^2))*EXP(-(((Scenario_Data!V202)-Inputs!$C$42)^2)/(2*Inputs!$C$45^2))+Inputs!$C$48*(0.7*(0.45*SIN(2*PI()*(((Scenario_Data!V202)/Inputs!$C$49)+Inputs!$C$47*0.137))+0.35*COS(2*PI()*(((Inputs!$C$6)/Inputs!$C$50)+Inputs!$C$47*0.173))+0.2*SIN(2*PI()*((((Scenario_Data!V202)+(Inputs!$C$6))/(0.5*(Inputs!$C$49+Inputs!$C$50)))+Inputs!$C$47*0.097)))+0.3*(2*((SIN(((Scenario_Data!V202)*12.9898+(Inputs!$C$6)*78.233+Inputs!$C$47*37.719))*43758.5453)-INT((SIN(((Scenario_Data!V202)*12.9898+(Inputs!$C$6)*78.233+Inputs!$C$47*37.719))*43758.5453)))-1))))/1000))^2-2*(Inputs!$C$52+(Scenario_Data!D202))*(Inputs!$C$52+((IF(OR(Inputs!$C$27=TRUE,Inputs!$C$27="TRUE",Inputs!$C$27=1),1,0)*(Inputs!$C$51*(115*EXP(-(((Inputs!$C$6)-25)^2)/(4.5^2))+70*EXP(-(((Inputs!$C$6)+38)^2)/(7^2))*(0.55+0.45*SIN(2*PI()*(Scenario_Data!V202)/45))+24*SIN(2*PI()*(Inputs!$C$6)/9+(Scenario_Data!V202)/18)*EXP(-(((Inputs!$C$6)+5)^2)/(22^2))+18*SIN(2*PI()*(Scenario_Data!V202)/70))+Inputs!$C$28*EXP(-(((Scenario_Data!V202)-Inputs!$C$29)^2)/(2*Inputs!$C$31^2))*EXP(-(((Inputs!$C$6)-Inputs!$C$30)^2)/(2*Inputs!$C$32^2))+-Inputs!$C$33*EXP(-(((((Scenario_Data!V202)-Inputs!$C$34)^2)+(((Inputs!$C$6)-Inputs!$C$35)^2))/(2*Inputs!$C$36^2)))+Inputs!$C$37*(0.55*SIN(2*PI()*(Scenario_Data!V202)/Inputs!$C$39)+0.35*COS(2*PI()*(Inputs!$C$6)/Inputs!$C$40)+0.2*SIN(2*PI()*((Scenario_Data!V202)+(Inputs!$C$6))/(0.5*(Inputs!$C$39+Inputs!$C$40))))+Inputs!$C$38*SIN(2*PI()*(Scenario_Data!V202)/Inputs!$C$39)*SIN(2*PI()*(Inputs!$C$6)/Inputs!$C$40)+-Inputs!$C$41*EXP(-(((Inputs!$C$6)-Inputs!$C$43)^2)/(2*Inputs!$C$44^2))*EXP(-(((Scenario_Data!V202)-Inputs!$C$42)^2)/(2*Inputs!$C$45^2))+Inputs!$C$48*(0.7*(0.45*SIN(2*PI()*(((Scenario_Data!V202)/Inputs!$C$49)+Inputs!$C$47*0.137))+0.35*COS(2*PI()*(((Inputs!$C$6)/Inputs!$C$50)+Inputs!$C$47*0.173))+0.2*SIN(2*PI()*((((Scenario_Data!V202)+(Inputs!$C$6))/(0.5*(Inputs!$C$49+Inputs!$C$50)))+Inputs!$C$47*0.097)))+0.3*(2*((SIN(((Scenario_Data!V202)*12.9898+(Inputs!$C$6)*78.233+Inputs!$C$47*37.719))*43758.5453)-INT((SIN(((Scenario_Data!V202)*12.9898+(Inputs!$C$6)*78.233+Inputs!$C$47*37.719))*43758.5453)))-1))))/1000))*COS(SQRT((Scenario_Data!V202)^2+Inputs!$C$6^2)/Inputs!$C$52))*1000)/Inputs!$C$21*1000000</f>
        <v/>
      </c>
      <c r="AV202">
        <f>Scenario_Data!W202</f>
        <v/>
      </c>
      <c r="AW202">
        <f>2*(SQRT((Inputs!$C$52+(Scenario_Data!E202))^2+(Inputs!$C$52+((IF(OR(Inputs!$C$27=TRUE,Inputs!$C$27="TRUE",Inputs!$C$27=1),1,0)*(Inputs!$C$51*(115*EXP(-(((Inputs!$C$6)-25)^2)/(4.5^2))+70*EXP(-(((Inputs!$C$6)+38)^2)/(7^2))*(0.55+0.45*SIN(2*PI()*(Scenario_Data!W202)/45))+24*SIN(2*PI()*(Inputs!$C$6)/9+(Scenario_Data!W202)/18)*EXP(-(((Inputs!$C$6)+5)^2)/(22^2))+18*SIN(2*PI()*(Scenario_Data!W202)/70))+Inputs!$C$28*EXP(-(((Scenario_Data!W202)-Inputs!$C$29)^2)/(2*Inputs!$C$31^2))*EXP(-(((Inputs!$C$6)-Inputs!$C$30)^2)/(2*Inputs!$C$32^2))+-Inputs!$C$33*EXP(-(((((Scenario_Data!W202)-Inputs!$C$34)^2)+(((Inputs!$C$6)-Inputs!$C$35)^2))/(2*Inputs!$C$36^2)))+Inputs!$C$37*(0.55*SIN(2*PI()*(Scenario_Data!W202)/Inputs!$C$39)+0.35*COS(2*PI()*(Inputs!$C$6)/Inputs!$C$40)+0.2*SIN(2*PI()*((Scenario_Data!W202)+(Inputs!$C$6))/(0.5*(Inputs!$C$39+Inputs!$C$40))))+Inputs!$C$38*SIN(2*PI()*(Scenario_Data!W202)/Inputs!$C$39)*SIN(2*PI()*(Inputs!$C$6)/Inputs!$C$40)+-Inputs!$C$41*EXP(-(((Inputs!$C$6)-Inputs!$C$43)^2)/(2*Inputs!$C$44^2))*EXP(-(((Scenario_Data!W202)-Inputs!$C$42)^2)/(2*Inputs!$C$45^2))+Inputs!$C$48*(0.7*(0.45*SIN(2*PI()*(((Scenario_Data!W202)/Inputs!$C$49)+Inputs!$C$47*0.137))+0.35*COS(2*PI()*(((Inputs!$C$6)/Inputs!$C$50)+Inputs!$C$47*0.173))+0.2*SIN(2*PI()*((((Scenario_Data!W202)+(Inputs!$C$6))/(0.5*(Inputs!$C$49+Inputs!$C$50)))+Inputs!$C$47*0.097)))+0.3*(2*((SIN(((Scenario_Data!W202)*12.9898+(Inputs!$C$6)*78.233+Inputs!$C$47*37.719))*43758.5453)-INT((SIN(((Scenario_Data!W202)*12.9898+(Inputs!$C$6)*78.233+Inputs!$C$47*37.719))*43758.5453)))-1))))/1000))^2-2*(Inputs!$C$52+(Scenario_Data!E202))*(Inputs!$C$52+((IF(OR(Inputs!$C$27=TRUE,Inputs!$C$27="TRUE",Inputs!$C$27=1),1,0)*(Inputs!$C$51*(115*EXP(-(((Inputs!$C$6)-25)^2)/(4.5^2))+70*EXP(-(((Inputs!$C$6)+38)^2)/(7^2))*(0.55+0.45*SIN(2*PI()*(Scenario_Data!W202)/45))+24*SIN(2*PI()*(Inputs!$C$6)/9+(Scenario_Data!W202)/18)*EXP(-(((Inputs!$C$6)+5)^2)/(22^2))+18*SIN(2*PI()*(Scenario_Data!W202)/70))+Inputs!$C$28*EXP(-(((Scenario_Data!W202)-Inputs!$C$29)^2)/(2*Inputs!$C$31^2))*EXP(-(((Inputs!$C$6)-Inputs!$C$30)^2)/(2*Inputs!$C$32^2))+-Inputs!$C$33*EXP(-(((((Scenario_Data!W202)-Inputs!$C$34)^2)+(((Inputs!$C$6)-Inputs!$C$35)^2))/(2*Inputs!$C$36^2)))+Inputs!$C$37*(0.55*SIN(2*PI()*(Scenario_Data!W202)/Inputs!$C$39)+0.35*COS(2*PI()*(Inputs!$C$6)/Inputs!$C$40)+0.2*SIN(2*PI()*((Scenario_Data!W202)+(Inputs!$C$6))/(0.5*(Inputs!$C$39+Inputs!$C$40))))+Inputs!$C$38*SIN(2*PI()*(Scenario_Data!W202)/Inputs!$C$39)*SIN(2*PI()*(Inputs!$C$6)/Inputs!$C$40)+-Inputs!$C$41*EXP(-(((Inputs!$C$6)-Inputs!$C$43)^2)/(2*Inputs!$C$44^2))*EXP(-(((Scenario_Data!W202)-Inputs!$C$42)^2)/(2*Inputs!$C$45^2))+Inputs!$C$48*(0.7*(0.45*SIN(2*PI()*(((Scenario_Data!W202)/Inputs!$C$49)+Inputs!$C$47*0.137))+0.35*COS(2*PI()*(((Inputs!$C$6)/Inputs!$C$50)+Inputs!$C$47*0.173))+0.2*SIN(2*PI()*((((Scenario_Data!W202)+(Inputs!$C$6))/(0.5*(Inputs!$C$49+Inputs!$C$50)))+Inputs!$C$47*0.097)))+0.3*(2*((SIN(((Scenario_Data!W202)*12.9898+(Inputs!$C$6)*78.233+Inputs!$C$47*37.719))*43758.5453)-INT((SIN(((Scenario_Data!W202)*12.9898+(Inputs!$C$6)*78.233+Inputs!$C$47*37.719))*43758.5453)))-1))))/1000))*COS(SQRT((Scenario_Data!W202)^2+Inputs!$C$6^2)/Inputs!$C$52))*1000)/Inputs!$C$21*1000000</f>
        <v/>
      </c>
    </row>
    <row r="203">
      <c r="A203">
        <f>Chart_Data!K203</f>
        <v/>
      </c>
      <c r="B203">
        <f>Chart_Data!N203-Chart_Data!L203</f>
        <v/>
      </c>
      <c r="D203">
        <f>Chart_Data!G203</f>
        <v/>
      </c>
      <c r="E203">
        <f>Chart_Data!H203</f>
        <v/>
      </c>
      <c r="F203">
        <f>Chart_Data!I203</f>
        <v/>
      </c>
      <c r="G203">
        <f>Chart_Data!J203</f>
        <v/>
      </c>
      <c r="I203">
        <f>Scenario_Data!A203</f>
        <v/>
      </c>
      <c r="J203">
        <f>Scenario_Data!H203-(((SQRT((Inputs!$C$52+(Inputs!$H$6))^2+Inputs!$C$52^2-2*(Inputs!$C$52+(Inputs!$H$6))*Inputs!$C$52*COS(SQRT((Scenario_Data!T203)^2+Inputs!$C$6^2)/Inputs!$C$52)))-(Inputs!$H$6))*1000/Inputs!$C$12)</f>
        <v/>
      </c>
      <c r="K203">
        <f>Scenario_Data!I203-(((SQRT((Inputs!$C$52+(Inputs!$H$7))^2+Inputs!$C$52^2-2*(Inputs!$C$52+(Inputs!$H$7))*Inputs!$C$52*COS(SQRT((Scenario_Data!U203)^2+Inputs!$C$6^2)/Inputs!$C$52)))-(Inputs!$H$7))*1000/Inputs!$C$12)</f>
        <v/>
      </c>
      <c r="L203">
        <f>Scenario_Data!J203-(((SQRT((Inputs!$C$52+(Inputs!$H$8))^2+Inputs!$C$52^2-2*(Inputs!$C$52+(Inputs!$H$8))*Inputs!$C$52*COS(SQRT((Scenario_Data!V203)^2+Inputs!$C$6^2)/Inputs!$C$52)))-(Inputs!$H$8))*1000/Inputs!$C$12)</f>
        <v/>
      </c>
      <c r="M203">
        <f>Scenario_Data!K203-(((SQRT((Inputs!$C$52+(Inputs!$H$9))^2+Inputs!$C$52^2-2*(Inputs!$C$52+(Inputs!$H$9))*Inputs!$C$52*COS(SQRT((Scenario_Data!W203)^2+Inputs!$C$6^2)/Inputs!$C$52)))-(Inputs!$H$9))*1000/Inputs!$C$12)</f>
        <v/>
      </c>
      <c r="O203">
        <f>Scenario_Data!T203</f>
        <v/>
      </c>
      <c r="P203">
        <f>2*(Scenario_Data!B203*1000)/Inputs!$C$21*1000000</f>
        <v/>
      </c>
      <c r="Q203">
        <f>Scenario_Data!U203</f>
        <v/>
      </c>
      <c r="R203">
        <f>2*(Scenario_Data!C203*1000)/Inputs!$C$21*1000000</f>
        <v/>
      </c>
      <c r="S203">
        <f>Scenario_Data!V203</f>
        <v/>
      </c>
      <c r="T203">
        <f>2*(Scenario_Data!D203*1000)/Inputs!$C$21*1000000</f>
        <v/>
      </c>
      <c r="U203">
        <f>Scenario_Data!W203</f>
        <v/>
      </c>
      <c r="V203">
        <f>2*(Scenario_Data!E203*1000)/Inputs!$C$21*1000000</f>
        <v/>
      </c>
      <c r="X203">
        <f>Scenario_Data!T203</f>
        <v/>
      </c>
      <c r="Y203">
        <f>2*((Scenario_Data!B203*1000)-(IF(OR(Inputs!$C$27=TRUE,Inputs!$C$27="TRUE",Inputs!$C$27=1),1,0)*(Inputs!$C$51*(115*EXP(-(((0)-25)^2)/(4.5^2))+70*EXP(-(((0)+38)^2)/(7^2))*(0.55+0.45*SIN(2*PI()*(Scenario_Data!T203)/45))+24*SIN(2*PI()*(0)/9+(Scenario_Data!T203)/18)*EXP(-(((0)+5)^2)/(22^2))+18*SIN(2*PI()*(Scenario_Data!T203)/70))+Inputs!$C$28*EXP(-(((Scenario_Data!T203)-Inputs!$C$29)^2)/(2*Inputs!$C$31^2))*EXP(-(((0)-Inputs!$C$30)^2)/(2*Inputs!$C$32^2))+-Inputs!$C$33*EXP(-(((((Scenario_Data!T203)-Inputs!$C$34)^2)+(((0)-Inputs!$C$35)^2))/(2*Inputs!$C$36^2)))+Inputs!$C$37*(0.55*SIN(2*PI()*(Scenario_Data!T203)/Inputs!$C$39)+0.35*COS(2*PI()*(0)/Inputs!$C$40)+0.2*SIN(2*PI()*((Scenario_Data!T203)+(0))/(0.5*(Inputs!$C$39+Inputs!$C$40))))+Inputs!$C$38*SIN(2*PI()*(Scenario_Data!T203)/Inputs!$C$39)*SIN(2*PI()*(0)/Inputs!$C$40)+-Inputs!$C$41*EXP(-(((0)-Inputs!$C$43)^2)/(2*Inputs!$C$44^2))*EXP(-(((Scenario_Data!T203)-Inputs!$C$42)^2)/(2*Inputs!$C$45^2))+Inputs!$C$48*(0.7*(0.45*SIN(2*PI()*(((Scenario_Data!T203)/Inputs!$C$49)+Inputs!$C$47*0.137))+0.35*COS(2*PI()*(((0)/Inputs!$C$50)+Inputs!$C$47*0.173))+0.2*SIN(2*PI()*((((Scenario_Data!T203)+(0))/(0.5*(Inputs!$C$49+Inputs!$C$50)))+Inputs!$C$47*0.097)))+0.3*(2*((SIN(((Scenario_Data!T203)*12.9898+(0)*78.233+Inputs!$C$47*37.719))*43758.5453)-INT((SIN(((Scenario_Data!T203)*12.9898+(0)*78.233+Inputs!$C$47*37.719))*43758.5453)))-1)))))/Inputs!$C$21*1000000</f>
        <v/>
      </c>
      <c r="Z203">
        <f>Scenario_Data!U203</f>
        <v/>
      </c>
      <c r="AA203">
        <f>2*((Scenario_Data!C203*1000)-(IF(OR(Inputs!$C$27=TRUE,Inputs!$C$27="TRUE",Inputs!$C$27=1),1,0)*(Inputs!$C$51*(115*EXP(-(((0)-25)^2)/(4.5^2))+70*EXP(-(((0)+38)^2)/(7^2))*(0.55+0.45*SIN(2*PI()*(Scenario_Data!U203)/45))+24*SIN(2*PI()*(0)/9+(Scenario_Data!U203)/18)*EXP(-(((0)+5)^2)/(22^2))+18*SIN(2*PI()*(Scenario_Data!U203)/70))+Inputs!$C$28*EXP(-(((Scenario_Data!U203)-Inputs!$C$29)^2)/(2*Inputs!$C$31^2))*EXP(-(((0)-Inputs!$C$30)^2)/(2*Inputs!$C$32^2))+-Inputs!$C$33*EXP(-(((((Scenario_Data!U203)-Inputs!$C$34)^2)+(((0)-Inputs!$C$35)^2))/(2*Inputs!$C$36^2)))+Inputs!$C$37*(0.55*SIN(2*PI()*(Scenario_Data!U203)/Inputs!$C$39)+0.35*COS(2*PI()*(0)/Inputs!$C$40)+0.2*SIN(2*PI()*((Scenario_Data!U203)+(0))/(0.5*(Inputs!$C$39+Inputs!$C$40))))+Inputs!$C$38*SIN(2*PI()*(Scenario_Data!U203)/Inputs!$C$39)*SIN(2*PI()*(0)/Inputs!$C$40)+-Inputs!$C$41*EXP(-(((0)-Inputs!$C$43)^2)/(2*Inputs!$C$44^2))*EXP(-(((Scenario_Data!U203)-Inputs!$C$42)^2)/(2*Inputs!$C$45^2))+Inputs!$C$48*(0.7*(0.45*SIN(2*PI()*(((Scenario_Data!U203)/Inputs!$C$49)+Inputs!$C$47*0.137))+0.35*COS(2*PI()*(((0)/Inputs!$C$50)+Inputs!$C$47*0.173))+0.2*SIN(2*PI()*((((Scenario_Data!U203)+(0))/(0.5*(Inputs!$C$49+Inputs!$C$50)))+Inputs!$C$47*0.097)))+0.3*(2*((SIN(((Scenario_Data!U203)*12.9898+(0)*78.233+Inputs!$C$47*37.719))*43758.5453)-INT((SIN(((Scenario_Data!U203)*12.9898+(0)*78.233+Inputs!$C$47*37.719))*43758.5453)))-1)))))/Inputs!$C$21*1000000</f>
        <v/>
      </c>
      <c r="AB203">
        <f>Scenario_Data!V203</f>
        <v/>
      </c>
      <c r="AC203">
        <f>2*((Scenario_Data!D203*1000)-(IF(OR(Inputs!$C$27=TRUE,Inputs!$C$27="TRUE",Inputs!$C$27=1),1,0)*(Inputs!$C$51*(115*EXP(-(((0)-25)^2)/(4.5^2))+70*EXP(-(((0)+38)^2)/(7^2))*(0.55+0.45*SIN(2*PI()*(Scenario_Data!V203)/45))+24*SIN(2*PI()*(0)/9+(Scenario_Data!V203)/18)*EXP(-(((0)+5)^2)/(22^2))+18*SIN(2*PI()*(Scenario_Data!V203)/70))+Inputs!$C$28*EXP(-(((Scenario_Data!V203)-Inputs!$C$29)^2)/(2*Inputs!$C$31^2))*EXP(-(((0)-Inputs!$C$30)^2)/(2*Inputs!$C$32^2))+-Inputs!$C$33*EXP(-(((((Scenario_Data!V203)-Inputs!$C$34)^2)+(((0)-Inputs!$C$35)^2))/(2*Inputs!$C$36^2)))+Inputs!$C$37*(0.55*SIN(2*PI()*(Scenario_Data!V203)/Inputs!$C$39)+0.35*COS(2*PI()*(0)/Inputs!$C$40)+0.2*SIN(2*PI()*((Scenario_Data!V203)+(0))/(0.5*(Inputs!$C$39+Inputs!$C$40))))+Inputs!$C$38*SIN(2*PI()*(Scenario_Data!V203)/Inputs!$C$39)*SIN(2*PI()*(0)/Inputs!$C$40)+-Inputs!$C$41*EXP(-(((0)-Inputs!$C$43)^2)/(2*Inputs!$C$44^2))*EXP(-(((Scenario_Data!V203)-Inputs!$C$42)^2)/(2*Inputs!$C$45^2))+Inputs!$C$48*(0.7*(0.45*SIN(2*PI()*(((Scenario_Data!V203)/Inputs!$C$49)+Inputs!$C$47*0.137))+0.35*COS(2*PI()*(((0)/Inputs!$C$50)+Inputs!$C$47*0.173))+0.2*SIN(2*PI()*((((Scenario_Data!V203)+(0))/(0.5*(Inputs!$C$49+Inputs!$C$50)))+Inputs!$C$47*0.097)))+0.3*(2*((SIN(((Scenario_Data!V203)*12.9898+(0)*78.233+Inputs!$C$47*37.719))*43758.5453)-INT((SIN(((Scenario_Data!V203)*12.9898+(0)*78.233+Inputs!$C$47*37.719))*43758.5453)))-1)))))/Inputs!$C$21*1000000</f>
        <v/>
      </c>
      <c r="AD203">
        <f>Scenario_Data!W203</f>
        <v/>
      </c>
      <c r="AE203">
        <f>2*((Scenario_Data!E203*1000)-(IF(OR(Inputs!$C$27=TRUE,Inputs!$C$27="TRUE",Inputs!$C$27=1),1,0)*(Inputs!$C$51*(115*EXP(-(((0)-25)^2)/(4.5^2))+70*EXP(-(((0)+38)^2)/(7^2))*(0.55+0.45*SIN(2*PI()*(Scenario_Data!W203)/45))+24*SIN(2*PI()*(0)/9+(Scenario_Data!W203)/18)*EXP(-(((0)+5)^2)/(22^2))+18*SIN(2*PI()*(Scenario_Data!W203)/70))+Inputs!$C$28*EXP(-(((Scenario_Data!W203)-Inputs!$C$29)^2)/(2*Inputs!$C$31^2))*EXP(-(((0)-Inputs!$C$30)^2)/(2*Inputs!$C$32^2))+-Inputs!$C$33*EXP(-(((((Scenario_Data!W203)-Inputs!$C$34)^2)+(((0)-Inputs!$C$35)^2))/(2*Inputs!$C$36^2)))+Inputs!$C$37*(0.55*SIN(2*PI()*(Scenario_Data!W203)/Inputs!$C$39)+0.35*COS(2*PI()*(0)/Inputs!$C$40)+0.2*SIN(2*PI()*((Scenario_Data!W203)+(0))/(0.5*(Inputs!$C$39+Inputs!$C$40))))+Inputs!$C$38*SIN(2*PI()*(Scenario_Data!W203)/Inputs!$C$39)*SIN(2*PI()*(0)/Inputs!$C$40)+-Inputs!$C$41*EXP(-(((0)-Inputs!$C$43)^2)/(2*Inputs!$C$44^2))*EXP(-(((Scenario_Data!W203)-Inputs!$C$42)^2)/(2*Inputs!$C$45^2))+Inputs!$C$48*(0.7*(0.45*SIN(2*PI()*(((Scenario_Data!W203)/Inputs!$C$49)+Inputs!$C$47*0.137))+0.35*COS(2*PI()*(((0)/Inputs!$C$50)+Inputs!$C$47*0.173))+0.2*SIN(2*PI()*((((Scenario_Data!W203)+(0))/(0.5*(Inputs!$C$49+Inputs!$C$50)))+Inputs!$C$47*0.097)))+0.3*(2*((SIN(((Scenario_Data!W203)*12.9898+(0)*78.233+Inputs!$C$47*37.719))*43758.5453)-INT((SIN(((Scenario_Data!W203)*12.9898+(0)*78.233+Inputs!$C$47*37.719))*43758.5453)))-1)))))/Inputs!$C$21*1000000</f>
        <v/>
      </c>
      <c r="AG203">
        <f>Scenario_Data!T203</f>
        <v/>
      </c>
      <c r="AH203">
        <f>2*(SQRT((Inputs!$C$52+(Scenario_Data!B203))^2+Inputs!$C$52^2-2*(Inputs!$C$52+(Scenario_Data!B203))*Inputs!$C$52*COS(SQRT((Scenario_Data!T203)^2+Inputs!$C$6^2)/Inputs!$C$52))*1000)/Inputs!$C$21*1000000</f>
        <v/>
      </c>
      <c r="AI203">
        <f>Scenario_Data!U203</f>
        <v/>
      </c>
      <c r="AJ203">
        <f>2*(SQRT((Inputs!$C$52+(Scenario_Data!C203))^2+Inputs!$C$52^2-2*(Inputs!$C$52+(Scenario_Data!C203))*Inputs!$C$52*COS(SQRT((Scenario_Data!U203)^2+Inputs!$C$6^2)/Inputs!$C$52))*1000)/Inputs!$C$21*1000000</f>
        <v/>
      </c>
      <c r="AK203">
        <f>Scenario_Data!V203</f>
        <v/>
      </c>
      <c r="AL203">
        <f>2*(SQRT((Inputs!$C$52+(Scenario_Data!D203))^2+Inputs!$C$52^2-2*(Inputs!$C$52+(Scenario_Data!D203))*Inputs!$C$52*COS(SQRT((Scenario_Data!V203)^2+Inputs!$C$6^2)/Inputs!$C$52))*1000)/Inputs!$C$21*1000000</f>
        <v/>
      </c>
      <c r="AM203">
        <f>Scenario_Data!W203</f>
        <v/>
      </c>
      <c r="AN203">
        <f>2*(SQRT((Inputs!$C$52+(Scenario_Data!E203))^2+Inputs!$C$52^2-2*(Inputs!$C$52+(Scenario_Data!E203))*Inputs!$C$52*COS(SQRT((Scenario_Data!W203)^2+Inputs!$C$6^2)/Inputs!$C$52))*1000)/Inputs!$C$21*1000000</f>
        <v/>
      </c>
      <c r="AP203">
        <f>Scenario_Data!T203</f>
        <v/>
      </c>
      <c r="AQ203">
        <f>2*(SQRT((Inputs!$C$52+(Scenario_Data!B203))^2+(Inputs!$C$52+((IF(OR(Inputs!$C$27=TRUE,Inputs!$C$27="TRUE",Inputs!$C$27=1),1,0)*(Inputs!$C$51*(115*EXP(-(((Inputs!$C$6)-25)^2)/(4.5^2))+70*EXP(-(((Inputs!$C$6)+38)^2)/(7^2))*(0.55+0.45*SIN(2*PI()*(Scenario_Data!T203)/45))+24*SIN(2*PI()*(Inputs!$C$6)/9+(Scenario_Data!T203)/18)*EXP(-(((Inputs!$C$6)+5)^2)/(22^2))+18*SIN(2*PI()*(Scenario_Data!T203)/70))+Inputs!$C$28*EXP(-(((Scenario_Data!T203)-Inputs!$C$29)^2)/(2*Inputs!$C$31^2))*EXP(-(((Inputs!$C$6)-Inputs!$C$30)^2)/(2*Inputs!$C$32^2))+-Inputs!$C$33*EXP(-(((((Scenario_Data!T203)-Inputs!$C$34)^2)+(((Inputs!$C$6)-Inputs!$C$35)^2))/(2*Inputs!$C$36^2)))+Inputs!$C$37*(0.55*SIN(2*PI()*(Scenario_Data!T203)/Inputs!$C$39)+0.35*COS(2*PI()*(Inputs!$C$6)/Inputs!$C$40)+0.2*SIN(2*PI()*((Scenario_Data!T203)+(Inputs!$C$6))/(0.5*(Inputs!$C$39+Inputs!$C$40))))+Inputs!$C$38*SIN(2*PI()*(Scenario_Data!T203)/Inputs!$C$39)*SIN(2*PI()*(Inputs!$C$6)/Inputs!$C$40)+-Inputs!$C$41*EXP(-(((Inputs!$C$6)-Inputs!$C$43)^2)/(2*Inputs!$C$44^2))*EXP(-(((Scenario_Data!T203)-Inputs!$C$42)^2)/(2*Inputs!$C$45^2))+Inputs!$C$48*(0.7*(0.45*SIN(2*PI()*(((Scenario_Data!T203)/Inputs!$C$49)+Inputs!$C$47*0.137))+0.35*COS(2*PI()*(((Inputs!$C$6)/Inputs!$C$50)+Inputs!$C$47*0.173))+0.2*SIN(2*PI()*((((Scenario_Data!T203)+(Inputs!$C$6))/(0.5*(Inputs!$C$49+Inputs!$C$50)))+Inputs!$C$47*0.097)))+0.3*(2*((SIN(((Scenario_Data!T203)*12.9898+(Inputs!$C$6)*78.233+Inputs!$C$47*37.719))*43758.5453)-INT((SIN(((Scenario_Data!T203)*12.9898+(Inputs!$C$6)*78.233+Inputs!$C$47*37.719))*43758.5453)))-1))))/1000))^2-2*(Inputs!$C$52+(Scenario_Data!B203))*(Inputs!$C$52+((IF(OR(Inputs!$C$27=TRUE,Inputs!$C$27="TRUE",Inputs!$C$27=1),1,0)*(Inputs!$C$51*(115*EXP(-(((Inputs!$C$6)-25)^2)/(4.5^2))+70*EXP(-(((Inputs!$C$6)+38)^2)/(7^2))*(0.55+0.45*SIN(2*PI()*(Scenario_Data!T203)/45))+24*SIN(2*PI()*(Inputs!$C$6)/9+(Scenario_Data!T203)/18)*EXP(-(((Inputs!$C$6)+5)^2)/(22^2))+18*SIN(2*PI()*(Scenario_Data!T203)/70))+Inputs!$C$28*EXP(-(((Scenario_Data!T203)-Inputs!$C$29)^2)/(2*Inputs!$C$31^2))*EXP(-(((Inputs!$C$6)-Inputs!$C$30)^2)/(2*Inputs!$C$32^2))+-Inputs!$C$33*EXP(-(((((Scenario_Data!T203)-Inputs!$C$34)^2)+(((Inputs!$C$6)-Inputs!$C$35)^2))/(2*Inputs!$C$36^2)))+Inputs!$C$37*(0.55*SIN(2*PI()*(Scenario_Data!T203)/Inputs!$C$39)+0.35*COS(2*PI()*(Inputs!$C$6)/Inputs!$C$40)+0.2*SIN(2*PI()*((Scenario_Data!T203)+(Inputs!$C$6))/(0.5*(Inputs!$C$39+Inputs!$C$40))))+Inputs!$C$38*SIN(2*PI()*(Scenario_Data!T203)/Inputs!$C$39)*SIN(2*PI()*(Inputs!$C$6)/Inputs!$C$40)+-Inputs!$C$41*EXP(-(((Inputs!$C$6)-Inputs!$C$43)^2)/(2*Inputs!$C$44^2))*EXP(-(((Scenario_Data!T203)-Inputs!$C$42)^2)/(2*Inputs!$C$45^2))+Inputs!$C$48*(0.7*(0.45*SIN(2*PI()*(((Scenario_Data!T203)/Inputs!$C$49)+Inputs!$C$47*0.137))+0.35*COS(2*PI()*(((Inputs!$C$6)/Inputs!$C$50)+Inputs!$C$47*0.173))+0.2*SIN(2*PI()*((((Scenario_Data!T203)+(Inputs!$C$6))/(0.5*(Inputs!$C$49+Inputs!$C$50)))+Inputs!$C$47*0.097)))+0.3*(2*((SIN(((Scenario_Data!T203)*12.9898+(Inputs!$C$6)*78.233+Inputs!$C$47*37.719))*43758.5453)-INT((SIN(((Scenario_Data!T203)*12.9898+(Inputs!$C$6)*78.233+Inputs!$C$47*37.719))*43758.5453)))-1))))/1000))*COS(SQRT((Scenario_Data!T203)^2+Inputs!$C$6^2)/Inputs!$C$52))*1000)/Inputs!$C$21*1000000</f>
        <v/>
      </c>
      <c r="AR203">
        <f>Scenario_Data!U203</f>
        <v/>
      </c>
      <c r="AS203">
        <f>2*(SQRT((Inputs!$C$52+(Scenario_Data!C203))^2+(Inputs!$C$52+((IF(OR(Inputs!$C$27=TRUE,Inputs!$C$27="TRUE",Inputs!$C$27=1),1,0)*(Inputs!$C$51*(115*EXP(-(((Inputs!$C$6)-25)^2)/(4.5^2))+70*EXP(-(((Inputs!$C$6)+38)^2)/(7^2))*(0.55+0.45*SIN(2*PI()*(Scenario_Data!U203)/45))+24*SIN(2*PI()*(Inputs!$C$6)/9+(Scenario_Data!U203)/18)*EXP(-(((Inputs!$C$6)+5)^2)/(22^2))+18*SIN(2*PI()*(Scenario_Data!U203)/70))+Inputs!$C$28*EXP(-(((Scenario_Data!U203)-Inputs!$C$29)^2)/(2*Inputs!$C$31^2))*EXP(-(((Inputs!$C$6)-Inputs!$C$30)^2)/(2*Inputs!$C$32^2))+-Inputs!$C$33*EXP(-(((((Scenario_Data!U203)-Inputs!$C$34)^2)+(((Inputs!$C$6)-Inputs!$C$35)^2))/(2*Inputs!$C$36^2)))+Inputs!$C$37*(0.55*SIN(2*PI()*(Scenario_Data!U203)/Inputs!$C$39)+0.35*COS(2*PI()*(Inputs!$C$6)/Inputs!$C$40)+0.2*SIN(2*PI()*((Scenario_Data!U203)+(Inputs!$C$6))/(0.5*(Inputs!$C$39+Inputs!$C$40))))+Inputs!$C$38*SIN(2*PI()*(Scenario_Data!U203)/Inputs!$C$39)*SIN(2*PI()*(Inputs!$C$6)/Inputs!$C$40)+-Inputs!$C$41*EXP(-(((Inputs!$C$6)-Inputs!$C$43)^2)/(2*Inputs!$C$44^2))*EXP(-(((Scenario_Data!U203)-Inputs!$C$42)^2)/(2*Inputs!$C$45^2))+Inputs!$C$48*(0.7*(0.45*SIN(2*PI()*(((Scenario_Data!U203)/Inputs!$C$49)+Inputs!$C$47*0.137))+0.35*COS(2*PI()*(((Inputs!$C$6)/Inputs!$C$50)+Inputs!$C$47*0.173))+0.2*SIN(2*PI()*((((Scenario_Data!U203)+(Inputs!$C$6))/(0.5*(Inputs!$C$49+Inputs!$C$50)))+Inputs!$C$47*0.097)))+0.3*(2*((SIN(((Scenario_Data!U203)*12.9898+(Inputs!$C$6)*78.233+Inputs!$C$47*37.719))*43758.5453)-INT((SIN(((Scenario_Data!U203)*12.9898+(Inputs!$C$6)*78.233+Inputs!$C$47*37.719))*43758.5453)))-1))))/1000))^2-2*(Inputs!$C$52+(Scenario_Data!C203))*(Inputs!$C$52+((IF(OR(Inputs!$C$27=TRUE,Inputs!$C$27="TRUE",Inputs!$C$27=1),1,0)*(Inputs!$C$51*(115*EXP(-(((Inputs!$C$6)-25)^2)/(4.5^2))+70*EXP(-(((Inputs!$C$6)+38)^2)/(7^2))*(0.55+0.45*SIN(2*PI()*(Scenario_Data!U203)/45))+24*SIN(2*PI()*(Inputs!$C$6)/9+(Scenario_Data!U203)/18)*EXP(-(((Inputs!$C$6)+5)^2)/(22^2))+18*SIN(2*PI()*(Scenario_Data!U203)/70))+Inputs!$C$28*EXP(-(((Scenario_Data!U203)-Inputs!$C$29)^2)/(2*Inputs!$C$31^2))*EXP(-(((Inputs!$C$6)-Inputs!$C$30)^2)/(2*Inputs!$C$32^2))+-Inputs!$C$33*EXP(-(((((Scenario_Data!U203)-Inputs!$C$34)^2)+(((Inputs!$C$6)-Inputs!$C$35)^2))/(2*Inputs!$C$36^2)))+Inputs!$C$37*(0.55*SIN(2*PI()*(Scenario_Data!U203)/Inputs!$C$39)+0.35*COS(2*PI()*(Inputs!$C$6)/Inputs!$C$40)+0.2*SIN(2*PI()*((Scenario_Data!U203)+(Inputs!$C$6))/(0.5*(Inputs!$C$39+Inputs!$C$40))))+Inputs!$C$38*SIN(2*PI()*(Scenario_Data!U203)/Inputs!$C$39)*SIN(2*PI()*(Inputs!$C$6)/Inputs!$C$40)+-Inputs!$C$41*EXP(-(((Inputs!$C$6)-Inputs!$C$43)^2)/(2*Inputs!$C$44^2))*EXP(-(((Scenario_Data!U203)-Inputs!$C$42)^2)/(2*Inputs!$C$45^2))+Inputs!$C$48*(0.7*(0.45*SIN(2*PI()*(((Scenario_Data!U203)/Inputs!$C$49)+Inputs!$C$47*0.137))+0.35*COS(2*PI()*(((Inputs!$C$6)/Inputs!$C$50)+Inputs!$C$47*0.173))+0.2*SIN(2*PI()*((((Scenario_Data!U203)+(Inputs!$C$6))/(0.5*(Inputs!$C$49+Inputs!$C$50)))+Inputs!$C$47*0.097)))+0.3*(2*((SIN(((Scenario_Data!U203)*12.9898+(Inputs!$C$6)*78.233+Inputs!$C$47*37.719))*43758.5453)-INT((SIN(((Scenario_Data!U203)*12.9898+(Inputs!$C$6)*78.233+Inputs!$C$47*37.719))*43758.5453)))-1))))/1000))*COS(SQRT((Scenario_Data!U203)^2+Inputs!$C$6^2)/Inputs!$C$52))*1000)/Inputs!$C$21*1000000</f>
        <v/>
      </c>
      <c r="AT203">
        <f>Scenario_Data!V203</f>
        <v/>
      </c>
      <c r="AU203">
        <f>2*(SQRT((Inputs!$C$52+(Scenario_Data!D203))^2+(Inputs!$C$52+((IF(OR(Inputs!$C$27=TRUE,Inputs!$C$27="TRUE",Inputs!$C$27=1),1,0)*(Inputs!$C$51*(115*EXP(-(((Inputs!$C$6)-25)^2)/(4.5^2))+70*EXP(-(((Inputs!$C$6)+38)^2)/(7^2))*(0.55+0.45*SIN(2*PI()*(Scenario_Data!V203)/45))+24*SIN(2*PI()*(Inputs!$C$6)/9+(Scenario_Data!V203)/18)*EXP(-(((Inputs!$C$6)+5)^2)/(22^2))+18*SIN(2*PI()*(Scenario_Data!V203)/70))+Inputs!$C$28*EXP(-(((Scenario_Data!V203)-Inputs!$C$29)^2)/(2*Inputs!$C$31^2))*EXP(-(((Inputs!$C$6)-Inputs!$C$30)^2)/(2*Inputs!$C$32^2))+-Inputs!$C$33*EXP(-(((((Scenario_Data!V203)-Inputs!$C$34)^2)+(((Inputs!$C$6)-Inputs!$C$35)^2))/(2*Inputs!$C$36^2)))+Inputs!$C$37*(0.55*SIN(2*PI()*(Scenario_Data!V203)/Inputs!$C$39)+0.35*COS(2*PI()*(Inputs!$C$6)/Inputs!$C$40)+0.2*SIN(2*PI()*((Scenario_Data!V203)+(Inputs!$C$6))/(0.5*(Inputs!$C$39+Inputs!$C$40))))+Inputs!$C$38*SIN(2*PI()*(Scenario_Data!V203)/Inputs!$C$39)*SIN(2*PI()*(Inputs!$C$6)/Inputs!$C$40)+-Inputs!$C$41*EXP(-(((Inputs!$C$6)-Inputs!$C$43)^2)/(2*Inputs!$C$44^2))*EXP(-(((Scenario_Data!V203)-Inputs!$C$42)^2)/(2*Inputs!$C$45^2))+Inputs!$C$48*(0.7*(0.45*SIN(2*PI()*(((Scenario_Data!V203)/Inputs!$C$49)+Inputs!$C$47*0.137))+0.35*COS(2*PI()*(((Inputs!$C$6)/Inputs!$C$50)+Inputs!$C$47*0.173))+0.2*SIN(2*PI()*((((Scenario_Data!V203)+(Inputs!$C$6))/(0.5*(Inputs!$C$49+Inputs!$C$50)))+Inputs!$C$47*0.097)))+0.3*(2*((SIN(((Scenario_Data!V203)*12.9898+(Inputs!$C$6)*78.233+Inputs!$C$47*37.719))*43758.5453)-INT((SIN(((Scenario_Data!V203)*12.9898+(Inputs!$C$6)*78.233+Inputs!$C$47*37.719))*43758.5453)))-1))))/1000))^2-2*(Inputs!$C$52+(Scenario_Data!D203))*(Inputs!$C$52+((IF(OR(Inputs!$C$27=TRUE,Inputs!$C$27="TRUE",Inputs!$C$27=1),1,0)*(Inputs!$C$51*(115*EXP(-(((Inputs!$C$6)-25)^2)/(4.5^2))+70*EXP(-(((Inputs!$C$6)+38)^2)/(7^2))*(0.55+0.45*SIN(2*PI()*(Scenario_Data!V203)/45))+24*SIN(2*PI()*(Inputs!$C$6)/9+(Scenario_Data!V203)/18)*EXP(-(((Inputs!$C$6)+5)^2)/(22^2))+18*SIN(2*PI()*(Scenario_Data!V203)/70))+Inputs!$C$28*EXP(-(((Scenario_Data!V203)-Inputs!$C$29)^2)/(2*Inputs!$C$31^2))*EXP(-(((Inputs!$C$6)-Inputs!$C$30)^2)/(2*Inputs!$C$32^2))+-Inputs!$C$33*EXP(-(((((Scenario_Data!V203)-Inputs!$C$34)^2)+(((Inputs!$C$6)-Inputs!$C$35)^2))/(2*Inputs!$C$36^2)))+Inputs!$C$37*(0.55*SIN(2*PI()*(Scenario_Data!V203)/Inputs!$C$39)+0.35*COS(2*PI()*(Inputs!$C$6)/Inputs!$C$40)+0.2*SIN(2*PI()*((Scenario_Data!V203)+(Inputs!$C$6))/(0.5*(Inputs!$C$39+Inputs!$C$40))))+Inputs!$C$38*SIN(2*PI()*(Scenario_Data!V203)/Inputs!$C$39)*SIN(2*PI()*(Inputs!$C$6)/Inputs!$C$40)+-Inputs!$C$41*EXP(-(((Inputs!$C$6)-Inputs!$C$43)^2)/(2*Inputs!$C$44^2))*EXP(-(((Scenario_Data!V203)-Inputs!$C$42)^2)/(2*Inputs!$C$45^2))+Inputs!$C$48*(0.7*(0.45*SIN(2*PI()*(((Scenario_Data!V203)/Inputs!$C$49)+Inputs!$C$47*0.137))+0.35*COS(2*PI()*(((Inputs!$C$6)/Inputs!$C$50)+Inputs!$C$47*0.173))+0.2*SIN(2*PI()*((((Scenario_Data!V203)+(Inputs!$C$6))/(0.5*(Inputs!$C$49+Inputs!$C$50)))+Inputs!$C$47*0.097)))+0.3*(2*((SIN(((Scenario_Data!V203)*12.9898+(Inputs!$C$6)*78.233+Inputs!$C$47*37.719))*43758.5453)-INT((SIN(((Scenario_Data!V203)*12.9898+(Inputs!$C$6)*78.233+Inputs!$C$47*37.719))*43758.5453)))-1))))/1000))*COS(SQRT((Scenario_Data!V203)^2+Inputs!$C$6^2)/Inputs!$C$52))*1000)/Inputs!$C$21*1000000</f>
        <v/>
      </c>
      <c r="AV203">
        <f>Scenario_Data!W203</f>
        <v/>
      </c>
      <c r="AW203">
        <f>2*(SQRT((Inputs!$C$52+(Scenario_Data!E203))^2+(Inputs!$C$52+((IF(OR(Inputs!$C$27=TRUE,Inputs!$C$27="TRUE",Inputs!$C$27=1),1,0)*(Inputs!$C$51*(115*EXP(-(((Inputs!$C$6)-25)^2)/(4.5^2))+70*EXP(-(((Inputs!$C$6)+38)^2)/(7^2))*(0.55+0.45*SIN(2*PI()*(Scenario_Data!W203)/45))+24*SIN(2*PI()*(Inputs!$C$6)/9+(Scenario_Data!W203)/18)*EXP(-(((Inputs!$C$6)+5)^2)/(22^2))+18*SIN(2*PI()*(Scenario_Data!W203)/70))+Inputs!$C$28*EXP(-(((Scenario_Data!W203)-Inputs!$C$29)^2)/(2*Inputs!$C$31^2))*EXP(-(((Inputs!$C$6)-Inputs!$C$30)^2)/(2*Inputs!$C$32^2))+-Inputs!$C$33*EXP(-(((((Scenario_Data!W203)-Inputs!$C$34)^2)+(((Inputs!$C$6)-Inputs!$C$35)^2))/(2*Inputs!$C$36^2)))+Inputs!$C$37*(0.55*SIN(2*PI()*(Scenario_Data!W203)/Inputs!$C$39)+0.35*COS(2*PI()*(Inputs!$C$6)/Inputs!$C$40)+0.2*SIN(2*PI()*((Scenario_Data!W203)+(Inputs!$C$6))/(0.5*(Inputs!$C$39+Inputs!$C$40))))+Inputs!$C$38*SIN(2*PI()*(Scenario_Data!W203)/Inputs!$C$39)*SIN(2*PI()*(Inputs!$C$6)/Inputs!$C$40)+-Inputs!$C$41*EXP(-(((Inputs!$C$6)-Inputs!$C$43)^2)/(2*Inputs!$C$44^2))*EXP(-(((Scenario_Data!W203)-Inputs!$C$42)^2)/(2*Inputs!$C$45^2))+Inputs!$C$48*(0.7*(0.45*SIN(2*PI()*(((Scenario_Data!W203)/Inputs!$C$49)+Inputs!$C$47*0.137))+0.35*COS(2*PI()*(((Inputs!$C$6)/Inputs!$C$50)+Inputs!$C$47*0.173))+0.2*SIN(2*PI()*((((Scenario_Data!W203)+(Inputs!$C$6))/(0.5*(Inputs!$C$49+Inputs!$C$50)))+Inputs!$C$47*0.097)))+0.3*(2*((SIN(((Scenario_Data!W203)*12.9898+(Inputs!$C$6)*78.233+Inputs!$C$47*37.719))*43758.5453)-INT((SIN(((Scenario_Data!W203)*12.9898+(Inputs!$C$6)*78.233+Inputs!$C$47*37.719))*43758.5453)))-1))))/1000))^2-2*(Inputs!$C$52+(Scenario_Data!E203))*(Inputs!$C$52+((IF(OR(Inputs!$C$27=TRUE,Inputs!$C$27="TRUE",Inputs!$C$27=1),1,0)*(Inputs!$C$51*(115*EXP(-(((Inputs!$C$6)-25)^2)/(4.5^2))+70*EXP(-(((Inputs!$C$6)+38)^2)/(7^2))*(0.55+0.45*SIN(2*PI()*(Scenario_Data!W203)/45))+24*SIN(2*PI()*(Inputs!$C$6)/9+(Scenario_Data!W203)/18)*EXP(-(((Inputs!$C$6)+5)^2)/(22^2))+18*SIN(2*PI()*(Scenario_Data!W203)/70))+Inputs!$C$28*EXP(-(((Scenario_Data!W203)-Inputs!$C$29)^2)/(2*Inputs!$C$31^2))*EXP(-(((Inputs!$C$6)-Inputs!$C$30)^2)/(2*Inputs!$C$32^2))+-Inputs!$C$33*EXP(-(((((Scenario_Data!W203)-Inputs!$C$34)^2)+(((Inputs!$C$6)-Inputs!$C$35)^2))/(2*Inputs!$C$36^2)))+Inputs!$C$37*(0.55*SIN(2*PI()*(Scenario_Data!W203)/Inputs!$C$39)+0.35*COS(2*PI()*(Inputs!$C$6)/Inputs!$C$40)+0.2*SIN(2*PI()*((Scenario_Data!W203)+(Inputs!$C$6))/(0.5*(Inputs!$C$39+Inputs!$C$40))))+Inputs!$C$38*SIN(2*PI()*(Scenario_Data!W203)/Inputs!$C$39)*SIN(2*PI()*(Inputs!$C$6)/Inputs!$C$40)+-Inputs!$C$41*EXP(-(((Inputs!$C$6)-Inputs!$C$43)^2)/(2*Inputs!$C$44^2))*EXP(-(((Scenario_Data!W203)-Inputs!$C$42)^2)/(2*Inputs!$C$45^2))+Inputs!$C$48*(0.7*(0.45*SIN(2*PI()*(((Scenario_Data!W203)/Inputs!$C$49)+Inputs!$C$47*0.137))+0.35*COS(2*PI()*(((Inputs!$C$6)/Inputs!$C$50)+Inputs!$C$47*0.173))+0.2*SIN(2*PI()*((((Scenario_Data!W203)+(Inputs!$C$6))/(0.5*(Inputs!$C$49+Inputs!$C$50)))+Inputs!$C$47*0.097)))+0.3*(2*((SIN(((Scenario_Data!W203)*12.9898+(Inputs!$C$6)*78.233+Inputs!$C$47*37.719))*43758.5453)-INT((SIN(((Scenario_Data!W203)*12.9898+(Inputs!$C$6)*78.233+Inputs!$C$47*37.719))*43758.5453)))-1))))/1000))*COS(SQRT((Scenario_Data!W203)^2+Inputs!$C$6^2)/Inputs!$C$52))*1000)/Inputs!$C$21*1000000</f>
        <v/>
      </c>
    </row>
    <row r="204">
      <c r="A204">
        <f>Chart_Data!K204</f>
        <v/>
      </c>
      <c r="B204">
        <f>Chart_Data!N204-Chart_Data!L204</f>
        <v/>
      </c>
      <c r="D204">
        <f>Chart_Data!G204</f>
        <v/>
      </c>
      <c r="E204">
        <f>Chart_Data!H204</f>
        <v/>
      </c>
      <c r="F204">
        <f>Chart_Data!I204</f>
        <v/>
      </c>
      <c r="G204">
        <f>Chart_Data!J204</f>
        <v/>
      </c>
      <c r="I204">
        <f>Scenario_Data!A204</f>
        <v/>
      </c>
      <c r="J204">
        <f>Scenario_Data!H204-(((SQRT((Inputs!$C$52+(Inputs!$H$6))^2+Inputs!$C$52^2-2*(Inputs!$C$52+(Inputs!$H$6))*Inputs!$C$52*COS(SQRT((Scenario_Data!T204)^2+Inputs!$C$6^2)/Inputs!$C$52)))-(Inputs!$H$6))*1000/Inputs!$C$12)</f>
        <v/>
      </c>
      <c r="K204">
        <f>Scenario_Data!I204-(((SQRT((Inputs!$C$52+(Inputs!$H$7))^2+Inputs!$C$52^2-2*(Inputs!$C$52+(Inputs!$H$7))*Inputs!$C$52*COS(SQRT((Scenario_Data!U204)^2+Inputs!$C$6^2)/Inputs!$C$52)))-(Inputs!$H$7))*1000/Inputs!$C$12)</f>
        <v/>
      </c>
      <c r="L204">
        <f>Scenario_Data!J204-(((SQRT((Inputs!$C$52+(Inputs!$H$8))^2+Inputs!$C$52^2-2*(Inputs!$C$52+(Inputs!$H$8))*Inputs!$C$52*COS(SQRT((Scenario_Data!V204)^2+Inputs!$C$6^2)/Inputs!$C$52)))-(Inputs!$H$8))*1000/Inputs!$C$12)</f>
        <v/>
      </c>
      <c r="M204">
        <f>Scenario_Data!K204-(((SQRT((Inputs!$C$52+(Inputs!$H$9))^2+Inputs!$C$52^2-2*(Inputs!$C$52+(Inputs!$H$9))*Inputs!$C$52*COS(SQRT((Scenario_Data!W204)^2+Inputs!$C$6^2)/Inputs!$C$52)))-(Inputs!$H$9))*1000/Inputs!$C$12)</f>
        <v/>
      </c>
      <c r="O204">
        <f>Scenario_Data!T204</f>
        <v/>
      </c>
      <c r="P204">
        <f>2*(Scenario_Data!B204*1000)/Inputs!$C$21*1000000</f>
        <v/>
      </c>
      <c r="Q204">
        <f>Scenario_Data!U204</f>
        <v/>
      </c>
      <c r="R204">
        <f>2*(Scenario_Data!C204*1000)/Inputs!$C$21*1000000</f>
        <v/>
      </c>
      <c r="S204">
        <f>Scenario_Data!V204</f>
        <v/>
      </c>
      <c r="T204">
        <f>2*(Scenario_Data!D204*1000)/Inputs!$C$21*1000000</f>
        <v/>
      </c>
      <c r="U204">
        <f>Scenario_Data!W204</f>
        <v/>
      </c>
      <c r="V204">
        <f>2*(Scenario_Data!E204*1000)/Inputs!$C$21*1000000</f>
        <v/>
      </c>
      <c r="X204">
        <f>Scenario_Data!T204</f>
        <v/>
      </c>
      <c r="Y204">
        <f>2*((Scenario_Data!B204*1000)-(IF(OR(Inputs!$C$27=TRUE,Inputs!$C$27="TRUE",Inputs!$C$27=1),1,0)*(Inputs!$C$51*(115*EXP(-(((0)-25)^2)/(4.5^2))+70*EXP(-(((0)+38)^2)/(7^2))*(0.55+0.45*SIN(2*PI()*(Scenario_Data!T204)/45))+24*SIN(2*PI()*(0)/9+(Scenario_Data!T204)/18)*EXP(-(((0)+5)^2)/(22^2))+18*SIN(2*PI()*(Scenario_Data!T204)/70))+Inputs!$C$28*EXP(-(((Scenario_Data!T204)-Inputs!$C$29)^2)/(2*Inputs!$C$31^2))*EXP(-(((0)-Inputs!$C$30)^2)/(2*Inputs!$C$32^2))+-Inputs!$C$33*EXP(-(((((Scenario_Data!T204)-Inputs!$C$34)^2)+(((0)-Inputs!$C$35)^2))/(2*Inputs!$C$36^2)))+Inputs!$C$37*(0.55*SIN(2*PI()*(Scenario_Data!T204)/Inputs!$C$39)+0.35*COS(2*PI()*(0)/Inputs!$C$40)+0.2*SIN(2*PI()*((Scenario_Data!T204)+(0))/(0.5*(Inputs!$C$39+Inputs!$C$40))))+Inputs!$C$38*SIN(2*PI()*(Scenario_Data!T204)/Inputs!$C$39)*SIN(2*PI()*(0)/Inputs!$C$40)+-Inputs!$C$41*EXP(-(((0)-Inputs!$C$43)^2)/(2*Inputs!$C$44^2))*EXP(-(((Scenario_Data!T204)-Inputs!$C$42)^2)/(2*Inputs!$C$45^2))+Inputs!$C$48*(0.7*(0.45*SIN(2*PI()*(((Scenario_Data!T204)/Inputs!$C$49)+Inputs!$C$47*0.137))+0.35*COS(2*PI()*(((0)/Inputs!$C$50)+Inputs!$C$47*0.173))+0.2*SIN(2*PI()*((((Scenario_Data!T204)+(0))/(0.5*(Inputs!$C$49+Inputs!$C$50)))+Inputs!$C$47*0.097)))+0.3*(2*((SIN(((Scenario_Data!T204)*12.9898+(0)*78.233+Inputs!$C$47*37.719))*43758.5453)-INT((SIN(((Scenario_Data!T204)*12.9898+(0)*78.233+Inputs!$C$47*37.719))*43758.5453)))-1)))))/Inputs!$C$21*1000000</f>
        <v/>
      </c>
      <c r="Z204">
        <f>Scenario_Data!U204</f>
        <v/>
      </c>
      <c r="AA204">
        <f>2*((Scenario_Data!C204*1000)-(IF(OR(Inputs!$C$27=TRUE,Inputs!$C$27="TRUE",Inputs!$C$27=1),1,0)*(Inputs!$C$51*(115*EXP(-(((0)-25)^2)/(4.5^2))+70*EXP(-(((0)+38)^2)/(7^2))*(0.55+0.45*SIN(2*PI()*(Scenario_Data!U204)/45))+24*SIN(2*PI()*(0)/9+(Scenario_Data!U204)/18)*EXP(-(((0)+5)^2)/(22^2))+18*SIN(2*PI()*(Scenario_Data!U204)/70))+Inputs!$C$28*EXP(-(((Scenario_Data!U204)-Inputs!$C$29)^2)/(2*Inputs!$C$31^2))*EXP(-(((0)-Inputs!$C$30)^2)/(2*Inputs!$C$32^2))+-Inputs!$C$33*EXP(-(((((Scenario_Data!U204)-Inputs!$C$34)^2)+(((0)-Inputs!$C$35)^2))/(2*Inputs!$C$36^2)))+Inputs!$C$37*(0.55*SIN(2*PI()*(Scenario_Data!U204)/Inputs!$C$39)+0.35*COS(2*PI()*(0)/Inputs!$C$40)+0.2*SIN(2*PI()*((Scenario_Data!U204)+(0))/(0.5*(Inputs!$C$39+Inputs!$C$40))))+Inputs!$C$38*SIN(2*PI()*(Scenario_Data!U204)/Inputs!$C$39)*SIN(2*PI()*(0)/Inputs!$C$40)+-Inputs!$C$41*EXP(-(((0)-Inputs!$C$43)^2)/(2*Inputs!$C$44^2))*EXP(-(((Scenario_Data!U204)-Inputs!$C$42)^2)/(2*Inputs!$C$45^2))+Inputs!$C$48*(0.7*(0.45*SIN(2*PI()*(((Scenario_Data!U204)/Inputs!$C$49)+Inputs!$C$47*0.137))+0.35*COS(2*PI()*(((0)/Inputs!$C$50)+Inputs!$C$47*0.173))+0.2*SIN(2*PI()*((((Scenario_Data!U204)+(0))/(0.5*(Inputs!$C$49+Inputs!$C$50)))+Inputs!$C$47*0.097)))+0.3*(2*((SIN(((Scenario_Data!U204)*12.9898+(0)*78.233+Inputs!$C$47*37.719))*43758.5453)-INT((SIN(((Scenario_Data!U204)*12.9898+(0)*78.233+Inputs!$C$47*37.719))*43758.5453)))-1)))))/Inputs!$C$21*1000000</f>
        <v/>
      </c>
      <c r="AB204">
        <f>Scenario_Data!V204</f>
        <v/>
      </c>
      <c r="AC204">
        <f>2*((Scenario_Data!D204*1000)-(IF(OR(Inputs!$C$27=TRUE,Inputs!$C$27="TRUE",Inputs!$C$27=1),1,0)*(Inputs!$C$51*(115*EXP(-(((0)-25)^2)/(4.5^2))+70*EXP(-(((0)+38)^2)/(7^2))*(0.55+0.45*SIN(2*PI()*(Scenario_Data!V204)/45))+24*SIN(2*PI()*(0)/9+(Scenario_Data!V204)/18)*EXP(-(((0)+5)^2)/(22^2))+18*SIN(2*PI()*(Scenario_Data!V204)/70))+Inputs!$C$28*EXP(-(((Scenario_Data!V204)-Inputs!$C$29)^2)/(2*Inputs!$C$31^2))*EXP(-(((0)-Inputs!$C$30)^2)/(2*Inputs!$C$32^2))+-Inputs!$C$33*EXP(-(((((Scenario_Data!V204)-Inputs!$C$34)^2)+(((0)-Inputs!$C$35)^2))/(2*Inputs!$C$36^2)))+Inputs!$C$37*(0.55*SIN(2*PI()*(Scenario_Data!V204)/Inputs!$C$39)+0.35*COS(2*PI()*(0)/Inputs!$C$40)+0.2*SIN(2*PI()*((Scenario_Data!V204)+(0))/(0.5*(Inputs!$C$39+Inputs!$C$40))))+Inputs!$C$38*SIN(2*PI()*(Scenario_Data!V204)/Inputs!$C$39)*SIN(2*PI()*(0)/Inputs!$C$40)+-Inputs!$C$41*EXP(-(((0)-Inputs!$C$43)^2)/(2*Inputs!$C$44^2))*EXP(-(((Scenario_Data!V204)-Inputs!$C$42)^2)/(2*Inputs!$C$45^2))+Inputs!$C$48*(0.7*(0.45*SIN(2*PI()*(((Scenario_Data!V204)/Inputs!$C$49)+Inputs!$C$47*0.137))+0.35*COS(2*PI()*(((0)/Inputs!$C$50)+Inputs!$C$47*0.173))+0.2*SIN(2*PI()*((((Scenario_Data!V204)+(0))/(0.5*(Inputs!$C$49+Inputs!$C$50)))+Inputs!$C$47*0.097)))+0.3*(2*((SIN(((Scenario_Data!V204)*12.9898+(0)*78.233+Inputs!$C$47*37.719))*43758.5453)-INT((SIN(((Scenario_Data!V204)*12.9898+(0)*78.233+Inputs!$C$47*37.719))*43758.5453)))-1)))))/Inputs!$C$21*1000000</f>
        <v/>
      </c>
      <c r="AD204">
        <f>Scenario_Data!W204</f>
        <v/>
      </c>
      <c r="AE204">
        <f>2*((Scenario_Data!E204*1000)-(IF(OR(Inputs!$C$27=TRUE,Inputs!$C$27="TRUE",Inputs!$C$27=1),1,0)*(Inputs!$C$51*(115*EXP(-(((0)-25)^2)/(4.5^2))+70*EXP(-(((0)+38)^2)/(7^2))*(0.55+0.45*SIN(2*PI()*(Scenario_Data!W204)/45))+24*SIN(2*PI()*(0)/9+(Scenario_Data!W204)/18)*EXP(-(((0)+5)^2)/(22^2))+18*SIN(2*PI()*(Scenario_Data!W204)/70))+Inputs!$C$28*EXP(-(((Scenario_Data!W204)-Inputs!$C$29)^2)/(2*Inputs!$C$31^2))*EXP(-(((0)-Inputs!$C$30)^2)/(2*Inputs!$C$32^2))+-Inputs!$C$33*EXP(-(((((Scenario_Data!W204)-Inputs!$C$34)^2)+(((0)-Inputs!$C$35)^2))/(2*Inputs!$C$36^2)))+Inputs!$C$37*(0.55*SIN(2*PI()*(Scenario_Data!W204)/Inputs!$C$39)+0.35*COS(2*PI()*(0)/Inputs!$C$40)+0.2*SIN(2*PI()*((Scenario_Data!W204)+(0))/(0.5*(Inputs!$C$39+Inputs!$C$40))))+Inputs!$C$38*SIN(2*PI()*(Scenario_Data!W204)/Inputs!$C$39)*SIN(2*PI()*(0)/Inputs!$C$40)+-Inputs!$C$41*EXP(-(((0)-Inputs!$C$43)^2)/(2*Inputs!$C$44^2))*EXP(-(((Scenario_Data!W204)-Inputs!$C$42)^2)/(2*Inputs!$C$45^2))+Inputs!$C$48*(0.7*(0.45*SIN(2*PI()*(((Scenario_Data!W204)/Inputs!$C$49)+Inputs!$C$47*0.137))+0.35*COS(2*PI()*(((0)/Inputs!$C$50)+Inputs!$C$47*0.173))+0.2*SIN(2*PI()*((((Scenario_Data!W204)+(0))/(0.5*(Inputs!$C$49+Inputs!$C$50)))+Inputs!$C$47*0.097)))+0.3*(2*((SIN(((Scenario_Data!W204)*12.9898+(0)*78.233+Inputs!$C$47*37.719))*43758.5453)-INT((SIN(((Scenario_Data!W204)*12.9898+(0)*78.233+Inputs!$C$47*37.719))*43758.5453)))-1)))))/Inputs!$C$21*1000000</f>
        <v/>
      </c>
      <c r="AG204">
        <f>Scenario_Data!T204</f>
        <v/>
      </c>
      <c r="AH204">
        <f>2*(SQRT((Inputs!$C$52+(Scenario_Data!B204))^2+Inputs!$C$52^2-2*(Inputs!$C$52+(Scenario_Data!B204))*Inputs!$C$52*COS(SQRT((Scenario_Data!T204)^2+Inputs!$C$6^2)/Inputs!$C$52))*1000)/Inputs!$C$21*1000000</f>
        <v/>
      </c>
      <c r="AI204">
        <f>Scenario_Data!U204</f>
        <v/>
      </c>
      <c r="AJ204">
        <f>2*(SQRT((Inputs!$C$52+(Scenario_Data!C204))^2+Inputs!$C$52^2-2*(Inputs!$C$52+(Scenario_Data!C204))*Inputs!$C$52*COS(SQRT((Scenario_Data!U204)^2+Inputs!$C$6^2)/Inputs!$C$52))*1000)/Inputs!$C$21*1000000</f>
        <v/>
      </c>
      <c r="AK204">
        <f>Scenario_Data!V204</f>
        <v/>
      </c>
      <c r="AL204">
        <f>2*(SQRT((Inputs!$C$52+(Scenario_Data!D204))^2+Inputs!$C$52^2-2*(Inputs!$C$52+(Scenario_Data!D204))*Inputs!$C$52*COS(SQRT((Scenario_Data!V204)^2+Inputs!$C$6^2)/Inputs!$C$52))*1000)/Inputs!$C$21*1000000</f>
        <v/>
      </c>
      <c r="AM204">
        <f>Scenario_Data!W204</f>
        <v/>
      </c>
      <c r="AN204">
        <f>2*(SQRT((Inputs!$C$52+(Scenario_Data!E204))^2+Inputs!$C$52^2-2*(Inputs!$C$52+(Scenario_Data!E204))*Inputs!$C$52*COS(SQRT((Scenario_Data!W204)^2+Inputs!$C$6^2)/Inputs!$C$52))*1000)/Inputs!$C$21*1000000</f>
        <v/>
      </c>
      <c r="AP204">
        <f>Scenario_Data!T204</f>
        <v/>
      </c>
      <c r="AQ204">
        <f>2*(SQRT((Inputs!$C$52+(Scenario_Data!B204))^2+(Inputs!$C$52+((IF(OR(Inputs!$C$27=TRUE,Inputs!$C$27="TRUE",Inputs!$C$27=1),1,0)*(Inputs!$C$51*(115*EXP(-(((Inputs!$C$6)-25)^2)/(4.5^2))+70*EXP(-(((Inputs!$C$6)+38)^2)/(7^2))*(0.55+0.45*SIN(2*PI()*(Scenario_Data!T204)/45))+24*SIN(2*PI()*(Inputs!$C$6)/9+(Scenario_Data!T204)/18)*EXP(-(((Inputs!$C$6)+5)^2)/(22^2))+18*SIN(2*PI()*(Scenario_Data!T204)/70))+Inputs!$C$28*EXP(-(((Scenario_Data!T204)-Inputs!$C$29)^2)/(2*Inputs!$C$31^2))*EXP(-(((Inputs!$C$6)-Inputs!$C$30)^2)/(2*Inputs!$C$32^2))+-Inputs!$C$33*EXP(-(((((Scenario_Data!T204)-Inputs!$C$34)^2)+(((Inputs!$C$6)-Inputs!$C$35)^2))/(2*Inputs!$C$36^2)))+Inputs!$C$37*(0.55*SIN(2*PI()*(Scenario_Data!T204)/Inputs!$C$39)+0.35*COS(2*PI()*(Inputs!$C$6)/Inputs!$C$40)+0.2*SIN(2*PI()*((Scenario_Data!T204)+(Inputs!$C$6))/(0.5*(Inputs!$C$39+Inputs!$C$40))))+Inputs!$C$38*SIN(2*PI()*(Scenario_Data!T204)/Inputs!$C$39)*SIN(2*PI()*(Inputs!$C$6)/Inputs!$C$40)+-Inputs!$C$41*EXP(-(((Inputs!$C$6)-Inputs!$C$43)^2)/(2*Inputs!$C$44^2))*EXP(-(((Scenario_Data!T204)-Inputs!$C$42)^2)/(2*Inputs!$C$45^2))+Inputs!$C$48*(0.7*(0.45*SIN(2*PI()*(((Scenario_Data!T204)/Inputs!$C$49)+Inputs!$C$47*0.137))+0.35*COS(2*PI()*(((Inputs!$C$6)/Inputs!$C$50)+Inputs!$C$47*0.173))+0.2*SIN(2*PI()*((((Scenario_Data!T204)+(Inputs!$C$6))/(0.5*(Inputs!$C$49+Inputs!$C$50)))+Inputs!$C$47*0.097)))+0.3*(2*((SIN(((Scenario_Data!T204)*12.9898+(Inputs!$C$6)*78.233+Inputs!$C$47*37.719))*43758.5453)-INT((SIN(((Scenario_Data!T204)*12.9898+(Inputs!$C$6)*78.233+Inputs!$C$47*37.719))*43758.5453)))-1))))/1000))^2-2*(Inputs!$C$52+(Scenario_Data!B204))*(Inputs!$C$52+((IF(OR(Inputs!$C$27=TRUE,Inputs!$C$27="TRUE",Inputs!$C$27=1),1,0)*(Inputs!$C$51*(115*EXP(-(((Inputs!$C$6)-25)^2)/(4.5^2))+70*EXP(-(((Inputs!$C$6)+38)^2)/(7^2))*(0.55+0.45*SIN(2*PI()*(Scenario_Data!T204)/45))+24*SIN(2*PI()*(Inputs!$C$6)/9+(Scenario_Data!T204)/18)*EXP(-(((Inputs!$C$6)+5)^2)/(22^2))+18*SIN(2*PI()*(Scenario_Data!T204)/70))+Inputs!$C$28*EXP(-(((Scenario_Data!T204)-Inputs!$C$29)^2)/(2*Inputs!$C$31^2))*EXP(-(((Inputs!$C$6)-Inputs!$C$30)^2)/(2*Inputs!$C$32^2))+-Inputs!$C$33*EXP(-(((((Scenario_Data!T204)-Inputs!$C$34)^2)+(((Inputs!$C$6)-Inputs!$C$35)^2))/(2*Inputs!$C$36^2)))+Inputs!$C$37*(0.55*SIN(2*PI()*(Scenario_Data!T204)/Inputs!$C$39)+0.35*COS(2*PI()*(Inputs!$C$6)/Inputs!$C$40)+0.2*SIN(2*PI()*((Scenario_Data!T204)+(Inputs!$C$6))/(0.5*(Inputs!$C$39+Inputs!$C$40))))+Inputs!$C$38*SIN(2*PI()*(Scenario_Data!T204)/Inputs!$C$39)*SIN(2*PI()*(Inputs!$C$6)/Inputs!$C$40)+-Inputs!$C$41*EXP(-(((Inputs!$C$6)-Inputs!$C$43)^2)/(2*Inputs!$C$44^2))*EXP(-(((Scenario_Data!T204)-Inputs!$C$42)^2)/(2*Inputs!$C$45^2))+Inputs!$C$48*(0.7*(0.45*SIN(2*PI()*(((Scenario_Data!T204)/Inputs!$C$49)+Inputs!$C$47*0.137))+0.35*COS(2*PI()*(((Inputs!$C$6)/Inputs!$C$50)+Inputs!$C$47*0.173))+0.2*SIN(2*PI()*((((Scenario_Data!T204)+(Inputs!$C$6))/(0.5*(Inputs!$C$49+Inputs!$C$50)))+Inputs!$C$47*0.097)))+0.3*(2*((SIN(((Scenario_Data!T204)*12.9898+(Inputs!$C$6)*78.233+Inputs!$C$47*37.719))*43758.5453)-INT((SIN(((Scenario_Data!T204)*12.9898+(Inputs!$C$6)*78.233+Inputs!$C$47*37.719))*43758.5453)))-1))))/1000))*COS(SQRT((Scenario_Data!T204)^2+Inputs!$C$6^2)/Inputs!$C$52))*1000)/Inputs!$C$21*1000000</f>
        <v/>
      </c>
      <c r="AR204">
        <f>Scenario_Data!U204</f>
        <v/>
      </c>
      <c r="AS204">
        <f>2*(SQRT((Inputs!$C$52+(Scenario_Data!C204))^2+(Inputs!$C$52+((IF(OR(Inputs!$C$27=TRUE,Inputs!$C$27="TRUE",Inputs!$C$27=1),1,0)*(Inputs!$C$51*(115*EXP(-(((Inputs!$C$6)-25)^2)/(4.5^2))+70*EXP(-(((Inputs!$C$6)+38)^2)/(7^2))*(0.55+0.45*SIN(2*PI()*(Scenario_Data!U204)/45))+24*SIN(2*PI()*(Inputs!$C$6)/9+(Scenario_Data!U204)/18)*EXP(-(((Inputs!$C$6)+5)^2)/(22^2))+18*SIN(2*PI()*(Scenario_Data!U204)/70))+Inputs!$C$28*EXP(-(((Scenario_Data!U204)-Inputs!$C$29)^2)/(2*Inputs!$C$31^2))*EXP(-(((Inputs!$C$6)-Inputs!$C$30)^2)/(2*Inputs!$C$32^2))+-Inputs!$C$33*EXP(-(((((Scenario_Data!U204)-Inputs!$C$34)^2)+(((Inputs!$C$6)-Inputs!$C$35)^2))/(2*Inputs!$C$36^2)))+Inputs!$C$37*(0.55*SIN(2*PI()*(Scenario_Data!U204)/Inputs!$C$39)+0.35*COS(2*PI()*(Inputs!$C$6)/Inputs!$C$40)+0.2*SIN(2*PI()*((Scenario_Data!U204)+(Inputs!$C$6))/(0.5*(Inputs!$C$39+Inputs!$C$40))))+Inputs!$C$38*SIN(2*PI()*(Scenario_Data!U204)/Inputs!$C$39)*SIN(2*PI()*(Inputs!$C$6)/Inputs!$C$40)+-Inputs!$C$41*EXP(-(((Inputs!$C$6)-Inputs!$C$43)^2)/(2*Inputs!$C$44^2))*EXP(-(((Scenario_Data!U204)-Inputs!$C$42)^2)/(2*Inputs!$C$45^2))+Inputs!$C$48*(0.7*(0.45*SIN(2*PI()*(((Scenario_Data!U204)/Inputs!$C$49)+Inputs!$C$47*0.137))+0.35*COS(2*PI()*(((Inputs!$C$6)/Inputs!$C$50)+Inputs!$C$47*0.173))+0.2*SIN(2*PI()*((((Scenario_Data!U204)+(Inputs!$C$6))/(0.5*(Inputs!$C$49+Inputs!$C$50)))+Inputs!$C$47*0.097)))+0.3*(2*((SIN(((Scenario_Data!U204)*12.9898+(Inputs!$C$6)*78.233+Inputs!$C$47*37.719))*43758.5453)-INT((SIN(((Scenario_Data!U204)*12.9898+(Inputs!$C$6)*78.233+Inputs!$C$47*37.719))*43758.5453)))-1))))/1000))^2-2*(Inputs!$C$52+(Scenario_Data!C204))*(Inputs!$C$52+((IF(OR(Inputs!$C$27=TRUE,Inputs!$C$27="TRUE",Inputs!$C$27=1),1,0)*(Inputs!$C$51*(115*EXP(-(((Inputs!$C$6)-25)^2)/(4.5^2))+70*EXP(-(((Inputs!$C$6)+38)^2)/(7^2))*(0.55+0.45*SIN(2*PI()*(Scenario_Data!U204)/45))+24*SIN(2*PI()*(Inputs!$C$6)/9+(Scenario_Data!U204)/18)*EXP(-(((Inputs!$C$6)+5)^2)/(22^2))+18*SIN(2*PI()*(Scenario_Data!U204)/70))+Inputs!$C$28*EXP(-(((Scenario_Data!U204)-Inputs!$C$29)^2)/(2*Inputs!$C$31^2))*EXP(-(((Inputs!$C$6)-Inputs!$C$30)^2)/(2*Inputs!$C$32^2))+-Inputs!$C$33*EXP(-(((((Scenario_Data!U204)-Inputs!$C$34)^2)+(((Inputs!$C$6)-Inputs!$C$35)^2))/(2*Inputs!$C$36^2)))+Inputs!$C$37*(0.55*SIN(2*PI()*(Scenario_Data!U204)/Inputs!$C$39)+0.35*COS(2*PI()*(Inputs!$C$6)/Inputs!$C$40)+0.2*SIN(2*PI()*((Scenario_Data!U204)+(Inputs!$C$6))/(0.5*(Inputs!$C$39+Inputs!$C$40))))+Inputs!$C$38*SIN(2*PI()*(Scenario_Data!U204)/Inputs!$C$39)*SIN(2*PI()*(Inputs!$C$6)/Inputs!$C$40)+-Inputs!$C$41*EXP(-(((Inputs!$C$6)-Inputs!$C$43)^2)/(2*Inputs!$C$44^2))*EXP(-(((Scenario_Data!U204)-Inputs!$C$42)^2)/(2*Inputs!$C$45^2))+Inputs!$C$48*(0.7*(0.45*SIN(2*PI()*(((Scenario_Data!U204)/Inputs!$C$49)+Inputs!$C$47*0.137))+0.35*COS(2*PI()*(((Inputs!$C$6)/Inputs!$C$50)+Inputs!$C$47*0.173))+0.2*SIN(2*PI()*((((Scenario_Data!U204)+(Inputs!$C$6))/(0.5*(Inputs!$C$49+Inputs!$C$50)))+Inputs!$C$47*0.097)))+0.3*(2*((SIN(((Scenario_Data!U204)*12.9898+(Inputs!$C$6)*78.233+Inputs!$C$47*37.719))*43758.5453)-INT((SIN(((Scenario_Data!U204)*12.9898+(Inputs!$C$6)*78.233+Inputs!$C$47*37.719))*43758.5453)))-1))))/1000))*COS(SQRT((Scenario_Data!U204)^2+Inputs!$C$6^2)/Inputs!$C$52))*1000)/Inputs!$C$21*1000000</f>
        <v/>
      </c>
      <c r="AT204">
        <f>Scenario_Data!V204</f>
        <v/>
      </c>
      <c r="AU204">
        <f>2*(SQRT((Inputs!$C$52+(Scenario_Data!D204))^2+(Inputs!$C$52+((IF(OR(Inputs!$C$27=TRUE,Inputs!$C$27="TRUE",Inputs!$C$27=1),1,0)*(Inputs!$C$51*(115*EXP(-(((Inputs!$C$6)-25)^2)/(4.5^2))+70*EXP(-(((Inputs!$C$6)+38)^2)/(7^2))*(0.55+0.45*SIN(2*PI()*(Scenario_Data!V204)/45))+24*SIN(2*PI()*(Inputs!$C$6)/9+(Scenario_Data!V204)/18)*EXP(-(((Inputs!$C$6)+5)^2)/(22^2))+18*SIN(2*PI()*(Scenario_Data!V204)/70))+Inputs!$C$28*EXP(-(((Scenario_Data!V204)-Inputs!$C$29)^2)/(2*Inputs!$C$31^2))*EXP(-(((Inputs!$C$6)-Inputs!$C$30)^2)/(2*Inputs!$C$32^2))+-Inputs!$C$33*EXP(-(((((Scenario_Data!V204)-Inputs!$C$34)^2)+(((Inputs!$C$6)-Inputs!$C$35)^2))/(2*Inputs!$C$36^2)))+Inputs!$C$37*(0.55*SIN(2*PI()*(Scenario_Data!V204)/Inputs!$C$39)+0.35*COS(2*PI()*(Inputs!$C$6)/Inputs!$C$40)+0.2*SIN(2*PI()*((Scenario_Data!V204)+(Inputs!$C$6))/(0.5*(Inputs!$C$39+Inputs!$C$40))))+Inputs!$C$38*SIN(2*PI()*(Scenario_Data!V204)/Inputs!$C$39)*SIN(2*PI()*(Inputs!$C$6)/Inputs!$C$40)+-Inputs!$C$41*EXP(-(((Inputs!$C$6)-Inputs!$C$43)^2)/(2*Inputs!$C$44^2))*EXP(-(((Scenario_Data!V204)-Inputs!$C$42)^2)/(2*Inputs!$C$45^2))+Inputs!$C$48*(0.7*(0.45*SIN(2*PI()*(((Scenario_Data!V204)/Inputs!$C$49)+Inputs!$C$47*0.137))+0.35*COS(2*PI()*(((Inputs!$C$6)/Inputs!$C$50)+Inputs!$C$47*0.173))+0.2*SIN(2*PI()*((((Scenario_Data!V204)+(Inputs!$C$6))/(0.5*(Inputs!$C$49+Inputs!$C$50)))+Inputs!$C$47*0.097)))+0.3*(2*((SIN(((Scenario_Data!V204)*12.9898+(Inputs!$C$6)*78.233+Inputs!$C$47*37.719))*43758.5453)-INT((SIN(((Scenario_Data!V204)*12.9898+(Inputs!$C$6)*78.233+Inputs!$C$47*37.719))*43758.5453)))-1))))/1000))^2-2*(Inputs!$C$52+(Scenario_Data!D204))*(Inputs!$C$52+((IF(OR(Inputs!$C$27=TRUE,Inputs!$C$27="TRUE",Inputs!$C$27=1),1,0)*(Inputs!$C$51*(115*EXP(-(((Inputs!$C$6)-25)^2)/(4.5^2))+70*EXP(-(((Inputs!$C$6)+38)^2)/(7^2))*(0.55+0.45*SIN(2*PI()*(Scenario_Data!V204)/45))+24*SIN(2*PI()*(Inputs!$C$6)/9+(Scenario_Data!V204)/18)*EXP(-(((Inputs!$C$6)+5)^2)/(22^2))+18*SIN(2*PI()*(Scenario_Data!V204)/70))+Inputs!$C$28*EXP(-(((Scenario_Data!V204)-Inputs!$C$29)^2)/(2*Inputs!$C$31^2))*EXP(-(((Inputs!$C$6)-Inputs!$C$30)^2)/(2*Inputs!$C$32^2))+-Inputs!$C$33*EXP(-(((((Scenario_Data!V204)-Inputs!$C$34)^2)+(((Inputs!$C$6)-Inputs!$C$35)^2))/(2*Inputs!$C$36^2)))+Inputs!$C$37*(0.55*SIN(2*PI()*(Scenario_Data!V204)/Inputs!$C$39)+0.35*COS(2*PI()*(Inputs!$C$6)/Inputs!$C$40)+0.2*SIN(2*PI()*((Scenario_Data!V204)+(Inputs!$C$6))/(0.5*(Inputs!$C$39+Inputs!$C$40))))+Inputs!$C$38*SIN(2*PI()*(Scenario_Data!V204)/Inputs!$C$39)*SIN(2*PI()*(Inputs!$C$6)/Inputs!$C$40)+-Inputs!$C$41*EXP(-(((Inputs!$C$6)-Inputs!$C$43)^2)/(2*Inputs!$C$44^2))*EXP(-(((Scenario_Data!V204)-Inputs!$C$42)^2)/(2*Inputs!$C$45^2))+Inputs!$C$48*(0.7*(0.45*SIN(2*PI()*(((Scenario_Data!V204)/Inputs!$C$49)+Inputs!$C$47*0.137))+0.35*COS(2*PI()*(((Inputs!$C$6)/Inputs!$C$50)+Inputs!$C$47*0.173))+0.2*SIN(2*PI()*((((Scenario_Data!V204)+(Inputs!$C$6))/(0.5*(Inputs!$C$49+Inputs!$C$50)))+Inputs!$C$47*0.097)))+0.3*(2*((SIN(((Scenario_Data!V204)*12.9898+(Inputs!$C$6)*78.233+Inputs!$C$47*37.719))*43758.5453)-INT((SIN(((Scenario_Data!V204)*12.9898+(Inputs!$C$6)*78.233+Inputs!$C$47*37.719))*43758.5453)))-1))))/1000))*COS(SQRT((Scenario_Data!V204)^2+Inputs!$C$6^2)/Inputs!$C$52))*1000)/Inputs!$C$21*1000000</f>
        <v/>
      </c>
      <c r="AV204">
        <f>Scenario_Data!W204</f>
        <v/>
      </c>
      <c r="AW204">
        <f>2*(SQRT((Inputs!$C$52+(Scenario_Data!E204))^2+(Inputs!$C$52+((IF(OR(Inputs!$C$27=TRUE,Inputs!$C$27="TRUE",Inputs!$C$27=1),1,0)*(Inputs!$C$51*(115*EXP(-(((Inputs!$C$6)-25)^2)/(4.5^2))+70*EXP(-(((Inputs!$C$6)+38)^2)/(7^2))*(0.55+0.45*SIN(2*PI()*(Scenario_Data!W204)/45))+24*SIN(2*PI()*(Inputs!$C$6)/9+(Scenario_Data!W204)/18)*EXP(-(((Inputs!$C$6)+5)^2)/(22^2))+18*SIN(2*PI()*(Scenario_Data!W204)/70))+Inputs!$C$28*EXP(-(((Scenario_Data!W204)-Inputs!$C$29)^2)/(2*Inputs!$C$31^2))*EXP(-(((Inputs!$C$6)-Inputs!$C$30)^2)/(2*Inputs!$C$32^2))+-Inputs!$C$33*EXP(-(((((Scenario_Data!W204)-Inputs!$C$34)^2)+(((Inputs!$C$6)-Inputs!$C$35)^2))/(2*Inputs!$C$36^2)))+Inputs!$C$37*(0.55*SIN(2*PI()*(Scenario_Data!W204)/Inputs!$C$39)+0.35*COS(2*PI()*(Inputs!$C$6)/Inputs!$C$40)+0.2*SIN(2*PI()*((Scenario_Data!W204)+(Inputs!$C$6))/(0.5*(Inputs!$C$39+Inputs!$C$40))))+Inputs!$C$38*SIN(2*PI()*(Scenario_Data!W204)/Inputs!$C$39)*SIN(2*PI()*(Inputs!$C$6)/Inputs!$C$40)+-Inputs!$C$41*EXP(-(((Inputs!$C$6)-Inputs!$C$43)^2)/(2*Inputs!$C$44^2))*EXP(-(((Scenario_Data!W204)-Inputs!$C$42)^2)/(2*Inputs!$C$45^2))+Inputs!$C$48*(0.7*(0.45*SIN(2*PI()*(((Scenario_Data!W204)/Inputs!$C$49)+Inputs!$C$47*0.137))+0.35*COS(2*PI()*(((Inputs!$C$6)/Inputs!$C$50)+Inputs!$C$47*0.173))+0.2*SIN(2*PI()*((((Scenario_Data!W204)+(Inputs!$C$6))/(0.5*(Inputs!$C$49+Inputs!$C$50)))+Inputs!$C$47*0.097)))+0.3*(2*((SIN(((Scenario_Data!W204)*12.9898+(Inputs!$C$6)*78.233+Inputs!$C$47*37.719))*43758.5453)-INT((SIN(((Scenario_Data!W204)*12.9898+(Inputs!$C$6)*78.233+Inputs!$C$47*37.719))*43758.5453)))-1))))/1000))^2-2*(Inputs!$C$52+(Scenario_Data!E204))*(Inputs!$C$52+((IF(OR(Inputs!$C$27=TRUE,Inputs!$C$27="TRUE",Inputs!$C$27=1),1,0)*(Inputs!$C$51*(115*EXP(-(((Inputs!$C$6)-25)^2)/(4.5^2))+70*EXP(-(((Inputs!$C$6)+38)^2)/(7^2))*(0.55+0.45*SIN(2*PI()*(Scenario_Data!W204)/45))+24*SIN(2*PI()*(Inputs!$C$6)/9+(Scenario_Data!W204)/18)*EXP(-(((Inputs!$C$6)+5)^2)/(22^2))+18*SIN(2*PI()*(Scenario_Data!W204)/70))+Inputs!$C$28*EXP(-(((Scenario_Data!W204)-Inputs!$C$29)^2)/(2*Inputs!$C$31^2))*EXP(-(((Inputs!$C$6)-Inputs!$C$30)^2)/(2*Inputs!$C$32^2))+-Inputs!$C$33*EXP(-(((((Scenario_Data!W204)-Inputs!$C$34)^2)+(((Inputs!$C$6)-Inputs!$C$35)^2))/(2*Inputs!$C$36^2)))+Inputs!$C$37*(0.55*SIN(2*PI()*(Scenario_Data!W204)/Inputs!$C$39)+0.35*COS(2*PI()*(Inputs!$C$6)/Inputs!$C$40)+0.2*SIN(2*PI()*((Scenario_Data!W204)+(Inputs!$C$6))/(0.5*(Inputs!$C$39+Inputs!$C$40))))+Inputs!$C$38*SIN(2*PI()*(Scenario_Data!W204)/Inputs!$C$39)*SIN(2*PI()*(Inputs!$C$6)/Inputs!$C$40)+-Inputs!$C$41*EXP(-(((Inputs!$C$6)-Inputs!$C$43)^2)/(2*Inputs!$C$44^2))*EXP(-(((Scenario_Data!W204)-Inputs!$C$42)^2)/(2*Inputs!$C$45^2))+Inputs!$C$48*(0.7*(0.45*SIN(2*PI()*(((Scenario_Data!W204)/Inputs!$C$49)+Inputs!$C$47*0.137))+0.35*COS(2*PI()*(((Inputs!$C$6)/Inputs!$C$50)+Inputs!$C$47*0.173))+0.2*SIN(2*PI()*((((Scenario_Data!W204)+(Inputs!$C$6))/(0.5*(Inputs!$C$49+Inputs!$C$50)))+Inputs!$C$47*0.097)))+0.3*(2*((SIN(((Scenario_Data!W204)*12.9898+(Inputs!$C$6)*78.233+Inputs!$C$47*37.719))*43758.5453)-INT((SIN(((Scenario_Data!W204)*12.9898+(Inputs!$C$6)*78.233+Inputs!$C$47*37.719))*43758.5453)))-1))))/1000))*COS(SQRT((Scenario_Data!W204)^2+Inputs!$C$6^2)/Inputs!$C$52))*1000)/Inputs!$C$21*1000000</f>
        <v/>
      </c>
    </row>
    <row r="205">
      <c r="A205">
        <f>Chart_Data!K205</f>
        <v/>
      </c>
      <c r="B205">
        <f>Chart_Data!N205-Chart_Data!L205</f>
        <v/>
      </c>
      <c r="D205">
        <f>Chart_Data!G205</f>
        <v/>
      </c>
      <c r="E205">
        <f>Chart_Data!H205</f>
        <v/>
      </c>
      <c r="F205">
        <f>Chart_Data!I205</f>
        <v/>
      </c>
      <c r="G205">
        <f>Chart_Data!J205</f>
        <v/>
      </c>
      <c r="I205">
        <f>Scenario_Data!A205</f>
        <v/>
      </c>
      <c r="J205">
        <f>Scenario_Data!H205-(((SQRT((Inputs!$C$52+(Inputs!$H$6))^2+Inputs!$C$52^2-2*(Inputs!$C$52+(Inputs!$H$6))*Inputs!$C$52*COS(SQRT((Scenario_Data!T205)^2+Inputs!$C$6^2)/Inputs!$C$52)))-(Inputs!$H$6))*1000/Inputs!$C$12)</f>
        <v/>
      </c>
      <c r="K205">
        <f>Scenario_Data!I205-(((SQRT((Inputs!$C$52+(Inputs!$H$7))^2+Inputs!$C$52^2-2*(Inputs!$C$52+(Inputs!$H$7))*Inputs!$C$52*COS(SQRT((Scenario_Data!U205)^2+Inputs!$C$6^2)/Inputs!$C$52)))-(Inputs!$H$7))*1000/Inputs!$C$12)</f>
        <v/>
      </c>
      <c r="L205">
        <f>Scenario_Data!J205-(((SQRT((Inputs!$C$52+(Inputs!$H$8))^2+Inputs!$C$52^2-2*(Inputs!$C$52+(Inputs!$H$8))*Inputs!$C$52*COS(SQRT((Scenario_Data!V205)^2+Inputs!$C$6^2)/Inputs!$C$52)))-(Inputs!$H$8))*1000/Inputs!$C$12)</f>
        <v/>
      </c>
      <c r="M205">
        <f>Scenario_Data!K205-(((SQRT((Inputs!$C$52+(Inputs!$H$9))^2+Inputs!$C$52^2-2*(Inputs!$C$52+(Inputs!$H$9))*Inputs!$C$52*COS(SQRT((Scenario_Data!W205)^2+Inputs!$C$6^2)/Inputs!$C$52)))-(Inputs!$H$9))*1000/Inputs!$C$12)</f>
        <v/>
      </c>
      <c r="O205">
        <f>Scenario_Data!T205</f>
        <v/>
      </c>
      <c r="P205">
        <f>2*(Scenario_Data!B205*1000)/Inputs!$C$21*1000000</f>
        <v/>
      </c>
      <c r="Q205">
        <f>Scenario_Data!U205</f>
        <v/>
      </c>
      <c r="R205">
        <f>2*(Scenario_Data!C205*1000)/Inputs!$C$21*1000000</f>
        <v/>
      </c>
      <c r="S205">
        <f>Scenario_Data!V205</f>
        <v/>
      </c>
      <c r="T205">
        <f>2*(Scenario_Data!D205*1000)/Inputs!$C$21*1000000</f>
        <v/>
      </c>
      <c r="U205">
        <f>Scenario_Data!W205</f>
        <v/>
      </c>
      <c r="V205">
        <f>2*(Scenario_Data!E205*1000)/Inputs!$C$21*1000000</f>
        <v/>
      </c>
      <c r="X205">
        <f>Scenario_Data!T205</f>
        <v/>
      </c>
      <c r="Y205">
        <f>2*((Scenario_Data!B205*1000)-(IF(OR(Inputs!$C$27=TRUE,Inputs!$C$27="TRUE",Inputs!$C$27=1),1,0)*(Inputs!$C$51*(115*EXP(-(((0)-25)^2)/(4.5^2))+70*EXP(-(((0)+38)^2)/(7^2))*(0.55+0.45*SIN(2*PI()*(Scenario_Data!T205)/45))+24*SIN(2*PI()*(0)/9+(Scenario_Data!T205)/18)*EXP(-(((0)+5)^2)/(22^2))+18*SIN(2*PI()*(Scenario_Data!T205)/70))+Inputs!$C$28*EXP(-(((Scenario_Data!T205)-Inputs!$C$29)^2)/(2*Inputs!$C$31^2))*EXP(-(((0)-Inputs!$C$30)^2)/(2*Inputs!$C$32^2))+-Inputs!$C$33*EXP(-(((((Scenario_Data!T205)-Inputs!$C$34)^2)+(((0)-Inputs!$C$35)^2))/(2*Inputs!$C$36^2)))+Inputs!$C$37*(0.55*SIN(2*PI()*(Scenario_Data!T205)/Inputs!$C$39)+0.35*COS(2*PI()*(0)/Inputs!$C$40)+0.2*SIN(2*PI()*((Scenario_Data!T205)+(0))/(0.5*(Inputs!$C$39+Inputs!$C$40))))+Inputs!$C$38*SIN(2*PI()*(Scenario_Data!T205)/Inputs!$C$39)*SIN(2*PI()*(0)/Inputs!$C$40)+-Inputs!$C$41*EXP(-(((0)-Inputs!$C$43)^2)/(2*Inputs!$C$44^2))*EXP(-(((Scenario_Data!T205)-Inputs!$C$42)^2)/(2*Inputs!$C$45^2))+Inputs!$C$48*(0.7*(0.45*SIN(2*PI()*(((Scenario_Data!T205)/Inputs!$C$49)+Inputs!$C$47*0.137))+0.35*COS(2*PI()*(((0)/Inputs!$C$50)+Inputs!$C$47*0.173))+0.2*SIN(2*PI()*((((Scenario_Data!T205)+(0))/(0.5*(Inputs!$C$49+Inputs!$C$50)))+Inputs!$C$47*0.097)))+0.3*(2*((SIN(((Scenario_Data!T205)*12.9898+(0)*78.233+Inputs!$C$47*37.719))*43758.5453)-INT((SIN(((Scenario_Data!T205)*12.9898+(0)*78.233+Inputs!$C$47*37.719))*43758.5453)))-1)))))/Inputs!$C$21*1000000</f>
        <v/>
      </c>
      <c r="Z205">
        <f>Scenario_Data!U205</f>
        <v/>
      </c>
      <c r="AA205">
        <f>2*((Scenario_Data!C205*1000)-(IF(OR(Inputs!$C$27=TRUE,Inputs!$C$27="TRUE",Inputs!$C$27=1),1,0)*(Inputs!$C$51*(115*EXP(-(((0)-25)^2)/(4.5^2))+70*EXP(-(((0)+38)^2)/(7^2))*(0.55+0.45*SIN(2*PI()*(Scenario_Data!U205)/45))+24*SIN(2*PI()*(0)/9+(Scenario_Data!U205)/18)*EXP(-(((0)+5)^2)/(22^2))+18*SIN(2*PI()*(Scenario_Data!U205)/70))+Inputs!$C$28*EXP(-(((Scenario_Data!U205)-Inputs!$C$29)^2)/(2*Inputs!$C$31^2))*EXP(-(((0)-Inputs!$C$30)^2)/(2*Inputs!$C$32^2))+-Inputs!$C$33*EXP(-(((((Scenario_Data!U205)-Inputs!$C$34)^2)+(((0)-Inputs!$C$35)^2))/(2*Inputs!$C$36^2)))+Inputs!$C$37*(0.55*SIN(2*PI()*(Scenario_Data!U205)/Inputs!$C$39)+0.35*COS(2*PI()*(0)/Inputs!$C$40)+0.2*SIN(2*PI()*((Scenario_Data!U205)+(0))/(0.5*(Inputs!$C$39+Inputs!$C$40))))+Inputs!$C$38*SIN(2*PI()*(Scenario_Data!U205)/Inputs!$C$39)*SIN(2*PI()*(0)/Inputs!$C$40)+-Inputs!$C$41*EXP(-(((0)-Inputs!$C$43)^2)/(2*Inputs!$C$44^2))*EXP(-(((Scenario_Data!U205)-Inputs!$C$42)^2)/(2*Inputs!$C$45^2))+Inputs!$C$48*(0.7*(0.45*SIN(2*PI()*(((Scenario_Data!U205)/Inputs!$C$49)+Inputs!$C$47*0.137))+0.35*COS(2*PI()*(((0)/Inputs!$C$50)+Inputs!$C$47*0.173))+0.2*SIN(2*PI()*((((Scenario_Data!U205)+(0))/(0.5*(Inputs!$C$49+Inputs!$C$50)))+Inputs!$C$47*0.097)))+0.3*(2*((SIN(((Scenario_Data!U205)*12.9898+(0)*78.233+Inputs!$C$47*37.719))*43758.5453)-INT((SIN(((Scenario_Data!U205)*12.9898+(0)*78.233+Inputs!$C$47*37.719))*43758.5453)))-1)))))/Inputs!$C$21*1000000</f>
        <v/>
      </c>
      <c r="AB205">
        <f>Scenario_Data!V205</f>
        <v/>
      </c>
      <c r="AC205">
        <f>2*((Scenario_Data!D205*1000)-(IF(OR(Inputs!$C$27=TRUE,Inputs!$C$27="TRUE",Inputs!$C$27=1),1,0)*(Inputs!$C$51*(115*EXP(-(((0)-25)^2)/(4.5^2))+70*EXP(-(((0)+38)^2)/(7^2))*(0.55+0.45*SIN(2*PI()*(Scenario_Data!V205)/45))+24*SIN(2*PI()*(0)/9+(Scenario_Data!V205)/18)*EXP(-(((0)+5)^2)/(22^2))+18*SIN(2*PI()*(Scenario_Data!V205)/70))+Inputs!$C$28*EXP(-(((Scenario_Data!V205)-Inputs!$C$29)^2)/(2*Inputs!$C$31^2))*EXP(-(((0)-Inputs!$C$30)^2)/(2*Inputs!$C$32^2))+-Inputs!$C$33*EXP(-(((((Scenario_Data!V205)-Inputs!$C$34)^2)+(((0)-Inputs!$C$35)^2))/(2*Inputs!$C$36^2)))+Inputs!$C$37*(0.55*SIN(2*PI()*(Scenario_Data!V205)/Inputs!$C$39)+0.35*COS(2*PI()*(0)/Inputs!$C$40)+0.2*SIN(2*PI()*((Scenario_Data!V205)+(0))/(0.5*(Inputs!$C$39+Inputs!$C$40))))+Inputs!$C$38*SIN(2*PI()*(Scenario_Data!V205)/Inputs!$C$39)*SIN(2*PI()*(0)/Inputs!$C$40)+-Inputs!$C$41*EXP(-(((0)-Inputs!$C$43)^2)/(2*Inputs!$C$44^2))*EXP(-(((Scenario_Data!V205)-Inputs!$C$42)^2)/(2*Inputs!$C$45^2))+Inputs!$C$48*(0.7*(0.45*SIN(2*PI()*(((Scenario_Data!V205)/Inputs!$C$49)+Inputs!$C$47*0.137))+0.35*COS(2*PI()*(((0)/Inputs!$C$50)+Inputs!$C$47*0.173))+0.2*SIN(2*PI()*((((Scenario_Data!V205)+(0))/(0.5*(Inputs!$C$49+Inputs!$C$50)))+Inputs!$C$47*0.097)))+0.3*(2*((SIN(((Scenario_Data!V205)*12.9898+(0)*78.233+Inputs!$C$47*37.719))*43758.5453)-INT((SIN(((Scenario_Data!V205)*12.9898+(0)*78.233+Inputs!$C$47*37.719))*43758.5453)))-1)))))/Inputs!$C$21*1000000</f>
        <v/>
      </c>
      <c r="AD205">
        <f>Scenario_Data!W205</f>
        <v/>
      </c>
      <c r="AE205">
        <f>2*((Scenario_Data!E205*1000)-(IF(OR(Inputs!$C$27=TRUE,Inputs!$C$27="TRUE",Inputs!$C$27=1),1,0)*(Inputs!$C$51*(115*EXP(-(((0)-25)^2)/(4.5^2))+70*EXP(-(((0)+38)^2)/(7^2))*(0.55+0.45*SIN(2*PI()*(Scenario_Data!W205)/45))+24*SIN(2*PI()*(0)/9+(Scenario_Data!W205)/18)*EXP(-(((0)+5)^2)/(22^2))+18*SIN(2*PI()*(Scenario_Data!W205)/70))+Inputs!$C$28*EXP(-(((Scenario_Data!W205)-Inputs!$C$29)^2)/(2*Inputs!$C$31^2))*EXP(-(((0)-Inputs!$C$30)^2)/(2*Inputs!$C$32^2))+-Inputs!$C$33*EXP(-(((((Scenario_Data!W205)-Inputs!$C$34)^2)+(((0)-Inputs!$C$35)^2))/(2*Inputs!$C$36^2)))+Inputs!$C$37*(0.55*SIN(2*PI()*(Scenario_Data!W205)/Inputs!$C$39)+0.35*COS(2*PI()*(0)/Inputs!$C$40)+0.2*SIN(2*PI()*((Scenario_Data!W205)+(0))/(0.5*(Inputs!$C$39+Inputs!$C$40))))+Inputs!$C$38*SIN(2*PI()*(Scenario_Data!W205)/Inputs!$C$39)*SIN(2*PI()*(0)/Inputs!$C$40)+-Inputs!$C$41*EXP(-(((0)-Inputs!$C$43)^2)/(2*Inputs!$C$44^2))*EXP(-(((Scenario_Data!W205)-Inputs!$C$42)^2)/(2*Inputs!$C$45^2))+Inputs!$C$48*(0.7*(0.45*SIN(2*PI()*(((Scenario_Data!W205)/Inputs!$C$49)+Inputs!$C$47*0.137))+0.35*COS(2*PI()*(((0)/Inputs!$C$50)+Inputs!$C$47*0.173))+0.2*SIN(2*PI()*((((Scenario_Data!W205)+(0))/(0.5*(Inputs!$C$49+Inputs!$C$50)))+Inputs!$C$47*0.097)))+0.3*(2*((SIN(((Scenario_Data!W205)*12.9898+(0)*78.233+Inputs!$C$47*37.719))*43758.5453)-INT((SIN(((Scenario_Data!W205)*12.9898+(0)*78.233+Inputs!$C$47*37.719))*43758.5453)))-1)))))/Inputs!$C$21*1000000</f>
        <v/>
      </c>
      <c r="AG205">
        <f>Scenario_Data!T205</f>
        <v/>
      </c>
      <c r="AH205">
        <f>2*(SQRT((Inputs!$C$52+(Scenario_Data!B205))^2+Inputs!$C$52^2-2*(Inputs!$C$52+(Scenario_Data!B205))*Inputs!$C$52*COS(SQRT((Scenario_Data!T205)^2+Inputs!$C$6^2)/Inputs!$C$52))*1000)/Inputs!$C$21*1000000</f>
        <v/>
      </c>
      <c r="AI205">
        <f>Scenario_Data!U205</f>
        <v/>
      </c>
      <c r="AJ205">
        <f>2*(SQRT((Inputs!$C$52+(Scenario_Data!C205))^2+Inputs!$C$52^2-2*(Inputs!$C$52+(Scenario_Data!C205))*Inputs!$C$52*COS(SQRT((Scenario_Data!U205)^2+Inputs!$C$6^2)/Inputs!$C$52))*1000)/Inputs!$C$21*1000000</f>
        <v/>
      </c>
      <c r="AK205">
        <f>Scenario_Data!V205</f>
        <v/>
      </c>
      <c r="AL205">
        <f>2*(SQRT((Inputs!$C$52+(Scenario_Data!D205))^2+Inputs!$C$52^2-2*(Inputs!$C$52+(Scenario_Data!D205))*Inputs!$C$52*COS(SQRT((Scenario_Data!V205)^2+Inputs!$C$6^2)/Inputs!$C$52))*1000)/Inputs!$C$21*1000000</f>
        <v/>
      </c>
      <c r="AM205">
        <f>Scenario_Data!W205</f>
        <v/>
      </c>
      <c r="AN205">
        <f>2*(SQRT((Inputs!$C$52+(Scenario_Data!E205))^2+Inputs!$C$52^2-2*(Inputs!$C$52+(Scenario_Data!E205))*Inputs!$C$52*COS(SQRT((Scenario_Data!W205)^2+Inputs!$C$6^2)/Inputs!$C$52))*1000)/Inputs!$C$21*1000000</f>
        <v/>
      </c>
      <c r="AP205">
        <f>Scenario_Data!T205</f>
        <v/>
      </c>
      <c r="AQ205">
        <f>2*(SQRT((Inputs!$C$52+(Scenario_Data!B205))^2+(Inputs!$C$52+((IF(OR(Inputs!$C$27=TRUE,Inputs!$C$27="TRUE",Inputs!$C$27=1),1,0)*(Inputs!$C$51*(115*EXP(-(((Inputs!$C$6)-25)^2)/(4.5^2))+70*EXP(-(((Inputs!$C$6)+38)^2)/(7^2))*(0.55+0.45*SIN(2*PI()*(Scenario_Data!T205)/45))+24*SIN(2*PI()*(Inputs!$C$6)/9+(Scenario_Data!T205)/18)*EXP(-(((Inputs!$C$6)+5)^2)/(22^2))+18*SIN(2*PI()*(Scenario_Data!T205)/70))+Inputs!$C$28*EXP(-(((Scenario_Data!T205)-Inputs!$C$29)^2)/(2*Inputs!$C$31^2))*EXP(-(((Inputs!$C$6)-Inputs!$C$30)^2)/(2*Inputs!$C$32^2))+-Inputs!$C$33*EXP(-(((((Scenario_Data!T205)-Inputs!$C$34)^2)+(((Inputs!$C$6)-Inputs!$C$35)^2))/(2*Inputs!$C$36^2)))+Inputs!$C$37*(0.55*SIN(2*PI()*(Scenario_Data!T205)/Inputs!$C$39)+0.35*COS(2*PI()*(Inputs!$C$6)/Inputs!$C$40)+0.2*SIN(2*PI()*((Scenario_Data!T205)+(Inputs!$C$6))/(0.5*(Inputs!$C$39+Inputs!$C$40))))+Inputs!$C$38*SIN(2*PI()*(Scenario_Data!T205)/Inputs!$C$39)*SIN(2*PI()*(Inputs!$C$6)/Inputs!$C$40)+-Inputs!$C$41*EXP(-(((Inputs!$C$6)-Inputs!$C$43)^2)/(2*Inputs!$C$44^2))*EXP(-(((Scenario_Data!T205)-Inputs!$C$42)^2)/(2*Inputs!$C$45^2))+Inputs!$C$48*(0.7*(0.45*SIN(2*PI()*(((Scenario_Data!T205)/Inputs!$C$49)+Inputs!$C$47*0.137))+0.35*COS(2*PI()*(((Inputs!$C$6)/Inputs!$C$50)+Inputs!$C$47*0.173))+0.2*SIN(2*PI()*((((Scenario_Data!T205)+(Inputs!$C$6))/(0.5*(Inputs!$C$49+Inputs!$C$50)))+Inputs!$C$47*0.097)))+0.3*(2*((SIN(((Scenario_Data!T205)*12.9898+(Inputs!$C$6)*78.233+Inputs!$C$47*37.719))*43758.5453)-INT((SIN(((Scenario_Data!T205)*12.9898+(Inputs!$C$6)*78.233+Inputs!$C$47*37.719))*43758.5453)))-1))))/1000))^2-2*(Inputs!$C$52+(Scenario_Data!B205))*(Inputs!$C$52+((IF(OR(Inputs!$C$27=TRUE,Inputs!$C$27="TRUE",Inputs!$C$27=1),1,0)*(Inputs!$C$51*(115*EXP(-(((Inputs!$C$6)-25)^2)/(4.5^2))+70*EXP(-(((Inputs!$C$6)+38)^2)/(7^2))*(0.55+0.45*SIN(2*PI()*(Scenario_Data!T205)/45))+24*SIN(2*PI()*(Inputs!$C$6)/9+(Scenario_Data!T205)/18)*EXP(-(((Inputs!$C$6)+5)^2)/(22^2))+18*SIN(2*PI()*(Scenario_Data!T205)/70))+Inputs!$C$28*EXP(-(((Scenario_Data!T205)-Inputs!$C$29)^2)/(2*Inputs!$C$31^2))*EXP(-(((Inputs!$C$6)-Inputs!$C$30)^2)/(2*Inputs!$C$32^2))+-Inputs!$C$33*EXP(-(((((Scenario_Data!T205)-Inputs!$C$34)^2)+(((Inputs!$C$6)-Inputs!$C$35)^2))/(2*Inputs!$C$36^2)))+Inputs!$C$37*(0.55*SIN(2*PI()*(Scenario_Data!T205)/Inputs!$C$39)+0.35*COS(2*PI()*(Inputs!$C$6)/Inputs!$C$40)+0.2*SIN(2*PI()*((Scenario_Data!T205)+(Inputs!$C$6))/(0.5*(Inputs!$C$39+Inputs!$C$40))))+Inputs!$C$38*SIN(2*PI()*(Scenario_Data!T205)/Inputs!$C$39)*SIN(2*PI()*(Inputs!$C$6)/Inputs!$C$40)+-Inputs!$C$41*EXP(-(((Inputs!$C$6)-Inputs!$C$43)^2)/(2*Inputs!$C$44^2))*EXP(-(((Scenario_Data!T205)-Inputs!$C$42)^2)/(2*Inputs!$C$45^2))+Inputs!$C$48*(0.7*(0.45*SIN(2*PI()*(((Scenario_Data!T205)/Inputs!$C$49)+Inputs!$C$47*0.137))+0.35*COS(2*PI()*(((Inputs!$C$6)/Inputs!$C$50)+Inputs!$C$47*0.173))+0.2*SIN(2*PI()*((((Scenario_Data!T205)+(Inputs!$C$6))/(0.5*(Inputs!$C$49+Inputs!$C$50)))+Inputs!$C$47*0.097)))+0.3*(2*((SIN(((Scenario_Data!T205)*12.9898+(Inputs!$C$6)*78.233+Inputs!$C$47*37.719))*43758.5453)-INT((SIN(((Scenario_Data!T205)*12.9898+(Inputs!$C$6)*78.233+Inputs!$C$47*37.719))*43758.5453)))-1))))/1000))*COS(SQRT((Scenario_Data!T205)^2+Inputs!$C$6^2)/Inputs!$C$52))*1000)/Inputs!$C$21*1000000</f>
        <v/>
      </c>
      <c r="AR205">
        <f>Scenario_Data!U205</f>
        <v/>
      </c>
      <c r="AS205">
        <f>2*(SQRT((Inputs!$C$52+(Scenario_Data!C205))^2+(Inputs!$C$52+((IF(OR(Inputs!$C$27=TRUE,Inputs!$C$27="TRUE",Inputs!$C$27=1),1,0)*(Inputs!$C$51*(115*EXP(-(((Inputs!$C$6)-25)^2)/(4.5^2))+70*EXP(-(((Inputs!$C$6)+38)^2)/(7^2))*(0.55+0.45*SIN(2*PI()*(Scenario_Data!U205)/45))+24*SIN(2*PI()*(Inputs!$C$6)/9+(Scenario_Data!U205)/18)*EXP(-(((Inputs!$C$6)+5)^2)/(22^2))+18*SIN(2*PI()*(Scenario_Data!U205)/70))+Inputs!$C$28*EXP(-(((Scenario_Data!U205)-Inputs!$C$29)^2)/(2*Inputs!$C$31^2))*EXP(-(((Inputs!$C$6)-Inputs!$C$30)^2)/(2*Inputs!$C$32^2))+-Inputs!$C$33*EXP(-(((((Scenario_Data!U205)-Inputs!$C$34)^2)+(((Inputs!$C$6)-Inputs!$C$35)^2))/(2*Inputs!$C$36^2)))+Inputs!$C$37*(0.55*SIN(2*PI()*(Scenario_Data!U205)/Inputs!$C$39)+0.35*COS(2*PI()*(Inputs!$C$6)/Inputs!$C$40)+0.2*SIN(2*PI()*((Scenario_Data!U205)+(Inputs!$C$6))/(0.5*(Inputs!$C$39+Inputs!$C$40))))+Inputs!$C$38*SIN(2*PI()*(Scenario_Data!U205)/Inputs!$C$39)*SIN(2*PI()*(Inputs!$C$6)/Inputs!$C$40)+-Inputs!$C$41*EXP(-(((Inputs!$C$6)-Inputs!$C$43)^2)/(2*Inputs!$C$44^2))*EXP(-(((Scenario_Data!U205)-Inputs!$C$42)^2)/(2*Inputs!$C$45^2))+Inputs!$C$48*(0.7*(0.45*SIN(2*PI()*(((Scenario_Data!U205)/Inputs!$C$49)+Inputs!$C$47*0.137))+0.35*COS(2*PI()*(((Inputs!$C$6)/Inputs!$C$50)+Inputs!$C$47*0.173))+0.2*SIN(2*PI()*((((Scenario_Data!U205)+(Inputs!$C$6))/(0.5*(Inputs!$C$49+Inputs!$C$50)))+Inputs!$C$47*0.097)))+0.3*(2*((SIN(((Scenario_Data!U205)*12.9898+(Inputs!$C$6)*78.233+Inputs!$C$47*37.719))*43758.5453)-INT((SIN(((Scenario_Data!U205)*12.9898+(Inputs!$C$6)*78.233+Inputs!$C$47*37.719))*43758.5453)))-1))))/1000))^2-2*(Inputs!$C$52+(Scenario_Data!C205))*(Inputs!$C$52+((IF(OR(Inputs!$C$27=TRUE,Inputs!$C$27="TRUE",Inputs!$C$27=1),1,0)*(Inputs!$C$51*(115*EXP(-(((Inputs!$C$6)-25)^2)/(4.5^2))+70*EXP(-(((Inputs!$C$6)+38)^2)/(7^2))*(0.55+0.45*SIN(2*PI()*(Scenario_Data!U205)/45))+24*SIN(2*PI()*(Inputs!$C$6)/9+(Scenario_Data!U205)/18)*EXP(-(((Inputs!$C$6)+5)^2)/(22^2))+18*SIN(2*PI()*(Scenario_Data!U205)/70))+Inputs!$C$28*EXP(-(((Scenario_Data!U205)-Inputs!$C$29)^2)/(2*Inputs!$C$31^2))*EXP(-(((Inputs!$C$6)-Inputs!$C$30)^2)/(2*Inputs!$C$32^2))+-Inputs!$C$33*EXP(-(((((Scenario_Data!U205)-Inputs!$C$34)^2)+(((Inputs!$C$6)-Inputs!$C$35)^2))/(2*Inputs!$C$36^2)))+Inputs!$C$37*(0.55*SIN(2*PI()*(Scenario_Data!U205)/Inputs!$C$39)+0.35*COS(2*PI()*(Inputs!$C$6)/Inputs!$C$40)+0.2*SIN(2*PI()*((Scenario_Data!U205)+(Inputs!$C$6))/(0.5*(Inputs!$C$39+Inputs!$C$40))))+Inputs!$C$38*SIN(2*PI()*(Scenario_Data!U205)/Inputs!$C$39)*SIN(2*PI()*(Inputs!$C$6)/Inputs!$C$40)+-Inputs!$C$41*EXP(-(((Inputs!$C$6)-Inputs!$C$43)^2)/(2*Inputs!$C$44^2))*EXP(-(((Scenario_Data!U205)-Inputs!$C$42)^2)/(2*Inputs!$C$45^2))+Inputs!$C$48*(0.7*(0.45*SIN(2*PI()*(((Scenario_Data!U205)/Inputs!$C$49)+Inputs!$C$47*0.137))+0.35*COS(2*PI()*(((Inputs!$C$6)/Inputs!$C$50)+Inputs!$C$47*0.173))+0.2*SIN(2*PI()*((((Scenario_Data!U205)+(Inputs!$C$6))/(0.5*(Inputs!$C$49+Inputs!$C$50)))+Inputs!$C$47*0.097)))+0.3*(2*((SIN(((Scenario_Data!U205)*12.9898+(Inputs!$C$6)*78.233+Inputs!$C$47*37.719))*43758.5453)-INT((SIN(((Scenario_Data!U205)*12.9898+(Inputs!$C$6)*78.233+Inputs!$C$47*37.719))*43758.5453)))-1))))/1000))*COS(SQRT((Scenario_Data!U205)^2+Inputs!$C$6^2)/Inputs!$C$52))*1000)/Inputs!$C$21*1000000</f>
        <v/>
      </c>
      <c r="AT205">
        <f>Scenario_Data!V205</f>
        <v/>
      </c>
      <c r="AU205">
        <f>2*(SQRT((Inputs!$C$52+(Scenario_Data!D205))^2+(Inputs!$C$52+((IF(OR(Inputs!$C$27=TRUE,Inputs!$C$27="TRUE",Inputs!$C$27=1),1,0)*(Inputs!$C$51*(115*EXP(-(((Inputs!$C$6)-25)^2)/(4.5^2))+70*EXP(-(((Inputs!$C$6)+38)^2)/(7^2))*(0.55+0.45*SIN(2*PI()*(Scenario_Data!V205)/45))+24*SIN(2*PI()*(Inputs!$C$6)/9+(Scenario_Data!V205)/18)*EXP(-(((Inputs!$C$6)+5)^2)/(22^2))+18*SIN(2*PI()*(Scenario_Data!V205)/70))+Inputs!$C$28*EXP(-(((Scenario_Data!V205)-Inputs!$C$29)^2)/(2*Inputs!$C$31^2))*EXP(-(((Inputs!$C$6)-Inputs!$C$30)^2)/(2*Inputs!$C$32^2))+-Inputs!$C$33*EXP(-(((((Scenario_Data!V205)-Inputs!$C$34)^2)+(((Inputs!$C$6)-Inputs!$C$35)^2))/(2*Inputs!$C$36^2)))+Inputs!$C$37*(0.55*SIN(2*PI()*(Scenario_Data!V205)/Inputs!$C$39)+0.35*COS(2*PI()*(Inputs!$C$6)/Inputs!$C$40)+0.2*SIN(2*PI()*((Scenario_Data!V205)+(Inputs!$C$6))/(0.5*(Inputs!$C$39+Inputs!$C$40))))+Inputs!$C$38*SIN(2*PI()*(Scenario_Data!V205)/Inputs!$C$39)*SIN(2*PI()*(Inputs!$C$6)/Inputs!$C$40)+-Inputs!$C$41*EXP(-(((Inputs!$C$6)-Inputs!$C$43)^2)/(2*Inputs!$C$44^2))*EXP(-(((Scenario_Data!V205)-Inputs!$C$42)^2)/(2*Inputs!$C$45^2))+Inputs!$C$48*(0.7*(0.45*SIN(2*PI()*(((Scenario_Data!V205)/Inputs!$C$49)+Inputs!$C$47*0.137))+0.35*COS(2*PI()*(((Inputs!$C$6)/Inputs!$C$50)+Inputs!$C$47*0.173))+0.2*SIN(2*PI()*((((Scenario_Data!V205)+(Inputs!$C$6))/(0.5*(Inputs!$C$49+Inputs!$C$50)))+Inputs!$C$47*0.097)))+0.3*(2*((SIN(((Scenario_Data!V205)*12.9898+(Inputs!$C$6)*78.233+Inputs!$C$47*37.719))*43758.5453)-INT((SIN(((Scenario_Data!V205)*12.9898+(Inputs!$C$6)*78.233+Inputs!$C$47*37.719))*43758.5453)))-1))))/1000))^2-2*(Inputs!$C$52+(Scenario_Data!D205))*(Inputs!$C$52+((IF(OR(Inputs!$C$27=TRUE,Inputs!$C$27="TRUE",Inputs!$C$27=1),1,0)*(Inputs!$C$51*(115*EXP(-(((Inputs!$C$6)-25)^2)/(4.5^2))+70*EXP(-(((Inputs!$C$6)+38)^2)/(7^2))*(0.55+0.45*SIN(2*PI()*(Scenario_Data!V205)/45))+24*SIN(2*PI()*(Inputs!$C$6)/9+(Scenario_Data!V205)/18)*EXP(-(((Inputs!$C$6)+5)^2)/(22^2))+18*SIN(2*PI()*(Scenario_Data!V205)/70))+Inputs!$C$28*EXP(-(((Scenario_Data!V205)-Inputs!$C$29)^2)/(2*Inputs!$C$31^2))*EXP(-(((Inputs!$C$6)-Inputs!$C$30)^2)/(2*Inputs!$C$32^2))+-Inputs!$C$33*EXP(-(((((Scenario_Data!V205)-Inputs!$C$34)^2)+(((Inputs!$C$6)-Inputs!$C$35)^2))/(2*Inputs!$C$36^2)))+Inputs!$C$37*(0.55*SIN(2*PI()*(Scenario_Data!V205)/Inputs!$C$39)+0.35*COS(2*PI()*(Inputs!$C$6)/Inputs!$C$40)+0.2*SIN(2*PI()*((Scenario_Data!V205)+(Inputs!$C$6))/(0.5*(Inputs!$C$39+Inputs!$C$40))))+Inputs!$C$38*SIN(2*PI()*(Scenario_Data!V205)/Inputs!$C$39)*SIN(2*PI()*(Inputs!$C$6)/Inputs!$C$40)+-Inputs!$C$41*EXP(-(((Inputs!$C$6)-Inputs!$C$43)^2)/(2*Inputs!$C$44^2))*EXP(-(((Scenario_Data!V205)-Inputs!$C$42)^2)/(2*Inputs!$C$45^2))+Inputs!$C$48*(0.7*(0.45*SIN(2*PI()*(((Scenario_Data!V205)/Inputs!$C$49)+Inputs!$C$47*0.137))+0.35*COS(2*PI()*(((Inputs!$C$6)/Inputs!$C$50)+Inputs!$C$47*0.173))+0.2*SIN(2*PI()*((((Scenario_Data!V205)+(Inputs!$C$6))/(0.5*(Inputs!$C$49+Inputs!$C$50)))+Inputs!$C$47*0.097)))+0.3*(2*((SIN(((Scenario_Data!V205)*12.9898+(Inputs!$C$6)*78.233+Inputs!$C$47*37.719))*43758.5453)-INT((SIN(((Scenario_Data!V205)*12.9898+(Inputs!$C$6)*78.233+Inputs!$C$47*37.719))*43758.5453)))-1))))/1000))*COS(SQRT((Scenario_Data!V205)^2+Inputs!$C$6^2)/Inputs!$C$52))*1000)/Inputs!$C$21*1000000</f>
        <v/>
      </c>
      <c r="AV205">
        <f>Scenario_Data!W205</f>
        <v/>
      </c>
      <c r="AW205">
        <f>2*(SQRT((Inputs!$C$52+(Scenario_Data!E205))^2+(Inputs!$C$52+((IF(OR(Inputs!$C$27=TRUE,Inputs!$C$27="TRUE",Inputs!$C$27=1),1,0)*(Inputs!$C$51*(115*EXP(-(((Inputs!$C$6)-25)^2)/(4.5^2))+70*EXP(-(((Inputs!$C$6)+38)^2)/(7^2))*(0.55+0.45*SIN(2*PI()*(Scenario_Data!W205)/45))+24*SIN(2*PI()*(Inputs!$C$6)/9+(Scenario_Data!W205)/18)*EXP(-(((Inputs!$C$6)+5)^2)/(22^2))+18*SIN(2*PI()*(Scenario_Data!W205)/70))+Inputs!$C$28*EXP(-(((Scenario_Data!W205)-Inputs!$C$29)^2)/(2*Inputs!$C$31^2))*EXP(-(((Inputs!$C$6)-Inputs!$C$30)^2)/(2*Inputs!$C$32^2))+-Inputs!$C$33*EXP(-(((((Scenario_Data!W205)-Inputs!$C$34)^2)+(((Inputs!$C$6)-Inputs!$C$35)^2))/(2*Inputs!$C$36^2)))+Inputs!$C$37*(0.55*SIN(2*PI()*(Scenario_Data!W205)/Inputs!$C$39)+0.35*COS(2*PI()*(Inputs!$C$6)/Inputs!$C$40)+0.2*SIN(2*PI()*((Scenario_Data!W205)+(Inputs!$C$6))/(0.5*(Inputs!$C$39+Inputs!$C$40))))+Inputs!$C$38*SIN(2*PI()*(Scenario_Data!W205)/Inputs!$C$39)*SIN(2*PI()*(Inputs!$C$6)/Inputs!$C$40)+-Inputs!$C$41*EXP(-(((Inputs!$C$6)-Inputs!$C$43)^2)/(2*Inputs!$C$44^2))*EXP(-(((Scenario_Data!W205)-Inputs!$C$42)^2)/(2*Inputs!$C$45^2))+Inputs!$C$48*(0.7*(0.45*SIN(2*PI()*(((Scenario_Data!W205)/Inputs!$C$49)+Inputs!$C$47*0.137))+0.35*COS(2*PI()*(((Inputs!$C$6)/Inputs!$C$50)+Inputs!$C$47*0.173))+0.2*SIN(2*PI()*((((Scenario_Data!W205)+(Inputs!$C$6))/(0.5*(Inputs!$C$49+Inputs!$C$50)))+Inputs!$C$47*0.097)))+0.3*(2*((SIN(((Scenario_Data!W205)*12.9898+(Inputs!$C$6)*78.233+Inputs!$C$47*37.719))*43758.5453)-INT((SIN(((Scenario_Data!W205)*12.9898+(Inputs!$C$6)*78.233+Inputs!$C$47*37.719))*43758.5453)))-1))))/1000))^2-2*(Inputs!$C$52+(Scenario_Data!E205))*(Inputs!$C$52+((IF(OR(Inputs!$C$27=TRUE,Inputs!$C$27="TRUE",Inputs!$C$27=1),1,0)*(Inputs!$C$51*(115*EXP(-(((Inputs!$C$6)-25)^2)/(4.5^2))+70*EXP(-(((Inputs!$C$6)+38)^2)/(7^2))*(0.55+0.45*SIN(2*PI()*(Scenario_Data!W205)/45))+24*SIN(2*PI()*(Inputs!$C$6)/9+(Scenario_Data!W205)/18)*EXP(-(((Inputs!$C$6)+5)^2)/(22^2))+18*SIN(2*PI()*(Scenario_Data!W205)/70))+Inputs!$C$28*EXP(-(((Scenario_Data!W205)-Inputs!$C$29)^2)/(2*Inputs!$C$31^2))*EXP(-(((Inputs!$C$6)-Inputs!$C$30)^2)/(2*Inputs!$C$32^2))+-Inputs!$C$33*EXP(-(((((Scenario_Data!W205)-Inputs!$C$34)^2)+(((Inputs!$C$6)-Inputs!$C$35)^2))/(2*Inputs!$C$36^2)))+Inputs!$C$37*(0.55*SIN(2*PI()*(Scenario_Data!W205)/Inputs!$C$39)+0.35*COS(2*PI()*(Inputs!$C$6)/Inputs!$C$40)+0.2*SIN(2*PI()*((Scenario_Data!W205)+(Inputs!$C$6))/(0.5*(Inputs!$C$39+Inputs!$C$40))))+Inputs!$C$38*SIN(2*PI()*(Scenario_Data!W205)/Inputs!$C$39)*SIN(2*PI()*(Inputs!$C$6)/Inputs!$C$40)+-Inputs!$C$41*EXP(-(((Inputs!$C$6)-Inputs!$C$43)^2)/(2*Inputs!$C$44^2))*EXP(-(((Scenario_Data!W205)-Inputs!$C$42)^2)/(2*Inputs!$C$45^2))+Inputs!$C$48*(0.7*(0.45*SIN(2*PI()*(((Scenario_Data!W205)/Inputs!$C$49)+Inputs!$C$47*0.137))+0.35*COS(2*PI()*(((Inputs!$C$6)/Inputs!$C$50)+Inputs!$C$47*0.173))+0.2*SIN(2*PI()*((((Scenario_Data!W205)+(Inputs!$C$6))/(0.5*(Inputs!$C$49+Inputs!$C$50)))+Inputs!$C$47*0.097)))+0.3*(2*((SIN(((Scenario_Data!W205)*12.9898+(Inputs!$C$6)*78.233+Inputs!$C$47*37.719))*43758.5453)-INT((SIN(((Scenario_Data!W205)*12.9898+(Inputs!$C$6)*78.233+Inputs!$C$47*37.719))*43758.5453)))-1))))/1000))*COS(SQRT((Scenario_Data!W205)^2+Inputs!$C$6^2)/Inputs!$C$52))*1000)/Inputs!$C$21*1000000</f>
        <v/>
      </c>
    </row>
    <row r="206">
      <c r="A206">
        <f>Chart_Data!K206</f>
        <v/>
      </c>
      <c r="B206">
        <f>Chart_Data!N206-Chart_Data!L206</f>
        <v/>
      </c>
      <c r="D206">
        <f>Chart_Data!G206</f>
        <v/>
      </c>
      <c r="E206">
        <f>Chart_Data!H206</f>
        <v/>
      </c>
      <c r="F206">
        <f>Chart_Data!I206</f>
        <v/>
      </c>
      <c r="G206">
        <f>Chart_Data!J206</f>
        <v/>
      </c>
      <c r="I206">
        <f>Scenario_Data!A206</f>
        <v/>
      </c>
      <c r="J206">
        <f>Scenario_Data!H206-(((SQRT((Inputs!$C$52+(Inputs!$H$6))^2+Inputs!$C$52^2-2*(Inputs!$C$52+(Inputs!$H$6))*Inputs!$C$52*COS(SQRT((Scenario_Data!T206)^2+Inputs!$C$6^2)/Inputs!$C$52)))-(Inputs!$H$6))*1000/Inputs!$C$12)</f>
        <v/>
      </c>
      <c r="K206">
        <f>Scenario_Data!I206-(((SQRT((Inputs!$C$52+(Inputs!$H$7))^2+Inputs!$C$52^2-2*(Inputs!$C$52+(Inputs!$H$7))*Inputs!$C$52*COS(SQRT((Scenario_Data!U206)^2+Inputs!$C$6^2)/Inputs!$C$52)))-(Inputs!$H$7))*1000/Inputs!$C$12)</f>
        <v/>
      </c>
      <c r="L206">
        <f>Scenario_Data!J206-(((SQRT((Inputs!$C$52+(Inputs!$H$8))^2+Inputs!$C$52^2-2*(Inputs!$C$52+(Inputs!$H$8))*Inputs!$C$52*COS(SQRT((Scenario_Data!V206)^2+Inputs!$C$6^2)/Inputs!$C$52)))-(Inputs!$H$8))*1000/Inputs!$C$12)</f>
        <v/>
      </c>
      <c r="M206">
        <f>Scenario_Data!K206-(((SQRT((Inputs!$C$52+(Inputs!$H$9))^2+Inputs!$C$52^2-2*(Inputs!$C$52+(Inputs!$H$9))*Inputs!$C$52*COS(SQRT((Scenario_Data!W206)^2+Inputs!$C$6^2)/Inputs!$C$52)))-(Inputs!$H$9))*1000/Inputs!$C$12)</f>
        <v/>
      </c>
      <c r="O206">
        <f>Scenario_Data!T206</f>
        <v/>
      </c>
      <c r="P206">
        <f>2*(Scenario_Data!B206*1000)/Inputs!$C$21*1000000</f>
        <v/>
      </c>
      <c r="Q206">
        <f>Scenario_Data!U206</f>
        <v/>
      </c>
      <c r="R206">
        <f>2*(Scenario_Data!C206*1000)/Inputs!$C$21*1000000</f>
        <v/>
      </c>
      <c r="S206">
        <f>Scenario_Data!V206</f>
        <v/>
      </c>
      <c r="T206">
        <f>2*(Scenario_Data!D206*1000)/Inputs!$C$21*1000000</f>
        <v/>
      </c>
      <c r="U206">
        <f>Scenario_Data!W206</f>
        <v/>
      </c>
      <c r="V206">
        <f>2*(Scenario_Data!E206*1000)/Inputs!$C$21*1000000</f>
        <v/>
      </c>
      <c r="X206">
        <f>Scenario_Data!T206</f>
        <v/>
      </c>
      <c r="Y206">
        <f>2*((Scenario_Data!B206*1000)-(IF(OR(Inputs!$C$27=TRUE,Inputs!$C$27="TRUE",Inputs!$C$27=1),1,0)*(Inputs!$C$51*(115*EXP(-(((0)-25)^2)/(4.5^2))+70*EXP(-(((0)+38)^2)/(7^2))*(0.55+0.45*SIN(2*PI()*(Scenario_Data!T206)/45))+24*SIN(2*PI()*(0)/9+(Scenario_Data!T206)/18)*EXP(-(((0)+5)^2)/(22^2))+18*SIN(2*PI()*(Scenario_Data!T206)/70))+Inputs!$C$28*EXP(-(((Scenario_Data!T206)-Inputs!$C$29)^2)/(2*Inputs!$C$31^2))*EXP(-(((0)-Inputs!$C$30)^2)/(2*Inputs!$C$32^2))+-Inputs!$C$33*EXP(-(((((Scenario_Data!T206)-Inputs!$C$34)^2)+(((0)-Inputs!$C$35)^2))/(2*Inputs!$C$36^2)))+Inputs!$C$37*(0.55*SIN(2*PI()*(Scenario_Data!T206)/Inputs!$C$39)+0.35*COS(2*PI()*(0)/Inputs!$C$40)+0.2*SIN(2*PI()*((Scenario_Data!T206)+(0))/(0.5*(Inputs!$C$39+Inputs!$C$40))))+Inputs!$C$38*SIN(2*PI()*(Scenario_Data!T206)/Inputs!$C$39)*SIN(2*PI()*(0)/Inputs!$C$40)+-Inputs!$C$41*EXP(-(((0)-Inputs!$C$43)^2)/(2*Inputs!$C$44^2))*EXP(-(((Scenario_Data!T206)-Inputs!$C$42)^2)/(2*Inputs!$C$45^2))+Inputs!$C$48*(0.7*(0.45*SIN(2*PI()*(((Scenario_Data!T206)/Inputs!$C$49)+Inputs!$C$47*0.137))+0.35*COS(2*PI()*(((0)/Inputs!$C$50)+Inputs!$C$47*0.173))+0.2*SIN(2*PI()*((((Scenario_Data!T206)+(0))/(0.5*(Inputs!$C$49+Inputs!$C$50)))+Inputs!$C$47*0.097)))+0.3*(2*((SIN(((Scenario_Data!T206)*12.9898+(0)*78.233+Inputs!$C$47*37.719))*43758.5453)-INT((SIN(((Scenario_Data!T206)*12.9898+(0)*78.233+Inputs!$C$47*37.719))*43758.5453)))-1)))))/Inputs!$C$21*1000000</f>
        <v/>
      </c>
      <c r="Z206">
        <f>Scenario_Data!U206</f>
        <v/>
      </c>
      <c r="AA206">
        <f>2*((Scenario_Data!C206*1000)-(IF(OR(Inputs!$C$27=TRUE,Inputs!$C$27="TRUE",Inputs!$C$27=1),1,0)*(Inputs!$C$51*(115*EXP(-(((0)-25)^2)/(4.5^2))+70*EXP(-(((0)+38)^2)/(7^2))*(0.55+0.45*SIN(2*PI()*(Scenario_Data!U206)/45))+24*SIN(2*PI()*(0)/9+(Scenario_Data!U206)/18)*EXP(-(((0)+5)^2)/(22^2))+18*SIN(2*PI()*(Scenario_Data!U206)/70))+Inputs!$C$28*EXP(-(((Scenario_Data!U206)-Inputs!$C$29)^2)/(2*Inputs!$C$31^2))*EXP(-(((0)-Inputs!$C$30)^2)/(2*Inputs!$C$32^2))+-Inputs!$C$33*EXP(-(((((Scenario_Data!U206)-Inputs!$C$34)^2)+(((0)-Inputs!$C$35)^2))/(2*Inputs!$C$36^2)))+Inputs!$C$37*(0.55*SIN(2*PI()*(Scenario_Data!U206)/Inputs!$C$39)+0.35*COS(2*PI()*(0)/Inputs!$C$40)+0.2*SIN(2*PI()*((Scenario_Data!U206)+(0))/(0.5*(Inputs!$C$39+Inputs!$C$40))))+Inputs!$C$38*SIN(2*PI()*(Scenario_Data!U206)/Inputs!$C$39)*SIN(2*PI()*(0)/Inputs!$C$40)+-Inputs!$C$41*EXP(-(((0)-Inputs!$C$43)^2)/(2*Inputs!$C$44^2))*EXP(-(((Scenario_Data!U206)-Inputs!$C$42)^2)/(2*Inputs!$C$45^2))+Inputs!$C$48*(0.7*(0.45*SIN(2*PI()*(((Scenario_Data!U206)/Inputs!$C$49)+Inputs!$C$47*0.137))+0.35*COS(2*PI()*(((0)/Inputs!$C$50)+Inputs!$C$47*0.173))+0.2*SIN(2*PI()*((((Scenario_Data!U206)+(0))/(0.5*(Inputs!$C$49+Inputs!$C$50)))+Inputs!$C$47*0.097)))+0.3*(2*((SIN(((Scenario_Data!U206)*12.9898+(0)*78.233+Inputs!$C$47*37.719))*43758.5453)-INT((SIN(((Scenario_Data!U206)*12.9898+(0)*78.233+Inputs!$C$47*37.719))*43758.5453)))-1)))))/Inputs!$C$21*1000000</f>
        <v/>
      </c>
      <c r="AB206">
        <f>Scenario_Data!V206</f>
        <v/>
      </c>
      <c r="AC206">
        <f>2*((Scenario_Data!D206*1000)-(IF(OR(Inputs!$C$27=TRUE,Inputs!$C$27="TRUE",Inputs!$C$27=1),1,0)*(Inputs!$C$51*(115*EXP(-(((0)-25)^2)/(4.5^2))+70*EXP(-(((0)+38)^2)/(7^2))*(0.55+0.45*SIN(2*PI()*(Scenario_Data!V206)/45))+24*SIN(2*PI()*(0)/9+(Scenario_Data!V206)/18)*EXP(-(((0)+5)^2)/(22^2))+18*SIN(2*PI()*(Scenario_Data!V206)/70))+Inputs!$C$28*EXP(-(((Scenario_Data!V206)-Inputs!$C$29)^2)/(2*Inputs!$C$31^2))*EXP(-(((0)-Inputs!$C$30)^2)/(2*Inputs!$C$32^2))+-Inputs!$C$33*EXP(-(((((Scenario_Data!V206)-Inputs!$C$34)^2)+(((0)-Inputs!$C$35)^2))/(2*Inputs!$C$36^2)))+Inputs!$C$37*(0.55*SIN(2*PI()*(Scenario_Data!V206)/Inputs!$C$39)+0.35*COS(2*PI()*(0)/Inputs!$C$40)+0.2*SIN(2*PI()*((Scenario_Data!V206)+(0))/(0.5*(Inputs!$C$39+Inputs!$C$40))))+Inputs!$C$38*SIN(2*PI()*(Scenario_Data!V206)/Inputs!$C$39)*SIN(2*PI()*(0)/Inputs!$C$40)+-Inputs!$C$41*EXP(-(((0)-Inputs!$C$43)^2)/(2*Inputs!$C$44^2))*EXP(-(((Scenario_Data!V206)-Inputs!$C$42)^2)/(2*Inputs!$C$45^2))+Inputs!$C$48*(0.7*(0.45*SIN(2*PI()*(((Scenario_Data!V206)/Inputs!$C$49)+Inputs!$C$47*0.137))+0.35*COS(2*PI()*(((0)/Inputs!$C$50)+Inputs!$C$47*0.173))+0.2*SIN(2*PI()*((((Scenario_Data!V206)+(0))/(0.5*(Inputs!$C$49+Inputs!$C$50)))+Inputs!$C$47*0.097)))+0.3*(2*((SIN(((Scenario_Data!V206)*12.9898+(0)*78.233+Inputs!$C$47*37.719))*43758.5453)-INT((SIN(((Scenario_Data!V206)*12.9898+(0)*78.233+Inputs!$C$47*37.719))*43758.5453)))-1)))))/Inputs!$C$21*1000000</f>
        <v/>
      </c>
      <c r="AD206">
        <f>Scenario_Data!W206</f>
        <v/>
      </c>
      <c r="AE206">
        <f>2*((Scenario_Data!E206*1000)-(IF(OR(Inputs!$C$27=TRUE,Inputs!$C$27="TRUE",Inputs!$C$27=1),1,0)*(Inputs!$C$51*(115*EXP(-(((0)-25)^2)/(4.5^2))+70*EXP(-(((0)+38)^2)/(7^2))*(0.55+0.45*SIN(2*PI()*(Scenario_Data!W206)/45))+24*SIN(2*PI()*(0)/9+(Scenario_Data!W206)/18)*EXP(-(((0)+5)^2)/(22^2))+18*SIN(2*PI()*(Scenario_Data!W206)/70))+Inputs!$C$28*EXP(-(((Scenario_Data!W206)-Inputs!$C$29)^2)/(2*Inputs!$C$31^2))*EXP(-(((0)-Inputs!$C$30)^2)/(2*Inputs!$C$32^2))+-Inputs!$C$33*EXP(-(((((Scenario_Data!W206)-Inputs!$C$34)^2)+(((0)-Inputs!$C$35)^2))/(2*Inputs!$C$36^2)))+Inputs!$C$37*(0.55*SIN(2*PI()*(Scenario_Data!W206)/Inputs!$C$39)+0.35*COS(2*PI()*(0)/Inputs!$C$40)+0.2*SIN(2*PI()*((Scenario_Data!W206)+(0))/(0.5*(Inputs!$C$39+Inputs!$C$40))))+Inputs!$C$38*SIN(2*PI()*(Scenario_Data!W206)/Inputs!$C$39)*SIN(2*PI()*(0)/Inputs!$C$40)+-Inputs!$C$41*EXP(-(((0)-Inputs!$C$43)^2)/(2*Inputs!$C$44^2))*EXP(-(((Scenario_Data!W206)-Inputs!$C$42)^2)/(2*Inputs!$C$45^2))+Inputs!$C$48*(0.7*(0.45*SIN(2*PI()*(((Scenario_Data!W206)/Inputs!$C$49)+Inputs!$C$47*0.137))+0.35*COS(2*PI()*(((0)/Inputs!$C$50)+Inputs!$C$47*0.173))+0.2*SIN(2*PI()*((((Scenario_Data!W206)+(0))/(0.5*(Inputs!$C$49+Inputs!$C$50)))+Inputs!$C$47*0.097)))+0.3*(2*((SIN(((Scenario_Data!W206)*12.9898+(0)*78.233+Inputs!$C$47*37.719))*43758.5453)-INT((SIN(((Scenario_Data!W206)*12.9898+(0)*78.233+Inputs!$C$47*37.719))*43758.5453)))-1)))))/Inputs!$C$21*1000000</f>
        <v/>
      </c>
      <c r="AG206">
        <f>Scenario_Data!T206</f>
        <v/>
      </c>
      <c r="AH206">
        <f>2*(SQRT((Inputs!$C$52+(Scenario_Data!B206))^2+Inputs!$C$52^2-2*(Inputs!$C$52+(Scenario_Data!B206))*Inputs!$C$52*COS(SQRT((Scenario_Data!T206)^2+Inputs!$C$6^2)/Inputs!$C$52))*1000)/Inputs!$C$21*1000000</f>
        <v/>
      </c>
      <c r="AI206">
        <f>Scenario_Data!U206</f>
        <v/>
      </c>
      <c r="AJ206">
        <f>2*(SQRT((Inputs!$C$52+(Scenario_Data!C206))^2+Inputs!$C$52^2-2*(Inputs!$C$52+(Scenario_Data!C206))*Inputs!$C$52*COS(SQRT((Scenario_Data!U206)^2+Inputs!$C$6^2)/Inputs!$C$52))*1000)/Inputs!$C$21*1000000</f>
        <v/>
      </c>
      <c r="AK206">
        <f>Scenario_Data!V206</f>
        <v/>
      </c>
      <c r="AL206">
        <f>2*(SQRT((Inputs!$C$52+(Scenario_Data!D206))^2+Inputs!$C$52^2-2*(Inputs!$C$52+(Scenario_Data!D206))*Inputs!$C$52*COS(SQRT((Scenario_Data!V206)^2+Inputs!$C$6^2)/Inputs!$C$52))*1000)/Inputs!$C$21*1000000</f>
        <v/>
      </c>
      <c r="AM206">
        <f>Scenario_Data!W206</f>
        <v/>
      </c>
      <c r="AN206">
        <f>2*(SQRT((Inputs!$C$52+(Scenario_Data!E206))^2+Inputs!$C$52^2-2*(Inputs!$C$52+(Scenario_Data!E206))*Inputs!$C$52*COS(SQRT((Scenario_Data!W206)^2+Inputs!$C$6^2)/Inputs!$C$52))*1000)/Inputs!$C$21*1000000</f>
        <v/>
      </c>
      <c r="AP206">
        <f>Scenario_Data!T206</f>
        <v/>
      </c>
      <c r="AQ206">
        <f>2*(SQRT((Inputs!$C$52+(Scenario_Data!B206))^2+(Inputs!$C$52+((IF(OR(Inputs!$C$27=TRUE,Inputs!$C$27="TRUE",Inputs!$C$27=1),1,0)*(Inputs!$C$51*(115*EXP(-(((Inputs!$C$6)-25)^2)/(4.5^2))+70*EXP(-(((Inputs!$C$6)+38)^2)/(7^2))*(0.55+0.45*SIN(2*PI()*(Scenario_Data!T206)/45))+24*SIN(2*PI()*(Inputs!$C$6)/9+(Scenario_Data!T206)/18)*EXP(-(((Inputs!$C$6)+5)^2)/(22^2))+18*SIN(2*PI()*(Scenario_Data!T206)/70))+Inputs!$C$28*EXP(-(((Scenario_Data!T206)-Inputs!$C$29)^2)/(2*Inputs!$C$31^2))*EXP(-(((Inputs!$C$6)-Inputs!$C$30)^2)/(2*Inputs!$C$32^2))+-Inputs!$C$33*EXP(-(((((Scenario_Data!T206)-Inputs!$C$34)^2)+(((Inputs!$C$6)-Inputs!$C$35)^2))/(2*Inputs!$C$36^2)))+Inputs!$C$37*(0.55*SIN(2*PI()*(Scenario_Data!T206)/Inputs!$C$39)+0.35*COS(2*PI()*(Inputs!$C$6)/Inputs!$C$40)+0.2*SIN(2*PI()*((Scenario_Data!T206)+(Inputs!$C$6))/(0.5*(Inputs!$C$39+Inputs!$C$40))))+Inputs!$C$38*SIN(2*PI()*(Scenario_Data!T206)/Inputs!$C$39)*SIN(2*PI()*(Inputs!$C$6)/Inputs!$C$40)+-Inputs!$C$41*EXP(-(((Inputs!$C$6)-Inputs!$C$43)^2)/(2*Inputs!$C$44^2))*EXP(-(((Scenario_Data!T206)-Inputs!$C$42)^2)/(2*Inputs!$C$45^2))+Inputs!$C$48*(0.7*(0.45*SIN(2*PI()*(((Scenario_Data!T206)/Inputs!$C$49)+Inputs!$C$47*0.137))+0.35*COS(2*PI()*(((Inputs!$C$6)/Inputs!$C$50)+Inputs!$C$47*0.173))+0.2*SIN(2*PI()*((((Scenario_Data!T206)+(Inputs!$C$6))/(0.5*(Inputs!$C$49+Inputs!$C$50)))+Inputs!$C$47*0.097)))+0.3*(2*((SIN(((Scenario_Data!T206)*12.9898+(Inputs!$C$6)*78.233+Inputs!$C$47*37.719))*43758.5453)-INT((SIN(((Scenario_Data!T206)*12.9898+(Inputs!$C$6)*78.233+Inputs!$C$47*37.719))*43758.5453)))-1))))/1000))^2-2*(Inputs!$C$52+(Scenario_Data!B206))*(Inputs!$C$52+((IF(OR(Inputs!$C$27=TRUE,Inputs!$C$27="TRUE",Inputs!$C$27=1),1,0)*(Inputs!$C$51*(115*EXP(-(((Inputs!$C$6)-25)^2)/(4.5^2))+70*EXP(-(((Inputs!$C$6)+38)^2)/(7^2))*(0.55+0.45*SIN(2*PI()*(Scenario_Data!T206)/45))+24*SIN(2*PI()*(Inputs!$C$6)/9+(Scenario_Data!T206)/18)*EXP(-(((Inputs!$C$6)+5)^2)/(22^2))+18*SIN(2*PI()*(Scenario_Data!T206)/70))+Inputs!$C$28*EXP(-(((Scenario_Data!T206)-Inputs!$C$29)^2)/(2*Inputs!$C$31^2))*EXP(-(((Inputs!$C$6)-Inputs!$C$30)^2)/(2*Inputs!$C$32^2))+-Inputs!$C$33*EXP(-(((((Scenario_Data!T206)-Inputs!$C$34)^2)+(((Inputs!$C$6)-Inputs!$C$35)^2))/(2*Inputs!$C$36^2)))+Inputs!$C$37*(0.55*SIN(2*PI()*(Scenario_Data!T206)/Inputs!$C$39)+0.35*COS(2*PI()*(Inputs!$C$6)/Inputs!$C$40)+0.2*SIN(2*PI()*((Scenario_Data!T206)+(Inputs!$C$6))/(0.5*(Inputs!$C$39+Inputs!$C$40))))+Inputs!$C$38*SIN(2*PI()*(Scenario_Data!T206)/Inputs!$C$39)*SIN(2*PI()*(Inputs!$C$6)/Inputs!$C$40)+-Inputs!$C$41*EXP(-(((Inputs!$C$6)-Inputs!$C$43)^2)/(2*Inputs!$C$44^2))*EXP(-(((Scenario_Data!T206)-Inputs!$C$42)^2)/(2*Inputs!$C$45^2))+Inputs!$C$48*(0.7*(0.45*SIN(2*PI()*(((Scenario_Data!T206)/Inputs!$C$49)+Inputs!$C$47*0.137))+0.35*COS(2*PI()*(((Inputs!$C$6)/Inputs!$C$50)+Inputs!$C$47*0.173))+0.2*SIN(2*PI()*((((Scenario_Data!T206)+(Inputs!$C$6))/(0.5*(Inputs!$C$49+Inputs!$C$50)))+Inputs!$C$47*0.097)))+0.3*(2*((SIN(((Scenario_Data!T206)*12.9898+(Inputs!$C$6)*78.233+Inputs!$C$47*37.719))*43758.5453)-INT((SIN(((Scenario_Data!T206)*12.9898+(Inputs!$C$6)*78.233+Inputs!$C$47*37.719))*43758.5453)))-1))))/1000))*COS(SQRT((Scenario_Data!T206)^2+Inputs!$C$6^2)/Inputs!$C$52))*1000)/Inputs!$C$21*1000000</f>
        <v/>
      </c>
      <c r="AR206">
        <f>Scenario_Data!U206</f>
        <v/>
      </c>
      <c r="AS206">
        <f>2*(SQRT((Inputs!$C$52+(Scenario_Data!C206))^2+(Inputs!$C$52+((IF(OR(Inputs!$C$27=TRUE,Inputs!$C$27="TRUE",Inputs!$C$27=1),1,0)*(Inputs!$C$51*(115*EXP(-(((Inputs!$C$6)-25)^2)/(4.5^2))+70*EXP(-(((Inputs!$C$6)+38)^2)/(7^2))*(0.55+0.45*SIN(2*PI()*(Scenario_Data!U206)/45))+24*SIN(2*PI()*(Inputs!$C$6)/9+(Scenario_Data!U206)/18)*EXP(-(((Inputs!$C$6)+5)^2)/(22^2))+18*SIN(2*PI()*(Scenario_Data!U206)/70))+Inputs!$C$28*EXP(-(((Scenario_Data!U206)-Inputs!$C$29)^2)/(2*Inputs!$C$31^2))*EXP(-(((Inputs!$C$6)-Inputs!$C$30)^2)/(2*Inputs!$C$32^2))+-Inputs!$C$33*EXP(-(((((Scenario_Data!U206)-Inputs!$C$34)^2)+(((Inputs!$C$6)-Inputs!$C$35)^2))/(2*Inputs!$C$36^2)))+Inputs!$C$37*(0.55*SIN(2*PI()*(Scenario_Data!U206)/Inputs!$C$39)+0.35*COS(2*PI()*(Inputs!$C$6)/Inputs!$C$40)+0.2*SIN(2*PI()*((Scenario_Data!U206)+(Inputs!$C$6))/(0.5*(Inputs!$C$39+Inputs!$C$40))))+Inputs!$C$38*SIN(2*PI()*(Scenario_Data!U206)/Inputs!$C$39)*SIN(2*PI()*(Inputs!$C$6)/Inputs!$C$40)+-Inputs!$C$41*EXP(-(((Inputs!$C$6)-Inputs!$C$43)^2)/(2*Inputs!$C$44^2))*EXP(-(((Scenario_Data!U206)-Inputs!$C$42)^2)/(2*Inputs!$C$45^2))+Inputs!$C$48*(0.7*(0.45*SIN(2*PI()*(((Scenario_Data!U206)/Inputs!$C$49)+Inputs!$C$47*0.137))+0.35*COS(2*PI()*(((Inputs!$C$6)/Inputs!$C$50)+Inputs!$C$47*0.173))+0.2*SIN(2*PI()*((((Scenario_Data!U206)+(Inputs!$C$6))/(0.5*(Inputs!$C$49+Inputs!$C$50)))+Inputs!$C$47*0.097)))+0.3*(2*((SIN(((Scenario_Data!U206)*12.9898+(Inputs!$C$6)*78.233+Inputs!$C$47*37.719))*43758.5453)-INT((SIN(((Scenario_Data!U206)*12.9898+(Inputs!$C$6)*78.233+Inputs!$C$47*37.719))*43758.5453)))-1))))/1000))^2-2*(Inputs!$C$52+(Scenario_Data!C206))*(Inputs!$C$52+((IF(OR(Inputs!$C$27=TRUE,Inputs!$C$27="TRUE",Inputs!$C$27=1),1,0)*(Inputs!$C$51*(115*EXP(-(((Inputs!$C$6)-25)^2)/(4.5^2))+70*EXP(-(((Inputs!$C$6)+38)^2)/(7^2))*(0.55+0.45*SIN(2*PI()*(Scenario_Data!U206)/45))+24*SIN(2*PI()*(Inputs!$C$6)/9+(Scenario_Data!U206)/18)*EXP(-(((Inputs!$C$6)+5)^2)/(22^2))+18*SIN(2*PI()*(Scenario_Data!U206)/70))+Inputs!$C$28*EXP(-(((Scenario_Data!U206)-Inputs!$C$29)^2)/(2*Inputs!$C$31^2))*EXP(-(((Inputs!$C$6)-Inputs!$C$30)^2)/(2*Inputs!$C$32^2))+-Inputs!$C$33*EXP(-(((((Scenario_Data!U206)-Inputs!$C$34)^2)+(((Inputs!$C$6)-Inputs!$C$35)^2))/(2*Inputs!$C$36^2)))+Inputs!$C$37*(0.55*SIN(2*PI()*(Scenario_Data!U206)/Inputs!$C$39)+0.35*COS(2*PI()*(Inputs!$C$6)/Inputs!$C$40)+0.2*SIN(2*PI()*((Scenario_Data!U206)+(Inputs!$C$6))/(0.5*(Inputs!$C$39+Inputs!$C$40))))+Inputs!$C$38*SIN(2*PI()*(Scenario_Data!U206)/Inputs!$C$39)*SIN(2*PI()*(Inputs!$C$6)/Inputs!$C$40)+-Inputs!$C$41*EXP(-(((Inputs!$C$6)-Inputs!$C$43)^2)/(2*Inputs!$C$44^2))*EXP(-(((Scenario_Data!U206)-Inputs!$C$42)^2)/(2*Inputs!$C$45^2))+Inputs!$C$48*(0.7*(0.45*SIN(2*PI()*(((Scenario_Data!U206)/Inputs!$C$49)+Inputs!$C$47*0.137))+0.35*COS(2*PI()*(((Inputs!$C$6)/Inputs!$C$50)+Inputs!$C$47*0.173))+0.2*SIN(2*PI()*((((Scenario_Data!U206)+(Inputs!$C$6))/(0.5*(Inputs!$C$49+Inputs!$C$50)))+Inputs!$C$47*0.097)))+0.3*(2*((SIN(((Scenario_Data!U206)*12.9898+(Inputs!$C$6)*78.233+Inputs!$C$47*37.719))*43758.5453)-INT((SIN(((Scenario_Data!U206)*12.9898+(Inputs!$C$6)*78.233+Inputs!$C$47*37.719))*43758.5453)))-1))))/1000))*COS(SQRT((Scenario_Data!U206)^2+Inputs!$C$6^2)/Inputs!$C$52))*1000)/Inputs!$C$21*1000000</f>
        <v/>
      </c>
      <c r="AT206">
        <f>Scenario_Data!V206</f>
        <v/>
      </c>
      <c r="AU206">
        <f>2*(SQRT((Inputs!$C$52+(Scenario_Data!D206))^2+(Inputs!$C$52+((IF(OR(Inputs!$C$27=TRUE,Inputs!$C$27="TRUE",Inputs!$C$27=1),1,0)*(Inputs!$C$51*(115*EXP(-(((Inputs!$C$6)-25)^2)/(4.5^2))+70*EXP(-(((Inputs!$C$6)+38)^2)/(7^2))*(0.55+0.45*SIN(2*PI()*(Scenario_Data!V206)/45))+24*SIN(2*PI()*(Inputs!$C$6)/9+(Scenario_Data!V206)/18)*EXP(-(((Inputs!$C$6)+5)^2)/(22^2))+18*SIN(2*PI()*(Scenario_Data!V206)/70))+Inputs!$C$28*EXP(-(((Scenario_Data!V206)-Inputs!$C$29)^2)/(2*Inputs!$C$31^2))*EXP(-(((Inputs!$C$6)-Inputs!$C$30)^2)/(2*Inputs!$C$32^2))+-Inputs!$C$33*EXP(-(((((Scenario_Data!V206)-Inputs!$C$34)^2)+(((Inputs!$C$6)-Inputs!$C$35)^2))/(2*Inputs!$C$36^2)))+Inputs!$C$37*(0.55*SIN(2*PI()*(Scenario_Data!V206)/Inputs!$C$39)+0.35*COS(2*PI()*(Inputs!$C$6)/Inputs!$C$40)+0.2*SIN(2*PI()*((Scenario_Data!V206)+(Inputs!$C$6))/(0.5*(Inputs!$C$39+Inputs!$C$40))))+Inputs!$C$38*SIN(2*PI()*(Scenario_Data!V206)/Inputs!$C$39)*SIN(2*PI()*(Inputs!$C$6)/Inputs!$C$40)+-Inputs!$C$41*EXP(-(((Inputs!$C$6)-Inputs!$C$43)^2)/(2*Inputs!$C$44^2))*EXP(-(((Scenario_Data!V206)-Inputs!$C$42)^2)/(2*Inputs!$C$45^2))+Inputs!$C$48*(0.7*(0.45*SIN(2*PI()*(((Scenario_Data!V206)/Inputs!$C$49)+Inputs!$C$47*0.137))+0.35*COS(2*PI()*(((Inputs!$C$6)/Inputs!$C$50)+Inputs!$C$47*0.173))+0.2*SIN(2*PI()*((((Scenario_Data!V206)+(Inputs!$C$6))/(0.5*(Inputs!$C$49+Inputs!$C$50)))+Inputs!$C$47*0.097)))+0.3*(2*((SIN(((Scenario_Data!V206)*12.9898+(Inputs!$C$6)*78.233+Inputs!$C$47*37.719))*43758.5453)-INT((SIN(((Scenario_Data!V206)*12.9898+(Inputs!$C$6)*78.233+Inputs!$C$47*37.719))*43758.5453)))-1))))/1000))^2-2*(Inputs!$C$52+(Scenario_Data!D206))*(Inputs!$C$52+((IF(OR(Inputs!$C$27=TRUE,Inputs!$C$27="TRUE",Inputs!$C$27=1),1,0)*(Inputs!$C$51*(115*EXP(-(((Inputs!$C$6)-25)^2)/(4.5^2))+70*EXP(-(((Inputs!$C$6)+38)^2)/(7^2))*(0.55+0.45*SIN(2*PI()*(Scenario_Data!V206)/45))+24*SIN(2*PI()*(Inputs!$C$6)/9+(Scenario_Data!V206)/18)*EXP(-(((Inputs!$C$6)+5)^2)/(22^2))+18*SIN(2*PI()*(Scenario_Data!V206)/70))+Inputs!$C$28*EXP(-(((Scenario_Data!V206)-Inputs!$C$29)^2)/(2*Inputs!$C$31^2))*EXP(-(((Inputs!$C$6)-Inputs!$C$30)^2)/(2*Inputs!$C$32^2))+-Inputs!$C$33*EXP(-(((((Scenario_Data!V206)-Inputs!$C$34)^2)+(((Inputs!$C$6)-Inputs!$C$35)^2))/(2*Inputs!$C$36^2)))+Inputs!$C$37*(0.55*SIN(2*PI()*(Scenario_Data!V206)/Inputs!$C$39)+0.35*COS(2*PI()*(Inputs!$C$6)/Inputs!$C$40)+0.2*SIN(2*PI()*((Scenario_Data!V206)+(Inputs!$C$6))/(0.5*(Inputs!$C$39+Inputs!$C$40))))+Inputs!$C$38*SIN(2*PI()*(Scenario_Data!V206)/Inputs!$C$39)*SIN(2*PI()*(Inputs!$C$6)/Inputs!$C$40)+-Inputs!$C$41*EXP(-(((Inputs!$C$6)-Inputs!$C$43)^2)/(2*Inputs!$C$44^2))*EXP(-(((Scenario_Data!V206)-Inputs!$C$42)^2)/(2*Inputs!$C$45^2))+Inputs!$C$48*(0.7*(0.45*SIN(2*PI()*(((Scenario_Data!V206)/Inputs!$C$49)+Inputs!$C$47*0.137))+0.35*COS(2*PI()*(((Inputs!$C$6)/Inputs!$C$50)+Inputs!$C$47*0.173))+0.2*SIN(2*PI()*((((Scenario_Data!V206)+(Inputs!$C$6))/(0.5*(Inputs!$C$49+Inputs!$C$50)))+Inputs!$C$47*0.097)))+0.3*(2*((SIN(((Scenario_Data!V206)*12.9898+(Inputs!$C$6)*78.233+Inputs!$C$47*37.719))*43758.5453)-INT((SIN(((Scenario_Data!V206)*12.9898+(Inputs!$C$6)*78.233+Inputs!$C$47*37.719))*43758.5453)))-1))))/1000))*COS(SQRT((Scenario_Data!V206)^2+Inputs!$C$6^2)/Inputs!$C$52))*1000)/Inputs!$C$21*1000000</f>
        <v/>
      </c>
      <c r="AV206">
        <f>Scenario_Data!W206</f>
        <v/>
      </c>
      <c r="AW206">
        <f>2*(SQRT((Inputs!$C$52+(Scenario_Data!E206))^2+(Inputs!$C$52+((IF(OR(Inputs!$C$27=TRUE,Inputs!$C$27="TRUE",Inputs!$C$27=1),1,0)*(Inputs!$C$51*(115*EXP(-(((Inputs!$C$6)-25)^2)/(4.5^2))+70*EXP(-(((Inputs!$C$6)+38)^2)/(7^2))*(0.55+0.45*SIN(2*PI()*(Scenario_Data!W206)/45))+24*SIN(2*PI()*(Inputs!$C$6)/9+(Scenario_Data!W206)/18)*EXP(-(((Inputs!$C$6)+5)^2)/(22^2))+18*SIN(2*PI()*(Scenario_Data!W206)/70))+Inputs!$C$28*EXP(-(((Scenario_Data!W206)-Inputs!$C$29)^2)/(2*Inputs!$C$31^2))*EXP(-(((Inputs!$C$6)-Inputs!$C$30)^2)/(2*Inputs!$C$32^2))+-Inputs!$C$33*EXP(-(((((Scenario_Data!W206)-Inputs!$C$34)^2)+(((Inputs!$C$6)-Inputs!$C$35)^2))/(2*Inputs!$C$36^2)))+Inputs!$C$37*(0.55*SIN(2*PI()*(Scenario_Data!W206)/Inputs!$C$39)+0.35*COS(2*PI()*(Inputs!$C$6)/Inputs!$C$40)+0.2*SIN(2*PI()*((Scenario_Data!W206)+(Inputs!$C$6))/(0.5*(Inputs!$C$39+Inputs!$C$40))))+Inputs!$C$38*SIN(2*PI()*(Scenario_Data!W206)/Inputs!$C$39)*SIN(2*PI()*(Inputs!$C$6)/Inputs!$C$40)+-Inputs!$C$41*EXP(-(((Inputs!$C$6)-Inputs!$C$43)^2)/(2*Inputs!$C$44^2))*EXP(-(((Scenario_Data!W206)-Inputs!$C$42)^2)/(2*Inputs!$C$45^2))+Inputs!$C$48*(0.7*(0.45*SIN(2*PI()*(((Scenario_Data!W206)/Inputs!$C$49)+Inputs!$C$47*0.137))+0.35*COS(2*PI()*(((Inputs!$C$6)/Inputs!$C$50)+Inputs!$C$47*0.173))+0.2*SIN(2*PI()*((((Scenario_Data!W206)+(Inputs!$C$6))/(0.5*(Inputs!$C$49+Inputs!$C$50)))+Inputs!$C$47*0.097)))+0.3*(2*((SIN(((Scenario_Data!W206)*12.9898+(Inputs!$C$6)*78.233+Inputs!$C$47*37.719))*43758.5453)-INT((SIN(((Scenario_Data!W206)*12.9898+(Inputs!$C$6)*78.233+Inputs!$C$47*37.719))*43758.5453)))-1))))/1000))^2-2*(Inputs!$C$52+(Scenario_Data!E206))*(Inputs!$C$52+((IF(OR(Inputs!$C$27=TRUE,Inputs!$C$27="TRUE",Inputs!$C$27=1),1,0)*(Inputs!$C$51*(115*EXP(-(((Inputs!$C$6)-25)^2)/(4.5^2))+70*EXP(-(((Inputs!$C$6)+38)^2)/(7^2))*(0.55+0.45*SIN(2*PI()*(Scenario_Data!W206)/45))+24*SIN(2*PI()*(Inputs!$C$6)/9+(Scenario_Data!W206)/18)*EXP(-(((Inputs!$C$6)+5)^2)/(22^2))+18*SIN(2*PI()*(Scenario_Data!W206)/70))+Inputs!$C$28*EXP(-(((Scenario_Data!W206)-Inputs!$C$29)^2)/(2*Inputs!$C$31^2))*EXP(-(((Inputs!$C$6)-Inputs!$C$30)^2)/(2*Inputs!$C$32^2))+-Inputs!$C$33*EXP(-(((((Scenario_Data!W206)-Inputs!$C$34)^2)+(((Inputs!$C$6)-Inputs!$C$35)^2))/(2*Inputs!$C$36^2)))+Inputs!$C$37*(0.55*SIN(2*PI()*(Scenario_Data!W206)/Inputs!$C$39)+0.35*COS(2*PI()*(Inputs!$C$6)/Inputs!$C$40)+0.2*SIN(2*PI()*((Scenario_Data!W206)+(Inputs!$C$6))/(0.5*(Inputs!$C$39+Inputs!$C$40))))+Inputs!$C$38*SIN(2*PI()*(Scenario_Data!W206)/Inputs!$C$39)*SIN(2*PI()*(Inputs!$C$6)/Inputs!$C$40)+-Inputs!$C$41*EXP(-(((Inputs!$C$6)-Inputs!$C$43)^2)/(2*Inputs!$C$44^2))*EXP(-(((Scenario_Data!W206)-Inputs!$C$42)^2)/(2*Inputs!$C$45^2))+Inputs!$C$48*(0.7*(0.45*SIN(2*PI()*(((Scenario_Data!W206)/Inputs!$C$49)+Inputs!$C$47*0.137))+0.35*COS(2*PI()*(((Inputs!$C$6)/Inputs!$C$50)+Inputs!$C$47*0.173))+0.2*SIN(2*PI()*((((Scenario_Data!W206)+(Inputs!$C$6))/(0.5*(Inputs!$C$49+Inputs!$C$50)))+Inputs!$C$47*0.097)))+0.3*(2*((SIN(((Scenario_Data!W206)*12.9898+(Inputs!$C$6)*78.233+Inputs!$C$47*37.719))*43758.5453)-INT((SIN(((Scenario_Data!W206)*12.9898+(Inputs!$C$6)*78.233+Inputs!$C$47*37.719))*43758.5453)))-1))))/1000))*COS(SQRT((Scenario_Data!W206)^2+Inputs!$C$6^2)/Inputs!$C$52))*1000)/Inputs!$C$21*1000000</f>
        <v/>
      </c>
    </row>
    <row r="207">
      <c r="A207">
        <f>Chart_Data!K207</f>
        <v/>
      </c>
      <c r="B207">
        <f>Chart_Data!N207-Chart_Data!L207</f>
        <v/>
      </c>
      <c r="D207">
        <f>Chart_Data!G207</f>
        <v/>
      </c>
      <c r="E207">
        <f>Chart_Data!H207</f>
        <v/>
      </c>
      <c r="F207">
        <f>Chart_Data!I207</f>
        <v/>
      </c>
      <c r="G207">
        <f>Chart_Data!J207</f>
        <v/>
      </c>
      <c r="I207">
        <f>Scenario_Data!A207</f>
        <v/>
      </c>
      <c r="J207">
        <f>Scenario_Data!H207-(((SQRT((Inputs!$C$52+(Inputs!$H$6))^2+Inputs!$C$52^2-2*(Inputs!$C$52+(Inputs!$H$6))*Inputs!$C$52*COS(SQRT((Scenario_Data!T207)^2+Inputs!$C$6^2)/Inputs!$C$52)))-(Inputs!$H$6))*1000/Inputs!$C$12)</f>
        <v/>
      </c>
      <c r="K207">
        <f>Scenario_Data!I207-(((SQRT((Inputs!$C$52+(Inputs!$H$7))^2+Inputs!$C$52^2-2*(Inputs!$C$52+(Inputs!$H$7))*Inputs!$C$52*COS(SQRT((Scenario_Data!U207)^2+Inputs!$C$6^2)/Inputs!$C$52)))-(Inputs!$H$7))*1000/Inputs!$C$12)</f>
        <v/>
      </c>
      <c r="L207">
        <f>Scenario_Data!J207-(((SQRT((Inputs!$C$52+(Inputs!$H$8))^2+Inputs!$C$52^2-2*(Inputs!$C$52+(Inputs!$H$8))*Inputs!$C$52*COS(SQRT((Scenario_Data!V207)^2+Inputs!$C$6^2)/Inputs!$C$52)))-(Inputs!$H$8))*1000/Inputs!$C$12)</f>
        <v/>
      </c>
      <c r="M207">
        <f>Scenario_Data!K207-(((SQRT((Inputs!$C$52+(Inputs!$H$9))^2+Inputs!$C$52^2-2*(Inputs!$C$52+(Inputs!$H$9))*Inputs!$C$52*COS(SQRT((Scenario_Data!W207)^2+Inputs!$C$6^2)/Inputs!$C$52)))-(Inputs!$H$9))*1000/Inputs!$C$12)</f>
        <v/>
      </c>
      <c r="O207">
        <f>Scenario_Data!T207</f>
        <v/>
      </c>
      <c r="P207">
        <f>2*(Scenario_Data!B207*1000)/Inputs!$C$21*1000000</f>
        <v/>
      </c>
      <c r="Q207">
        <f>Scenario_Data!U207</f>
        <v/>
      </c>
      <c r="R207">
        <f>2*(Scenario_Data!C207*1000)/Inputs!$C$21*1000000</f>
        <v/>
      </c>
      <c r="S207">
        <f>Scenario_Data!V207</f>
        <v/>
      </c>
      <c r="T207">
        <f>2*(Scenario_Data!D207*1000)/Inputs!$C$21*1000000</f>
        <v/>
      </c>
      <c r="U207">
        <f>Scenario_Data!W207</f>
        <v/>
      </c>
      <c r="V207">
        <f>2*(Scenario_Data!E207*1000)/Inputs!$C$21*1000000</f>
        <v/>
      </c>
      <c r="X207">
        <f>Scenario_Data!T207</f>
        <v/>
      </c>
      <c r="Y207">
        <f>2*((Scenario_Data!B207*1000)-(IF(OR(Inputs!$C$27=TRUE,Inputs!$C$27="TRUE",Inputs!$C$27=1),1,0)*(Inputs!$C$51*(115*EXP(-(((0)-25)^2)/(4.5^2))+70*EXP(-(((0)+38)^2)/(7^2))*(0.55+0.45*SIN(2*PI()*(Scenario_Data!T207)/45))+24*SIN(2*PI()*(0)/9+(Scenario_Data!T207)/18)*EXP(-(((0)+5)^2)/(22^2))+18*SIN(2*PI()*(Scenario_Data!T207)/70))+Inputs!$C$28*EXP(-(((Scenario_Data!T207)-Inputs!$C$29)^2)/(2*Inputs!$C$31^2))*EXP(-(((0)-Inputs!$C$30)^2)/(2*Inputs!$C$32^2))+-Inputs!$C$33*EXP(-(((((Scenario_Data!T207)-Inputs!$C$34)^2)+(((0)-Inputs!$C$35)^2))/(2*Inputs!$C$36^2)))+Inputs!$C$37*(0.55*SIN(2*PI()*(Scenario_Data!T207)/Inputs!$C$39)+0.35*COS(2*PI()*(0)/Inputs!$C$40)+0.2*SIN(2*PI()*((Scenario_Data!T207)+(0))/(0.5*(Inputs!$C$39+Inputs!$C$40))))+Inputs!$C$38*SIN(2*PI()*(Scenario_Data!T207)/Inputs!$C$39)*SIN(2*PI()*(0)/Inputs!$C$40)+-Inputs!$C$41*EXP(-(((0)-Inputs!$C$43)^2)/(2*Inputs!$C$44^2))*EXP(-(((Scenario_Data!T207)-Inputs!$C$42)^2)/(2*Inputs!$C$45^2))+Inputs!$C$48*(0.7*(0.45*SIN(2*PI()*(((Scenario_Data!T207)/Inputs!$C$49)+Inputs!$C$47*0.137))+0.35*COS(2*PI()*(((0)/Inputs!$C$50)+Inputs!$C$47*0.173))+0.2*SIN(2*PI()*((((Scenario_Data!T207)+(0))/(0.5*(Inputs!$C$49+Inputs!$C$50)))+Inputs!$C$47*0.097)))+0.3*(2*((SIN(((Scenario_Data!T207)*12.9898+(0)*78.233+Inputs!$C$47*37.719))*43758.5453)-INT((SIN(((Scenario_Data!T207)*12.9898+(0)*78.233+Inputs!$C$47*37.719))*43758.5453)))-1)))))/Inputs!$C$21*1000000</f>
        <v/>
      </c>
      <c r="Z207">
        <f>Scenario_Data!U207</f>
        <v/>
      </c>
      <c r="AA207">
        <f>2*((Scenario_Data!C207*1000)-(IF(OR(Inputs!$C$27=TRUE,Inputs!$C$27="TRUE",Inputs!$C$27=1),1,0)*(Inputs!$C$51*(115*EXP(-(((0)-25)^2)/(4.5^2))+70*EXP(-(((0)+38)^2)/(7^2))*(0.55+0.45*SIN(2*PI()*(Scenario_Data!U207)/45))+24*SIN(2*PI()*(0)/9+(Scenario_Data!U207)/18)*EXP(-(((0)+5)^2)/(22^2))+18*SIN(2*PI()*(Scenario_Data!U207)/70))+Inputs!$C$28*EXP(-(((Scenario_Data!U207)-Inputs!$C$29)^2)/(2*Inputs!$C$31^2))*EXP(-(((0)-Inputs!$C$30)^2)/(2*Inputs!$C$32^2))+-Inputs!$C$33*EXP(-(((((Scenario_Data!U207)-Inputs!$C$34)^2)+(((0)-Inputs!$C$35)^2))/(2*Inputs!$C$36^2)))+Inputs!$C$37*(0.55*SIN(2*PI()*(Scenario_Data!U207)/Inputs!$C$39)+0.35*COS(2*PI()*(0)/Inputs!$C$40)+0.2*SIN(2*PI()*((Scenario_Data!U207)+(0))/(0.5*(Inputs!$C$39+Inputs!$C$40))))+Inputs!$C$38*SIN(2*PI()*(Scenario_Data!U207)/Inputs!$C$39)*SIN(2*PI()*(0)/Inputs!$C$40)+-Inputs!$C$41*EXP(-(((0)-Inputs!$C$43)^2)/(2*Inputs!$C$44^2))*EXP(-(((Scenario_Data!U207)-Inputs!$C$42)^2)/(2*Inputs!$C$45^2))+Inputs!$C$48*(0.7*(0.45*SIN(2*PI()*(((Scenario_Data!U207)/Inputs!$C$49)+Inputs!$C$47*0.137))+0.35*COS(2*PI()*(((0)/Inputs!$C$50)+Inputs!$C$47*0.173))+0.2*SIN(2*PI()*((((Scenario_Data!U207)+(0))/(0.5*(Inputs!$C$49+Inputs!$C$50)))+Inputs!$C$47*0.097)))+0.3*(2*((SIN(((Scenario_Data!U207)*12.9898+(0)*78.233+Inputs!$C$47*37.719))*43758.5453)-INT((SIN(((Scenario_Data!U207)*12.9898+(0)*78.233+Inputs!$C$47*37.719))*43758.5453)))-1)))))/Inputs!$C$21*1000000</f>
        <v/>
      </c>
      <c r="AB207">
        <f>Scenario_Data!V207</f>
        <v/>
      </c>
      <c r="AC207">
        <f>2*((Scenario_Data!D207*1000)-(IF(OR(Inputs!$C$27=TRUE,Inputs!$C$27="TRUE",Inputs!$C$27=1),1,0)*(Inputs!$C$51*(115*EXP(-(((0)-25)^2)/(4.5^2))+70*EXP(-(((0)+38)^2)/(7^2))*(0.55+0.45*SIN(2*PI()*(Scenario_Data!V207)/45))+24*SIN(2*PI()*(0)/9+(Scenario_Data!V207)/18)*EXP(-(((0)+5)^2)/(22^2))+18*SIN(2*PI()*(Scenario_Data!V207)/70))+Inputs!$C$28*EXP(-(((Scenario_Data!V207)-Inputs!$C$29)^2)/(2*Inputs!$C$31^2))*EXP(-(((0)-Inputs!$C$30)^2)/(2*Inputs!$C$32^2))+-Inputs!$C$33*EXP(-(((((Scenario_Data!V207)-Inputs!$C$34)^2)+(((0)-Inputs!$C$35)^2))/(2*Inputs!$C$36^2)))+Inputs!$C$37*(0.55*SIN(2*PI()*(Scenario_Data!V207)/Inputs!$C$39)+0.35*COS(2*PI()*(0)/Inputs!$C$40)+0.2*SIN(2*PI()*((Scenario_Data!V207)+(0))/(0.5*(Inputs!$C$39+Inputs!$C$40))))+Inputs!$C$38*SIN(2*PI()*(Scenario_Data!V207)/Inputs!$C$39)*SIN(2*PI()*(0)/Inputs!$C$40)+-Inputs!$C$41*EXP(-(((0)-Inputs!$C$43)^2)/(2*Inputs!$C$44^2))*EXP(-(((Scenario_Data!V207)-Inputs!$C$42)^2)/(2*Inputs!$C$45^2))+Inputs!$C$48*(0.7*(0.45*SIN(2*PI()*(((Scenario_Data!V207)/Inputs!$C$49)+Inputs!$C$47*0.137))+0.35*COS(2*PI()*(((0)/Inputs!$C$50)+Inputs!$C$47*0.173))+0.2*SIN(2*PI()*((((Scenario_Data!V207)+(0))/(0.5*(Inputs!$C$49+Inputs!$C$50)))+Inputs!$C$47*0.097)))+0.3*(2*((SIN(((Scenario_Data!V207)*12.9898+(0)*78.233+Inputs!$C$47*37.719))*43758.5453)-INT((SIN(((Scenario_Data!V207)*12.9898+(0)*78.233+Inputs!$C$47*37.719))*43758.5453)))-1)))))/Inputs!$C$21*1000000</f>
        <v/>
      </c>
      <c r="AD207">
        <f>Scenario_Data!W207</f>
        <v/>
      </c>
      <c r="AE207">
        <f>2*((Scenario_Data!E207*1000)-(IF(OR(Inputs!$C$27=TRUE,Inputs!$C$27="TRUE",Inputs!$C$27=1),1,0)*(Inputs!$C$51*(115*EXP(-(((0)-25)^2)/(4.5^2))+70*EXP(-(((0)+38)^2)/(7^2))*(0.55+0.45*SIN(2*PI()*(Scenario_Data!W207)/45))+24*SIN(2*PI()*(0)/9+(Scenario_Data!W207)/18)*EXP(-(((0)+5)^2)/(22^2))+18*SIN(2*PI()*(Scenario_Data!W207)/70))+Inputs!$C$28*EXP(-(((Scenario_Data!W207)-Inputs!$C$29)^2)/(2*Inputs!$C$31^2))*EXP(-(((0)-Inputs!$C$30)^2)/(2*Inputs!$C$32^2))+-Inputs!$C$33*EXP(-(((((Scenario_Data!W207)-Inputs!$C$34)^2)+(((0)-Inputs!$C$35)^2))/(2*Inputs!$C$36^2)))+Inputs!$C$37*(0.55*SIN(2*PI()*(Scenario_Data!W207)/Inputs!$C$39)+0.35*COS(2*PI()*(0)/Inputs!$C$40)+0.2*SIN(2*PI()*((Scenario_Data!W207)+(0))/(0.5*(Inputs!$C$39+Inputs!$C$40))))+Inputs!$C$38*SIN(2*PI()*(Scenario_Data!W207)/Inputs!$C$39)*SIN(2*PI()*(0)/Inputs!$C$40)+-Inputs!$C$41*EXP(-(((0)-Inputs!$C$43)^2)/(2*Inputs!$C$44^2))*EXP(-(((Scenario_Data!W207)-Inputs!$C$42)^2)/(2*Inputs!$C$45^2))+Inputs!$C$48*(0.7*(0.45*SIN(2*PI()*(((Scenario_Data!W207)/Inputs!$C$49)+Inputs!$C$47*0.137))+0.35*COS(2*PI()*(((0)/Inputs!$C$50)+Inputs!$C$47*0.173))+0.2*SIN(2*PI()*((((Scenario_Data!W207)+(0))/(0.5*(Inputs!$C$49+Inputs!$C$50)))+Inputs!$C$47*0.097)))+0.3*(2*((SIN(((Scenario_Data!W207)*12.9898+(0)*78.233+Inputs!$C$47*37.719))*43758.5453)-INT((SIN(((Scenario_Data!W207)*12.9898+(0)*78.233+Inputs!$C$47*37.719))*43758.5453)))-1)))))/Inputs!$C$21*1000000</f>
        <v/>
      </c>
      <c r="AG207">
        <f>Scenario_Data!T207</f>
        <v/>
      </c>
      <c r="AH207">
        <f>2*(SQRT((Inputs!$C$52+(Scenario_Data!B207))^2+Inputs!$C$52^2-2*(Inputs!$C$52+(Scenario_Data!B207))*Inputs!$C$52*COS(SQRT((Scenario_Data!T207)^2+Inputs!$C$6^2)/Inputs!$C$52))*1000)/Inputs!$C$21*1000000</f>
        <v/>
      </c>
      <c r="AI207">
        <f>Scenario_Data!U207</f>
        <v/>
      </c>
      <c r="AJ207">
        <f>2*(SQRT((Inputs!$C$52+(Scenario_Data!C207))^2+Inputs!$C$52^2-2*(Inputs!$C$52+(Scenario_Data!C207))*Inputs!$C$52*COS(SQRT((Scenario_Data!U207)^2+Inputs!$C$6^2)/Inputs!$C$52))*1000)/Inputs!$C$21*1000000</f>
        <v/>
      </c>
      <c r="AK207">
        <f>Scenario_Data!V207</f>
        <v/>
      </c>
      <c r="AL207">
        <f>2*(SQRT((Inputs!$C$52+(Scenario_Data!D207))^2+Inputs!$C$52^2-2*(Inputs!$C$52+(Scenario_Data!D207))*Inputs!$C$52*COS(SQRT((Scenario_Data!V207)^2+Inputs!$C$6^2)/Inputs!$C$52))*1000)/Inputs!$C$21*1000000</f>
        <v/>
      </c>
      <c r="AM207">
        <f>Scenario_Data!W207</f>
        <v/>
      </c>
      <c r="AN207">
        <f>2*(SQRT((Inputs!$C$52+(Scenario_Data!E207))^2+Inputs!$C$52^2-2*(Inputs!$C$52+(Scenario_Data!E207))*Inputs!$C$52*COS(SQRT((Scenario_Data!W207)^2+Inputs!$C$6^2)/Inputs!$C$52))*1000)/Inputs!$C$21*1000000</f>
        <v/>
      </c>
      <c r="AP207">
        <f>Scenario_Data!T207</f>
        <v/>
      </c>
      <c r="AQ207">
        <f>2*(SQRT((Inputs!$C$52+(Scenario_Data!B207))^2+(Inputs!$C$52+((IF(OR(Inputs!$C$27=TRUE,Inputs!$C$27="TRUE",Inputs!$C$27=1),1,0)*(Inputs!$C$51*(115*EXP(-(((Inputs!$C$6)-25)^2)/(4.5^2))+70*EXP(-(((Inputs!$C$6)+38)^2)/(7^2))*(0.55+0.45*SIN(2*PI()*(Scenario_Data!T207)/45))+24*SIN(2*PI()*(Inputs!$C$6)/9+(Scenario_Data!T207)/18)*EXP(-(((Inputs!$C$6)+5)^2)/(22^2))+18*SIN(2*PI()*(Scenario_Data!T207)/70))+Inputs!$C$28*EXP(-(((Scenario_Data!T207)-Inputs!$C$29)^2)/(2*Inputs!$C$31^2))*EXP(-(((Inputs!$C$6)-Inputs!$C$30)^2)/(2*Inputs!$C$32^2))+-Inputs!$C$33*EXP(-(((((Scenario_Data!T207)-Inputs!$C$34)^2)+(((Inputs!$C$6)-Inputs!$C$35)^2))/(2*Inputs!$C$36^2)))+Inputs!$C$37*(0.55*SIN(2*PI()*(Scenario_Data!T207)/Inputs!$C$39)+0.35*COS(2*PI()*(Inputs!$C$6)/Inputs!$C$40)+0.2*SIN(2*PI()*((Scenario_Data!T207)+(Inputs!$C$6))/(0.5*(Inputs!$C$39+Inputs!$C$40))))+Inputs!$C$38*SIN(2*PI()*(Scenario_Data!T207)/Inputs!$C$39)*SIN(2*PI()*(Inputs!$C$6)/Inputs!$C$40)+-Inputs!$C$41*EXP(-(((Inputs!$C$6)-Inputs!$C$43)^2)/(2*Inputs!$C$44^2))*EXP(-(((Scenario_Data!T207)-Inputs!$C$42)^2)/(2*Inputs!$C$45^2))+Inputs!$C$48*(0.7*(0.45*SIN(2*PI()*(((Scenario_Data!T207)/Inputs!$C$49)+Inputs!$C$47*0.137))+0.35*COS(2*PI()*(((Inputs!$C$6)/Inputs!$C$50)+Inputs!$C$47*0.173))+0.2*SIN(2*PI()*((((Scenario_Data!T207)+(Inputs!$C$6))/(0.5*(Inputs!$C$49+Inputs!$C$50)))+Inputs!$C$47*0.097)))+0.3*(2*((SIN(((Scenario_Data!T207)*12.9898+(Inputs!$C$6)*78.233+Inputs!$C$47*37.719))*43758.5453)-INT((SIN(((Scenario_Data!T207)*12.9898+(Inputs!$C$6)*78.233+Inputs!$C$47*37.719))*43758.5453)))-1))))/1000))^2-2*(Inputs!$C$52+(Scenario_Data!B207))*(Inputs!$C$52+((IF(OR(Inputs!$C$27=TRUE,Inputs!$C$27="TRUE",Inputs!$C$27=1),1,0)*(Inputs!$C$51*(115*EXP(-(((Inputs!$C$6)-25)^2)/(4.5^2))+70*EXP(-(((Inputs!$C$6)+38)^2)/(7^2))*(0.55+0.45*SIN(2*PI()*(Scenario_Data!T207)/45))+24*SIN(2*PI()*(Inputs!$C$6)/9+(Scenario_Data!T207)/18)*EXP(-(((Inputs!$C$6)+5)^2)/(22^2))+18*SIN(2*PI()*(Scenario_Data!T207)/70))+Inputs!$C$28*EXP(-(((Scenario_Data!T207)-Inputs!$C$29)^2)/(2*Inputs!$C$31^2))*EXP(-(((Inputs!$C$6)-Inputs!$C$30)^2)/(2*Inputs!$C$32^2))+-Inputs!$C$33*EXP(-(((((Scenario_Data!T207)-Inputs!$C$34)^2)+(((Inputs!$C$6)-Inputs!$C$35)^2))/(2*Inputs!$C$36^2)))+Inputs!$C$37*(0.55*SIN(2*PI()*(Scenario_Data!T207)/Inputs!$C$39)+0.35*COS(2*PI()*(Inputs!$C$6)/Inputs!$C$40)+0.2*SIN(2*PI()*((Scenario_Data!T207)+(Inputs!$C$6))/(0.5*(Inputs!$C$39+Inputs!$C$40))))+Inputs!$C$38*SIN(2*PI()*(Scenario_Data!T207)/Inputs!$C$39)*SIN(2*PI()*(Inputs!$C$6)/Inputs!$C$40)+-Inputs!$C$41*EXP(-(((Inputs!$C$6)-Inputs!$C$43)^2)/(2*Inputs!$C$44^2))*EXP(-(((Scenario_Data!T207)-Inputs!$C$42)^2)/(2*Inputs!$C$45^2))+Inputs!$C$48*(0.7*(0.45*SIN(2*PI()*(((Scenario_Data!T207)/Inputs!$C$49)+Inputs!$C$47*0.137))+0.35*COS(2*PI()*(((Inputs!$C$6)/Inputs!$C$50)+Inputs!$C$47*0.173))+0.2*SIN(2*PI()*((((Scenario_Data!T207)+(Inputs!$C$6))/(0.5*(Inputs!$C$49+Inputs!$C$50)))+Inputs!$C$47*0.097)))+0.3*(2*((SIN(((Scenario_Data!T207)*12.9898+(Inputs!$C$6)*78.233+Inputs!$C$47*37.719))*43758.5453)-INT((SIN(((Scenario_Data!T207)*12.9898+(Inputs!$C$6)*78.233+Inputs!$C$47*37.719))*43758.5453)))-1))))/1000))*COS(SQRT((Scenario_Data!T207)^2+Inputs!$C$6^2)/Inputs!$C$52))*1000)/Inputs!$C$21*1000000</f>
        <v/>
      </c>
      <c r="AR207">
        <f>Scenario_Data!U207</f>
        <v/>
      </c>
      <c r="AS207">
        <f>2*(SQRT((Inputs!$C$52+(Scenario_Data!C207))^2+(Inputs!$C$52+((IF(OR(Inputs!$C$27=TRUE,Inputs!$C$27="TRUE",Inputs!$C$27=1),1,0)*(Inputs!$C$51*(115*EXP(-(((Inputs!$C$6)-25)^2)/(4.5^2))+70*EXP(-(((Inputs!$C$6)+38)^2)/(7^2))*(0.55+0.45*SIN(2*PI()*(Scenario_Data!U207)/45))+24*SIN(2*PI()*(Inputs!$C$6)/9+(Scenario_Data!U207)/18)*EXP(-(((Inputs!$C$6)+5)^2)/(22^2))+18*SIN(2*PI()*(Scenario_Data!U207)/70))+Inputs!$C$28*EXP(-(((Scenario_Data!U207)-Inputs!$C$29)^2)/(2*Inputs!$C$31^2))*EXP(-(((Inputs!$C$6)-Inputs!$C$30)^2)/(2*Inputs!$C$32^2))+-Inputs!$C$33*EXP(-(((((Scenario_Data!U207)-Inputs!$C$34)^2)+(((Inputs!$C$6)-Inputs!$C$35)^2))/(2*Inputs!$C$36^2)))+Inputs!$C$37*(0.55*SIN(2*PI()*(Scenario_Data!U207)/Inputs!$C$39)+0.35*COS(2*PI()*(Inputs!$C$6)/Inputs!$C$40)+0.2*SIN(2*PI()*((Scenario_Data!U207)+(Inputs!$C$6))/(0.5*(Inputs!$C$39+Inputs!$C$40))))+Inputs!$C$38*SIN(2*PI()*(Scenario_Data!U207)/Inputs!$C$39)*SIN(2*PI()*(Inputs!$C$6)/Inputs!$C$40)+-Inputs!$C$41*EXP(-(((Inputs!$C$6)-Inputs!$C$43)^2)/(2*Inputs!$C$44^2))*EXP(-(((Scenario_Data!U207)-Inputs!$C$42)^2)/(2*Inputs!$C$45^2))+Inputs!$C$48*(0.7*(0.45*SIN(2*PI()*(((Scenario_Data!U207)/Inputs!$C$49)+Inputs!$C$47*0.137))+0.35*COS(2*PI()*(((Inputs!$C$6)/Inputs!$C$50)+Inputs!$C$47*0.173))+0.2*SIN(2*PI()*((((Scenario_Data!U207)+(Inputs!$C$6))/(0.5*(Inputs!$C$49+Inputs!$C$50)))+Inputs!$C$47*0.097)))+0.3*(2*((SIN(((Scenario_Data!U207)*12.9898+(Inputs!$C$6)*78.233+Inputs!$C$47*37.719))*43758.5453)-INT((SIN(((Scenario_Data!U207)*12.9898+(Inputs!$C$6)*78.233+Inputs!$C$47*37.719))*43758.5453)))-1))))/1000))^2-2*(Inputs!$C$52+(Scenario_Data!C207))*(Inputs!$C$52+((IF(OR(Inputs!$C$27=TRUE,Inputs!$C$27="TRUE",Inputs!$C$27=1),1,0)*(Inputs!$C$51*(115*EXP(-(((Inputs!$C$6)-25)^2)/(4.5^2))+70*EXP(-(((Inputs!$C$6)+38)^2)/(7^2))*(0.55+0.45*SIN(2*PI()*(Scenario_Data!U207)/45))+24*SIN(2*PI()*(Inputs!$C$6)/9+(Scenario_Data!U207)/18)*EXP(-(((Inputs!$C$6)+5)^2)/(22^2))+18*SIN(2*PI()*(Scenario_Data!U207)/70))+Inputs!$C$28*EXP(-(((Scenario_Data!U207)-Inputs!$C$29)^2)/(2*Inputs!$C$31^2))*EXP(-(((Inputs!$C$6)-Inputs!$C$30)^2)/(2*Inputs!$C$32^2))+-Inputs!$C$33*EXP(-(((((Scenario_Data!U207)-Inputs!$C$34)^2)+(((Inputs!$C$6)-Inputs!$C$35)^2))/(2*Inputs!$C$36^2)))+Inputs!$C$37*(0.55*SIN(2*PI()*(Scenario_Data!U207)/Inputs!$C$39)+0.35*COS(2*PI()*(Inputs!$C$6)/Inputs!$C$40)+0.2*SIN(2*PI()*((Scenario_Data!U207)+(Inputs!$C$6))/(0.5*(Inputs!$C$39+Inputs!$C$40))))+Inputs!$C$38*SIN(2*PI()*(Scenario_Data!U207)/Inputs!$C$39)*SIN(2*PI()*(Inputs!$C$6)/Inputs!$C$40)+-Inputs!$C$41*EXP(-(((Inputs!$C$6)-Inputs!$C$43)^2)/(2*Inputs!$C$44^2))*EXP(-(((Scenario_Data!U207)-Inputs!$C$42)^2)/(2*Inputs!$C$45^2))+Inputs!$C$48*(0.7*(0.45*SIN(2*PI()*(((Scenario_Data!U207)/Inputs!$C$49)+Inputs!$C$47*0.137))+0.35*COS(2*PI()*(((Inputs!$C$6)/Inputs!$C$50)+Inputs!$C$47*0.173))+0.2*SIN(2*PI()*((((Scenario_Data!U207)+(Inputs!$C$6))/(0.5*(Inputs!$C$49+Inputs!$C$50)))+Inputs!$C$47*0.097)))+0.3*(2*((SIN(((Scenario_Data!U207)*12.9898+(Inputs!$C$6)*78.233+Inputs!$C$47*37.719))*43758.5453)-INT((SIN(((Scenario_Data!U207)*12.9898+(Inputs!$C$6)*78.233+Inputs!$C$47*37.719))*43758.5453)))-1))))/1000))*COS(SQRT((Scenario_Data!U207)^2+Inputs!$C$6^2)/Inputs!$C$52))*1000)/Inputs!$C$21*1000000</f>
        <v/>
      </c>
      <c r="AT207">
        <f>Scenario_Data!V207</f>
        <v/>
      </c>
      <c r="AU207">
        <f>2*(SQRT((Inputs!$C$52+(Scenario_Data!D207))^2+(Inputs!$C$52+((IF(OR(Inputs!$C$27=TRUE,Inputs!$C$27="TRUE",Inputs!$C$27=1),1,0)*(Inputs!$C$51*(115*EXP(-(((Inputs!$C$6)-25)^2)/(4.5^2))+70*EXP(-(((Inputs!$C$6)+38)^2)/(7^2))*(0.55+0.45*SIN(2*PI()*(Scenario_Data!V207)/45))+24*SIN(2*PI()*(Inputs!$C$6)/9+(Scenario_Data!V207)/18)*EXP(-(((Inputs!$C$6)+5)^2)/(22^2))+18*SIN(2*PI()*(Scenario_Data!V207)/70))+Inputs!$C$28*EXP(-(((Scenario_Data!V207)-Inputs!$C$29)^2)/(2*Inputs!$C$31^2))*EXP(-(((Inputs!$C$6)-Inputs!$C$30)^2)/(2*Inputs!$C$32^2))+-Inputs!$C$33*EXP(-(((((Scenario_Data!V207)-Inputs!$C$34)^2)+(((Inputs!$C$6)-Inputs!$C$35)^2))/(2*Inputs!$C$36^2)))+Inputs!$C$37*(0.55*SIN(2*PI()*(Scenario_Data!V207)/Inputs!$C$39)+0.35*COS(2*PI()*(Inputs!$C$6)/Inputs!$C$40)+0.2*SIN(2*PI()*((Scenario_Data!V207)+(Inputs!$C$6))/(0.5*(Inputs!$C$39+Inputs!$C$40))))+Inputs!$C$38*SIN(2*PI()*(Scenario_Data!V207)/Inputs!$C$39)*SIN(2*PI()*(Inputs!$C$6)/Inputs!$C$40)+-Inputs!$C$41*EXP(-(((Inputs!$C$6)-Inputs!$C$43)^2)/(2*Inputs!$C$44^2))*EXP(-(((Scenario_Data!V207)-Inputs!$C$42)^2)/(2*Inputs!$C$45^2))+Inputs!$C$48*(0.7*(0.45*SIN(2*PI()*(((Scenario_Data!V207)/Inputs!$C$49)+Inputs!$C$47*0.137))+0.35*COS(2*PI()*(((Inputs!$C$6)/Inputs!$C$50)+Inputs!$C$47*0.173))+0.2*SIN(2*PI()*((((Scenario_Data!V207)+(Inputs!$C$6))/(0.5*(Inputs!$C$49+Inputs!$C$50)))+Inputs!$C$47*0.097)))+0.3*(2*((SIN(((Scenario_Data!V207)*12.9898+(Inputs!$C$6)*78.233+Inputs!$C$47*37.719))*43758.5453)-INT((SIN(((Scenario_Data!V207)*12.9898+(Inputs!$C$6)*78.233+Inputs!$C$47*37.719))*43758.5453)))-1))))/1000))^2-2*(Inputs!$C$52+(Scenario_Data!D207))*(Inputs!$C$52+((IF(OR(Inputs!$C$27=TRUE,Inputs!$C$27="TRUE",Inputs!$C$27=1),1,0)*(Inputs!$C$51*(115*EXP(-(((Inputs!$C$6)-25)^2)/(4.5^2))+70*EXP(-(((Inputs!$C$6)+38)^2)/(7^2))*(0.55+0.45*SIN(2*PI()*(Scenario_Data!V207)/45))+24*SIN(2*PI()*(Inputs!$C$6)/9+(Scenario_Data!V207)/18)*EXP(-(((Inputs!$C$6)+5)^2)/(22^2))+18*SIN(2*PI()*(Scenario_Data!V207)/70))+Inputs!$C$28*EXP(-(((Scenario_Data!V207)-Inputs!$C$29)^2)/(2*Inputs!$C$31^2))*EXP(-(((Inputs!$C$6)-Inputs!$C$30)^2)/(2*Inputs!$C$32^2))+-Inputs!$C$33*EXP(-(((((Scenario_Data!V207)-Inputs!$C$34)^2)+(((Inputs!$C$6)-Inputs!$C$35)^2))/(2*Inputs!$C$36^2)))+Inputs!$C$37*(0.55*SIN(2*PI()*(Scenario_Data!V207)/Inputs!$C$39)+0.35*COS(2*PI()*(Inputs!$C$6)/Inputs!$C$40)+0.2*SIN(2*PI()*((Scenario_Data!V207)+(Inputs!$C$6))/(0.5*(Inputs!$C$39+Inputs!$C$40))))+Inputs!$C$38*SIN(2*PI()*(Scenario_Data!V207)/Inputs!$C$39)*SIN(2*PI()*(Inputs!$C$6)/Inputs!$C$40)+-Inputs!$C$41*EXP(-(((Inputs!$C$6)-Inputs!$C$43)^2)/(2*Inputs!$C$44^2))*EXP(-(((Scenario_Data!V207)-Inputs!$C$42)^2)/(2*Inputs!$C$45^2))+Inputs!$C$48*(0.7*(0.45*SIN(2*PI()*(((Scenario_Data!V207)/Inputs!$C$49)+Inputs!$C$47*0.137))+0.35*COS(2*PI()*(((Inputs!$C$6)/Inputs!$C$50)+Inputs!$C$47*0.173))+0.2*SIN(2*PI()*((((Scenario_Data!V207)+(Inputs!$C$6))/(0.5*(Inputs!$C$49+Inputs!$C$50)))+Inputs!$C$47*0.097)))+0.3*(2*((SIN(((Scenario_Data!V207)*12.9898+(Inputs!$C$6)*78.233+Inputs!$C$47*37.719))*43758.5453)-INT((SIN(((Scenario_Data!V207)*12.9898+(Inputs!$C$6)*78.233+Inputs!$C$47*37.719))*43758.5453)))-1))))/1000))*COS(SQRT((Scenario_Data!V207)^2+Inputs!$C$6^2)/Inputs!$C$52))*1000)/Inputs!$C$21*1000000</f>
        <v/>
      </c>
      <c r="AV207">
        <f>Scenario_Data!W207</f>
        <v/>
      </c>
      <c r="AW207">
        <f>2*(SQRT((Inputs!$C$52+(Scenario_Data!E207))^2+(Inputs!$C$52+((IF(OR(Inputs!$C$27=TRUE,Inputs!$C$27="TRUE",Inputs!$C$27=1),1,0)*(Inputs!$C$51*(115*EXP(-(((Inputs!$C$6)-25)^2)/(4.5^2))+70*EXP(-(((Inputs!$C$6)+38)^2)/(7^2))*(0.55+0.45*SIN(2*PI()*(Scenario_Data!W207)/45))+24*SIN(2*PI()*(Inputs!$C$6)/9+(Scenario_Data!W207)/18)*EXP(-(((Inputs!$C$6)+5)^2)/(22^2))+18*SIN(2*PI()*(Scenario_Data!W207)/70))+Inputs!$C$28*EXP(-(((Scenario_Data!W207)-Inputs!$C$29)^2)/(2*Inputs!$C$31^2))*EXP(-(((Inputs!$C$6)-Inputs!$C$30)^2)/(2*Inputs!$C$32^2))+-Inputs!$C$33*EXP(-(((((Scenario_Data!W207)-Inputs!$C$34)^2)+(((Inputs!$C$6)-Inputs!$C$35)^2))/(2*Inputs!$C$36^2)))+Inputs!$C$37*(0.55*SIN(2*PI()*(Scenario_Data!W207)/Inputs!$C$39)+0.35*COS(2*PI()*(Inputs!$C$6)/Inputs!$C$40)+0.2*SIN(2*PI()*((Scenario_Data!W207)+(Inputs!$C$6))/(0.5*(Inputs!$C$39+Inputs!$C$40))))+Inputs!$C$38*SIN(2*PI()*(Scenario_Data!W207)/Inputs!$C$39)*SIN(2*PI()*(Inputs!$C$6)/Inputs!$C$40)+-Inputs!$C$41*EXP(-(((Inputs!$C$6)-Inputs!$C$43)^2)/(2*Inputs!$C$44^2))*EXP(-(((Scenario_Data!W207)-Inputs!$C$42)^2)/(2*Inputs!$C$45^2))+Inputs!$C$48*(0.7*(0.45*SIN(2*PI()*(((Scenario_Data!W207)/Inputs!$C$49)+Inputs!$C$47*0.137))+0.35*COS(2*PI()*(((Inputs!$C$6)/Inputs!$C$50)+Inputs!$C$47*0.173))+0.2*SIN(2*PI()*((((Scenario_Data!W207)+(Inputs!$C$6))/(0.5*(Inputs!$C$49+Inputs!$C$50)))+Inputs!$C$47*0.097)))+0.3*(2*((SIN(((Scenario_Data!W207)*12.9898+(Inputs!$C$6)*78.233+Inputs!$C$47*37.719))*43758.5453)-INT((SIN(((Scenario_Data!W207)*12.9898+(Inputs!$C$6)*78.233+Inputs!$C$47*37.719))*43758.5453)))-1))))/1000))^2-2*(Inputs!$C$52+(Scenario_Data!E207))*(Inputs!$C$52+((IF(OR(Inputs!$C$27=TRUE,Inputs!$C$27="TRUE",Inputs!$C$27=1),1,0)*(Inputs!$C$51*(115*EXP(-(((Inputs!$C$6)-25)^2)/(4.5^2))+70*EXP(-(((Inputs!$C$6)+38)^2)/(7^2))*(0.55+0.45*SIN(2*PI()*(Scenario_Data!W207)/45))+24*SIN(2*PI()*(Inputs!$C$6)/9+(Scenario_Data!W207)/18)*EXP(-(((Inputs!$C$6)+5)^2)/(22^2))+18*SIN(2*PI()*(Scenario_Data!W207)/70))+Inputs!$C$28*EXP(-(((Scenario_Data!W207)-Inputs!$C$29)^2)/(2*Inputs!$C$31^2))*EXP(-(((Inputs!$C$6)-Inputs!$C$30)^2)/(2*Inputs!$C$32^2))+-Inputs!$C$33*EXP(-(((((Scenario_Data!W207)-Inputs!$C$34)^2)+(((Inputs!$C$6)-Inputs!$C$35)^2))/(2*Inputs!$C$36^2)))+Inputs!$C$37*(0.55*SIN(2*PI()*(Scenario_Data!W207)/Inputs!$C$39)+0.35*COS(2*PI()*(Inputs!$C$6)/Inputs!$C$40)+0.2*SIN(2*PI()*((Scenario_Data!W207)+(Inputs!$C$6))/(0.5*(Inputs!$C$39+Inputs!$C$40))))+Inputs!$C$38*SIN(2*PI()*(Scenario_Data!W207)/Inputs!$C$39)*SIN(2*PI()*(Inputs!$C$6)/Inputs!$C$40)+-Inputs!$C$41*EXP(-(((Inputs!$C$6)-Inputs!$C$43)^2)/(2*Inputs!$C$44^2))*EXP(-(((Scenario_Data!W207)-Inputs!$C$42)^2)/(2*Inputs!$C$45^2))+Inputs!$C$48*(0.7*(0.45*SIN(2*PI()*(((Scenario_Data!W207)/Inputs!$C$49)+Inputs!$C$47*0.137))+0.35*COS(2*PI()*(((Inputs!$C$6)/Inputs!$C$50)+Inputs!$C$47*0.173))+0.2*SIN(2*PI()*((((Scenario_Data!W207)+(Inputs!$C$6))/(0.5*(Inputs!$C$49+Inputs!$C$50)))+Inputs!$C$47*0.097)))+0.3*(2*((SIN(((Scenario_Data!W207)*12.9898+(Inputs!$C$6)*78.233+Inputs!$C$47*37.719))*43758.5453)-INT((SIN(((Scenario_Data!W207)*12.9898+(Inputs!$C$6)*78.233+Inputs!$C$47*37.719))*43758.5453)))-1))))/1000))*COS(SQRT((Scenario_Data!W207)^2+Inputs!$C$6^2)/Inputs!$C$52))*1000)/Inputs!$C$21*1000000</f>
        <v/>
      </c>
    </row>
    <row r="208">
      <c r="A208">
        <f>Chart_Data!K208</f>
        <v/>
      </c>
      <c r="B208">
        <f>Chart_Data!N208-Chart_Data!L208</f>
        <v/>
      </c>
      <c r="D208">
        <f>Chart_Data!G208</f>
        <v/>
      </c>
      <c r="E208">
        <f>Chart_Data!H208</f>
        <v/>
      </c>
      <c r="F208">
        <f>Chart_Data!I208</f>
        <v/>
      </c>
      <c r="G208">
        <f>Chart_Data!J208</f>
        <v/>
      </c>
      <c r="I208">
        <f>Scenario_Data!A208</f>
        <v/>
      </c>
      <c r="J208">
        <f>Scenario_Data!H208-(((SQRT((Inputs!$C$52+(Inputs!$H$6))^2+Inputs!$C$52^2-2*(Inputs!$C$52+(Inputs!$H$6))*Inputs!$C$52*COS(SQRT((Scenario_Data!T208)^2+Inputs!$C$6^2)/Inputs!$C$52)))-(Inputs!$H$6))*1000/Inputs!$C$12)</f>
        <v/>
      </c>
      <c r="K208">
        <f>Scenario_Data!I208-(((SQRT((Inputs!$C$52+(Inputs!$H$7))^2+Inputs!$C$52^2-2*(Inputs!$C$52+(Inputs!$H$7))*Inputs!$C$52*COS(SQRT((Scenario_Data!U208)^2+Inputs!$C$6^2)/Inputs!$C$52)))-(Inputs!$H$7))*1000/Inputs!$C$12)</f>
        <v/>
      </c>
      <c r="L208">
        <f>Scenario_Data!J208-(((SQRT((Inputs!$C$52+(Inputs!$H$8))^2+Inputs!$C$52^2-2*(Inputs!$C$52+(Inputs!$H$8))*Inputs!$C$52*COS(SQRT((Scenario_Data!V208)^2+Inputs!$C$6^2)/Inputs!$C$52)))-(Inputs!$H$8))*1000/Inputs!$C$12)</f>
        <v/>
      </c>
      <c r="M208">
        <f>Scenario_Data!K208-(((SQRT((Inputs!$C$52+(Inputs!$H$9))^2+Inputs!$C$52^2-2*(Inputs!$C$52+(Inputs!$H$9))*Inputs!$C$52*COS(SQRT((Scenario_Data!W208)^2+Inputs!$C$6^2)/Inputs!$C$52)))-(Inputs!$H$9))*1000/Inputs!$C$12)</f>
        <v/>
      </c>
      <c r="O208">
        <f>Scenario_Data!T208</f>
        <v/>
      </c>
      <c r="P208">
        <f>2*(Scenario_Data!B208*1000)/Inputs!$C$21*1000000</f>
        <v/>
      </c>
      <c r="Q208">
        <f>Scenario_Data!U208</f>
        <v/>
      </c>
      <c r="R208">
        <f>2*(Scenario_Data!C208*1000)/Inputs!$C$21*1000000</f>
        <v/>
      </c>
      <c r="S208">
        <f>Scenario_Data!V208</f>
        <v/>
      </c>
      <c r="T208">
        <f>2*(Scenario_Data!D208*1000)/Inputs!$C$21*1000000</f>
        <v/>
      </c>
      <c r="U208">
        <f>Scenario_Data!W208</f>
        <v/>
      </c>
      <c r="V208">
        <f>2*(Scenario_Data!E208*1000)/Inputs!$C$21*1000000</f>
        <v/>
      </c>
      <c r="X208">
        <f>Scenario_Data!T208</f>
        <v/>
      </c>
      <c r="Y208">
        <f>2*((Scenario_Data!B208*1000)-(IF(OR(Inputs!$C$27=TRUE,Inputs!$C$27="TRUE",Inputs!$C$27=1),1,0)*(Inputs!$C$51*(115*EXP(-(((0)-25)^2)/(4.5^2))+70*EXP(-(((0)+38)^2)/(7^2))*(0.55+0.45*SIN(2*PI()*(Scenario_Data!T208)/45))+24*SIN(2*PI()*(0)/9+(Scenario_Data!T208)/18)*EXP(-(((0)+5)^2)/(22^2))+18*SIN(2*PI()*(Scenario_Data!T208)/70))+Inputs!$C$28*EXP(-(((Scenario_Data!T208)-Inputs!$C$29)^2)/(2*Inputs!$C$31^2))*EXP(-(((0)-Inputs!$C$30)^2)/(2*Inputs!$C$32^2))+-Inputs!$C$33*EXP(-(((((Scenario_Data!T208)-Inputs!$C$34)^2)+(((0)-Inputs!$C$35)^2))/(2*Inputs!$C$36^2)))+Inputs!$C$37*(0.55*SIN(2*PI()*(Scenario_Data!T208)/Inputs!$C$39)+0.35*COS(2*PI()*(0)/Inputs!$C$40)+0.2*SIN(2*PI()*((Scenario_Data!T208)+(0))/(0.5*(Inputs!$C$39+Inputs!$C$40))))+Inputs!$C$38*SIN(2*PI()*(Scenario_Data!T208)/Inputs!$C$39)*SIN(2*PI()*(0)/Inputs!$C$40)+-Inputs!$C$41*EXP(-(((0)-Inputs!$C$43)^2)/(2*Inputs!$C$44^2))*EXP(-(((Scenario_Data!T208)-Inputs!$C$42)^2)/(2*Inputs!$C$45^2))+Inputs!$C$48*(0.7*(0.45*SIN(2*PI()*(((Scenario_Data!T208)/Inputs!$C$49)+Inputs!$C$47*0.137))+0.35*COS(2*PI()*(((0)/Inputs!$C$50)+Inputs!$C$47*0.173))+0.2*SIN(2*PI()*((((Scenario_Data!T208)+(0))/(0.5*(Inputs!$C$49+Inputs!$C$50)))+Inputs!$C$47*0.097)))+0.3*(2*((SIN(((Scenario_Data!T208)*12.9898+(0)*78.233+Inputs!$C$47*37.719))*43758.5453)-INT((SIN(((Scenario_Data!T208)*12.9898+(0)*78.233+Inputs!$C$47*37.719))*43758.5453)))-1)))))/Inputs!$C$21*1000000</f>
        <v/>
      </c>
      <c r="Z208">
        <f>Scenario_Data!U208</f>
        <v/>
      </c>
      <c r="AA208">
        <f>2*((Scenario_Data!C208*1000)-(IF(OR(Inputs!$C$27=TRUE,Inputs!$C$27="TRUE",Inputs!$C$27=1),1,0)*(Inputs!$C$51*(115*EXP(-(((0)-25)^2)/(4.5^2))+70*EXP(-(((0)+38)^2)/(7^2))*(0.55+0.45*SIN(2*PI()*(Scenario_Data!U208)/45))+24*SIN(2*PI()*(0)/9+(Scenario_Data!U208)/18)*EXP(-(((0)+5)^2)/(22^2))+18*SIN(2*PI()*(Scenario_Data!U208)/70))+Inputs!$C$28*EXP(-(((Scenario_Data!U208)-Inputs!$C$29)^2)/(2*Inputs!$C$31^2))*EXP(-(((0)-Inputs!$C$30)^2)/(2*Inputs!$C$32^2))+-Inputs!$C$33*EXP(-(((((Scenario_Data!U208)-Inputs!$C$34)^2)+(((0)-Inputs!$C$35)^2))/(2*Inputs!$C$36^2)))+Inputs!$C$37*(0.55*SIN(2*PI()*(Scenario_Data!U208)/Inputs!$C$39)+0.35*COS(2*PI()*(0)/Inputs!$C$40)+0.2*SIN(2*PI()*((Scenario_Data!U208)+(0))/(0.5*(Inputs!$C$39+Inputs!$C$40))))+Inputs!$C$38*SIN(2*PI()*(Scenario_Data!U208)/Inputs!$C$39)*SIN(2*PI()*(0)/Inputs!$C$40)+-Inputs!$C$41*EXP(-(((0)-Inputs!$C$43)^2)/(2*Inputs!$C$44^2))*EXP(-(((Scenario_Data!U208)-Inputs!$C$42)^2)/(2*Inputs!$C$45^2))+Inputs!$C$48*(0.7*(0.45*SIN(2*PI()*(((Scenario_Data!U208)/Inputs!$C$49)+Inputs!$C$47*0.137))+0.35*COS(2*PI()*(((0)/Inputs!$C$50)+Inputs!$C$47*0.173))+0.2*SIN(2*PI()*((((Scenario_Data!U208)+(0))/(0.5*(Inputs!$C$49+Inputs!$C$50)))+Inputs!$C$47*0.097)))+0.3*(2*((SIN(((Scenario_Data!U208)*12.9898+(0)*78.233+Inputs!$C$47*37.719))*43758.5453)-INT((SIN(((Scenario_Data!U208)*12.9898+(0)*78.233+Inputs!$C$47*37.719))*43758.5453)))-1)))))/Inputs!$C$21*1000000</f>
        <v/>
      </c>
      <c r="AB208">
        <f>Scenario_Data!V208</f>
        <v/>
      </c>
      <c r="AC208">
        <f>2*((Scenario_Data!D208*1000)-(IF(OR(Inputs!$C$27=TRUE,Inputs!$C$27="TRUE",Inputs!$C$27=1),1,0)*(Inputs!$C$51*(115*EXP(-(((0)-25)^2)/(4.5^2))+70*EXP(-(((0)+38)^2)/(7^2))*(0.55+0.45*SIN(2*PI()*(Scenario_Data!V208)/45))+24*SIN(2*PI()*(0)/9+(Scenario_Data!V208)/18)*EXP(-(((0)+5)^2)/(22^2))+18*SIN(2*PI()*(Scenario_Data!V208)/70))+Inputs!$C$28*EXP(-(((Scenario_Data!V208)-Inputs!$C$29)^2)/(2*Inputs!$C$31^2))*EXP(-(((0)-Inputs!$C$30)^2)/(2*Inputs!$C$32^2))+-Inputs!$C$33*EXP(-(((((Scenario_Data!V208)-Inputs!$C$34)^2)+(((0)-Inputs!$C$35)^2))/(2*Inputs!$C$36^2)))+Inputs!$C$37*(0.55*SIN(2*PI()*(Scenario_Data!V208)/Inputs!$C$39)+0.35*COS(2*PI()*(0)/Inputs!$C$40)+0.2*SIN(2*PI()*((Scenario_Data!V208)+(0))/(0.5*(Inputs!$C$39+Inputs!$C$40))))+Inputs!$C$38*SIN(2*PI()*(Scenario_Data!V208)/Inputs!$C$39)*SIN(2*PI()*(0)/Inputs!$C$40)+-Inputs!$C$41*EXP(-(((0)-Inputs!$C$43)^2)/(2*Inputs!$C$44^2))*EXP(-(((Scenario_Data!V208)-Inputs!$C$42)^2)/(2*Inputs!$C$45^2))+Inputs!$C$48*(0.7*(0.45*SIN(2*PI()*(((Scenario_Data!V208)/Inputs!$C$49)+Inputs!$C$47*0.137))+0.35*COS(2*PI()*(((0)/Inputs!$C$50)+Inputs!$C$47*0.173))+0.2*SIN(2*PI()*((((Scenario_Data!V208)+(0))/(0.5*(Inputs!$C$49+Inputs!$C$50)))+Inputs!$C$47*0.097)))+0.3*(2*((SIN(((Scenario_Data!V208)*12.9898+(0)*78.233+Inputs!$C$47*37.719))*43758.5453)-INT((SIN(((Scenario_Data!V208)*12.9898+(0)*78.233+Inputs!$C$47*37.719))*43758.5453)))-1)))))/Inputs!$C$21*1000000</f>
        <v/>
      </c>
      <c r="AD208">
        <f>Scenario_Data!W208</f>
        <v/>
      </c>
      <c r="AE208">
        <f>2*((Scenario_Data!E208*1000)-(IF(OR(Inputs!$C$27=TRUE,Inputs!$C$27="TRUE",Inputs!$C$27=1),1,0)*(Inputs!$C$51*(115*EXP(-(((0)-25)^2)/(4.5^2))+70*EXP(-(((0)+38)^2)/(7^2))*(0.55+0.45*SIN(2*PI()*(Scenario_Data!W208)/45))+24*SIN(2*PI()*(0)/9+(Scenario_Data!W208)/18)*EXP(-(((0)+5)^2)/(22^2))+18*SIN(2*PI()*(Scenario_Data!W208)/70))+Inputs!$C$28*EXP(-(((Scenario_Data!W208)-Inputs!$C$29)^2)/(2*Inputs!$C$31^2))*EXP(-(((0)-Inputs!$C$30)^2)/(2*Inputs!$C$32^2))+-Inputs!$C$33*EXP(-(((((Scenario_Data!W208)-Inputs!$C$34)^2)+(((0)-Inputs!$C$35)^2))/(2*Inputs!$C$36^2)))+Inputs!$C$37*(0.55*SIN(2*PI()*(Scenario_Data!W208)/Inputs!$C$39)+0.35*COS(2*PI()*(0)/Inputs!$C$40)+0.2*SIN(2*PI()*((Scenario_Data!W208)+(0))/(0.5*(Inputs!$C$39+Inputs!$C$40))))+Inputs!$C$38*SIN(2*PI()*(Scenario_Data!W208)/Inputs!$C$39)*SIN(2*PI()*(0)/Inputs!$C$40)+-Inputs!$C$41*EXP(-(((0)-Inputs!$C$43)^2)/(2*Inputs!$C$44^2))*EXP(-(((Scenario_Data!W208)-Inputs!$C$42)^2)/(2*Inputs!$C$45^2))+Inputs!$C$48*(0.7*(0.45*SIN(2*PI()*(((Scenario_Data!W208)/Inputs!$C$49)+Inputs!$C$47*0.137))+0.35*COS(2*PI()*(((0)/Inputs!$C$50)+Inputs!$C$47*0.173))+0.2*SIN(2*PI()*((((Scenario_Data!W208)+(0))/(0.5*(Inputs!$C$49+Inputs!$C$50)))+Inputs!$C$47*0.097)))+0.3*(2*((SIN(((Scenario_Data!W208)*12.9898+(0)*78.233+Inputs!$C$47*37.719))*43758.5453)-INT((SIN(((Scenario_Data!W208)*12.9898+(0)*78.233+Inputs!$C$47*37.719))*43758.5453)))-1)))))/Inputs!$C$21*1000000</f>
        <v/>
      </c>
      <c r="AG208">
        <f>Scenario_Data!T208</f>
        <v/>
      </c>
      <c r="AH208">
        <f>2*(SQRT((Inputs!$C$52+(Scenario_Data!B208))^2+Inputs!$C$52^2-2*(Inputs!$C$52+(Scenario_Data!B208))*Inputs!$C$52*COS(SQRT((Scenario_Data!T208)^2+Inputs!$C$6^2)/Inputs!$C$52))*1000)/Inputs!$C$21*1000000</f>
        <v/>
      </c>
      <c r="AI208">
        <f>Scenario_Data!U208</f>
        <v/>
      </c>
      <c r="AJ208">
        <f>2*(SQRT((Inputs!$C$52+(Scenario_Data!C208))^2+Inputs!$C$52^2-2*(Inputs!$C$52+(Scenario_Data!C208))*Inputs!$C$52*COS(SQRT((Scenario_Data!U208)^2+Inputs!$C$6^2)/Inputs!$C$52))*1000)/Inputs!$C$21*1000000</f>
        <v/>
      </c>
      <c r="AK208">
        <f>Scenario_Data!V208</f>
        <v/>
      </c>
      <c r="AL208">
        <f>2*(SQRT((Inputs!$C$52+(Scenario_Data!D208))^2+Inputs!$C$52^2-2*(Inputs!$C$52+(Scenario_Data!D208))*Inputs!$C$52*COS(SQRT((Scenario_Data!V208)^2+Inputs!$C$6^2)/Inputs!$C$52))*1000)/Inputs!$C$21*1000000</f>
        <v/>
      </c>
      <c r="AM208">
        <f>Scenario_Data!W208</f>
        <v/>
      </c>
      <c r="AN208">
        <f>2*(SQRT((Inputs!$C$52+(Scenario_Data!E208))^2+Inputs!$C$52^2-2*(Inputs!$C$52+(Scenario_Data!E208))*Inputs!$C$52*COS(SQRT((Scenario_Data!W208)^2+Inputs!$C$6^2)/Inputs!$C$52))*1000)/Inputs!$C$21*1000000</f>
        <v/>
      </c>
      <c r="AP208">
        <f>Scenario_Data!T208</f>
        <v/>
      </c>
      <c r="AQ208">
        <f>2*(SQRT((Inputs!$C$52+(Scenario_Data!B208))^2+(Inputs!$C$52+((IF(OR(Inputs!$C$27=TRUE,Inputs!$C$27="TRUE",Inputs!$C$27=1),1,0)*(Inputs!$C$51*(115*EXP(-(((Inputs!$C$6)-25)^2)/(4.5^2))+70*EXP(-(((Inputs!$C$6)+38)^2)/(7^2))*(0.55+0.45*SIN(2*PI()*(Scenario_Data!T208)/45))+24*SIN(2*PI()*(Inputs!$C$6)/9+(Scenario_Data!T208)/18)*EXP(-(((Inputs!$C$6)+5)^2)/(22^2))+18*SIN(2*PI()*(Scenario_Data!T208)/70))+Inputs!$C$28*EXP(-(((Scenario_Data!T208)-Inputs!$C$29)^2)/(2*Inputs!$C$31^2))*EXP(-(((Inputs!$C$6)-Inputs!$C$30)^2)/(2*Inputs!$C$32^2))+-Inputs!$C$33*EXP(-(((((Scenario_Data!T208)-Inputs!$C$34)^2)+(((Inputs!$C$6)-Inputs!$C$35)^2))/(2*Inputs!$C$36^2)))+Inputs!$C$37*(0.55*SIN(2*PI()*(Scenario_Data!T208)/Inputs!$C$39)+0.35*COS(2*PI()*(Inputs!$C$6)/Inputs!$C$40)+0.2*SIN(2*PI()*((Scenario_Data!T208)+(Inputs!$C$6))/(0.5*(Inputs!$C$39+Inputs!$C$40))))+Inputs!$C$38*SIN(2*PI()*(Scenario_Data!T208)/Inputs!$C$39)*SIN(2*PI()*(Inputs!$C$6)/Inputs!$C$40)+-Inputs!$C$41*EXP(-(((Inputs!$C$6)-Inputs!$C$43)^2)/(2*Inputs!$C$44^2))*EXP(-(((Scenario_Data!T208)-Inputs!$C$42)^2)/(2*Inputs!$C$45^2))+Inputs!$C$48*(0.7*(0.45*SIN(2*PI()*(((Scenario_Data!T208)/Inputs!$C$49)+Inputs!$C$47*0.137))+0.35*COS(2*PI()*(((Inputs!$C$6)/Inputs!$C$50)+Inputs!$C$47*0.173))+0.2*SIN(2*PI()*((((Scenario_Data!T208)+(Inputs!$C$6))/(0.5*(Inputs!$C$49+Inputs!$C$50)))+Inputs!$C$47*0.097)))+0.3*(2*((SIN(((Scenario_Data!T208)*12.9898+(Inputs!$C$6)*78.233+Inputs!$C$47*37.719))*43758.5453)-INT((SIN(((Scenario_Data!T208)*12.9898+(Inputs!$C$6)*78.233+Inputs!$C$47*37.719))*43758.5453)))-1))))/1000))^2-2*(Inputs!$C$52+(Scenario_Data!B208))*(Inputs!$C$52+((IF(OR(Inputs!$C$27=TRUE,Inputs!$C$27="TRUE",Inputs!$C$27=1),1,0)*(Inputs!$C$51*(115*EXP(-(((Inputs!$C$6)-25)^2)/(4.5^2))+70*EXP(-(((Inputs!$C$6)+38)^2)/(7^2))*(0.55+0.45*SIN(2*PI()*(Scenario_Data!T208)/45))+24*SIN(2*PI()*(Inputs!$C$6)/9+(Scenario_Data!T208)/18)*EXP(-(((Inputs!$C$6)+5)^2)/(22^2))+18*SIN(2*PI()*(Scenario_Data!T208)/70))+Inputs!$C$28*EXP(-(((Scenario_Data!T208)-Inputs!$C$29)^2)/(2*Inputs!$C$31^2))*EXP(-(((Inputs!$C$6)-Inputs!$C$30)^2)/(2*Inputs!$C$32^2))+-Inputs!$C$33*EXP(-(((((Scenario_Data!T208)-Inputs!$C$34)^2)+(((Inputs!$C$6)-Inputs!$C$35)^2))/(2*Inputs!$C$36^2)))+Inputs!$C$37*(0.55*SIN(2*PI()*(Scenario_Data!T208)/Inputs!$C$39)+0.35*COS(2*PI()*(Inputs!$C$6)/Inputs!$C$40)+0.2*SIN(2*PI()*((Scenario_Data!T208)+(Inputs!$C$6))/(0.5*(Inputs!$C$39+Inputs!$C$40))))+Inputs!$C$38*SIN(2*PI()*(Scenario_Data!T208)/Inputs!$C$39)*SIN(2*PI()*(Inputs!$C$6)/Inputs!$C$40)+-Inputs!$C$41*EXP(-(((Inputs!$C$6)-Inputs!$C$43)^2)/(2*Inputs!$C$44^2))*EXP(-(((Scenario_Data!T208)-Inputs!$C$42)^2)/(2*Inputs!$C$45^2))+Inputs!$C$48*(0.7*(0.45*SIN(2*PI()*(((Scenario_Data!T208)/Inputs!$C$49)+Inputs!$C$47*0.137))+0.35*COS(2*PI()*(((Inputs!$C$6)/Inputs!$C$50)+Inputs!$C$47*0.173))+0.2*SIN(2*PI()*((((Scenario_Data!T208)+(Inputs!$C$6))/(0.5*(Inputs!$C$49+Inputs!$C$50)))+Inputs!$C$47*0.097)))+0.3*(2*((SIN(((Scenario_Data!T208)*12.9898+(Inputs!$C$6)*78.233+Inputs!$C$47*37.719))*43758.5453)-INT((SIN(((Scenario_Data!T208)*12.9898+(Inputs!$C$6)*78.233+Inputs!$C$47*37.719))*43758.5453)))-1))))/1000))*COS(SQRT((Scenario_Data!T208)^2+Inputs!$C$6^2)/Inputs!$C$52))*1000)/Inputs!$C$21*1000000</f>
        <v/>
      </c>
      <c r="AR208">
        <f>Scenario_Data!U208</f>
        <v/>
      </c>
      <c r="AS208">
        <f>2*(SQRT((Inputs!$C$52+(Scenario_Data!C208))^2+(Inputs!$C$52+((IF(OR(Inputs!$C$27=TRUE,Inputs!$C$27="TRUE",Inputs!$C$27=1),1,0)*(Inputs!$C$51*(115*EXP(-(((Inputs!$C$6)-25)^2)/(4.5^2))+70*EXP(-(((Inputs!$C$6)+38)^2)/(7^2))*(0.55+0.45*SIN(2*PI()*(Scenario_Data!U208)/45))+24*SIN(2*PI()*(Inputs!$C$6)/9+(Scenario_Data!U208)/18)*EXP(-(((Inputs!$C$6)+5)^2)/(22^2))+18*SIN(2*PI()*(Scenario_Data!U208)/70))+Inputs!$C$28*EXP(-(((Scenario_Data!U208)-Inputs!$C$29)^2)/(2*Inputs!$C$31^2))*EXP(-(((Inputs!$C$6)-Inputs!$C$30)^2)/(2*Inputs!$C$32^2))+-Inputs!$C$33*EXP(-(((((Scenario_Data!U208)-Inputs!$C$34)^2)+(((Inputs!$C$6)-Inputs!$C$35)^2))/(2*Inputs!$C$36^2)))+Inputs!$C$37*(0.55*SIN(2*PI()*(Scenario_Data!U208)/Inputs!$C$39)+0.35*COS(2*PI()*(Inputs!$C$6)/Inputs!$C$40)+0.2*SIN(2*PI()*((Scenario_Data!U208)+(Inputs!$C$6))/(0.5*(Inputs!$C$39+Inputs!$C$40))))+Inputs!$C$38*SIN(2*PI()*(Scenario_Data!U208)/Inputs!$C$39)*SIN(2*PI()*(Inputs!$C$6)/Inputs!$C$40)+-Inputs!$C$41*EXP(-(((Inputs!$C$6)-Inputs!$C$43)^2)/(2*Inputs!$C$44^2))*EXP(-(((Scenario_Data!U208)-Inputs!$C$42)^2)/(2*Inputs!$C$45^2))+Inputs!$C$48*(0.7*(0.45*SIN(2*PI()*(((Scenario_Data!U208)/Inputs!$C$49)+Inputs!$C$47*0.137))+0.35*COS(2*PI()*(((Inputs!$C$6)/Inputs!$C$50)+Inputs!$C$47*0.173))+0.2*SIN(2*PI()*((((Scenario_Data!U208)+(Inputs!$C$6))/(0.5*(Inputs!$C$49+Inputs!$C$50)))+Inputs!$C$47*0.097)))+0.3*(2*((SIN(((Scenario_Data!U208)*12.9898+(Inputs!$C$6)*78.233+Inputs!$C$47*37.719))*43758.5453)-INT((SIN(((Scenario_Data!U208)*12.9898+(Inputs!$C$6)*78.233+Inputs!$C$47*37.719))*43758.5453)))-1))))/1000))^2-2*(Inputs!$C$52+(Scenario_Data!C208))*(Inputs!$C$52+((IF(OR(Inputs!$C$27=TRUE,Inputs!$C$27="TRUE",Inputs!$C$27=1),1,0)*(Inputs!$C$51*(115*EXP(-(((Inputs!$C$6)-25)^2)/(4.5^2))+70*EXP(-(((Inputs!$C$6)+38)^2)/(7^2))*(0.55+0.45*SIN(2*PI()*(Scenario_Data!U208)/45))+24*SIN(2*PI()*(Inputs!$C$6)/9+(Scenario_Data!U208)/18)*EXP(-(((Inputs!$C$6)+5)^2)/(22^2))+18*SIN(2*PI()*(Scenario_Data!U208)/70))+Inputs!$C$28*EXP(-(((Scenario_Data!U208)-Inputs!$C$29)^2)/(2*Inputs!$C$31^2))*EXP(-(((Inputs!$C$6)-Inputs!$C$30)^2)/(2*Inputs!$C$32^2))+-Inputs!$C$33*EXP(-(((((Scenario_Data!U208)-Inputs!$C$34)^2)+(((Inputs!$C$6)-Inputs!$C$35)^2))/(2*Inputs!$C$36^2)))+Inputs!$C$37*(0.55*SIN(2*PI()*(Scenario_Data!U208)/Inputs!$C$39)+0.35*COS(2*PI()*(Inputs!$C$6)/Inputs!$C$40)+0.2*SIN(2*PI()*((Scenario_Data!U208)+(Inputs!$C$6))/(0.5*(Inputs!$C$39+Inputs!$C$40))))+Inputs!$C$38*SIN(2*PI()*(Scenario_Data!U208)/Inputs!$C$39)*SIN(2*PI()*(Inputs!$C$6)/Inputs!$C$40)+-Inputs!$C$41*EXP(-(((Inputs!$C$6)-Inputs!$C$43)^2)/(2*Inputs!$C$44^2))*EXP(-(((Scenario_Data!U208)-Inputs!$C$42)^2)/(2*Inputs!$C$45^2))+Inputs!$C$48*(0.7*(0.45*SIN(2*PI()*(((Scenario_Data!U208)/Inputs!$C$49)+Inputs!$C$47*0.137))+0.35*COS(2*PI()*(((Inputs!$C$6)/Inputs!$C$50)+Inputs!$C$47*0.173))+0.2*SIN(2*PI()*((((Scenario_Data!U208)+(Inputs!$C$6))/(0.5*(Inputs!$C$49+Inputs!$C$50)))+Inputs!$C$47*0.097)))+0.3*(2*((SIN(((Scenario_Data!U208)*12.9898+(Inputs!$C$6)*78.233+Inputs!$C$47*37.719))*43758.5453)-INT((SIN(((Scenario_Data!U208)*12.9898+(Inputs!$C$6)*78.233+Inputs!$C$47*37.719))*43758.5453)))-1))))/1000))*COS(SQRT((Scenario_Data!U208)^2+Inputs!$C$6^2)/Inputs!$C$52))*1000)/Inputs!$C$21*1000000</f>
        <v/>
      </c>
      <c r="AT208">
        <f>Scenario_Data!V208</f>
        <v/>
      </c>
      <c r="AU208">
        <f>2*(SQRT((Inputs!$C$52+(Scenario_Data!D208))^2+(Inputs!$C$52+((IF(OR(Inputs!$C$27=TRUE,Inputs!$C$27="TRUE",Inputs!$C$27=1),1,0)*(Inputs!$C$51*(115*EXP(-(((Inputs!$C$6)-25)^2)/(4.5^2))+70*EXP(-(((Inputs!$C$6)+38)^2)/(7^2))*(0.55+0.45*SIN(2*PI()*(Scenario_Data!V208)/45))+24*SIN(2*PI()*(Inputs!$C$6)/9+(Scenario_Data!V208)/18)*EXP(-(((Inputs!$C$6)+5)^2)/(22^2))+18*SIN(2*PI()*(Scenario_Data!V208)/70))+Inputs!$C$28*EXP(-(((Scenario_Data!V208)-Inputs!$C$29)^2)/(2*Inputs!$C$31^2))*EXP(-(((Inputs!$C$6)-Inputs!$C$30)^2)/(2*Inputs!$C$32^2))+-Inputs!$C$33*EXP(-(((((Scenario_Data!V208)-Inputs!$C$34)^2)+(((Inputs!$C$6)-Inputs!$C$35)^2))/(2*Inputs!$C$36^2)))+Inputs!$C$37*(0.55*SIN(2*PI()*(Scenario_Data!V208)/Inputs!$C$39)+0.35*COS(2*PI()*(Inputs!$C$6)/Inputs!$C$40)+0.2*SIN(2*PI()*((Scenario_Data!V208)+(Inputs!$C$6))/(0.5*(Inputs!$C$39+Inputs!$C$40))))+Inputs!$C$38*SIN(2*PI()*(Scenario_Data!V208)/Inputs!$C$39)*SIN(2*PI()*(Inputs!$C$6)/Inputs!$C$40)+-Inputs!$C$41*EXP(-(((Inputs!$C$6)-Inputs!$C$43)^2)/(2*Inputs!$C$44^2))*EXP(-(((Scenario_Data!V208)-Inputs!$C$42)^2)/(2*Inputs!$C$45^2))+Inputs!$C$48*(0.7*(0.45*SIN(2*PI()*(((Scenario_Data!V208)/Inputs!$C$49)+Inputs!$C$47*0.137))+0.35*COS(2*PI()*(((Inputs!$C$6)/Inputs!$C$50)+Inputs!$C$47*0.173))+0.2*SIN(2*PI()*((((Scenario_Data!V208)+(Inputs!$C$6))/(0.5*(Inputs!$C$49+Inputs!$C$50)))+Inputs!$C$47*0.097)))+0.3*(2*((SIN(((Scenario_Data!V208)*12.9898+(Inputs!$C$6)*78.233+Inputs!$C$47*37.719))*43758.5453)-INT((SIN(((Scenario_Data!V208)*12.9898+(Inputs!$C$6)*78.233+Inputs!$C$47*37.719))*43758.5453)))-1))))/1000))^2-2*(Inputs!$C$52+(Scenario_Data!D208))*(Inputs!$C$52+((IF(OR(Inputs!$C$27=TRUE,Inputs!$C$27="TRUE",Inputs!$C$27=1),1,0)*(Inputs!$C$51*(115*EXP(-(((Inputs!$C$6)-25)^2)/(4.5^2))+70*EXP(-(((Inputs!$C$6)+38)^2)/(7^2))*(0.55+0.45*SIN(2*PI()*(Scenario_Data!V208)/45))+24*SIN(2*PI()*(Inputs!$C$6)/9+(Scenario_Data!V208)/18)*EXP(-(((Inputs!$C$6)+5)^2)/(22^2))+18*SIN(2*PI()*(Scenario_Data!V208)/70))+Inputs!$C$28*EXP(-(((Scenario_Data!V208)-Inputs!$C$29)^2)/(2*Inputs!$C$31^2))*EXP(-(((Inputs!$C$6)-Inputs!$C$30)^2)/(2*Inputs!$C$32^2))+-Inputs!$C$33*EXP(-(((((Scenario_Data!V208)-Inputs!$C$34)^2)+(((Inputs!$C$6)-Inputs!$C$35)^2))/(2*Inputs!$C$36^2)))+Inputs!$C$37*(0.55*SIN(2*PI()*(Scenario_Data!V208)/Inputs!$C$39)+0.35*COS(2*PI()*(Inputs!$C$6)/Inputs!$C$40)+0.2*SIN(2*PI()*((Scenario_Data!V208)+(Inputs!$C$6))/(0.5*(Inputs!$C$39+Inputs!$C$40))))+Inputs!$C$38*SIN(2*PI()*(Scenario_Data!V208)/Inputs!$C$39)*SIN(2*PI()*(Inputs!$C$6)/Inputs!$C$40)+-Inputs!$C$41*EXP(-(((Inputs!$C$6)-Inputs!$C$43)^2)/(2*Inputs!$C$44^2))*EXP(-(((Scenario_Data!V208)-Inputs!$C$42)^2)/(2*Inputs!$C$45^2))+Inputs!$C$48*(0.7*(0.45*SIN(2*PI()*(((Scenario_Data!V208)/Inputs!$C$49)+Inputs!$C$47*0.137))+0.35*COS(2*PI()*(((Inputs!$C$6)/Inputs!$C$50)+Inputs!$C$47*0.173))+0.2*SIN(2*PI()*((((Scenario_Data!V208)+(Inputs!$C$6))/(0.5*(Inputs!$C$49+Inputs!$C$50)))+Inputs!$C$47*0.097)))+0.3*(2*((SIN(((Scenario_Data!V208)*12.9898+(Inputs!$C$6)*78.233+Inputs!$C$47*37.719))*43758.5453)-INT((SIN(((Scenario_Data!V208)*12.9898+(Inputs!$C$6)*78.233+Inputs!$C$47*37.719))*43758.5453)))-1))))/1000))*COS(SQRT((Scenario_Data!V208)^2+Inputs!$C$6^2)/Inputs!$C$52))*1000)/Inputs!$C$21*1000000</f>
        <v/>
      </c>
      <c r="AV208">
        <f>Scenario_Data!W208</f>
        <v/>
      </c>
      <c r="AW208">
        <f>2*(SQRT((Inputs!$C$52+(Scenario_Data!E208))^2+(Inputs!$C$52+((IF(OR(Inputs!$C$27=TRUE,Inputs!$C$27="TRUE",Inputs!$C$27=1),1,0)*(Inputs!$C$51*(115*EXP(-(((Inputs!$C$6)-25)^2)/(4.5^2))+70*EXP(-(((Inputs!$C$6)+38)^2)/(7^2))*(0.55+0.45*SIN(2*PI()*(Scenario_Data!W208)/45))+24*SIN(2*PI()*(Inputs!$C$6)/9+(Scenario_Data!W208)/18)*EXP(-(((Inputs!$C$6)+5)^2)/(22^2))+18*SIN(2*PI()*(Scenario_Data!W208)/70))+Inputs!$C$28*EXP(-(((Scenario_Data!W208)-Inputs!$C$29)^2)/(2*Inputs!$C$31^2))*EXP(-(((Inputs!$C$6)-Inputs!$C$30)^2)/(2*Inputs!$C$32^2))+-Inputs!$C$33*EXP(-(((((Scenario_Data!W208)-Inputs!$C$34)^2)+(((Inputs!$C$6)-Inputs!$C$35)^2))/(2*Inputs!$C$36^2)))+Inputs!$C$37*(0.55*SIN(2*PI()*(Scenario_Data!W208)/Inputs!$C$39)+0.35*COS(2*PI()*(Inputs!$C$6)/Inputs!$C$40)+0.2*SIN(2*PI()*((Scenario_Data!W208)+(Inputs!$C$6))/(0.5*(Inputs!$C$39+Inputs!$C$40))))+Inputs!$C$38*SIN(2*PI()*(Scenario_Data!W208)/Inputs!$C$39)*SIN(2*PI()*(Inputs!$C$6)/Inputs!$C$40)+-Inputs!$C$41*EXP(-(((Inputs!$C$6)-Inputs!$C$43)^2)/(2*Inputs!$C$44^2))*EXP(-(((Scenario_Data!W208)-Inputs!$C$42)^2)/(2*Inputs!$C$45^2))+Inputs!$C$48*(0.7*(0.45*SIN(2*PI()*(((Scenario_Data!W208)/Inputs!$C$49)+Inputs!$C$47*0.137))+0.35*COS(2*PI()*(((Inputs!$C$6)/Inputs!$C$50)+Inputs!$C$47*0.173))+0.2*SIN(2*PI()*((((Scenario_Data!W208)+(Inputs!$C$6))/(0.5*(Inputs!$C$49+Inputs!$C$50)))+Inputs!$C$47*0.097)))+0.3*(2*((SIN(((Scenario_Data!W208)*12.9898+(Inputs!$C$6)*78.233+Inputs!$C$47*37.719))*43758.5453)-INT((SIN(((Scenario_Data!W208)*12.9898+(Inputs!$C$6)*78.233+Inputs!$C$47*37.719))*43758.5453)))-1))))/1000))^2-2*(Inputs!$C$52+(Scenario_Data!E208))*(Inputs!$C$52+((IF(OR(Inputs!$C$27=TRUE,Inputs!$C$27="TRUE",Inputs!$C$27=1),1,0)*(Inputs!$C$51*(115*EXP(-(((Inputs!$C$6)-25)^2)/(4.5^2))+70*EXP(-(((Inputs!$C$6)+38)^2)/(7^2))*(0.55+0.45*SIN(2*PI()*(Scenario_Data!W208)/45))+24*SIN(2*PI()*(Inputs!$C$6)/9+(Scenario_Data!W208)/18)*EXP(-(((Inputs!$C$6)+5)^2)/(22^2))+18*SIN(2*PI()*(Scenario_Data!W208)/70))+Inputs!$C$28*EXP(-(((Scenario_Data!W208)-Inputs!$C$29)^2)/(2*Inputs!$C$31^2))*EXP(-(((Inputs!$C$6)-Inputs!$C$30)^2)/(2*Inputs!$C$32^2))+-Inputs!$C$33*EXP(-(((((Scenario_Data!W208)-Inputs!$C$34)^2)+(((Inputs!$C$6)-Inputs!$C$35)^2))/(2*Inputs!$C$36^2)))+Inputs!$C$37*(0.55*SIN(2*PI()*(Scenario_Data!W208)/Inputs!$C$39)+0.35*COS(2*PI()*(Inputs!$C$6)/Inputs!$C$40)+0.2*SIN(2*PI()*((Scenario_Data!W208)+(Inputs!$C$6))/(0.5*(Inputs!$C$39+Inputs!$C$40))))+Inputs!$C$38*SIN(2*PI()*(Scenario_Data!W208)/Inputs!$C$39)*SIN(2*PI()*(Inputs!$C$6)/Inputs!$C$40)+-Inputs!$C$41*EXP(-(((Inputs!$C$6)-Inputs!$C$43)^2)/(2*Inputs!$C$44^2))*EXP(-(((Scenario_Data!W208)-Inputs!$C$42)^2)/(2*Inputs!$C$45^2))+Inputs!$C$48*(0.7*(0.45*SIN(2*PI()*(((Scenario_Data!W208)/Inputs!$C$49)+Inputs!$C$47*0.137))+0.35*COS(2*PI()*(((Inputs!$C$6)/Inputs!$C$50)+Inputs!$C$47*0.173))+0.2*SIN(2*PI()*((((Scenario_Data!W208)+(Inputs!$C$6))/(0.5*(Inputs!$C$49+Inputs!$C$50)))+Inputs!$C$47*0.097)))+0.3*(2*((SIN(((Scenario_Data!W208)*12.9898+(Inputs!$C$6)*78.233+Inputs!$C$47*37.719))*43758.5453)-INT((SIN(((Scenario_Data!W208)*12.9898+(Inputs!$C$6)*78.233+Inputs!$C$47*37.719))*43758.5453)))-1))))/1000))*COS(SQRT((Scenario_Data!W208)^2+Inputs!$C$6^2)/Inputs!$C$52))*1000)/Inputs!$C$21*1000000</f>
        <v/>
      </c>
    </row>
    <row r="209">
      <c r="A209">
        <f>Chart_Data!K209</f>
        <v/>
      </c>
      <c r="B209">
        <f>Chart_Data!N209-Chart_Data!L209</f>
        <v/>
      </c>
      <c r="D209">
        <f>Chart_Data!G209</f>
        <v/>
      </c>
      <c r="E209">
        <f>Chart_Data!H209</f>
        <v/>
      </c>
      <c r="F209">
        <f>Chart_Data!I209</f>
        <v/>
      </c>
      <c r="G209">
        <f>Chart_Data!J209</f>
        <v/>
      </c>
      <c r="I209">
        <f>Scenario_Data!A209</f>
        <v/>
      </c>
      <c r="J209">
        <f>Scenario_Data!H209-(((SQRT((Inputs!$C$52+(Inputs!$H$6))^2+Inputs!$C$52^2-2*(Inputs!$C$52+(Inputs!$H$6))*Inputs!$C$52*COS(SQRT((Scenario_Data!T209)^2+Inputs!$C$6^2)/Inputs!$C$52)))-(Inputs!$H$6))*1000/Inputs!$C$12)</f>
        <v/>
      </c>
      <c r="K209">
        <f>Scenario_Data!I209-(((SQRT((Inputs!$C$52+(Inputs!$H$7))^2+Inputs!$C$52^2-2*(Inputs!$C$52+(Inputs!$H$7))*Inputs!$C$52*COS(SQRT((Scenario_Data!U209)^2+Inputs!$C$6^2)/Inputs!$C$52)))-(Inputs!$H$7))*1000/Inputs!$C$12)</f>
        <v/>
      </c>
      <c r="L209">
        <f>Scenario_Data!J209-(((SQRT((Inputs!$C$52+(Inputs!$H$8))^2+Inputs!$C$52^2-2*(Inputs!$C$52+(Inputs!$H$8))*Inputs!$C$52*COS(SQRT((Scenario_Data!V209)^2+Inputs!$C$6^2)/Inputs!$C$52)))-(Inputs!$H$8))*1000/Inputs!$C$12)</f>
        <v/>
      </c>
      <c r="M209">
        <f>Scenario_Data!K209-(((SQRT((Inputs!$C$52+(Inputs!$H$9))^2+Inputs!$C$52^2-2*(Inputs!$C$52+(Inputs!$H$9))*Inputs!$C$52*COS(SQRT((Scenario_Data!W209)^2+Inputs!$C$6^2)/Inputs!$C$52)))-(Inputs!$H$9))*1000/Inputs!$C$12)</f>
        <v/>
      </c>
      <c r="O209">
        <f>Scenario_Data!T209</f>
        <v/>
      </c>
      <c r="P209">
        <f>2*(Scenario_Data!B209*1000)/Inputs!$C$21*1000000</f>
        <v/>
      </c>
      <c r="Q209">
        <f>Scenario_Data!U209</f>
        <v/>
      </c>
      <c r="R209">
        <f>2*(Scenario_Data!C209*1000)/Inputs!$C$21*1000000</f>
        <v/>
      </c>
      <c r="S209">
        <f>Scenario_Data!V209</f>
        <v/>
      </c>
      <c r="T209">
        <f>2*(Scenario_Data!D209*1000)/Inputs!$C$21*1000000</f>
        <v/>
      </c>
      <c r="U209">
        <f>Scenario_Data!W209</f>
        <v/>
      </c>
      <c r="V209">
        <f>2*(Scenario_Data!E209*1000)/Inputs!$C$21*1000000</f>
        <v/>
      </c>
      <c r="X209">
        <f>Scenario_Data!T209</f>
        <v/>
      </c>
      <c r="Y209">
        <f>2*((Scenario_Data!B209*1000)-(IF(OR(Inputs!$C$27=TRUE,Inputs!$C$27="TRUE",Inputs!$C$27=1),1,0)*(Inputs!$C$51*(115*EXP(-(((0)-25)^2)/(4.5^2))+70*EXP(-(((0)+38)^2)/(7^2))*(0.55+0.45*SIN(2*PI()*(Scenario_Data!T209)/45))+24*SIN(2*PI()*(0)/9+(Scenario_Data!T209)/18)*EXP(-(((0)+5)^2)/(22^2))+18*SIN(2*PI()*(Scenario_Data!T209)/70))+Inputs!$C$28*EXP(-(((Scenario_Data!T209)-Inputs!$C$29)^2)/(2*Inputs!$C$31^2))*EXP(-(((0)-Inputs!$C$30)^2)/(2*Inputs!$C$32^2))+-Inputs!$C$33*EXP(-(((((Scenario_Data!T209)-Inputs!$C$34)^2)+(((0)-Inputs!$C$35)^2))/(2*Inputs!$C$36^2)))+Inputs!$C$37*(0.55*SIN(2*PI()*(Scenario_Data!T209)/Inputs!$C$39)+0.35*COS(2*PI()*(0)/Inputs!$C$40)+0.2*SIN(2*PI()*((Scenario_Data!T209)+(0))/(0.5*(Inputs!$C$39+Inputs!$C$40))))+Inputs!$C$38*SIN(2*PI()*(Scenario_Data!T209)/Inputs!$C$39)*SIN(2*PI()*(0)/Inputs!$C$40)+-Inputs!$C$41*EXP(-(((0)-Inputs!$C$43)^2)/(2*Inputs!$C$44^2))*EXP(-(((Scenario_Data!T209)-Inputs!$C$42)^2)/(2*Inputs!$C$45^2))+Inputs!$C$48*(0.7*(0.45*SIN(2*PI()*(((Scenario_Data!T209)/Inputs!$C$49)+Inputs!$C$47*0.137))+0.35*COS(2*PI()*(((0)/Inputs!$C$50)+Inputs!$C$47*0.173))+0.2*SIN(2*PI()*((((Scenario_Data!T209)+(0))/(0.5*(Inputs!$C$49+Inputs!$C$50)))+Inputs!$C$47*0.097)))+0.3*(2*((SIN(((Scenario_Data!T209)*12.9898+(0)*78.233+Inputs!$C$47*37.719))*43758.5453)-INT((SIN(((Scenario_Data!T209)*12.9898+(0)*78.233+Inputs!$C$47*37.719))*43758.5453)))-1)))))/Inputs!$C$21*1000000</f>
        <v/>
      </c>
      <c r="Z209">
        <f>Scenario_Data!U209</f>
        <v/>
      </c>
      <c r="AA209">
        <f>2*((Scenario_Data!C209*1000)-(IF(OR(Inputs!$C$27=TRUE,Inputs!$C$27="TRUE",Inputs!$C$27=1),1,0)*(Inputs!$C$51*(115*EXP(-(((0)-25)^2)/(4.5^2))+70*EXP(-(((0)+38)^2)/(7^2))*(0.55+0.45*SIN(2*PI()*(Scenario_Data!U209)/45))+24*SIN(2*PI()*(0)/9+(Scenario_Data!U209)/18)*EXP(-(((0)+5)^2)/(22^2))+18*SIN(2*PI()*(Scenario_Data!U209)/70))+Inputs!$C$28*EXP(-(((Scenario_Data!U209)-Inputs!$C$29)^2)/(2*Inputs!$C$31^2))*EXP(-(((0)-Inputs!$C$30)^2)/(2*Inputs!$C$32^2))+-Inputs!$C$33*EXP(-(((((Scenario_Data!U209)-Inputs!$C$34)^2)+(((0)-Inputs!$C$35)^2))/(2*Inputs!$C$36^2)))+Inputs!$C$37*(0.55*SIN(2*PI()*(Scenario_Data!U209)/Inputs!$C$39)+0.35*COS(2*PI()*(0)/Inputs!$C$40)+0.2*SIN(2*PI()*((Scenario_Data!U209)+(0))/(0.5*(Inputs!$C$39+Inputs!$C$40))))+Inputs!$C$38*SIN(2*PI()*(Scenario_Data!U209)/Inputs!$C$39)*SIN(2*PI()*(0)/Inputs!$C$40)+-Inputs!$C$41*EXP(-(((0)-Inputs!$C$43)^2)/(2*Inputs!$C$44^2))*EXP(-(((Scenario_Data!U209)-Inputs!$C$42)^2)/(2*Inputs!$C$45^2))+Inputs!$C$48*(0.7*(0.45*SIN(2*PI()*(((Scenario_Data!U209)/Inputs!$C$49)+Inputs!$C$47*0.137))+0.35*COS(2*PI()*(((0)/Inputs!$C$50)+Inputs!$C$47*0.173))+0.2*SIN(2*PI()*((((Scenario_Data!U209)+(0))/(0.5*(Inputs!$C$49+Inputs!$C$50)))+Inputs!$C$47*0.097)))+0.3*(2*((SIN(((Scenario_Data!U209)*12.9898+(0)*78.233+Inputs!$C$47*37.719))*43758.5453)-INT((SIN(((Scenario_Data!U209)*12.9898+(0)*78.233+Inputs!$C$47*37.719))*43758.5453)))-1)))))/Inputs!$C$21*1000000</f>
        <v/>
      </c>
      <c r="AB209">
        <f>Scenario_Data!V209</f>
        <v/>
      </c>
      <c r="AC209">
        <f>2*((Scenario_Data!D209*1000)-(IF(OR(Inputs!$C$27=TRUE,Inputs!$C$27="TRUE",Inputs!$C$27=1),1,0)*(Inputs!$C$51*(115*EXP(-(((0)-25)^2)/(4.5^2))+70*EXP(-(((0)+38)^2)/(7^2))*(0.55+0.45*SIN(2*PI()*(Scenario_Data!V209)/45))+24*SIN(2*PI()*(0)/9+(Scenario_Data!V209)/18)*EXP(-(((0)+5)^2)/(22^2))+18*SIN(2*PI()*(Scenario_Data!V209)/70))+Inputs!$C$28*EXP(-(((Scenario_Data!V209)-Inputs!$C$29)^2)/(2*Inputs!$C$31^2))*EXP(-(((0)-Inputs!$C$30)^2)/(2*Inputs!$C$32^2))+-Inputs!$C$33*EXP(-(((((Scenario_Data!V209)-Inputs!$C$34)^2)+(((0)-Inputs!$C$35)^2))/(2*Inputs!$C$36^2)))+Inputs!$C$37*(0.55*SIN(2*PI()*(Scenario_Data!V209)/Inputs!$C$39)+0.35*COS(2*PI()*(0)/Inputs!$C$40)+0.2*SIN(2*PI()*((Scenario_Data!V209)+(0))/(0.5*(Inputs!$C$39+Inputs!$C$40))))+Inputs!$C$38*SIN(2*PI()*(Scenario_Data!V209)/Inputs!$C$39)*SIN(2*PI()*(0)/Inputs!$C$40)+-Inputs!$C$41*EXP(-(((0)-Inputs!$C$43)^2)/(2*Inputs!$C$44^2))*EXP(-(((Scenario_Data!V209)-Inputs!$C$42)^2)/(2*Inputs!$C$45^2))+Inputs!$C$48*(0.7*(0.45*SIN(2*PI()*(((Scenario_Data!V209)/Inputs!$C$49)+Inputs!$C$47*0.137))+0.35*COS(2*PI()*(((0)/Inputs!$C$50)+Inputs!$C$47*0.173))+0.2*SIN(2*PI()*((((Scenario_Data!V209)+(0))/(0.5*(Inputs!$C$49+Inputs!$C$50)))+Inputs!$C$47*0.097)))+0.3*(2*((SIN(((Scenario_Data!V209)*12.9898+(0)*78.233+Inputs!$C$47*37.719))*43758.5453)-INT((SIN(((Scenario_Data!V209)*12.9898+(0)*78.233+Inputs!$C$47*37.719))*43758.5453)))-1)))))/Inputs!$C$21*1000000</f>
        <v/>
      </c>
      <c r="AD209">
        <f>Scenario_Data!W209</f>
        <v/>
      </c>
      <c r="AE209">
        <f>2*((Scenario_Data!E209*1000)-(IF(OR(Inputs!$C$27=TRUE,Inputs!$C$27="TRUE",Inputs!$C$27=1),1,0)*(Inputs!$C$51*(115*EXP(-(((0)-25)^2)/(4.5^2))+70*EXP(-(((0)+38)^2)/(7^2))*(0.55+0.45*SIN(2*PI()*(Scenario_Data!W209)/45))+24*SIN(2*PI()*(0)/9+(Scenario_Data!W209)/18)*EXP(-(((0)+5)^2)/(22^2))+18*SIN(2*PI()*(Scenario_Data!W209)/70))+Inputs!$C$28*EXP(-(((Scenario_Data!W209)-Inputs!$C$29)^2)/(2*Inputs!$C$31^2))*EXP(-(((0)-Inputs!$C$30)^2)/(2*Inputs!$C$32^2))+-Inputs!$C$33*EXP(-(((((Scenario_Data!W209)-Inputs!$C$34)^2)+(((0)-Inputs!$C$35)^2))/(2*Inputs!$C$36^2)))+Inputs!$C$37*(0.55*SIN(2*PI()*(Scenario_Data!W209)/Inputs!$C$39)+0.35*COS(2*PI()*(0)/Inputs!$C$40)+0.2*SIN(2*PI()*((Scenario_Data!W209)+(0))/(0.5*(Inputs!$C$39+Inputs!$C$40))))+Inputs!$C$38*SIN(2*PI()*(Scenario_Data!W209)/Inputs!$C$39)*SIN(2*PI()*(0)/Inputs!$C$40)+-Inputs!$C$41*EXP(-(((0)-Inputs!$C$43)^2)/(2*Inputs!$C$44^2))*EXP(-(((Scenario_Data!W209)-Inputs!$C$42)^2)/(2*Inputs!$C$45^2))+Inputs!$C$48*(0.7*(0.45*SIN(2*PI()*(((Scenario_Data!W209)/Inputs!$C$49)+Inputs!$C$47*0.137))+0.35*COS(2*PI()*(((0)/Inputs!$C$50)+Inputs!$C$47*0.173))+0.2*SIN(2*PI()*((((Scenario_Data!W209)+(0))/(0.5*(Inputs!$C$49+Inputs!$C$50)))+Inputs!$C$47*0.097)))+0.3*(2*((SIN(((Scenario_Data!W209)*12.9898+(0)*78.233+Inputs!$C$47*37.719))*43758.5453)-INT((SIN(((Scenario_Data!W209)*12.9898+(0)*78.233+Inputs!$C$47*37.719))*43758.5453)))-1)))))/Inputs!$C$21*1000000</f>
        <v/>
      </c>
      <c r="AG209">
        <f>Scenario_Data!T209</f>
        <v/>
      </c>
      <c r="AH209">
        <f>2*(SQRT((Inputs!$C$52+(Scenario_Data!B209))^2+Inputs!$C$52^2-2*(Inputs!$C$52+(Scenario_Data!B209))*Inputs!$C$52*COS(SQRT((Scenario_Data!T209)^2+Inputs!$C$6^2)/Inputs!$C$52))*1000)/Inputs!$C$21*1000000</f>
        <v/>
      </c>
      <c r="AI209">
        <f>Scenario_Data!U209</f>
        <v/>
      </c>
      <c r="AJ209">
        <f>2*(SQRT((Inputs!$C$52+(Scenario_Data!C209))^2+Inputs!$C$52^2-2*(Inputs!$C$52+(Scenario_Data!C209))*Inputs!$C$52*COS(SQRT((Scenario_Data!U209)^2+Inputs!$C$6^2)/Inputs!$C$52))*1000)/Inputs!$C$21*1000000</f>
        <v/>
      </c>
      <c r="AK209">
        <f>Scenario_Data!V209</f>
        <v/>
      </c>
      <c r="AL209">
        <f>2*(SQRT((Inputs!$C$52+(Scenario_Data!D209))^2+Inputs!$C$52^2-2*(Inputs!$C$52+(Scenario_Data!D209))*Inputs!$C$52*COS(SQRT((Scenario_Data!V209)^2+Inputs!$C$6^2)/Inputs!$C$52))*1000)/Inputs!$C$21*1000000</f>
        <v/>
      </c>
      <c r="AM209">
        <f>Scenario_Data!W209</f>
        <v/>
      </c>
      <c r="AN209">
        <f>2*(SQRT((Inputs!$C$52+(Scenario_Data!E209))^2+Inputs!$C$52^2-2*(Inputs!$C$52+(Scenario_Data!E209))*Inputs!$C$52*COS(SQRT((Scenario_Data!W209)^2+Inputs!$C$6^2)/Inputs!$C$52))*1000)/Inputs!$C$21*1000000</f>
        <v/>
      </c>
      <c r="AP209">
        <f>Scenario_Data!T209</f>
        <v/>
      </c>
      <c r="AQ209">
        <f>2*(SQRT((Inputs!$C$52+(Scenario_Data!B209))^2+(Inputs!$C$52+((IF(OR(Inputs!$C$27=TRUE,Inputs!$C$27="TRUE",Inputs!$C$27=1),1,0)*(Inputs!$C$51*(115*EXP(-(((Inputs!$C$6)-25)^2)/(4.5^2))+70*EXP(-(((Inputs!$C$6)+38)^2)/(7^2))*(0.55+0.45*SIN(2*PI()*(Scenario_Data!T209)/45))+24*SIN(2*PI()*(Inputs!$C$6)/9+(Scenario_Data!T209)/18)*EXP(-(((Inputs!$C$6)+5)^2)/(22^2))+18*SIN(2*PI()*(Scenario_Data!T209)/70))+Inputs!$C$28*EXP(-(((Scenario_Data!T209)-Inputs!$C$29)^2)/(2*Inputs!$C$31^2))*EXP(-(((Inputs!$C$6)-Inputs!$C$30)^2)/(2*Inputs!$C$32^2))+-Inputs!$C$33*EXP(-(((((Scenario_Data!T209)-Inputs!$C$34)^2)+(((Inputs!$C$6)-Inputs!$C$35)^2))/(2*Inputs!$C$36^2)))+Inputs!$C$37*(0.55*SIN(2*PI()*(Scenario_Data!T209)/Inputs!$C$39)+0.35*COS(2*PI()*(Inputs!$C$6)/Inputs!$C$40)+0.2*SIN(2*PI()*((Scenario_Data!T209)+(Inputs!$C$6))/(0.5*(Inputs!$C$39+Inputs!$C$40))))+Inputs!$C$38*SIN(2*PI()*(Scenario_Data!T209)/Inputs!$C$39)*SIN(2*PI()*(Inputs!$C$6)/Inputs!$C$40)+-Inputs!$C$41*EXP(-(((Inputs!$C$6)-Inputs!$C$43)^2)/(2*Inputs!$C$44^2))*EXP(-(((Scenario_Data!T209)-Inputs!$C$42)^2)/(2*Inputs!$C$45^2))+Inputs!$C$48*(0.7*(0.45*SIN(2*PI()*(((Scenario_Data!T209)/Inputs!$C$49)+Inputs!$C$47*0.137))+0.35*COS(2*PI()*(((Inputs!$C$6)/Inputs!$C$50)+Inputs!$C$47*0.173))+0.2*SIN(2*PI()*((((Scenario_Data!T209)+(Inputs!$C$6))/(0.5*(Inputs!$C$49+Inputs!$C$50)))+Inputs!$C$47*0.097)))+0.3*(2*((SIN(((Scenario_Data!T209)*12.9898+(Inputs!$C$6)*78.233+Inputs!$C$47*37.719))*43758.5453)-INT((SIN(((Scenario_Data!T209)*12.9898+(Inputs!$C$6)*78.233+Inputs!$C$47*37.719))*43758.5453)))-1))))/1000))^2-2*(Inputs!$C$52+(Scenario_Data!B209))*(Inputs!$C$52+((IF(OR(Inputs!$C$27=TRUE,Inputs!$C$27="TRUE",Inputs!$C$27=1),1,0)*(Inputs!$C$51*(115*EXP(-(((Inputs!$C$6)-25)^2)/(4.5^2))+70*EXP(-(((Inputs!$C$6)+38)^2)/(7^2))*(0.55+0.45*SIN(2*PI()*(Scenario_Data!T209)/45))+24*SIN(2*PI()*(Inputs!$C$6)/9+(Scenario_Data!T209)/18)*EXP(-(((Inputs!$C$6)+5)^2)/(22^2))+18*SIN(2*PI()*(Scenario_Data!T209)/70))+Inputs!$C$28*EXP(-(((Scenario_Data!T209)-Inputs!$C$29)^2)/(2*Inputs!$C$31^2))*EXP(-(((Inputs!$C$6)-Inputs!$C$30)^2)/(2*Inputs!$C$32^2))+-Inputs!$C$33*EXP(-(((((Scenario_Data!T209)-Inputs!$C$34)^2)+(((Inputs!$C$6)-Inputs!$C$35)^2))/(2*Inputs!$C$36^2)))+Inputs!$C$37*(0.55*SIN(2*PI()*(Scenario_Data!T209)/Inputs!$C$39)+0.35*COS(2*PI()*(Inputs!$C$6)/Inputs!$C$40)+0.2*SIN(2*PI()*((Scenario_Data!T209)+(Inputs!$C$6))/(0.5*(Inputs!$C$39+Inputs!$C$40))))+Inputs!$C$38*SIN(2*PI()*(Scenario_Data!T209)/Inputs!$C$39)*SIN(2*PI()*(Inputs!$C$6)/Inputs!$C$40)+-Inputs!$C$41*EXP(-(((Inputs!$C$6)-Inputs!$C$43)^2)/(2*Inputs!$C$44^2))*EXP(-(((Scenario_Data!T209)-Inputs!$C$42)^2)/(2*Inputs!$C$45^2))+Inputs!$C$48*(0.7*(0.45*SIN(2*PI()*(((Scenario_Data!T209)/Inputs!$C$49)+Inputs!$C$47*0.137))+0.35*COS(2*PI()*(((Inputs!$C$6)/Inputs!$C$50)+Inputs!$C$47*0.173))+0.2*SIN(2*PI()*((((Scenario_Data!T209)+(Inputs!$C$6))/(0.5*(Inputs!$C$49+Inputs!$C$50)))+Inputs!$C$47*0.097)))+0.3*(2*((SIN(((Scenario_Data!T209)*12.9898+(Inputs!$C$6)*78.233+Inputs!$C$47*37.719))*43758.5453)-INT((SIN(((Scenario_Data!T209)*12.9898+(Inputs!$C$6)*78.233+Inputs!$C$47*37.719))*43758.5453)))-1))))/1000))*COS(SQRT((Scenario_Data!T209)^2+Inputs!$C$6^2)/Inputs!$C$52))*1000)/Inputs!$C$21*1000000</f>
        <v/>
      </c>
      <c r="AR209">
        <f>Scenario_Data!U209</f>
        <v/>
      </c>
      <c r="AS209">
        <f>2*(SQRT((Inputs!$C$52+(Scenario_Data!C209))^2+(Inputs!$C$52+((IF(OR(Inputs!$C$27=TRUE,Inputs!$C$27="TRUE",Inputs!$C$27=1),1,0)*(Inputs!$C$51*(115*EXP(-(((Inputs!$C$6)-25)^2)/(4.5^2))+70*EXP(-(((Inputs!$C$6)+38)^2)/(7^2))*(0.55+0.45*SIN(2*PI()*(Scenario_Data!U209)/45))+24*SIN(2*PI()*(Inputs!$C$6)/9+(Scenario_Data!U209)/18)*EXP(-(((Inputs!$C$6)+5)^2)/(22^2))+18*SIN(2*PI()*(Scenario_Data!U209)/70))+Inputs!$C$28*EXP(-(((Scenario_Data!U209)-Inputs!$C$29)^2)/(2*Inputs!$C$31^2))*EXP(-(((Inputs!$C$6)-Inputs!$C$30)^2)/(2*Inputs!$C$32^2))+-Inputs!$C$33*EXP(-(((((Scenario_Data!U209)-Inputs!$C$34)^2)+(((Inputs!$C$6)-Inputs!$C$35)^2))/(2*Inputs!$C$36^2)))+Inputs!$C$37*(0.55*SIN(2*PI()*(Scenario_Data!U209)/Inputs!$C$39)+0.35*COS(2*PI()*(Inputs!$C$6)/Inputs!$C$40)+0.2*SIN(2*PI()*((Scenario_Data!U209)+(Inputs!$C$6))/(0.5*(Inputs!$C$39+Inputs!$C$40))))+Inputs!$C$38*SIN(2*PI()*(Scenario_Data!U209)/Inputs!$C$39)*SIN(2*PI()*(Inputs!$C$6)/Inputs!$C$40)+-Inputs!$C$41*EXP(-(((Inputs!$C$6)-Inputs!$C$43)^2)/(2*Inputs!$C$44^2))*EXP(-(((Scenario_Data!U209)-Inputs!$C$42)^2)/(2*Inputs!$C$45^2))+Inputs!$C$48*(0.7*(0.45*SIN(2*PI()*(((Scenario_Data!U209)/Inputs!$C$49)+Inputs!$C$47*0.137))+0.35*COS(2*PI()*(((Inputs!$C$6)/Inputs!$C$50)+Inputs!$C$47*0.173))+0.2*SIN(2*PI()*((((Scenario_Data!U209)+(Inputs!$C$6))/(0.5*(Inputs!$C$49+Inputs!$C$50)))+Inputs!$C$47*0.097)))+0.3*(2*((SIN(((Scenario_Data!U209)*12.9898+(Inputs!$C$6)*78.233+Inputs!$C$47*37.719))*43758.5453)-INT((SIN(((Scenario_Data!U209)*12.9898+(Inputs!$C$6)*78.233+Inputs!$C$47*37.719))*43758.5453)))-1))))/1000))^2-2*(Inputs!$C$52+(Scenario_Data!C209))*(Inputs!$C$52+((IF(OR(Inputs!$C$27=TRUE,Inputs!$C$27="TRUE",Inputs!$C$27=1),1,0)*(Inputs!$C$51*(115*EXP(-(((Inputs!$C$6)-25)^2)/(4.5^2))+70*EXP(-(((Inputs!$C$6)+38)^2)/(7^2))*(0.55+0.45*SIN(2*PI()*(Scenario_Data!U209)/45))+24*SIN(2*PI()*(Inputs!$C$6)/9+(Scenario_Data!U209)/18)*EXP(-(((Inputs!$C$6)+5)^2)/(22^2))+18*SIN(2*PI()*(Scenario_Data!U209)/70))+Inputs!$C$28*EXP(-(((Scenario_Data!U209)-Inputs!$C$29)^2)/(2*Inputs!$C$31^2))*EXP(-(((Inputs!$C$6)-Inputs!$C$30)^2)/(2*Inputs!$C$32^2))+-Inputs!$C$33*EXP(-(((((Scenario_Data!U209)-Inputs!$C$34)^2)+(((Inputs!$C$6)-Inputs!$C$35)^2))/(2*Inputs!$C$36^2)))+Inputs!$C$37*(0.55*SIN(2*PI()*(Scenario_Data!U209)/Inputs!$C$39)+0.35*COS(2*PI()*(Inputs!$C$6)/Inputs!$C$40)+0.2*SIN(2*PI()*((Scenario_Data!U209)+(Inputs!$C$6))/(0.5*(Inputs!$C$39+Inputs!$C$40))))+Inputs!$C$38*SIN(2*PI()*(Scenario_Data!U209)/Inputs!$C$39)*SIN(2*PI()*(Inputs!$C$6)/Inputs!$C$40)+-Inputs!$C$41*EXP(-(((Inputs!$C$6)-Inputs!$C$43)^2)/(2*Inputs!$C$44^2))*EXP(-(((Scenario_Data!U209)-Inputs!$C$42)^2)/(2*Inputs!$C$45^2))+Inputs!$C$48*(0.7*(0.45*SIN(2*PI()*(((Scenario_Data!U209)/Inputs!$C$49)+Inputs!$C$47*0.137))+0.35*COS(2*PI()*(((Inputs!$C$6)/Inputs!$C$50)+Inputs!$C$47*0.173))+0.2*SIN(2*PI()*((((Scenario_Data!U209)+(Inputs!$C$6))/(0.5*(Inputs!$C$49+Inputs!$C$50)))+Inputs!$C$47*0.097)))+0.3*(2*((SIN(((Scenario_Data!U209)*12.9898+(Inputs!$C$6)*78.233+Inputs!$C$47*37.719))*43758.5453)-INT((SIN(((Scenario_Data!U209)*12.9898+(Inputs!$C$6)*78.233+Inputs!$C$47*37.719))*43758.5453)))-1))))/1000))*COS(SQRT((Scenario_Data!U209)^2+Inputs!$C$6^2)/Inputs!$C$52))*1000)/Inputs!$C$21*1000000</f>
        <v/>
      </c>
      <c r="AT209">
        <f>Scenario_Data!V209</f>
        <v/>
      </c>
      <c r="AU209">
        <f>2*(SQRT((Inputs!$C$52+(Scenario_Data!D209))^2+(Inputs!$C$52+((IF(OR(Inputs!$C$27=TRUE,Inputs!$C$27="TRUE",Inputs!$C$27=1),1,0)*(Inputs!$C$51*(115*EXP(-(((Inputs!$C$6)-25)^2)/(4.5^2))+70*EXP(-(((Inputs!$C$6)+38)^2)/(7^2))*(0.55+0.45*SIN(2*PI()*(Scenario_Data!V209)/45))+24*SIN(2*PI()*(Inputs!$C$6)/9+(Scenario_Data!V209)/18)*EXP(-(((Inputs!$C$6)+5)^2)/(22^2))+18*SIN(2*PI()*(Scenario_Data!V209)/70))+Inputs!$C$28*EXP(-(((Scenario_Data!V209)-Inputs!$C$29)^2)/(2*Inputs!$C$31^2))*EXP(-(((Inputs!$C$6)-Inputs!$C$30)^2)/(2*Inputs!$C$32^2))+-Inputs!$C$33*EXP(-(((((Scenario_Data!V209)-Inputs!$C$34)^2)+(((Inputs!$C$6)-Inputs!$C$35)^2))/(2*Inputs!$C$36^2)))+Inputs!$C$37*(0.55*SIN(2*PI()*(Scenario_Data!V209)/Inputs!$C$39)+0.35*COS(2*PI()*(Inputs!$C$6)/Inputs!$C$40)+0.2*SIN(2*PI()*((Scenario_Data!V209)+(Inputs!$C$6))/(0.5*(Inputs!$C$39+Inputs!$C$40))))+Inputs!$C$38*SIN(2*PI()*(Scenario_Data!V209)/Inputs!$C$39)*SIN(2*PI()*(Inputs!$C$6)/Inputs!$C$40)+-Inputs!$C$41*EXP(-(((Inputs!$C$6)-Inputs!$C$43)^2)/(2*Inputs!$C$44^2))*EXP(-(((Scenario_Data!V209)-Inputs!$C$42)^2)/(2*Inputs!$C$45^2))+Inputs!$C$48*(0.7*(0.45*SIN(2*PI()*(((Scenario_Data!V209)/Inputs!$C$49)+Inputs!$C$47*0.137))+0.35*COS(2*PI()*(((Inputs!$C$6)/Inputs!$C$50)+Inputs!$C$47*0.173))+0.2*SIN(2*PI()*((((Scenario_Data!V209)+(Inputs!$C$6))/(0.5*(Inputs!$C$49+Inputs!$C$50)))+Inputs!$C$47*0.097)))+0.3*(2*((SIN(((Scenario_Data!V209)*12.9898+(Inputs!$C$6)*78.233+Inputs!$C$47*37.719))*43758.5453)-INT((SIN(((Scenario_Data!V209)*12.9898+(Inputs!$C$6)*78.233+Inputs!$C$47*37.719))*43758.5453)))-1))))/1000))^2-2*(Inputs!$C$52+(Scenario_Data!D209))*(Inputs!$C$52+((IF(OR(Inputs!$C$27=TRUE,Inputs!$C$27="TRUE",Inputs!$C$27=1),1,0)*(Inputs!$C$51*(115*EXP(-(((Inputs!$C$6)-25)^2)/(4.5^2))+70*EXP(-(((Inputs!$C$6)+38)^2)/(7^2))*(0.55+0.45*SIN(2*PI()*(Scenario_Data!V209)/45))+24*SIN(2*PI()*(Inputs!$C$6)/9+(Scenario_Data!V209)/18)*EXP(-(((Inputs!$C$6)+5)^2)/(22^2))+18*SIN(2*PI()*(Scenario_Data!V209)/70))+Inputs!$C$28*EXP(-(((Scenario_Data!V209)-Inputs!$C$29)^2)/(2*Inputs!$C$31^2))*EXP(-(((Inputs!$C$6)-Inputs!$C$30)^2)/(2*Inputs!$C$32^2))+-Inputs!$C$33*EXP(-(((((Scenario_Data!V209)-Inputs!$C$34)^2)+(((Inputs!$C$6)-Inputs!$C$35)^2))/(2*Inputs!$C$36^2)))+Inputs!$C$37*(0.55*SIN(2*PI()*(Scenario_Data!V209)/Inputs!$C$39)+0.35*COS(2*PI()*(Inputs!$C$6)/Inputs!$C$40)+0.2*SIN(2*PI()*((Scenario_Data!V209)+(Inputs!$C$6))/(0.5*(Inputs!$C$39+Inputs!$C$40))))+Inputs!$C$38*SIN(2*PI()*(Scenario_Data!V209)/Inputs!$C$39)*SIN(2*PI()*(Inputs!$C$6)/Inputs!$C$40)+-Inputs!$C$41*EXP(-(((Inputs!$C$6)-Inputs!$C$43)^2)/(2*Inputs!$C$44^2))*EXP(-(((Scenario_Data!V209)-Inputs!$C$42)^2)/(2*Inputs!$C$45^2))+Inputs!$C$48*(0.7*(0.45*SIN(2*PI()*(((Scenario_Data!V209)/Inputs!$C$49)+Inputs!$C$47*0.137))+0.35*COS(2*PI()*(((Inputs!$C$6)/Inputs!$C$50)+Inputs!$C$47*0.173))+0.2*SIN(2*PI()*((((Scenario_Data!V209)+(Inputs!$C$6))/(0.5*(Inputs!$C$49+Inputs!$C$50)))+Inputs!$C$47*0.097)))+0.3*(2*((SIN(((Scenario_Data!V209)*12.9898+(Inputs!$C$6)*78.233+Inputs!$C$47*37.719))*43758.5453)-INT((SIN(((Scenario_Data!V209)*12.9898+(Inputs!$C$6)*78.233+Inputs!$C$47*37.719))*43758.5453)))-1))))/1000))*COS(SQRT((Scenario_Data!V209)^2+Inputs!$C$6^2)/Inputs!$C$52))*1000)/Inputs!$C$21*1000000</f>
        <v/>
      </c>
      <c r="AV209">
        <f>Scenario_Data!W209</f>
        <v/>
      </c>
      <c r="AW209">
        <f>2*(SQRT((Inputs!$C$52+(Scenario_Data!E209))^2+(Inputs!$C$52+((IF(OR(Inputs!$C$27=TRUE,Inputs!$C$27="TRUE",Inputs!$C$27=1),1,0)*(Inputs!$C$51*(115*EXP(-(((Inputs!$C$6)-25)^2)/(4.5^2))+70*EXP(-(((Inputs!$C$6)+38)^2)/(7^2))*(0.55+0.45*SIN(2*PI()*(Scenario_Data!W209)/45))+24*SIN(2*PI()*(Inputs!$C$6)/9+(Scenario_Data!W209)/18)*EXP(-(((Inputs!$C$6)+5)^2)/(22^2))+18*SIN(2*PI()*(Scenario_Data!W209)/70))+Inputs!$C$28*EXP(-(((Scenario_Data!W209)-Inputs!$C$29)^2)/(2*Inputs!$C$31^2))*EXP(-(((Inputs!$C$6)-Inputs!$C$30)^2)/(2*Inputs!$C$32^2))+-Inputs!$C$33*EXP(-(((((Scenario_Data!W209)-Inputs!$C$34)^2)+(((Inputs!$C$6)-Inputs!$C$35)^2))/(2*Inputs!$C$36^2)))+Inputs!$C$37*(0.55*SIN(2*PI()*(Scenario_Data!W209)/Inputs!$C$39)+0.35*COS(2*PI()*(Inputs!$C$6)/Inputs!$C$40)+0.2*SIN(2*PI()*((Scenario_Data!W209)+(Inputs!$C$6))/(0.5*(Inputs!$C$39+Inputs!$C$40))))+Inputs!$C$38*SIN(2*PI()*(Scenario_Data!W209)/Inputs!$C$39)*SIN(2*PI()*(Inputs!$C$6)/Inputs!$C$40)+-Inputs!$C$41*EXP(-(((Inputs!$C$6)-Inputs!$C$43)^2)/(2*Inputs!$C$44^2))*EXP(-(((Scenario_Data!W209)-Inputs!$C$42)^2)/(2*Inputs!$C$45^2))+Inputs!$C$48*(0.7*(0.45*SIN(2*PI()*(((Scenario_Data!W209)/Inputs!$C$49)+Inputs!$C$47*0.137))+0.35*COS(2*PI()*(((Inputs!$C$6)/Inputs!$C$50)+Inputs!$C$47*0.173))+0.2*SIN(2*PI()*((((Scenario_Data!W209)+(Inputs!$C$6))/(0.5*(Inputs!$C$49+Inputs!$C$50)))+Inputs!$C$47*0.097)))+0.3*(2*((SIN(((Scenario_Data!W209)*12.9898+(Inputs!$C$6)*78.233+Inputs!$C$47*37.719))*43758.5453)-INT((SIN(((Scenario_Data!W209)*12.9898+(Inputs!$C$6)*78.233+Inputs!$C$47*37.719))*43758.5453)))-1))))/1000))^2-2*(Inputs!$C$52+(Scenario_Data!E209))*(Inputs!$C$52+((IF(OR(Inputs!$C$27=TRUE,Inputs!$C$27="TRUE",Inputs!$C$27=1),1,0)*(Inputs!$C$51*(115*EXP(-(((Inputs!$C$6)-25)^2)/(4.5^2))+70*EXP(-(((Inputs!$C$6)+38)^2)/(7^2))*(0.55+0.45*SIN(2*PI()*(Scenario_Data!W209)/45))+24*SIN(2*PI()*(Inputs!$C$6)/9+(Scenario_Data!W209)/18)*EXP(-(((Inputs!$C$6)+5)^2)/(22^2))+18*SIN(2*PI()*(Scenario_Data!W209)/70))+Inputs!$C$28*EXP(-(((Scenario_Data!W209)-Inputs!$C$29)^2)/(2*Inputs!$C$31^2))*EXP(-(((Inputs!$C$6)-Inputs!$C$30)^2)/(2*Inputs!$C$32^2))+-Inputs!$C$33*EXP(-(((((Scenario_Data!W209)-Inputs!$C$34)^2)+(((Inputs!$C$6)-Inputs!$C$35)^2))/(2*Inputs!$C$36^2)))+Inputs!$C$37*(0.55*SIN(2*PI()*(Scenario_Data!W209)/Inputs!$C$39)+0.35*COS(2*PI()*(Inputs!$C$6)/Inputs!$C$40)+0.2*SIN(2*PI()*((Scenario_Data!W209)+(Inputs!$C$6))/(0.5*(Inputs!$C$39+Inputs!$C$40))))+Inputs!$C$38*SIN(2*PI()*(Scenario_Data!W209)/Inputs!$C$39)*SIN(2*PI()*(Inputs!$C$6)/Inputs!$C$40)+-Inputs!$C$41*EXP(-(((Inputs!$C$6)-Inputs!$C$43)^2)/(2*Inputs!$C$44^2))*EXP(-(((Scenario_Data!W209)-Inputs!$C$42)^2)/(2*Inputs!$C$45^2))+Inputs!$C$48*(0.7*(0.45*SIN(2*PI()*(((Scenario_Data!W209)/Inputs!$C$49)+Inputs!$C$47*0.137))+0.35*COS(2*PI()*(((Inputs!$C$6)/Inputs!$C$50)+Inputs!$C$47*0.173))+0.2*SIN(2*PI()*((((Scenario_Data!W209)+(Inputs!$C$6))/(0.5*(Inputs!$C$49+Inputs!$C$50)))+Inputs!$C$47*0.097)))+0.3*(2*((SIN(((Scenario_Data!W209)*12.9898+(Inputs!$C$6)*78.233+Inputs!$C$47*37.719))*43758.5453)-INT((SIN(((Scenario_Data!W209)*12.9898+(Inputs!$C$6)*78.233+Inputs!$C$47*37.719))*43758.5453)))-1))))/1000))*COS(SQRT((Scenario_Data!W209)^2+Inputs!$C$6^2)/Inputs!$C$52))*1000)/Inputs!$C$21*1000000</f>
        <v/>
      </c>
    </row>
    <row r="210">
      <c r="A210">
        <f>Chart_Data!K210</f>
        <v/>
      </c>
      <c r="B210">
        <f>Chart_Data!N210-Chart_Data!L210</f>
        <v/>
      </c>
      <c r="D210">
        <f>Chart_Data!G210</f>
        <v/>
      </c>
      <c r="E210">
        <f>Chart_Data!H210</f>
        <v/>
      </c>
      <c r="F210">
        <f>Chart_Data!I210</f>
        <v/>
      </c>
      <c r="G210">
        <f>Chart_Data!J210</f>
        <v/>
      </c>
      <c r="I210">
        <f>Scenario_Data!A210</f>
        <v/>
      </c>
      <c r="J210">
        <f>Scenario_Data!H210-(((SQRT((Inputs!$C$52+(Inputs!$H$6))^2+Inputs!$C$52^2-2*(Inputs!$C$52+(Inputs!$H$6))*Inputs!$C$52*COS(SQRT((Scenario_Data!T210)^2+Inputs!$C$6^2)/Inputs!$C$52)))-(Inputs!$H$6))*1000/Inputs!$C$12)</f>
        <v/>
      </c>
      <c r="K210">
        <f>Scenario_Data!I210-(((SQRT((Inputs!$C$52+(Inputs!$H$7))^2+Inputs!$C$52^2-2*(Inputs!$C$52+(Inputs!$H$7))*Inputs!$C$52*COS(SQRT((Scenario_Data!U210)^2+Inputs!$C$6^2)/Inputs!$C$52)))-(Inputs!$H$7))*1000/Inputs!$C$12)</f>
        <v/>
      </c>
      <c r="L210">
        <f>Scenario_Data!J210-(((SQRT((Inputs!$C$52+(Inputs!$H$8))^2+Inputs!$C$52^2-2*(Inputs!$C$52+(Inputs!$H$8))*Inputs!$C$52*COS(SQRT((Scenario_Data!V210)^2+Inputs!$C$6^2)/Inputs!$C$52)))-(Inputs!$H$8))*1000/Inputs!$C$12)</f>
        <v/>
      </c>
      <c r="M210">
        <f>Scenario_Data!K210-(((SQRT((Inputs!$C$52+(Inputs!$H$9))^2+Inputs!$C$52^2-2*(Inputs!$C$52+(Inputs!$H$9))*Inputs!$C$52*COS(SQRT((Scenario_Data!W210)^2+Inputs!$C$6^2)/Inputs!$C$52)))-(Inputs!$H$9))*1000/Inputs!$C$12)</f>
        <v/>
      </c>
      <c r="O210">
        <f>Scenario_Data!T210</f>
        <v/>
      </c>
      <c r="P210">
        <f>2*(Scenario_Data!B210*1000)/Inputs!$C$21*1000000</f>
        <v/>
      </c>
      <c r="Q210">
        <f>Scenario_Data!U210</f>
        <v/>
      </c>
      <c r="R210">
        <f>2*(Scenario_Data!C210*1000)/Inputs!$C$21*1000000</f>
        <v/>
      </c>
      <c r="S210">
        <f>Scenario_Data!V210</f>
        <v/>
      </c>
      <c r="T210">
        <f>2*(Scenario_Data!D210*1000)/Inputs!$C$21*1000000</f>
        <v/>
      </c>
      <c r="U210">
        <f>Scenario_Data!W210</f>
        <v/>
      </c>
      <c r="V210">
        <f>2*(Scenario_Data!E210*1000)/Inputs!$C$21*1000000</f>
        <v/>
      </c>
      <c r="X210">
        <f>Scenario_Data!T210</f>
        <v/>
      </c>
      <c r="Y210">
        <f>2*((Scenario_Data!B210*1000)-(IF(OR(Inputs!$C$27=TRUE,Inputs!$C$27="TRUE",Inputs!$C$27=1),1,0)*(Inputs!$C$51*(115*EXP(-(((0)-25)^2)/(4.5^2))+70*EXP(-(((0)+38)^2)/(7^2))*(0.55+0.45*SIN(2*PI()*(Scenario_Data!T210)/45))+24*SIN(2*PI()*(0)/9+(Scenario_Data!T210)/18)*EXP(-(((0)+5)^2)/(22^2))+18*SIN(2*PI()*(Scenario_Data!T210)/70))+Inputs!$C$28*EXP(-(((Scenario_Data!T210)-Inputs!$C$29)^2)/(2*Inputs!$C$31^2))*EXP(-(((0)-Inputs!$C$30)^2)/(2*Inputs!$C$32^2))+-Inputs!$C$33*EXP(-(((((Scenario_Data!T210)-Inputs!$C$34)^2)+(((0)-Inputs!$C$35)^2))/(2*Inputs!$C$36^2)))+Inputs!$C$37*(0.55*SIN(2*PI()*(Scenario_Data!T210)/Inputs!$C$39)+0.35*COS(2*PI()*(0)/Inputs!$C$40)+0.2*SIN(2*PI()*((Scenario_Data!T210)+(0))/(0.5*(Inputs!$C$39+Inputs!$C$40))))+Inputs!$C$38*SIN(2*PI()*(Scenario_Data!T210)/Inputs!$C$39)*SIN(2*PI()*(0)/Inputs!$C$40)+-Inputs!$C$41*EXP(-(((0)-Inputs!$C$43)^2)/(2*Inputs!$C$44^2))*EXP(-(((Scenario_Data!T210)-Inputs!$C$42)^2)/(2*Inputs!$C$45^2))+Inputs!$C$48*(0.7*(0.45*SIN(2*PI()*(((Scenario_Data!T210)/Inputs!$C$49)+Inputs!$C$47*0.137))+0.35*COS(2*PI()*(((0)/Inputs!$C$50)+Inputs!$C$47*0.173))+0.2*SIN(2*PI()*((((Scenario_Data!T210)+(0))/(0.5*(Inputs!$C$49+Inputs!$C$50)))+Inputs!$C$47*0.097)))+0.3*(2*((SIN(((Scenario_Data!T210)*12.9898+(0)*78.233+Inputs!$C$47*37.719))*43758.5453)-INT((SIN(((Scenario_Data!T210)*12.9898+(0)*78.233+Inputs!$C$47*37.719))*43758.5453)))-1)))))/Inputs!$C$21*1000000</f>
        <v/>
      </c>
      <c r="Z210">
        <f>Scenario_Data!U210</f>
        <v/>
      </c>
      <c r="AA210">
        <f>2*((Scenario_Data!C210*1000)-(IF(OR(Inputs!$C$27=TRUE,Inputs!$C$27="TRUE",Inputs!$C$27=1),1,0)*(Inputs!$C$51*(115*EXP(-(((0)-25)^2)/(4.5^2))+70*EXP(-(((0)+38)^2)/(7^2))*(0.55+0.45*SIN(2*PI()*(Scenario_Data!U210)/45))+24*SIN(2*PI()*(0)/9+(Scenario_Data!U210)/18)*EXP(-(((0)+5)^2)/(22^2))+18*SIN(2*PI()*(Scenario_Data!U210)/70))+Inputs!$C$28*EXP(-(((Scenario_Data!U210)-Inputs!$C$29)^2)/(2*Inputs!$C$31^2))*EXP(-(((0)-Inputs!$C$30)^2)/(2*Inputs!$C$32^2))+-Inputs!$C$33*EXP(-(((((Scenario_Data!U210)-Inputs!$C$34)^2)+(((0)-Inputs!$C$35)^2))/(2*Inputs!$C$36^2)))+Inputs!$C$37*(0.55*SIN(2*PI()*(Scenario_Data!U210)/Inputs!$C$39)+0.35*COS(2*PI()*(0)/Inputs!$C$40)+0.2*SIN(2*PI()*((Scenario_Data!U210)+(0))/(0.5*(Inputs!$C$39+Inputs!$C$40))))+Inputs!$C$38*SIN(2*PI()*(Scenario_Data!U210)/Inputs!$C$39)*SIN(2*PI()*(0)/Inputs!$C$40)+-Inputs!$C$41*EXP(-(((0)-Inputs!$C$43)^2)/(2*Inputs!$C$44^2))*EXP(-(((Scenario_Data!U210)-Inputs!$C$42)^2)/(2*Inputs!$C$45^2))+Inputs!$C$48*(0.7*(0.45*SIN(2*PI()*(((Scenario_Data!U210)/Inputs!$C$49)+Inputs!$C$47*0.137))+0.35*COS(2*PI()*(((0)/Inputs!$C$50)+Inputs!$C$47*0.173))+0.2*SIN(2*PI()*((((Scenario_Data!U210)+(0))/(0.5*(Inputs!$C$49+Inputs!$C$50)))+Inputs!$C$47*0.097)))+0.3*(2*((SIN(((Scenario_Data!U210)*12.9898+(0)*78.233+Inputs!$C$47*37.719))*43758.5453)-INT((SIN(((Scenario_Data!U210)*12.9898+(0)*78.233+Inputs!$C$47*37.719))*43758.5453)))-1)))))/Inputs!$C$21*1000000</f>
        <v/>
      </c>
      <c r="AB210">
        <f>Scenario_Data!V210</f>
        <v/>
      </c>
      <c r="AC210">
        <f>2*((Scenario_Data!D210*1000)-(IF(OR(Inputs!$C$27=TRUE,Inputs!$C$27="TRUE",Inputs!$C$27=1),1,0)*(Inputs!$C$51*(115*EXP(-(((0)-25)^2)/(4.5^2))+70*EXP(-(((0)+38)^2)/(7^2))*(0.55+0.45*SIN(2*PI()*(Scenario_Data!V210)/45))+24*SIN(2*PI()*(0)/9+(Scenario_Data!V210)/18)*EXP(-(((0)+5)^2)/(22^2))+18*SIN(2*PI()*(Scenario_Data!V210)/70))+Inputs!$C$28*EXP(-(((Scenario_Data!V210)-Inputs!$C$29)^2)/(2*Inputs!$C$31^2))*EXP(-(((0)-Inputs!$C$30)^2)/(2*Inputs!$C$32^2))+-Inputs!$C$33*EXP(-(((((Scenario_Data!V210)-Inputs!$C$34)^2)+(((0)-Inputs!$C$35)^2))/(2*Inputs!$C$36^2)))+Inputs!$C$37*(0.55*SIN(2*PI()*(Scenario_Data!V210)/Inputs!$C$39)+0.35*COS(2*PI()*(0)/Inputs!$C$40)+0.2*SIN(2*PI()*((Scenario_Data!V210)+(0))/(0.5*(Inputs!$C$39+Inputs!$C$40))))+Inputs!$C$38*SIN(2*PI()*(Scenario_Data!V210)/Inputs!$C$39)*SIN(2*PI()*(0)/Inputs!$C$40)+-Inputs!$C$41*EXP(-(((0)-Inputs!$C$43)^2)/(2*Inputs!$C$44^2))*EXP(-(((Scenario_Data!V210)-Inputs!$C$42)^2)/(2*Inputs!$C$45^2))+Inputs!$C$48*(0.7*(0.45*SIN(2*PI()*(((Scenario_Data!V210)/Inputs!$C$49)+Inputs!$C$47*0.137))+0.35*COS(2*PI()*(((0)/Inputs!$C$50)+Inputs!$C$47*0.173))+0.2*SIN(2*PI()*((((Scenario_Data!V210)+(0))/(0.5*(Inputs!$C$49+Inputs!$C$50)))+Inputs!$C$47*0.097)))+0.3*(2*((SIN(((Scenario_Data!V210)*12.9898+(0)*78.233+Inputs!$C$47*37.719))*43758.5453)-INT((SIN(((Scenario_Data!V210)*12.9898+(0)*78.233+Inputs!$C$47*37.719))*43758.5453)))-1)))))/Inputs!$C$21*1000000</f>
        <v/>
      </c>
      <c r="AD210">
        <f>Scenario_Data!W210</f>
        <v/>
      </c>
      <c r="AE210">
        <f>2*((Scenario_Data!E210*1000)-(IF(OR(Inputs!$C$27=TRUE,Inputs!$C$27="TRUE",Inputs!$C$27=1),1,0)*(Inputs!$C$51*(115*EXP(-(((0)-25)^2)/(4.5^2))+70*EXP(-(((0)+38)^2)/(7^2))*(0.55+0.45*SIN(2*PI()*(Scenario_Data!W210)/45))+24*SIN(2*PI()*(0)/9+(Scenario_Data!W210)/18)*EXP(-(((0)+5)^2)/(22^2))+18*SIN(2*PI()*(Scenario_Data!W210)/70))+Inputs!$C$28*EXP(-(((Scenario_Data!W210)-Inputs!$C$29)^2)/(2*Inputs!$C$31^2))*EXP(-(((0)-Inputs!$C$30)^2)/(2*Inputs!$C$32^2))+-Inputs!$C$33*EXP(-(((((Scenario_Data!W210)-Inputs!$C$34)^2)+(((0)-Inputs!$C$35)^2))/(2*Inputs!$C$36^2)))+Inputs!$C$37*(0.55*SIN(2*PI()*(Scenario_Data!W210)/Inputs!$C$39)+0.35*COS(2*PI()*(0)/Inputs!$C$40)+0.2*SIN(2*PI()*((Scenario_Data!W210)+(0))/(0.5*(Inputs!$C$39+Inputs!$C$40))))+Inputs!$C$38*SIN(2*PI()*(Scenario_Data!W210)/Inputs!$C$39)*SIN(2*PI()*(0)/Inputs!$C$40)+-Inputs!$C$41*EXP(-(((0)-Inputs!$C$43)^2)/(2*Inputs!$C$44^2))*EXP(-(((Scenario_Data!W210)-Inputs!$C$42)^2)/(2*Inputs!$C$45^2))+Inputs!$C$48*(0.7*(0.45*SIN(2*PI()*(((Scenario_Data!W210)/Inputs!$C$49)+Inputs!$C$47*0.137))+0.35*COS(2*PI()*(((0)/Inputs!$C$50)+Inputs!$C$47*0.173))+0.2*SIN(2*PI()*((((Scenario_Data!W210)+(0))/(0.5*(Inputs!$C$49+Inputs!$C$50)))+Inputs!$C$47*0.097)))+0.3*(2*((SIN(((Scenario_Data!W210)*12.9898+(0)*78.233+Inputs!$C$47*37.719))*43758.5453)-INT((SIN(((Scenario_Data!W210)*12.9898+(0)*78.233+Inputs!$C$47*37.719))*43758.5453)))-1)))))/Inputs!$C$21*1000000</f>
        <v/>
      </c>
      <c r="AG210">
        <f>Scenario_Data!T210</f>
        <v/>
      </c>
      <c r="AH210">
        <f>2*(SQRT((Inputs!$C$52+(Scenario_Data!B210))^2+Inputs!$C$52^2-2*(Inputs!$C$52+(Scenario_Data!B210))*Inputs!$C$52*COS(SQRT((Scenario_Data!T210)^2+Inputs!$C$6^2)/Inputs!$C$52))*1000)/Inputs!$C$21*1000000</f>
        <v/>
      </c>
      <c r="AI210">
        <f>Scenario_Data!U210</f>
        <v/>
      </c>
      <c r="AJ210">
        <f>2*(SQRT((Inputs!$C$52+(Scenario_Data!C210))^2+Inputs!$C$52^2-2*(Inputs!$C$52+(Scenario_Data!C210))*Inputs!$C$52*COS(SQRT((Scenario_Data!U210)^2+Inputs!$C$6^2)/Inputs!$C$52))*1000)/Inputs!$C$21*1000000</f>
        <v/>
      </c>
      <c r="AK210">
        <f>Scenario_Data!V210</f>
        <v/>
      </c>
      <c r="AL210">
        <f>2*(SQRT((Inputs!$C$52+(Scenario_Data!D210))^2+Inputs!$C$52^2-2*(Inputs!$C$52+(Scenario_Data!D210))*Inputs!$C$52*COS(SQRT((Scenario_Data!V210)^2+Inputs!$C$6^2)/Inputs!$C$52))*1000)/Inputs!$C$21*1000000</f>
        <v/>
      </c>
      <c r="AM210">
        <f>Scenario_Data!W210</f>
        <v/>
      </c>
      <c r="AN210">
        <f>2*(SQRT((Inputs!$C$52+(Scenario_Data!E210))^2+Inputs!$C$52^2-2*(Inputs!$C$52+(Scenario_Data!E210))*Inputs!$C$52*COS(SQRT((Scenario_Data!W210)^2+Inputs!$C$6^2)/Inputs!$C$52))*1000)/Inputs!$C$21*1000000</f>
        <v/>
      </c>
      <c r="AP210">
        <f>Scenario_Data!T210</f>
        <v/>
      </c>
      <c r="AQ210">
        <f>2*(SQRT((Inputs!$C$52+(Scenario_Data!B210))^2+(Inputs!$C$52+((IF(OR(Inputs!$C$27=TRUE,Inputs!$C$27="TRUE",Inputs!$C$27=1),1,0)*(Inputs!$C$51*(115*EXP(-(((Inputs!$C$6)-25)^2)/(4.5^2))+70*EXP(-(((Inputs!$C$6)+38)^2)/(7^2))*(0.55+0.45*SIN(2*PI()*(Scenario_Data!T210)/45))+24*SIN(2*PI()*(Inputs!$C$6)/9+(Scenario_Data!T210)/18)*EXP(-(((Inputs!$C$6)+5)^2)/(22^2))+18*SIN(2*PI()*(Scenario_Data!T210)/70))+Inputs!$C$28*EXP(-(((Scenario_Data!T210)-Inputs!$C$29)^2)/(2*Inputs!$C$31^2))*EXP(-(((Inputs!$C$6)-Inputs!$C$30)^2)/(2*Inputs!$C$32^2))+-Inputs!$C$33*EXP(-(((((Scenario_Data!T210)-Inputs!$C$34)^2)+(((Inputs!$C$6)-Inputs!$C$35)^2))/(2*Inputs!$C$36^2)))+Inputs!$C$37*(0.55*SIN(2*PI()*(Scenario_Data!T210)/Inputs!$C$39)+0.35*COS(2*PI()*(Inputs!$C$6)/Inputs!$C$40)+0.2*SIN(2*PI()*((Scenario_Data!T210)+(Inputs!$C$6))/(0.5*(Inputs!$C$39+Inputs!$C$40))))+Inputs!$C$38*SIN(2*PI()*(Scenario_Data!T210)/Inputs!$C$39)*SIN(2*PI()*(Inputs!$C$6)/Inputs!$C$40)+-Inputs!$C$41*EXP(-(((Inputs!$C$6)-Inputs!$C$43)^2)/(2*Inputs!$C$44^2))*EXP(-(((Scenario_Data!T210)-Inputs!$C$42)^2)/(2*Inputs!$C$45^2))+Inputs!$C$48*(0.7*(0.45*SIN(2*PI()*(((Scenario_Data!T210)/Inputs!$C$49)+Inputs!$C$47*0.137))+0.35*COS(2*PI()*(((Inputs!$C$6)/Inputs!$C$50)+Inputs!$C$47*0.173))+0.2*SIN(2*PI()*((((Scenario_Data!T210)+(Inputs!$C$6))/(0.5*(Inputs!$C$49+Inputs!$C$50)))+Inputs!$C$47*0.097)))+0.3*(2*((SIN(((Scenario_Data!T210)*12.9898+(Inputs!$C$6)*78.233+Inputs!$C$47*37.719))*43758.5453)-INT((SIN(((Scenario_Data!T210)*12.9898+(Inputs!$C$6)*78.233+Inputs!$C$47*37.719))*43758.5453)))-1))))/1000))^2-2*(Inputs!$C$52+(Scenario_Data!B210))*(Inputs!$C$52+((IF(OR(Inputs!$C$27=TRUE,Inputs!$C$27="TRUE",Inputs!$C$27=1),1,0)*(Inputs!$C$51*(115*EXP(-(((Inputs!$C$6)-25)^2)/(4.5^2))+70*EXP(-(((Inputs!$C$6)+38)^2)/(7^2))*(0.55+0.45*SIN(2*PI()*(Scenario_Data!T210)/45))+24*SIN(2*PI()*(Inputs!$C$6)/9+(Scenario_Data!T210)/18)*EXP(-(((Inputs!$C$6)+5)^2)/(22^2))+18*SIN(2*PI()*(Scenario_Data!T210)/70))+Inputs!$C$28*EXP(-(((Scenario_Data!T210)-Inputs!$C$29)^2)/(2*Inputs!$C$31^2))*EXP(-(((Inputs!$C$6)-Inputs!$C$30)^2)/(2*Inputs!$C$32^2))+-Inputs!$C$33*EXP(-(((((Scenario_Data!T210)-Inputs!$C$34)^2)+(((Inputs!$C$6)-Inputs!$C$35)^2))/(2*Inputs!$C$36^2)))+Inputs!$C$37*(0.55*SIN(2*PI()*(Scenario_Data!T210)/Inputs!$C$39)+0.35*COS(2*PI()*(Inputs!$C$6)/Inputs!$C$40)+0.2*SIN(2*PI()*((Scenario_Data!T210)+(Inputs!$C$6))/(0.5*(Inputs!$C$39+Inputs!$C$40))))+Inputs!$C$38*SIN(2*PI()*(Scenario_Data!T210)/Inputs!$C$39)*SIN(2*PI()*(Inputs!$C$6)/Inputs!$C$40)+-Inputs!$C$41*EXP(-(((Inputs!$C$6)-Inputs!$C$43)^2)/(2*Inputs!$C$44^2))*EXP(-(((Scenario_Data!T210)-Inputs!$C$42)^2)/(2*Inputs!$C$45^2))+Inputs!$C$48*(0.7*(0.45*SIN(2*PI()*(((Scenario_Data!T210)/Inputs!$C$49)+Inputs!$C$47*0.137))+0.35*COS(2*PI()*(((Inputs!$C$6)/Inputs!$C$50)+Inputs!$C$47*0.173))+0.2*SIN(2*PI()*((((Scenario_Data!T210)+(Inputs!$C$6))/(0.5*(Inputs!$C$49+Inputs!$C$50)))+Inputs!$C$47*0.097)))+0.3*(2*((SIN(((Scenario_Data!T210)*12.9898+(Inputs!$C$6)*78.233+Inputs!$C$47*37.719))*43758.5453)-INT((SIN(((Scenario_Data!T210)*12.9898+(Inputs!$C$6)*78.233+Inputs!$C$47*37.719))*43758.5453)))-1))))/1000))*COS(SQRT((Scenario_Data!T210)^2+Inputs!$C$6^2)/Inputs!$C$52))*1000)/Inputs!$C$21*1000000</f>
        <v/>
      </c>
      <c r="AR210">
        <f>Scenario_Data!U210</f>
        <v/>
      </c>
      <c r="AS210">
        <f>2*(SQRT((Inputs!$C$52+(Scenario_Data!C210))^2+(Inputs!$C$52+((IF(OR(Inputs!$C$27=TRUE,Inputs!$C$27="TRUE",Inputs!$C$27=1),1,0)*(Inputs!$C$51*(115*EXP(-(((Inputs!$C$6)-25)^2)/(4.5^2))+70*EXP(-(((Inputs!$C$6)+38)^2)/(7^2))*(0.55+0.45*SIN(2*PI()*(Scenario_Data!U210)/45))+24*SIN(2*PI()*(Inputs!$C$6)/9+(Scenario_Data!U210)/18)*EXP(-(((Inputs!$C$6)+5)^2)/(22^2))+18*SIN(2*PI()*(Scenario_Data!U210)/70))+Inputs!$C$28*EXP(-(((Scenario_Data!U210)-Inputs!$C$29)^2)/(2*Inputs!$C$31^2))*EXP(-(((Inputs!$C$6)-Inputs!$C$30)^2)/(2*Inputs!$C$32^2))+-Inputs!$C$33*EXP(-(((((Scenario_Data!U210)-Inputs!$C$34)^2)+(((Inputs!$C$6)-Inputs!$C$35)^2))/(2*Inputs!$C$36^2)))+Inputs!$C$37*(0.55*SIN(2*PI()*(Scenario_Data!U210)/Inputs!$C$39)+0.35*COS(2*PI()*(Inputs!$C$6)/Inputs!$C$40)+0.2*SIN(2*PI()*((Scenario_Data!U210)+(Inputs!$C$6))/(0.5*(Inputs!$C$39+Inputs!$C$40))))+Inputs!$C$38*SIN(2*PI()*(Scenario_Data!U210)/Inputs!$C$39)*SIN(2*PI()*(Inputs!$C$6)/Inputs!$C$40)+-Inputs!$C$41*EXP(-(((Inputs!$C$6)-Inputs!$C$43)^2)/(2*Inputs!$C$44^2))*EXP(-(((Scenario_Data!U210)-Inputs!$C$42)^2)/(2*Inputs!$C$45^2))+Inputs!$C$48*(0.7*(0.45*SIN(2*PI()*(((Scenario_Data!U210)/Inputs!$C$49)+Inputs!$C$47*0.137))+0.35*COS(2*PI()*(((Inputs!$C$6)/Inputs!$C$50)+Inputs!$C$47*0.173))+0.2*SIN(2*PI()*((((Scenario_Data!U210)+(Inputs!$C$6))/(0.5*(Inputs!$C$49+Inputs!$C$50)))+Inputs!$C$47*0.097)))+0.3*(2*((SIN(((Scenario_Data!U210)*12.9898+(Inputs!$C$6)*78.233+Inputs!$C$47*37.719))*43758.5453)-INT((SIN(((Scenario_Data!U210)*12.9898+(Inputs!$C$6)*78.233+Inputs!$C$47*37.719))*43758.5453)))-1))))/1000))^2-2*(Inputs!$C$52+(Scenario_Data!C210))*(Inputs!$C$52+((IF(OR(Inputs!$C$27=TRUE,Inputs!$C$27="TRUE",Inputs!$C$27=1),1,0)*(Inputs!$C$51*(115*EXP(-(((Inputs!$C$6)-25)^2)/(4.5^2))+70*EXP(-(((Inputs!$C$6)+38)^2)/(7^2))*(0.55+0.45*SIN(2*PI()*(Scenario_Data!U210)/45))+24*SIN(2*PI()*(Inputs!$C$6)/9+(Scenario_Data!U210)/18)*EXP(-(((Inputs!$C$6)+5)^2)/(22^2))+18*SIN(2*PI()*(Scenario_Data!U210)/70))+Inputs!$C$28*EXP(-(((Scenario_Data!U210)-Inputs!$C$29)^2)/(2*Inputs!$C$31^2))*EXP(-(((Inputs!$C$6)-Inputs!$C$30)^2)/(2*Inputs!$C$32^2))+-Inputs!$C$33*EXP(-(((((Scenario_Data!U210)-Inputs!$C$34)^2)+(((Inputs!$C$6)-Inputs!$C$35)^2))/(2*Inputs!$C$36^2)))+Inputs!$C$37*(0.55*SIN(2*PI()*(Scenario_Data!U210)/Inputs!$C$39)+0.35*COS(2*PI()*(Inputs!$C$6)/Inputs!$C$40)+0.2*SIN(2*PI()*((Scenario_Data!U210)+(Inputs!$C$6))/(0.5*(Inputs!$C$39+Inputs!$C$40))))+Inputs!$C$38*SIN(2*PI()*(Scenario_Data!U210)/Inputs!$C$39)*SIN(2*PI()*(Inputs!$C$6)/Inputs!$C$40)+-Inputs!$C$41*EXP(-(((Inputs!$C$6)-Inputs!$C$43)^2)/(2*Inputs!$C$44^2))*EXP(-(((Scenario_Data!U210)-Inputs!$C$42)^2)/(2*Inputs!$C$45^2))+Inputs!$C$48*(0.7*(0.45*SIN(2*PI()*(((Scenario_Data!U210)/Inputs!$C$49)+Inputs!$C$47*0.137))+0.35*COS(2*PI()*(((Inputs!$C$6)/Inputs!$C$50)+Inputs!$C$47*0.173))+0.2*SIN(2*PI()*((((Scenario_Data!U210)+(Inputs!$C$6))/(0.5*(Inputs!$C$49+Inputs!$C$50)))+Inputs!$C$47*0.097)))+0.3*(2*((SIN(((Scenario_Data!U210)*12.9898+(Inputs!$C$6)*78.233+Inputs!$C$47*37.719))*43758.5453)-INT((SIN(((Scenario_Data!U210)*12.9898+(Inputs!$C$6)*78.233+Inputs!$C$47*37.719))*43758.5453)))-1))))/1000))*COS(SQRT((Scenario_Data!U210)^2+Inputs!$C$6^2)/Inputs!$C$52))*1000)/Inputs!$C$21*1000000</f>
        <v/>
      </c>
      <c r="AT210">
        <f>Scenario_Data!V210</f>
        <v/>
      </c>
      <c r="AU210">
        <f>2*(SQRT((Inputs!$C$52+(Scenario_Data!D210))^2+(Inputs!$C$52+((IF(OR(Inputs!$C$27=TRUE,Inputs!$C$27="TRUE",Inputs!$C$27=1),1,0)*(Inputs!$C$51*(115*EXP(-(((Inputs!$C$6)-25)^2)/(4.5^2))+70*EXP(-(((Inputs!$C$6)+38)^2)/(7^2))*(0.55+0.45*SIN(2*PI()*(Scenario_Data!V210)/45))+24*SIN(2*PI()*(Inputs!$C$6)/9+(Scenario_Data!V210)/18)*EXP(-(((Inputs!$C$6)+5)^2)/(22^2))+18*SIN(2*PI()*(Scenario_Data!V210)/70))+Inputs!$C$28*EXP(-(((Scenario_Data!V210)-Inputs!$C$29)^2)/(2*Inputs!$C$31^2))*EXP(-(((Inputs!$C$6)-Inputs!$C$30)^2)/(2*Inputs!$C$32^2))+-Inputs!$C$33*EXP(-(((((Scenario_Data!V210)-Inputs!$C$34)^2)+(((Inputs!$C$6)-Inputs!$C$35)^2))/(2*Inputs!$C$36^2)))+Inputs!$C$37*(0.55*SIN(2*PI()*(Scenario_Data!V210)/Inputs!$C$39)+0.35*COS(2*PI()*(Inputs!$C$6)/Inputs!$C$40)+0.2*SIN(2*PI()*((Scenario_Data!V210)+(Inputs!$C$6))/(0.5*(Inputs!$C$39+Inputs!$C$40))))+Inputs!$C$38*SIN(2*PI()*(Scenario_Data!V210)/Inputs!$C$39)*SIN(2*PI()*(Inputs!$C$6)/Inputs!$C$40)+-Inputs!$C$41*EXP(-(((Inputs!$C$6)-Inputs!$C$43)^2)/(2*Inputs!$C$44^2))*EXP(-(((Scenario_Data!V210)-Inputs!$C$42)^2)/(2*Inputs!$C$45^2))+Inputs!$C$48*(0.7*(0.45*SIN(2*PI()*(((Scenario_Data!V210)/Inputs!$C$49)+Inputs!$C$47*0.137))+0.35*COS(2*PI()*(((Inputs!$C$6)/Inputs!$C$50)+Inputs!$C$47*0.173))+0.2*SIN(2*PI()*((((Scenario_Data!V210)+(Inputs!$C$6))/(0.5*(Inputs!$C$49+Inputs!$C$50)))+Inputs!$C$47*0.097)))+0.3*(2*((SIN(((Scenario_Data!V210)*12.9898+(Inputs!$C$6)*78.233+Inputs!$C$47*37.719))*43758.5453)-INT((SIN(((Scenario_Data!V210)*12.9898+(Inputs!$C$6)*78.233+Inputs!$C$47*37.719))*43758.5453)))-1))))/1000))^2-2*(Inputs!$C$52+(Scenario_Data!D210))*(Inputs!$C$52+((IF(OR(Inputs!$C$27=TRUE,Inputs!$C$27="TRUE",Inputs!$C$27=1),1,0)*(Inputs!$C$51*(115*EXP(-(((Inputs!$C$6)-25)^2)/(4.5^2))+70*EXP(-(((Inputs!$C$6)+38)^2)/(7^2))*(0.55+0.45*SIN(2*PI()*(Scenario_Data!V210)/45))+24*SIN(2*PI()*(Inputs!$C$6)/9+(Scenario_Data!V210)/18)*EXP(-(((Inputs!$C$6)+5)^2)/(22^2))+18*SIN(2*PI()*(Scenario_Data!V210)/70))+Inputs!$C$28*EXP(-(((Scenario_Data!V210)-Inputs!$C$29)^2)/(2*Inputs!$C$31^2))*EXP(-(((Inputs!$C$6)-Inputs!$C$30)^2)/(2*Inputs!$C$32^2))+-Inputs!$C$33*EXP(-(((((Scenario_Data!V210)-Inputs!$C$34)^2)+(((Inputs!$C$6)-Inputs!$C$35)^2))/(2*Inputs!$C$36^2)))+Inputs!$C$37*(0.55*SIN(2*PI()*(Scenario_Data!V210)/Inputs!$C$39)+0.35*COS(2*PI()*(Inputs!$C$6)/Inputs!$C$40)+0.2*SIN(2*PI()*((Scenario_Data!V210)+(Inputs!$C$6))/(0.5*(Inputs!$C$39+Inputs!$C$40))))+Inputs!$C$38*SIN(2*PI()*(Scenario_Data!V210)/Inputs!$C$39)*SIN(2*PI()*(Inputs!$C$6)/Inputs!$C$40)+-Inputs!$C$41*EXP(-(((Inputs!$C$6)-Inputs!$C$43)^2)/(2*Inputs!$C$44^2))*EXP(-(((Scenario_Data!V210)-Inputs!$C$42)^2)/(2*Inputs!$C$45^2))+Inputs!$C$48*(0.7*(0.45*SIN(2*PI()*(((Scenario_Data!V210)/Inputs!$C$49)+Inputs!$C$47*0.137))+0.35*COS(2*PI()*(((Inputs!$C$6)/Inputs!$C$50)+Inputs!$C$47*0.173))+0.2*SIN(2*PI()*((((Scenario_Data!V210)+(Inputs!$C$6))/(0.5*(Inputs!$C$49+Inputs!$C$50)))+Inputs!$C$47*0.097)))+0.3*(2*((SIN(((Scenario_Data!V210)*12.9898+(Inputs!$C$6)*78.233+Inputs!$C$47*37.719))*43758.5453)-INT((SIN(((Scenario_Data!V210)*12.9898+(Inputs!$C$6)*78.233+Inputs!$C$47*37.719))*43758.5453)))-1))))/1000))*COS(SQRT((Scenario_Data!V210)^2+Inputs!$C$6^2)/Inputs!$C$52))*1000)/Inputs!$C$21*1000000</f>
        <v/>
      </c>
      <c r="AV210">
        <f>Scenario_Data!W210</f>
        <v/>
      </c>
      <c r="AW210">
        <f>2*(SQRT((Inputs!$C$52+(Scenario_Data!E210))^2+(Inputs!$C$52+((IF(OR(Inputs!$C$27=TRUE,Inputs!$C$27="TRUE",Inputs!$C$27=1),1,0)*(Inputs!$C$51*(115*EXP(-(((Inputs!$C$6)-25)^2)/(4.5^2))+70*EXP(-(((Inputs!$C$6)+38)^2)/(7^2))*(0.55+0.45*SIN(2*PI()*(Scenario_Data!W210)/45))+24*SIN(2*PI()*(Inputs!$C$6)/9+(Scenario_Data!W210)/18)*EXP(-(((Inputs!$C$6)+5)^2)/(22^2))+18*SIN(2*PI()*(Scenario_Data!W210)/70))+Inputs!$C$28*EXP(-(((Scenario_Data!W210)-Inputs!$C$29)^2)/(2*Inputs!$C$31^2))*EXP(-(((Inputs!$C$6)-Inputs!$C$30)^2)/(2*Inputs!$C$32^2))+-Inputs!$C$33*EXP(-(((((Scenario_Data!W210)-Inputs!$C$34)^2)+(((Inputs!$C$6)-Inputs!$C$35)^2))/(2*Inputs!$C$36^2)))+Inputs!$C$37*(0.55*SIN(2*PI()*(Scenario_Data!W210)/Inputs!$C$39)+0.35*COS(2*PI()*(Inputs!$C$6)/Inputs!$C$40)+0.2*SIN(2*PI()*((Scenario_Data!W210)+(Inputs!$C$6))/(0.5*(Inputs!$C$39+Inputs!$C$40))))+Inputs!$C$38*SIN(2*PI()*(Scenario_Data!W210)/Inputs!$C$39)*SIN(2*PI()*(Inputs!$C$6)/Inputs!$C$40)+-Inputs!$C$41*EXP(-(((Inputs!$C$6)-Inputs!$C$43)^2)/(2*Inputs!$C$44^2))*EXP(-(((Scenario_Data!W210)-Inputs!$C$42)^2)/(2*Inputs!$C$45^2))+Inputs!$C$48*(0.7*(0.45*SIN(2*PI()*(((Scenario_Data!W210)/Inputs!$C$49)+Inputs!$C$47*0.137))+0.35*COS(2*PI()*(((Inputs!$C$6)/Inputs!$C$50)+Inputs!$C$47*0.173))+0.2*SIN(2*PI()*((((Scenario_Data!W210)+(Inputs!$C$6))/(0.5*(Inputs!$C$49+Inputs!$C$50)))+Inputs!$C$47*0.097)))+0.3*(2*((SIN(((Scenario_Data!W210)*12.9898+(Inputs!$C$6)*78.233+Inputs!$C$47*37.719))*43758.5453)-INT((SIN(((Scenario_Data!W210)*12.9898+(Inputs!$C$6)*78.233+Inputs!$C$47*37.719))*43758.5453)))-1))))/1000))^2-2*(Inputs!$C$52+(Scenario_Data!E210))*(Inputs!$C$52+((IF(OR(Inputs!$C$27=TRUE,Inputs!$C$27="TRUE",Inputs!$C$27=1),1,0)*(Inputs!$C$51*(115*EXP(-(((Inputs!$C$6)-25)^2)/(4.5^2))+70*EXP(-(((Inputs!$C$6)+38)^2)/(7^2))*(0.55+0.45*SIN(2*PI()*(Scenario_Data!W210)/45))+24*SIN(2*PI()*(Inputs!$C$6)/9+(Scenario_Data!W210)/18)*EXP(-(((Inputs!$C$6)+5)^2)/(22^2))+18*SIN(2*PI()*(Scenario_Data!W210)/70))+Inputs!$C$28*EXP(-(((Scenario_Data!W210)-Inputs!$C$29)^2)/(2*Inputs!$C$31^2))*EXP(-(((Inputs!$C$6)-Inputs!$C$30)^2)/(2*Inputs!$C$32^2))+-Inputs!$C$33*EXP(-(((((Scenario_Data!W210)-Inputs!$C$34)^2)+(((Inputs!$C$6)-Inputs!$C$35)^2))/(2*Inputs!$C$36^2)))+Inputs!$C$37*(0.55*SIN(2*PI()*(Scenario_Data!W210)/Inputs!$C$39)+0.35*COS(2*PI()*(Inputs!$C$6)/Inputs!$C$40)+0.2*SIN(2*PI()*((Scenario_Data!W210)+(Inputs!$C$6))/(0.5*(Inputs!$C$39+Inputs!$C$40))))+Inputs!$C$38*SIN(2*PI()*(Scenario_Data!W210)/Inputs!$C$39)*SIN(2*PI()*(Inputs!$C$6)/Inputs!$C$40)+-Inputs!$C$41*EXP(-(((Inputs!$C$6)-Inputs!$C$43)^2)/(2*Inputs!$C$44^2))*EXP(-(((Scenario_Data!W210)-Inputs!$C$42)^2)/(2*Inputs!$C$45^2))+Inputs!$C$48*(0.7*(0.45*SIN(2*PI()*(((Scenario_Data!W210)/Inputs!$C$49)+Inputs!$C$47*0.137))+0.35*COS(2*PI()*(((Inputs!$C$6)/Inputs!$C$50)+Inputs!$C$47*0.173))+0.2*SIN(2*PI()*((((Scenario_Data!W210)+(Inputs!$C$6))/(0.5*(Inputs!$C$49+Inputs!$C$50)))+Inputs!$C$47*0.097)))+0.3*(2*((SIN(((Scenario_Data!W210)*12.9898+(Inputs!$C$6)*78.233+Inputs!$C$47*37.719))*43758.5453)-INT((SIN(((Scenario_Data!W210)*12.9898+(Inputs!$C$6)*78.233+Inputs!$C$47*37.719))*43758.5453)))-1))))/1000))*COS(SQRT((Scenario_Data!W210)^2+Inputs!$C$6^2)/Inputs!$C$52))*1000)/Inputs!$C$21*1000000</f>
        <v/>
      </c>
    </row>
    <row r="211">
      <c r="A211">
        <f>Chart_Data!K211</f>
        <v/>
      </c>
      <c r="B211">
        <f>Chart_Data!N211-Chart_Data!L211</f>
        <v/>
      </c>
      <c r="D211">
        <f>Chart_Data!G211</f>
        <v/>
      </c>
      <c r="E211">
        <f>Chart_Data!H211</f>
        <v/>
      </c>
      <c r="F211">
        <f>Chart_Data!I211</f>
        <v/>
      </c>
      <c r="G211">
        <f>Chart_Data!J211</f>
        <v/>
      </c>
      <c r="I211">
        <f>Scenario_Data!A211</f>
        <v/>
      </c>
      <c r="J211">
        <f>Scenario_Data!H211-(((SQRT((Inputs!$C$52+(Inputs!$H$6))^2+Inputs!$C$52^2-2*(Inputs!$C$52+(Inputs!$H$6))*Inputs!$C$52*COS(SQRT((Scenario_Data!T211)^2+Inputs!$C$6^2)/Inputs!$C$52)))-(Inputs!$H$6))*1000/Inputs!$C$12)</f>
        <v/>
      </c>
      <c r="K211">
        <f>Scenario_Data!I211-(((SQRT((Inputs!$C$52+(Inputs!$H$7))^2+Inputs!$C$52^2-2*(Inputs!$C$52+(Inputs!$H$7))*Inputs!$C$52*COS(SQRT((Scenario_Data!U211)^2+Inputs!$C$6^2)/Inputs!$C$52)))-(Inputs!$H$7))*1000/Inputs!$C$12)</f>
        <v/>
      </c>
      <c r="L211">
        <f>Scenario_Data!J211-(((SQRT((Inputs!$C$52+(Inputs!$H$8))^2+Inputs!$C$52^2-2*(Inputs!$C$52+(Inputs!$H$8))*Inputs!$C$52*COS(SQRT((Scenario_Data!V211)^2+Inputs!$C$6^2)/Inputs!$C$52)))-(Inputs!$H$8))*1000/Inputs!$C$12)</f>
        <v/>
      </c>
      <c r="M211">
        <f>Scenario_Data!K211-(((SQRT((Inputs!$C$52+(Inputs!$H$9))^2+Inputs!$C$52^2-2*(Inputs!$C$52+(Inputs!$H$9))*Inputs!$C$52*COS(SQRT((Scenario_Data!W211)^2+Inputs!$C$6^2)/Inputs!$C$52)))-(Inputs!$H$9))*1000/Inputs!$C$12)</f>
        <v/>
      </c>
      <c r="O211">
        <f>Scenario_Data!T211</f>
        <v/>
      </c>
      <c r="P211">
        <f>2*(Scenario_Data!B211*1000)/Inputs!$C$21*1000000</f>
        <v/>
      </c>
      <c r="Q211">
        <f>Scenario_Data!U211</f>
        <v/>
      </c>
      <c r="R211">
        <f>2*(Scenario_Data!C211*1000)/Inputs!$C$21*1000000</f>
        <v/>
      </c>
      <c r="S211">
        <f>Scenario_Data!V211</f>
        <v/>
      </c>
      <c r="T211">
        <f>2*(Scenario_Data!D211*1000)/Inputs!$C$21*1000000</f>
        <v/>
      </c>
      <c r="U211">
        <f>Scenario_Data!W211</f>
        <v/>
      </c>
      <c r="V211">
        <f>2*(Scenario_Data!E211*1000)/Inputs!$C$21*1000000</f>
        <v/>
      </c>
      <c r="X211">
        <f>Scenario_Data!T211</f>
        <v/>
      </c>
      <c r="Y211">
        <f>2*((Scenario_Data!B211*1000)-(IF(OR(Inputs!$C$27=TRUE,Inputs!$C$27="TRUE",Inputs!$C$27=1),1,0)*(Inputs!$C$51*(115*EXP(-(((0)-25)^2)/(4.5^2))+70*EXP(-(((0)+38)^2)/(7^2))*(0.55+0.45*SIN(2*PI()*(Scenario_Data!T211)/45))+24*SIN(2*PI()*(0)/9+(Scenario_Data!T211)/18)*EXP(-(((0)+5)^2)/(22^2))+18*SIN(2*PI()*(Scenario_Data!T211)/70))+Inputs!$C$28*EXP(-(((Scenario_Data!T211)-Inputs!$C$29)^2)/(2*Inputs!$C$31^2))*EXP(-(((0)-Inputs!$C$30)^2)/(2*Inputs!$C$32^2))+-Inputs!$C$33*EXP(-(((((Scenario_Data!T211)-Inputs!$C$34)^2)+(((0)-Inputs!$C$35)^2))/(2*Inputs!$C$36^2)))+Inputs!$C$37*(0.55*SIN(2*PI()*(Scenario_Data!T211)/Inputs!$C$39)+0.35*COS(2*PI()*(0)/Inputs!$C$40)+0.2*SIN(2*PI()*((Scenario_Data!T211)+(0))/(0.5*(Inputs!$C$39+Inputs!$C$40))))+Inputs!$C$38*SIN(2*PI()*(Scenario_Data!T211)/Inputs!$C$39)*SIN(2*PI()*(0)/Inputs!$C$40)+-Inputs!$C$41*EXP(-(((0)-Inputs!$C$43)^2)/(2*Inputs!$C$44^2))*EXP(-(((Scenario_Data!T211)-Inputs!$C$42)^2)/(2*Inputs!$C$45^2))+Inputs!$C$48*(0.7*(0.45*SIN(2*PI()*(((Scenario_Data!T211)/Inputs!$C$49)+Inputs!$C$47*0.137))+0.35*COS(2*PI()*(((0)/Inputs!$C$50)+Inputs!$C$47*0.173))+0.2*SIN(2*PI()*((((Scenario_Data!T211)+(0))/(0.5*(Inputs!$C$49+Inputs!$C$50)))+Inputs!$C$47*0.097)))+0.3*(2*((SIN(((Scenario_Data!T211)*12.9898+(0)*78.233+Inputs!$C$47*37.719))*43758.5453)-INT((SIN(((Scenario_Data!T211)*12.9898+(0)*78.233+Inputs!$C$47*37.719))*43758.5453)))-1)))))/Inputs!$C$21*1000000</f>
        <v/>
      </c>
      <c r="Z211">
        <f>Scenario_Data!U211</f>
        <v/>
      </c>
      <c r="AA211">
        <f>2*((Scenario_Data!C211*1000)-(IF(OR(Inputs!$C$27=TRUE,Inputs!$C$27="TRUE",Inputs!$C$27=1),1,0)*(Inputs!$C$51*(115*EXP(-(((0)-25)^2)/(4.5^2))+70*EXP(-(((0)+38)^2)/(7^2))*(0.55+0.45*SIN(2*PI()*(Scenario_Data!U211)/45))+24*SIN(2*PI()*(0)/9+(Scenario_Data!U211)/18)*EXP(-(((0)+5)^2)/(22^2))+18*SIN(2*PI()*(Scenario_Data!U211)/70))+Inputs!$C$28*EXP(-(((Scenario_Data!U211)-Inputs!$C$29)^2)/(2*Inputs!$C$31^2))*EXP(-(((0)-Inputs!$C$30)^2)/(2*Inputs!$C$32^2))+-Inputs!$C$33*EXP(-(((((Scenario_Data!U211)-Inputs!$C$34)^2)+(((0)-Inputs!$C$35)^2))/(2*Inputs!$C$36^2)))+Inputs!$C$37*(0.55*SIN(2*PI()*(Scenario_Data!U211)/Inputs!$C$39)+0.35*COS(2*PI()*(0)/Inputs!$C$40)+0.2*SIN(2*PI()*((Scenario_Data!U211)+(0))/(0.5*(Inputs!$C$39+Inputs!$C$40))))+Inputs!$C$38*SIN(2*PI()*(Scenario_Data!U211)/Inputs!$C$39)*SIN(2*PI()*(0)/Inputs!$C$40)+-Inputs!$C$41*EXP(-(((0)-Inputs!$C$43)^2)/(2*Inputs!$C$44^2))*EXP(-(((Scenario_Data!U211)-Inputs!$C$42)^2)/(2*Inputs!$C$45^2))+Inputs!$C$48*(0.7*(0.45*SIN(2*PI()*(((Scenario_Data!U211)/Inputs!$C$49)+Inputs!$C$47*0.137))+0.35*COS(2*PI()*(((0)/Inputs!$C$50)+Inputs!$C$47*0.173))+0.2*SIN(2*PI()*((((Scenario_Data!U211)+(0))/(0.5*(Inputs!$C$49+Inputs!$C$50)))+Inputs!$C$47*0.097)))+0.3*(2*((SIN(((Scenario_Data!U211)*12.9898+(0)*78.233+Inputs!$C$47*37.719))*43758.5453)-INT((SIN(((Scenario_Data!U211)*12.9898+(0)*78.233+Inputs!$C$47*37.719))*43758.5453)))-1)))))/Inputs!$C$21*1000000</f>
        <v/>
      </c>
      <c r="AB211">
        <f>Scenario_Data!V211</f>
        <v/>
      </c>
      <c r="AC211">
        <f>2*((Scenario_Data!D211*1000)-(IF(OR(Inputs!$C$27=TRUE,Inputs!$C$27="TRUE",Inputs!$C$27=1),1,0)*(Inputs!$C$51*(115*EXP(-(((0)-25)^2)/(4.5^2))+70*EXP(-(((0)+38)^2)/(7^2))*(0.55+0.45*SIN(2*PI()*(Scenario_Data!V211)/45))+24*SIN(2*PI()*(0)/9+(Scenario_Data!V211)/18)*EXP(-(((0)+5)^2)/(22^2))+18*SIN(2*PI()*(Scenario_Data!V211)/70))+Inputs!$C$28*EXP(-(((Scenario_Data!V211)-Inputs!$C$29)^2)/(2*Inputs!$C$31^2))*EXP(-(((0)-Inputs!$C$30)^2)/(2*Inputs!$C$32^2))+-Inputs!$C$33*EXP(-(((((Scenario_Data!V211)-Inputs!$C$34)^2)+(((0)-Inputs!$C$35)^2))/(2*Inputs!$C$36^2)))+Inputs!$C$37*(0.55*SIN(2*PI()*(Scenario_Data!V211)/Inputs!$C$39)+0.35*COS(2*PI()*(0)/Inputs!$C$40)+0.2*SIN(2*PI()*((Scenario_Data!V211)+(0))/(0.5*(Inputs!$C$39+Inputs!$C$40))))+Inputs!$C$38*SIN(2*PI()*(Scenario_Data!V211)/Inputs!$C$39)*SIN(2*PI()*(0)/Inputs!$C$40)+-Inputs!$C$41*EXP(-(((0)-Inputs!$C$43)^2)/(2*Inputs!$C$44^2))*EXP(-(((Scenario_Data!V211)-Inputs!$C$42)^2)/(2*Inputs!$C$45^2))+Inputs!$C$48*(0.7*(0.45*SIN(2*PI()*(((Scenario_Data!V211)/Inputs!$C$49)+Inputs!$C$47*0.137))+0.35*COS(2*PI()*(((0)/Inputs!$C$50)+Inputs!$C$47*0.173))+0.2*SIN(2*PI()*((((Scenario_Data!V211)+(0))/(0.5*(Inputs!$C$49+Inputs!$C$50)))+Inputs!$C$47*0.097)))+0.3*(2*((SIN(((Scenario_Data!V211)*12.9898+(0)*78.233+Inputs!$C$47*37.719))*43758.5453)-INT((SIN(((Scenario_Data!V211)*12.9898+(0)*78.233+Inputs!$C$47*37.719))*43758.5453)))-1)))))/Inputs!$C$21*1000000</f>
        <v/>
      </c>
      <c r="AD211">
        <f>Scenario_Data!W211</f>
        <v/>
      </c>
      <c r="AE211">
        <f>2*((Scenario_Data!E211*1000)-(IF(OR(Inputs!$C$27=TRUE,Inputs!$C$27="TRUE",Inputs!$C$27=1),1,0)*(Inputs!$C$51*(115*EXP(-(((0)-25)^2)/(4.5^2))+70*EXP(-(((0)+38)^2)/(7^2))*(0.55+0.45*SIN(2*PI()*(Scenario_Data!W211)/45))+24*SIN(2*PI()*(0)/9+(Scenario_Data!W211)/18)*EXP(-(((0)+5)^2)/(22^2))+18*SIN(2*PI()*(Scenario_Data!W211)/70))+Inputs!$C$28*EXP(-(((Scenario_Data!W211)-Inputs!$C$29)^2)/(2*Inputs!$C$31^2))*EXP(-(((0)-Inputs!$C$30)^2)/(2*Inputs!$C$32^2))+-Inputs!$C$33*EXP(-(((((Scenario_Data!W211)-Inputs!$C$34)^2)+(((0)-Inputs!$C$35)^2))/(2*Inputs!$C$36^2)))+Inputs!$C$37*(0.55*SIN(2*PI()*(Scenario_Data!W211)/Inputs!$C$39)+0.35*COS(2*PI()*(0)/Inputs!$C$40)+0.2*SIN(2*PI()*((Scenario_Data!W211)+(0))/(0.5*(Inputs!$C$39+Inputs!$C$40))))+Inputs!$C$38*SIN(2*PI()*(Scenario_Data!W211)/Inputs!$C$39)*SIN(2*PI()*(0)/Inputs!$C$40)+-Inputs!$C$41*EXP(-(((0)-Inputs!$C$43)^2)/(2*Inputs!$C$44^2))*EXP(-(((Scenario_Data!W211)-Inputs!$C$42)^2)/(2*Inputs!$C$45^2))+Inputs!$C$48*(0.7*(0.45*SIN(2*PI()*(((Scenario_Data!W211)/Inputs!$C$49)+Inputs!$C$47*0.137))+0.35*COS(2*PI()*(((0)/Inputs!$C$50)+Inputs!$C$47*0.173))+0.2*SIN(2*PI()*((((Scenario_Data!W211)+(0))/(0.5*(Inputs!$C$49+Inputs!$C$50)))+Inputs!$C$47*0.097)))+0.3*(2*((SIN(((Scenario_Data!W211)*12.9898+(0)*78.233+Inputs!$C$47*37.719))*43758.5453)-INT((SIN(((Scenario_Data!W211)*12.9898+(0)*78.233+Inputs!$C$47*37.719))*43758.5453)))-1)))))/Inputs!$C$21*1000000</f>
        <v/>
      </c>
      <c r="AG211">
        <f>Scenario_Data!T211</f>
        <v/>
      </c>
      <c r="AH211">
        <f>2*(SQRT((Inputs!$C$52+(Scenario_Data!B211))^2+Inputs!$C$52^2-2*(Inputs!$C$52+(Scenario_Data!B211))*Inputs!$C$52*COS(SQRT((Scenario_Data!T211)^2+Inputs!$C$6^2)/Inputs!$C$52))*1000)/Inputs!$C$21*1000000</f>
        <v/>
      </c>
      <c r="AI211">
        <f>Scenario_Data!U211</f>
        <v/>
      </c>
      <c r="AJ211">
        <f>2*(SQRT((Inputs!$C$52+(Scenario_Data!C211))^2+Inputs!$C$52^2-2*(Inputs!$C$52+(Scenario_Data!C211))*Inputs!$C$52*COS(SQRT((Scenario_Data!U211)^2+Inputs!$C$6^2)/Inputs!$C$52))*1000)/Inputs!$C$21*1000000</f>
        <v/>
      </c>
      <c r="AK211">
        <f>Scenario_Data!V211</f>
        <v/>
      </c>
      <c r="AL211">
        <f>2*(SQRT((Inputs!$C$52+(Scenario_Data!D211))^2+Inputs!$C$52^2-2*(Inputs!$C$52+(Scenario_Data!D211))*Inputs!$C$52*COS(SQRT((Scenario_Data!V211)^2+Inputs!$C$6^2)/Inputs!$C$52))*1000)/Inputs!$C$21*1000000</f>
        <v/>
      </c>
      <c r="AM211">
        <f>Scenario_Data!W211</f>
        <v/>
      </c>
      <c r="AN211">
        <f>2*(SQRT((Inputs!$C$52+(Scenario_Data!E211))^2+Inputs!$C$52^2-2*(Inputs!$C$52+(Scenario_Data!E211))*Inputs!$C$52*COS(SQRT((Scenario_Data!W211)^2+Inputs!$C$6^2)/Inputs!$C$52))*1000)/Inputs!$C$21*1000000</f>
        <v/>
      </c>
      <c r="AP211">
        <f>Scenario_Data!T211</f>
        <v/>
      </c>
      <c r="AQ211">
        <f>2*(SQRT((Inputs!$C$52+(Scenario_Data!B211))^2+(Inputs!$C$52+((IF(OR(Inputs!$C$27=TRUE,Inputs!$C$27="TRUE",Inputs!$C$27=1),1,0)*(Inputs!$C$51*(115*EXP(-(((Inputs!$C$6)-25)^2)/(4.5^2))+70*EXP(-(((Inputs!$C$6)+38)^2)/(7^2))*(0.55+0.45*SIN(2*PI()*(Scenario_Data!T211)/45))+24*SIN(2*PI()*(Inputs!$C$6)/9+(Scenario_Data!T211)/18)*EXP(-(((Inputs!$C$6)+5)^2)/(22^2))+18*SIN(2*PI()*(Scenario_Data!T211)/70))+Inputs!$C$28*EXP(-(((Scenario_Data!T211)-Inputs!$C$29)^2)/(2*Inputs!$C$31^2))*EXP(-(((Inputs!$C$6)-Inputs!$C$30)^2)/(2*Inputs!$C$32^2))+-Inputs!$C$33*EXP(-(((((Scenario_Data!T211)-Inputs!$C$34)^2)+(((Inputs!$C$6)-Inputs!$C$35)^2))/(2*Inputs!$C$36^2)))+Inputs!$C$37*(0.55*SIN(2*PI()*(Scenario_Data!T211)/Inputs!$C$39)+0.35*COS(2*PI()*(Inputs!$C$6)/Inputs!$C$40)+0.2*SIN(2*PI()*((Scenario_Data!T211)+(Inputs!$C$6))/(0.5*(Inputs!$C$39+Inputs!$C$40))))+Inputs!$C$38*SIN(2*PI()*(Scenario_Data!T211)/Inputs!$C$39)*SIN(2*PI()*(Inputs!$C$6)/Inputs!$C$40)+-Inputs!$C$41*EXP(-(((Inputs!$C$6)-Inputs!$C$43)^2)/(2*Inputs!$C$44^2))*EXP(-(((Scenario_Data!T211)-Inputs!$C$42)^2)/(2*Inputs!$C$45^2))+Inputs!$C$48*(0.7*(0.45*SIN(2*PI()*(((Scenario_Data!T211)/Inputs!$C$49)+Inputs!$C$47*0.137))+0.35*COS(2*PI()*(((Inputs!$C$6)/Inputs!$C$50)+Inputs!$C$47*0.173))+0.2*SIN(2*PI()*((((Scenario_Data!T211)+(Inputs!$C$6))/(0.5*(Inputs!$C$49+Inputs!$C$50)))+Inputs!$C$47*0.097)))+0.3*(2*((SIN(((Scenario_Data!T211)*12.9898+(Inputs!$C$6)*78.233+Inputs!$C$47*37.719))*43758.5453)-INT((SIN(((Scenario_Data!T211)*12.9898+(Inputs!$C$6)*78.233+Inputs!$C$47*37.719))*43758.5453)))-1))))/1000))^2-2*(Inputs!$C$52+(Scenario_Data!B211))*(Inputs!$C$52+((IF(OR(Inputs!$C$27=TRUE,Inputs!$C$27="TRUE",Inputs!$C$27=1),1,0)*(Inputs!$C$51*(115*EXP(-(((Inputs!$C$6)-25)^2)/(4.5^2))+70*EXP(-(((Inputs!$C$6)+38)^2)/(7^2))*(0.55+0.45*SIN(2*PI()*(Scenario_Data!T211)/45))+24*SIN(2*PI()*(Inputs!$C$6)/9+(Scenario_Data!T211)/18)*EXP(-(((Inputs!$C$6)+5)^2)/(22^2))+18*SIN(2*PI()*(Scenario_Data!T211)/70))+Inputs!$C$28*EXP(-(((Scenario_Data!T211)-Inputs!$C$29)^2)/(2*Inputs!$C$31^2))*EXP(-(((Inputs!$C$6)-Inputs!$C$30)^2)/(2*Inputs!$C$32^2))+-Inputs!$C$33*EXP(-(((((Scenario_Data!T211)-Inputs!$C$34)^2)+(((Inputs!$C$6)-Inputs!$C$35)^2))/(2*Inputs!$C$36^2)))+Inputs!$C$37*(0.55*SIN(2*PI()*(Scenario_Data!T211)/Inputs!$C$39)+0.35*COS(2*PI()*(Inputs!$C$6)/Inputs!$C$40)+0.2*SIN(2*PI()*((Scenario_Data!T211)+(Inputs!$C$6))/(0.5*(Inputs!$C$39+Inputs!$C$40))))+Inputs!$C$38*SIN(2*PI()*(Scenario_Data!T211)/Inputs!$C$39)*SIN(2*PI()*(Inputs!$C$6)/Inputs!$C$40)+-Inputs!$C$41*EXP(-(((Inputs!$C$6)-Inputs!$C$43)^2)/(2*Inputs!$C$44^2))*EXP(-(((Scenario_Data!T211)-Inputs!$C$42)^2)/(2*Inputs!$C$45^2))+Inputs!$C$48*(0.7*(0.45*SIN(2*PI()*(((Scenario_Data!T211)/Inputs!$C$49)+Inputs!$C$47*0.137))+0.35*COS(2*PI()*(((Inputs!$C$6)/Inputs!$C$50)+Inputs!$C$47*0.173))+0.2*SIN(2*PI()*((((Scenario_Data!T211)+(Inputs!$C$6))/(0.5*(Inputs!$C$49+Inputs!$C$50)))+Inputs!$C$47*0.097)))+0.3*(2*((SIN(((Scenario_Data!T211)*12.9898+(Inputs!$C$6)*78.233+Inputs!$C$47*37.719))*43758.5453)-INT((SIN(((Scenario_Data!T211)*12.9898+(Inputs!$C$6)*78.233+Inputs!$C$47*37.719))*43758.5453)))-1))))/1000))*COS(SQRT((Scenario_Data!T211)^2+Inputs!$C$6^2)/Inputs!$C$52))*1000)/Inputs!$C$21*1000000</f>
        <v/>
      </c>
      <c r="AR211">
        <f>Scenario_Data!U211</f>
        <v/>
      </c>
      <c r="AS211">
        <f>2*(SQRT((Inputs!$C$52+(Scenario_Data!C211))^2+(Inputs!$C$52+((IF(OR(Inputs!$C$27=TRUE,Inputs!$C$27="TRUE",Inputs!$C$27=1),1,0)*(Inputs!$C$51*(115*EXP(-(((Inputs!$C$6)-25)^2)/(4.5^2))+70*EXP(-(((Inputs!$C$6)+38)^2)/(7^2))*(0.55+0.45*SIN(2*PI()*(Scenario_Data!U211)/45))+24*SIN(2*PI()*(Inputs!$C$6)/9+(Scenario_Data!U211)/18)*EXP(-(((Inputs!$C$6)+5)^2)/(22^2))+18*SIN(2*PI()*(Scenario_Data!U211)/70))+Inputs!$C$28*EXP(-(((Scenario_Data!U211)-Inputs!$C$29)^2)/(2*Inputs!$C$31^2))*EXP(-(((Inputs!$C$6)-Inputs!$C$30)^2)/(2*Inputs!$C$32^2))+-Inputs!$C$33*EXP(-(((((Scenario_Data!U211)-Inputs!$C$34)^2)+(((Inputs!$C$6)-Inputs!$C$35)^2))/(2*Inputs!$C$36^2)))+Inputs!$C$37*(0.55*SIN(2*PI()*(Scenario_Data!U211)/Inputs!$C$39)+0.35*COS(2*PI()*(Inputs!$C$6)/Inputs!$C$40)+0.2*SIN(2*PI()*((Scenario_Data!U211)+(Inputs!$C$6))/(0.5*(Inputs!$C$39+Inputs!$C$40))))+Inputs!$C$38*SIN(2*PI()*(Scenario_Data!U211)/Inputs!$C$39)*SIN(2*PI()*(Inputs!$C$6)/Inputs!$C$40)+-Inputs!$C$41*EXP(-(((Inputs!$C$6)-Inputs!$C$43)^2)/(2*Inputs!$C$44^2))*EXP(-(((Scenario_Data!U211)-Inputs!$C$42)^2)/(2*Inputs!$C$45^2))+Inputs!$C$48*(0.7*(0.45*SIN(2*PI()*(((Scenario_Data!U211)/Inputs!$C$49)+Inputs!$C$47*0.137))+0.35*COS(2*PI()*(((Inputs!$C$6)/Inputs!$C$50)+Inputs!$C$47*0.173))+0.2*SIN(2*PI()*((((Scenario_Data!U211)+(Inputs!$C$6))/(0.5*(Inputs!$C$49+Inputs!$C$50)))+Inputs!$C$47*0.097)))+0.3*(2*((SIN(((Scenario_Data!U211)*12.9898+(Inputs!$C$6)*78.233+Inputs!$C$47*37.719))*43758.5453)-INT((SIN(((Scenario_Data!U211)*12.9898+(Inputs!$C$6)*78.233+Inputs!$C$47*37.719))*43758.5453)))-1))))/1000))^2-2*(Inputs!$C$52+(Scenario_Data!C211))*(Inputs!$C$52+((IF(OR(Inputs!$C$27=TRUE,Inputs!$C$27="TRUE",Inputs!$C$27=1),1,0)*(Inputs!$C$51*(115*EXP(-(((Inputs!$C$6)-25)^2)/(4.5^2))+70*EXP(-(((Inputs!$C$6)+38)^2)/(7^2))*(0.55+0.45*SIN(2*PI()*(Scenario_Data!U211)/45))+24*SIN(2*PI()*(Inputs!$C$6)/9+(Scenario_Data!U211)/18)*EXP(-(((Inputs!$C$6)+5)^2)/(22^2))+18*SIN(2*PI()*(Scenario_Data!U211)/70))+Inputs!$C$28*EXP(-(((Scenario_Data!U211)-Inputs!$C$29)^2)/(2*Inputs!$C$31^2))*EXP(-(((Inputs!$C$6)-Inputs!$C$30)^2)/(2*Inputs!$C$32^2))+-Inputs!$C$33*EXP(-(((((Scenario_Data!U211)-Inputs!$C$34)^2)+(((Inputs!$C$6)-Inputs!$C$35)^2))/(2*Inputs!$C$36^2)))+Inputs!$C$37*(0.55*SIN(2*PI()*(Scenario_Data!U211)/Inputs!$C$39)+0.35*COS(2*PI()*(Inputs!$C$6)/Inputs!$C$40)+0.2*SIN(2*PI()*((Scenario_Data!U211)+(Inputs!$C$6))/(0.5*(Inputs!$C$39+Inputs!$C$40))))+Inputs!$C$38*SIN(2*PI()*(Scenario_Data!U211)/Inputs!$C$39)*SIN(2*PI()*(Inputs!$C$6)/Inputs!$C$40)+-Inputs!$C$41*EXP(-(((Inputs!$C$6)-Inputs!$C$43)^2)/(2*Inputs!$C$44^2))*EXP(-(((Scenario_Data!U211)-Inputs!$C$42)^2)/(2*Inputs!$C$45^2))+Inputs!$C$48*(0.7*(0.45*SIN(2*PI()*(((Scenario_Data!U211)/Inputs!$C$49)+Inputs!$C$47*0.137))+0.35*COS(2*PI()*(((Inputs!$C$6)/Inputs!$C$50)+Inputs!$C$47*0.173))+0.2*SIN(2*PI()*((((Scenario_Data!U211)+(Inputs!$C$6))/(0.5*(Inputs!$C$49+Inputs!$C$50)))+Inputs!$C$47*0.097)))+0.3*(2*((SIN(((Scenario_Data!U211)*12.9898+(Inputs!$C$6)*78.233+Inputs!$C$47*37.719))*43758.5453)-INT((SIN(((Scenario_Data!U211)*12.9898+(Inputs!$C$6)*78.233+Inputs!$C$47*37.719))*43758.5453)))-1))))/1000))*COS(SQRT((Scenario_Data!U211)^2+Inputs!$C$6^2)/Inputs!$C$52))*1000)/Inputs!$C$21*1000000</f>
        <v/>
      </c>
      <c r="AT211">
        <f>Scenario_Data!V211</f>
        <v/>
      </c>
      <c r="AU211">
        <f>2*(SQRT((Inputs!$C$52+(Scenario_Data!D211))^2+(Inputs!$C$52+((IF(OR(Inputs!$C$27=TRUE,Inputs!$C$27="TRUE",Inputs!$C$27=1),1,0)*(Inputs!$C$51*(115*EXP(-(((Inputs!$C$6)-25)^2)/(4.5^2))+70*EXP(-(((Inputs!$C$6)+38)^2)/(7^2))*(0.55+0.45*SIN(2*PI()*(Scenario_Data!V211)/45))+24*SIN(2*PI()*(Inputs!$C$6)/9+(Scenario_Data!V211)/18)*EXP(-(((Inputs!$C$6)+5)^2)/(22^2))+18*SIN(2*PI()*(Scenario_Data!V211)/70))+Inputs!$C$28*EXP(-(((Scenario_Data!V211)-Inputs!$C$29)^2)/(2*Inputs!$C$31^2))*EXP(-(((Inputs!$C$6)-Inputs!$C$30)^2)/(2*Inputs!$C$32^2))+-Inputs!$C$33*EXP(-(((((Scenario_Data!V211)-Inputs!$C$34)^2)+(((Inputs!$C$6)-Inputs!$C$35)^2))/(2*Inputs!$C$36^2)))+Inputs!$C$37*(0.55*SIN(2*PI()*(Scenario_Data!V211)/Inputs!$C$39)+0.35*COS(2*PI()*(Inputs!$C$6)/Inputs!$C$40)+0.2*SIN(2*PI()*((Scenario_Data!V211)+(Inputs!$C$6))/(0.5*(Inputs!$C$39+Inputs!$C$40))))+Inputs!$C$38*SIN(2*PI()*(Scenario_Data!V211)/Inputs!$C$39)*SIN(2*PI()*(Inputs!$C$6)/Inputs!$C$40)+-Inputs!$C$41*EXP(-(((Inputs!$C$6)-Inputs!$C$43)^2)/(2*Inputs!$C$44^2))*EXP(-(((Scenario_Data!V211)-Inputs!$C$42)^2)/(2*Inputs!$C$45^2))+Inputs!$C$48*(0.7*(0.45*SIN(2*PI()*(((Scenario_Data!V211)/Inputs!$C$49)+Inputs!$C$47*0.137))+0.35*COS(2*PI()*(((Inputs!$C$6)/Inputs!$C$50)+Inputs!$C$47*0.173))+0.2*SIN(2*PI()*((((Scenario_Data!V211)+(Inputs!$C$6))/(0.5*(Inputs!$C$49+Inputs!$C$50)))+Inputs!$C$47*0.097)))+0.3*(2*((SIN(((Scenario_Data!V211)*12.9898+(Inputs!$C$6)*78.233+Inputs!$C$47*37.719))*43758.5453)-INT((SIN(((Scenario_Data!V211)*12.9898+(Inputs!$C$6)*78.233+Inputs!$C$47*37.719))*43758.5453)))-1))))/1000))^2-2*(Inputs!$C$52+(Scenario_Data!D211))*(Inputs!$C$52+((IF(OR(Inputs!$C$27=TRUE,Inputs!$C$27="TRUE",Inputs!$C$27=1),1,0)*(Inputs!$C$51*(115*EXP(-(((Inputs!$C$6)-25)^2)/(4.5^2))+70*EXP(-(((Inputs!$C$6)+38)^2)/(7^2))*(0.55+0.45*SIN(2*PI()*(Scenario_Data!V211)/45))+24*SIN(2*PI()*(Inputs!$C$6)/9+(Scenario_Data!V211)/18)*EXP(-(((Inputs!$C$6)+5)^2)/(22^2))+18*SIN(2*PI()*(Scenario_Data!V211)/70))+Inputs!$C$28*EXP(-(((Scenario_Data!V211)-Inputs!$C$29)^2)/(2*Inputs!$C$31^2))*EXP(-(((Inputs!$C$6)-Inputs!$C$30)^2)/(2*Inputs!$C$32^2))+-Inputs!$C$33*EXP(-(((((Scenario_Data!V211)-Inputs!$C$34)^2)+(((Inputs!$C$6)-Inputs!$C$35)^2))/(2*Inputs!$C$36^2)))+Inputs!$C$37*(0.55*SIN(2*PI()*(Scenario_Data!V211)/Inputs!$C$39)+0.35*COS(2*PI()*(Inputs!$C$6)/Inputs!$C$40)+0.2*SIN(2*PI()*((Scenario_Data!V211)+(Inputs!$C$6))/(0.5*(Inputs!$C$39+Inputs!$C$40))))+Inputs!$C$38*SIN(2*PI()*(Scenario_Data!V211)/Inputs!$C$39)*SIN(2*PI()*(Inputs!$C$6)/Inputs!$C$40)+-Inputs!$C$41*EXP(-(((Inputs!$C$6)-Inputs!$C$43)^2)/(2*Inputs!$C$44^2))*EXP(-(((Scenario_Data!V211)-Inputs!$C$42)^2)/(2*Inputs!$C$45^2))+Inputs!$C$48*(0.7*(0.45*SIN(2*PI()*(((Scenario_Data!V211)/Inputs!$C$49)+Inputs!$C$47*0.137))+0.35*COS(2*PI()*(((Inputs!$C$6)/Inputs!$C$50)+Inputs!$C$47*0.173))+0.2*SIN(2*PI()*((((Scenario_Data!V211)+(Inputs!$C$6))/(0.5*(Inputs!$C$49+Inputs!$C$50)))+Inputs!$C$47*0.097)))+0.3*(2*((SIN(((Scenario_Data!V211)*12.9898+(Inputs!$C$6)*78.233+Inputs!$C$47*37.719))*43758.5453)-INT((SIN(((Scenario_Data!V211)*12.9898+(Inputs!$C$6)*78.233+Inputs!$C$47*37.719))*43758.5453)))-1))))/1000))*COS(SQRT((Scenario_Data!V211)^2+Inputs!$C$6^2)/Inputs!$C$52))*1000)/Inputs!$C$21*1000000</f>
        <v/>
      </c>
      <c r="AV211">
        <f>Scenario_Data!W211</f>
        <v/>
      </c>
      <c r="AW211">
        <f>2*(SQRT((Inputs!$C$52+(Scenario_Data!E211))^2+(Inputs!$C$52+((IF(OR(Inputs!$C$27=TRUE,Inputs!$C$27="TRUE",Inputs!$C$27=1),1,0)*(Inputs!$C$51*(115*EXP(-(((Inputs!$C$6)-25)^2)/(4.5^2))+70*EXP(-(((Inputs!$C$6)+38)^2)/(7^2))*(0.55+0.45*SIN(2*PI()*(Scenario_Data!W211)/45))+24*SIN(2*PI()*(Inputs!$C$6)/9+(Scenario_Data!W211)/18)*EXP(-(((Inputs!$C$6)+5)^2)/(22^2))+18*SIN(2*PI()*(Scenario_Data!W211)/70))+Inputs!$C$28*EXP(-(((Scenario_Data!W211)-Inputs!$C$29)^2)/(2*Inputs!$C$31^2))*EXP(-(((Inputs!$C$6)-Inputs!$C$30)^2)/(2*Inputs!$C$32^2))+-Inputs!$C$33*EXP(-(((((Scenario_Data!W211)-Inputs!$C$34)^2)+(((Inputs!$C$6)-Inputs!$C$35)^2))/(2*Inputs!$C$36^2)))+Inputs!$C$37*(0.55*SIN(2*PI()*(Scenario_Data!W211)/Inputs!$C$39)+0.35*COS(2*PI()*(Inputs!$C$6)/Inputs!$C$40)+0.2*SIN(2*PI()*((Scenario_Data!W211)+(Inputs!$C$6))/(0.5*(Inputs!$C$39+Inputs!$C$40))))+Inputs!$C$38*SIN(2*PI()*(Scenario_Data!W211)/Inputs!$C$39)*SIN(2*PI()*(Inputs!$C$6)/Inputs!$C$40)+-Inputs!$C$41*EXP(-(((Inputs!$C$6)-Inputs!$C$43)^2)/(2*Inputs!$C$44^2))*EXP(-(((Scenario_Data!W211)-Inputs!$C$42)^2)/(2*Inputs!$C$45^2))+Inputs!$C$48*(0.7*(0.45*SIN(2*PI()*(((Scenario_Data!W211)/Inputs!$C$49)+Inputs!$C$47*0.137))+0.35*COS(2*PI()*(((Inputs!$C$6)/Inputs!$C$50)+Inputs!$C$47*0.173))+0.2*SIN(2*PI()*((((Scenario_Data!W211)+(Inputs!$C$6))/(0.5*(Inputs!$C$49+Inputs!$C$50)))+Inputs!$C$47*0.097)))+0.3*(2*((SIN(((Scenario_Data!W211)*12.9898+(Inputs!$C$6)*78.233+Inputs!$C$47*37.719))*43758.5453)-INT((SIN(((Scenario_Data!W211)*12.9898+(Inputs!$C$6)*78.233+Inputs!$C$47*37.719))*43758.5453)))-1))))/1000))^2-2*(Inputs!$C$52+(Scenario_Data!E211))*(Inputs!$C$52+((IF(OR(Inputs!$C$27=TRUE,Inputs!$C$27="TRUE",Inputs!$C$27=1),1,0)*(Inputs!$C$51*(115*EXP(-(((Inputs!$C$6)-25)^2)/(4.5^2))+70*EXP(-(((Inputs!$C$6)+38)^2)/(7^2))*(0.55+0.45*SIN(2*PI()*(Scenario_Data!W211)/45))+24*SIN(2*PI()*(Inputs!$C$6)/9+(Scenario_Data!W211)/18)*EXP(-(((Inputs!$C$6)+5)^2)/(22^2))+18*SIN(2*PI()*(Scenario_Data!W211)/70))+Inputs!$C$28*EXP(-(((Scenario_Data!W211)-Inputs!$C$29)^2)/(2*Inputs!$C$31^2))*EXP(-(((Inputs!$C$6)-Inputs!$C$30)^2)/(2*Inputs!$C$32^2))+-Inputs!$C$33*EXP(-(((((Scenario_Data!W211)-Inputs!$C$34)^2)+(((Inputs!$C$6)-Inputs!$C$35)^2))/(2*Inputs!$C$36^2)))+Inputs!$C$37*(0.55*SIN(2*PI()*(Scenario_Data!W211)/Inputs!$C$39)+0.35*COS(2*PI()*(Inputs!$C$6)/Inputs!$C$40)+0.2*SIN(2*PI()*((Scenario_Data!W211)+(Inputs!$C$6))/(0.5*(Inputs!$C$39+Inputs!$C$40))))+Inputs!$C$38*SIN(2*PI()*(Scenario_Data!W211)/Inputs!$C$39)*SIN(2*PI()*(Inputs!$C$6)/Inputs!$C$40)+-Inputs!$C$41*EXP(-(((Inputs!$C$6)-Inputs!$C$43)^2)/(2*Inputs!$C$44^2))*EXP(-(((Scenario_Data!W211)-Inputs!$C$42)^2)/(2*Inputs!$C$45^2))+Inputs!$C$48*(0.7*(0.45*SIN(2*PI()*(((Scenario_Data!W211)/Inputs!$C$49)+Inputs!$C$47*0.137))+0.35*COS(2*PI()*(((Inputs!$C$6)/Inputs!$C$50)+Inputs!$C$47*0.173))+0.2*SIN(2*PI()*((((Scenario_Data!W211)+(Inputs!$C$6))/(0.5*(Inputs!$C$49+Inputs!$C$50)))+Inputs!$C$47*0.097)))+0.3*(2*((SIN(((Scenario_Data!W211)*12.9898+(Inputs!$C$6)*78.233+Inputs!$C$47*37.719))*43758.5453)-INT((SIN(((Scenario_Data!W211)*12.9898+(Inputs!$C$6)*78.233+Inputs!$C$47*37.719))*43758.5453)))-1))))/1000))*COS(SQRT((Scenario_Data!W211)^2+Inputs!$C$6^2)/Inputs!$C$52))*1000)/Inputs!$C$21*1000000</f>
        <v/>
      </c>
    </row>
    <row r="212">
      <c r="A212">
        <f>Chart_Data!K212</f>
        <v/>
      </c>
      <c r="B212">
        <f>Chart_Data!N212-Chart_Data!L212</f>
        <v/>
      </c>
      <c r="D212">
        <f>Chart_Data!G212</f>
        <v/>
      </c>
      <c r="E212">
        <f>Chart_Data!H212</f>
        <v/>
      </c>
      <c r="F212">
        <f>Chart_Data!I212</f>
        <v/>
      </c>
      <c r="G212">
        <f>Chart_Data!J212</f>
        <v/>
      </c>
      <c r="I212">
        <f>Scenario_Data!A212</f>
        <v/>
      </c>
      <c r="J212">
        <f>Scenario_Data!H212-(((SQRT((Inputs!$C$52+(Inputs!$H$6))^2+Inputs!$C$52^2-2*(Inputs!$C$52+(Inputs!$H$6))*Inputs!$C$52*COS(SQRT((Scenario_Data!T212)^2+Inputs!$C$6^2)/Inputs!$C$52)))-(Inputs!$H$6))*1000/Inputs!$C$12)</f>
        <v/>
      </c>
      <c r="K212">
        <f>Scenario_Data!I212-(((SQRT((Inputs!$C$52+(Inputs!$H$7))^2+Inputs!$C$52^2-2*(Inputs!$C$52+(Inputs!$H$7))*Inputs!$C$52*COS(SQRT((Scenario_Data!U212)^2+Inputs!$C$6^2)/Inputs!$C$52)))-(Inputs!$H$7))*1000/Inputs!$C$12)</f>
        <v/>
      </c>
      <c r="L212">
        <f>Scenario_Data!J212-(((SQRT((Inputs!$C$52+(Inputs!$H$8))^2+Inputs!$C$52^2-2*(Inputs!$C$52+(Inputs!$H$8))*Inputs!$C$52*COS(SQRT((Scenario_Data!V212)^2+Inputs!$C$6^2)/Inputs!$C$52)))-(Inputs!$H$8))*1000/Inputs!$C$12)</f>
        <v/>
      </c>
      <c r="M212">
        <f>Scenario_Data!K212-(((SQRT((Inputs!$C$52+(Inputs!$H$9))^2+Inputs!$C$52^2-2*(Inputs!$C$52+(Inputs!$H$9))*Inputs!$C$52*COS(SQRT((Scenario_Data!W212)^2+Inputs!$C$6^2)/Inputs!$C$52)))-(Inputs!$H$9))*1000/Inputs!$C$12)</f>
        <v/>
      </c>
      <c r="O212">
        <f>Scenario_Data!T212</f>
        <v/>
      </c>
      <c r="P212">
        <f>2*(Scenario_Data!B212*1000)/Inputs!$C$21*1000000</f>
        <v/>
      </c>
      <c r="Q212">
        <f>Scenario_Data!U212</f>
        <v/>
      </c>
      <c r="R212">
        <f>2*(Scenario_Data!C212*1000)/Inputs!$C$21*1000000</f>
        <v/>
      </c>
      <c r="S212">
        <f>Scenario_Data!V212</f>
        <v/>
      </c>
      <c r="T212">
        <f>2*(Scenario_Data!D212*1000)/Inputs!$C$21*1000000</f>
        <v/>
      </c>
      <c r="U212">
        <f>Scenario_Data!W212</f>
        <v/>
      </c>
      <c r="V212">
        <f>2*(Scenario_Data!E212*1000)/Inputs!$C$21*1000000</f>
        <v/>
      </c>
      <c r="X212">
        <f>Scenario_Data!T212</f>
        <v/>
      </c>
      <c r="Y212">
        <f>2*((Scenario_Data!B212*1000)-(IF(OR(Inputs!$C$27=TRUE,Inputs!$C$27="TRUE",Inputs!$C$27=1),1,0)*(Inputs!$C$51*(115*EXP(-(((0)-25)^2)/(4.5^2))+70*EXP(-(((0)+38)^2)/(7^2))*(0.55+0.45*SIN(2*PI()*(Scenario_Data!T212)/45))+24*SIN(2*PI()*(0)/9+(Scenario_Data!T212)/18)*EXP(-(((0)+5)^2)/(22^2))+18*SIN(2*PI()*(Scenario_Data!T212)/70))+Inputs!$C$28*EXP(-(((Scenario_Data!T212)-Inputs!$C$29)^2)/(2*Inputs!$C$31^2))*EXP(-(((0)-Inputs!$C$30)^2)/(2*Inputs!$C$32^2))+-Inputs!$C$33*EXP(-(((((Scenario_Data!T212)-Inputs!$C$34)^2)+(((0)-Inputs!$C$35)^2))/(2*Inputs!$C$36^2)))+Inputs!$C$37*(0.55*SIN(2*PI()*(Scenario_Data!T212)/Inputs!$C$39)+0.35*COS(2*PI()*(0)/Inputs!$C$40)+0.2*SIN(2*PI()*((Scenario_Data!T212)+(0))/(0.5*(Inputs!$C$39+Inputs!$C$40))))+Inputs!$C$38*SIN(2*PI()*(Scenario_Data!T212)/Inputs!$C$39)*SIN(2*PI()*(0)/Inputs!$C$40)+-Inputs!$C$41*EXP(-(((0)-Inputs!$C$43)^2)/(2*Inputs!$C$44^2))*EXP(-(((Scenario_Data!T212)-Inputs!$C$42)^2)/(2*Inputs!$C$45^2))+Inputs!$C$48*(0.7*(0.45*SIN(2*PI()*(((Scenario_Data!T212)/Inputs!$C$49)+Inputs!$C$47*0.137))+0.35*COS(2*PI()*(((0)/Inputs!$C$50)+Inputs!$C$47*0.173))+0.2*SIN(2*PI()*((((Scenario_Data!T212)+(0))/(0.5*(Inputs!$C$49+Inputs!$C$50)))+Inputs!$C$47*0.097)))+0.3*(2*((SIN(((Scenario_Data!T212)*12.9898+(0)*78.233+Inputs!$C$47*37.719))*43758.5453)-INT((SIN(((Scenario_Data!T212)*12.9898+(0)*78.233+Inputs!$C$47*37.719))*43758.5453)))-1)))))/Inputs!$C$21*1000000</f>
        <v/>
      </c>
      <c r="Z212">
        <f>Scenario_Data!U212</f>
        <v/>
      </c>
      <c r="AA212">
        <f>2*((Scenario_Data!C212*1000)-(IF(OR(Inputs!$C$27=TRUE,Inputs!$C$27="TRUE",Inputs!$C$27=1),1,0)*(Inputs!$C$51*(115*EXP(-(((0)-25)^2)/(4.5^2))+70*EXP(-(((0)+38)^2)/(7^2))*(0.55+0.45*SIN(2*PI()*(Scenario_Data!U212)/45))+24*SIN(2*PI()*(0)/9+(Scenario_Data!U212)/18)*EXP(-(((0)+5)^2)/(22^2))+18*SIN(2*PI()*(Scenario_Data!U212)/70))+Inputs!$C$28*EXP(-(((Scenario_Data!U212)-Inputs!$C$29)^2)/(2*Inputs!$C$31^2))*EXP(-(((0)-Inputs!$C$30)^2)/(2*Inputs!$C$32^2))+-Inputs!$C$33*EXP(-(((((Scenario_Data!U212)-Inputs!$C$34)^2)+(((0)-Inputs!$C$35)^2))/(2*Inputs!$C$36^2)))+Inputs!$C$37*(0.55*SIN(2*PI()*(Scenario_Data!U212)/Inputs!$C$39)+0.35*COS(2*PI()*(0)/Inputs!$C$40)+0.2*SIN(2*PI()*((Scenario_Data!U212)+(0))/(0.5*(Inputs!$C$39+Inputs!$C$40))))+Inputs!$C$38*SIN(2*PI()*(Scenario_Data!U212)/Inputs!$C$39)*SIN(2*PI()*(0)/Inputs!$C$40)+-Inputs!$C$41*EXP(-(((0)-Inputs!$C$43)^2)/(2*Inputs!$C$44^2))*EXP(-(((Scenario_Data!U212)-Inputs!$C$42)^2)/(2*Inputs!$C$45^2))+Inputs!$C$48*(0.7*(0.45*SIN(2*PI()*(((Scenario_Data!U212)/Inputs!$C$49)+Inputs!$C$47*0.137))+0.35*COS(2*PI()*(((0)/Inputs!$C$50)+Inputs!$C$47*0.173))+0.2*SIN(2*PI()*((((Scenario_Data!U212)+(0))/(0.5*(Inputs!$C$49+Inputs!$C$50)))+Inputs!$C$47*0.097)))+0.3*(2*((SIN(((Scenario_Data!U212)*12.9898+(0)*78.233+Inputs!$C$47*37.719))*43758.5453)-INT((SIN(((Scenario_Data!U212)*12.9898+(0)*78.233+Inputs!$C$47*37.719))*43758.5453)))-1)))))/Inputs!$C$21*1000000</f>
        <v/>
      </c>
      <c r="AB212">
        <f>Scenario_Data!V212</f>
        <v/>
      </c>
      <c r="AC212">
        <f>2*((Scenario_Data!D212*1000)-(IF(OR(Inputs!$C$27=TRUE,Inputs!$C$27="TRUE",Inputs!$C$27=1),1,0)*(Inputs!$C$51*(115*EXP(-(((0)-25)^2)/(4.5^2))+70*EXP(-(((0)+38)^2)/(7^2))*(0.55+0.45*SIN(2*PI()*(Scenario_Data!V212)/45))+24*SIN(2*PI()*(0)/9+(Scenario_Data!V212)/18)*EXP(-(((0)+5)^2)/(22^2))+18*SIN(2*PI()*(Scenario_Data!V212)/70))+Inputs!$C$28*EXP(-(((Scenario_Data!V212)-Inputs!$C$29)^2)/(2*Inputs!$C$31^2))*EXP(-(((0)-Inputs!$C$30)^2)/(2*Inputs!$C$32^2))+-Inputs!$C$33*EXP(-(((((Scenario_Data!V212)-Inputs!$C$34)^2)+(((0)-Inputs!$C$35)^2))/(2*Inputs!$C$36^2)))+Inputs!$C$37*(0.55*SIN(2*PI()*(Scenario_Data!V212)/Inputs!$C$39)+0.35*COS(2*PI()*(0)/Inputs!$C$40)+0.2*SIN(2*PI()*((Scenario_Data!V212)+(0))/(0.5*(Inputs!$C$39+Inputs!$C$40))))+Inputs!$C$38*SIN(2*PI()*(Scenario_Data!V212)/Inputs!$C$39)*SIN(2*PI()*(0)/Inputs!$C$40)+-Inputs!$C$41*EXP(-(((0)-Inputs!$C$43)^2)/(2*Inputs!$C$44^2))*EXP(-(((Scenario_Data!V212)-Inputs!$C$42)^2)/(2*Inputs!$C$45^2))+Inputs!$C$48*(0.7*(0.45*SIN(2*PI()*(((Scenario_Data!V212)/Inputs!$C$49)+Inputs!$C$47*0.137))+0.35*COS(2*PI()*(((0)/Inputs!$C$50)+Inputs!$C$47*0.173))+0.2*SIN(2*PI()*((((Scenario_Data!V212)+(0))/(0.5*(Inputs!$C$49+Inputs!$C$50)))+Inputs!$C$47*0.097)))+0.3*(2*((SIN(((Scenario_Data!V212)*12.9898+(0)*78.233+Inputs!$C$47*37.719))*43758.5453)-INT((SIN(((Scenario_Data!V212)*12.9898+(0)*78.233+Inputs!$C$47*37.719))*43758.5453)))-1)))))/Inputs!$C$21*1000000</f>
        <v/>
      </c>
      <c r="AD212">
        <f>Scenario_Data!W212</f>
        <v/>
      </c>
      <c r="AE212">
        <f>2*((Scenario_Data!E212*1000)-(IF(OR(Inputs!$C$27=TRUE,Inputs!$C$27="TRUE",Inputs!$C$27=1),1,0)*(Inputs!$C$51*(115*EXP(-(((0)-25)^2)/(4.5^2))+70*EXP(-(((0)+38)^2)/(7^2))*(0.55+0.45*SIN(2*PI()*(Scenario_Data!W212)/45))+24*SIN(2*PI()*(0)/9+(Scenario_Data!W212)/18)*EXP(-(((0)+5)^2)/(22^2))+18*SIN(2*PI()*(Scenario_Data!W212)/70))+Inputs!$C$28*EXP(-(((Scenario_Data!W212)-Inputs!$C$29)^2)/(2*Inputs!$C$31^2))*EXP(-(((0)-Inputs!$C$30)^2)/(2*Inputs!$C$32^2))+-Inputs!$C$33*EXP(-(((((Scenario_Data!W212)-Inputs!$C$34)^2)+(((0)-Inputs!$C$35)^2))/(2*Inputs!$C$36^2)))+Inputs!$C$37*(0.55*SIN(2*PI()*(Scenario_Data!W212)/Inputs!$C$39)+0.35*COS(2*PI()*(0)/Inputs!$C$40)+0.2*SIN(2*PI()*((Scenario_Data!W212)+(0))/(0.5*(Inputs!$C$39+Inputs!$C$40))))+Inputs!$C$38*SIN(2*PI()*(Scenario_Data!W212)/Inputs!$C$39)*SIN(2*PI()*(0)/Inputs!$C$40)+-Inputs!$C$41*EXP(-(((0)-Inputs!$C$43)^2)/(2*Inputs!$C$44^2))*EXP(-(((Scenario_Data!W212)-Inputs!$C$42)^2)/(2*Inputs!$C$45^2))+Inputs!$C$48*(0.7*(0.45*SIN(2*PI()*(((Scenario_Data!W212)/Inputs!$C$49)+Inputs!$C$47*0.137))+0.35*COS(2*PI()*(((0)/Inputs!$C$50)+Inputs!$C$47*0.173))+0.2*SIN(2*PI()*((((Scenario_Data!W212)+(0))/(0.5*(Inputs!$C$49+Inputs!$C$50)))+Inputs!$C$47*0.097)))+0.3*(2*((SIN(((Scenario_Data!W212)*12.9898+(0)*78.233+Inputs!$C$47*37.719))*43758.5453)-INT((SIN(((Scenario_Data!W212)*12.9898+(0)*78.233+Inputs!$C$47*37.719))*43758.5453)))-1)))))/Inputs!$C$21*1000000</f>
        <v/>
      </c>
      <c r="AG212">
        <f>Scenario_Data!T212</f>
        <v/>
      </c>
      <c r="AH212">
        <f>2*(SQRT((Inputs!$C$52+(Scenario_Data!B212))^2+Inputs!$C$52^2-2*(Inputs!$C$52+(Scenario_Data!B212))*Inputs!$C$52*COS(SQRT((Scenario_Data!T212)^2+Inputs!$C$6^2)/Inputs!$C$52))*1000)/Inputs!$C$21*1000000</f>
        <v/>
      </c>
      <c r="AI212">
        <f>Scenario_Data!U212</f>
        <v/>
      </c>
      <c r="AJ212">
        <f>2*(SQRT((Inputs!$C$52+(Scenario_Data!C212))^2+Inputs!$C$52^2-2*(Inputs!$C$52+(Scenario_Data!C212))*Inputs!$C$52*COS(SQRT((Scenario_Data!U212)^2+Inputs!$C$6^2)/Inputs!$C$52))*1000)/Inputs!$C$21*1000000</f>
        <v/>
      </c>
      <c r="AK212">
        <f>Scenario_Data!V212</f>
        <v/>
      </c>
      <c r="AL212">
        <f>2*(SQRT((Inputs!$C$52+(Scenario_Data!D212))^2+Inputs!$C$52^2-2*(Inputs!$C$52+(Scenario_Data!D212))*Inputs!$C$52*COS(SQRT((Scenario_Data!V212)^2+Inputs!$C$6^2)/Inputs!$C$52))*1000)/Inputs!$C$21*1000000</f>
        <v/>
      </c>
      <c r="AM212">
        <f>Scenario_Data!W212</f>
        <v/>
      </c>
      <c r="AN212">
        <f>2*(SQRT((Inputs!$C$52+(Scenario_Data!E212))^2+Inputs!$C$52^2-2*(Inputs!$C$52+(Scenario_Data!E212))*Inputs!$C$52*COS(SQRT((Scenario_Data!W212)^2+Inputs!$C$6^2)/Inputs!$C$52))*1000)/Inputs!$C$21*1000000</f>
        <v/>
      </c>
      <c r="AP212">
        <f>Scenario_Data!T212</f>
        <v/>
      </c>
      <c r="AQ212">
        <f>2*(SQRT((Inputs!$C$52+(Scenario_Data!B212))^2+(Inputs!$C$52+((IF(OR(Inputs!$C$27=TRUE,Inputs!$C$27="TRUE",Inputs!$C$27=1),1,0)*(Inputs!$C$51*(115*EXP(-(((Inputs!$C$6)-25)^2)/(4.5^2))+70*EXP(-(((Inputs!$C$6)+38)^2)/(7^2))*(0.55+0.45*SIN(2*PI()*(Scenario_Data!T212)/45))+24*SIN(2*PI()*(Inputs!$C$6)/9+(Scenario_Data!T212)/18)*EXP(-(((Inputs!$C$6)+5)^2)/(22^2))+18*SIN(2*PI()*(Scenario_Data!T212)/70))+Inputs!$C$28*EXP(-(((Scenario_Data!T212)-Inputs!$C$29)^2)/(2*Inputs!$C$31^2))*EXP(-(((Inputs!$C$6)-Inputs!$C$30)^2)/(2*Inputs!$C$32^2))+-Inputs!$C$33*EXP(-(((((Scenario_Data!T212)-Inputs!$C$34)^2)+(((Inputs!$C$6)-Inputs!$C$35)^2))/(2*Inputs!$C$36^2)))+Inputs!$C$37*(0.55*SIN(2*PI()*(Scenario_Data!T212)/Inputs!$C$39)+0.35*COS(2*PI()*(Inputs!$C$6)/Inputs!$C$40)+0.2*SIN(2*PI()*((Scenario_Data!T212)+(Inputs!$C$6))/(0.5*(Inputs!$C$39+Inputs!$C$40))))+Inputs!$C$38*SIN(2*PI()*(Scenario_Data!T212)/Inputs!$C$39)*SIN(2*PI()*(Inputs!$C$6)/Inputs!$C$40)+-Inputs!$C$41*EXP(-(((Inputs!$C$6)-Inputs!$C$43)^2)/(2*Inputs!$C$44^2))*EXP(-(((Scenario_Data!T212)-Inputs!$C$42)^2)/(2*Inputs!$C$45^2))+Inputs!$C$48*(0.7*(0.45*SIN(2*PI()*(((Scenario_Data!T212)/Inputs!$C$49)+Inputs!$C$47*0.137))+0.35*COS(2*PI()*(((Inputs!$C$6)/Inputs!$C$50)+Inputs!$C$47*0.173))+0.2*SIN(2*PI()*((((Scenario_Data!T212)+(Inputs!$C$6))/(0.5*(Inputs!$C$49+Inputs!$C$50)))+Inputs!$C$47*0.097)))+0.3*(2*((SIN(((Scenario_Data!T212)*12.9898+(Inputs!$C$6)*78.233+Inputs!$C$47*37.719))*43758.5453)-INT((SIN(((Scenario_Data!T212)*12.9898+(Inputs!$C$6)*78.233+Inputs!$C$47*37.719))*43758.5453)))-1))))/1000))^2-2*(Inputs!$C$52+(Scenario_Data!B212))*(Inputs!$C$52+((IF(OR(Inputs!$C$27=TRUE,Inputs!$C$27="TRUE",Inputs!$C$27=1),1,0)*(Inputs!$C$51*(115*EXP(-(((Inputs!$C$6)-25)^2)/(4.5^2))+70*EXP(-(((Inputs!$C$6)+38)^2)/(7^2))*(0.55+0.45*SIN(2*PI()*(Scenario_Data!T212)/45))+24*SIN(2*PI()*(Inputs!$C$6)/9+(Scenario_Data!T212)/18)*EXP(-(((Inputs!$C$6)+5)^2)/(22^2))+18*SIN(2*PI()*(Scenario_Data!T212)/70))+Inputs!$C$28*EXP(-(((Scenario_Data!T212)-Inputs!$C$29)^2)/(2*Inputs!$C$31^2))*EXP(-(((Inputs!$C$6)-Inputs!$C$30)^2)/(2*Inputs!$C$32^2))+-Inputs!$C$33*EXP(-(((((Scenario_Data!T212)-Inputs!$C$34)^2)+(((Inputs!$C$6)-Inputs!$C$35)^2))/(2*Inputs!$C$36^2)))+Inputs!$C$37*(0.55*SIN(2*PI()*(Scenario_Data!T212)/Inputs!$C$39)+0.35*COS(2*PI()*(Inputs!$C$6)/Inputs!$C$40)+0.2*SIN(2*PI()*((Scenario_Data!T212)+(Inputs!$C$6))/(0.5*(Inputs!$C$39+Inputs!$C$40))))+Inputs!$C$38*SIN(2*PI()*(Scenario_Data!T212)/Inputs!$C$39)*SIN(2*PI()*(Inputs!$C$6)/Inputs!$C$40)+-Inputs!$C$41*EXP(-(((Inputs!$C$6)-Inputs!$C$43)^2)/(2*Inputs!$C$44^2))*EXP(-(((Scenario_Data!T212)-Inputs!$C$42)^2)/(2*Inputs!$C$45^2))+Inputs!$C$48*(0.7*(0.45*SIN(2*PI()*(((Scenario_Data!T212)/Inputs!$C$49)+Inputs!$C$47*0.137))+0.35*COS(2*PI()*(((Inputs!$C$6)/Inputs!$C$50)+Inputs!$C$47*0.173))+0.2*SIN(2*PI()*((((Scenario_Data!T212)+(Inputs!$C$6))/(0.5*(Inputs!$C$49+Inputs!$C$50)))+Inputs!$C$47*0.097)))+0.3*(2*((SIN(((Scenario_Data!T212)*12.9898+(Inputs!$C$6)*78.233+Inputs!$C$47*37.719))*43758.5453)-INT((SIN(((Scenario_Data!T212)*12.9898+(Inputs!$C$6)*78.233+Inputs!$C$47*37.719))*43758.5453)))-1))))/1000))*COS(SQRT((Scenario_Data!T212)^2+Inputs!$C$6^2)/Inputs!$C$52))*1000)/Inputs!$C$21*1000000</f>
        <v/>
      </c>
      <c r="AR212">
        <f>Scenario_Data!U212</f>
        <v/>
      </c>
      <c r="AS212">
        <f>2*(SQRT((Inputs!$C$52+(Scenario_Data!C212))^2+(Inputs!$C$52+((IF(OR(Inputs!$C$27=TRUE,Inputs!$C$27="TRUE",Inputs!$C$27=1),1,0)*(Inputs!$C$51*(115*EXP(-(((Inputs!$C$6)-25)^2)/(4.5^2))+70*EXP(-(((Inputs!$C$6)+38)^2)/(7^2))*(0.55+0.45*SIN(2*PI()*(Scenario_Data!U212)/45))+24*SIN(2*PI()*(Inputs!$C$6)/9+(Scenario_Data!U212)/18)*EXP(-(((Inputs!$C$6)+5)^2)/(22^2))+18*SIN(2*PI()*(Scenario_Data!U212)/70))+Inputs!$C$28*EXP(-(((Scenario_Data!U212)-Inputs!$C$29)^2)/(2*Inputs!$C$31^2))*EXP(-(((Inputs!$C$6)-Inputs!$C$30)^2)/(2*Inputs!$C$32^2))+-Inputs!$C$33*EXP(-(((((Scenario_Data!U212)-Inputs!$C$34)^2)+(((Inputs!$C$6)-Inputs!$C$35)^2))/(2*Inputs!$C$36^2)))+Inputs!$C$37*(0.55*SIN(2*PI()*(Scenario_Data!U212)/Inputs!$C$39)+0.35*COS(2*PI()*(Inputs!$C$6)/Inputs!$C$40)+0.2*SIN(2*PI()*((Scenario_Data!U212)+(Inputs!$C$6))/(0.5*(Inputs!$C$39+Inputs!$C$40))))+Inputs!$C$38*SIN(2*PI()*(Scenario_Data!U212)/Inputs!$C$39)*SIN(2*PI()*(Inputs!$C$6)/Inputs!$C$40)+-Inputs!$C$41*EXP(-(((Inputs!$C$6)-Inputs!$C$43)^2)/(2*Inputs!$C$44^2))*EXP(-(((Scenario_Data!U212)-Inputs!$C$42)^2)/(2*Inputs!$C$45^2))+Inputs!$C$48*(0.7*(0.45*SIN(2*PI()*(((Scenario_Data!U212)/Inputs!$C$49)+Inputs!$C$47*0.137))+0.35*COS(2*PI()*(((Inputs!$C$6)/Inputs!$C$50)+Inputs!$C$47*0.173))+0.2*SIN(2*PI()*((((Scenario_Data!U212)+(Inputs!$C$6))/(0.5*(Inputs!$C$49+Inputs!$C$50)))+Inputs!$C$47*0.097)))+0.3*(2*((SIN(((Scenario_Data!U212)*12.9898+(Inputs!$C$6)*78.233+Inputs!$C$47*37.719))*43758.5453)-INT((SIN(((Scenario_Data!U212)*12.9898+(Inputs!$C$6)*78.233+Inputs!$C$47*37.719))*43758.5453)))-1))))/1000))^2-2*(Inputs!$C$52+(Scenario_Data!C212))*(Inputs!$C$52+((IF(OR(Inputs!$C$27=TRUE,Inputs!$C$27="TRUE",Inputs!$C$27=1),1,0)*(Inputs!$C$51*(115*EXP(-(((Inputs!$C$6)-25)^2)/(4.5^2))+70*EXP(-(((Inputs!$C$6)+38)^2)/(7^2))*(0.55+0.45*SIN(2*PI()*(Scenario_Data!U212)/45))+24*SIN(2*PI()*(Inputs!$C$6)/9+(Scenario_Data!U212)/18)*EXP(-(((Inputs!$C$6)+5)^2)/(22^2))+18*SIN(2*PI()*(Scenario_Data!U212)/70))+Inputs!$C$28*EXP(-(((Scenario_Data!U212)-Inputs!$C$29)^2)/(2*Inputs!$C$31^2))*EXP(-(((Inputs!$C$6)-Inputs!$C$30)^2)/(2*Inputs!$C$32^2))+-Inputs!$C$33*EXP(-(((((Scenario_Data!U212)-Inputs!$C$34)^2)+(((Inputs!$C$6)-Inputs!$C$35)^2))/(2*Inputs!$C$36^2)))+Inputs!$C$37*(0.55*SIN(2*PI()*(Scenario_Data!U212)/Inputs!$C$39)+0.35*COS(2*PI()*(Inputs!$C$6)/Inputs!$C$40)+0.2*SIN(2*PI()*((Scenario_Data!U212)+(Inputs!$C$6))/(0.5*(Inputs!$C$39+Inputs!$C$40))))+Inputs!$C$38*SIN(2*PI()*(Scenario_Data!U212)/Inputs!$C$39)*SIN(2*PI()*(Inputs!$C$6)/Inputs!$C$40)+-Inputs!$C$41*EXP(-(((Inputs!$C$6)-Inputs!$C$43)^2)/(2*Inputs!$C$44^2))*EXP(-(((Scenario_Data!U212)-Inputs!$C$42)^2)/(2*Inputs!$C$45^2))+Inputs!$C$48*(0.7*(0.45*SIN(2*PI()*(((Scenario_Data!U212)/Inputs!$C$49)+Inputs!$C$47*0.137))+0.35*COS(2*PI()*(((Inputs!$C$6)/Inputs!$C$50)+Inputs!$C$47*0.173))+0.2*SIN(2*PI()*((((Scenario_Data!U212)+(Inputs!$C$6))/(0.5*(Inputs!$C$49+Inputs!$C$50)))+Inputs!$C$47*0.097)))+0.3*(2*((SIN(((Scenario_Data!U212)*12.9898+(Inputs!$C$6)*78.233+Inputs!$C$47*37.719))*43758.5453)-INT((SIN(((Scenario_Data!U212)*12.9898+(Inputs!$C$6)*78.233+Inputs!$C$47*37.719))*43758.5453)))-1))))/1000))*COS(SQRT((Scenario_Data!U212)^2+Inputs!$C$6^2)/Inputs!$C$52))*1000)/Inputs!$C$21*1000000</f>
        <v/>
      </c>
      <c r="AT212">
        <f>Scenario_Data!V212</f>
        <v/>
      </c>
      <c r="AU212">
        <f>2*(SQRT((Inputs!$C$52+(Scenario_Data!D212))^2+(Inputs!$C$52+((IF(OR(Inputs!$C$27=TRUE,Inputs!$C$27="TRUE",Inputs!$C$27=1),1,0)*(Inputs!$C$51*(115*EXP(-(((Inputs!$C$6)-25)^2)/(4.5^2))+70*EXP(-(((Inputs!$C$6)+38)^2)/(7^2))*(0.55+0.45*SIN(2*PI()*(Scenario_Data!V212)/45))+24*SIN(2*PI()*(Inputs!$C$6)/9+(Scenario_Data!V212)/18)*EXP(-(((Inputs!$C$6)+5)^2)/(22^2))+18*SIN(2*PI()*(Scenario_Data!V212)/70))+Inputs!$C$28*EXP(-(((Scenario_Data!V212)-Inputs!$C$29)^2)/(2*Inputs!$C$31^2))*EXP(-(((Inputs!$C$6)-Inputs!$C$30)^2)/(2*Inputs!$C$32^2))+-Inputs!$C$33*EXP(-(((((Scenario_Data!V212)-Inputs!$C$34)^2)+(((Inputs!$C$6)-Inputs!$C$35)^2))/(2*Inputs!$C$36^2)))+Inputs!$C$37*(0.55*SIN(2*PI()*(Scenario_Data!V212)/Inputs!$C$39)+0.35*COS(2*PI()*(Inputs!$C$6)/Inputs!$C$40)+0.2*SIN(2*PI()*((Scenario_Data!V212)+(Inputs!$C$6))/(0.5*(Inputs!$C$39+Inputs!$C$40))))+Inputs!$C$38*SIN(2*PI()*(Scenario_Data!V212)/Inputs!$C$39)*SIN(2*PI()*(Inputs!$C$6)/Inputs!$C$40)+-Inputs!$C$41*EXP(-(((Inputs!$C$6)-Inputs!$C$43)^2)/(2*Inputs!$C$44^2))*EXP(-(((Scenario_Data!V212)-Inputs!$C$42)^2)/(2*Inputs!$C$45^2))+Inputs!$C$48*(0.7*(0.45*SIN(2*PI()*(((Scenario_Data!V212)/Inputs!$C$49)+Inputs!$C$47*0.137))+0.35*COS(2*PI()*(((Inputs!$C$6)/Inputs!$C$50)+Inputs!$C$47*0.173))+0.2*SIN(2*PI()*((((Scenario_Data!V212)+(Inputs!$C$6))/(0.5*(Inputs!$C$49+Inputs!$C$50)))+Inputs!$C$47*0.097)))+0.3*(2*((SIN(((Scenario_Data!V212)*12.9898+(Inputs!$C$6)*78.233+Inputs!$C$47*37.719))*43758.5453)-INT((SIN(((Scenario_Data!V212)*12.9898+(Inputs!$C$6)*78.233+Inputs!$C$47*37.719))*43758.5453)))-1))))/1000))^2-2*(Inputs!$C$52+(Scenario_Data!D212))*(Inputs!$C$52+((IF(OR(Inputs!$C$27=TRUE,Inputs!$C$27="TRUE",Inputs!$C$27=1),1,0)*(Inputs!$C$51*(115*EXP(-(((Inputs!$C$6)-25)^2)/(4.5^2))+70*EXP(-(((Inputs!$C$6)+38)^2)/(7^2))*(0.55+0.45*SIN(2*PI()*(Scenario_Data!V212)/45))+24*SIN(2*PI()*(Inputs!$C$6)/9+(Scenario_Data!V212)/18)*EXP(-(((Inputs!$C$6)+5)^2)/(22^2))+18*SIN(2*PI()*(Scenario_Data!V212)/70))+Inputs!$C$28*EXP(-(((Scenario_Data!V212)-Inputs!$C$29)^2)/(2*Inputs!$C$31^2))*EXP(-(((Inputs!$C$6)-Inputs!$C$30)^2)/(2*Inputs!$C$32^2))+-Inputs!$C$33*EXP(-(((((Scenario_Data!V212)-Inputs!$C$34)^2)+(((Inputs!$C$6)-Inputs!$C$35)^2))/(2*Inputs!$C$36^2)))+Inputs!$C$37*(0.55*SIN(2*PI()*(Scenario_Data!V212)/Inputs!$C$39)+0.35*COS(2*PI()*(Inputs!$C$6)/Inputs!$C$40)+0.2*SIN(2*PI()*((Scenario_Data!V212)+(Inputs!$C$6))/(0.5*(Inputs!$C$39+Inputs!$C$40))))+Inputs!$C$38*SIN(2*PI()*(Scenario_Data!V212)/Inputs!$C$39)*SIN(2*PI()*(Inputs!$C$6)/Inputs!$C$40)+-Inputs!$C$41*EXP(-(((Inputs!$C$6)-Inputs!$C$43)^2)/(2*Inputs!$C$44^2))*EXP(-(((Scenario_Data!V212)-Inputs!$C$42)^2)/(2*Inputs!$C$45^2))+Inputs!$C$48*(0.7*(0.45*SIN(2*PI()*(((Scenario_Data!V212)/Inputs!$C$49)+Inputs!$C$47*0.137))+0.35*COS(2*PI()*(((Inputs!$C$6)/Inputs!$C$50)+Inputs!$C$47*0.173))+0.2*SIN(2*PI()*((((Scenario_Data!V212)+(Inputs!$C$6))/(0.5*(Inputs!$C$49+Inputs!$C$50)))+Inputs!$C$47*0.097)))+0.3*(2*((SIN(((Scenario_Data!V212)*12.9898+(Inputs!$C$6)*78.233+Inputs!$C$47*37.719))*43758.5453)-INT((SIN(((Scenario_Data!V212)*12.9898+(Inputs!$C$6)*78.233+Inputs!$C$47*37.719))*43758.5453)))-1))))/1000))*COS(SQRT((Scenario_Data!V212)^2+Inputs!$C$6^2)/Inputs!$C$52))*1000)/Inputs!$C$21*1000000</f>
        <v/>
      </c>
      <c r="AV212">
        <f>Scenario_Data!W212</f>
        <v/>
      </c>
      <c r="AW212">
        <f>2*(SQRT((Inputs!$C$52+(Scenario_Data!E212))^2+(Inputs!$C$52+((IF(OR(Inputs!$C$27=TRUE,Inputs!$C$27="TRUE",Inputs!$C$27=1),1,0)*(Inputs!$C$51*(115*EXP(-(((Inputs!$C$6)-25)^2)/(4.5^2))+70*EXP(-(((Inputs!$C$6)+38)^2)/(7^2))*(0.55+0.45*SIN(2*PI()*(Scenario_Data!W212)/45))+24*SIN(2*PI()*(Inputs!$C$6)/9+(Scenario_Data!W212)/18)*EXP(-(((Inputs!$C$6)+5)^2)/(22^2))+18*SIN(2*PI()*(Scenario_Data!W212)/70))+Inputs!$C$28*EXP(-(((Scenario_Data!W212)-Inputs!$C$29)^2)/(2*Inputs!$C$31^2))*EXP(-(((Inputs!$C$6)-Inputs!$C$30)^2)/(2*Inputs!$C$32^2))+-Inputs!$C$33*EXP(-(((((Scenario_Data!W212)-Inputs!$C$34)^2)+(((Inputs!$C$6)-Inputs!$C$35)^2))/(2*Inputs!$C$36^2)))+Inputs!$C$37*(0.55*SIN(2*PI()*(Scenario_Data!W212)/Inputs!$C$39)+0.35*COS(2*PI()*(Inputs!$C$6)/Inputs!$C$40)+0.2*SIN(2*PI()*((Scenario_Data!W212)+(Inputs!$C$6))/(0.5*(Inputs!$C$39+Inputs!$C$40))))+Inputs!$C$38*SIN(2*PI()*(Scenario_Data!W212)/Inputs!$C$39)*SIN(2*PI()*(Inputs!$C$6)/Inputs!$C$40)+-Inputs!$C$41*EXP(-(((Inputs!$C$6)-Inputs!$C$43)^2)/(2*Inputs!$C$44^2))*EXP(-(((Scenario_Data!W212)-Inputs!$C$42)^2)/(2*Inputs!$C$45^2))+Inputs!$C$48*(0.7*(0.45*SIN(2*PI()*(((Scenario_Data!W212)/Inputs!$C$49)+Inputs!$C$47*0.137))+0.35*COS(2*PI()*(((Inputs!$C$6)/Inputs!$C$50)+Inputs!$C$47*0.173))+0.2*SIN(2*PI()*((((Scenario_Data!W212)+(Inputs!$C$6))/(0.5*(Inputs!$C$49+Inputs!$C$50)))+Inputs!$C$47*0.097)))+0.3*(2*((SIN(((Scenario_Data!W212)*12.9898+(Inputs!$C$6)*78.233+Inputs!$C$47*37.719))*43758.5453)-INT((SIN(((Scenario_Data!W212)*12.9898+(Inputs!$C$6)*78.233+Inputs!$C$47*37.719))*43758.5453)))-1))))/1000))^2-2*(Inputs!$C$52+(Scenario_Data!E212))*(Inputs!$C$52+((IF(OR(Inputs!$C$27=TRUE,Inputs!$C$27="TRUE",Inputs!$C$27=1),1,0)*(Inputs!$C$51*(115*EXP(-(((Inputs!$C$6)-25)^2)/(4.5^2))+70*EXP(-(((Inputs!$C$6)+38)^2)/(7^2))*(0.55+0.45*SIN(2*PI()*(Scenario_Data!W212)/45))+24*SIN(2*PI()*(Inputs!$C$6)/9+(Scenario_Data!W212)/18)*EXP(-(((Inputs!$C$6)+5)^2)/(22^2))+18*SIN(2*PI()*(Scenario_Data!W212)/70))+Inputs!$C$28*EXP(-(((Scenario_Data!W212)-Inputs!$C$29)^2)/(2*Inputs!$C$31^2))*EXP(-(((Inputs!$C$6)-Inputs!$C$30)^2)/(2*Inputs!$C$32^2))+-Inputs!$C$33*EXP(-(((((Scenario_Data!W212)-Inputs!$C$34)^2)+(((Inputs!$C$6)-Inputs!$C$35)^2))/(2*Inputs!$C$36^2)))+Inputs!$C$37*(0.55*SIN(2*PI()*(Scenario_Data!W212)/Inputs!$C$39)+0.35*COS(2*PI()*(Inputs!$C$6)/Inputs!$C$40)+0.2*SIN(2*PI()*((Scenario_Data!W212)+(Inputs!$C$6))/(0.5*(Inputs!$C$39+Inputs!$C$40))))+Inputs!$C$38*SIN(2*PI()*(Scenario_Data!W212)/Inputs!$C$39)*SIN(2*PI()*(Inputs!$C$6)/Inputs!$C$40)+-Inputs!$C$41*EXP(-(((Inputs!$C$6)-Inputs!$C$43)^2)/(2*Inputs!$C$44^2))*EXP(-(((Scenario_Data!W212)-Inputs!$C$42)^2)/(2*Inputs!$C$45^2))+Inputs!$C$48*(0.7*(0.45*SIN(2*PI()*(((Scenario_Data!W212)/Inputs!$C$49)+Inputs!$C$47*0.137))+0.35*COS(2*PI()*(((Inputs!$C$6)/Inputs!$C$50)+Inputs!$C$47*0.173))+0.2*SIN(2*PI()*((((Scenario_Data!W212)+(Inputs!$C$6))/(0.5*(Inputs!$C$49+Inputs!$C$50)))+Inputs!$C$47*0.097)))+0.3*(2*((SIN(((Scenario_Data!W212)*12.9898+(Inputs!$C$6)*78.233+Inputs!$C$47*37.719))*43758.5453)-INT((SIN(((Scenario_Data!W212)*12.9898+(Inputs!$C$6)*78.233+Inputs!$C$47*37.719))*43758.5453)))-1))))/1000))*COS(SQRT((Scenario_Data!W212)^2+Inputs!$C$6^2)/Inputs!$C$52))*1000)/Inputs!$C$21*1000000</f>
        <v/>
      </c>
    </row>
    <row r="213">
      <c r="A213">
        <f>Chart_Data!K213</f>
        <v/>
      </c>
      <c r="B213">
        <f>Chart_Data!N213-Chart_Data!L213</f>
        <v/>
      </c>
      <c r="D213">
        <f>Chart_Data!G213</f>
        <v/>
      </c>
      <c r="E213">
        <f>Chart_Data!H213</f>
        <v/>
      </c>
      <c r="F213">
        <f>Chart_Data!I213</f>
        <v/>
      </c>
      <c r="G213">
        <f>Chart_Data!J213</f>
        <v/>
      </c>
      <c r="I213">
        <f>Scenario_Data!A213</f>
        <v/>
      </c>
      <c r="J213">
        <f>Scenario_Data!H213-(((SQRT((Inputs!$C$52+(Inputs!$H$6))^2+Inputs!$C$52^2-2*(Inputs!$C$52+(Inputs!$H$6))*Inputs!$C$52*COS(SQRT((Scenario_Data!T213)^2+Inputs!$C$6^2)/Inputs!$C$52)))-(Inputs!$H$6))*1000/Inputs!$C$12)</f>
        <v/>
      </c>
      <c r="K213">
        <f>Scenario_Data!I213-(((SQRT((Inputs!$C$52+(Inputs!$H$7))^2+Inputs!$C$52^2-2*(Inputs!$C$52+(Inputs!$H$7))*Inputs!$C$52*COS(SQRT((Scenario_Data!U213)^2+Inputs!$C$6^2)/Inputs!$C$52)))-(Inputs!$H$7))*1000/Inputs!$C$12)</f>
        <v/>
      </c>
      <c r="L213">
        <f>Scenario_Data!J213-(((SQRT((Inputs!$C$52+(Inputs!$H$8))^2+Inputs!$C$52^2-2*(Inputs!$C$52+(Inputs!$H$8))*Inputs!$C$52*COS(SQRT((Scenario_Data!V213)^2+Inputs!$C$6^2)/Inputs!$C$52)))-(Inputs!$H$8))*1000/Inputs!$C$12)</f>
        <v/>
      </c>
      <c r="M213">
        <f>Scenario_Data!K213-(((SQRT((Inputs!$C$52+(Inputs!$H$9))^2+Inputs!$C$52^2-2*(Inputs!$C$52+(Inputs!$H$9))*Inputs!$C$52*COS(SQRT((Scenario_Data!W213)^2+Inputs!$C$6^2)/Inputs!$C$52)))-(Inputs!$H$9))*1000/Inputs!$C$12)</f>
        <v/>
      </c>
      <c r="O213">
        <f>Scenario_Data!T213</f>
        <v/>
      </c>
      <c r="P213">
        <f>2*(Scenario_Data!B213*1000)/Inputs!$C$21*1000000</f>
        <v/>
      </c>
      <c r="Q213">
        <f>Scenario_Data!U213</f>
        <v/>
      </c>
      <c r="R213">
        <f>2*(Scenario_Data!C213*1000)/Inputs!$C$21*1000000</f>
        <v/>
      </c>
      <c r="S213">
        <f>Scenario_Data!V213</f>
        <v/>
      </c>
      <c r="T213">
        <f>2*(Scenario_Data!D213*1000)/Inputs!$C$21*1000000</f>
        <v/>
      </c>
      <c r="U213">
        <f>Scenario_Data!W213</f>
        <v/>
      </c>
      <c r="V213">
        <f>2*(Scenario_Data!E213*1000)/Inputs!$C$21*1000000</f>
        <v/>
      </c>
      <c r="X213">
        <f>Scenario_Data!T213</f>
        <v/>
      </c>
      <c r="Y213">
        <f>2*((Scenario_Data!B213*1000)-(IF(OR(Inputs!$C$27=TRUE,Inputs!$C$27="TRUE",Inputs!$C$27=1),1,0)*(Inputs!$C$51*(115*EXP(-(((0)-25)^2)/(4.5^2))+70*EXP(-(((0)+38)^2)/(7^2))*(0.55+0.45*SIN(2*PI()*(Scenario_Data!T213)/45))+24*SIN(2*PI()*(0)/9+(Scenario_Data!T213)/18)*EXP(-(((0)+5)^2)/(22^2))+18*SIN(2*PI()*(Scenario_Data!T213)/70))+Inputs!$C$28*EXP(-(((Scenario_Data!T213)-Inputs!$C$29)^2)/(2*Inputs!$C$31^2))*EXP(-(((0)-Inputs!$C$30)^2)/(2*Inputs!$C$32^2))+-Inputs!$C$33*EXP(-(((((Scenario_Data!T213)-Inputs!$C$34)^2)+(((0)-Inputs!$C$35)^2))/(2*Inputs!$C$36^2)))+Inputs!$C$37*(0.55*SIN(2*PI()*(Scenario_Data!T213)/Inputs!$C$39)+0.35*COS(2*PI()*(0)/Inputs!$C$40)+0.2*SIN(2*PI()*((Scenario_Data!T213)+(0))/(0.5*(Inputs!$C$39+Inputs!$C$40))))+Inputs!$C$38*SIN(2*PI()*(Scenario_Data!T213)/Inputs!$C$39)*SIN(2*PI()*(0)/Inputs!$C$40)+-Inputs!$C$41*EXP(-(((0)-Inputs!$C$43)^2)/(2*Inputs!$C$44^2))*EXP(-(((Scenario_Data!T213)-Inputs!$C$42)^2)/(2*Inputs!$C$45^2))+Inputs!$C$48*(0.7*(0.45*SIN(2*PI()*(((Scenario_Data!T213)/Inputs!$C$49)+Inputs!$C$47*0.137))+0.35*COS(2*PI()*(((0)/Inputs!$C$50)+Inputs!$C$47*0.173))+0.2*SIN(2*PI()*((((Scenario_Data!T213)+(0))/(0.5*(Inputs!$C$49+Inputs!$C$50)))+Inputs!$C$47*0.097)))+0.3*(2*((SIN(((Scenario_Data!T213)*12.9898+(0)*78.233+Inputs!$C$47*37.719))*43758.5453)-INT((SIN(((Scenario_Data!T213)*12.9898+(0)*78.233+Inputs!$C$47*37.719))*43758.5453)))-1)))))/Inputs!$C$21*1000000</f>
        <v/>
      </c>
      <c r="Z213">
        <f>Scenario_Data!U213</f>
        <v/>
      </c>
      <c r="AA213">
        <f>2*((Scenario_Data!C213*1000)-(IF(OR(Inputs!$C$27=TRUE,Inputs!$C$27="TRUE",Inputs!$C$27=1),1,0)*(Inputs!$C$51*(115*EXP(-(((0)-25)^2)/(4.5^2))+70*EXP(-(((0)+38)^2)/(7^2))*(0.55+0.45*SIN(2*PI()*(Scenario_Data!U213)/45))+24*SIN(2*PI()*(0)/9+(Scenario_Data!U213)/18)*EXP(-(((0)+5)^2)/(22^2))+18*SIN(2*PI()*(Scenario_Data!U213)/70))+Inputs!$C$28*EXP(-(((Scenario_Data!U213)-Inputs!$C$29)^2)/(2*Inputs!$C$31^2))*EXP(-(((0)-Inputs!$C$30)^2)/(2*Inputs!$C$32^2))+-Inputs!$C$33*EXP(-(((((Scenario_Data!U213)-Inputs!$C$34)^2)+(((0)-Inputs!$C$35)^2))/(2*Inputs!$C$36^2)))+Inputs!$C$37*(0.55*SIN(2*PI()*(Scenario_Data!U213)/Inputs!$C$39)+0.35*COS(2*PI()*(0)/Inputs!$C$40)+0.2*SIN(2*PI()*((Scenario_Data!U213)+(0))/(0.5*(Inputs!$C$39+Inputs!$C$40))))+Inputs!$C$38*SIN(2*PI()*(Scenario_Data!U213)/Inputs!$C$39)*SIN(2*PI()*(0)/Inputs!$C$40)+-Inputs!$C$41*EXP(-(((0)-Inputs!$C$43)^2)/(2*Inputs!$C$44^2))*EXP(-(((Scenario_Data!U213)-Inputs!$C$42)^2)/(2*Inputs!$C$45^2))+Inputs!$C$48*(0.7*(0.45*SIN(2*PI()*(((Scenario_Data!U213)/Inputs!$C$49)+Inputs!$C$47*0.137))+0.35*COS(2*PI()*(((0)/Inputs!$C$50)+Inputs!$C$47*0.173))+0.2*SIN(2*PI()*((((Scenario_Data!U213)+(0))/(0.5*(Inputs!$C$49+Inputs!$C$50)))+Inputs!$C$47*0.097)))+0.3*(2*((SIN(((Scenario_Data!U213)*12.9898+(0)*78.233+Inputs!$C$47*37.719))*43758.5453)-INT((SIN(((Scenario_Data!U213)*12.9898+(0)*78.233+Inputs!$C$47*37.719))*43758.5453)))-1)))))/Inputs!$C$21*1000000</f>
        <v/>
      </c>
      <c r="AB213">
        <f>Scenario_Data!V213</f>
        <v/>
      </c>
      <c r="AC213">
        <f>2*((Scenario_Data!D213*1000)-(IF(OR(Inputs!$C$27=TRUE,Inputs!$C$27="TRUE",Inputs!$C$27=1),1,0)*(Inputs!$C$51*(115*EXP(-(((0)-25)^2)/(4.5^2))+70*EXP(-(((0)+38)^2)/(7^2))*(0.55+0.45*SIN(2*PI()*(Scenario_Data!V213)/45))+24*SIN(2*PI()*(0)/9+(Scenario_Data!V213)/18)*EXP(-(((0)+5)^2)/(22^2))+18*SIN(2*PI()*(Scenario_Data!V213)/70))+Inputs!$C$28*EXP(-(((Scenario_Data!V213)-Inputs!$C$29)^2)/(2*Inputs!$C$31^2))*EXP(-(((0)-Inputs!$C$30)^2)/(2*Inputs!$C$32^2))+-Inputs!$C$33*EXP(-(((((Scenario_Data!V213)-Inputs!$C$34)^2)+(((0)-Inputs!$C$35)^2))/(2*Inputs!$C$36^2)))+Inputs!$C$37*(0.55*SIN(2*PI()*(Scenario_Data!V213)/Inputs!$C$39)+0.35*COS(2*PI()*(0)/Inputs!$C$40)+0.2*SIN(2*PI()*((Scenario_Data!V213)+(0))/(0.5*(Inputs!$C$39+Inputs!$C$40))))+Inputs!$C$38*SIN(2*PI()*(Scenario_Data!V213)/Inputs!$C$39)*SIN(2*PI()*(0)/Inputs!$C$40)+-Inputs!$C$41*EXP(-(((0)-Inputs!$C$43)^2)/(2*Inputs!$C$44^2))*EXP(-(((Scenario_Data!V213)-Inputs!$C$42)^2)/(2*Inputs!$C$45^2))+Inputs!$C$48*(0.7*(0.45*SIN(2*PI()*(((Scenario_Data!V213)/Inputs!$C$49)+Inputs!$C$47*0.137))+0.35*COS(2*PI()*(((0)/Inputs!$C$50)+Inputs!$C$47*0.173))+0.2*SIN(2*PI()*((((Scenario_Data!V213)+(0))/(0.5*(Inputs!$C$49+Inputs!$C$50)))+Inputs!$C$47*0.097)))+0.3*(2*((SIN(((Scenario_Data!V213)*12.9898+(0)*78.233+Inputs!$C$47*37.719))*43758.5453)-INT((SIN(((Scenario_Data!V213)*12.9898+(0)*78.233+Inputs!$C$47*37.719))*43758.5453)))-1)))))/Inputs!$C$21*1000000</f>
        <v/>
      </c>
      <c r="AD213">
        <f>Scenario_Data!W213</f>
        <v/>
      </c>
      <c r="AE213">
        <f>2*((Scenario_Data!E213*1000)-(IF(OR(Inputs!$C$27=TRUE,Inputs!$C$27="TRUE",Inputs!$C$27=1),1,0)*(Inputs!$C$51*(115*EXP(-(((0)-25)^2)/(4.5^2))+70*EXP(-(((0)+38)^2)/(7^2))*(0.55+0.45*SIN(2*PI()*(Scenario_Data!W213)/45))+24*SIN(2*PI()*(0)/9+(Scenario_Data!W213)/18)*EXP(-(((0)+5)^2)/(22^2))+18*SIN(2*PI()*(Scenario_Data!W213)/70))+Inputs!$C$28*EXP(-(((Scenario_Data!W213)-Inputs!$C$29)^2)/(2*Inputs!$C$31^2))*EXP(-(((0)-Inputs!$C$30)^2)/(2*Inputs!$C$32^2))+-Inputs!$C$33*EXP(-(((((Scenario_Data!W213)-Inputs!$C$34)^2)+(((0)-Inputs!$C$35)^2))/(2*Inputs!$C$36^2)))+Inputs!$C$37*(0.55*SIN(2*PI()*(Scenario_Data!W213)/Inputs!$C$39)+0.35*COS(2*PI()*(0)/Inputs!$C$40)+0.2*SIN(2*PI()*((Scenario_Data!W213)+(0))/(0.5*(Inputs!$C$39+Inputs!$C$40))))+Inputs!$C$38*SIN(2*PI()*(Scenario_Data!W213)/Inputs!$C$39)*SIN(2*PI()*(0)/Inputs!$C$40)+-Inputs!$C$41*EXP(-(((0)-Inputs!$C$43)^2)/(2*Inputs!$C$44^2))*EXP(-(((Scenario_Data!W213)-Inputs!$C$42)^2)/(2*Inputs!$C$45^2))+Inputs!$C$48*(0.7*(0.45*SIN(2*PI()*(((Scenario_Data!W213)/Inputs!$C$49)+Inputs!$C$47*0.137))+0.35*COS(2*PI()*(((0)/Inputs!$C$50)+Inputs!$C$47*0.173))+0.2*SIN(2*PI()*((((Scenario_Data!W213)+(0))/(0.5*(Inputs!$C$49+Inputs!$C$50)))+Inputs!$C$47*0.097)))+0.3*(2*((SIN(((Scenario_Data!W213)*12.9898+(0)*78.233+Inputs!$C$47*37.719))*43758.5453)-INT((SIN(((Scenario_Data!W213)*12.9898+(0)*78.233+Inputs!$C$47*37.719))*43758.5453)))-1)))))/Inputs!$C$21*1000000</f>
        <v/>
      </c>
      <c r="AG213">
        <f>Scenario_Data!T213</f>
        <v/>
      </c>
      <c r="AH213">
        <f>2*(SQRT((Inputs!$C$52+(Scenario_Data!B213))^2+Inputs!$C$52^2-2*(Inputs!$C$52+(Scenario_Data!B213))*Inputs!$C$52*COS(SQRT((Scenario_Data!T213)^2+Inputs!$C$6^2)/Inputs!$C$52))*1000)/Inputs!$C$21*1000000</f>
        <v/>
      </c>
      <c r="AI213">
        <f>Scenario_Data!U213</f>
        <v/>
      </c>
      <c r="AJ213">
        <f>2*(SQRT((Inputs!$C$52+(Scenario_Data!C213))^2+Inputs!$C$52^2-2*(Inputs!$C$52+(Scenario_Data!C213))*Inputs!$C$52*COS(SQRT((Scenario_Data!U213)^2+Inputs!$C$6^2)/Inputs!$C$52))*1000)/Inputs!$C$21*1000000</f>
        <v/>
      </c>
      <c r="AK213">
        <f>Scenario_Data!V213</f>
        <v/>
      </c>
      <c r="AL213">
        <f>2*(SQRT((Inputs!$C$52+(Scenario_Data!D213))^2+Inputs!$C$52^2-2*(Inputs!$C$52+(Scenario_Data!D213))*Inputs!$C$52*COS(SQRT((Scenario_Data!V213)^2+Inputs!$C$6^2)/Inputs!$C$52))*1000)/Inputs!$C$21*1000000</f>
        <v/>
      </c>
      <c r="AM213">
        <f>Scenario_Data!W213</f>
        <v/>
      </c>
      <c r="AN213">
        <f>2*(SQRT((Inputs!$C$52+(Scenario_Data!E213))^2+Inputs!$C$52^2-2*(Inputs!$C$52+(Scenario_Data!E213))*Inputs!$C$52*COS(SQRT((Scenario_Data!W213)^2+Inputs!$C$6^2)/Inputs!$C$52))*1000)/Inputs!$C$21*1000000</f>
        <v/>
      </c>
      <c r="AP213">
        <f>Scenario_Data!T213</f>
        <v/>
      </c>
      <c r="AQ213">
        <f>2*(SQRT((Inputs!$C$52+(Scenario_Data!B213))^2+(Inputs!$C$52+((IF(OR(Inputs!$C$27=TRUE,Inputs!$C$27="TRUE",Inputs!$C$27=1),1,0)*(Inputs!$C$51*(115*EXP(-(((Inputs!$C$6)-25)^2)/(4.5^2))+70*EXP(-(((Inputs!$C$6)+38)^2)/(7^2))*(0.55+0.45*SIN(2*PI()*(Scenario_Data!T213)/45))+24*SIN(2*PI()*(Inputs!$C$6)/9+(Scenario_Data!T213)/18)*EXP(-(((Inputs!$C$6)+5)^2)/(22^2))+18*SIN(2*PI()*(Scenario_Data!T213)/70))+Inputs!$C$28*EXP(-(((Scenario_Data!T213)-Inputs!$C$29)^2)/(2*Inputs!$C$31^2))*EXP(-(((Inputs!$C$6)-Inputs!$C$30)^2)/(2*Inputs!$C$32^2))+-Inputs!$C$33*EXP(-(((((Scenario_Data!T213)-Inputs!$C$34)^2)+(((Inputs!$C$6)-Inputs!$C$35)^2))/(2*Inputs!$C$36^2)))+Inputs!$C$37*(0.55*SIN(2*PI()*(Scenario_Data!T213)/Inputs!$C$39)+0.35*COS(2*PI()*(Inputs!$C$6)/Inputs!$C$40)+0.2*SIN(2*PI()*((Scenario_Data!T213)+(Inputs!$C$6))/(0.5*(Inputs!$C$39+Inputs!$C$40))))+Inputs!$C$38*SIN(2*PI()*(Scenario_Data!T213)/Inputs!$C$39)*SIN(2*PI()*(Inputs!$C$6)/Inputs!$C$40)+-Inputs!$C$41*EXP(-(((Inputs!$C$6)-Inputs!$C$43)^2)/(2*Inputs!$C$44^2))*EXP(-(((Scenario_Data!T213)-Inputs!$C$42)^2)/(2*Inputs!$C$45^2))+Inputs!$C$48*(0.7*(0.45*SIN(2*PI()*(((Scenario_Data!T213)/Inputs!$C$49)+Inputs!$C$47*0.137))+0.35*COS(2*PI()*(((Inputs!$C$6)/Inputs!$C$50)+Inputs!$C$47*0.173))+0.2*SIN(2*PI()*((((Scenario_Data!T213)+(Inputs!$C$6))/(0.5*(Inputs!$C$49+Inputs!$C$50)))+Inputs!$C$47*0.097)))+0.3*(2*((SIN(((Scenario_Data!T213)*12.9898+(Inputs!$C$6)*78.233+Inputs!$C$47*37.719))*43758.5453)-INT((SIN(((Scenario_Data!T213)*12.9898+(Inputs!$C$6)*78.233+Inputs!$C$47*37.719))*43758.5453)))-1))))/1000))^2-2*(Inputs!$C$52+(Scenario_Data!B213))*(Inputs!$C$52+((IF(OR(Inputs!$C$27=TRUE,Inputs!$C$27="TRUE",Inputs!$C$27=1),1,0)*(Inputs!$C$51*(115*EXP(-(((Inputs!$C$6)-25)^2)/(4.5^2))+70*EXP(-(((Inputs!$C$6)+38)^2)/(7^2))*(0.55+0.45*SIN(2*PI()*(Scenario_Data!T213)/45))+24*SIN(2*PI()*(Inputs!$C$6)/9+(Scenario_Data!T213)/18)*EXP(-(((Inputs!$C$6)+5)^2)/(22^2))+18*SIN(2*PI()*(Scenario_Data!T213)/70))+Inputs!$C$28*EXP(-(((Scenario_Data!T213)-Inputs!$C$29)^2)/(2*Inputs!$C$31^2))*EXP(-(((Inputs!$C$6)-Inputs!$C$30)^2)/(2*Inputs!$C$32^2))+-Inputs!$C$33*EXP(-(((((Scenario_Data!T213)-Inputs!$C$34)^2)+(((Inputs!$C$6)-Inputs!$C$35)^2))/(2*Inputs!$C$36^2)))+Inputs!$C$37*(0.55*SIN(2*PI()*(Scenario_Data!T213)/Inputs!$C$39)+0.35*COS(2*PI()*(Inputs!$C$6)/Inputs!$C$40)+0.2*SIN(2*PI()*((Scenario_Data!T213)+(Inputs!$C$6))/(0.5*(Inputs!$C$39+Inputs!$C$40))))+Inputs!$C$38*SIN(2*PI()*(Scenario_Data!T213)/Inputs!$C$39)*SIN(2*PI()*(Inputs!$C$6)/Inputs!$C$40)+-Inputs!$C$41*EXP(-(((Inputs!$C$6)-Inputs!$C$43)^2)/(2*Inputs!$C$44^2))*EXP(-(((Scenario_Data!T213)-Inputs!$C$42)^2)/(2*Inputs!$C$45^2))+Inputs!$C$48*(0.7*(0.45*SIN(2*PI()*(((Scenario_Data!T213)/Inputs!$C$49)+Inputs!$C$47*0.137))+0.35*COS(2*PI()*(((Inputs!$C$6)/Inputs!$C$50)+Inputs!$C$47*0.173))+0.2*SIN(2*PI()*((((Scenario_Data!T213)+(Inputs!$C$6))/(0.5*(Inputs!$C$49+Inputs!$C$50)))+Inputs!$C$47*0.097)))+0.3*(2*((SIN(((Scenario_Data!T213)*12.9898+(Inputs!$C$6)*78.233+Inputs!$C$47*37.719))*43758.5453)-INT((SIN(((Scenario_Data!T213)*12.9898+(Inputs!$C$6)*78.233+Inputs!$C$47*37.719))*43758.5453)))-1))))/1000))*COS(SQRT((Scenario_Data!T213)^2+Inputs!$C$6^2)/Inputs!$C$52))*1000)/Inputs!$C$21*1000000</f>
        <v/>
      </c>
      <c r="AR213">
        <f>Scenario_Data!U213</f>
        <v/>
      </c>
      <c r="AS213">
        <f>2*(SQRT((Inputs!$C$52+(Scenario_Data!C213))^2+(Inputs!$C$52+((IF(OR(Inputs!$C$27=TRUE,Inputs!$C$27="TRUE",Inputs!$C$27=1),1,0)*(Inputs!$C$51*(115*EXP(-(((Inputs!$C$6)-25)^2)/(4.5^2))+70*EXP(-(((Inputs!$C$6)+38)^2)/(7^2))*(0.55+0.45*SIN(2*PI()*(Scenario_Data!U213)/45))+24*SIN(2*PI()*(Inputs!$C$6)/9+(Scenario_Data!U213)/18)*EXP(-(((Inputs!$C$6)+5)^2)/(22^2))+18*SIN(2*PI()*(Scenario_Data!U213)/70))+Inputs!$C$28*EXP(-(((Scenario_Data!U213)-Inputs!$C$29)^2)/(2*Inputs!$C$31^2))*EXP(-(((Inputs!$C$6)-Inputs!$C$30)^2)/(2*Inputs!$C$32^2))+-Inputs!$C$33*EXP(-(((((Scenario_Data!U213)-Inputs!$C$34)^2)+(((Inputs!$C$6)-Inputs!$C$35)^2))/(2*Inputs!$C$36^2)))+Inputs!$C$37*(0.55*SIN(2*PI()*(Scenario_Data!U213)/Inputs!$C$39)+0.35*COS(2*PI()*(Inputs!$C$6)/Inputs!$C$40)+0.2*SIN(2*PI()*((Scenario_Data!U213)+(Inputs!$C$6))/(0.5*(Inputs!$C$39+Inputs!$C$40))))+Inputs!$C$38*SIN(2*PI()*(Scenario_Data!U213)/Inputs!$C$39)*SIN(2*PI()*(Inputs!$C$6)/Inputs!$C$40)+-Inputs!$C$41*EXP(-(((Inputs!$C$6)-Inputs!$C$43)^2)/(2*Inputs!$C$44^2))*EXP(-(((Scenario_Data!U213)-Inputs!$C$42)^2)/(2*Inputs!$C$45^2))+Inputs!$C$48*(0.7*(0.45*SIN(2*PI()*(((Scenario_Data!U213)/Inputs!$C$49)+Inputs!$C$47*0.137))+0.35*COS(2*PI()*(((Inputs!$C$6)/Inputs!$C$50)+Inputs!$C$47*0.173))+0.2*SIN(2*PI()*((((Scenario_Data!U213)+(Inputs!$C$6))/(0.5*(Inputs!$C$49+Inputs!$C$50)))+Inputs!$C$47*0.097)))+0.3*(2*((SIN(((Scenario_Data!U213)*12.9898+(Inputs!$C$6)*78.233+Inputs!$C$47*37.719))*43758.5453)-INT((SIN(((Scenario_Data!U213)*12.9898+(Inputs!$C$6)*78.233+Inputs!$C$47*37.719))*43758.5453)))-1))))/1000))^2-2*(Inputs!$C$52+(Scenario_Data!C213))*(Inputs!$C$52+((IF(OR(Inputs!$C$27=TRUE,Inputs!$C$27="TRUE",Inputs!$C$27=1),1,0)*(Inputs!$C$51*(115*EXP(-(((Inputs!$C$6)-25)^2)/(4.5^2))+70*EXP(-(((Inputs!$C$6)+38)^2)/(7^2))*(0.55+0.45*SIN(2*PI()*(Scenario_Data!U213)/45))+24*SIN(2*PI()*(Inputs!$C$6)/9+(Scenario_Data!U213)/18)*EXP(-(((Inputs!$C$6)+5)^2)/(22^2))+18*SIN(2*PI()*(Scenario_Data!U213)/70))+Inputs!$C$28*EXP(-(((Scenario_Data!U213)-Inputs!$C$29)^2)/(2*Inputs!$C$31^2))*EXP(-(((Inputs!$C$6)-Inputs!$C$30)^2)/(2*Inputs!$C$32^2))+-Inputs!$C$33*EXP(-(((((Scenario_Data!U213)-Inputs!$C$34)^2)+(((Inputs!$C$6)-Inputs!$C$35)^2))/(2*Inputs!$C$36^2)))+Inputs!$C$37*(0.55*SIN(2*PI()*(Scenario_Data!U213)/Inputs!$C$39)+0.35*COS(2*PI()*(Inputs!$C$6)/Inputs!$C$40)+0.2*SIN(2*PI()*((Scenario_Data!U213)+(Inputs!$C$6))/(0.5*(Inputs!$C$39+Inputs!$C$40))))+Inputs!$C$38*SIN(2*PI()*(Scenario_Data!U213)/Inputs!$C$39)*SIN(2*PI()*(Inputs!$C$6)/Inputs!$C$40)+-Inputs!$C$41*EXP(-(((Inputs!$C$6)-Inputs!$C$43)^2)/(2*Inputs!$C$44^2))*EXP(-(((Scenario_Data!U213)-Inputs!$C$42)^2)/(2*Inputs!$C$45^2))+Inputs!$C$48*(0.7*(0.45*SIN(2*PI()*(((Scenario_Data!U213)/Inputs!$C$49)+Inputs!$C$47*0.137))+0.35*COS(2*PI()*(((Inputs!$C$6)/Inputs!$C$50)+Inputs!$C$47*0.173))+0.2*SIN(2*PI()*((((Scenario_Data!U213)+(Inputs!$C$6))/(0.5*(Inputs!$C$49+Inputs!$C$50)))+Inputs!$C$47*0.097)))+0.3*(2*((SIN(((Scenario_Data!U213)*12.9898+(Inputs!$C$6)*78.233+Inputs!$C$47*37.719))*43758.5453)-INT((SIN(((Scenario_Data!U213)*12.9898+(Inputs!$C$6)*78.233+Inputs!$C$47*37.719))*43758.5453)))-1))))/1000))*COS(SQRT((Scenario_Data!U213)^2+Inputs!$C$6^2)/Inputs!$C$52))*1000)/Inputs!$C$21*1000000</f>
        <v/>
      </c>
      <c r="AT213">
        <f>Scenario_Data!V213</f>
        <v/>
      </c>
      <c r="AU213">
        <f>2*(SQRT((Inputs!$C$52+(Scenario_Data!D213))^2+(Inputs!$C$52+((IF(OR(Inputs!$C$27=TRUE,Inputs!$C$27="TRUE",Inputs!$C$27=1),1,0)*(Inputs!$C$51*(115*EXP(-(((Inputs!$C$6)-25)^2)/(4.5^2))+70*EXP(-(((Inputs!$C$6)+38)^2)/(7^2))*(0.55+0.45*SIN(2*PI()*(Scenario_Data!V213)/45))+24*SIN(2*PI()*(Inputs!$C$6)/9+(Scenario_Data!V213)/18)*EXP(-(((Inputs!$C$6)+5)^2)/(22^2))+18*SIN(2*PI()*(Scenario_Data!V213)/70))+Inputs!$C$28*EXP(-(((Scenario_Data!V213)-Inputs!$C$29)^2)/(2*Inputs!$C$31^2))*EXP(-(((Inputs!$C$6)-Inputs!$C$30)^2)/(2*Inputs!$C$32^2))+-Inputs!$C$33*EXP(-(((((Scenario_Data!V213)-Inputs!$C$34)^2)+(((Inputs!$C$6)-Inputs!$C$35)^2))/(2*Inputs!$C$36^2)))+Inputs!$C$37*(0.55*SIN(2*PI()*(Scenario_Data!V213)/Inputs!$C$39)+0.35*COS(2*PI()*(Inputs!$C$6)/Inputs!$C$40)+0.2*SIN(2*PI()*((Scenario_Data!V213)+(Inputs!$C$6))/(0.5*(Inputs!$C$39+Inputs!$C$40))))+Inputs!$C$38*SIN(2*PI()*(Scenario_Data!V213)/Inputs!$C$39)*SIN(2*PI()*(Inputs!$C$6)/Inputs!$C$40)+-Inputs!$C$41*EXP(-(((Inputs!$C$6)-Inputs!$C$43)^2)/(2*Inputs!$C$44^2))*EXP(-(((Scenario_Data!V213)-Inputs!$C$42)^2)/(2*Inputs!$C$45^2))+Inputs!$C$48*(0.7*(0.45*SIN(2*PI()*(((Scenario_Data!V213)/Inputs!$C$49)+Inputs!$C$47*0.137))+0.35*COS(2*PI()*(((Inputs!$C$6)/Inputs!$C$50)+Inputs!$C$47*0.173))+0.2*SIN(2*PI()*((((Scenario_Data!V213)+(Inputs!$C$6))/(0.5*(Inputs!$C$49+Inputs!$C$50)))+Inputs!$C$47*0.097)))+0.3*(2*((SIN(((Scenario_Data!V213)*12.9898+(Inputs!$C$6)*78.233+Inputs!$C$47*37.719))*43758.5453)-INT((SIN(((Scenario_Data!V213)*12.9898+(Inputs!$C$6)*78.233+Inputs!$C$47*37.719))*43758.5453)))-1))))/1000))^2-2*(Inputs!$C$52+(Scenario_Data!D213))*(Inputs!$C$52+((IF(OR(Inputs!$C$27=TRUE,Inputs!$C$27="TRUE",Inputs!$C$27=1),1,0)*(Inputs!$C$51*(115*EXP(-(((Inputs!$C$6)-25)^2)/(4.5^2))+70*EXP(-(((Inputs!$C$6)+38)^2)/(7^2))*(0.55+0.45*SIN(2*PI()*(Scenario_Data!V213)/45))+24*SIN(2*PI()*(Inputs!$C$6)/9+(Scenario_Data!V213)/18)*EXP(-(((Inputs!$C$6)+5)^2)/(22^2))+18*SIN(2*PI()*(Scenario_Data!V213)/70))+Inputs!$C$28*EXP(-(((Scenario_Data!V213)-Inputs!$C$29)^2)/(2*Inputs!$C$31^2))*EXP(-(((Inputs!$C$6)-Inputs!$C$30)^2)/(2*Inputs!$C$32^2))+-Inputs!$C$33*EXP(-(((((Scenario_Data!V213)-Inputs!$C$34)^2)+(((Inputs!$C$6)-Inputs!$C$35)^2))/(2*Inputs!$C$36^2)))+Inputs!$C$37*(0.55*SIN(2*PI()*(Scenario_Data!V213)/Inputs!$C$39)+0.35*COS(2*PI()*(Inputs!$C$6)/Inputs!$C$40)+0.2*SIN(2*PI()*((Scenario_Data!V213)+(Inputs!$C$6))/(0.5*(Inputs!$C$39+Inputs!$C$40))))+Inputs!$C$38*SIN(2*PI()*(Scenario_Data!V213)/Inputs!$C$39)*SIN(2*PI()*(Inputs!$C$6)/Inputs!$C$40)+-Inputs!$C$41*EXP(-(((Inputs!$C$6)-Inputs!$C$43)^2)/(2*Inputs!$C$44^2))*EXP(-(((Scenario_Data!V213)-Inputs!$C$42)^2)/(2*Inputs!$C$45^2))+Inputs!$C$48*(0.7*(0.45*SIN(2*PI()*(((Scenario_Data!V213)/Inputs!$C$49)+Inputs!$C$47*0.137))+0.35*COS(2*PI()*(((Inputs!$C$6)/Inputs!$C$50)+Inputs!$C$47*0.173))+0.2*SIN(2*PI()*((((Scenario_Data!V213)+(Inputs!$C$6))/(0.5*(Inputs!$C$49+Inputs!$C$50)))+Inputs!$C$47*0.097)))+0.3*(2*((SIN(((Scenario_Data!V213)*12.9898+(Inputs!$C$6)*78.233+Inputs!$C$47*37.719))*43758.5453)-INT((SIN(((Scenario_Data!V213)*12.9898+(Inputs!$C$6)*78.233+Inputs!$C$47*37.719))*43758.5453)))-1))))/1000))*COS(SQRT((Scenario_Data!V213)^2+Inputs!$C$6^2)/Inputs!$C$52))*1000)/Inputs!$C$21*1000000</f>
        <v/>
      </c>
      <c r="AV213">
        <f>Scenario_Data!W213</f>
        <v/>
      </c>
      <c r="AW213">
        <f>2*(SQRT((Inputs!$C$52+(Scenario_Data!E213))^2+(Inputs!$C$52+((IF(OR(Inputs!$C$27=TRUE,Inputs!$C$27="TRUE",Inputs!$C$27=1),1,0)*(Inputs!$C$51*(115*EXP(-(((Inputs!$C$6)-25)^2)/(4.5^2))+70*EXP(-(((Inputs!$C$6)+38)^2)/(7^2))*(0.55+0.45*SIN(2*PI()*(Scenario_Data!W213)/45))+24*SIN(2*PI()*(Inputs!$C$6)/9+(Scenario_Data!W213)/18)*EXP(-(((Inputs!$C$6)+5)^2)/(22^2))+18*SIN(2*PI()*(Scenario_Data!W213)/70))+Inputs!$C$28*EXP(-(((Scenario_Data!W213)-Inputs!$C$29)^2)/(2*Inputs!$C$31^2))*EXP(-(((Inputs!$C$6)-Inputs!$C$30)^2)/(2*Inputs!$C$32^2))+-Inputs!$C$33*EXP(-(((((Scenario_Data!W213)-Inputs!$C$34)^2)+(((Inputs!$C$6)-Inputs!$C$35)^2))/(2*Inputs!$C$36^2)))+Inputs!$C$37*(0.55*SIN(2*PI()*(Scenario_Data!W213)/Inputs!$C$39)+0.35*COS(2*PI()*(Inputs!$C$6)/Inputs!$C$40)+0.2*SIN(2*PI()*((Scenario_Data!W213)+(Inputs!$C$6))/(0.5*(Inputs!$C$39+Inputs!$C$40))))+Inputs!$C$38*SIN(2*PI()*(Scenario_Data!W213)/Inputs!$C$39)*SIN(2*PI()*(Inputs!$C$6)/Inputs!$C$40)+-Inputs!$C$41*EXP(-(((Inputs!$C$6)-Inputs!$C$43)^2)/(2*Inputs!$C$44^2))*EXP(-(((Scenario_Data!W213)-Inputs!$C$42)^2)/(2*Inputs!$C$45^2))+Inputs!$C$48*(0.7*(0.45*SIN(2*PI()*(((Scenario_Data!W213)/Inputs!$C$49)+Inputs!$C$47*0.137))+0.35*COS(2*PI()*(((Inputs!$C$6)/Inputs!$C$50)+Inputs!$C$47*0.173))+0.2*SIN(2*PI()*((((Scenario_Data!W213)+(Inputs!$C$6))/(0.5*(Inputs!$C$49+Inputs!$C$50)))+Inputs!$C$47*0.097)))+0.3*(2*((SIN(((Scenario_Data!W213)*12.9898+(Inputs!$C$6)*78.233+Inputs!$C$47*37.719))*43758.5453)-INT((SIN(((Scenario_Data!W213)*12.9898+(Inputs!$C$6)*78.233+Inputs!$C$47*37.719))*43758.5453)))-1))))/1000))^2-2*(Inputs!$C$52+(Scenario_Data!E213))*(Inputs!$C$52+((IF(OR(Inputs!$C$27=TRUE,Inputs!$C$27="TRUE",Inputs!$C$27=1),1,0)*(Inputs!$C$51*(115*EXP(-(((Inputs!$C$6)-25)^2)/(4.5^2))+70*EXP(-(((Inputs!$C$6)+38)^2)/(7^2))*(0.55+0.45*SIN(2*PI()*(Scenario_Data!W213)/45))+24*SIN(2*PI()*(Inputs!$C$6)/9+(Scenario_Data!W213)/18)*EXP(-(((Inputs!$C$6)+5)^2)/(22^2))+18*SIN(2*PI()*(Scenario_Data!W213)/70))+Inputs!$C$28*EXP(-(((Scenario_Data!W213)-Inputs!$C$29)^2)/(2*Inputs!$C$31^2))*EXP(-(((Inputs!$C$6)-Inputs!$C$30)^2)/(2*Inputs!$C$32^2))+-Inputs!$C$33*EXP(-(((((Scenario_Data!W213)-Inputs!$C$34)^2)+(((Inputs!$C$6)-Inputs!$C$35)^2))/(2*Inputs!$C$36^2)))+Inputs!$C$37*(0.55*SIN(2*PI()*(Scenario_Data!W213)/Inputs!$C$39)+0.35*COS(2*PI()*(Inputs!$C$6)/Inputs!$C$40)+0.2*SIN(2*PI()*((Scenario_Data!W213)+(Inputs!$C$6))/(0.5*(Inputs!$C$39+Inputs!$C$40))))+Inputs!$C$38*SIN(2*PI()*(Scenario_Data!W213)/Inputs!$C$39)*SIN(2*PI()*(Inputs!$C$6)/Inputs!$C$40)+-Inputs!$C$41*EXP(-(((Inputs!$C$6)-Inputs!$C$43)^2)/(2*Inputs!$C$44^2))*EXP(-(((Scenario_Data!W213)-Inputs!$C$42)^2)/(2*Inputs!$C$45^2))+Inputs!$C$48*(0.7*(0.45*SIN(2*PI()*(((Scenario_Data!W213)/Inputs!$C$49)+Inputs!$C$47*0.137))+0.35*COS(2*PI()*(((Inputs!$C$6)/Inputs!$C$50)+Inputs!$C$47*0.173))+0.2*SIN(2*PI()*((((Scenario_Data!W213)+(Inputs!$C$6))/(0.5*(Inputs!$C$49+Inputs!$C$50)))+Inputs!$C$47*0.097)))+0.3*(2*((SIN(((Scenario_Data!W213)*12.9898+(Inputs!$C$6)*78.233+Inputs!$C$47*37.719))*43758.5453)-INT((SIN(((Scenario_Data!W213)*12.9898+(Inputs!$C$6)*78.233+Inputs!$C$47*37.719))*43758.5453)))-1))))/1000))*COS(SQRT((Scenario_Data!W213)^2+Inputs!$C$6^2)/Inputs!$C$52))*1000)/Inputs!$C$21*1000000</f>
        <v/>
      </c>
    </row>
    <row r="214">
      <c r="A214">
        <f>Chart_Data!K214</f>
        <v/>
      </c>
      <c r="B214">
        <f>Chart_Data!N214-Chart_Data!L214</f>
        <v/>
      </c>
      <c r="D214">
        <f>Chart_Data!G214</f>
        <v/>
      </c>
      <c r="E214">
        <f>Chart_Data!H214</f>
        <v/>
      </c>
      <c r="F214">
        <f>Chart_Data!I214</f>
        <v/>
      </c>
      <c r="G214">
        <f>Chart_Data!J214</f>
        <v/>
      </c>
      <c r="I214">
        <f>Scenario_Data!A214</f>
        <v/>
      </c>
      <c r="J214">
        <f>Scenario_Data!H214-(((SQRT((Inputs!$C$52+(Inputs!$H$6))^2+Inputs!$C$52^2-2*(Inputs!$C$52+(Inputs!$H$6))*Inputs!$C$52*COS(SQRT((Scenario_Data!T214)^2+Inputs!$C$6^2)/Inputs!$C$52)))-(Inputs!$H$6))*1000/Inputs!$C$12)</f>
        <v/>
      </c>
      <c r="K214">
        <f>Scenario_Data!I214-(((SQRT((Inputs!$C$52+(Inputs!$H$7))^2+Inputs!$C$52^2-2*(Inputs!$C$52+(Inputs!$H$7))*Inputs!$C$52*COS(SQRT((Scenario_Data!U214)^2+Inputs!$C$6^2)/Inputs!$C$52)))-(Inputs!$H$7))*1000/Inputs!$C$12)</f>
        <v/>
      </c>
      <c r="L214">
        <f>Scenario_Data!J214-(((SQRT((Inputs!$C$52+(Inputs!$H$8))^2+Inputs!$C$52^2-2*(Inputs!$C$52+(Inputs!$H$8))*Inputs!$C$52*COS(SQRT((Scenario_Data!V214)^2+Inputs!$C$6^2)/Inputs!$C$52)))-(Inputs!$H$8))*1000/Inputs!$C$12)</f>
        <v/>
      </c>
      <c r="M214">
        <f>Scenario_Data!K214-(((SQRT((Inputs!$C$52+(Inputs!$H$9))^2+Inputs!$C$52^2-2*(Inputs!$C$52+(Inputs!$H$9))*Inputs!$C$52*COS(SQRT((Scenario_Data!W214)^2+Inputs!$C$6^2)/Inputs!$C$52)))-(Inputs!$H$9))*1000/Inputs!$C$12)</f>
        <v/>
      </c>
      <c r="O214">
        <f>Scenario_Data!T214</f>
        <v/>
      </c>
      <c r="P214">
        <f>2*(Scenario_Data!B214*1000)/Inputs!$C$21*1000000</f>
        <v/>
      </c>
      <c r="Q214">
        <f>Scenario_Data!U214</f>
        <v/>
      </c>
      <c r="R214">
        <f>2*(Scenario_Data!C214*1000)/Inputs!$C$21*1000000</f>
        <v/>
      </c>
      <c r="S214">
        <f>Scenario_Data!V214</f>
        <v/>
      </c>
      <c r="T214">
        <f>2*(Scenario_Data!D214*1000)/Inputs!$C$21*1000000</f>
        <v/>
      </c>
      <c r="U214">
        <f>Scenario_Data!W214</f>
        <v/>
      </c>
      <c r="V214">
        <f>2*(Scenario_Data!E214*1000)/Inputs!$C$21*1000000</f>
        <v/>
      </c>
      <c r="X214">
        <f>Scenario_Data!T214</f>
        <v/>
      </c>
      <c r="Y214">
        <f>2*((Scenario_Data!B214*1000)-(IF(OR(Inputs!$C$27=TRUE,Inputs!$C$27="TRUE",Inputs!$C$27=1),1,0)*(Inputs!$C$51*(115*EXP(-(((0)-25)^2)/(4.5^2))+70*EXP(-(((0)+38)^2)/(7^2))*(0.55+0.45*SIN(2*PI()*(Scenario_Data!T214)/45))+24*SIN(2*PI()*(0)/9+(Scenario_Data!T214)/18)*EXP(-(((0)+5)^2)/(22^2))+18*SIN(2*PI()*(Scenario_Data!T214)/70))+Inputs!$C$28*EXP(-(((Scenario_Data!T214)-Inputs!$C$29)^2)/(2*Inputs!$C$31^2))*EXP(-(((0)-Inputs!$C$30)^2)/(2*Inputs!$C$32^2))+-Inputs!$C$33*EXP(-(((((Scenario_Data!T214)-Inputs!$C$34)^2)+(((0)-Inputs!$C$35)^2))/(2*Inputs!$C$36^2)))+Inputs!$C$37*(0.55*SIN(2*PI()*(Scenario_Data!T214)/Inputs!$C$39)+0.35*COS(2*PI()*(0)/Inputs!$C$40)+0.2*SIN(2*PI()*((Scenario_Data!T214)+(0))/(0.5*(Inputs!$C$39+Inputs!$C$40))))+Inputs!$C$38*SIN(2*PI()*(Scenario_Data!T214)/Inputs!$C$39)*SIN(2*PI()*(0)/Inputs!$C$40)+-Inputs!$C$41*EXP(-(((0)-Inputs!$C$43)^2)/(2*Inputs!$C$44^2))*EXP(-(((Scenario_Data!T214)-Inputs!$C$42)^2)/(2*Inputs!$C$45^2))+Inputs!$C$48*(0.7*(0.45*SIN(2*PI()*(((Scenario_Data!T214)/Inputs!$C$49)+Inputs!$C$47*0.137))+0.35*COS(2*PI()*(((0)/Inputs!$C$50)+Inputs!$C$47*0.173))+0.2*SIN(2*PI()*((((Scenario_Data!T214)+(0))/(0.5*(Inputs!$C$49+Inputs!$C$50)))+Inputs!$C$47*0.097)))+0.3*(2*((SIN(((Scenario_Data!T214)*12.9898+(0)*78.233+Inputs!$C$47*37.719))*43758.5453)-INT((SIN(((Scenario_Data!T214)*12.9898+(0)*78.233+Inputs!$C$47*37.719))*43758.5453)))-1)))))/Inputs!$C$21*1000000</f>
        <v/>
      </c>
      <c r="Z214">
        <f>Scenario_Data!U214</f>
        <v/>
      </c>
      <c r="AA214">
        <f>2*((Scenario_Data!C214*1000)-(IF(OR(Inputs!$C$27=TRUE,Inputs!$C$27="TRUE",Inputs!$C$27=1),1,0)*(Inputs!$C$51*(115*EXP(-(((0)-25)^2)/(4.5^2))+70*EXP(-(((0)+38)^2)/(7^2))*(0.55+0.45*SIN(2*PI()*(Scenario_Data!U214)/45))+24*SIN(2*PI()*(0)/9+(Scenario_Data!U214)/18)*EXP(-(((0)+5)^2)/(22^2))+18*SIN(2*PI()*(Scenario_Data!U214)/70))+Inputs!$C$28*EXP(-(((Scenario_Data!U214)-Inputs!$C$29)^2)/(2*Inputs!$C$31^2))*EXP(-(((0)-Inputs!$C$30)^2)/(2*Inputs!$C$32^2))+-Inputs!$C$33*EXP(-(((((Scenario_Data!U214)-Inputs!$C$34)^2)+(((0)-Inputs!$C$35)^2))/(2*Inputs!$C$36^2)))+Inputs!$C$37*(0.55*SIN(2*PI()*(Scenario_Data!U214)/Inputs!$C$39)+0.35*COS(2*PI()*(0)/Inputs!$C$40)+0.2*SIN(2*PI()*((Scenario_Data!U214)+(0))/(0.5*(Inputs!$C$39+Inputs!$C$40))))+Inputs!$C$38*SIN(2*PI()*(Scenario_Data!U214)/Inputs!$C$39)*SIN(2*PI()*(0)/Inputs!$C$40)+-Inputs!$C$41*EXP(-(((0)-Inputs!$C$43)^2)/(2*Inputs!$C$44^2))*EXP(-(((Scenario_Data!U214)-Inputs!$C$42)^2)/(2*Inputs!$C$45^2))+Inputs!$C$48*(0.7*(0.45*SIN(2*PI()*(((Scenario_Data!U214)/Inputs!$C$49)+Inputs!$C$47*0.137))+0.35*COS(2*PI()*(((0)/Inputs!$C$50)+Inputs!$C$47*0.173))+0.2*SIN(2*PI()*((((Scenario_Data!U214)+(0))/(0.5*(Inputs!$C$49+Inputs!$C$50)))+Inputs!$C$47*0.097)))+0.3*(2*((SIN(((Scenario_Data!U214)*12.9898+(0)*78.233+Inputs!$C$47*37.719))*43758.5453)-INT((SIN(((Scenario_Data!U214)*12.9898+(0)*78.233+Inputs!$C$47*37.719))*43758.5453)))-1)))))/Inputs!$C$21*1000000</f>
        <v/>
      </c>
      <c r="AB214">
        <f>Scenario_Data!V214</f>
        <v/>
      </c>
      <c r="AC214">
        <f>2*((Scenario_Data!D214*1000)-(IF(OR(Inputs!$C$27=TRUE,Inputs!$C$27="TRUE",Inputs!$C$27=1),1,0)*(Inputs!$C$51*(115*EXP(-(((0)-25)^2)/(4.5^2))+70*EXP(-(((0)+38)^2)/(7^2))*(0.55+0.45*SIN(2*PI()*(Scenario_Data!V214)/45))+24*SIN(2*PI()*(0)/9+(Scenario_Data!V214)/18)*EXP(-(((0)+5)^2)/(22^2))+18*SIN(2*PI()*(Scenario_Data!V214)/70))+Inputs!$C$28*EXP(-(((Scenario_Data!V214)-Inputs!$C$29)^2)/(2*Inputs!$C$31^2))*EXP(-(((0)-Inputs!$C$30)^2)/(2*Inputs!$C$32^2))+-Inputs!$C$33*EXP(-(((((Scenario_Data!V214)-Inputs!$C$34)^2)+(((0)-Inputs!$C$35)^2))/(2*Inputs!$C$36^2)))+Inputs!$C$37*(0.55*SIN(2*PI()*(Scenario_Data!V214)/Inputs!$C$39)+0.35*COS(2*PI()*(0)/Inputs!$C$40)+0.2*SIN(2*PI()*((Scenario_Data!V214)+(0))/(0.5*(Inputs!$C$39+Inputs!$C$40))))+Inputs!$C$38*SIN(2*PI()*(Scenario_Data!V214)/Inputs!$C$39)*SIN(2*PI()*(0)/Inputs!$C$40)+-Inputs!$C$41*EXP(-(((0)-Inputs!$C$43)^2)/(2*Inputs!$C$44^2))*EXP(-(((Scenario_Data!V214)-Inputs!$C$42)^2)/(2*Inputs!$C$45^2))+Inputs!$C$48*(0.7*(0.45*SIN(2*PI()*(((Scenario_Data!V214)/Inputs!$C$49)+Inputs!$C$47*0.137))+0.35*COS(2*PI()*(((0)/Inputs!$C$50)+Inputs!$C$47*0.173))+0.2*SIN(2*PI()*((((Scenario_Data!V214)+(0))/(0.5*(Inputs!$C$49+Inputs!$C$50)))+Inputs!$C$47*0.097)))+0.3*(2*((SIN(((Scenario_Data!V214)*12.9898+(0)*78.233+Inputs!$C$47*37.719))*43758.5453)-INT((SIN(((Scenario_Data!V214)*12.9898+(0)*78.233+Inputs!$C$47*37.719))*43758.5453)))-1)))))/Inputs!$C$21*1000000</f>
        <v/>
      </c>
      <c r="AD214">
        <f>Scenario_Data!W214</f>
        <v/>
      </c>
      <c r="AE214">
        <f>2*((Scenario_Data!E214*1000)-(IF(OR(Inputs!$C$27=TRUE,Inputs!$C$27="TRUE",Inputs!$C$27=1),1,0)*(Inputs!$C$51*(115*EXP(-(((0)-25)^2)/(4.5^2))+70*EXP(-(((0)+38)^2)/(7^2))*(0.55+0.45*SIN(2*PI()*(Scenario_Data!W214)/45))+24*SIN(2*PI()*(0)/9+(Scenario_Data!W214)/18)*EXP(-(((0)+5)^2)/(22^2))+18*SIN(2*PI()*(Scenario_Data!W214)/70))+Inputs!$C$28*EXP(-(((Scenario_Data!W214)-Inputs!$C$29)^2)/(2*Inputs!$C$31^2))*EXP(-(((0)-Inputs!$C$30)^2)/(2*Inputs!$C$32^2))+-Inputs!$C$33*EXP(-(((((Scenario_Data!W214)-Inputs!$C$34)^2)+(((0)-Inputs!$C$35)^2))/(2*Inputs!$C$36^2)))+Inputs!$C$37*(0.55*SIN(2*PI()*(Scenario_Data!W214)/Inputs!$C$39)+0.35*COS(2*PI()*(0)/Inputs!$C$40)+0.2*SIN(2*PI()*((Scenario_Data!W214)+(0))/(0.5*(Inputs!$C$39+Inputs!$C$40))))+Inputs!$C$38*SIN(2*PI()*(Scenario_Data!W214)/Inputs!$C$39)*SIN(2*PI()*(0)/Inputs!$C$40)+-Inputs!$C$41*EXP(-(((0)-Inputs!$C$43)^2)/(2*Inputs!$C$44^2))*EXP(-(((Scenario_Data!W214)-Inputs!$C$42)^2)/(2*Inputs!$C$45^2))+Inputs!$C$48*(0.7*(0.45*SIN(2*PI()*(((Scenario_Data!W214)/Inputs!$C$49)+Inputs!$C$47*0.137))+0.35*COS(2*PI()*(((0)/Inputs!$C$50)+Inputs!$C$47*0.173))+0.2*SIN(2*PI()*((((Scenario_Data!W214)+(0))/(0.5*(Inputs!$C$49+Inputs!$C$50)))+Inputs!$C$47*0.097)))+0.3*(2*((SIN(((Scenario_Data!W214)*12.9898+(0)*78.233+Inputs!$C$47*37.719))*43758.5453)-INT((SIN(((Scenario_Data!W214)*12.9898+(0)*78.233+Inputs!$C$47*37.719))*43758.5453)))-1)))))/Inputs!$C$21*1000000</f>
        <v/>
      </c>
      <c r="AG214">
        <f>Scenario_Data!T214</f>
        <v/>
      </c>
      <c r="AH214">
        <f>2*(SQRT((Inputs!$C$52+(Scenario_Data!B214))^2+Inputs!$C$52^2-2*(Inputs!$C$52+(Scenario_Data!B214))*Inputs!$C$52*COS(SQRT((Scenario_Data!T214)^2+Inputs!$C$6^2)/Inputs!$C$52))*1000)/Inputs!$C$21*1000000</f>
        <v/>
      </c>
      <c r="AI214">
        <f>Scenario_Data!U214</f>
        <v/>
      </c>
      <c r="AJ214">
        <f>2*(SQRT((Inputs!$C$52+(Scenario_Data!C214))^2+Inputs!$C$52^2-2*(Inputs!$C$52+(Scenario_Data!C214))*Inputs!$C$52*COS(SQRT((Scenario_Data!U214)^2+Inputs!$C$6^2)/Inputs!$C$52))*1000)/Inputs!$C$21*1000000</f>
        <v/>
      </c>
      <c r="AK214">
        <f>Scenario_Data!V214</f>
        <v/>
      </c>
      <c r="AL214">
        <f>2*(SQRT((Inputs!$C$52+(Scenario_Data!D214))^2+Inputs!$C$52^2-2*(Inputs!$C$52+(Scenario_Data!D214))*Inputs!$C$52*COS(SQRT((Scenario_Data!V214)^2+Inputs!$C$6^2)/Inputs!$C$52))*1000)/Inputs!$C$21*1000000</f>
        <v/>
      </c>
      <c r="AM214">
        <f>Scenario_Data!W214</f>
        <v/>
      </c>
      <c r="AN214">
        <f>2*(SQRT((Inputs!$C$52+(Scenario_Data!E214))^2+Inputs!$C$52^2-2*(Inputs!$C$52+(Scenario_Data!E214))*Inputs!$C$52*COS(SQRT((Scenario_Data!W214)^2+Inputs!$C$6^2)/Inputs!$C$52))*1000)/Inputs!$C$21*1000000</f>
        <v/>
      </c>
      <c r="AP214">
        <f>Scenario_Data!T214</f>
        <v/>
      </c>
      <c r="AQ214">
        <f>2*(SQRT((Inputs!$C$52+(Scenario_Data!B214))^2+(Inputs!$C$52+((IF(OR(Inputs!$C$27=TRUE,Inputs!$C$27="TRUE",Inputs!$C$27=1),1,0)*(Inputs!$C$51*(115*EXP(-(((Inputs!$C$6)-25)^2)/(4.5^2))+70*EXP(-(((Inputs!$C$6)+38)^2)/(7^2))*(0.55+0.45*SIN(2*PI()*(Scenario_Data!T214)/45))+24*SIN(2*PI()*(Inputs!$C$6)/9+(Scenario_Data!T214)/18)*EXP(-(((Inputs!$C$6)+5)^2)/(22^2))+18*SIN(2*PI()*(Scenario_Data!T214)/70))+Inputs!$C$28*EXP(-(((Scenario_Data!T214)-Inputs!$C$29)^2)/(2*Inputs!$C$31^2))*EXP(-(((Inputs!$C$6)-Inputs!$C$30)^2)/(2*Inputs!$C$32^2))+-Inputs!$C$33*EXP(-(((((Scenario_Data!T214)-Inputs!$C$34)^2)+(((Inputs!$C$6)-Inputs!$C$35)^2))/(2*Inputs!$C$36^2)))+Inputs!$C$37*(0.55*SIN(2*PI()*(Scenario_Data!T214)/Inputs!$C$39)+0.35*COS(2*PI()*(Inputs!$C$6)/Inputs!$C$40)+0.2*SIN(2*PI()*((Scenario_Data!T214)+(Inputs!$C$6))/(0.5*(Inputs!$C$39+Inputs!$C$40))))+Inputs!$C$38*SIN(2*PI()*(Scenario_Data!T214)/Inputs!$C$39)*SIN(2*PI()*(Inputs!$C$6)/Inputs!$C$40)+-Inputs!$C$41*EXP(-(((Inputs!$C$6)-Inputs!$C$43)^2)/(2*Inputs!$C$44^2))*EXP(-(((Scenario_Data!T214)-Inputs!$C$42)^2)/(2*Inputs!$C$45^2))+Inputs!$C$48*(0.7*(0.45*SIN(2*PI()*(((Scenario_Data!T214)/Inputs!$C$49)+Inputs!$C$47*0.137))+0.35*COS(2*PI()*(((Inputs!$C$6)/Inputs!$C$50)+Inputs!$C$47*0.173))+0.2*SIN(2*PI()*((((Scenario_Data!T214)+(Inputs!$C$6))/(0.5*(Inputs!$C$49+Inputs!$C$50)))+Inputs!$C$47*0.097)))+0.3*(2*((SIN(((Scenario_Data!T214)*12.9898+(Inputs!$C$6)*78.233+Inputs!$C$47*37.719))*43758.5453)-INT((SIN(((Scenario_Data!T214)*12.9898+(Inputs!$C$6)*78.233+Inputs!$C$47*37.719))*43758.5453)))-1))))/1000))^2-2*(Inputs!$C$52+(Scenario_Data!B214))*(Inputs!$C$52+((IF(OR(Inputs!$C$27=TRUE,Inputs!$C$27="TRUE",Inputs!$C$27=1),1,0)*(Inputs!$C$51*(115*EXP(-(((Inputs!$C$6)-25)^2)/(4.5^2))+70*EXP(-(((Inputs!$C$6)+38)^2)/(7^2))*(0.55+0.45*SIN(2*PI()*(Scenario_Data!T214)/45))+24*SIN(2*PI()*(Inputs!$C$6)/9+(Scenario_Data!T214)/18)*EXP(-(((Inputs!$C$6)+5)^2)/(22^2))+18*SIN(2*PI()*(Scenario_Data!T214)/70))+Inputs!$C$28*EXP(-(((Scenario_Data!T214)-Inputs!$C$29)^2)/(2*Inputs!$C$31^2))*EXP(-(((Inputs!$C$6)-Inputs!$C$30)^2)/(2*Inputs!$C$32^2))+-Inputs!$C$33*EXP(-(((((Scenario_Data!T214)-Inputs!$C$34)^2)+(((Inputs!$C$6)-Inputs!$C$35)^2))/(2*Inputs!$C$36^2)))+Inputs!$C$37*(0.55*SIN(2*PI()*(Scenario_Data!T214)/Inputs!$C$39)+0.35*COS(2*PI()*(Inputs!$C$6)/Inputs!$C$40)+0.2*SIN(2*PI()*((Scenario_Data!T214)+(Inputs!$C$6))/(0.5*(Inputs!$C$39+Inputs!$C$40))))+Inputs!$C$38*SIN(2*PI()*(Scenario_Data!T214)/Inputs!$C$39)*SIN(2*PI()*(Inputs!$C$6)/Inputs!$C$40)+-Inputs!$C$41*EXP(-(((Inputs!$C$6)-Inputs!$C$43)^2)/(2*Inputs!$C$44^2))*EXP(-(((Scenario_Data!T214)-Inputs!$C$42)^2)/(2*Inputs!$C$45^2))+Inputs!$C$48*(0.7*(0.45*SIN(2*PI()*(((Scenario_Data!T214)/Inputs!$C$49)+Inputs!$C$47*0.137))+0.35*COS(2*PI()*(((Inputs!$C$6)/Inputs!$C$50)+Inputs!$C$47*0.173))+0.2*SIN(2*PI()*((((Scenario_Data!T214)+(Inputs!$C$6))/(0.5*(Inputs!$C$49+Inputs!$C$50)))+Inputs!$C$47*0.097)))+0.3*(2*((SIN(((Scenario_Data!T214)*12.9898+(Inputs!$C$6)*78.233+Inputs!$C$47*37.719))*43758.5453)-INT((SIN(((Scenario_Data!T214)*12.9898+(Inputs!$C$6)*78.233+Inputs!$C$47*37.719))*43758.5453)))-1))))/1000))*COS(SQRT((Scenario_Data!T214)^2+Inputs!$C$6^2)/Inputs!$C$52))*1000)/Inputs!$C$21*1000000</f>
        <v/>
      </c>
      <c r="AR214">
        <f>Scenario_Data!U214</f>
        <v/>
      </c>
      <c r="AS214">
        <f>2*(SQRT((Inputs!$C$52+(Scenario_Data!C214))^2+(Inputs!$C$52+((IF(OR(Inputs!$C$27=TRUE,Inputs!$C$27="TRUE",Inputs!$C$27=1),1,0)*(Inputs!$C$51*(115*EXP(-(((Inputs!$C$6)-25)^2)/(4.5^2))+70*EXP(-(((Inputs!$C$6)+38)^2)/(7^2))*(0.55+0.45*SIN(2*PI()*(Scenario_Data!U214)/45))+24*SIN(2*PI()*(Inputs!$C$6)/9+(Scenario_Data!U214)/18)*EXP(-(((Inputs!$C$6)+5)^2)/(22^2))+18*SIN(2*PI()*(Scenario_Data!U214)/70))+Inputs!$C$28*EXP(-(((Scenario_Data!U214)-Inputs!$C$29)^2)/(2*Inputs!$C$31^2))*EXP(-(((Inputs!$C$6)-Inputs!$C$30)^2)/(2*Inputs!$C$32^2))+-Inputs!$C$33*EXP(-(((((Scenario_Data!U214)-Inputs!$C$34)^2)+(((Inputs!$C$6)-Inputs!$C$35)^2))/(2*Inputs!$C$36^2)))+Inputs!$C$37*(0.55*SIN(2*PI()*(Scenario_Data!U214)/Inputs!$C$39)+0.35*COS(2*PI()*(Inputs!$C$6)/Inputs!$C$40)+0.2*SIN(2*PI()*((Scenario_Data!U214)+(Inputs!$C$6))/(0.5*(Inputs!$C$39+Inputs!$C$40))))+Inputs!$C$38*SIN(2*PI()*(Scenario_Data!U214)/Inputs!$C$39)*SIN(2*PI()*(Inputs!$C$6)/Inputs!$C$40)+-Inputs!$C$41*EXP(-(((Inputs!$C$6)-Inputs!$C$43)^2)/(2*Inputs!$C$44^2))*EXP(-(((Scenario_Data!U214)-Inputs!$C$42)^2)/(2*Inputs!$C$45^2))+Inputs!$C$48*(0.7*(0.45*SIN(2*PI()*(((Scenario_Data!U214)/Inputs!$C$49)+Inputs!$C$47*0.137))+0.35*COS(2*PI()*(((Inputs!$C$6)/Inputs!$C$50)+Inputs!$C$47*0.173))+0.2*SIN(2*PI()*((((Scenario_Data!U214)+(Inputs!$C$6))/(0.5*(Inputs!$C$49+Inputs!$C$50)))+Inputs!$C$47*0.097)))+0.3*(2*((SIN(((Scenario_Data!U214)*12.9898+(Inputs!$C$6)*78.233+Inputs!$C$47*37.719))*43758.5453)-INT((SIN(((Scenario_Data!U214)*12.9898+(Inputs!$C$6)*78.233+Inputs!$C$47*37.719))*43758.5453)))-1))))/1000))^2-2*(Inputs!$C$52+(Scenario_Data!C214))*(Inputs!$C$52+((IF(OR(Inputs!$C$27=TRUE,Inputs!$C$27="TRUE",Inputs!$C$27=1),1,0)*(Inputs!$C$51*(115*EXP(-(((Inputs!$C$6)-25)^2)/(4.5^2))+70*EXP(-(((Inputs!$C$6)+38)^2)/(7^2))*(0.55+0.45*SIN(2*PI()*(Scenario_Data!U214)/45))+24*SIN(2*PI()*(Inputs!$C$6)/9+(Scenario_Data!U214)/18)*EXP(-(((Inputs!$C$6)+5)^2)/(22^2))+18*SIN(2*PI()*(Scenario_Data!U214)/70))+Inputs!$C$28*EXP(-(((Scenario_Data!U214)-Inputs!$C$29)^2)/(2*Inputs!$C$31^2))*EXP(-(((Inputs!$C$6)-Inputs!$C$30)^2)/(2*Inputs!$C$32^2))+-Inputs!$C$33*EXP(-(((((Scenario_Data!U214)-Inputs!$C$34)^2)+(((Inputs!$C$6)-Inputs!$C$35)^2))/(2*Inputs!$C$36^2)))+Inputs!$C$37*(0.55*SIN(2*PI()*(Scenario_Data!U214)/Inputs!$C$39)+0.35*COS(2*PI()*(Inputs!$C$6)/Inputs!$C$40)+0.2*SIN(2*PI()*((Scenario_Data!U214)+(Inputs!$C$6))/(0.5*(Inputs!$C$39+Inputs!$C$40))))+Inputs!$C$38*SIN(2*PI()*(Scenario_Data!U214)/Inputs!$C$39)*SIN(2*PI()*(Inputs!$C$6)/Inputs!$C$40)+-Inputs!$C$41*EXP(-(((Inputs!$C$6)-Inputs!$C$43)^2)/(2*Inputs!$C$44^2))*EXP(-(((Scenario_Data!U214)-Inputs!$C$42)^2)/(2*Inputs!$C$45^2))+Inputs!$C$48*(0.7*(0.45*SIN(2*PI()*(((Scenario_Data!U214)/Inputs!$C$49)+Inputs!$C$47*0.137))+0.35*COS(2*PI()*(((Inputs!$C$6)/Inputs!$C$50)+Inputs!$C$47*0.173))+0.2*SIN(2*PI()*((((Scenario_Data!U214)+(Inputs!$C$6))/(0.5*(Inputs!$C$49+Inputs!$C$50)))+Inputs!$C$47*0.097)))+0.3*(2*((SIN(((Scenario_Data!U214)*12.9898+(Inputs!$C$6)*78.233+Inputs!$C$47*37.719))*43758.5453)-INT((SIN(((Scenario_Data!U214)*12.9898+(Inputs!$C$6)*78.233+Inputs!$C$47*37.719))*43758.5453)))-1))))/1000))*COS(SQRT((Scenario_Data!U214)^2+Inputs!$C$6^2)/Inputs!$C$52))*1000)/Inputs!$C$21*1000000</f>
        <v/>
      </c>
      <c r="AT214">
        <f>Scenario_Data!V214</f>
        <v/>
      </c>
      <c r="AU214">
        <f>2*(SQRT((Inputs!$C$52+(Scenario_Data!D214))^2+(Inputs!$C$52+((IF(OR(Inputs!$C$27=TRUE,Inputs!$C$27="TRUE",Inputs!$C$27=1),1,0)*(Inputs!$C$51*(115*EXP(-(((Inputs!$C$6)-25)^2)/(4.5^2))+70*EXP(-(((Inputs!$C$6)+38)^2)/(7^2))*(0.55+0.45*SIN(2*PI()*(Scenario_Data!V214)/45))+24*SIN(2*PI()*(Inputs!$C$6)/9+(Scenario_Data!V214)/18)*EXP(-(((Inputs!$C$6)+5)^2)/(22^2))+18*SIN(2*PI()*(Scenario_Data!V214)/70))+Inputs!$C$28*EXP(-(((Scenario_Data!V214)-Inputs!$C$29)^2)/(2*Inputs!$C$31^2))*EXP(-(((Inputs!$C$6)-Inputs!$C$30)^2)/(2*Inputs!$C$32^2))+-Inputs!$C$33*EXP(-(((((Scenario_Data!V214)-Inputs!$C$34)^2)+(((Inputs!$C$6)-Inputs!$C$35)^2))/(2*Inputs!$C$36^2)))+Inputs!$C$37*(0.55*SIN(2*PI()*(Scenario_Data!V214)/Inputs!$C$39)+0.35*COS(2*PI()*(Inputs!$C$6)/Inputs!$C$40)+0.2*SIN(2*PI()*((Scenario_Data!V214)+(Inputs!$C$6))/(0.5*(Inputs!$C$39+Inputs!$C$40))))+Inputs!$C$38*SIN(2*PI()*(Scenario_Data!V214)/Inputs!$C$39)*SIN(2*PI()*(Inputs!$C$6)/Inputs!$C$40)+-Inputs!$C$41*EXP(-(((Inputs!$C$6)-Inputs!$C$43)^2)/(2*Inputs!$C$44^2))*EXP(-(((Scenario_Data!V214)-Inputs!$C$42)^2)/(2*Inputs!$C$45^2))+Inputs!$C$48*(0.7*(0.45*SIN(2*PI()*(((Scenario_Data!V214)/Inputs!$C$49)+Inputs!$C$47*0.137))+0.35*COS(2*PI()*(((Inputs!$C$6)/Inputs!$C$50)+Inputs!$C$47*0.173))+0.2*SIN(2*PI()*((((Scenario_Data!V214)+(Inputs!$C$6))/(0.5*(Inputs!$C$49+Inputs!$C$50)))+Inputs!$C$47*0.097)))+0.3*(2*((SIN(((Scenario_Data!V214)*12.9898+(Inputs!$C$6)*78.233+Inputs!$C$47*37.719))*43758.5453)-INT((SIN(((Scenario_Data!V214)*12.9898+(Inputs!$C$6)*78.233+Inputs!$C$47*37.719))*43758.5453)))-1))))/1000))^2-2*(Inputs!$C$52+(Scenario_Data!D214))*(Inputs!$C$52+((IF(OR(Inputs!$C$27=TRUE,Inputs!$C$27="TRUE",Inputs!$C$27=1),1,0)*(Inputs!$C$51*(115*EXP(-(((Inputs!$C$6)-25)^2)/(4.5^2))+70*EXP(-(((Inputs!$C$6)+38)^2)/(7^2))*(0.55+0.45*SIN(2*PI()*(Scenario_Data!V214)/45))+24*SIN(2*PI()*(Inputs!$C$6)/9+(Scenario_Data!V214)/18)*EXP(-(((Inputs!$C$6)+5)^2)/(22^2))+18*SIN(2*PI()*(Scenario_Data!V214)/70))+Inputs!$C$28*EXP(-(((Scenario_Data!V214)-Inputs!$C$29)^2)/(2*Inputs!$C$31^2))*EXP(-(((Inputs!$C$6)-Inputs!$C$30)^2)/(2*Inputs!$C$32^2))+-Inputs!$C$33*EXP(-(((((Scenario_Data!V214)-Inputs!$C$34)^2)+(((Inputs!$C$6)-Inputs!$C$35)^2))/(2*Inputs!$C$36^2)))+Inputs!$C$37*(0.55*SIN(2*PI()*(Scenario_Data!V214)/Inputs!$C$39)+0.35*COS(2*PI()*(Inputs!$C$6)/Inputs!$C$40)+0.2*SIN(2*PI()*((Scenario_Data!V214)+(Inputs!$C$6))/(0.5*(Inputs!$C$39+Inputs!$C$40))))+Inputs!$C$38*SIN(2*PI()*(Scenario_Data!V214)/Inputs!$C$39)*SIN(2*PI()*(Inputs!$C$6)/Inputs!$C$40)+-Inputs!$C$41*EXP(-(((Inputs!$C$6)-Inputs!$C$43)^2)/(2*Inputs!$C$44^2))*EXP(-(((Scenario_Data!V214)-Inputs!$C$42)^2)/(2*Inputs!$C$45^2))+Inputs!$C$48*(0.7*(0.45*SIN(2*PI()*(((Scenario_Data!V214)/Inputs!$C$49)+Inputs!$C$47*0.137))+0.35*COS(2*PI()*(((Inputs!$C$6)/Inputs!$C$50)+Inputs!$C$47*0.173))+0.2*SIN(2*PI()*((((Scenario_Data!V214)+(Inputs!$C$6))/(0.5*(Inputs!$C$49+Inputs!$C$50)))+Inputs!$C$47*0.097)))+0.3*(2*((SIN(((Scenario_Data!V214)*12.9898+(Inputs!$C$6)*78.233+Inputs!$C$47*37.719))*43758.5453)-INT((SIN(((Scenario_Data!V214)*12.9898+(Inputs!$C$6)*78.233+Inputs!$C$47*37.719))*43758.5453)))-1))))/1000))*COS(SQRT((Scenario_Data!V214)^2+Inputs!$C$6^2)/Inputs!$C$52))*1000)/Inputs!$C$21*1000000</f>
        <v/>
      </c>
      <c r="AV214">
        <f>Scenario_Data!W214</f>
        <v/>
      </c>
      <c r="AW214">
        <f>2*(SQRT((Inputs!$C$52+(Scenario_Data!E214))^2+(Inputs!$C$52+((IF(OR(Inputs!$C$27=TRUE,Inputs!$C$27="TRUE",Inputs!$C$27=1),1,0)*(Inputs!$C$51*(115*EXP(-(((Inputs!$C$6)-25)^2)/(4.5^2))+70*EXP(-(((Inputs!$C$6)+38)^2)/(7^2))*(0.55+0.45*SIN(2*PI()*(Scenario_Data!W214)/45))+24*SIN(2*PI()*(Inputs!$C$6)/9+(Scenario_Data!W214)/18)*EXP(-(((Inputs!$C$6)+5)^2)/(22^2))+18*SIN(2*PI()*(Scenario_Data!W214)/70))+Inputs!$C$28*EXP(-(((Scenario_Data!W214)-Inputs!$C$29)^2)/(2*Inputs!$C$31^2))*EXP(-(((Inputs!$C$6)-Inputs!$C$30)^2)/(2*Inputs!$C$32^2))+-Inputs!$C$33*EXP(-(((((Scenario_Data!W214)-Inputs!$C$34)^2)+(((Inputs!$C$6)-Inputs!$C$35)^2))/(2*Inputs!$C$36^2)))+Inputs!$C$37*(0.55*SIN(2*PI()*(Scenario_Data!W214)/Inputs!$C$39)+0.35*COS(2*PI()*(Inputs!$C$6)/Inputs!$C$40)+0.2*SIN(2*PI()*((Scenario_Data!W214)+(Inputs!$C$6))/(0.5*(Inputs!$C$39+Inputs!$C$40))))+Inputs!$C$38*SIN(2*PI()*(Scenario_Data!W214)/Inputs!$C$39)*SIN(2*PI()*(Inputs!$C$6)/Inputs!$C$40)+-Inputs!$C$41*EXP(-(((Inputs!$C$6)-Inputs!$C$43)^2)/(2*Inputs!$C$44^2))*EXP(-(((Scenario_Data!W214)-Inputs!$C$42)^2)/(2*Inputs!$C$45^2))+Inputs!$C$48*(0.7*(0.45*SIN(2*PI()*(((Scenario_Data!W214)/Inputs!$C$49)+Inputs!$C$47*0.137))+0.35*COS(2*PI()*(((Inputs!$C$6)/Inputs!$C$50)+Inputs!$C$47*0.173))+0.2*SIN(2*PI()*((((Scenario_Data!W214)+(Inputs!$C$6))/(0.5*(Inputs!$C$49+Inputs!$C$50)))+Inputs!$C$47*0.097)))+0.3*(2*((SIN(((Scenario_Data!W214)*12.9898+(Inputs!$C$6)*78.233+Inputs!$C$47*37.719))*43758.5453)-INT((SIN(((Scenario_Data!W214)*12.9898+(Inputs!$C$6)*78.233+Inputs!$C$47*37.719))*43758.5453)))-1))))/1000))^2-2*(Inputs!$C$52+(Scenario_Data!E214))*(Inputs!$C$52+((IF(OR(Inputs!$C$27=TRUE,Inputs!$C$27="TRUE",Inputs!$C$27=1),1,0)*(Inputs!$C$51*(115*EXP(-(((Inputs!$C$6)-25)^2)/(4.5^2))+70*EXP(-(((Inputs!$C$6)+38)^2)/(7^2))*(0.55+0.45*SIN(2*PI()*(Scenario_Data!W214)/45))+24*SIN(2*PI()*(Inputs!$C$6)/9+(Scenario_Data!W214)/18)*EXP(-(((Inputs!$C$6)+5)^2)/(22^2))+18*SIN(2*PI()*(Scenario_Data!W214)/70))+Inputs!$C$28*EXP(-(((Scenario_Data!W214)-Inputs!$C$29)^2)/(2*Inputs!$C$31^2))*EXP(-(((Inputs!$C$6)-Inputs!$C$30)^2)/(2*Inputs!$C$32^2))+-Inputs!$C$33*EXP(-(((((Scenario_Data!W214)-Inputs!$C$34)^2)+(((Inputs!$C$6)-Inputs!$C$35)^2))/(2*Inputs!$C$36^2)))+Inputs!$C$37*(0.55*SIN(2*PI()*(Scenario_Data!W214)/Inputs!$C$39)+0.35*COS(2*PI()*(Inputs!$C$6)/Inputs!$C$40)+0.2*SIN(2*PI()*((Scenario_Data!W214)+(Inputs!$C$6))/(0.5*(Inputs!$C$39+Inputs!$C$40))))+Inputs!$C$38*SIN(2*PI()*(Scenario_Data!W214)/Inputs!$C$39)*SIN(2*PI()*(Inputs!$C$6)/Inputs!$C$40)+-Inputs!$C$41*EXP(-(((Inputs!$C$6)-Inputs!$C$43)^2)/(2*Inputs!$C$44^2))*EXP(-(((Scenario_Data!W214)-Inputs!$C$42)^2)/(2*Inputs!$C$45^2))+Inputs!$C$48*(0.7*(0.45*SIN(2*PI()*(((Scenario_Data!W214)/Inputs!$C$49)+Inputs!$C$47*0.137))+0.35*COS(2*PI()*(((Inputs!$C$6)/Inputs!$C$50)+Inputs!$C$47*0.173))+0.2*SIN(2*PI()*((((Scenario_Data!W214)+(Inputs!$C$6))/(0.5*(Inputs!$C$49+Inputs!$C$50)))+Inputs!$C$47*0.097)))+0.3*(2*((SIN(((Scenario_Data!W214)*12.9898+(Inputs!$C$6)*78.233+Inputs!$C$47*37.719))*43758.5453)-INT((SIN(((Scenario_Data!W214)*12.9898+(Inputs!$C$6)*78.233+Inputs!$C$47*37.719))*43758.5453)))-1))))/1000))*COS(SQRT((Scenario_Data!W214)^2+Inputs!$C$6^2)/Inputs!$C$52))*1000)/Inputs!$C$21*1000000</f>
        <v/>
      </c>
    </row>
    <row r="215">
      <c r="A215">
        <f>Chart_Data!K215</f>
        <v/>
      </c>
      <c r="B215">
        <f>Chart_Data!N215-Chart_Data!L215</f>
        <v/>
      </c>
      <c r="D215">
        <f>Chart_Data!G215</f>
        <v/>
      </c>
      <c r="E215">
        <f>Chart_Data!H215</f>
        <v/>
      </c>
      <c r="F215">
        <f>Chart_Data!I215</f>
        <v/>
      </c>
      <c r="G215">
        <f>Chart_Data!J215</f>
        <v/>
      </c>
      <c r="I215">
        <f>Scenario_Data!A215</f>
        <v/>
      </c>
      <c r="J215">
        <f>Scenario_Data!H215-(((SQRT((Inputs!$C$52+(Inputs!$H$6))^2+Inputs!$C$52^2-2*(Inputs!$C$52+(Inputs!$H$6))*Inputs!$C$52*COS(SQRT((Scenario_Data!T215)^2+Inputs!$C$6^2)/Inputs!$C$52)))-(Inputs!$H$6))*1000/Inputs!$C$12)</f>
        <v/>
      </c>
      <c r="K215">
        <f>Scenario_Data!I215-(((SQRT((Inputs!$C$52+(Inputs!$H$7))^2+Inputs!$C$52^2-2*(Inputs!$C$52+(Inputs!$H$7))*Inputs!$C$52*COS(SQRT((Scenario_Data!U215)^2+Inputs!$C$6^2)/Inputs!$C$52)))-(Inputs!$H$7))*1000/Inputs!$C$12)</f>
        <v/>
      </c>
      <c r="L215">
        <f>Scenario_Data!J215-(((SQRT((Inputs!$C$52+(Inputs!$H$8))^2+Inputs!$C$52^2-2*(Inputs!$C$52+(Inputs!$H$8))*Inputs!$C$52*COS(SQRT((Scenario_Data!V215)^2+Inputs!$C$6^2)/Inputs!$C$52)))-(Inputs!$H$8))*1000/Inputs!$C$12)</f>
        <v/>
      </c>
      <c r="M215">
        <f>Scenario_Data!K215-(((SQRT((Inputs!$C$52+(Inputs!$H$9))^2+Inputs!$C$52^2-2*(Inputs!$C$52+(Inputs!$H$9))*Inputs!$C$52*COS(SQRT((Scenario_Data!W215)^2+Inputs!$C$6^2)/Inputs!$C$52)))-(Inputs!$H$9))*1000/Inputs!$C$12)</f>
        <v/>
      </c>
      <c r="O215">
        <f>Scenario_Data!T215</f>
        <v/>
      </c>
      <c r="P215">
        <f>2*(Scenario_Data!B215*1000)/Inputs!$C$21*1000000</f>
        <v/>
      </c>
      <c r="Q215">
        <f>Scenario_Data!U215</f>
        <v/>
      </c>
      <c r="R215">
        <f>2*(Scenario_Data!C215*1000)/Inputs!$C$21*1000000</f>
        <v/>
      </c>
      <c r="S215">
        <f>Scenario_Data!V215</f>
        <v/>
      </c>
      <c r="T215">
        <f>2*(Scenario_Data!D215*1000)/Inputs!$C$21*1000000</f>
        <v/>
      </c>
      <c r="U215">
        <f>Scenario_Data!W215</f>
        <v/>
      </c>
      <c r="V215">
        <f>2*(Scenario_Data!E215*1000)/Inputs!$C$21*1000000</f>
        <v/>
      </c>
      <c r="X215">
        <f>Scenario_Data!T215</f>
        <v/>
      </c>
      <c r="Y215">
        <f>2*((Scenario_Data!B215*1000)-(IF(OR(Inputs!$C$27=TRUE,Inputs!$C$27="TRUE",Inputs!$C$27=1),1,0)*(Inputs!$C$51*(115*EXP(-(((0)-25)^2)/(4.5^2))+70*EXP(-(((0)+38)^2)/(7^2))*(0.55+0.45*SIN(2*PI()*(Scenario_Data!T215)/45))+24*SIN(2*PI()*(0)/9+(Scenario_Data!T215)/18)*EXP(-(((0)+5)^2)/(22^2))+18*SIN(2*PI()*(Scenario_Data!T215)/70))+Inputs!$C$28*EXP(-(((Scenario_Data!T215)-Inputs!$C$29)^2)/(2*Inputs!$C$31^2))*EXP(-(((0)-Inputs!$C$30)^2)/(2*Inputs!$C$32^2))+-Inputs!$C$33*EXP(-(((((Scenario_Data!T215)-Inputs!$C$34)^2)+(((0)-Inputs!$C$35)^2))/(2*Inputs!$C$36^2)))+Inputs!$C$37*(0.55*SIN(2*PI()*(Scenario_Data!T215)/Inputs!$C$39)+0.35*COS(2*PI()*(0)/Inputs!$C$40)+0.2*SIN(2*PI()*((Scenario_Data!T215)+(0))/(0.5*(Inputs!$C$39+Inputs!$C$40))))+Inputs!$C$38*SIN(2*PI()*(Scenario_Data!T215)/Inputs!$C$39)*SIN(2*PI()*(0)/Inputs!$C$40)+-Inputs!$C$41*EXP(-(((0)-Inputs!$C$43)^2)/(2*Inputs!$C$44^2))*EXP(-(((Scenario_Data!T215)-Inputs!$C$42)^2)/(2*Inputs!$C$45^2))+Inputs!$C$48*(0.7*(0.45*SIN(2*PI()*(((Scenario_Data!T215)/Inputs!$C$49)+Inputs!$C$47*0.137))+0.35*COS(2*PI()*(((0)/Inputs!$C$50)+Inputs!$C$47*0.173))+0.2*SIN(2*PI()*((((Scenario_Data!T215)+(0))/(0.5*(Inputs!$C$49+Inputs!$C$50)))+Inputs!$C$47*0.097)))+0.3*(2*((SIN(((Scenario_Data!T215)*12.9898+(0)*78.233+Inputs!$C$47*37.719))*43758.5453)-INT((SIN(((Scenario_Data!T215)*12.9898+(0)*78.233+Inputs!$C$47*37.719))*43758.5453)))-1)))))/Inputs!$C$21*1000000</f>
        <v/>
      </c>
      <c r="Z215">
        <f>Scenario_Data!U215</f>
        <v/>
      </c>
      <c r="AA215">
        <f>2*((Scenario_Data!C215*1000)-(IF(OR(Inputs!$C$27=TRUE,Inputs!$C$27="TRUE",Inputs!$C$27=1),1,0)*(Inputs!$C$51*(115*EXP(-(((0)-25)^2)/(4.5^2))+70*EXP(-(((0)+38)^2)/(7^2))*(0.55+0.45*SIN(2*PI()*(Scenario_Data!U215)/45))+24*SIN(2*PI()*(0)/9+(Scenario_Data!U215)/18)*EXP(-(((0)+5)^2)/(22^2))+18*SIN(2*PI()*(Scenario_Data!U215)/70))+Inputs!$C$28*EXP(-(((Scenario_Data!U215)-Inputs!$C$29)^2)/(2*Inputs!$C$31^2))*EXP(-(((0)-Inputs!$C$30)^2)/(2*Inputs!$C$32^2))+-Inputs!$C$33*EXP(-(((((Scenario_Data!U215)-Inputs!$C$34)^2)+(((0)-Inputs!$C$35)^2))/(2*Inputs!$C$36^2)))+Inputs!$C$37*(0.55*SIN(2*PI()*(Scenario_Data!U215)/Inputs!$C$39)+0.35*COS(2*PI()*(0)/Inputs!$C$40)+0.2*SIN(2*PI()*((Scenario_Data!U215)+(0))/(0.5*(Inputs!$C$39+Inputs!$C$40))))+Inputs!$C$38*SIN(2*PI()*(Scenario_Data!U215)/Inputs!$C$39)*SIN(2*PI()*(0)/Inputs!$C$40)+-Inputs!$C$41*EXP(-(((0)-Inputs!$C$43)^2)/(2*Inputs!$C$44^2))*EXP(-(((Scenario_Data!U215)-Inputs!$C$42)^2)/(2*Inputs!$C$45^2))+Inputs!$C$48*(0.7*(0.45*SIN(2*PI()*(((Scenario_Data!U215)/Inputs!$C$49)+Inputs!$C$47*0.137))+0.35*COS(2*PI()*(((0)/Inputs!$C$50)+Inputs!$C$47*0.173))+0.2*SIN(2*PI()*((((Scenario_Data!U215)+(0))/(0.5*(Inputs!$C$49+Inputs!$C$50)))+Inputs!$C$47*0.097)))+0.3*(2*((SIN(((Scenario_Data!U215)*12.9898+(0)*78.233+Inputs!$C$47*37.719))*43758.5453)-INT((SIN(((Scenario_Data!U215)*12.9898+(0)*78.233+Inputs!$C$47*37.719))*43758.5453)))-1)))))/Inputs!$C$21*1000000</f>
        <v/>
      </c>
      <c r="AB215">
        <f>Scenario_Data!V215</f>
        <v/>
      </c>
      <c r="AC215">
        <f>2*((Scenario_Data!D215*1000)-(IF(OR(Inputs!$C$27=TRUE,Inputs!$C$27="TRUE",Inputs!$C$27=1),1,0)*(Inputs!$C$51*(115*EXP(-(((0)-25)^2)/(4.5^2))+70*EXP(-(((0)+38)^2)/(7^2))*(0.55+0.45*SIN(2*PI()*(Scenario_Data!V215)/45))+24*SIN(2*PI()*(0)/9+(Scenario_Data!V215)/18)*EXP(-(((0)+5)^2)/(22^2))+18*SIN(2*PI()*(Scenario_Data!V215)/70))+Inputs!$C$28*EXP(-(((Scenario_Data!V215)-Inputs!$C$29)^2)/(2*Inputs!$C$31^2))*EXP(-(((0)-Inputs!$C$30)^2)/(2*Inputs!$C$32^2))+-Inputs!$C$33*EXP(-(((((Scenario_Data!V215)-Inputs!$C$34)^2)+(((0)-Inputs!$C$35)^2))/(2*Inputs!$C$36^2)))+Inputs!$C$37*(0.55*SIN(2*PI()*(Scenario_Data!V215)/Inputs!$C$39)+0.35*COS(2*PI()*(0)/Inputs!$C$40)+0.2*SIN(2*PI()*((Scenario_Data!V215)+(0))/(0.5*(Inputs!$C$39+Inputs!$C$40))))+Inputs!$C$38*SIN(2*PI()*(Scenario_Data!V215)/Inputs!$C$39)*SIN(2*PI()*(0)/Inputs!$C$40)+-Inputs!$C$41*EXP(-(((0)-Inputs!$C$43)^2)/(2*Inputs!$C$44^2))*EXP(-(((Scenario_Data!V215)-Inputs!$C$42)^2)/(2*Inputs!$C$45^2))+Inputs!$C$48*(0.7*(0.45*SIN(2*PI()*(((Scenario_Data!V215)/Inputs!$C$49)+Inputs!$C$47*0.137))+0.35*COS(2*PI()*(((0)/Inputs!$C$50)+Inputs!$C$47*0.173))+0.2*SIN(2*PI()*((((Scenario_Data!V215)+(0))/(0.5*(Inputs!$C$49+Inputs!$C$50)))+Inputs!$C$47*0.097)))+0.3*(2*((SIN(((Scenario_Data!V215)*12.9898+(0)*78.233+Inputs!$C$47*37.719))*43758.5453)-INT((SIN(((Scenario_Data!V215)*12.9898+(0)*78.233+Inputs!$C$47*37.719))*43758.5453)))-1)))))/Inputs!$C$21*1000000</f>
        <v/>
      </c>
      <c r="AD215">
        <f>Scenario_Data!W215</f>
        <v/>
      </c>
      <c r="AE215">
        <f>2*((Scenario_Data!E215*1000)-(IF(OR(Inputs!$C$27=TRUE,Inputs!$C$27="TRUE",Inputs!$C$27=1),1,0)*(Inputs!$C$51*(115*EXP(-(((0)-25)^2)/(4.5^2))+70*EXP(-(((0)+38)^2)/(7^2))*(0.55+0.45*SIN(2*PI()*(Scenario_Data!W215)/45))+24*SIN(2*PI()*(0)/9+(Scenario_Data!W215)/18)*EXP(-(((0)+5)^2)/(22^2))+18*SIN(2*PI()*(Scenario_Data!W215)/70))+Inputs!$C$28*EXP(-(((Scenario_Data!W215)-Inputs!$C$29)^2)/(2*Inputs!$C$31^2))*EXP(-(((0)-Inputs!$C$30)^2)/(2*Inputs!$C$32^2))+-Inputs!$C$33*EXP(-(((((Scenario_Data!W215)-Inputs!$C$34)^2)+(((0)-Inputs!$C$35)^2))/(2*Inputs!$C$36^2)))+Inputs!$C$37*(0.55*SIN(2*PI()*(Scenario_Data!W215)/Inputs!$C$39)+0.35*COS(2*PI()*(0)/Inputs!$C$40)+0.2*SIN(2*PI()*((Scenario_Data!W215)+(0))/(0.5*(Inputs!$C$39+Inputs!$C$40))))+Inputs!$C$38*SIN(2*PI()*(Scenario_Data!W215)/Inputs!$C$39)*SIN(2*PI()*(0)/Inputs!$C$40)+-Inputs!$C$41*EXP(-(((0)-Inputs!$C$43)^2)/(2*Inputs!$C$44^2))*EXP(-(((Scenario_Data!W215)-Inputs!$C$42)^2)/(2*Inputs!$C$45^2))+Inputs!$C$48*(0.7*(0.45*SIN(2*PI()*(((Scenario_Data!W215)/Inputs!$C$49)+Inputs!$C$47*0.137))+0.35*COS(2*PI()*(((0)/Inputs!$C$50)+Inputs!$C$47*0.173))+0.2*SIN(2*PI()*((((Scenario_Data!W215)+(0))/(0.5*(Inputs!$C$49+Inputs!$C$50)))+Inputs!$C$47*0.097)))+0.3*(2*((SIN(((Scenario_Data!W215)*12.9898+(0)*78.233+Inputs!$C$47*37.719))*43758.5453)-INT((SIN(((Scenario_Data!W215)*12.9898+(0)*78.233+Inputs!$C$47*37.719))*43758.5453)))-1)))))/Inputs!$C$21*1000000</f>
        <v/>
      </c>
      <c r="AG215">
        <f>Scenario_Data!T215</f>
        <v/>
      </c>
      <c r="AH215">
        <f>2*(SQRT((Inputs!$C$52+(Scenario_Data!B215))^2+Inputs!$C$52^2-2*(Inputs!$C$52+(Scenario_Data!B215))*Inputs!$C$52*COS(SQRT((Scenario_Data!T215)^2+Inputs!$C$6^2)/Inputs!$C$52))*1000)/Inputs!$C$21*1000000</f>
        <v/>
      </c>
      <c r="AI215">
        <f>Scenario_Data!U215</f>
        <v/>
      </c>
      <c r="AJ215">
        <f>2*(SQRT((Inputs!$C$52+(Scenario_Data!C215))^2+Inputs!$C$52^2-2*(Inputs!$C$52+(Scenario_Data!C215))*Inputs!$C$52*COS(SQRT((Scenario_Data!U215)^2+Inputs!$C$6^2)/Inputs!$C$52))*1000)/Inputs!$C$21*1000000</f>
        <v/>
      </c>
      <c r="AK215">
        <f>Scenario_Data!V215</f>
        <v/>
      </c>
      <c r="AL215">
        <f>2*(SQRT((Inputs!$C$52+(Scenario_Data!D215))^2+Inputs!$C$52^2-2*(Inputs!$C$52+(Scenario_Data!D215))*Inputs!$C$52*COS(SQRT((Scenario_Data!V215)^2+Inputs!$C$6^2)/Inputs!$C$52))*1000)/Inputs!$C$21*1000000</f>
        <v/>
      </c>
      <c r="AM215">
        <f>Scenario_Data!W215</f>
        <v/>
      </c>
      <c r="AN215">
        <f>2*(SQRT((Inputs!$C$52+(Scenario_Data!E215))^2+Inputs!$C$52^2-2*(Inputs!$C$52+(Scenario_Data!E215))*Inputs!$C$52*COS(SQRT((Scenario_Data!W215)^2+Inputs!$C$6^2)/Inputs!$C$52))*1000)/Inputs!$C$21*1000000</f>
        <v/>
      </c>
      <c r="AP215">
        <f>Scenario_Data!T215</f>
        <v/>
      </c>
      <c r="AQ215">
        <f>2*(SQRT((Inputs!$C$52+(Scenario_Data!B215))^2+(Inputs!$C$52+((IF(OR(Inputs!$C$27=TRUE,Inputs!$C$27="TRUE",Inputs!$C$27=1),1,0)*(Inputs!$C$51*(115*EXP(-(((Inputs!$C$6)-25)^2)/(4.5^2))+70*EXP(-(((Inputs!$C$6)+38)^2)/(7^2))*(0.55+0.45*SIN(2*PI()*(Scenario_Data!T215)/45))+24*SIN(2*PI()*(Inputs!$C$6)/9+(Scenario_Data!T215)/18)*EXP(-(((Inputs!$C$6)+5)^2)/(22^2))+18*SIN(2*PI()*(Scenario_Data!T215)/70))+Inputs!$C$28*EXP(-(((Scenario_Data!T215)-Inputs!$C$29)^2)/(2*Inputs!$C$31^2))*EXP(-(((Inputs!$C$6)-Inputs!$C$30)^2)/(2*Inputs!$C$32^2))+-Inputs!$C$33*EXP(-(((((Scenario_Data!T215)-Inputs!$C$34)^2)+(((Inputs!$C$6)-Inputs!$C$35)^2))/(2*Inputs!$C$36^2)))+Inputs!$C$37*(0.55*SIN(2*PI()*(Scenario_Data!T215)/Inputs!$C$39)+0.35*COS(2*PI()*(Inputs!$C$6)/Inputs!$C$40)+0.2*SIN(2*PI()*((Scenario_Data!T215)+(Inputs!$C$6))/(0.5*(Inputs!$C$39+Inputs!$C$40))))+Inputs!$C$38*SIN(2*PI()*(Scenario_Data!T215)/Inputs!$C$39)*SIN(2*PI()*(Inputs!$C$6)/Inputs!$C$40)+-Inputs!$C$41*EXP(-(((Inputs!$C$6)-Inputs!$C$43)^2)/(2*Inputs!$C$44^2))*EXP(-(((Scenario_Data!T215)-Inputs!$C$42)^2)/(2*Inputs!$C$45^2))+Inputs!$C$48*(0.7*(0.45*SIN(2*PI()*(((Scenario_Data!T215)/Inputs!$C$49)+Inputs!$C$47*0.137))+0.35*COS(2*PI()*(((Inputs!$C$6)/Inputs!$C$50)+Inputs!$C$47*0.173))+0.2*SIN(2*PI()*((((Scenario_Data!T215)+(Inputs!$C$6))/(0.5*(Inputs!$C$49+Inputs!$C$50)))+Inputs!$C$47*0.097)))+0.3*(2*((SIN(((Scenario_Data!T215)*12.9898+(Inputs!$C$6)*78.233+Inputs!$C$47*37.719))*43758.5453)-INT((SIN(((Scenario_Data!T215)*12.9898+(Inputs!$C$6)*78.233+Inputs!$C$47*37.719))*43758.5453)))-1))))/1000))^2-2*(Inputs!$C$52+(Scenario_Data!B215))*(Inputs!$C$52+((IF(OR(Inputs!$C$27=TRUE,Inputs!$C$27="TRUE",Inputs!$C$27=1),1,0)*(Inputs!$C$51*(115*EXP(-(((Inputs!$C$6)-25)^2)/(4.5^2))+70*EXP(-(((Inputs!$C$6)+38)^2)/(7^2))*(0.55+0.45*SIN(2*PI()*(Scenario_Data!T215)/45))+24*SIN(2*PI()*(Inputs!$C$6)/9+(Scenario_Data!T215)/18)*EXP(-(((Inputs!$C$6)+5)^2)/(22^2))+18*SIN(2*PI()*(Scenario_Data!T215)/70))+Inputs!$C$28*EXP(-(((Scenario_Data!T215)-Inputs!$C$29)^2)/(2*Inputs!$C$31^2))*EXP(-(((Inputs!$C$6)-Inputs!$C$30)^2)/(2*Inputs!$C$32^2))+-Inputs!$C$33*EXP(-(((((Scenario_Data!T215)-Inputs!$C$34)^2)+(((Inputs!$C$6)-Inputs!$C$35)^2))/(2*Inputs!$C$36^2)))+Inputs!$C$37*(0.55*SIN(2*PI()*(Scenario_Data!T215)/Inputs!$C$39)+0.35*COS(2*PI()*(Inputs!$C$6)/Inputs!$C$40)+0.2*SIN(2*PI()*((Scenario_Data!T215)+(Inputs!$C$6))/(0.5*(Inputs!$C$39+Inputs!$C$40))))+Inputs!$C$38*SIN(2*PI()*(Scenario_Data!T215)/Inputs!$C$39)*SIN(2*PI()*(Inputs!$C$6)/Inputs!$C$40)+-Inputs!$C$41*EXP(-(((Inputs!$C$6)-Inputs!$C$43)^2)/(2*Inputs!$C$44^2))*EXP(-(((Scenario_Data!T215)-Inputs!$C$42)^2)/(2*Inputs!$C$45^2))+Inputs!$C$48*(0.7*(0.45*SIN(2*PI()*(((Scenario_Data!T215)/Inputs!$C$49)+Inputs!$C$47*0.137))+0.35*COS(2*PI()*(((Inputs!$C$6)/Inputs!$C$50)+Inputs!$C$47*0.173))+0.2*SIN(2*PI()*((((Scenario_Data!T215)+(Inputs!$C$6))/(0.5*(Inputs!$C$49+Inputs!$C$50)))+Inputs!$C$47*0.097)))+0.3*(2*((SIN(((Scenario_Data!T215)*12.9898+(Inputs!$C$6)*78.233+Inputs!$C$47*37.719))*43758.5453)-INT((SIN(((Scenario_Data!T215)*12.9898+(Inputs!$C$6)*78.233+Inputs!$C$47*37.719))*43758.5453)))-1))))/1000))*COS(SQRT((Scenario_Data!T215)^2+Inputs!$C$6^2)/Inputs!$C$52))*1000)/Inputs!$C$21*1000000</f>
        <v/>
      </c>
      <c r="AR215">
        <f>Scenario_Data!U215</f>
        <v/>
      </c>
      <c r="AS215">
        <f>2*(SQRT((Inputs!$C$52+(Scenario_Data!C215))^2+(Inputs!$C$52+((IF(OR(Inputs!$C$27=TRUE,Inputs!$C$27="TRUE",Inputs!$C$27=1),1,0)*(Inputs!$C$51*(115*EXP(-(((Inputs!$C$6)-25)^2)/(4.5^2))+70*EXP(-(((Inputs!$C$6)+38)^2)/(7^2))*(0.55+0.45*SIN(2*PI()*(Scenario_Data!U215)/45))+24*SIN(2*PI()*(Inputs!$C$6)/9+(Scenario_Data!U215)/18)*EXP(-(((Inputs!$C$6)+5)^2)/(22^2))+18*SIN(2*PI()*(Scenario_Data!U215)/70))+Inputs!$C$28*EXP(-(((Scenario_Data!U215)-Inputs!$C$29)^2)/(2*Inputs!$C$31^2))*EXP(-(((Inputs!$C$6)-Inputs!$C$30)^2)/(2*Inputs!$C$32^2))+-Inputs!$C$33*EXP(-(((((Scenario_Data!U215)-Inputs!$C$34)^2)+(((Inputs!$C$6)-Inputs!$C$35)^2))/(2*Inputs!$C$36^2)))+Inputs!$C$37*(0.55*SIN(2*PI()*(Scenario_Data!U215)/Inputs!$C$39)+0.35*COS(2*PI()*(Inputs!$C$6)/Inputs!$C$40)+0.2*SIN(2*PI()*((Scenario_Data!U215)+(Inputs!$C$6))/(0.5*(Inputs!$C$39+Inputs!$C$40))))+Inputs!$C$38*SIN(2*PI()*(Scenario_Data!U215)/Inputs!$C$39)*SIN(2*PI()*(Inputs!$C$6)/Inputs!$C$40)+-Inputs!$C$41*EXP(-(((Inputs!$C$6)-Inputs!$C$43)^2)/(2*Inputs!$C$44^2))*EXP(-(((Scenario_Data!U215)-Inputs!$C$42)^2)/(2*Inputs!$C$45^2))+Inputs!$C$48*(0.7*(0.45*SIN(2*PI()*(((Scenario_Data!U215)/Inputs!$C$49)+Inputs!$C$47*0.137))+0.35*COS(2*PI()*(((Inputs!$C$6)/Inputs!$C$50)+Inputs!$C$47*0.173))+0.2*SIN(2*PI()*((((Scenario_Data!U215)+(Inputs!$C$6))/(0.5*(Inputs!$C$49+Inputs!$C$50)))+Inputs!$C$47*0.097)))+0.3*(2*((SIN(((Scenario_Data!U215)*12.9898+(Inputs!$C$6)*78.233+Inputs!$C$47*37.719))*43758.5453)-INT((SIN(((Scenario_Data!U215)*12.9898+(Inputs!$C$6)*78.233+Inputs!$C$47*37.719))*43758.5453)))-1))))/1000))^2-2*(Inputs!$C$52+(Scenario_Data!C215))*(Inputs!$C$52+((IF(OR(Inputs!$C$27=TRUE,Inputs!$C$27="TRUE",Inputs!$C$27=1),1,0)*(Inputs!$C$51*(115*EXP(-(((Inputs!$C$6)-25)^2)/(4.5^2))+70*EXP(-(((Inputs!$C$6)+38)^2)/(7^2))*(0.55+0.45*SIN(2*PI()*(Scenario_Data!U215)/45))+24*SIN(2*PI()*(Inputs!$C$6)/9+(Scenario_Data!U215)/18)*EXP(-(((Inputs!$C$6)+5)^2)/(22^2))+18*SIN(2*PI()*(Scenario_Data!U215)/70))+Inputs!$C$28*EXP(-(((Scenario_Data!U215)-Inputs!$C$29)^2)/(2*Inputs!$C$31^2))*EXP(-(((Inputs!$C$6)-Inputs!$C$30)^2)/(2*Inputs!$C$32^2))+-Inputs!$C$33*EXP(-(((((Scenario_Data!U215)-Inputs!$C$34)^2)+(((Inputs!$C$6)-Inputs!$C$35)^2))/(2*Inputs!$C$36^2)))+Inputs!$C$37*(0.55*SIN(2*PI()*(Scenario_Data!U215)/Inputs!$C$39)+0.35*COS(2*PI()*(Inputs!$C$6)/Inputs!$C$40)+0.2*SIN(2*PI()*((Scenario_Data!U215)+(Inputs!$C$6))/(0.5*(Inputs!$C$39+Inputs!$C$40))))+Inputs!$C$38*SIN(2*PI()*(Scenario_Data!U215)/Inputs!$C$39)*SIN(2*PI()*(Inputs!$C$6)/Inputs!$C$40)+-Inputs!$C$41*EXP(-(((Inputs!$C$6)-Inputs!$C$43)^2)/(2*Inputs!$C$44^2))*EXP(-(((Scenario_Data!U215)-Inputs!$C$42)^2)/(2*Inputs!$C$45^2))+Inputs!$C$48*(0.7*(0.45*SIN(2*PI()*(((Scenario_Data!U215)/Inputs!$C$49)+Inputs!$C$47*0.137))+0.35*COS(2*PI()*(((Inputs!$C$6)/Inputs!$C$50)+Inputs!$C$47*0.173))+0.2*SIN(2*PI()*((((Scenario_Data!U215)+(Inputs!$C$6))/(0.5*(Inputs!$C$49+Inputs!$C$50)))+Inputs!$C$47*0.097)))+0.3*(2*((SIN(((Scenario_Data!U215)*12.9898+(Inputs!$C$6)*78.233+Inputs!$C$47*37.719))*43758.5453)-INT((SIN(((Scenario_Data!U215)*12.9898+(Inputs!$C$6)*78.233+Inputs!$C$47*37.719))*43758.5453)))-1))))/1000))*COS(SQRT((Scenario_Data!U215)^2+Inputs!$C$6^2)/Inputs!$C$52))*1000)/Inputs!$C$21*1000000</f>
        <v/>
      </c>
      <c r="AT215">
        <f>Scenario_Data!V215</f>
        <v/>
      </c>
      <c r="AU215">
        <f>2*(SQRT((Inputs!$C$52+(Scenario_Data!D215))^2+(Inputs!$C$52+((IF(OR(Inputs!$C$27=TRUE,Inputs!$C$27="TRUE",Inputs!$C$27=1),1,0)*(Inputs!$C$51*(115*EXP(-(((Inputs!$C$6)-25)^2)/(4.5^2))+70*EXP(-(((Inputs!$C$6)+38)^2)/(7^2))*(0.55+0.45*SIN(2*PI()*(Scenario_Data!V215)/45))+24*SIN(2*PI()*(Inputs!$C$6)/9+(Scenario_Data!V215)/18)*EXP(-(((Inputs!$C$6)+5)^2)/(22^2))+18*SIN(2*PI()*(Scenario_Data!V215)/70))+Inputs!$C$28*EXP(-(((Scenario_Data!V215)-Inputs!$C$29)^2)/(2*Inputs!$C$31^2))*EXP(-(((Inputs!$C$6)-Inputs!$C$30)^2)/(2*Inputs!$C$32^2))+-Inputs!$C$33*EXP(-(((((Scenario_Data!V215)-Inputs!$C$34)^2)+(((Inputs!$C$6)-Inputs!$C$35)^2))/(2*Inputs!$C$36^2)))+Inputs!$C$37*(0.55*SIN(2*PI()*(Scenario_Data!V215)/Inputs!$C$39)+0.35*COS(2*PI()*(Inputs!$C$6)/Inputs!$C$40)+0.2*SIN(2*PI()*((Scenario_Data!V215)+(Inputs!$C$6))/(0.5*(Inputs!$C$39+Inputs!$C$40))))+Inputs!$C$38*SIN(2*PI()*(Scenario_Data!V215)/Inputs!$C$39)*SIN(2*PI()*(Inputs!$C$6)/Inputs!$C$40)+-Inputs!$C$41*EXP(-(((Inputs!$C$6)-Inputs!$C$43)^2)/(2*Inputs!$C$44^2))*EXP(-(((Scenario_Data!V215)-Inputs!$C$42)^2)/(2*Inputs!$C$45^2))+Inputs!$C$48*(0.7*(0.45*SIN(2*PI()*(((Scenario_Data!V215)/Inputs!$C$49)+Inputs!$C$47*0.137))+0.35*COS(2*PI()*(((Inputs!$C$6)/Inputs!$C$50)+Inputs!$C$47*0.173))+0.2*SIN(2*PI()*((((Scenario_Data!V215)+(Inputs!$C$6))/(0.5*(Inputs!$C$49+Inputs!$C$50)))+Inputs!$C$47*0.097)))+0.3*(2*((SIN(((Scenario_Data!V215)*12.9898+(Inputs!$C$6)*78.233+Inputs!$C$47*37.719))*43758.5453)-INT((SIN(((Scenario_Data!V215)*12.9898+(Inputs!$C$6)*78.233+Inputs!$C$47*37.719))*43758.5453)))-1))))/1000))^2-2*(Inputs!$C$52+(Scenario_Data!D215))*(Inputs!$C$52+((IF(OR(Inputs!$C$27=TRUE,Inputs!$C$27="TRUE",Inputs!$C$27=1),1,0)*(Inputs!$C$51*(115*EXP(-(((Inputs!$C$6)-25)^2)/(4.5^2))+70*EXP(-(((Inputs!$C$6)+38)^2)/(7^2))*(0.55+0.45*SIN(2*PI()*(Scenario_Data!V215)/45))+24*SIN(2*PI()*(Inputs!$C$6)/9+(Scenario_Data!V215)/18)*EXP(-(((Inputs!$C$6)+5)^2)/(22^2))+18*SIN(2*PI()*(Scenario_Data!V215)/70))+Inputs!$C$28*EXP(-(((Scenario_Data!V215)-Inputs!$C$29)^2)/(2*Inputs!$C$31^2))*EXP(-(((Inputs!$C$6)-Inputs!$C$30)^2)/(2*Inputs!$C$32^2))+-Inputs!$C$33*EXP(-(((((Scenario_Data!V215)-Inputs!$C$34)^2)+(((Inputs!$C$6)-Inputs!$C$35)^2))/(2*Inputs!$C$36^2)))+Inputs!$C$37*(0.55*SIN(2*PI()*(Scenario_Data!V215)/Inputs!$C$39)+0.35*COS(2*PI()*(Inputs!$C$6)/Inputs!$C$40)+0.2*SIN(2*PI()*((Scenario_Data!V215)+(Inputs!$C$6))/(0.5*(Inputs!$C$39+Inputs!$C$40))))+Inputs!$C$38*SIN(2*PI()*(Scenario_Data!V215)/Inputs!$C$39)*SIN(2*PI()*(Inputs!$C$6)/Inputs!$C$40)+-Inputs!$C$41*EXP(-(((Inputs!$C$6)-Inputs!$C$43)^2)/(2*Inputs!$C$44^2))*EXP(-(((Scenario_Data!V215)-Inputs!$C$42)^2)/(2*Inputs!$C$45^2))+Inputs!$C$48*(0.7*(0.45*SIN(2*PI()*(((Scenario_Data!V215)/Inputs!$C$49)+Inputs!$C$47*0.137))+0.35*COS(2*PI()*(((Inputs!$C$6)/Inputs!$C$50)+Inputs!$C$47*0.173))+0.2*SIN(2*PI()*((((Scenario_Data!V215)+(Inputs!$C$6))/(0.5*(Inputs!$C$49+Inputs!$C$50)))+Inputs!$C$47*0.097)))+0.3*(2*((SIN(((Scenario_Data!V215)*12.9898+(Inputs!$C$6)*78.233+Inputs!$C$47*37.719))*43758.5453)-INT((SIN(((Scenario_Data!V215)*12.9898+(Inputs!$C$6)*78.233+Inputs!$C$47*37.719))*43758.5453)))-1))))/1000))*COS(SQRT((Scenario_Data!V215)^2+Inputs!$C$6^2)/Inputs!$C$52))*1000)/Inputs!$C$21*1000000</f>
        <v/>
      </c>
      <c r="AV215">
        <f>Scenario_Data!W215</f>
        <v/>
      </c>
      <c r="AW215">
        <f>2*(SQRT((Inputs!$C$52+(Scenario_Data!E215))^2+(Inputs!$C$52+((IF(OR(Inputs!$C$27=TRUE,Inputs!$C$27="TRUE",Inputs!$C$27=1),1,0)*(Inputs!$C$51*(115*EXP(-(((Inputs!$C$6)-25)^2)/(4.5^2))+70*EXP(-(((Inputs!$C$6)+38)^2)/(7^2))*(0.55+0.45*SIN(2*PI()*(Scenario_Data!W215)/45))+24*SIN(2*PI()*(Inputs!$C$6)/9+(Scenario_Data!W215)/18)*EXP(-(((Inputs!$C$6)+5)^2)/(22^2))+18*SIN(2*PI()*(Scenario_Data!W215)/70))+Inputs!$C$28*EXP(-(((Scenario_Data!W215)-Inputs!$C$29)^2)/(2*Inputs!$C$31^2))*EXP(-(((Inputs!$C$6)-Inputs!$C$30)^2)/(2*Inputs!$C$32^2))+-Inputs!$C$33*EXP(-(((((Scenario_Data!W215)-Inputs!$C$34)^2)+(((Inputs!$C$6)-Inputs!$C$35)^2))/(2*Inputs!$C$36^2)))+Inputs!$C$37*(0.55*SIN(2*PI()*(Scenario_Data!W215)/Inputs!$C$39)+0.35*COS(2*PI()*(Inputs!$C$6)/Inputs!$C$40)+0.2*SIN(2*PI()*((Scenario_Data!W215)+(Inputs!$C$6))/(0.5*(Inputs!$C$39+Inputs!$C$40))))+Inputs!$C$38*SIN(2*PI()*(Scenario_Data!W215)/Inputs!$C$39)*SIN(2*PI()*(Inputs!$C$6)/Inputs!$C$40)+-Inputs!$C$41*EXP(-(((Inputs!$C$6)-Inputs!$C$43)^2)/(2*Inputs!$C$44^2))*EXP(-(((Scenario_Data!W215)-Inputs!$C$42)^2)/(2*Inputs!$C$45^2))+Inputs!$C$48*(0.7*(0.45*SIN(2*PI()*(((Scenario_Data!W215)/Inputs!$C$49)+Inputs!$C$47*0.137))+0.35*COS(2*PI()*(((Inputs!$C$6)/Inputs!$C$50)+Inputs!$C$47*0.173))+0.2*SIN(2*PI()*((((Scenario_Data!W215)+(Inputs!$C$6))/(0.5*(Inputs!$C$49+Inputs!$C$50)))+Inputs!$C$47*0.097)))+0.3*(2*((SIN(((Scenario_Data!W215)*12.9898+(Inputs!$C$6)*78.233+Inputs!$C$47*37.719))*43758.5453)-INT((SIN(((Scenario_Data!W215)*12.9898+(Inputs!$C$6)*78.233+Inputs!$C$47*37.719))*43758.5453)))-1))))/1000))^2-2*(Inputs!$C$52+(Scenario_Data!E215))*(Inputs!$C$52+((IF(OR(Inputs!$C$27=TRUE,Inputs!$C$27="TRUE",Inputs!$C$27=1),1,0)*(Inputs!$C$51*(115*EXP(-(((Inputs!$C$6)-25)^2)/(4.5^2))+70*EXP(-(((Inputs!$C$6)+38)^2)/(7^2))*(0.55+0.45*SIN(2*PI()*(Scenario_Data!W215)/45))+24*SIN(2*PI()*(Inputs!$C$6)/9+(Scenario_Data!W215)/18)*EXP(-(((Inputs!$C$6)+5)^2)/(22^2))+18*SIN(2*PI()*(Scenario_Data!W215)/70))+Inputs!$C$28*EXP(-(((Scenario_Data!W215)-Inputs!$C$29)^2)/(2*Inputs!$C$31^2))*EXP(-(((Inputs!$C$6)-Inputs!$C$30)^2)/(2*Inputs!$C$32^2))+-Inputs!$C$33*EXP(-(((((Scenario_Data!W215)-Inputs!$C$34)^2)+(((Inputs!$C$6)-Inputs!$C$35)^2))/(2*Inputs!$C$36^2)))+Inputs!$C$37*(0.55*SIN(2*PI()*(Scenario_Data!W215)/Inputs!$C$39)+0.35*COS(2*PI()*(Inputs!$C$6)/Inputs!$C$40)+0.2*SIN(2*PI()*((Scenario_Data!W215)+(Inputs!$C$6))/(0.5*(Inputs!$C$39+Inputs!$C$40))))+Inputs!$C$38*SIN(2*PI()*(Scenario_Data!W215)/Inputs!$C$39)*SIN(2*PI()*(Inputs!$C$6)/Inputs!$C$40)+-Inputs!$C$41*EXP(-(((Inputs!$C$6)-Inputs!$C$43)^2)/(2*Inputs!$C$44^2))*EXP(-(((Scenario_Data!W215)-Inputs!$C$42)^2)/(2*Inputs!$C$45^2))+Inputs!$C$48*(0.7*(0.45*SIN(2*PI()*(((Scenario_Data!W215)/Inputs!$C$49)+Inputs!$C$47*0.137))+0.35*COS(2*PI()*(((Inputs!$C$6)/Inputs!$C$50)+Inputs!$C$47*0.173))+0.2*SIN(2*PI()*((((Scenario_Data!W215)+(Inputs!$C$6))/(0.5*(Inputs!$C$49+Inputs!$C$50)))+Inputs!$C$47*0.097)))+0.3*(2*((SIN(((Scenario_Data!W215)*12.9898+(Inputs!$C$6)*78.233+Inputs!$C$47*37.719))*43758.5453)-INT((SIN(((Scenario_Data!W215)*12.9898+(Inputs!$C$6)*78.233+Inputs!$C$47*37.719))*43758.5453)))-1))))/1000))*COS(SQRT((Scenario_Data!W215)^2+Inputs!$C$6^2)/Inputs!$C$52))*1000)/Inputs!$C$21*1000000</f>
        <v/>
      </c>
    </row>
    <row r="216">
      <c r="A216">
        <f>Chart_Data!K216</f>
        <v/>
      </c>
      <c r="B216">
        <f>Chart_Data!N216-Chart_Data!L216</f>
        <v/>
      </c>
      <c r="D216">
        <f>Chart_Data!G216</f>
        <v/>
      </c>
      <c r="E216">
        <f>Chart_Data!H216</f>
        <v/>
      </c>
      <c r="F216">
        <f>Chart_Data!I216</f>
        <v/>
      </c>
      <c r="G216">
        <f>Chart_Data!J216</f>
        <v/>
      </c>
      <c r="I216">
        <f>Scenario_Data!A216</f>
        <v/>
      </c>
      <c r="J216">
        <f>Scenario_Data!H216-(((SQRT((Inputs!$C$52+(Inputs!$H$6))^2+Inputs!$C$52^2-2*(Inputs!$C$52+(Inputs!$H$6))*Inputs!$C$52*COS(SQRT((Scenario_Data!T216)^2+Inputs!$C$6^2)/Inputs!$C$52)))-(Inputs!$H$6))*1000/Inputs!$C$12)</f>
        <v/>
      </c>
      <c r="K216">
        <f>Scenario_Data!I216-(((SQRT((Inputs!$C$52+(Inputs!$H$7))^2+Inputs!$C$52^2-2*(Inputs!$C$52+(Inputs!$H$7))*Inputs!$C$52*COS(SQRT((Scenario_Data!U216)^2+Inputs!$C$6^2)/Inputs!$C$52)))-(Inputs!$H$7))*1000/Inputs!$C$12)</f>
        <v/>
      </c>
      <c r="L216">
        <f>Scenario_Data!J216-(((SQRT((Inputs!$C$52+(Inputs!$H$8))^2+Inputs!$C$52^2-2*(Inputs!$C$52+(Inputs!$H$8))*Inputs!$C$52*COS(SQRT((Scenario_Data!V216)^2+Inputs!$C$6^2)/Inputs!$C$52)))-(Inputs!$H$8))*1000/Inputs!$C$12)</f>
        <v/>
      </c>
      <c r="M216">
        <f>Scenario_Data!K216-(((SQRT((Inputs!$C$52+(Inputs!$H$9))^2+Inputs!$C$52^2-2*(Inputs!$C$52+(Inputs!$H$9))*Inputs!$C$52*COS(SQRT((Scenario_Data!W216)^2+Inputs!$C$6^2)/Inputs!$C$52)))-(Inputs!$H$9))*1000/Inputs!$C$12)</f>
        <v/>
      </c>
      <c r="O216">
        <f>Scenario_Data!T216</f>
        <v/>
      </c>
      <c r="P216">
        <f>2*(Scenario_Data!B216*1000)/Inputs!$C$21*1000000</f>
        <v/>
      </c>
      <c r="Q216">
        <f>Scenario_Data!U216</f>
        <v/>
      </c>
      <c r="R216">
        <f>2*(Scenario_Data!C216*1000)/Inputs!$C$21*1000000</f>
        <v/>
      </c>
      <c r="S216">
        <f>Scenario_Data!V216</f>
        <v/>
      </c>
      <c r="T216">
        <f>2*(Scenario_Data!D216*1000)/Inputs!$C$21*1000000</f>
        <v/>
      </c>
      <c r="U216">
        <f>Scenario_Data!W216</f>
        <v/>
      </c>
      <c r="V216">
        <f>2*(Scenario_Data!E216*1000)/Inputs!$C$21*1000000</f>
        <v/>
      </c>
      <c r="X216">
        <f>Scenario_Data!T216</f>
        <v/>
      </c>
      <c r="Y216">
        <f>2*((Scenario_Data!B216*1000)-(IF(OR(Inputs!$C$27=TRUE,Inputs!$C$27="TRUE",Inputs!$C$27=1),1,0)*(Inputs!$C$51*(115*EXP(-(((0)-25)^2)/(4.5^2))+70*EXP(-(((0)+38)^2)/(7^2))*(0.55+0.45*SIN(2*PI()*(Scenario_Data!T216)/45))+24*SIN(2*PI()*(0)/9+(Scenario_Data!T216)/18)*EXP(-(((0)+5)^2)/(22^2))+18*SIN(2*PI()*(Scenario_Data!T216)/70))+Inputs!$C$28*EXP(-(((Scenario_Data!T216)-Inputs!$C$29)^2)/(2*Inputs!$C$31^2))*EXP(-(((0)-Inputs!$C$30)^2)/(2*Inputs!$C$32^2))+-Inputs!$C$33*EXP(-(((((Scenario_Data!T216)-Inputs!$C$34)^2)+(((0)-Inputs!$C$35)^2))/(2*Inputs!$C$36^2)))+Inputs!$C$37*(0.55*SIN(2*PI()*(Scenario_Data!T216)/Inputs!$C$39)+0.35*COS(2*PI()*(0)/Inputs!$C$40)+0.2*SIN(2*PI()*((Scenario_Data!T216)+(0))/(0.5*(Inputs!$C$39+Inputs!$C$40))))+Inputs!$C$38*SIN(2*PI()*(Scenario_Data!T216)/Inputs!$C$39)*SIN(2*PI()*(0)/Inputs!$C$40)+-Inputs!$C$41*EXP(-(((0)-Inputs!$C$43)^2)/(2*Inputs!$C$44^2))*EXP(-(((Scenario_Data!T216)-Inputs!$C$42)^2)/(2*Inputs!$C$45^2))+Inputs!$C$48*(0.7*(0.45*SIN(2*PI()*(((Scenario_Data!T216)/Inputs!$C$49)+Inputs!$C$47*0.137))+0.35*COS(2*PI()*(((0)/Inputs!$C$50)+Inputs!$C$47*0.173))+0.2*SIN(2*PI()*((((Scenario_Data!T216)+(0))/(0.5*(Inputs!$C$49+Inputs!$C$50)))+Inputs!$C$47*0.097)))+0.3*(2*((SIN(((Scenario_Data!T216)*12.9898+(0)*78.233+Inputs!$C$47*37.719))*43758.5453)-INT((SIN(((Scenario_Data!T216)*12.9898+(0)*78.233+Inputs!$C$47*37.719))*43758.5453)))-1)))))/Inputs!$C$21*1000000</f>
        <v/>
      </c>
      <c r="Z216">
        <f>Scenario_Data!U216</f>
        <v/>
      </c>
      <c r="AA216">
        <f>2*((Scenario_Data!C216*1000)-(IF(OR(Inputs!$C$27=TRUE,Inputs!$C$27="TRUE",Inputs!$C$27=1),1,0)*(Inputs!$C$51*(115*EXP(-(((0)-25)^2)/(4.5^2))+70*EXP(-(((0)+38)^2)/(7^2))*(0.55+0.45*SIN(2*PI()*(Scenario_Data!U216)/45))+24*SIN(2*PI()*(0)/9+(Scenario_Data!U216)/18)*EXP(-(((0)+5)^2)/(22^2))+18*SIN(2*PI()*(Scenario_Data!U216)/70))+Inputs!$C$28*EXP(-(((Scenario_Data!U216)-Inputs!$C$29)^2)/(2*Inputs!$C$31^2))*EXP(-(((0)-Inputs!$C$30)^2)/(2*Inputs!$C$32^2))+-Inputs!$C$33*EXP(-(((((Scenario_Data!U216)-Inputs!$C$34)^2)+(((0)-Inputs!$C$35)^2))/(2*Inputs!$C$36^2)))+Inputs!$C$37*(0.55*SIN(2*PI()*(Scenario_Data!U216)/Inputs!$C$39)+0.35*COS(2*PI()*(0)/Inputs!$C$40)+0.2*SIN(2*PI()*((Scenario_Data!U216)+(0))/(0.5*(Inputs!$C$39+Inputs!$C$40))))+Inputs!$C$38*SIN(2*PI()*(Scenario_Data!U216)/Inputs!$C$39)*SIN(2*PI()*(0)/Inputs!$C$40)+-Inputs!$C$41*EXP(-(((0)-Inputs!$C$43)^2)/(2*Inputs!$C$44^2))*EXP(-(((Scenario_Data!U216)-Inputs!$C$42)^2)/(2*Inputs!$C$45^2))+Inputs!$C$48*(0.7*(0.45*SIN(2*PI()*(((Scenario_Data!U216)/Inputs!$C$49)+Inputs!$C$47*0.137))+0.35*COS(2*PI()*(((0)/Inputs!$C$50)+Inputs!$C$47*0.173))+0.2*SIN(2*PI()*((((Scenario_Data!U216)+(0))/(0.5*(Inputs!$C$49+Inputs!$C$50)))+Inputs!$C$47*0.097)))+0.3*(2*((SIN(((Scenario_Data!U216)*12.9898+(0)*78.233+Inputs!$C$47*37.719))*43758.5453)-INT((SIN(((Scenario_Data!U216)*12.9898+(0)*78.233+Inputs!$C$47*37.719))*43758.5453)))-1)))))/Inputs!$C$21*1000000</f>
        <v/>
      </c>
      <c r="AB216">
        <f>Scenario_Data!V216</f>
        <v/>
      </c>
      <c r="AC216">
        <f>2*((Scenario_Data!D216*1000)-(IF(OR(Inputs!$C$27=TRUE,Inputs!$C$27="TRUE",Inputs!$C$27=1),1,0)*(Inputs!$C$51*(115*EXP(-(((0)-25)^2)/(4.5^2))+70*EXP(-(((0)+38)^2)/(7^2))*(0.55+0.45*SIN(2*PI()*(Scenario_Data!V216)/45))+24*SIN(2*PI()*(0)/9+(Scenario_Data!V216)/18)*EXP(-(((0)+5)^2)/(22^2))+18*SIN(2*PI()*(Scenario_Data!V216)/70))+Inputs!$C$28*EXP(-(((Scenario_Data!V216)-Inputs!$C$29)^2)/(2*Inputs!$C$31^2))*EXP(-(((0)-Inputs!$C$30)^2)/(2*Inputs!$C$32^2))+-Inputs!$C$33*EXP(-(((((Scenario_Data!V216)-Inputs!$C$34)^2)+(((0)-Inputs!$C$35)^2))/(2*Inputs!$C$36^2)))+Inputs!$C$37*(0.55*SIN(2*PI()*(Scenario_Data!V216)/Inputs!$C$39)+0.35*COS(2*PI()*(0)/Inputs!$C$40)+0.2*SIN(2*PI()*((Scenario_Data!V216)+(0))/(0.5*(Inputs!$C$39+Inputs!$C$40))))+Inputs!$C$38*SIN(2*PI()*(Scenario_Data!V216)/Inputs!$C$39)*SIN(2*PI()*(0)/Inputs!$C$40)+-Inputs!$C$41*EXP(-(((0)-Inputs!$C$43)^2)/(2*Inputs!$C$44^2))*EXP(-(((Scenario_Data!V216)-Inputs!$C$42)^2)/(2*Inputs!$C$45^2))+Inputs!$C$48*(0.7*(0.45*SIN(2*PI()*(((Scenario_Data!V216)/Inputs!$C$49)+Inputs!$C$47*0.137))+0.35*COS(2*PI()*(((0)/Inputs!$C$50)+Inputs!$C$47*0.173))+0.2*SIN(2*PI()*((((Scenario_Data!V216)+(0))/(0.5*(Inputs!$C$49+Inputs!$C$50)))+Inputs!$C$47*0.097)))+0.3*(2*((SIN(((Scenario_Data!V216)*12.9898+(0)*78.233+Inputs!$C$47*37.719))*43758.5453)-INT((SIN(((Scenario_Data!V216)*12.9898+(0)*78.233+Inputs!$C$47*37.719))*43758.5453)))-1)))))/Inputs!$C$21*1000000</f>
        <v/>
      </c>
      <c r="AD216">
        <f>Scenario_Data!W216</f>
        <v/>
      </c>
      <c r="AE216">
        <f>2*((Scenario_Data!E216*1000)-(IF(OR(Inputs!$C$27=TRUE,Inputs!$C$27="TRUE",Inputs!$C$27=1),1,0)*(Inputs!$C$51*(115*EXP(-(((0)-25)^2)/(4.5^2))+70*EXP(-(((0)+38)^2)/(7^2))*(0.55+0.45*SIN(2*PI()*(Scenario_Data!W216)/45))+24*SIN(2*PI()*(0)/9+(Scenario_Data!W216)/18)*EXP(-(((0)+5)^2)/(22^2))+18*SIN(2*PI()*(Scenario_Data!W216)/70))+Inputs!$C$28*EXP(-(((Scenario_Data!W216)-Inputs!$C$29)^2)/(2*Inputs!$C$31^2))*EXP(-(((0)-Inputs!$C$30)^2)/(2*Inputs!$C$32^2))+-Inputs!$C$33*EXP(-(((((Scenario_Data!W216)-Inputs!$C$34)^2)+(((0)-Inputs!$C$35)^2))/(2*Inputs!$C$36^2)))+Inputs!$C$37*(0.55*SIN(2*PI()*(Scenario_Data!W216)/Inputs!$C$39)+0.35*COS(2*PI()*(0)/Inputs!$C$40)+0.2*SIN(2*PI()*((Scenario_Data!W216)+(0))/(0.5*(Inputs!$C$39+Inputs!$C$40))))+Inputs!$C$38*SIN(2*PI()*(Scenario_Data!W216)/Inputs!$C$39)*SIN(2*PI()*(0)/Inputs!$C$40)+-Inputs!$C$41*EXP(-(((0)-Inputs!$C$43)^2)/(2*Inputs!$C$44^2))*EXP(-(((Scenario_Data!W216)-Inputs!$C$42)^2)/(2*Inputs!$C$45^2))+Inputs!$C$48*(0.7*(0.45*SIN(2*PI()*(((Scenario_Data!W216)/Inputs!$C$49)+Inputs!$C$47*0.137))+0.35*COS(2*PI()*(((0)/Inputs!$C$50)+Inputs!$C$47*0.173))+0.2*SIN(2*PI()*((((Scenario_Data!W216)+(0))/(0.5*(Inputs!$C$49+Inputs!$C$50)))+Inputs!$C$47*0.097)))+0.3*(2*((SIN(((Scenario_Data!W216)*12.9898+(0)*78.233+Inputs!$C$47*37.719))*43758.5453)-INT((SIN(((Scenario_Data!W216)*12.9898+(0)*78.233+Inputs!$C$47*37.719))*43758.5453)))-1)))))/Inputs!$C$21*1000000</f>
        <v/>
      </c>
      <c r="AG216">
        <f>Scenario_Data!T216</f>
        <v/>
      </c>
      <c r="AH216">
        <f>2*(SQRT((Inputs!$C$52+(Scenario_Data!B216))^2+Inputs!$C$52^2-2*(Inputs!$C$52+(Scenario_Data!B216))*Inputs!$C$52*COS(SQRT((Scenario_Data!T216)^2+Inputs!$C$6^2)/Inputs!$C$52))*1000)/Inputs!$C$21*1000000</f>
        <v/>
      </c>
      <c r="AI216">
        <f>Scenario_Data!U216</f>
        <v/>
      </c>
      <c r="AJ216">
        <f>2*(SQRT((Inputs!$C$52+(Scenario_Data!C216))^2+Inputs!$C$52^2-2*(Inputs!$C$52+(Scenario_Data!C216))*Inputs!$C$52*COS(SQRT((Scenario_Data!U216)^2+Inputs!$C$6^2)/Inputs!$C$52))*1000)/Inputs!$C$21*1000000</f>
        <v/>
      </c>
      <c r="AK216">
        <f>Scenario_Data!V216</f>
        <v/>
      </c>
      <c r="AL216">
        <f>2*(SQRT((Inputs!$C$52+(Scenario_Data!D216))^2+Inputs!$C$52^2-2*(Inputs!$C$52+(Scenario_Data!D216))*Inputs!$C$52*COS(SQRT((Scenario_Data!V216)^2+Inputs!$C$6^2)/Inputs!$C$52))*1000)/Inputs!$C$21*1000000</f>
        <v/>
      </c>
      <c r="AM216">
        <f>Scenario_Data!W216</f>
        <v/>
      </c>
      <c r="AN216">
        <f>2*(SQRT((Inputs!$C$52+(Scenario_Data!E216))^2+Inputs!$C$52^2-2*(Inputs!$C$52+(Scenario_Data!E216))*Inputs!$C$52*COS(SQRT((Scenario_Data!W216)^2+Inputs!$C$6^2)/Inputs!$C$52))*1000)/Inputs!$C$21*1000000</f>
        <v/>
      </c>
      <c r="AP216">
        <f>Scenario_Data!T216</f>
        <v/>
      </c>
      <c r="AQ216">
        <f>2*(SQRT((Inputs!$C$52+(Scenario_Data!B216))^2+(Inputs!$C$52+((IF(OR(Inputs!$C$27=TRUE,Inputs!$C$27="TRUE",Inputs!$C$27=1),1,0)*(Inputs!$C$51*(115*EXP(-(((Inputs!$C$6)-25)^2)/(4.5^2))+70*EXP(-(((Inputs!$C$6)+38)^2)/(7^2))*(0.55+0.45*SIN(2*PI()*(Scenario_Data!T216)/45))+24*SIN(2*PI()*(Inputs!$C$6)/9+(Scenario_Data!T216)/18)*EXP(-(((Inputs!$C$6)+5)^2)/(22^2))+18*SIN(2*PI()*(Scenario_Data!T216)/70))+Inputs!$C$28*EXP(-(((Scenario_Data!T216)-Inputs!$C$29)^2)/(2*Inputs!$C$31^2))*EXP(-(((Inputs!$C$6)-Inputs!$C$30)^2)/(2*Inputs!$C$32^2))+-Inputs!$C$33*EXP(-(((((Scenario_Data!T216)-Inputs!$C$34)^2)+(((Inputs!$C$6)-Inputs!$C$35)^2))/(2*Inputs!$C$36^2)))+Inputs!$C$37*(0.55*SIN(2*PI()*(Scenario_Data!T216)/Inputs!$C$39)+0.35*COS(2*PI()*(Inputs!$C$6)/Inputs!$C$40)+0.2*SIN(2*PI()*((Scenario_Data!T216)+(Inputs!$C$6))/(0.5*(Inputs!$C$39+Inputs!$C$40))))+Inputs!$C$38*SIN(2*PI()*(Scenario_Data!T216)/Inputs!$C$39)*SIN(2*PI()*(Inputs!$C$6)/Inputs!$C$40)+-Inputs!$C$41*EXP(-(((Inputs!$C$6)-Inputs!$C$43)^2)/(2*Inputs!$C$44^2))*EXP(-(((Scenario_Data!T216)-Inputs!$C$42)^2)/(2*Inputs!$C$45^2))+Inputs!$C$48*(0.7*(0.45*SIN(2*PI()*(((Scenario_Data!T216)/Inputs!$C$49)+Inputs!$C$47*0.137))+0.35*COS(2*PI()*(((Inputs!$C$6)/Inputs!$C$50)+Inputs!$C$47*0.173))+0.2*SIN(2*PI()*((((Scenario_Data!T216)+(Inputs!$C$6))/(0.5*(Inputs!$C$49+Inputs!$C$50)))+Inputs!$C$47*0.097)))+0.3*(2*((SIN(((Scenario_Data!T216)*12.9898+(Inputs!$C$6)*78.233+Inputs!$C$47*37.719))*43758.5453)-INT((SIN(((Scenario_Data!T216)*12.9898+(Inputs!$C$6)*78.233+Inputs!$C$47*37.719))*43758.5453)))-1))))/1000))^2-2*(Inputs!$C$52+(Scenario_Data!B216))*(Inputs!$C$52+((IF(OR(Inputs!$C$27=TRUE,Inputs!$C$27="TRUE",Inputs!$C$27=1),1,0)*(Inputs!$C$51*(115*EXP(-(((Inputs!$C$6)-25)^2)/(4.5^2))+70*EXP(-(((Inputs!$C$6)+38)^2)/(7^2))*(0.55+0.45*SIN(2*PI()*(Scenario_Data!T216)/45))+24*SIN(2*PI()*(Inputs!$C$6)/9+(Scenario_Data!T216)/18)*EXP(-(((Inputs!$C$6)+5)^2)/(22^2))+18*SIN(2*PI()*(Scenario_Data!T216)/70))+Inputs!$C$28*EXP(-(((Scenario_Data!T216)-Inputs!$C$29)^2)/(2*Inputs!$C$31^2))*EXP(-(((Inputs!$C$6)-Inputs!$C$30)^2)/(2*Inputs!$C$32^2))+-Inputs!$C$33*EXP(-(((((Scenario_Data!T216)-Inputs!$C$34)^2)+(((Inputs!$C$6)-Inputs!$C$35)^2))/(2*Inputs!$C$36^2)))+Inputs!$C$37*(0.55*SIN(2*PI()*(Scenario_Data!T216)/Inputs!$C$39)+0.35*COS(2*PI()*(Inputs!$C$6)/Inputs!$C$40)+0.2*SIN(2*PI()*((Scenario_Data!T216)+(Inputs!$C$6))/(0.5*(Inputs!$C$39+Inputs!$C$40))))+Inputs!$C$38*SIN(2*PI()*(Scenario_Data!T216)/Inputs!$C$39)*SIN(2*PI()*(Inputs!$C$6)/Inputs!$C$40)+-Inputs!$C$41*EXP(-(((Inputs!$C$6)-Inputs!$C$43)^2)/(2*Inputs!$C$44^2))*EXP(-(((Scenario_Data!T216)-Inputs!$C$42)^2)/(2*Inputs!$C$45^2))+Inputs!$C$48*(0.7*(0.45*SIN(2*PI()*(((Scenario_Data!T216)/Inputs!$C$49)+Inputs!$C$47*0.137))+0.35*COS(2*PI()*(((Inputs!$C$6)/Inputs!$C$50)+Inputs!$C$47*0.173))+0.2*SIN(2*PI()*((((Scenario_Data!T216)+(Inputs!$C$6))/(0.5*(Inputs!$C$49+Inputs!$C$50)))+Inputs!$C$47*0.097)))+0.3*(2*((SIN(((Scenario_Data!T216)*12.9898+(Inputs!$C$6)*78.233+Inputs!$C$47*37.719))*43758.5453)-INT((SIN(((Scenario_Data!T216)*12.9898+(Inputs!$C$6)*78.233+Inputs!$C$47*37.719))*43758.5453)))-1))))/1000))*COS(SQRT((Scenario_Data!T216)^2+Inputs!$C$6^2)/Inputs!$C$52))*1000)/Inputs!$C$21*1000000</f>
        <v/>
      </c>
      <c r="AR216">
        <f>Scenario_Data!U216</f>
        <v/>
      </c>
      <c r="AS216">
        <f>2*(SQRT((Inputs!$C$52+(Scenario_Data!C216))^2+(Inputs!$C$52+((IF(OR(Inputs!$C$27=TRUE,Inputs!$C$27="TRUE",Inputs!$C$27=1),1,0)*(Inputs!$C$51*(115*EXP(-(((Inputs!$C$6)-25)^2)/(4.5^2))+70*EXP(-(((Inputs!$C$6)+38)^2)/(7^2))*(0.55+0.45*SIN(2*PI()*(Scenario_Data!U216)/45))+24*SIN(2*PI()*(Inputs!$C$6)/9+(Scenario_Data!U216)/18)*EXP(-(((Inputs!$C$6)+5)^2)/(22^2))+18*SIN(2*PI()*(Scenario_Data!U216)/70))+Inputs!$C$28*EXP(-(((Scenario_Data!U216)-Inputs!$C$29)^2)/(2*Inputs!$C$31^2))*EXP(-(((Inputs!$C$6)-Inputs!$C$30)^2)/(2*Inputs!$C$32^2))+-Inputs!$C$33*EXP(-(((((Scenario_Data!U216)-Inputs!$C$34)^2)+(((Inputs!$C$6)-Inputs!$C$35)^2))/(2*Inputs!$C$36^2)))+Inputs!$C$37*(0.55*SIN(2*PI()*(Scenario_Data!U216)/Inputs!$C$39)+0.35*COS(2*PI()*(Inputs!$C$6)/Inputs!$C$40)+0.2*SIN(2*PI()*((Scenario_Data!U216)+(Inputs!$C$6))/(0.5*(Inputs!$C$39+Inputs!$C$40))))+Inputs!$C$38*SIN(2*PI()*(Scenario_Data!U216)/Inputs!$C$39)*SIN(2*PI()*(Inputs!$C$6)/Inputs!$C$40)+-Inputs!$C$41*EXP(-(((Inputs!$C$6)-Inputs!$C$43)^2)/(2*Inputs!$C$44^2))*EXP(-(((Scenario_Data!U216)-Inputs!$C$42)^2)/(2*Inputs!$C$45^2))+Inputs!$C$48*(0.7*(0.45*SIN(2*PI()*(((Scenario_Data!U216)/Inputs!$C$49)+Inputs!$C$47*0.137))+0.35*COS(2*PI()*(((Inputs!$C$6)/Inputs!$C$50)+Inputs!$C$47*0.173))+0.2*SIN(2*PI()*((((Scenario_Data!U216)+(Inputs!$C$6))/(0.5*(Inputs!$C$49+Inputs!$C$50)))+Inputs!$C$47*0.097)))+0.3*(2*((SIN(((Scenario_Data!U216)*12.9898+(Inputs!$C$6)*78.233+Inputs!$C$47*37.719))*43758.5453)-INT((SIN(((Scenario_Data!U216)*12.9898+(Inputs!$C$6)*78.233+Inputs!$C$47*37.719))*43758.5453)))-1))))/1000))^2-2*(Inputs!$C$52+(Scenario_Data!C216))*(Inputs!$C$52+((IF(OR(Inputs!$C$27=TRUE,Inputs!$C$27="TRUE",Inputs!$C$27=1),1,0)*(Inputs!$C$51*(115*EXP(-(((Inputs!$C$6)-25)^2)/(4.5^2))+70*EXP(-(((Inputs!$C$6)+38)^2)/(7^2))*(0.55+0.45*SIN(2*PI()*(Scenario_Data!U216)/45))+24*SIN(2*PI()*(Inputs!$C$6)/9+(Scenario_Data!U216)/18)*EXP(-(((Inputs!$C$6)+5)^2)/(22^2))+18*SIN(2*PI()*(Scenario_Data!U216)/70))+Inputs!$C$28*EXP(-(((Scenario_Data!U216)-Inputs!$C$29)^2)/(2*Inputs!$C$31^2))*EXP(-(((Inputs!$C$6)-Inputs!$C$30)^2)/(2*Inputs!$C$32^2))+-Inputs!$C$33*EXP(-(((((Scenario_Data!U216)-Inputs!$C$34)^2)+(((Inputs!$C$6)-Inputs!$C$35)^2))/(2*Inputs!$C$36^2)))+Inputs!$C$37*(0.55*SIN(2*PI()*(Scenario_Data!U216)/Inputs!$C$39)+0.35*COS(2*PI()*(Inputs!$C$6)/Inputs!$C$40)+0.2*SIN(2*PI()*((Scenario_Data!U216)+(Inputs!$C$6))/(0.5*(Inputs!$C$39+Inputs!$C$40))))+Inputs!$C$38*SIN(2*PI()*(Scenario_Data!U216)/Inputs!$C$39)*SIN(2*PI()*(Inputs!$C$6)/Inputs!$C$40)+-Inputs!$C$41*EXP(-(((Inputs!$C$6)-Inputs!$C$43)^2)/(2*Inputs!$C$44^2))*EXP(-(((Scenario_Data!U216)-Inputs!$C$42)^2)/(2*Inputs!$C$45^2))+Inputs!$C$48*(0.7*(0.45*SIN(2*PI()*(((Scenario_Data!U216)/Inputs!$C$49)+Inputs!$C$47*0.137))+0.35*COS(2*PI()*(((Inputs!$C$6)/Inputs!$C$50)+Inputs!$C$47*0.173))+0.2*SIN(2*PI()*((((Scenario_Data!U216)+(Inputs!$C$6))/(0.5*(Inputs!$C$49+Inputs!$C$50)))+Inputs!$C$47*0.097)))+0.3*(2*((SIN(((Scenario_Data!U216)*12.9898+(Inputs!$C$6)*78.233+Inputs!$C$47*37.719))*43758.5453)-INT((SIN(((Scenario_Data!U216)*12.9898+(Inputs!$C$6)*78.233+Inputs!$C$47*37.719))*43758.5453)))-1))))/1000))*COS(SQRT((Scenario_Data!U216)^2+Inputs!$C$6^2)/Inputs!$C$52))*1000)/Inputs!$C$21*1000000</f>
        <v/>
      </c>
      <c r="AT216">
        <f>Scenario_Data!V216</f>
        <v/>
      </c>
      <c r="AU216">
        <f>2*(SQRT((Inputs!$C$52+(Scenario_Data!D216))^2+(Inputs!$C$52+((IF(OR(Inputs!$C$27=TRUE,Inputs!$C$27="TRUE",Inputs!$C$27=1),1,0)*(Inputs!$C$51*(115*EXP(-(((Inputs!$C$6)-25)^2)/(4.5^2))+70*EXP(-(((Inputs!$C$6)+38)^2)/(7^2))*(0.55+0.45*SIN(2*PI()*(Scenario_Data!V216)/45))+24*SIN(2*PI()*(Inputs!$C$6)/9+(Scenario_Data!V216)/18)*EXP(-(((Inputs!$C$6)+5)^2)/(22^2))+18*SIN(2*PI()*(Scenario_Data!V216)/70))+Inputs!$C$28*EXP(-(((Scenario_Data!V216)-Inputs!$C$29)^2)/(2*Inputs!$C$31^2))*EXP(-(((Inputs!$C$6)-Inputs!$C$30)^2)/(2*Inputs!$C$32^2))+-Inputs!$C$33*EXP(-(((((Scenario_Data!V216)-Inputs!$C$34)^2)+(((Inputs!$C$6)-Inputs!$C$35)^2))/(2*Inputs!$C$36^2)))+Inputs!$C$37*(0.55*SIN(2*PI()*(Scenario_Data!V216)/Inputs!$C$39)+0.35*COS(2*PI()*(Inputs!$C$6)/Inputs!$C$40)+0.2*SIN(2*PI()*((Scenario_Data!V216)+(Inputs!$C$6))/(0.5*(Inputs!$C$39+Inputs!$C$40))))+Inputs!$C$38*SIN(2*PI()*(Scenario_Data!V216)/Inputs!$C$39)*SIN(2*PI()*(Inputs!$C$6)/Inputs!$C$40)+-Inputs!$C$41*EXP(-(((Inputs!$C$6)-Inputs!$C$43)^2)/(2*Inputs!$C$44^2))*EXP(-(((Scenario_Data!V216)-Inputs!$C$42)^2)/(2*Inputs!$C$45^2))+Inputs!$C$48*(0.7*(0.45*SIN(2*PI()*(((Scenario_Data!V216)/Inputs!$C$49)+Inputs!$C$47*0.137))+0.35*COS(2*PI()*(((Inputs!$C$6)/Inputs!$C$50)+Inputs!$C$47*0.173))+0.2*SIN(2*PI()*((((Scenario_Data!V216)+(Inputs!$C$6))/(0.5*(Inputs!$C$49+Inputs!$C$50)))+Inputs!$C$47*0.097)))+0.3*(2*((SIN(((Scenario_Data!V216)*12.9898+(Inputs!$C$6)*78.233+Inputs!$C$47*37.719))*43758.5453)-INT((SIN(((Scenario_Data!V216)*12.9898+(Inputs!$C$6)*78.233+Inputs!$C$47*37.719))*43758.5453)))-1))))/1000))^2-2*(Inputs!$C$52+(Scenario_Data!D216))*(Inputs!$C$52+((IF(OR(Inputs!$C$27=TRUE,Inputs!$C$27="TRUE",Inputs!$C$27=1),1,0)*(Inputs!$C$51*(115*EXP(-(((Inputs!$C$6)-25)^2)/(4.5^2))+70*EXP(-(((Inputs!$C$6)+38)^2)/(7^2))*(0.55+0.45*SIN(2*PI()*(Scenario_Data!V216)/45))+24*SIN(2*PI()*(Inputs!$C$6)/9+(Scenario_Data!V216)/18)*EXP(-(((Inputs!$C$6)+5)^2)/(22^2))+18*SIN(2*PI()*(Scenario_Data!V216)/70))+Inputs!$C$28*EXP(-(((Scenario_Data!V216)-Inputs!$C$29)^2)/(2*Inputs!$C$31^2))*EXP(-(((Inputs!$C$6)-Inputs!$C$30)^2)/(2*Inputs!$C$32^2))+-Inputs!$C$33*EXP(-(((((Scenario_Data!V216)-Inputs!$C$34)^2)+(((Inputs!$C$6)-Inputs!$C$35)^2))/(2*Inputs!$C$36^2)))+Inputs!$C$37*(0.55*SIN(2*PI()*(Scenario_Data!V216)/Inputs!$C$39)+0.35*COS(2*PI()*(Inputs!$C$6)/Inputs!$C$40)+0.2*SIN(2*PI()*((Scenario_Data!V216)+(Inputs!$C$6))/(0.5*(Inputs!$C$39+Inputs!$C$40))))+Inputs!$C$38*SIN(2*PI()*(Scenario_Data!V216)/Inputs!$C$39)*SIN(2*PI()*(Inputs!$C$6)/Inputs!$C$40)+-Inputs!$C$41*EXP(-(((Inputs!$C$6)-Inputs!$C$43)^2)/(2*Inputs!$C$44^2))*EXP(-(((Scenario_Data!V216)-Inputs!$C$42)^2)/(2*Inputs!$C$45^2))+Inputs!$C$48*(0.7*(0.45*SIN(2*PI()*(((Scenario_Data!V216)/Inputs!$C$49)+Inputs!$C$47*0.137))+0.35*COS(2*PI()*(((Inputs!$C$6)/Inputs!$C$50)+Inputs!$C$47*0.173))+0.2*SIN(2*PI()*((((Scenario_Data!V216)+(Inputs!$C$6))/(0.5*(Inputs!$C$49+Inputs!$C$50)))+Inputs!$C$47*0.097)))+0.3*(2*((SIN(((Scenario_Data!V216)*12.9898+(Inputs!$C$6)*78.233+Inputs!$C$47*37.719))*43758.5453)-INT((SIN(((Scenario_Data!V216)*12.9898+(Inputs!$C$6)*78.233+Inputs!$C$47*37.719))*43758.5453)))-1))))/1000))*COS(SQRT((Scenario_Data!V216)^2+Inputs!$C$6^2)/Inputs!$C$52))*1000)/Inputs!$C$21*1000000</f>
        <v/>
      </c>
      <c r="AV216">
        <f>Scenario_Data!W216</f>
        <v/>
      </c>
      <c r="AW216">
        <f>2*(SQRT((Inputs!$C$52+(Scenario_Data!E216))^2+(Inputs!$C$52+((IF(OR(Inputs!$C$27=TRUE,Inputs!$C$27="TRUE",Inputs!$C$27=1),1,0)*(Inputs!$C$51*(115*EXP(-(((Inputs!$C$6)-25)^2)/(4.5^2))+70*EXP(-(((Inputs!$C$6)+38)^2)/(7^2))*(0.55+0.45*SIN(2*PI()*(Scenario_Data!W216)/45))+24*SIN(2*PI()*(Inputs!$C$6)/9+(Scenario_Data!W216)/18)*EXP(-(((Inputs!$C$6)+5)^2)/(22^2))+18*SIN(2*PI()*(Scenario_Data!W216)/70))+Inputs!$C$28*EXP(-(((Scenario_Data!W216)-Inputs!$C$29)^2)/(2*Inputs!$C$31^2))*EXP(-(((Inputs!$C$6)-Inputs!$C$30)^2)/(2*Inputs!$C$32^2))+-Inputs!$C$33*EXP(-(((((Scenario_Data!W216)-Inputs!$C$34)^2)+(((Inputs!$C$6)-Inputs!$C$35)^2))/(2*Inputs!$C$36^2)))+Inputs!$C$37*(0.55*SIN(2*PI()*(Scenario_Data!W216)/Inputs!$C$39)+0.35*COS(2*PI()*(Inputs!$C$6)/Inputs!$C$40)+0.2*SIN(2*PI()*((Scenario_Data!W216)+(Inputs!$C$6))/(0.5*(Inputs!$C$39+Inputs!$C$40))))+Inputs!$C$38*SIN(2*PI()*(Scenario_Data!W216)/Inputs!$C$39)*SIN(2*PI()*(Inputs!$C$6)/Inputs!$C$40)+-Inputs!$C$41*EXP(-(((Inputs!$C$6)-Inputs!$C$43)^2)/(2*Inputs!$C$44^2))*EXP(-(((Scenario_Data!W216)-Inputs!$C$42)^2)/(2*Inputs!$C$45^2))+Inputs!$C$48*(0.7*(0.45*SIN(2*PI()*(((Scenario_Data!W216)/Inputs!$C$49)+Inputs!$C$47*0.137))+0.35*COS(2*PI()*(((Inputs!$C$6)/Inputs!$C$50)+Inputs!$C$47*0.173))+0.2*SIN(2*PI()*((((Scenario_Data!W216)+(Inputs!$C$6))/(0.5*(Inputs!$C$49+Inputs!$C$50)))+Inputs!$C$47*0.097)))+0.3*(2*((SIN(((Scenario_Data!W216)*12.9898+(Inputs!$C$6)*78.233+Inputs!$C$47*37.719))*43758.5453)-INT((SIN(((Scenario_Data!W216)*12.9898+(Inputs!$C$6)*78.233+Inputs!$C$47*37.719))*43758.5453)))-1))))/1000))^2-2*(Inputs!$C$52+(Scenario_Data!E216))*(Inputs!$C$52+((IF(OR(Inputs!$C$27=TRUE,Inputs!$C$27="TRUE",Inputs!$C$27=1),1,0)*(Inputs!$C$51*(115*EXP(-(((Inputs!$C$6)-25)^2)/(4.5^2))+70*EXP(-(((Inputs!$C$6)+38)^2)/(7^2))*(0.55+0.45*SIN(2*PI()*(Scenario_Data!W216)/45))+24*SIN(2*PI()*(Inputs!$C$6)/9+(Scenario_Data!W216)/18)*EXP(-(((Inputs!$C$6)+5)^2)/(22^2))+18*SIN(2*PI()*(Scenario_Data!W216)/70))+Inputs!$C$28*EXP(-(((Scenario_Data!W216)-Inputs!$C$29)^2)/(2*Inputs!$C$31^2))*EXP(-(((Inputs!$C$6)-Inputs!$C$30)^2)/(2*Inputs!$C$32^2))+-Inputs!$C$33*EXP(-(((((Scenario_Data!W216)-Inputs!$C$34)^2)+(((Inputs!$C$6)-Inputs!$C$35)^2))/(2*Inputs!$C$36^2)))+Inputs!$C$37*(0.55*SIN(2*PI()*(Scenario_Data!W216)/Inputs!$C$39)+0.35*COS(2*PI()*(Inputs!$C$6)/Inputs!$C$40)+0.2*SIN(2*PI()*((Scenario_Data!W216)+(Inputs!$C$6))/(0.5*(Inputs!$C$39+Inputs!$C$40))))+Inputs!$C$38*SIN(2*PI()*(Scenario_Data!W216)/Inputs!$C$39)*SIN(2*PI()*(Inputs!$C$6)/Inputs!$C$40)+-Inputs!$C$41*EXP(-(((Inputs!$C$6)-Inputs!$C$43)^2)/(2*Inputs!$C$44^2))*EXP(-(((Scenario_Data!W216)-Inputs!$C$42)^2)/(2*Inputs!$C$45^2))+Inputs!$C$48*(0.7*(0.45*SIN(2*PI()*(((Scenario_Data!W216)/Inputs!$C$49)+Inputs!$C$47*0.137))+0.35*COS(2*PI()*(((Inputs!$C$6)/Inputs!$C$50)+Inputs!$C$47*0.173))+0.2*SIN(2*PI()*((((Scenario_Data!W216)+(Inputs!$C$6))/(0.5*(Inputs!$C$49+Inputs!$C$50)))+Inputs!$C$47*0.097)))+0.3*(2*((SIN(((Scenario_Data!W216)*12.9898+(Inputs!$C$6)*78.233+Inputs!$C$47*37.719))*43758.5453)-INT((SIN(((Scenario_Data!W216)*12.9898+(Inputs!$C$6)*78.233+Inputs!$C$47*37.719))*43758.5453)))-1))))/1000))*COS(SQRT((Scenario_Data!W216)^2+Inputs!$C$6^2)/Inputs!$C$52))*1000)/Inputs!$C$21*1000000</f>
        <v/>
      </c>
    </row>
    <row r="217">
      <c r="A217">
        <f>Chart_Data!K217</f>
        <v/>
      </c>
      <c r="B217">
        <f>Chart_Data!N217-Chart_Data!L217</f>
        <v/>
      </c>
      <c r="D217">
        <f>Chart_Data!G217</f>
        <v/>
      </c>
      <c r="E217">
        <f>Chart_Data!H217</f>
        <v/>
      </c>
      <c r="F217">
        <f>Chart_Data!I217</f>
        <v/>
      </c>
      <c r="G217">
        <f>Chart_Data!J217</f>
        <v/>
      </c>
      <c r="I217">
        <f>Scenario_Data!A217</f>
        <v/>
      </c>
      <c r="J217">
        <f>Scenario_Data!H217-(((SQRT((Inputs!$C$52+(Inputs!$H$6))^2+Inputs!$C$52^2-2*(Inputs!$C$52+(Inputs!$H$6))*Inputs!$C$52*COS(SQRT((Scenario_Data!T217)^2+Inputs!$C$6^2)/Inputs!$C$52)))-(Inputs!$H$6))*1000/Inputs!$C$12)</f>
        <v/>
      </c>
      <c r="K217">
        <f>Scenario_Data!I217-(((SQRT((Inputs!$C$52+(Inputs!$H$7))^2+Inputs!$C$52^2-2*(Inputs!$C$52+(Inputs!$H$7))*Inputs!$C$52*COS(SQRT((Scenario_Data!U217)^2+Inputs!$C$6^2)/Inputs!$C$52)))-(Inputs!$H$7))*1000/Inputs!$C$12)</f>
        <v/>
      </c>
      <c r="L217">
        <f>Scenario_Data!J217-(((SQRT((Inputs!$C$52+(Inputs!$H$8))^2+Inputs!$C$52^2-2*(Inputs!$C$52+(Inputs!$H$8))*Inputs!$C$52*COS(SQRT((Scenario_Data!V217)^2+Inputs!$C$6^2)/Inputs!$C$52)))-(Inputs!$H$8))*1000/Inputs!$C$12)</f>
        <v/>
      </c>
      <c r="M217">
        <f>Scenario_Data!K217-(((SQRT((Inputs!$C$52+(Inputs!$H$9))^2+Inputs!$C$52^2-2*(Inputs!$C$52+(Inputs!$H$9))*Inputs!$C$52*COS(SQRT((Scenario_Data!W217)^2+Inputs!$C$6^2)/Inputs!$C$52)))-(Inputs!$H$9))*1000/Inputs!$C$12)</f>
        <v/>
      </c>
      <c r="O217">
        <f>Scenario_Data!T217</f>
        <v/>
      </c>
      <c r="P217">
        <f>2*(Scenario_Data!B217*1000)/Inputs!$C$21*1000000</f>
        <v/>
      </c>
      <c r="Q217">
        <f>Scenario_Data!U217</f>
        <v/>
      </c>
      <c r="R217">
        <f>2*(Scenario_Data!C217*1000)/Inputs!$C$21*1000000</f>
        <v/>
      </c>
      <c r="S217">
        <f>Scenario_Data!V217</f>
        <v/>
      </c>
      <c r="T217">
        <f>2*(Scenario_Data!D217*1000)/Inputs!$C$21*1000000</f>
        <v/>
      </c>
      <c r="U217">
        <f>Scenario_Data!W217</f>
        <v/>
      </c>
      <c r="V217">
        <f>2*(Scenario_Data!E217*1000)/Inputs!$C$21*1000000</f>
        <v/>
      </c>
      <c r="X217">
        <f>Scenario_Data!T217</f>
        <v/>
      </c>
      <c r="Y217">
        <f>2*((Scenario_Data!B217*1000)-(IF(OR(Inputs!$C$27=TRUE,Inputs!$C$27="TRUE",Inputs!$C$27=1),1,0)*(Inputs!$C$51*(115*EXP(-(((0)-25)^2)/(4.5^2))+70*EXP(-(((0)+38)^2)/(7^2))*(0.55+0.45*SIN(2*PI()*(Scenario_Data!T217)/45))+24*SIN(2*PI()*(0)/9+(Scenario_Data!T217)/18)*EXP(-(((0)+5)^2)/(22^2))+18*SIN(2*PI()*(Scenario_Data!T217)/70))+Inputs!$C$28*EXP(-(((Scenario_Data!T217)-Inputs!$C$29)^2)/(2*Inputs!$C$31^2))*EXP(-(((0)-Inputs!$C$30)^2)/(2*Inputs!$C$32^2))+-Inputs!$C$33*EXP(-(((((Scenario_Data!T217)-Inputs!$C$34)^2)+(((0)-Inputs!$C$35)^2))/(2*Inputs!$C$36^2)))+Inputs!$C$37*(0.55*SIN(2*PI()*(Scenario_Data!T217)/Inputs!$C$39)+0.35*COS(2*PI()*(0)/Inputs!$C$40)+0.2*SIN(2*PI()*((Scenario_Data!T217)+(0))/(0.5*(Inputs!$C$39+Inputs!$C$40))))+Inputs!$C$38*SIN(2*PI()*(Scenario_Data!T217)/Inputs!$C$39)*SIN(2*PI()*(0)/Inputs!$C$40)+-Inputs!$C$41*EXP(-(((0)-Inputs!$C$43)^2)/(2*Inputs!$C$44^2))*EXP(-(((Scenario_Data!T217)-Inputs!$C$42)^2)/(2*Inputs!$C$45^2))+Inputs!$C$48*(0.7*(0.45*SIN(2*PI()*(((Scenario_Data!T217)/Inputs!$C$49)+Inputs!$C$47*0.137))+0.35*COS(2*PI()*(((0)/Inputs!$C$50)+Inputs!$C$47*0.173))+0.2*SIN(2*PI()*((((Scenario_Data!T217)+(0))/(0.5*(Inputs!$C$49+Inputs!$C$50)))+Inputs!$C$47*0.097)))+0.3*(2*((SIN(((Scenario_Data!T217)*12.9898+(0)*78.233+Inputs!$C$47*37.719))*43758.5453)-INT((SIN(((Scenario_Data!T217)*12.9898+(0)*78.233+Inputs!$C$47*37.719))*43758.5453)))-1)))))/Inputs!$C$21*1000000</f>
        <v/>
      </c>
      <c r="Z217">
        <f>Scenario_Data!U217</f>
        <v/>
      </c>
      <c r="AA217">
        <f>2*((Scenario_Data!C217*1000)-(IF(OR(Inputs!$C$27=TRUE,Inputs!$C$27="TRUE",Inputs!$C$27=1),1,0)*(Inputs!$C$51*(115*EXP(-(((0)-25)^2)/(4.5^2))+70*EXP(-(((0)+38)^2)/(7^2))*(0.55+0.45*SIN(2*PI()*(Scenario_Data!U217)/45))+24*SIN(2*PI()*(0)/9+(Scenario_Data!U217)/18)*EXP(-(((0)+5)^2)/(22^2))+18*SIN(2*PI()*(Scenario_Data!U217)/70))+Inputs!$C$28*EXP(-(((Scenario_Data!U217)-Inputs!$C$29)^2)/(2*Inputs!$C$31^2))*EXP(-(((0)-Inputs!$C$30)^2)/(2*Inputs!$C$32^2))+-Inputs!$C$33*EXP(-(((((Scenario_Data!U217)-Inputs!$C$34)^2)+(((0)-Inputs!$C$35)^2))/(2*Inputs!$C$36^2)))+Inputs!$C$37*(0.55*SIN(2*PI()*(Scenario_Data!U217)/Inputs!$C$39)+0.35*COS(2*PI()*(0)/Inputs!$C$40)+0.2*SIN(2*PI()*((Scenario_Data!U217)+(0))/(0.5*(Inputs!$C$39+Inputs!$C$40))))+Inputs!$C$38*SIN(2*PI()*(Scenario_Data!U217)/Inputs!$C$39)*SIN(2*PI()*(0)/Inputs!$C$40)+-Inputs!$C$41*EXP(-(((0)-Inputs!$C$43)^2)/(2*Inputs!$C$44^2))*EXP(-(((Scenario_Data!U217)-Inputs!$C$42)^2)/(2*Inputs!$C$45^2))+Inputs!$C$48*(0.7*(0.45*SIN(2*PI()*(((Scenario_Data!U217)/Inputs!$C$49)+Inputs!$C$47*0.137))+0.35*COS(2*PI()*(((0)/Inputs!$C$50)+Inputs!$C$47*0.173))+0.2*SIN(2*PI()*((((Scenario_Data!U217)+(0))/(0.5*(Inputs!$C$49+Inputs!$C$50)))+Inputs!$C$47*0.097)))+0.3*(2*((SIN(((Scenario_Data!U217)*12.9898+(0)*78.233+Inputs!$C$47*37.719))*43758.5453)-INT((SIN(((Scenario_Data!U217)*12.9898+(0)*78.233+Inputs!$C$47*37.719))*43758.5453)))-1)))))/Inputs!$C$21*1000000</f>
        <v/>
      </c>
      <c r="AB217">
        <f>Scenario_Data!V217</f>
        <v/>
      </c>
      <c r="AC217">
        <f>2*((Scenario_Data!D217*1000)-(IF(OR(Inputs!$C$27=TRUE,Inputs!$C$27="TRUE",Inputs!$C$27=1),1,0)*(Inputs!$C$51*(115*EXP(-(((0)-25)^2)/(4.5^2))+70*EXP(-(((0)+38)^2)/(7^2))*(0.55+0.45*SIN(2*PI()*(Scenario_Data!V217)/45))+24*SIN(2*PI()*(0)/9+(Scenario_Data!V217)/18)*EXP(-(((0)+5)^2)/(22^2))+18*SIN(2*PI()*(Scenario_Data!V217)/70))+Inputs!$C$28*EXP(-(((Scenario_Data!V217)-Inputs!$C$29)^2)/(2*Inputs!$C$31^2))*EXP(-(((0)-Inputs!$C$30)^2)/(2*Inputs!$C$32^2))+-Inputs!$C$33*EXP(-(((((Scenario_Data!V217)-Inputs!$C$34)^2)+(((0)-Inputs!$C$35)^2))/(2*Inputs!$C$36^2)))+Inputs!$C$37*(0.55*SIN(2*PI()*(Scenario_Data!V217)/Inputs!$C$39)+0.35*COS(2*PI()*(0)/Inputs!$C$40)+0.2*SIN(2*PI()*((Scenario_Data!V217)+(0))/(0.5*(Inputs!$C$39+Inputs!$C$40))))+Inputs!$C$38*SIN(2*PI()*(Scenario_Data!V217)/Inputs!$C$39)*SIN(2*PI()*(0)/Inputs!$C$40)+-Inputs!$C$41*EXP(-(((0)-Inputs!$C$43)^2)/(2*Inputs!$C$44^2))*EXP(-(((Scenario_Data!V217)-Inputs!$C$42)^2)/(2*Inputs!$C$45^2))+Inputs!$C$48*(0.7*(0.45*SIN(2*PI()*(((Scenario_Data!V217)/Inputs!$C$49)+Inputs!$C$47*0.137))+0.35*COS(2*PI()*(((0)/Inputs!$C$50)+Inputs!$C$47*0.173))+0.2*SIN(2*PI()*((((Scenario_Data!V217)+(0))/(0.5*(Inputs!$C$49+Inputs!$C$50)))+Inputs!$C$47*0.097)))+0.3*(2*((SIN(((Scenario_Data!V217)*12.9898+(0)*78.233+Inputs!$C$47*37.719))*43758.5453)-INT((SIN(((Scenario_Data!V217)*12.9898+(0)*78.233+Inputs!$C$47*37.719))*43758.5453)))-1)))))/Inputs!$C$21*1000000</f>
        <v/>
      </c>
      <c r="AD217">
        <f>Scenario_Data!W217</f>
        <v/>
      </c>
      <c r="AE217">
        <f>2*((Scenario_Data!E217*1000)-(IF(OR(Inputs!$C$27=TRUE,Inputs!$C$27="TRUE",Inputs!$C$27=1),1,0)*(Inputs!$C$51*(115*EXP(-(((0)-25)^2)/(4.5^2))+70*EXP(-(((0)+38)^2)/(7^2))*(0.55+0.45*SIN(2*PI()*(Scenario_Data!W217)/45))+24*SIN(2*PI()*(0)/9+(Scenario_Data!W217)/18)*EXP(-(((0)+5)^2)/(22^2))+18*SIN(2*PI()*(Scenario_Data!W217)/70))+Inputs!$C$28*EXP(-(((Scenario_Data!W217)-Inputs!$C$29)^2)/(2*Inputs!$C$31^2))*EXP(-(((0)-Inputs!$C$30)^2)/(2*Inputs!$C$32^2))+-Inputs!$C$33*EXP(-(((((Scenario_Data!W217)-Inputs!$C$34)^2)+(((0)-Inputs!$C$35)^2))/(2*Inputs!$C$36^2)))+Inputs!$C$37*(0.55*SIN(2*PI()*(Scenario_Data!W217)/Inputs!$C$39)+0.35*COS(2*PI()*(0)/Inputs!$C$40)+0.2*SIN(2*PI()*((Scenario_Data!W217)+(0))/(0.5*(Inputs!$C$39+Inputs!$C$40))))+Inputs!$C$38*SIN(2*PI()*(Scenario_Data!W217)/Inputs!$C$39)*SIN(2*PI()*(0)/Inputs!$C$40)+-Inputs!$C$41*EXP(-(((0)-Inputs!$C$43)^2)/(2*Inputs!$C$44^2))*EXP(-(((Scenario_Data!W217)-Inputs!$C$42)^2)/(2*Inputs!$C$45^2))+Inputs!$C$48*(0.7*(0.45*SIN(2*PI()*(((Scenario_Data!W217)/Inputs!$C$49)+Inputs!$C$47*0.137))+0.35*COS(2*PI()*(((0)/Inputs!$C$50)+Inputs!$C$47*0.173))+0.2*SIN(2*PI()*((((Scenario_Data!W217)+(0))/(0.5*(Inputs!$C$49+Inputs!$C$50)))+Inputs!$C$47*0.097)))+0.3*(2*((SIN(((Scenario_Data!W217)*12.9898+(0)*78.233+Inputs!$C$47*37.719))*43758.5453)-INT((SIN(((Scenario_Data!W217)*12.9898+(0)*78.233+Inputs!$C$47*37.719))*43758.5453)))-1)))))/Inputs!$C$21*1000000</f>
        <v/>
      </c>
      <c r="AG217">
        <f>Scenario_Data!T217</f>
        <v/>
      </c>
      <c r="AH217">
        <f>2*(SQRT((Inputs!$C$52+(Scenario_Data!B217))^2+Inputs!$C$52^2-2*(Inputs!$C$52+(Scenario_Data!B217))*Inputs!$C$52*COS(SQRT((Scenario_Data!T217)^2+Inputs!$C$6^2)/Inputs!$C$52))*1000)/Inputs!$C$21*1000000</f>
        <v/>
      </c>
      <c r="AI217">
        <f>Scenario_Data!U217</f>
        <v/>
      </c>
      <c r="AJ217">
        <f>2*(SQRT((Inputs!$C$52+(Scenario_Data!C217))^2+Inputs!$C$52^2-2*(Inputs!$C$52+(Scenario_Data!C217))*Inputs!$C$52*COS(SQRT((Scenario_Data!U217)^2+Inputs!$C$6^2)/Inputs!$C$52))*1000)/Inputs!$C$21*1000000</f>
        <v/>
      </c>
      <c r="AK217">
        <f>Scenario_Data!V217</f>
        <v/>
      </c>
      <c r="AL217">
        <f>2*(SQRT((Inputs!$C$52+(Scenario_Data!D217))^2+Inputs!$C$52^2-2*(Inputs!$C$52+(Scenario_Data!D217))*Inputs!$C$52*COS(SQRT((Scenario_Data!V217)^2+Inputs!$C$6^2)/Inputs!$C$52))*1000)/Inputs!$C$21*1000000</f>
        <v/>
      </c>
      <c r="AM217">
        <f>Scenario_Data!W217</f>
        <v/>
      </c>
      <c r="AN217">
        <f>2*(SQRT((Inputs!$C$52+(Scenario_Data!E217))^2+Inputs!$C$52^2-2*(Inputs!$C$52+(Scenario_Data!E217))*Inputs!$C$52*COS(SQRT((Scenario_Data!W217)^2+Inputs!$C$6^2)/Inputs!$C$52))*1000)/Inputs!$C$21*1000000</f>
        <v/>
      </c>
      <c r="AP217">
        <f>Scenario_Data!T217</f>
        <v/>
      </c>
      <c r="AQ217">
        <f>2*(SQRT((Inputs!$C$52+(Scenario_Data!B217))^2+(Inputs!$C$52+((IF(OR(Inputs!$C$27=TRUE,Inputs!$C$27="TRUE",Inputs!$C$27=1),1,0)*(Inputs!$C$51*(115*EXP(-(((Inputs!$C$6)-25)^2)/(4.5^2))+70*EXP(-(((Inputs!$C$6)+38)^2)/(7^2))*(0.55+0.45*SIN(2*PI()*(Scenario_Data!T217)/45))+24*SIN(2*PI()*(Inputs!$C$6)/9+(Scenario_Data!T217)/18)*EXP(-(((Inputs!$C$6)+5)^2)/(22^2))+18*SIN(2*PI()*(Scenario_Data!T217)/70))+Inputs!$C$28*EXP(-(((Scenario_Data!T217)-Inputs!$C$29)^2)/(2*Inputs!$C$31^2))*EXP(-(((Inputs!$C$6)-Inputs!$C$30)^2)/(2*Inputs!$C$32^2))+-Inputs!$C$33*EXP(-(((((Scenario_Data!T217)-Inputs!$C$34)^2)+(((Inputs!$C$6)-Inputs!$C$35)^2))/(2*Inputs!$C$36^2)))+Inputs!$C$37*(0.55*SIN(2*PI()*(Scenario_Data!T217)/Inputs!$C$39)+0.35*COS(2*PI()*(Inputs!$C$6)/Inputs!$C$40)+0.2*SIN(2*PI()*((Scenario_Data!T217)+(Inputs!$C$6))/(0.5*(Inputs!$C$39+Inputs!$C$40))))+Inputs!$C$38*SIN(2*PI()*(Scenario_Data!T217)/Inputs!$C$39)*SIN(2*PI()*(Inputs!$C$6)/Inputs!$C$40)+-Inputs!$C$41*EXP(-(((Inputs!$C$6)-Inputs!$C$43)^2)/(2*Inputs!$C$44^2))*EXP(-(((Scenario_Data!T217)-Inputs!$C$42)^2)/(2*Inputs!$C$45^2))+Inputs!$C$48*(0.7*(0.45*SIN(2*PI()*(((Scenario_Data!T217)/Inputs!$C$49)+Inputs!$C$47*0.137))+0.35*COS(2*PI()*(((Inputs!$C$6)/Inputs!$C$50)+Inputs!$C$47*0.173))+0.2*SIN(2*PI()*((((Scenario_Data!T217)+(Inputs!$C$6))/(0.5*(Inputs!$C$49+Inputs!$C$50)))+Inputs!$C$47*0.097)))+0.3*(2*((SIN(((Scenario_Data!T217)*12.9898+(Inputs!$C$6)*78.233+Inputs!$C$47*37.719))*43758.5453)-INT((SIN(((Scenario_Data!T217)*12.9898+(Inputs!$C$6)*78.233+Inputs!$C$47*37.719))*43758.5453)))-1))))/1000))^2-2*(Inputs!$C$52+(Scenario_Data!B217))*(Inputs!$C$52+((IF(OR(Inputs!$C$27=TRUE,Inputs!$C$27="TRUE",Inputs!$C$27=1),1,0)*(Inputs!$C$51*(115*EXP(-(((Inputs!$C$6)-25)^2)/(4.5^2))+70*EXP(-(((Inputs!$C$6)+38)^2)/(7^2))*(0.55+0.45*SIN(2*PI()*(Scenario_Data!T217)/45))+24*SIN(2*PI()*(Inputs!$C$6)/9+(Scenario_Data!T217)/18)*EXP(-(((Inputs!$C$6)+5)^2)/(22^2))+18*SIN(2*PI()*(Scenario_Data!T217)/70))+Inputs!$C$28*EXP(-(((Scenario_Data!T217)-Inputs!$C$29)^2)/(2*Inputs!$C$31^2))*EXP(-(((Inputs!$C$6)-Inputs!$C$30)^2)/(2*Inputs!$C$32^2))+-Inputs!$C$33*EXP(-(((((Scenario_Data!T217)-Inputs!$C$34)^2)+(((Inputs!$C$6)-Inputs!$C$35)^2))/(2*Inputs!$C$36^2)))+Inputs!$C$37*(0.55*SIN(2*PI()*(Scenario_Data!T217)/Inputs!$C$39)+0.35*COS(2*PI()*(Inputs!$C$6)/Inputs!$C$40)+0.2*SIN(2*PI()*((Scenario_Data!T217)+(Inputs!$C$6))/(0.5*(Inputs!$C$39+Inputs!$C$40))))+Inputs!$C$38*SIN(2*PI()*(Scenario_Data!T217)/Inputs!$C$39)*SIN(2*PI()*(Inputs!$C$6)/Inputs!$C$40)+-Inputs!$C$41*EXP(-(((Inputs!$C$6)-Inputs!$C$43)^2)/(2*Inputs!$C$44^2))*EXP(-(((Scenario_Data!T217)-Inputs!$C$42)^2)/(2*Inputs!$C$45^2))+Inputs!$C$48*(0.7*(0.45*SIN(2*PI()*(((Scenario_Data!T217)/Inputs!$C$49)+Inputs!$C$47*0.137))+0.35*COS(2*PI()*(((Inputs!$C$6)/Inputs!$C$50)+Inputs!$C$47*0.173))+0.2*SIN(2*PI()*((((Scenario_Data!T217)+(Inputs!$C$6))/(0.5*(Inputs!$C$49+Inputs!$C$50)))+Inputs!$C$47*0.097)))+0.3*(2*((SIN(((Scenario_Data!T217)*12.9898+(Inputs!$C$6)*78.233+Inputs!$C$47*37.719))*43758.5453)-INT((SIN(((Scenario_Data!T217)*12.9898+(Inputs!$C$6)*78.233+Inputs!$C$47*37.719))*43758.5453)))-1))))/1000))*COS(SQRT((Scenario_Data!T217)^2+Inputs!$C$6^2)/Inputs!$C$52))*1000)/Inputs!$C$21*1000000</f>
        <v/>
      </c>
      <c r="AR217">
        <f>Scenario_Data!U217</f>
        <v/>
      </c>
      <c r="AS217">
        <f>2*(SQRT((Inputs!$C$52+(Scenario_Data!C217))^2+(Inputs!$C$52+((IF(OR(Inputs!$C$27=TRUE,Inputs!$C$27="TRUE",Inputs!$C$27=1),1,0)*(Inputs!$C$51*(115*EXP(-(((Inputs!$C$6)-25)^2)/(4.5^2))+70*EXP(-(((Inputs!$C$6)+38)^2)/(7^2))*(0.55+0.45*SIN(2*PI()*(Scenario_Data!U217)/45))+24*SIN(2*PI()*(Inputs!$C$6)/9+(Scenario_Data!U217)/18)*EXP(-(((Inputs!$C$6)+5)^2)/(22^2))+18*SIN(2*PI()*(Scenario_Data!U217)/70))+Inputs!$C$28*EXP(-(((Scenario_Data!U217)-Inputs!$C$29)^2)/(2*Inputs!$C$31^2))*EXP(-(((Inputs!$C$6)-Inputs!$C$30)^2)/(2*Inputs!$C$32^2))+-Inputs!$C$33*EXP(-(((((Scenario_Data!U217)-Inputs!$C$34)^2)+(((Inputs!$C$6)-Inputs!$C$35)^2))/(2*Inputs!$C$36^2)))+Inputs!$C$37*(0.55*SIN(2*PI()*(Scenario_Data!U217)/Inputs!$C$39)+0.35*COS(2*PI()*(Inputs!$C$6)/Inputs!$C$40)+0.2*SIN(2*PI()*((Scenario_Data!U217)+(Inputs!$C$6))/(0.5*(Inputs!$C$39+Inputs!$C$40))))+Inputs!$C$38*SIN(2*PI()*(Scenario_Data!U217)/Inputs!$C$39)*SIN(2*PI()*(Inputs!$C$6)/Inputs!$C$40)+-Inputs!$C$41*EXP(-(((Inputs!$C$6)-Inputs!$C$43)^2)/(2*Inputs!$C$44^2))*EXP(-(((Scenario_Data!U217)-Inputs!$C$42)^2)/(2*Inputs!$C$45^2))+Inputs!$C$48*(0.7*(0.45*SIN(2*PI()*(((Scenario_Data!U217)/Inputs!$C$49)+Inputs!$C$47*0.137))+0.35*COS(2*PI()*(((Inputs!$C$6)/Inputs!$C$50)+Inputs!$C$47*0.173))+0.2*SIN(2*PI()*((((Scenario_Data!U217)+(Inputs!$C$6))/(0.5*(Inputs!$C$49+Inputs!$C$50)))+Inputs!$C$47*0.097)))+0.3*(2*((SIN(((Scenario_Data!U217)*12.9898+(Inputs!$C$6)*78.233+Inputs!$C$47*37.719))*43758.5453)-INT((SIN(((Scenario_Data!U217)*12.9898+(Inputs!$C$6)*78.233+Inputs!$C$47*37.719))*43758.5453)))-1))))/1000))^2-2*(Inputs!$C$52+(Scenario_Data!C217))*(Inputs!$C$52+((IF(OR(Inputs!$C$27=TRUE,Inputs!$C$27="TRUE",Inputs!$C$27=1),1,0)*(Inputs!$C$51*(115*EXP(-(((Inputs!$C$6)-25)^2)/(4.5^2))+70*EXP(-(((Inputs!$C$6)+38)^2)/(7^2))*(0.55+0.45*SIN(2*PI()*(Scenario_Data!U217)/45))+24*SIN(2*PI()*(Inputs!$C$6)/9+(Scenario_Data!U217)/18)*EXP(-(((Inputs!$C$6)+5)^2)/(22^2))+18*SIN(2*PI()*(Scenario_Data!U217)/70))+Inputs!$C$28*EXP(-(((Scenario_Data!U217)-Inputs!$C$29)^2)/(2*Inputs!$C$31^2))*EXP(-(((Inputs!$C$6)-Inputs!$C$30)^2)/(2*Inputs!$C$32^2))+-Inputs!$C$33*EXP(-(((((Scenario_Data!U217)-Inputs!$C$34)^2)+(((Inputs!$C$6)-Inputs!$C$35)^2))/(2*Inputs!$C$36^2)))+Inputs!$C$37*(0.55*SIN(2*PI()*(Scenario_Data!U217)/Inputs!$C$39)+0.35*COS(2*PI()*(Inputs!$C$6)/Inputs!$C$40)+0.2*SIN(2*PI()*((Scenario_Data!U217)+(Inputs!$C$6))/(0.5*(Inputs!$C$39+Inputs!$C$40))))+Inputs!$C$38*SIN(2*PI()*(Scenario_Data!U217)/Inputs!$C$39)*SIN(2*PI()*(Inputs!$C$6)/Inputs!$C$40)+-Inputs!$C$41*EXP(-(((Inputs!$C$6)-Inputs!$C$43)^2)/(2*Inputs!$C$44^2))*EXP(-(((Scenario_Data!U217)-Inputs!$C$42)^2)/(2*Inputs!$C$45^2))+Inputs!$C$48*(0.7*(0.45*SIN(2*PI()*(((Scenario_Data!U217)/Inputs!$C$49)+Inputs!$C$47*0.137))+0.35*COS(2*PI()*(((Inputs!$C$6)/Inputs!$C$50)+Inputs!$C$47*0.173))+0.2*SIN(2*PI()*((((Scenario_Data!U217)+(Inputs!$C$6))/(0.5*(Inputs!$C$49+Inputs!$C$50)))+Inputs!$C$47*0.097)))+0.3*(2*((SIN(((Scenario_Data!U217)*12.9898+(Inputs!$C$6)*78.233+Inputs!$C$47*37.719))*43758.5453)-INT((SIN(((Scenario_Data!U217)*12.9898+(Inputs!$C$6)*78.233+Inputs!$C$47*37.719))*43758.5453)))-1))))/1000))*COS(SQRT((Scenario_Data!U217)^2+Inputs!$C$6^2)/Inputs!$C$52))*1000)/Inputs!$C$21*1000000</f>
        <v/>
      </c>
      <c r="AT217">
        <f>Scenario_Data!V217</f>
        <v/>
      </c>
      <c r="AU217">
        <f>2*(SQRT((Inputs!$C$52+(Scenario_Data!D217))^2+(Inputs!$C$52+((IF(OR(Inputs!$C$27=TRUE,Inputs!$C$27="TRUE",Inputs!$C$27=1),1,0)*(Inputs!$C$51*(115*EXP(-(((Inputs!$C$6)-25)^2)/(4.5^2))+70*EXP(-(((Inputs!$C$6)+38)^2)/(7^2))*(0.55+0.45*SIN(2*PI()*(Scenario_Data!V217)/45))+24*SIN(2*PI()*(Inputs!$C$6)/9+(Scenario_Data!V217)/18)*EXP(-(((Inputs!$C$6)+5)^2)/(22^2))+18*SIN(2*PI()*(Scenario_Data!V217)/70))+Inputs!$C$28*EXP(-(((Scenario_Data!V217)-Inputs!$C$29)^2)/(2*Inputs!$C$31^2))*EXP(-(((Inputs!$C$6)-Inputs!$C$30)^2)/(2*Inputs!$C$32^2))+-Inputs!$C$33*EXP(-(((((Scenario_Data!V217)-Inputs!$C$34)^2)+(((Inputs!$C$6)-Inputs!$C$35)^2))/(2*Inputs!$C$36^2)))+Inputs!$C$37*(0.55*SIN(2*PI()*(Scenario_Data!V217)/Inputs!$C$39)+0.35*COS(2*PI()*(Inputs!$C$6)/Inputs!$C$40)+0.2*SIN(2*PI()*((Scenario_Data!V217)+(Inputs!$C$6))/(0.5*(Inputs!$C$39+Inputs!$C$40))))+Inputs!$C$38*SIN(2*PI()*(Scenario_Data!V217)/Inputs!$C$39)*SIN(2*PI()*(Inputs!$C$6)/Inputs!$C$40)+-Inputs!$C$41*EXP(-(((Inputs!$C$6)-Inputs!$C$43)^2)/(2*Inputs!$C$44^2))*EXP(-(((Scenario_Data!V217)-Inputs!$C$42)^2)/(2*Inputs!$C$45^2))+Inputs!$C$48*(0.7*(0.45*SIN(2*PI()*(((Scenario_Data!V217)/Inputs!$C$49)+Inputs!$C$47*0.137))+0.35*COS(2*PI()*(((Inputs!$C$6)/Inputs!$C$50)+Inputs!$C$47*0.173))+0.2*SIN(2*PI()*((((Scenario_Data!V217)+(Inputs!$C$6))/(0.5*(Inputs!$C$49+Inputs!$C$50)))+Inputs!$C$47*0.097)))+0.3*(2*((SIN(((Scenario_Data!V217)*12.9898+(Inputs!$C$6)*78.233+Inputs!$C$47*37.719))*43758.5453)-INT((SIN(((Scenario_Data!V217)*12.9898+(Inputs!$C$6)*78.233+Inputs!$C$47*37.719))*43758.5453)))-1))))/1000))^2-2*(Inputs!$C$52+(Scenario_Data!D217))*(Inputs!$C$52+((IF(OR(Inputs!$C$27=TRUE,Inputs!$C$27="TRUE",Inputs!$C$27=1),1,0)*(Inputs!$C$51*(115*EXP(-(((Inputs!$C$6)-25)^2)/(4.5^2))+70*EXP(-(((Inputs!$C$6)+38)^2)/(7^2))*(0.55+0.45*SIN(2*PI()*(Scenario_Data!V217)/45))+24*SIN(2*PI()*(Inputs!$C$6)/9+(Scenario_Data!V217)/18)*EXP(-(((Inputs!$C$6)+5)^2)/(22^2))+18*SIN(2*PI()*(Scenario_Data!V217)/70))+Inputs!$C$28*EXP(-(((Scenario_Data!V217)-Inputs!$C$29)^2)/(2*Inputs!$C$31^2))*EXP(-(((Inputs!$C$6)-Inputs!$C$30)^2)/(2*Inputs!$C$32^2))+-Inputs!$C$33*EXP(-(((((Scenario_Data!V217)-Inputs!$C$34)^2)+(((Inputs!$C$6)-Inputs!$C$35)^2))/(2*Inputs!$C$36^2)))+Inputs!$C$37*(0.55*SIN(2*PI()*(Scenario_Data!V217)/Inputs!$C$39)+0.35*COS(2*PI()*(Inputs!$C$6)/Inputs!$C$40)+0.2*SIN(2*PI()*((Scenario_Data!V217)+(Inputs!$C$6))/(0.5*(Inputs!$C$39+Inputs!$C$40))))+Inputs!$C$38*SIN(2*PI()*(Scenario_Data!V217)/Inputs!$C$39)*SIN(2*PI()*(Inputs!$C$6)/Inputs!$C$40)+-Inputs!$C$41*EXP(-(((Inputs!$C$6)-Inputs!$C$43)^2)/(2*Inputs!$C$44^2))*EXP(-(((Scenario_Data!V217)-Inputs!$C$42)^2)/(2*Inputs!$C$45^2))+Inputs!$C$48*(0.7*(0.45*SIN(2*PI()*(((Scenario_Data!V217)/Inputs!$C$49)+Inputs!$C$47*0.137))+0.35*COS(2*PI()*(((Inputs!$C$6)/Inputs!$C$50)+Inputs!$C$47*0.173))+0.2*SIN(2*PI()*((((Scenario_Data!V217)+(Inputs!$C$6))/(0.5*(Inputs!$C$49+Inputs!$C$50)))+Inputs!$C$47*0.097)))+0.3*(2*((SIN(((Scenario_Data!V217)*12.9898+(Inputs!$C$6)*78.233+Inputs!$C$47*37.719))*43758.5453)-INT((SIN(((Scenario_Data!V217)*12.9898+(Inputs!$C$6)*78.233+Inputs!$C$47*37.719))*43758.5453)))-1))))/1000))*COS(SQRT((Scenario_Data!V217)^2+Inputs!$C$6^2)/Inputs!$C$52))*1000)/Inputs!$C$21*1000000</f>
        <v/>
      </c>
      <c r="AV217">
        <f>Scenario_Data!W217</f>
        <v/>
      </c>
      <c r="AW217">
        <f>2*(SQRT((Inputs!$C$52+(Scenario_Data!E217))^2+(Inputs!$C$52+((IF(OR(Inputs!$C$27=TRUE,Inputs!$C$27="TRUE",Inputs!$C$27=1),1,0)*(Inputs!$C$51*(115*EXP(-(((Inputs!$C$6)-25)^2)/(4.5^2))+70*EXP(-(((Inputs!$C$6)+38)^2)/(7^2))*(0.55+0.45*SIN(2*PI()*(Scenario_Data!W217)/45))+24*SIN(2*PI()*(Inputs!$C$6)/9+(Scenario_Data!W217)/18)*EXP(-(((Inputs!$C$6)+5)^2)/(22^2))+18*SIN(2*PI()*(Scenario_Data!W217)/70))+Inputs!$C$28*EXP(-(((Scenario_Data!W217)-Inputs!$C$29)^2)/(2*Inputs!$C$31^2))*EXP(-(((Inputs!$C$6)-Inputs!$C$30)^2)/(2*Inputs!$C$32^2))+-Inputs!$C$33*EXP(-(((((Scenario_Data!W217)-Inputs!$C$34)^2)+(((Inputs!$C$6)-Inputs!$C$35)^2))/(2*Inputs!$C$36^2)))+Inputs!$C$37*(0.55*SIN(2*PI()*(Scenario_Data!W217)/Inputs!$C$39)+0.35*COS(2*PI()*(Inputs!$C$6)/Inputs!$C$40)+0.2*SIN(2*PI()*((Scenario_Data!W217)+(Inputs!$C$6))/(0.5*(Inputs!$C$39+Inputs!$C$40))))+Inputs!$C$38*SIN(2*PI()*(Scenario_Data!W217)/Inputs!$C$39)*SIN(2*PI()*(Inputs!$C$6)/Inputs!$C$40)+-Inputs!$C$41*EXP(-(((Inputs!$C$6)-Inputs!$C$43)^2)/(2*Inputs!$C$44^2))*EXP(-(((Scenario_Data!W217)-Inputs!$C$42)^2)/(2*Inputs!$C$45^2))+Inputs!$C$48*(0.7*(0.45*SIN(2*PI()*(((Scenario_Data!W217)/Inputs!$C$49)+Inputs!$C$47*0.137))+0.35*COS(2*PI()*(((Inputs!$C$6)/Inputs!$C$50)+Inputs!$C$47*0.173))+0.2*SIN(2*PI()*((((Scenario_Data!W217)+(Inputs!$C$6))/(0.5*(Inputs!$C$49+Inputs!$C$50)))+Inputs!$C$47*0.097)))+0.3*(2*((SIN(((Scenario_Data!W217)*12.9898+(Inputs!$C$6)*78.233+Inputs!$C$47*37.719))*43758.5453)-INT((SIN(((Scenario_Data!W217)*12.9898+(Inputs!$C$6)*78.233+Inputs!$C$47*37.719))*43758.5453)))-1))))/1000))^2-2*(Inputs!$C$52+(Scenario_Data!E217))*(Inputs!$C$52+((IF(OR(Inputs!$C$27=TRUE,Inputs!$C$27="TRUE",Inputs!$C$27=1),1,0)*(Inputs!$C$51*(115*EXP(-(((Inputs!$C$6)-25)^2)/(4.5^2))+70*EXP(-(((Inputs!$C$6)+38)^2)/(7^2))*(0.55+0.45*SIN(2*PI()*(Scenario_Data!W217)/45))+24*SIN(2*PI()*(Inputs!$C$6)/9+(Scenario_Data!W217)/18)*EXP(-(((Inputs!$C$6)+5)^2)/(22^2))+18*SIN(2*PI()*(Scenario_Data!W217)/70))+Inputs!$C$28*EXP(-(((Scenario_Data!W217)-Inputs!$C$29)^2)/(2*Inputs!$C$31^2))*EXP(-(((Inputs!$C$6)-Inputs!$C$30)^2)/(2*Inputs!$C$32^2))+-Inputs!$C$33*EXP(-(((((Scenario_Data!W217)-Inputs!$C$34)^2)+(((Inputs!$C$6)-Inputs!$C$35)^2))/(2*Inputs!$C$36^2)))+Inputs!$C$37*(0.55*SIN(2*PI()*(Scenario_Data!W217)/Inputs!$C$39)+0.35*COS(2*PI()*(Inputs!$C$6)/Inputs!$C$40)+0.2*SIN(2*PI()*((Scenario_Data!W217)+(Inputs!$C$6))/(0.5*(Inputs!$C$39+Inputs!$C$40))))+Inputs!$C$38*SIN(2*PI()*(Scenario_Data!W217)/Inputs!$C$39)*SIN(2*PI()*(Inputs!$C$6)/Inputs!$C$40)+-Inputs!$C$41*EXP(-(((Inputs!$C$6)-Inputs!$C$43)^2)/(2*Inputs!$C$44^2))*EXP(-(((Scenario_Data!W217)-Inputs!$C$42)^2)/(2*Inputs!$C$45^2))+Inputs!$C$48*(0.7*(0.45*SIN(2*PI()*(((Scenario_Data!W217)/Inputs!$C$49)+Inputs!$C$47*0.137))+0.35*COS(2*PI()*(((Inputs!$C$6)/Inputs!$C$50)+Inputs!$C$47*0.173))+0.2*SIN(2*PI()*((((Scenario_Data!W217)+(Inputs!$C$6))/(0.5*(Inputs!$C$49+Inputs!$C$50)))+Inputs!$C$47*0.097)))+0.3*(2*((SIN(((Scenario_Data!W217)*12.9898+(Inputs!$C$6)*78.233+Inputs!$C$47*37.719))*43758.5453)-INT((SIN(((Scenario_Data!W217)*12.9898+(Inputs!$C$6)*78.233+Inputs!$C$47*37.719))*43758.5453)))-1))))/1000))*COS(SQRT((Scenario_Data!W217)^2+Inputs!$C$6^2)/Inputs!$C$52))*1000)/Inputs!$C$21*1000000</f>
        <v/>
      </c>
    </row>
    <row r="218">
      <c r="A218">
        <f>Chart_Data!K218</f>
        <v/>
      </c>
      <c r="B218">
        <f>Chart_Data!N218-Chart_Data!L218</f>
        <v/>
      </c>
      <c r="D218">
        <f>Chart_Data!G218</f>
        <v/>
      </c>
      <c r="E218">
        <f>Chart_Data!H218</f>
        <v/>
      </c>
      <c r="F218">
        <f>Chart_Data!I218</f>
        <v/>
      </c>
      <c r="G218">
        <f>Chart_Data!J218</f>
        <v/>
      </c>
      <c r="I218">
        <f>Scenario_Data!A218</f>
        <v/>
      </c>
      <c r="J218">
        <f>Scenario_Data!H218-(((SQRT((Inputs!$C$52+(Inputs!$H$6))^2+Inputs!$C$52^2-2*(Inputs!$C$52+(Inputs!$H$6))*Inputs!$C$52*COS(SQRT((Scenario_Data!T218)^2+Inputs!$C$6^2)/Inputs!$C$52)))-(Inputs!$H$6))*1000/Inputs!$C$12)</f>
        <v/>
      </c>
      <c r="K218">
        <f>Scenario_Data!I218-(((SQRT((Inputs!$C$52+(Inputs!$H$7))^2+Inputs!$C$52^2-2*(Inputs!$C$52+(Inputs!$H$7))*Inputs!$C$52*COS(SQRT((Scenario_Data!U218)^2+Inputs!$C$6^2)/Inputs!$C$52)))-(Inputs!$H$7))*1000/Inputs!$C$12)</f>
        <v/>
      </c>
      <c r="L218">
        <f>Scenario_Data!J218-(((SQRT((Inputs!$C$52+(Inputs!$H$8))^2+Inputs!$C$52^2-2*(Inputs!$C$52+(Inputs!$H$8))*Inputs!$C$52*COS(SQRT((Scenario_Data!V218)^2+Inputs!$C$6^2)/Inputs!$C$52)))-(Inputs!$H$8))*1000/Inputs!$C$12)</f>
        <v/>
      </c>
      <c r="M218">
        <f>Scenario_Data!K218-(((SQRT((Inputs!$C$52+(Inputs!$H$9))^2+Inputs!$C$52^2-2*(Inputs!$C$52+(Inputs!$H$9))*Inputs!$C$52*COS(SQRT((Scenario_Data!W218)^2+Inputs!$C$6^2)/Inputs!$C$52)))-(Inputs!$H$9))*1000/Inputs!$C$12)</f>
        <v/>
      </c>
      <c r="O218">
        <f>Scenario_Data!T218</f>
        <v/>
      </c>
      <c r="P218">
        <f>2*(Scenario_Data!B218*1000)/Inputs!$C$21*1000000</f>
        <v/>
      </c>
      <c r="Q218">
        <f>Scenario_Data!U218</f>
        <v/>
      </c>
      <c r="R218">
        <f>2*(Scenario_Data!C218*1000)/Inputs!$C$21*1000000</f>
        <v/>
      </c>
      <c r="S218">
        <f>Scenario_Data!V218</f>
        <v/>
      </c>
      <c r="T218">
        <f>2*(Scenario_Data!D218*1000)/Inputs!$C$21*1000000</f>
        <v/>
      </c>
      <c r="U218">
        <f>Scenario_Data!W218</f>
        <v/>
      </c>
      <c r="V218">
        <f>2*(Scenario_Data!E218*1000)/Inputs!$C$21*1000000</f>
        <v/>
      </c>
      <c r="X218">
        <f>Scenario_Data!T218</f>
        <v/>
      </c>
      <c r="Y218">
        <f>2*((Scenario_Data!B218*1000)-(IF(OR(Inputs!$C$27=TRUE,Inputs!$C$27="TRUE",Inputs!$C$27=1),1,0)*(Inputs!$C$51*(115*EXP(-(((0)-25)^2)/(4.5^2))+70*EXP(-(((0)+38)^2)/(7^2))*(0.55+0.45*SIN(2*PI()*(Scenario_Data!T218)/45))+24*SIN(2*PI()*(0)/9+(Scenario_Data!T218)/18)*EXP(-(((0)+5)^2)/(22^2))+18*SIN(2*PI()*(Scenario_Data!T218)/70))+Inputs!$C$28*EXP(-(((Scenario_Data!T218)-Inputs!$C$29)^2)/(2*Inputs!$C$31^2))*EXP(-(((0)-Inputs!$C$30)^2)/(2*Inputs!$C$32^2))+-Inputs!$C$33*EXP(-(((((Scenario_Data!T218)-Inputs!$C$34)^2)+(((0)-Inputs!$C$35)^2))/(2*Inputs!$C$36^2)))+Inputs!$C$37*(0.55*SIN(2*PI()*(Scenario_Data!T218)/Inputs!$C$39)+0.35*COS(2*PI()*(0)/Inputs!$C$40)+0.2*SIN(2*PI()*((Scenario_Data!T218)+(0))/(0.5*(Inputs!$C$39+Inputs!$C$40))))+Inputs!$C$38*SIN(2*PI()*(Scenario_Data!T218)/Inputs!$C$39)*SIN(2*PI()*(0)/Inputs!$C$40)+-Inputs!$C$41*EXP(-(((0)-Inputs!$C$43)^2)/(2*Inputs!$C$44^2))*EXP(-(((Scenario_Data!T218)-Inputs!$C$42)^2)/(2*Inputs!$C$45^2))+Inputs!$C$48*(0.7*(0.45*SIN(2*PI()*(((Scenario_Data!T218)/Inputs!$C$49)+Inputs!$C$47*0.137))+0.35*COS(2*PI()*(((0)/Inputs!$C$50)+Inputs!$C$47*0.173))+0.2*SIN(2*PI()*((((Scenario_Data!T218)+(0))/(0.5*(Inputs!$C$49+Inputs!$C$50)))+Inputs!$C$47*0.097)))+0.3*(2*((SIN(((Scenario_Data!T218)*12.9898+(0)*78.233+Inputs!$C$47*37.719))*43758.5453)-INT((SIN(((Scenario_Data!T218)*12.9898+(0)*78.233+Inputs!$C$47*37.719))*43758.5453)))-1)))))/Inputs!$C$21*1000000</f>
        <v/>
      </c>
      <c r="Z218">
        <f>Scenario_Data!U218</f>
        <v/>
      </c>
      <c r="AA218">
        <f>2*((Scenario_Data!C218*1000)-(IF(OR(Inputs!$C$27=TRUE,Inputs!$C$27="TRUE",Inputs!$C$27=1),1,0)*(Inputs!$C$51*(115*EXP(-(((0)-25)^2)/(4.5^2))+70*EXP(-(((0)+38)^2)/(7^2))*(0.55+0.45*SIN(2*PI()*(Scenario_Data!U218)/45))+24*SIN(2*PI()*(0)/9+(Scenario_Data!U218)/18)*EXP(-(((0)+5)^2)/(22^2))+18*SIN(2*PI()*(Scenario_Data!U218)/70))+Inputs!$C$28*EXP(-(((Scenario_Data!U218)-Inputs!$C$29)^2)/(2*Inputs!$C$31^2))*EXP(-(((0)-Inputs!$C$30)^2)/(2*Inputs!$C$32^2))+-Inputs!$C$33*EXP(-(((((Scenario_Data!U218)-Inputs!$C$34)^2)+(((0)-Inputs!$C$35)^2))/(2*Inputs!$C$36^2)))+Inputs!$C$37*(0.55*SIN(2*PI()*(Scenario_Data!U218)/Inputs!$C$39)+0.35*COS(2*PI()*(0)/Inputs!$C$40)+0.2*SIN(2*PI()*((Scenario_Data!U218)+(0))/(0.5*(Inputs!$C$39+Inputs!$C$40))))+Inputs!$C$38*SIN(2*PI()*(Scenario_Data!U218)/Inputs!$C$39)*SIN(2*PI()*(0)/Inputs!$C$40)+-Inputs!$C$41*EXP(-(((0)-Inputs!$C$43)^2)/(2*Inputs!$C$44^2))*EXP(-(((Scenario_Data!U218)-Inputs!$C$42)^2)/(2*Inputs!$C$45^2))+Inputs!$C$48*(0.7*(0.45*SIN(2*PI()*(((Scenario_Data!U218)/Inputs!$C$49)+Inputs!$C$47*0.137))+0.35*COS(2*PI()*(((0)/Inputs!$C$50)+Inputs!$C$47*0.173))+0.2*SIN(2*PI()*((((Scenario_Data!U218)+(0))/(0.5*(Inputs!$C$49+Inputs!$C$50)))+Inputs!$C$47*0.097)))+0.3*(2*((SIN(((Scenario_Data!U218)*12.9898+(0)*78.233+Inputs!$C$47*37.719))*43758.5453)-INT((SIN(((Scenario_Data!U218)*12.9898+(0)*78.233+Inputs!$C$47*37.719))*43758.5453)))-1)))))/Inputs!$C$21*1000000</f>
        <v/>
      </c>
      <c r="AB218">
        <f>Scenario_Data!V218</f>
        <v/>
      </c>
      <c r="AC218">
        <f>2*((Scenario_Data!D218*1000)-(IF(OR(Inputs!$C$27=TRUE,Inputs!$C$27="TRUE",Inputs!$C$27=1),1,0)*(Inputs!$C$51*(115*EXP(-(((0)-25)^2)/(4.5^2))+70*EXP(-(((0)+38)^2)/(7^2))*(0.55+0.45*SIN(2*PI()*(Scenario_Data!V218)/45))+24*SIN(2*PI()*(0)/9+(Scenario_Data!V218)/18)*EXP(-(((0)+5)^2)/(22^2))+18*SIN(2*PI()*(Scenario_Data!V218)/70))+Inputs!$C$28*EXP(-(((Scenario_Data!V218)-Inputs!$C$29)^2)/(2*Inputs!$C$31^2))*EXP(-(((0)-Inputs!$C$30)^2)/(2*Inputs!$C$32^2))+-Inputs!$C$33*EXP(-(((((Scenario_Data!V218)-Inputs!$C$34)^2)+(((0)-Inputs!$C$35)^2))/(2*Inputs!$C$36^2)))+Inputs!$C$37*(0.55*SIN(2*PI()*(Scenario_Data!V218)/Inputs!$C$39)+0.35*COS(2*PI()*(0)/Inputs!$C$40)+0.2*SIN(2*PI()*((Scenario_Data!V218)+(0))/(0.5*(Inputs!$C$39+Inputs!$C$40))))+Inputs!$C$38*SIN(2*PI()*(Scenario_Data!V218)/Inputs!$C$39)*SIN(2*PI()*(0)/Inputs!$C$40)+-Inputs!$C$41*EXP(-(((0)-Inputs!$C$43)^2)/(2*Inputs!$C$44^2))*EXP(-(((Scenario_Data!V218)-Inputs!$C$42)^2)/(2*Inputs!$C$45^2))+Inputs!$C$48*(0.7*(0.45*SIN(2*PI()*(((Scenario_Data!V218)/Inputs!$C$49)+Inputs!$C$47*0.137))+0.35*COS(2*PI()*(((0)/Inputs!$C$50)+Inputs!$C$47*0.173))+0.2*SIN(2*PI()*((((Scenario_Data!V218)+(0))/(0.5*(Inputs!$C$49+Inputs!$C$50)))+Inputs!$C$47*0.097)))+0.3*(2*((SIN(((Scenario_Data!V218)*12.9898+(0)*78.233+Inputs!$C$47*37.719))*43758.5453)-INT((SIN(((Scenario_Data!V218)*12.9898+(0)*78.233+Inputs!$C$47*37.719))*43758.5453)))-1)))))/Inputs!$C$21*1000000</f>
        <v/>
      </c>
      <c r="AD218">
        <f>Scenario_Data!W218</f>
        <v/>
      </c>
      <c r="AE218">
        <f>2*((Scenario_Data!E218*1000)-(IF(OR(Inputs!$C$27=TRUE,Inputs!$C$27="TRUE",Inputs!$C$27=1),1,0)*(Inputs!$C$51*(115*EXP(-(((0)-25)^2)/(4.5^2))+70*EXP(-(((0)+38)^2)/(7^2))*(0.55+0.45*SIN(2*PI()*(Scenario_Data!W218)/45))+24*SIN(2*PI()*(0)/9+(Scenario_Data!W218)/18)*EXP(-(((0)+5)^2)/(22^2))+18*SIN(2*PI()*(Scenario_Data!W218)/70))+Inputs!$C$28*EXP(-(((Scenario_Data!W218)-Inputs!$C$29)^2)/(2*Inputs!$C$31^2))*EXP(-(((0)-Inputs!$C$30)^2)/(2*Inputs!$C$32^2))+-Inputs!$C$33*EXP(-(((((Scenario_Data!W218)-Inputs!$C$34)^2)+(((0)-Inputs!$C$35)^2))/(2*Inputs!$C$36^2)))+Inputs!$C$37*(0.55*SIN(2*PI()*(Scenario_Data!W218)/Inputs!$C$39)+0.35*COS(2*PI()*(0)/Inputs!$C$40)+0.2*SIN(2*PI()*((Scenario_Data!W218)+(0))/(0.5*(Inputs!$C$39+Inputs!$C$40))))+Inputs!$C$38*SIN(2*PI()*(Scenario_Data!W218)/Inputs!$C$39)*SIN(2*PI()*(0)/Inputs!$C$40)+-Inputs!$C$41*EXP(-(((0)-Inputs!$C$43)^2)/(2*Inputs!$C$44^2))*EXP(-(((Scenario_Data!W218)-Inputs!$C$42)^2)/(2*Inputs!$C$45^2))+Inputs!$C$48*(0.7*(0.45*SIN(2*PI()*(((Scenario_Data!W218)/Inputs!$C$49)+Inputs!$C$47*0.137))+0.35*COS(2*PI()*(((0)/Inputs!$C$50)+Inputs!$C$47*0.173))+0.2*SIN(2*PI()*((((Scenario_Data!W218)+(0))/(0.5*(Inputs!$C$49+Inputs!$C$50)))+Inputs!$C$47*0.097)))+0.3*(2*((SIN(((Scenario_Data!W218)*12.9898+(0)*78.233+Inputs!$C$47*37.719))*43758.5453)-INT((SIN(((Scenario_Data!W218)*12.9898+(0)*78.233+Inputs!$C$47*37.719))*43758.5453)))-1)))))/Inputs!$C$21*1000000</f>
        <v/>
      </c>
      <c r="AG218">
        <f>Scenario_Data!T218</f>
        <v/>
      </c>
      <c r="AH218">
        <f>2*(SQRT((Inputs!$C$52+(Scenario_Data!B218))^2+Inputs!$C$52^2-2*(Inputs!$C$52+(Scenario_Data!B218))*Inputs!$C$52*COS(SQRT((Scenario_Data!T218)^2+Inputs!$C$6^2)/Inputs!$C$52))*1000)/Inputs!$C$21*1000000</f>
        <v/>
      </c>
      <c r="AI218">
        <f>Scenario_Data!U218</f>
        <v/>
      </c>
      <c r="AJ218">
        <f>2*(SQRT((Inputs!$C$52+(Scenario_Data!C218))^2+Inputs!$C$52^2-2*(Inputs!$C$52+(Scenario_Data!C218))*Inputs!$C$52*COS(SQRT((Scenario_Data!U218)^2+Inputs!$C$6^2)/Inputs!$C$52))*1000)/Inputs!$C$21*1000000</f>
        <v/>
      </c>
      <c r="AK218">
        <f>Scenario_Data!V218</f>
        <v/>
      </c>
      <c r="AL218">
        <f>2*(SQRT((Inputs!$C$52+(Scenario_Data!D218))^2+Inputs!$C$52^2-2*(Inputs!$C$52+(Scenario_Data!D218))*Inputs!$C$52*COS(SQRT((Scenario_Data!V218)^2+Inputs!$C$6^2)/Inputs!$C$52))*1000)/Inputs!$C$21*1000000</f>
        <v/>
      </c>
      <c r="AM218">
        <f>Scenario_Data!W218</f>
        <v/>
      </c>
      <c r="AN218">
        <f>2*(SQRT((Inputs!$C$52+(Scenario_Data!E218))^2+Inputs!$C$52^2-2*(Inputs!$C$52+(Scenario_Data!E218))*Inputs!$C$52*COS(SQRT((Scenario_Data!W218)^2+Inputs!$C$6^2)/Inputs!$C$52))*1000)/Inputs!$C$21*1000000</f>
        <v/>
      </c>
      <c r="AP218">
        <f>Scenario_Data!T218</f>
        <v/>
      </c>
      <c r="AQ218">
        <f>2*(SQRT((Inputs!$C$52+(Scenario_Data!B218))^2+(Inputs!$C$52+((IF(OR(Inputs!$C$27=TRUE,Inputs!$C$27="TRUE",Inputs!$C$27=1),1,0)*(Inputs!$C$51*(115*EXP(-(((Inputs!$C$6)-25)^2)/(4.5^2))+70*EXP(-(((Inputs!$C$6)+38)^2)/(7^2))*(0.55+0.45*SIN(2*PI()*(Scenario_Data!T218)/45))+24*SIN(2*PI()*(Inputs!$C$6)/9+(Scenario_Data!T218)/18)*EXP(-(((Inputs!$C$6)+5)^2)/(22^2))+18*SIN(2*PI()*(Scenario_Data!T218)/70))+Inputs!$C$28*EXP(-(((Scenario_Data!T218)-Inputs!$C$29)^2)/(2*Inputs!$C$31^2))*EXP(-(((Inputs!$C$6)-Inputs!$C$30)^2)/(2*Inputs!$C$32^2))+-Inputs!$C$33*EXP(-(((((Scenario_Data!T218)-Inputs!$C$34)^2)+(((Inputs!$C$6)-Inputs!$C$35)^2))/(2*Inputs!$C$36^2)))+Inputs!$C$37*(0.55*SIN(2*PI()*(Scenario_Data!T218)/Inputs!$C$39)+0.35*COS(2*PI()*(Inputs!$C$6)/Inputs!$C$40)+0.2*SIN(2*PI()*((Scenario_Data!T218)+(Inputs!$C$6))/(0.5*(Inputs!$C$39+Inputs!$C$40))))+Inputs!$C$38*SIN(2*PI()*(Scenario_Data!T218)/Inputs!$C$39)*SIN(2*PI()*(Inputs!$C$6)/Inputs!$C$40)+-Inputs!$C$41*EXP(-(((Inputs!$C$6)-Inputs!$C$43)^2)/(2*Inputs!$C$44^2))*EXP(-(((Scenario_Data!T218)-Inputs!$C$42)^2)/(2*Inputs!$C$45^2))+Inputs!$C$48*(0.7*(0.45*SIN(2*PI()*(((Scenario_Data!T218)/Inputs!$C$49)+Inputs!$C$47*0.137))+0.35*COS(2*PI()*(((Inputs!$C$6)/Inputs!$C$50)+Inputs!$C$47*0.173))+0.2*SIN(2*PI()*((((Scenario_Data!T218)+(Inputs!$C$6))/(0.5*(Inputs!$C$49+Inputs!$C$50)))+Inputs!$C$47*0.097)))+0.3*(2*((SIN(((Scenario_Data!T218)*12.9898+(Inputs!$C$6)*78.233+Inputs!$C$47*37.719))*43758.5453)-INT((SIN(((Scenario_Data!T218)*12.9898+(Inputs!$C$6)*78.233+Inputs!$C$47*37.719))*43758.5453)))-1))))/1000))^2-2*(Inputs!$C$52+(Scenario_Data!B218))*(Inputs!$C$52+((IF(OR(Inputs!$C$27=TRUE,Inputs!$C$27="TRUE",Inputs!$C$27=1),1,0)*(Inputs!$C$51*(115*EXP(-(((Inputs!$C$6)-25)^2)/(4.5^2))+70*EXP(-(((Inputs!$C$6)+38)^2)/(7^2))*(0.55+0.45*SIN(2*PI()*(Scenario_Data!T218)/45))+24*SIN(2*PI()*(Inputs!$C$6)/9+(Scenario_Data!T218)/18)*EXP(-(((Inputs!$C$6)+5)^2)/(22^2))+18*SIN(2*PI()*(Scenario_Data!T218)/70))+Inputs!$C$28*EXP(-(((Scenario_Data!T218)-Inputs!$C$29)^2)/(2*Inputs!$C$31^2))*EXP(-(((Inputs!$C$6)-Inputs!$C$30)^2)/(2*Inputs!$C$32^2))+-Inputs!$C$33*EXP(-(((((Scenario_Data!T218)-Inputs!$C$34)^2)+(((Inputs!$C$6)-Inputs!$C$35)^2))/(2*Inputs!$C$36^2)))+Inputs!$C$37*(0.55*SIN(2*PI()*(Scenario_Data!T218)/Inputs!$C$39)+0.35*COS(2*PI()*(Inputs!$C$6)/Inputs!$C$40)+0.2*SIN(2*PI()*((Scenario_Data!T218)+(Inputs!$C$6))/(0.5*(Inputs!$C$39+Inputs!$C$40))))+Inputs!$C$38*SIN(2*PI()*(Scenario_Data!T218)/Inputs!$C$39)*SIN(2*PI()*(Inputs!$C$6)/Inputs!$C$40)+-Inputs!$C$41*EXP(-(((Inputs!$C$6)-Inputs!$C$43)^2)/(2*Inputs!$C$44^2))*EXP(-(((Scenario_Data!T218)-Inputs!$C$42)^2)/(2*Inputs!$C$45^2))+Inputs!$C$48*(0.7*(0.45*SIN(2*PI()*(((Scenario_Data!T218)/Inputs!$C$49)+Inputs!$C$47*0.137))+0.35*COS(2*PI()*(((Inputs!$C$6)/Inputs!$C$50)+Inputs!$C$47*0.173))+0.2*SIN(2*PI()*((((Scenario_Data!T218)+(Inputs!$C$6))/(0.5*(Inputs!$C$49+Inputs!$C$50)))+Inputs!$C$47*0.097)))+0.3*(2*((SIN(((Scenario_Data!T218)*12.9898+(Inputs!$C$6)*78.233+Inputs!$C$47*37.719))*43758.5453)-INT((SIN(((Scenario_Data!T218)*12.9898+(Inputs!$C$6)*78.233+Inputs!$C$47*37.719))*43758.5453)))-1))))/1000))*COS(SQRT((Scenario_Data!T218)^2+Inputs!$C$6^2)/Inputs!$C$52))*1000)/Inputs!$C$21*1000000</f>
        <v/>
      </c>
      <c r="AR218">
        <f>Scenario_Data!U218</f>
        <v/>
      </c>
      <c r="AS218">
        <f>2*(SQRT((Inputs!$C$52+(Scenario_Data!C218))^2+(Inputs!$C$52+((IF(OR(Inputs!$C$27=TRUE,Inputs!$C$27="TRUE",Inputs!$C$27=1),1,0)*(Inputs!$C$51*(115*EXP(-(((Inputs!$C$6)-25)^2)/(4.5^2))+70*EXP(-(((Inputs!$C$6)+38)^2)/(7^2))*(0.55+0.45*SIN(2*PI()*(Scenario_Data!U218)/45))+24*SIN(2*PI()*(Inputs!$C$6)/9+(Scenario_Data!U218)/18)*EXP(-(((Inputs!$C$6)+5)^2)/(22^2))+18*SIN(2*PI()*(Scenario_Data!U218)/70))+Inputs!$C$28*EXP(-(((Scenario_Data!U218)-Inputs!$C$29)^2)/(2*Inputs!$C$31^2))*EXP(-(((Inputs!$C$6)-Inputs!$C$30)^2)/(2*Inputs!$C$32^2))+-Inputs!$C$33*EXP(-(((((Scenario_Data!U218)-Inputs!$C$34)^2)+(((Inputs!$C$6)-Inputs!$C$35)^2))/(2*Inputs!$C$36^2)))+Inputs!$C$37*(0.55*SIN(2*PI()*(Scenario_Data!U218)/Inputs!$C$39)+0.35*COS(2*PI()*(Inputs!$C$6)/Inputs!$C$40)+0.2*SIN(2*PI()*((Scenario_Data!U218)+(Inputs!$C$6))/(0.5*(Inputs!$C$39+Inputs!$C$40))))+Inputs!$C$38*SIN(2*PI()*(Scenario_Data!U218)/Inputs!$C$39)*SIN(2*PI()*(Inputs!$C$6)/Inputs!$C$40)+-Inputs!$C$41*EXP(-(((Inputs!$C$6)-Inputs!$C$43)^2)/(2*Inputs!$C$44^2))*EXP(-(((Scenario_Data!U218)-Inputs!$C$42)^2)/(2*Inputs!$C$45^2))+Inputs!$C$48*(0.7*(0.45*SIN(2*PI()*(((Scenario_Data!U218)/Inputs!$C$49)+Inputs!$C$47*0.137))+0.35*COS(2*PI()*(((Inputs!$C$6)/Inputs!$C$50)+Inputs!$C$47*0.173))+0.2*SIN(2*PI()*((((Scenario_Data!U218)+(Inputs!$C$6))/(0.5*(Inputs!$C$49+Inputs!$C$50)))+Inputs!$C$47*0.097)))+0.3*(2*((SIN(((Scenario_Data!U218)*12.9898+(Inputs!$C$6)*78.233+Inputs!$C$47*37.719))*43758.5453)-INT((SIN(((Scenario_Data!U218)*12.9898+(Inputs!$C$6)*78.233+Inputs!$C$47*37.719))*43758.5453)))-1))))/1000))^2-2*(Inputs!$C$52+(Scenario_Data!C218))*(Inputs!$C$52+((IF(OR(Inputs!$C$27=TRUE,Inputs!$C$27="TRUE",Inputs!$C$27=1),1,0)*(Inputs!$C$51*(115*EXP(-(((Inputs!$C$6)-25)^2)/(4.5^2))+70*EXP(-(((Inputs!$C$6)+38)^2)/(7^2))*(0.55+0.45*SIN(2*PI()*(Scenario_Data!U218)/45))+24*SIN(2*PI()*(Inputs!$C$6)/9+(Scenario_Data!U218)/18)*EXP(-(((Inputs!$C$6)+5)^2)/(22^2))+18*SIN(2*PI()*(Scenario_Data!U218)/70))+Inputs!$C$28*EXP(-(((Scenario_Data!U218)-Inputs!$C$29)^2)/(2*Inputs!$C$31^2))*EXP(-(((Inputs!$C$6)-Inputs!$C$30)^2)/(2*Inputs!$C$32^2))+-Inputs!$C$33*EXP(-(((((Scenario_Data!U218)-Inputs!$C$34)^2)+(((Inputs!$C$6)-Inputs!$C$35)^2))/(2*Inputs!$C$36^2)))+Inputs!$C$37*(0.55*SIN(2*PI()*(Scenario_Data!U218)/Inputs!$C$39)+0.35*COS(2*PI()*(Inputs!$C$6)/Inputs!$C$40)+0.2*SIN(2*PI()*((Scenario_Data!U218)+(Inputs!$C$6))/(0.5*(Inputs!$C$39+Inputs!$C$40))))+Inputs!$C$38*SIN(2*PI()*(Scenario_Data!U218)/Inputs!$C$39)*SIN(2*PI()*(Inputs!$C$6)/Inputs!$C$40)+-Inputs!$C$41*EXP(-(((Inputs!$C$6)-Inputs!$C$43)^2)/(2*Inputs!$C$44^2))*EXP(-(((Scenario_Data!U218)-Inputs!$C$42)^2)/(2*Inputs!$C$45^2))+Inputs!$C$48*(0.7*(0.45*SIN(2*PI()*(((Scenario_Data!U218)/Inputs!$C$49)+Inputs!$C$47*0.137))+0.35*COS(2*PI()*(((Inputs!$C$6)/Inputs!$C$50)+Inputs!$C$47*0.173))+0.2*SIN(2*PI()*((((Scenario_Data!U218)+(Inputs!$C$6))/(0.5*(Inputs!$C$49+Inputs!$C$50)))+Inputs!$C$47*0.097)))+0.3*(2*((SIN(((Scenario_Data!U218)*12.9898+(Inputs!$C$6)*78.233+Inputs!$C$47*37.719))*43758.5453)-INT((SIN(((Scenario_Data!U218)*12.9898+(Inputs!$C$6)*78.233+Inputs!$C$47*37.719))*43758.5453)))-1))))/1000))*COS(SQRT((Scenario_Data!U218)^2+Inputs!$C$6^2)/Inputs!$C$52))*1000)/Inputs!$C$21*1000000</f>
        <v/>
      </c>
      <c r="AT218">
        <f>Scenario_Data!V218</f>
        <v/>
      </c>
      <c r="AU218">
        <f>2*(SQRT((Inputs!$C$52+(Scenario_Data!D218))^2+(Inputs!$C$52+((IF(OR(Inputs!$C$27=TRUE,Inputs!$C$27="TRUE",Inputs!$C$27=1),1,0)*(Inputs!$C$51*(115*EXP(-(((Inputs!$C$6)-25)^2)/(4.5^2))+70*EXP(-(((Inputs!$C$6)+38)^2)/(7^2))*(0.55+0.45*SIN(2*PI()*(Scenario_Data!V218)/45))+24*SIN(2*PI()*(Inputs!$C$6)/9+(Scenario_Data!V218)/18)*EXP(-(((Inputs!$C$6)+5)^2)/(22^2))+18*SIN(2*PI()*(Scenario_Data!V218)/70))+Inputs!$C$28*EXP(-(((Scenario_Data!V218)-Inputs!$C$29)^2)/(2*Inputs!$C$31^2))*EXP(-(((Inputs!$C$6)-Inputs!$C$30)^2)/(2*Inputs!$C$32^2))+-Inputs!$C$33*EXP(-(((((Scenario_Data!V218)-Inputs!$C$34)^2)+(((Inputs!$C$6)-Inputs!$C$35)^2))/(2*Inputs!$C$36^2)))+Inputs!$C$37*(0.55*SIN(2*PI()*(Scenario_Data!V218)/Inputs!$C$39)+0.35*COS(2*PI()*(Inputs!$C$6)/Inputs!$C$40)+0.2*SIN(2*PI()*((Scenario_Data!V218)+(Inputs!$C$6))/(0.5*(Inputs!$C$39+Inputs!$C$40))))+Inputs!$C$38*SIN(2*PI()*(Scenario_Data!V218)/Inputs!$C$39)*SIN(2*PI()*(Inputs!$C$6)/Inputs!$C$40)+-Inputs!$C$41*EXP(-(((Inputs!$C$6)-Inputs!$C$43)^2)/(2*Inputs!$C$44^2))*EXP(-(((Scenario_Data!V218)-Inputs!$C$42)^2)/(2*Inputs!$C$45^2))+Inputs!$C$48*(0.7*(0.45*SIN(2*PI()*(((Scenario_Data!V218)/Inputs!$C$49)+Inputs!$C$47*0.137))+0.35*COS(2*PI()*(((Inputs!$C$6)/Inputs!$C$50)+Inputs!$C$47*0.173))+0.2*SIN(2*PI()*((((Scenario_Data!V218)+(Inputs!$C$6))/(0.5*(Inputs!$C$49+Inputs!$C$50)))+Inputs!$C$47*0.097)))+0.3*(2*((SIN(((Scenario_Data!V218)*12.9898+(Inputs!$C$6)*78.233+Inputs!$C$47*37.719))*43758.5453)-INT((SIN(((Scenario_Data!V218)*12.9898+(Inputs!$C$6)*78.233+Inputs!$C$47*37.719))*43758.5453)))-1))))/1000))^2-2*(Inputs!$C$52+(Scenario_Data!D218))*(Inputs!$C$52+((IF(OR(Inputs!$C$27=TRUE,Inputs!$C$27="TRUE",Inputs!$C$27=1),1,0)*(Inputs!$C$51*(115*EXP(-(((Inputs!$C$6)-25)^2)/(4.5^2))+70*EXP(-(((Inputs!$C$6)+38)^2)/(7^2))*(0.55+0.45*SIN(2*PI()*(Scenario_Data!V218)/45))+24*SIN(2*PI()*(Inputs!$C$6)/9+(Scenario_Data!V218)/18)*EXP(-(((Inputs!$C$6)+5)^2)/(22^2))+18*SIN(2*PI()*(Scenario_Data!V218)/70))+Inputs!$C$28*EXP(-(((Scenario_Data!V218)-Inputs!$C$29)^2)/(2*Inputs!$C$31^2))*EXP(-(((Inputs!$C$6)-Inputs!$C$30)^2)/(2*Inputs!$C$32^2))+-Inputs!$C$33*EXP(-(((((Scenario_Data!V218)-Inputs!$C$34)^2)+(((Inputs!$C$6)-Inputs!$C$35)^2))/(2*Inputs!$C$36^2)))+Inputs!$C$37*(0.55*SIN(2*PI()*(Scenario_Data!V218)/Inputs!$C$39)+0.35*COS(2*PI()*(Inputs!$C$6)/Inputs!$C$40)+0.2*SIN(2*PI()*((Scenario_Data!V218)+(Inputs!$C$6))/(0.5*(Inputs!$C$39+Inputs!$C$40))))+Inputs!$C$38*SIN(2*PI()*(Scenario_Data!V218)/Inputs!$C$39)*SIN(2*PI()*(Inputs!$C$6)/Inputs!$C$40)+-Inputs!$C$41*EXP(-(((Inputs!$C$6)-Inputs!$C$43)^2)/(2*Inputs!$C$44^2))*EXP(-(((Scenario_Data!V218)-Inputs!$C$42)^2)/(2*Inputs!$C$45^2))+Inputs!$C$48*(0.7*(0.45*SIN(2*PI()*(((Scenario_Data!V218)/Inputs!$C$49)+Inputs!$C$47*0.137))+0.35*COS(2*PI()*(((Inputs!$C$6)/Inputs!$C$50)+Inputs!$C$47*0.173))+0.2*SIN(2*PI()*((((Scenario_Data!V218)+(Inputs!$C$6))/(0.5*(Inputs!$C$49+Inputs!$C$50)))+Inputs!$C$47*0.097)))+0.3*(2*((SIN(((Scenario_Data!V218)*12.9898+(Inputs!$C$6)*78.233+Inputs!$C$47*37.719))*43758.5453)-INT((SIN(((Scenario_Data!V218)*12.9898+(Inputs!$C$6)*78.233+Inputs!$C$47*37.719))*43758.5453)))-1))))/1000))*COS(SQRT((Scenario_Data!V218)^2+Inputs!$C$6^2)/Inputs!$C$52))*1000)/Inputs!$C$21*1000000</f>
        <v/>
      </c>
      <c r="AV218">
        <f>Scenario_Data!W218</f>
        <v/>
      </c>
      <c r="AW218">
        <f>2*(SQRT((Inputs!$C$52+(Scenario_Data!E218))^2+(Inputs!$C$52+((IF(OR(Inputs!$C$27=TRUE,Inputs!$C$27="TRUE",Inputs!$C$27=1),1,0)*(Inputs!$C$51*(115*EXP(-(((Inputs!$C$6)-25)^2)/(4.5^2))+70*EXP(-(((Inputs!$C$6)+38)^2)/(7^2))*(0.55+0.45*SIN(2*PI()*(Scenario_Data!W218)/45))+24*SIN(2*PI()*(Inputs!$C$6)/9+(Scenario_Data!W218)/18)*EXP(-(((Inputs!$C$6)+5)^2)/(22^2))+18*SIN(2*PI()*(Scenario_Data!W218)/70))+Inputs!$C$28*EXP(-(((Scenario_Data!W218)-Inputs!$C$29)^2)/(2*Inputs!$C$31^2))*EXP(-(((Inputs!$C$6)-Inputs!$C$30)^2)/(2*Inputs!$C$32^2))+-Inputs!$C$33*EXP(-(((((Scenario_Data!W218)-Inputs!$C$34)^2)+(((Inputs!$C$6)-Inputs!$C$35)^2))/(2*Inputs!$C$36^2)))+Inputs!$C$37*(0.55*SIN(2*PI()*(Scenario_Data!W218)/Inputs!$C$39)+0.35*COS(2*PI()*(Inputs!$C$6)/Inputs!$C$40)+0.2*SIN(2*PI()*((Scenario_Data!W218)+(Inputs!$C$6))/(0.5*(Inputs!$C$39+Inputs!$C$40))))+Inputs!$C$38*SIN(2*PI()*(Scenario_Data!W218)/Inputs!$C$39)*SIN(2*PI()*(Inputs!$C$6)/Inputs!$C$40)+-Inputs!$C$41*EXP(-(((Inputs!$C$6)-Inputs!$C$43)^2)/(2*Inputs!$C$44^2))*EXP(-(((Scenario_Data!W218)-Inputs!$C$42)^2)/(2*Inputs!$C$45^2))+Inputs!$C$48*(0.7*(0.45*SIN(2*PI()*(((Scenario_Data!W218)/Inputs!$C$49)+Inputs!$C$47*0.137))+0.35*COS(2*PI()*(((Inputs!$C$6)/Inputs!$C$50)+Inputs!$C$47*0.173))+0.2*SIN(2*PI()*((((Scenario_Data!W218)+(Inputs!$C$6))/(0.5*(Inputs!$C$49+Inputs!$C$50)))+Inputs!$C$47*0.097)))+0.3*(2*((SIN(((Scenario_Data!W218)*12.9898+(Inputs!$C$6)*78.233+Inputs!$C$47*37.719))*43758.5453)-INT((SIN(((Scenario_Data!W218)*12.9898+(Inputs!$C$6)*78.233+Inputs!$C$47*37.719))*43758.5453)))-1))))/1000))^2-2*(Inputs!$C$52+(Scenario_Data!E218))*(Inputs!$C$52+((IF(OR(Inputs!$C$27=TRUE,Inputs!$C$27="TRUE",Inputs!$C$27=1),1,0)*(Inputs!$C$51*(115*EXP(-(((Inputs!$C$6)-25)^2)/(4.5^2))+70*EXP(-(((Inputs!$C$6)+38)^2)/(7^2))*(0.55+0.45*SIN(2*PI()*(Scenario_Data!W218)/45))+24*SIN(2*PI()*(Inputs!$C$6)/9+(Scenario_Data!W218)/18)*EXP(-(((Inputs!$C$6)+5)^2)/(22^2))+18*SIN(2*PI()*(Scenario_Data!W218)/70))+Inputs!$C$28*EXP(-(((Scenario_Data!W218)-Inputs!$C$29)^2)/(2*Inputs!$C$31^2))*EXP(-(((Inputs!$C$6)-Inputs!$C$30)^2)/(2*Inputs!$C$32^2))+-Inputs!$C$33*EXP(-(((((Scenario_Data!W218)-Inputs!$C$34)^2)+(((Inputs!$C$6)-Inputs!$C$35)^2))/(2*Inputs!$C$36^2)))+Inputs!$C$37*(0.55*SIN(2*PI()*(Scenario_Data!W218)/Inputs!$C$39)+0.35*COS(2*PI()*(Inputs!$C$6)/Inputs!$C$40)+0.2*SIN(2*PI()*((Scenario_Data!W218)+(Inputs!$C$6))/(0.5*(Inputs!$C$39+Inputs!$C$40))))+Inputs!$C$38*SIN(2*PI()*(Scenario_Data!W218)/Inputs!$C$39)*SIN(2*PI()*(Inputs!$C$6)/Inputs!$C$40)+-Inputs!$C$41*EXP(-(((Inputs!$C$6)-Inputs!$C$43)^2)/(2*Inputs!$C$44^2))*EXP(-(((Scenario_Data!W218)-Inputs!$C$42)^2)/(2*Inputs!$C$45^2))+Inputs!$C$48*(0.7*(0.45*SIN(2*PI()*(((Scenario_Data!W218)/Inputs!$C$49)+Inputs!$C$47*0.137))+0.35*COS(2*PI()*(((Inputs!$C$6)/Inputs!$C$50)+Inputs!$C$47*0.173))+0.2*SIN(2*PI()*((((Scenario_Data!W218)+(Inputs!$C$6))/(0.5*(Inputs!$C$49+Inputs!$C$50)))+Inputs!$C$47*0.097)))+0.3*(2*((SIN(((Scenario_Data!W218)*12.9898+(Inputs!$C$6)*78.233+Inputs!$C$47*37.719))*43758.5453)-INT((SIN(((Scenario_Data!W218)*12.9898+(Inputs!$C$6)*78.233+Inputs!$C$47*37.719))*43758.5453)))-1))))/1000))*COS(SQRT((Scenario_Data!W218)^2+Inputs!$C$6^2)/Inputs!$C$52))*1000)/Inputs!$C$21*1000000</f>
        <v/>
      </c>
    </row>
    <row r="219">
      <c r="A219">
        <f>Chart_Data!K219</f>
        <v/>
      </c>
      <c r="B219">
        <f>Chart_Data!N219-Chart_Data!L219</f>
        <v/>
      </c>
      <c r="D219">
        <f>Chart_Data!G219</f>
        <v/>
      </c>
      <c r="E219">
        <f>Chart_Data!H219</f>
        <v/>
      </c>
      <c r="F219">
        <f>Chart_Data!I219</f>
        <v/>
      </c>
      <c r="G219">
        <f>Chart_Data!J219</f>
        <v/>
      </c>
      <c r="I219">
        <f>Scenario_Data!A219</f>
        <v/>
      </c>
      <c r="J219">
        <f>Scenario_Data!H219-(((SQRT((Inputs!$C$52+(Inputs!$H$6))^2+Inputs!$C$52^2-2*(Inputs!$C$52+(Inputs!$H$6))*Inputs!$C$52*COS(SQRT((Scenario_Data!T219)^2+Inputs!$C$6^2)/Inputs!$C$52)))-(Inputs!$H$6))*1000/Inputs!$C$12)</f>
        <v/>
      </c>
      <c r="K219">
        <f>Scenario_Data!I219-(((SQRT((Inputs!$C$52+(Inputs!$H$7))^2+Inputs!$C$52^2-2*(Inputs!$C$52+(Inputs!$H$7))*Inputs!$C$52*COS(SQRT((Scenario_Data!U219)^2+Inputs!$C$6^2)/Inputs!$C$52)))-(Inputs!$H$7))*1000/Inputs!$C$12)</f>
        <v/>
      </c>
      <c r="L219">
        <f>Scenario_Data!J219-(((SQRT((Inputs!$C$52+(Inputs!$H$8))^2+Inputs!$C$52^2-2*(Inputs!$C$52+(Inputs!$H$8))*Inputs!$C$52*COS(SQRT((Scenario_Data!V219)^2+Inputs!$C$6^2)/Inputs!$C$52)))-(Inputs!$H$8))*1000/Inputs!$C$12)</f>
        <v/>
      </c>
      <c r="M219">
        <f>Scenario_Data!K219-(((SQRT((Inputs!$C$52+(Inputs!$H$9))^2+Inputs!$C$52^2-2*(Inputs!$C$52+(Inputs!$H$9))*Inputs!$C$52*COS(SQRT((Scenario_Data!W219)^2+Inputs!$C$6^2)/Inputs!$C$52)))-(Inputs!$H$9))*1000/Inputs!$C$12)</f>
        <v/>
      </c>
      <c r="O219">
        <f>Scenario_Data!T219</f>
        <v/>
      </c>
      <c r="P219">
        <f>2*(Scenario_Data!B219*1000)/Inputs!$C$21*1000000</f>
        <v/>
      </c>
      <c r="Q219">
        <f>Scenario_Data!U219</f>
        <v/>
      </c>
      <c r="R219">
        <f>2*(Scenario_Data!C219*1000)/Inputs!$C$21*1000000</f>
        <v/>
      </c>
      <c r="S219">
        <f>Scenario_Data!V219</f>
        <v/>
      </c>
      <c r="T219">
        <f>2*(Scenario_Data!D219*1000)/Inputs!$C$21*1000000</f>
        <v/>
      </c>
      <c r="U219">
        <f>Scenario_Data!W219</f>
        <v/>
      </c>
      <c r="V219">
        <f>2*(Scenario_Data!E219*1000)/Inputs!$C$21*1000000</f>
        <v/>
      </c>
      <c r="X219">
        <f>Scenario_Data!T219</f>
        <v/>
      </c>
      <c r="Y219">
        <f>2*((Scenario_Data!B219*1000)-(IF(OR(Inputs!$C$27=TRUE,Inputs!$C$27="TRUE",Inputs!$C$27=1),1,0)*(Inputs!$C$51*(115*EXP(-(((0)-25)^2)/(4.5^2))+70*EXP(-(((0)+38)^2)/(7^2))*(0.55+0.45*SIN(2*PI()*(Scenario_Data!T219)/45))+24*SIN(2*PI()*(0)/9+(Scenario_Data!T219)/18)*EXP(-(((0)+5)^2)/(22^2))+18*SIN(2*PI()*(Scenario_Data!T219)/70))+Inputs!$C$28*EXP(-(((Scenario_Data!T219)-Inputs!$C$29)^2)/(2*Inputs!$C$31^2))*EXP(-(((0)-Inputs!$C$30)^2)/(2*Inputs!$C$32^2))+-Inputs!$C$33*EXP(-(((((Scenario_Data!T219)-Inputs!$C$34)^2)+(((0)-Inputs!$C$35)^2))/(2*Inputs!$C$36^2)))+Inputs!$C$37*(0.55*SIN(2*PI()*(Scenario_Data!T219)/Inputs!$C$39)+0.35*COS(2*PI()*(0)/Inputs!$C$40)+0.2*SIN(2*PI()*((Scenario_Data!T219)+(0))/(0.5*(Inputs!$C$39+Inputs!$C$40))))+Inputs!$C$38*SIN(2*PI()*(Scenario_Data!T219)/Inputs!$C$39)*SIN(2*PI()*(0)/Inputs!$C$40)+-Inputs!$C$41*EXP(-(((0)-Inputs!$C$43)^2)/(2*Inputs!$C$44^2))*EXP(-(((Scenario_Data!T219)-Inputs!$C$42)^2)/(2*Inputs!$C$45^2))+Inputs!$C$48*(0.7*(0.45*SIN(2*PI()*(((Scenario_Data!T219)/Inputs!$C$49)+Inputs!$C$47*0.137))+0.35*COS(2*PI()*(((0)/Inputs!$C$50)+Inputs!$C$47*0.173))+0.2*SIN(2*PI()*((((Scenario_Data!T219)+(0))/(0.5*(Inputs!$C$49+Inputs!$C$50)))+Inputs!$C$47*0.097)))+0.3*(2*((SIN(((Scenario_Data!T219)*12.9898+(0)*78.233+Inputs!$C$47*37.719))*43758.5453)-INT((SIN(((Scenario_Data!T219)*12.9898+(0)*78.233+Inputs!$C$47*37.719))*43758.5453)))-1)))))/Inputs!$C$21*1000000</f>
        <v/>
      </c>
      <c r="Z219">
        <f>Scenario_Data!U219</f>
        <v/>
      </c>
      <c r="AA219">
        <f>2*((Scenario_Data!C219*1000)-(IF(OR(Inputs!$C$27=TRUE,Inputs!$C$27="TRUE",Inputs!$C$27=1),1,0)*(Inputs!$C$51*(115*EXP(-(((0)-25)^2)/(4.5^2))+70*EXP(-(((0)+38)^2)/(7^2))*(0.55+0.45*SIN(2*PI()*(Scenario_Data!U219)/45))+24*SIN(2*PI()*(0)/9+(Scenario_Data!U219)/18)*EXP(-(((0)+5)^2)/(22^2))+18*SIN(2*PI()*(Scenario_Data!U219)/70))+Inputs!$C$28*EXP(-(((Scenario_Data!U219)-Inputs!$C$29)^2)/(2*Inputs!$C$31^2))*EXP(-(((0)-Inputs!$C$30)^2)/(2*Inputs!$C$32^2))+-Inputs!$C$33*EXP(-(((((Scenario_Data!U219)-Inputs!$C$34)^2)+(((0)-Inputs!$C$35)^2))/(2*Inputs!$C$36^2)))+Inputs!$C$37*(0.55*SIN(2*PI()*(Scenario_Data!U219)/Inputs!$C$39)+0.35*COS(2*PI()*(0)/Inputs!$C$40)+0.2*SIN(2*PI()*((Scenario_Data!U219)+(0))/(0.5*(Inputs!$C$39+Inputs!$C$40))))+Inputs!$C$38*SIN(2*PI()*(Scenario_Data!U219)/Inputs!$C$39)*SIN(2*PI()*(0)/Inputs!$C$40)+-Inputs!$C$41*EXP(-(((0)-Inputs!$C$43)^2)/(2*Inputs!$C$44^2))*EXP(-(((Scenario_Data!U219)-Inputs!$C$42)^2)/(2*Inputs!$C$45^2))+Inputs!$C$48*(0.7*(0.45*SIN(2*PI()*(((Scenario_Data!U219)/Inputs!$C$49)+Inputs!$C$47*0.137))+0.35*COS(2*PI()*(((0)/Inputs!$C$50)+Inputs!$C$47*0.173))+0.2*SIN(2*PI()*((((Scenario_Data!U219)+(0))/(0.5*(Inputs!$C$49+Inputs!$C$50)))+Inputs!$C$47*0.097)))+0.3*(2*((SIN(((Scenario_Data!U219)*12.9898+(0)*78.233+Inputs!$C$47*37.719))*43758.5453)-INT((SIN(((Scenario_Data!U219)*12.9898+(0)*78.233+Inputs!$C$47*37.719))*43758.5453)))-1)))))/Inputs!$C$21*1000000</f>
        <v/>
      </c>
      <c r="AB219">
        <f>Scenario_Data!V219</f>
        <v/>
      </c>
      <c r="AC219">
        <f>2*((Scenario_Data!D219*1000)-(IF(OR(Inputs!$C$27=TRUE,Inputs!$C$27="TRUE",Inputs!$C$27=1),1,0)*(Inputs!$C$51*(115*EXP(-(((0)-25)^2)/(4.5^2))+70*EXP(-(((0)+38)^2)/(7^2))*(0.55+0.45*SIN(2*PI()*(Scenario_Data!V219)/45))+24*SIN(2*PI()*(0)/9+(Scenario_Data!V219)/18)*EXP(-(((0)+5)^2)/(22^2))+18*SIN(2*PI()*(Scenario_Data!V219)/70))+Inputs!$C$28*EXP(-(((Scenario_Data!V219)-Inputs!$C$29)^2)/(2*Inputs!$C$31^2))*EXP(-(((0)-Inputs!$C$30)^2)/(2*Inputs!$C$32^2))+-Inputs!$C$33*EXP(-(((((Scenario_Data!V219)-Inputs!$C$34)^2)+(((0)-Inputs!$C$35)^2))/(2*Inputs!$C$36^2)))+Inputs!$C$37*(0.55*SIN(2*PI()*(Scenario_Data!V219)/Inputs!$C$39)+0.35*COS(2*PI()*(0)/Inputs!$C$40)+0.2*SIN(2*PI()*((Scenario_Data!V219)+(0))/(0.5*(Inputs!$C$39+Inputs!$C$40))))+Inputs!$C$38*SIN(2*PI()*(Scenario_Data!V219)/Inputs!$C$39)*SIN(2*PI()*(0)/Inputs!$C$40)+-Inputs!$C$41*EXP(-(((0)-Inputs!$C$43)^2)/(2*Inputs!$C$44^2))*EXP(-(((Scenario_Data!V219)-Inputs!$C$42)^2)/(2*Inputs!$C$45^2))+Inputs!$C$48*(0.7*(0.45*SIN(2*PI()*(((Scenario_Data!V219)/Inputs!$C$49)+Inputs!$C$47*0.137))+0.35*COS(2*PI()*(((0)/Inputs!$C$50)+Inputs!$C$47*0.173))+0.2*SIN(2*PI()*((((Scenario_Data!V219)+(0))/(0.5*(Inputs!$C$49+Inputs!$C$50)))+Inputs!$C$47*0.097)))+0.3*(2*((SIN(((Scenario_Data!V219)*12.9898+(0)*78.233+Inputs!$C$47*37.719))*43758.5453)-INT((SIN(((Scenario_Data!V219)*12.9898+(0)*78.233+Inputs!$C$47*37.719))*43758.5453)))-1)))))/Inputs!$C$21*1000000</f>
        <v/>
      </c>
      <c r="AD219">
        <f>Scenario_Data!W219</f>
        <v/>
      </c>
      <c r="AE219">
        <f>2*((Scenario_Data!E219*1000)-(IF(OR(Inputs!$C$27=TRUE,Inputs!$C$27="TRUE",Inputs!$C$27=1),1,0)*(Inputs!$C$51*(115*EXP(-(((0)-25)^2)/(4.5^2))+70*EXP(-(((0)+38)^2)/(7^2))*(0.55+0.45*SIN(2*PI()*(Scenario_Data!W219)/45))+24*SIN(2*PI()*(0)/9+(Scenario_Data!W219)/18)*EXP(-(((0)+5)^2)/(22^2))+18*SIN(2*PI()*(Scenario_Data!W219)/70))+Inputs!$C$28*EXP(-(((Scenario_Data!W219)-Inputs!$C$29)^2)/(2*Inputs!$C$31^2))*EXP(-(((0)-Inputs!$C$30)^2)/(2*Inputs!$C$32^2))+-Inputs!$C$33*EXP(-(((((Scenario_Data!W219)-Inputs!$C$34)^2)+(((0)-Inputs!$C$35)^2))/(2*Inputs!$C$36^2)))+Inputs!$C$37*(0.55*SIN(2*PI()*(Scenario_Data!W219)/Inputs!$C$39)+0.35*COS(2*PI()*(0)/Inputs!$C$40)+0.2*SIN(2*PI()*((Scenario_Data!W219)+(0))/(0.5*(Inputs!$C$39+Inputs!$C$40))))+Inputs!$C$38*SIN(2*PI()*(Scenario_Data!W219)/Inputs!$C$39)*SIN(2*PI()*(0)/Inputs!$C$40)+-Inputs!$C$41*EXP(-(((0)-Inputs!$C$43)^2)/(2*Inputs!$C$44^2))*EXP(-(((Scenario_Data!W219)-Inputs!$C$42)^2)/(2*Inputs!$C$45^2))+Inputs!$C$48*(0.7*(0.45*SIN(2*PI()*(((Scenario_Data!W219)/Inputs!$C$49)+Inputs!$C$47*0.137))+0.35*COS(2*PI()*(((0)/Inputs!$C$50)+Inputs!$C$47*0.173))+0.2*SIN(2*PI()*((((Scenario_Data!W219)+(0))/(0.5*(Inputs!$C$49+Inputs!$C$50)))+Inputs!$C$47*0.097)))+0.3*(2*((SIN(((Scenario_Data!W219)*12.9898+(0)*78.233+Inputs!$C$47*37.719))*43758.5453)-INT((SIN(((Scenario_Data!W219)*12.9898+(0)*78.233+Inputs!$C$47*37.719))*43758.5453)))-1)))))/Inputs!$C$21*1000000</f>
        <v/>
      </c>
      <c r="AG219">
        <f>Scenario_Data!T219</f>
        <v/>
      </c>
      <c r="AH219">
        <f>2*(SQRT((Inputs!$C$52+(Scenario_Data!B219))^2+Inputs!$C$52^2-2*(Inputs!$C$52+(Scenario_Data!B219))*Inputs!$C$52*COS(SQRT((Scenario_Data!T219)^2+Inputs!$C$6^2)/Inputs!$C$52))*1000)/Inputs!$C$21*1000000</f>
        <v/>
      </c>
      <c r="AI219">
        <f>Scenario_Data!U219</f>
        <v/>
      </c>
      <c r="AJ219">
        <f>2*(SQRT((Inputs!$C$52+(Scenario_Data!C219))^2+Inputs!$C$52^2-2*(Inputs!$C$52+(Scenario_Data!C219))*Inputs!$C$52*COS(SQRT((Scenario_Data!U219)^2+Inputs!$C$6^2)/Inputs!$C$52))*1000)/Inputs!$C$21*1000000</f>
        <v/>
      </c>
      <c r="AK219">
        <f>Scenario_Data!V219</f>
        <v/>
      </c>
      <c r="AL219">
        <f>2*(SQRT((Inputs!$C$52+(Scenario_Data!D219))^2+Inputs!$C$52^2-2*(Inputs!$C$52+(Scenario_Data!D219))*Inputs!$C$52*COS(SQRT((Scenario_Data!V219)^2+Inputs!$C$6^2)/Inputs!$C$52))*1000)/Inputs!$C$21*1000000</f>
        <v/>
      </c>
      <c r="AM219">
        <f>Scenario_Data!W219</f>
        <v/>
      </c>
      <c r="AN219">
        <f>2*(SQRT((Inputs!$C$52+(Scenario_Data!E219))^2+Inputs!$C$52^2-2*(Inputs!$C$52+(Scenario_Data!E219))*Inputs!$C$52*COS(SQRT((Scenario_Data!W219)^2+Inputs!$C$6^2)/Inputs!$C$52))*1000)/Inputs!$C$21*1000000</f>
        <v/>
      </c>
      <c r="AP219">
        <f>Scenario_Data!T219</f>
        <v/>
      </c>
      <c r="AQ219">
        <f>2*(SQRT((Inputs!$C$52+(Scenario_Data!B219))^2+(Inputs!$C$52+((IF(OR(Inputs!$C$27=TRUE,Inputs!$C$27="TRUE",Inputs!$C$27=1),1,0)*(Inputs!$C$51*(115*EXP(-(((Inputs!$C$6)-25)^2)/(4.5^2))+70*EXP(-(((Inputs!$C$6)+38)^2)/(7^2))*(0.55+0.45*SIN(2*PI()*(Scenario_Data!T219)/45))+24*SIN(2*PI()*(Inputs!$C$6)/9+(Scenario_Data!T219)/18)*EXP(-(((Inputs!$C$6)+5)^2)/(22^2))+18*SIN(2*PI()*(Scenario_Data!T219)/70))+Inputs!$C$28*EXP(-(((Scenario_Data!T219)-Inputs!$C$29)^2)/(2*Inputs!$C$31^2))*EXP(-(((Inputs!$C$6)-Inputs!$C$30)^2)/(2*Inputs!$C$32^2))+-Inputs!$C$33*EXP(-(((((Scenario_Data!T219)-Inputs!$C$34)^2)+(((Inputs!$C$6)-Inputs!$C$35)^2))/(2*Inputs!$C$36^2)))+Inputs!$C$37*(0.55*SIN(2*PI()*(Scenario_Data!T219)/Inputs!$C$39)+0.35*COS(2*PI()*(Inputs!$C$6)/Inputs!$C$40)+0.2*SIN(2*PI()*((Scenario_Data!T219)+(Inputs!$C$6))/(0.5*(Inputs!$C$39+Inputs!$C$40))))+Inputs!$C$38*SIN(2*PI()*(Scenario_Data!T219)/Inputs!$C$39)*SIN(2*PI()*(Inputs!$C$6)/Inputs!$C$40)+-Inputs!$C$41*EXP(-(((Inputs!$C$6)-Inputs!$C$43)^2)/(2*Inputs!$C$44^2))*EXP(-(((Scenario_Data!T219)-Inputs!$C$42)^2)/(2*Inputs!$C$45^2))+Inputs!$C$48*(0.7*(0.45*SIN(2*PI()*(((Scenario_Data!T219)/Inputs!$C$49)+Inputs!$C$47*0.137))+0.35*COS(2*PI()*(((Inputs!$C$6)/Inputs!$C$50)+Inputs!$C$47*0.173))+0.2*SIN(2*PI()*((((Scenario_Data!T219)+(Inputs!$C$6))/(0.5*(Inputs!$C$49+Inputs!$C$50)))+Inputs!$C$47*0.097)))+0.3*(2*((SIN(((Scenario_Data!T219)*12.9898+(Inputs!$C$6)*78.233+Inputs!$C$47*37.719))*43758.5453)-INT((SIN(((Scenario_Data!T219)*12.9898+(Inputs!$C$6)*78.233+Inputs!$C$47*37.719))*43758.5453)))-1))))/1000))^2-2*(Inputs!$C$52+(Scenario_Data!B219))*(Inputs!$C$52+((IF(OR(Inputs!$C$27=TRUE,Inputs!$C$27="TRUE",Inputs!$C$27=1),1,0)*(Inputs!$C$51*(115*EXP(-(((Inputs!$C$6)-25)^2)/(4.5^2))+70*EXP(-(((Inputs!$C$6)+38)^2)/(7^2))*(0.55+0.45*SIN(2*PI()*(Scenario_Data!T219)/45))+24*SIN(2*PI()*(Inputs!$C$6)/9+(Scenario_Data!T219)/18)*EXP(-(((Inputs!$C$6)+5)^2)/(22^2))+18*SIN(2*PI()*(Scenario_Data!T219)/70))+Inputs!$C$28*EXP(-(((Scenario_Data!T219)-Inputs!$C$29)^2)/(2*Inputs!$C$31^2))*EXP(-(((Inputs!$C$6)-Inputs!$C$30)^2)/(2*Inputs!$C$32^2))+-Inputs!$C$33*EXP(-(((((Scenario_Data!T219)-Inputs!$C$34)^2)+(((Inputs!$C$6)-Inputs!$C$35)^2))/(2*Inputs!$C$36^2)))+Inputs!$C$37*(0.55*SIN(2*PI()*(Scenario_Data!T219)/Inputs!$C$39)+0.35*COS(2*PI()*(Inputs!$C$6)/Inputs!$C$40)+0.2*SIN(2*PI()*((Scenario_Data!T219)+(Inputs!$C$6))/(0.5*(Inputs!$C$39+Inputs!$C$40))))+Inputs!$C$38*SIN(2*PI()*(Scenario_Data!T219)/Inputs!$C$39)*SIN(2*PI()*(Inputs!$C$6)/Inputs!$C$40)+-Inputs!$C$41*EXP(-(((Inputs!$C$6)-Inputs!$C$43)^2)/(2*Inputs!$C$44^2))*EXP(-(((Scenario_Data!T219)-Inputs!$C$42)^2)/(2*Inputs!$C$45^2))+Inputs!$C$48*(0.7*(0.45*SIN(2*PI()*(((Scenario_Data!T219)/Inputs!$C$49)+Inputs!$C$47*0.137))+0.35*COS(2*PI()*(((Inputs!$C$6)/Inputs!$C$50)+Inputs!$C$47*0.173))+0.2*SIN(2*PI()*((((Scenario_Data!T219)+(Inputs!$C$6))/(0.5*(Inputs!$C$49+Inputs!$C$50)))+Inputs!$C$47*0.097)))+0.3*(2*((SIN(((Scenario_Data!T219)*12.9898+(Inputs!$C$6)*78.233+Inputs!$C$47*37.719))*43758.5453)-INT((SIN(((Scenario_Data!T219)*12.9898+(Inputs!$C$6)*78.233+Inputs!$C$47*37.719))*43758.5453)))-1))))/1000))*COS(SQRT((Scenario_Data!T219)^2+Inputs!$C$6^2)/Inputs!$C$52))*1000)/Inputs!$C$21*1000000</f>
        <v/>
      </c>
      <c r="AR219">
        <f>Scenario_Data!U219</f>
        <v/>
      </c>
      <c r="AS219">
        <f>2*(SQRT((Inputs!$C$52+(Scenario_Data!C219))^2+(Inputs!$C$52+((IF(OR(Inputs!$C$27=TRUE,Inputs!$C$27="TRUE",Inputs!$C$27=1),1,0)*(Inputs!$C$51*(115*EXP(-(((Inputs!$C$6)-25)^2)/(4.5^2))+70*EXP(-(((Inputs!$C$6)+38)^2)/(7^2))*(0.55+0.45*SIN(2*PI()*(Scenario_Data!U219)/45))+24*SIN(2*PI()*(Inputs!$C$6)/9+(Scenario_Data!U219)/18)*EXP(-(((Inputs!$C$6)+5)^2)/(22^2))+18*SIN(2*PI()*(Scenario_Data!U219)/70))+Inputs!$C$28*EXP(-(((Scenario_Data!U219)-Inputs!$C$29)^2)/(2*Inputs!$C$31^2))*EXP(-(((Inputs!$C$6)-Inputs!$C$30)^2)/(2*Inputs!$C$32^2))+-Inputs!$C$33*EXP(-(((((Scenario_Data!U219)-Inputs!$C$34)^2)+(((Inputs!$C$6)-Inputs!$C$35)^2))/(2*Inputs!$C$36^2)))+Inputs!$C$37*(0.55*SIN(2*PI()*(Scenario_Data!U219)/Inputs!$C$39)+0.35*COS(2*PI()*(Inputs!$C$6)/Inputs!$C$40)+0.2*SIN(2*PI()*((Scenario_Data!U219)+(Inputs!$C$6))/(0.5*(Inputs!$C$39+Inputs!$C$40))))+Inputs!$C$38*SIN(2*PI()*(Scenario_Data!U219)/Inputs!$C$39)*SIN(2*PI()*(Inputs!$C$6)/Inputs!$C$40)+-Inputs!$C$41*EXP(-(((Inputs!$C$6)-Inputs!$C$43)^2)/(2*Inputs!$C$44^2))*EXP(-(((Scenario_Data!U219)-Inputs!$C$42)^2)/(2*Inputs!$C$45^2))+Inputs!$C$48*(0.7*(0.45*SIN(2*PI()*(((Scenario_Data!U219)/Inputs!$C$49)+Inputs!$C$47*0.137))+0.35*COS(2*PI()*(((Inputs!$C$6)/Inputs!$C$50)+Inputs!$C$47*0.173))+0.2*SIN(2*PI()*((((Scenario_Data!U219)+(Inputs!$C$6))/(0.5*(Inputs!$C$49+Inputs!$C$50)))+Inputs!$C$47*0.097)))+0.3*(2*((SIN(((Scenario_Data!U219)*12.9898+(Inputs!$C$6)*78.233+Inputs!$C$47*37.719))*43758.5453)-INT((SIN(((Scenario_Data!U219)*12.9898+(Inputs!$C$6)*78.233+Inputs!$C$47*37.719))*43758.5453)))-1))))/1000))^2-2*(Inputs!$C$52+(Scenario_Data!C219))*(Inputs!$C$52+((IF(OR(Inputs!$C$27=TRUE,Inputs!$C$27="TRUE",Inputs!$C$27=1),1,0)*(Inputs!$C$51*(115*EXP(-(((Inputs!$C$6)-25)^2)/(4.5^2))+70*EXP(-(((Inputs!$C$6)+38)^2)/(7^2))*(0.55+0.45*SIN(2*PI()*(Scenario_Data!U219)/45))+24*SIN(2*PI()*(Inputs!$C$6)/9+(Scenario_Data!U219)/18)*EXP(-(((Inputs!$C$6)+5)^2)/(22^2))+18*SIN(2*PI()*(Scenario_Data!U219)/70))+Inputs!$C$28*EXP(-(((Scenario_Data!U219)-Inputs!$C$29)^2)/(2*Inputs!$C$31^2))*EXP(-(((Inputs!$C$6)-Inputs!$C$30)^2)/(2*Inputs!$C$32^2))+-Inputs!$C$33*EXP(-(((((Scenario_Data!U219)-Inputs!$C$34)^2)+(((Inputs!$C$6)-Inputs!$C$35)^2))/(2*Inputs!$C$36^2)))+Inputs!$C$37*(0.55*SIN(2*PI()*(Scenario_Data!U219)/Inputs!$C$39)+0.35*COS(2*PI()*(Inputs!$C$6)/Inputs!$C$40)+0.2*SIN(2*PI()*((Scenario_Data!U219)+(Inputs!$C$6))/(0.5*(Inputs!$C$39+Inputs!$C$40))))+Inputs!$C$38*SIN(2*PI()*(Scenario_Data!U219)/Inputs!$C$39)*SIN(2*PI()*(Inputs!$C$6)/Inputs!$C$40)+-Inputs!$C$41*EXP(-(((Inputs!$C$6)-Inputs!$C$43)^2)/(2*Inputs!$C$44^2))*EXP(-(((Scenario_Data!U219)-Inputs!$C$42)^2)/(2*Inputs!$C$45^2))+Inputs!$C$48*(0.7*(0.45*SIN(2*PI()*(((Scenario_Data!U219)/Inputs!$C$49)+Inputs!$C$47*0.137))+0.35*COS(2*PI()*(((Inputs!$C$6)/Inputs!$C$50)+Inputs!$C$47*0.173))+0.2*SIN(2*PI()*((((Scenario_Data!U219)+(Inputs!$C$6))/(0.5*(Inputs!$C$49+Inputs!$C$50)))+Inputs!$C$47*0.097)))+0.3*(2*((SIN(((Scenario_Data!U219)*12.9898+(Inputs!$C$6)*78.233+Inputs!$C$47*37.719))*43758.5453)-INT((SIN(((Scenario_Data!U219)*12.9898+(Inputs!$C$6)*78.233+Inputs!$C$47*37.719))*43758.5453)))-1))))/1000))*COS(SQRT((Scenario_Data!U219)^2+Inputs!$C$6^2)/Inputs!$C$52))*1000)/Inputs!$C$21*1000000</f>
        <v/>
      </c>
      <c r="AT219">
        <f>Scenario_Data!V219</f>
        <v/>
      </c>
      <c r="AU219">
        <f>2*(SQRT((Inputs!$C$52+(Scenario_Data!D219))^2+(Inputs!$C$52+((IF(OR(Inputs!$C$27=TRUE,Inputs!$C$27="TRUE",Inputs!$C$27=1),1,0)*(Inputs!$C$51*(115*EXP(-(((Inputs!$C$6)-25)^2)/(4.5^2))+70*EXP(-(((Inputs!$C$6)+38)^2)/(7^2))*(0.55+0.45*SIN(2*PI()*(Scenario_Data!V219)/45))+24*SIN(2*PI()*(Inputs!$C$6)/9+(Scenario_Data!V219)/18)*EXP(-(((Inputs!$C$6)+5)^2)/(22^2))+18*SIN(2*PI()*(Scenario_Data!V219)/70))+Inputs!$C$28*EXP(-(((Scenario_Data!V219)-Inputs!$C$29)^2)/(2*Inputs!$C$31^2))*EXP(-(((Inputs!$C$6)-Inputs!$C$30)^2)/(2*Inputs!$C$32^2))+-Inputs!$C$33*EXP(-(((((Scenario_Data!V219)-Inputs!$C$34)^2)+(((Inputs!$C$6)-Inputs!$C$35)^2))/(2*Inputs!$C$36^2)))+Inputs!$C$37*(0.55*SIN(2*PI()*(Scenario_Data!V219)/Inputs!$C$39)+0.35*COS(2*PI()*(Inputs!$C$6)/Inputs!$C$40)+0.2*SIN(2*PI()*((Scenario_Data!V219)+(Inputs!$C$6))/(0.5*(Inputs!$C$39+Inputs!$C$40))))+Inputs!$C$38*SIN(2*PI()*(Scenario_Data!V219)/Inputs!$C$39)*SIN(2*PI()*(Inputs!$C$6)/Inputs!$C$40)+-Inputs!$C$41*EXP(-(((Inputs!$C$6)-Inputs!$C$43)^2)/(2*Inputs!$C$44^2))*EXP(-(((Scenario_Data!V219)-Inputs!$C$42)^2)/(2*Inputs!$C$45^2))+Inputs!$C$48*(0.7*(0.45*SIN(2*PI()*(((Scenario_Data!V219)/Inputs!$C$49)+Inputs!$C$47*0.137))+0.35*COS(2*PI()*(((Inputs!$C$6)/Inputs!$C$50)+Inputs!$C$47*0.173))+0.2*SIN(2*PI()*((((Scenario_Data!V219)+(Inputs!$C$6))/(0.5*(Inputs!$C$49+Inputs!$C$50)))+Inputs!$C$47*0.097)))+0.3*(2*((SIN(((Scenario_Data!V219)*12.9898+(Inputs!$C$6)*78.233+Inputs!$C$47*37.719))*43758.5453)-INT((SIN(((Scenario_Data!V219)*12.9898+(Inputs!$C$6)*78.233+Inputs!$C$47*37.719))*43758.5453)))-1))))/1000))^2-2*(Inputs!$C$52+(Scenario_Data!D219))*(Inputs!$C$52+((IF(OR(Inputs!$C$27=TRUE,Inputs!$C$27="TRUE",Inputs!$C$27=1),1,0)*(Inputs!$C$51*(115*EXP(-(((Inputs!$C$6)-25)^2)/(4.5^2))+70*EXP(-(((Inputs!$C$6)+38)^2)/(7^2))*(0.55+0.45*SIN(2*PI()*(Scenario_Data!V219)/45))+24*SIN(2*PI()*(Inputs!$C$6)/9+(Scenario_Data!V219)/18)*EXP(-(((Inputs!$C$6)+5)^2)/(22^2))+18*SIN(2*PI()*(Scenario_Data!V219)/70))+Inputs!$C$28*EXP(-(((Scenario_Data!V219)-Inputs!$C$29)^2)/(2*Inputs!$C$31^2))*EXP(-(((Inputs!$C$6)-Inputs!$C$30)^2)/(2*Inputs!$C$32^2))+-Inputs!$C$33*EXP(-(((((Scenario_Data!V219)-Inputs!$C$34)^2)+(((Inputs!$C$6)-Inputs!$C$35)^2))/(2*Inputs!$C$36^2)))+Inputs!$C$37*(0.55*SIN(2*PI()*(Scenario_Data!V219)/Inputs!$C$39)+0.35*COS(2*PI()*(Inputs!$C$6)/Inputs!$C$40)+0.2*SIN(2*PI()*((Scenario_Data!V219)+(Inputs!$C$6))/(0.5*(Inputs!$C$39+Inputs!$C$40))))+Inputs!$C$38*SIN(2*PI()*(Scenario_Data!V219)/Inputs!$C$39)*SIN(2*PI()*(Inputs!$C$6)/Inputs!$C$40)+-Inputs!$C$41*EXP(-(((Inputs!$C$6)-Inputs!$C$43)^2)/(2*Inputs!$C$44^2))*EXP(-(((Scenario_Data!V219)-Inputs!$C$42)^2)/(2*Inputs!$C$45^2))+Inputs!$C$48*(0.7*(0.45*SIN(2*PI()*(((Scenario_Data!V219)/Inputs!$C$49)+Inputs!$C$47*0.137))+0.35*COS(2*PI()*(((Inputs!$C$6)/Inputs!$C$50)+Inputs!$C$47*0.173))+0.2*SIN(2*PI()*((((Scenario_Data!V219)+(Inputs!$C$6))/(0.5*(Inputs!$C$49+Inputs!$C$50)))+Inputs!$C$47*0.097)))+0.3*(2*((SIN(((Scenario_Data!V219)*12.9898+(Inputs!$C$6)*78.233+Inputs!$C$47*37.719))*43758.5453)-INT((SIN(((Scenario_Data!V219)*12.9898+(Inputs!$C$6)*78.233+Inputs!$C$47*37.719))*43758.5453)))-1))))/1000))*COS(SQRT((Scenario_Data!V219)^2+Inputs!$C$6^2)/Inputs!$C$52))*1000)/Inputs!$C$21*1000000</f>
        <v/>
      </c>
      <c r="AV219">
        <f>Scenario_Data!W219</f>
        <v/>
      </c>
      <c r="AW219">
        <f>2*(SQRT((Inputs!$C$52+(Scenario_Data!E219))^2+(Inputs!$C$52+((IF(OR(Inputs!$C$27=TRUE,Inputs!$C$27="TRUE",Inputs!$C$27=1),1,0)*(Inputs!$C$51*(115*EXP(-(((Inputs!$C$6)-25)^2)/(4.5^2))+70*EXP(-(((Inputs!$C$6)+38)^2)/(7^2))*(0.55+0.45*SIN(2*PI()*(Scenario_Data!W219)/45))+24*SIN(2*PI()*(Inputs!$C$6)/9+(Scenario_Data!W219)/18)*EXP(-(((Inputs!$C$6)+5)^2)/(22^2))+18*SIN(2*PI()*(Scenario_Data!W219)/70))+Inputs!$C$28*EXP(-(((Scenario_Data!W219)-Inputs!$C$29)^2)/(2*Inputs!$C$31^2))*EXP(-(((Inputs!$C$6)-Inputs!$C$30)^2)/(2*Inputs!$C$32^2))+-Inputs!$C$33*EXP(-(((((Scenario_Data!W219)-Inputs!$C$34)^2)+(((Inputs!$C$6)-Inputs!$C$35)^2))/(2*Inputs!$C$36^2)))+Inputs!$C$37*(0.55*SIN(2*PI()*(Scenario_Data!W219)/Inputs!$C$39)+0.35*COS(2*PI()*(Inputs!$C$6)/Inputs!$C$40)+0.2*SIN(2*PI()*((Scenario_Data!W219)+(Inputs!$C$6))/(0.5*(Inputs!$C$39+Inputs!$C$40))))+Inputs!$C$38*SIN(2*PI()*(Scenario_Data!W219)/Inputs!$C$39)*SIN(2*PI()*(Inputs!$C$6)/Inputs!$C$40)+-Inputs!$C$41*EXP(-(((Inputs!$C$6)-Inputs!$C$43)^2)/(2*Inputs!$C$44^2))*EXP(-(((Scenario_Data!W219)-Inputs!$C$42)^2)/(2*Inputs!$C$45^2))+Inputs!$C$48*(0.7*(0.45*SIN(2*PI()*(((Scenario_Data!W219)/Inputs!$C$49)+Inputs!$C$47*0.137))+0.35*COS(2*PI()*(((Inputs!$C$6)/Inputs!$C$50)+Inputs!$C$47*0.173))+0.2*SIN(2*PI()*((((Scenario_Data!W219)+(Inputs!$C$6))/(0.5*(Inputs!$C$49+Inputs!$C$50)))+Inputs!$C$47*0.097)))+0.3*(2*((SIN(((Scenario_Data!W219)*12.9898+(Inputs!$C$6)*78.233+Inputs!$C$47*37.719))*43758.5453)-INT((SIN(((Scenario_Data!W219)*12.9898+(Inputs!$C$6)*78.233+Inputs!$C$47*37.719))*43758.5453)))-1))))/1000))^2-2*(Inputs!$C$52+(Scenario_Data!E219))*(Inputs!$C$52+((IF(OR(Inputs!$C$27=TRUE,Inputs!$C$27="TRUE",Inputs!$C$27=1),1,0)*(Inputs!$C$51*(115*EXP(-(((Inputs!$C$6)-25)^2)/(4.5^2))+70*EXP(-(((Inputs!$C$6)+38)^2)/(7^2))*(0.55+0.45*SIN(2*PI()*(Scenario_Data!W219)/45))+24*SIN(2*PI()*(Inputs!$C$6)/9+(Scenario_Data!W219)/18)*EXP(-(((Inputs!$C$6)+5)^2)/(22^2))+18*SIN(2*PI()*(Scenario_Data!W219)/70))+Inputs!$C$28*EXP(-(((Scenario_Data!W219)-Inputs!$C$29)^2)/(2*Inputs!$C$31^2))*EXP(-(((Inputs!$C$6)-Inputs!$C$30)^2)/(2*Inputs!$C$32^2))+-Inputs!$C$33*EXP(-(((((Scenario_Data!W219)-Inputs!$C$34)^2)+(((Inputs!$C$6)-Inputs!$C$35)^2))/(2*Inputs!$C$36^2)))+Inputs!$C$37*(0.55*SIN(2*PI()*(Scenario_Data!W219)/Inputs!$C$39)+0.35*COS(2*PI()*(Inputs!$C$6)/Inputs!$C$40)+0.2*SIN(2*PI()*((Scenario_Data!W219)+(Inputs!$C$6))/(0.5*(Inputs!$C$39+Inputs!$C$40))))+Inputs!$C$38*SIN(2*PI()*(Scenario_Data!W219)/Inputs!$C$39)*SIN(2*PI()*(Inputs!$C$6)/Inputs!$C$40)+-Inputs!$C$41*EXP(-(((Inputs!$C$6)-Inputs!$C$43)^2)/(2*Inputs!$C$44^2))*EXP(-(((Scenario_Data!W219)-Inputs!$C$42)^2)/(2*Inputs!$C$45^2))+Inputs!$C$48*(0.7*(0.45*SIN(2*PI()*(((Scenario_Data!W219)/Inputs!$C$49)+Inputs!$C$47*0.137))+0.35*COS(2*PI()*(((Inputs!$C$6)/Inputs!$C$50)+Inputs!$C$47*0.173))+0.2*SIN(2*PI()*((((Scenario_Data!W219)+(Inputs!$C$6))/(0.5*(Inputs!$C$49+Inputs!$C$50)))+Inputs!$C$47*0.097)))+0.3*(2*((SIN(((Scenario_Data!W219)*12.9898+(Inputs!$C$6)*78.233+Inputs!$C$47*37.719))*43758.5453)-INT((SIN(((Scenario_Data!W219)*12.9898+(Inputs!$C$6)*78.233+Inputs!$C$47*37.719))*43758.5453)))-1))))/1000))*COS(SQRT((Scenario_Data!W219)^2+Inputs!$C$6^2)/Inputs!$C$52))*1000)/Inputs!$C$21*1000000</f>
        <v/>
      </c>
    </row>
    <row r="220">
      <c r="A220">
        <f>Chart_Data!K220</f>
        <v/>
      </c>
      <c r="B220">
        <f>Chart_Data!N220-Chart_Data!L220</f>
        <v/>
      </c>
      <c r="D220">
        <f>Chart_Data!G220</f>
        <v/>
      </c>
      <c r="E220">
        <f>Chart_Data!H220</f>
        <v/>
      </c>
      <c r="F220">
        <f>Chart_Data!I220</f>
        <v/>
      </c>
      <c r="G220">
        <f>Chart_Data!J220</f>
        <v/>
      </c>
      <c r="I220">
        <f>Scenario_Data!A220</f>
        <v/>
      </c>
      <c r="J220">
        <f>Scenario_Data!H220-(((SQRT((Inputs!$C$52+(Inputs!$H$6))^2+Inputs!$C$52^2-2*(Inputs!$C$52+(Inputs!$H$6))*Inputs!$C$52*COS(SQRT((Scenario_Data!T220)^2+Inputs!$C$6^2)/Inputs!$C$52)))-(Inputs!$H$6))*1000/Inputs!$C$12)</f>
        <v/>
      </c>
      <c r="K220">
        <f>Scenario_Data!I220-(((SQRT((Inputs!$C$52+(Inputs!$H$7))^2+Inputs!$C$52^2-2*(Inputs!$C$52+(Inputs!$H$7))*Inputs!$C$52*COS(SQRT((Scenario_Data!U220)^2+Inputs!$C$6^2)/Inputs!$C$52)))-(Inputs!$H$7))*1000/Inputs!$C$12)</f>
        <v/>
      </c>
      <c r="L220">
        <f>Scenario_Data!J220-(((SQRT((Inputs!$C$52+(Inputs!$H$8))^2+Inputs!$C$52^2-2*(Inputs!$C$52+(Inputs!$H$8))*Inputs!$C$52*COS(SQRT((Scenario_Data!V220)^2+Inputs!$C$6^2)/Inputs!$C$52)))-(Inputs!$H$8))*1000/Inputs!$C$12)</f>
        <v/>
      </c>
      <c r="M220">
        <f>Scenario_Data!K220-(((SQRT((Inputs!$C$52+(Inputs!$H$9))^2+Inputs!$C$52^2-2*(Inputs!$C$52+(Inputs!$H$9))*Inputs!$C$52*COS(SQRT((Scenario_Data!W220)^2+Inputs!$C$6^2)/Inputs!$C$52)))-(Inputs!$H$9))*1000/Inputs!$C$12)</f>
        <v/>
      </c>
      <c r="O220">
        <f>Scenario_Data!T220</f>
        <v/>
      </c>
      <c r="P220">
        <f>2*(Scenario_Data!B220*1000)/Inputs!$C$21*1000000</f>
        <v/>
      </c>
      <c r="Q220">
        <f>Scenario_Data!U220</f>
        <v/>
      </c>
      <c r="R220">
        <f>2*(Scenario_Data!C220*1000)/Inputs!$C$21*1000000</f>
        <v/>
      </c>
      <c r="S220">
        <f>Scenario_Data!V220</f>
        <v/>
      </c>
      <c r="T220">
        <f>2*(Scenario_Data!D220*1000)/Inputs!$C$21*1000000</f>
        <v/>
      </c>
      <c r="U220">
        <f>Scenario_Data!W220</f>
        <v/>
      </c>
      <c r="V220">
        <f>2*(Scenario_Data!E220*1000)/Inputs!$C$21*1000000</f>
        <v/>
      </c>
      <c r="X220">
        <f>Scenario_Data!T220</f>
        <v/>
      </c>
      <c r="Y220">
        <f>2*((Scenario_Data!B220*1000)-(IF(OR(Inputs!$C$27=TRUE,Inputs!$C$27="TRUE",Inputs!$C$27=1),1,0)*(Inputs!$C$51*(115*EXP(-(((0)-25)^2)/(4.5^2))+70*EXP(-(((0)+38)^2)/(7^2))*(0.55+0.45*SIN(2*PI()*(Scenario_Data!T220)/45))+24*SIN(2*PI()*(0)/9+(Scenario_Data!T220)/18)*EXP(-(((0)+5)^2)/(22^2))+18*SIN(2*PI()*(Scenario_Data!T220)/70))+Inputs!$C$28*EXP(-(((Scenario_Data!T220)-Inputs!$C$29)^2)/(2*Inputs!$C$31^2))*EXP(-(((0)-Inputs!$C$30)^2)/(2*Inputs!$C$32^2))+-Inputs!$C$33*EXP(-(((((Scenario_Data!T220)-Inputs!$C$34)^2)+(((0)-Inputs!$C$35)^2))/(2*Inputs!$C$36^2)))+Inputs!$C$37*(0.55*SIN(2*PI()*(Scenario_Data!T220)/Inputs!$C$39)+0.35*COS(2*PI()*(0)/Inputs!$C$40)+0.2*SIN(2*PI()*((Scenario_Data!T220)+(0))/(0.5*(Inputs!$C$39+Inputs!$C$40))))+Inputs!$C$38*SIN(2*PI()*(Scenario_Data!T220)/Inputs!$C$39)*SIN(2*PI()*(0)/Inputs!$C$40)+-Inputs!$C$41*EXP(-(((0)-Inputs!$C$43)^2)/(2*Inputs!$C$44^2))*EXP(-(((Scenario_Data!T220)-Inputs!$C$42)^2)/(2*Inputs!$C$45^2))+Inputs!$C$48*(0.7*(0.45*SIN(2*PI()*(((Scenario_Data!T220)/Inputs!$C$49)+Inputs!$C$47*0.137))+0.35*COS(2*PI()*(((0)/Inputs!$C$50)+Inputs!$C$47*0.173))+0.2*SIN(2*PI()*((((Scenario_Data!T220)+(0))/(0.5*(Inputs!$C$49+Inputs!$C$50)))+Inputs!$C$47*0.097)))+0.3*(2*((SIN(((Scenario_Data!T220)*12.9898+(0)*78.233+Inputs!$C$47*37.719))*43758.5453)-INT((SIN(((Scenario_Data!T220)*12.9898+(0)*78.233+Inputs!$C$47*37.719))*43758.5453)))-1)))))/Inputs!$C$21*1000000</f>
        <v/>
      </c>
      <c r="Z220">
        <f>Scenario_Data!U220</f>
        <v/>
      </c>
      <c r="AA220">
        <f>2*((Scenario_Data!C220*1000)-(IF(OR(Inputs!$C$27=TRUE,Inputs!$C$27="TRUE",Inputs!$C$27=1),1,0)*(Inputs!$C$51*(115*EXP(-(((0)-25)^2)/(4.5^2))+70*EXP(-(((0)+38)^2)/(7^2))*(0.55+0.45*SIN(2*PI()*(Scenario_Data!U220)/45))+24*SIN(2*PI()*(0)/9+(Scenario_Data!U220)/18)*EXP(-(((0)+5)^2)/(22^2))+18*SIN(2*PI()*(Scenario_Data!U220)/70))+Inputs!$C$28*EXP(-(((Scenario_Data!U220)-Inputs!$C$29)^2)/(2*Inputs!$C$31^2))*EXP(-(((0)-Inputs!$C$30)^2)/(2*Inputs!$C$32^2))+-Inputs!$C$33*EXP(-(((((Scenario_Data!U220)-Inputs!$C$34)^2)+(((0)-Inputs!$C$35)^2))/(2*Inputs!$C$36^2)))+Inputs!$C$37*(0.55*SIN(2*PI()*(Scenario_Data!U220)/Inputs!$C$39)+0.35*COS(2*PI()*(0)/Inputs!$C$40)+0.2*SIN(2*PI()*((Scenario_Data!U220)+(0))/(0.5*(Inputs!$C$39+Inputs!$C$40))))+Inputs!$C$38*SIN(2*PI()*(Scenario_Data!U220)/Inputs!$C$39)*SIN(2*PI()*(0)/Inputs!$C$40)+-Inputs!$C$41*EXP(-(((0)-Inputs!$C$43)^2)/(2*Inputs!$C$44^2))*EXP(-(((Scenario_Data!U220)-Inputs!$C$42)^2)/(2*Inputs!$C$45^2))+Inputs!$C$48*(0.7*(0.45*SIN(2*PI()*(((Scenario_Data!U220)/Inputs!$C$49)+Inputs!$C$47*0.137))+0.35*COS(2*PI()*(((0)/Inputs!$C$50)+Inputs!$C$47*0.173))+0.2*SIN(2*PI()*((((Scenario_Data!U220)+(0))/(0.5*(Inputs!$C$49+Inputs!$C$50)))+Inputs!$C$47*0.097)))+0.3*(2*((SIN(((Scenario_Data!U220)*12.9898+(0)*78.233+Inputs!$C$47*37.719))*43758.5453)-INT((SIN(((Scenario_Data!U220)*12.9898+(0)*78.233+Inputs!$C$47*37.719))*43758.5453)))-1)))))/Inputs!$C$21*1000000</f>
        <v/>
      </c>
      <c r="AB220">
        <f>Scenario_Data!V220</f>
        <v/>
      </c>
      <c r="AC220">
        <f>2*((Scenario_Data!D220*1000)-(IF(OR(Inputs!$C$27=TRUE,Inputs!$C$27="TRUE",Inputs!$C$27=1),1,0)*(Inputs!$C$51*(115*EXP(-(((0)-25)^2)/(4.5^2))+70*EXP(-(((0)+38)^2)/(7^2))*(0.55+0.45*SIN(2*PI()*(Scenario_Data!V220)/45))+24*SIN(2*PI()*(0)/9+(Scenario_Data!V220)/18)*EXP(-(((0)+5)^2)/(22^2))+18*SIN(2*PI()*(Scenario_Data!V220)/70))+Inputs!$C$28*EXP(-(((Scenario_Data!V220)-Inputs!$C$29)^2)/(2*Inputs!$C$31^2))*EXP(-(((0)-Inputs!$C$30)^2)/(2*Inputs!$C$32^2))+-Inputs!$C$33*EXP(-(((((Scenario_Data!V220)-Inputs!$C$34)^2)+(((0)-Inputs!$C$35)^2))/(2*Inputs!$C$36^2)))+Inputs!$C$37*(0.55*SIN(2*PI()*(Scenario_Data!V220)/Inputs!$C$39)+0.35*COS(2*PI()*(0)/Inputs!$C$40)+0.2*SIN(2*PI()*((Scenario_Data!V220)+(0))/(0.5*(Inputs!$C$39+Inputs!$C$40))))+Inputs!$C$38*SIN(2*PI()*(Scenario_Data!V220)/Inputs!$C$39)*SIN(2*PI()*(0)/Inputs!$C$40)+-Inputs!$C$41*EXP(-(((0)-Inputs!$C$43)^2)/(2*Inputs!$C$44^2))*EXP(-(((Scenario_Data!V220)-Inputs!$C$42)^2)/(2*Inputs!$C$45^2))+Inputs!$C$48*(0.7*(0.45*SIN(2*PI()*(((Scenario_Data!V220)/Inputs!$C$49)+Inputs!$C$47*0.137))+0.35*COS(2*PI()*(((0)/Inputs!$C$50)+Inputs!$C$47*0.173))+0.2*SIN(2*PI()*((((Scenario_Data!V220)+(0))/(0.5*(Inputs!$C$49+Inputs!$C$50)))+Inputs!$C$47*0.097)))+0.3*(2*((SIN(((Scenario_Data!V220)*12.9898+(0)*78.233+Inputs!$C$47*37.719))*43758.5453)-INT((SIN(((Scenario_Data!V220)*12.9898+(0)*78.233+Inputs!$C$47*37.719))*43758.5453)))-1)))))/Inputs!$C$21*1000000</f>
        <v/>
      </c>
      <c r="AD220">
        <f>Scenario_Data!W220</f>
        <v/>
      </c>
      <c r="AE220">
        <f>2*((Scenario_Data!E220*1000)-(IF(OR(Inputs!$C$27=TRUE,Inputs!$C$27="TRUE",Inputs!$C$27=1),1,0)*(Inputs!$C$51*(115*EXP(-(((0)-25)^2)/(4.5^2))+70*EXP(-(((0)+38)^2)/(7^2))*(0.55+0.45*SIN(2*PI()*(Scenario_Data!W220)/45))+24*SIN(2*PI()*(0)/9+(Scenario_Data!W220)/18)*EXP(-(((0)+5)^2)/(22^2))+18*SIN(2*PI()*(Scenario_Data!W220)/70))+Inputs!$C$28*EXP(-(((Scenario_Data!W220)-Inputs!$C$29)^2)/(2*Inputs!$C$31^2))*EXP(-(((0)-Inputs!$C$30)^2)/(2*Inputs!$C$32^2))+-Inputs!$C$33*EXP(-(((((Scenario_Data!W220)-Inputs!$C$34)^2)+(((0)-Inputs!$C$35)^2))/(2*Inputs!$C$36^2)))+Inputs!$C$37*(0.55*SIN(2*PI()*(Scenario_Data!W220)/Inputs!$C$39)+0.35*COS(2*PI()*(0)/Inputs!$C$40)+0.2*SIN(2*PI()*((Scenario_Data!W220)+(0))/(0.5*(Inputs!$C$39+Inputs!$C$40))))+Inputs!$C$38*SIN(2*PI()*(Scenario_Data!W220)/Inputs!$C$39)*SIN(2*PI()*(0)/Inputs!$C$40)+-Inputs!$C$41*EXP(-(((0)-Inputs!$C$43)^2)/(2*Inputs!$C$44^2))*EXP(-(((Scenario_Data!W220)-Inputs!$C$42)^2)/(2*Inputs!$C$45^2))+Inputs!$C$48*(0.7*(0.45*SIN(2*PI()*(((Scenario_Data!W220)/Inputs!$C$49)+Inputs!$C$47*0.137))+0.35*COS(2*PI()*(((0)/Inputs!$C$50)+Inputs!$C$47*0.173))+0.2*SIN(2*PI()*((((Scenario_Data!W220)+(0))/(0.5*(Inputs!$C$49+Inputs!$C$50)))+Inputs!$C$47*0.097)))+0.3*(2*((SIN(((Scenario_Data!W220)*12.9898+(0)*78.233+Inputs!$C$47*37.719))*43758.5453)-INT((SIN(((Scenario_Data!W220)*12.9898+(0)*78.233+Inputs!$C$47*37.719))*43758.5453)))-1)))))/Inputs!$C$21*1000000</f>
        <v/>
      </c>
      <c r="AG220">
        <f>Scenario_Data!T220</f>
        <v/>
      </c>
      <c r="AH220">
        <f>2*(SQRT((Inputs!$C$52+(Scenario_Data!B220))^2+Inputs!$C$52^2-2*(Inputs!$C$52+(Scenario_Data!B220))*Inputs!$C$52*COS(SQRT((Scenario_Data!T220)^2+Inputs!$C$6^2)/Inputs!$C$52))*1000)/Inputs!$C$21*1000000</f>
        <v/>
      </c>
      <c r="AI220">
        <f>Scenario_Data!U220</f>
        <v/>
      </c>
      <c r="AJ220">
        <f>2*(SQRT((Inputs!$C$52+(Scenario_Data!C220))^2+Inputs!$C$52^2-2*(Inputs!$C$52+(Scenario_Data!C220))*Inputs!$C$52*COS(SQRT((Scenario_Data!U220)^2+Inputs!$C$6^2)/Inputs!$C$52))*1000)/Inputs!$C$21*1000000</f>
        <v/>
      </c>
      <c r="AK220">
        <f>Scenario_Data!V220</f>
        <v/>
      </c>
      <c r="AL220">
        <f>2*(SQRT((Inputs!$C$52+(Scenario_Data!D220))^2+Inputs!$C$52^2-2*(Inputs!$C$52+(Scenario_Data!D220))*Inputs!$C$52*COS(SQRT((Scenario_Data!V220)^2+Inputs!$C$6^2)/Inputs!$C$52))*1000)/Inputs!$C$21*1000000</f>
        <v/>
      </c>
      <c r="AM220">
        <f>Scenario_Data!W220</f>
        <v/>
      </c>
      <c r="AN220">
        <f>2*(SQRT((Inputs!$C$52+(Scenario_Data!E220))^2+Inputs!$C$52^2-2*(Inputs!$C$52+(Scenario_Data!E220))*Inputs!$C$52*COS(SQRT((Scenario_Data!W220)^2+Inputs!$C$6^2)/Inputs!$C$52))*1000)/Inputs!$C$21*1000000</f>
        <v/>
      </c>
      <c r="AP220">
        <f>Scenario_Data!T220</f>
        <v/>
      </c>
      <c r="AQ220">
        <f>2*(SQRT((Inputs!$C$52+(Scenario_Data!B220))^2+(Inputs!$C$52+((IF(OR(Inputs!$C$27=TRUE,Inputs!$C$27="TRUE",Inputs!$C$27=1),1,0)*(Inputs!$C$51*(115*EXP(-(((Inputs!$C$6)-25)^2)/(4.5^2))+70*EXP(-(((Inputs!$C$6)+38)^2)/(7^2))*(0.55+0.45*SIN(2*PI()*(Scenario_Data!T220)/45))+24*SIN(2*PI()*(Inputs!$C$6)/9+(Scenario_Data!T220)/18)*EXP(-(((Inputs!$C$6)+5)^2)/(22^2))+18*SIN(2*PI()*(Scenario_Data!T220)/70))+Inputs!$C$28*EXP(-(((Scenario_Data!T220)-Inputs!$C$29)^2)/(2*Inputs!$C$31^2))*EXP(-(((Inputs!$C$6)-Inputs!$C$30)^2)/(2*Inputs!$C$32^2))+-Inputs!$C$33*EXP(-(((((Scenario_Data!T220)-Inputs!$C$34)^2)+(((Inputs!$C$6)-Inputs!$C$35)^2))/(2*Inputs!$C$36^2)))+Inputs!$C$37*(0.55*SIN(2*PI()*(Scenario_Data!T220)/Inputs!$C$39)+0.35*COS(2*PI()*(Inputs!$C$6)/Inputs!$C$40)+0.2*SIN(2*PI()*((Scenario_Data!T220)+(Inputs!$C$6))/(0.5*(Inputs!$C$39+Inputs!$C$40))))+Inputs!$C$38*SIN(2*PI()*(Scenario_Data!T220)/Inputs!$C$39)*SIN(2*PI()*(Inputs!$C$6)/Inputs!$C$40)+-Inputs!$C$41*EXP(-(((Inputs!$C$6)-Inputs!$C$43)^2)/(2*Inputs!$C$44^2))*EXP(-(((Scenario_Data!T220)-Inputs!$C$42)^2)/(2*Inputs!$C$45^2))+Inputs!$C$48*(0.7*(0.45*SIN(2*PI()*(((Scenario_Data!T220)/Inputs!$C$49)+Inputs!$C$47*0.137))+0.35*COS(2*PI()*(((Inputs!$C$6)/Inputs!$C$50)+Inputs!$C$47*0.173))+0.2*SIN(2*PI()*((((Scenario_Data!T220)+(Inputs!$C$6))/(0.5*(Inputs!$C$49+Inputs!$C$50)))+Inputs!$C$47*0.097)))+0.3*(2*((SIN(((Scenario_Data!T220)*12.9898+(Inputs!$C$6)*78.233+Inputs!$C$47*37.719))*43758.5453)-INT((SIN(((Scenario_Data!T220)*12.9898+(Inputs!$C$6)*78.233+Inputs!$C$47*37.719))*43758.5453)))-1))))/1000))^2-2*(Inputs!$C$52+(Scenario_Data!B220))*(Inputs!$C$52+((IF(OR(Inputs!$C$27=TRUE,Inputs!$C$27="TRUE",Inputs!$C$27=1),1,0)*(Inputs!$C$51*(115*EXP(-(((Inputs!$C$6)-25)^2)/(4.5^2))+70*EXP(-(((Inputs!$C$6)+38)^2)/(7^2))*(0.55+0.45*SIN(2*PI()*(Scenario_Data!T220)/45))+24*SIN(2*PI()*(Inputs!$C$6)/9+(Scenario_Data!T220)/18)*EXP(-(((Inputs!$C$6)+5)^2)/(22^2))+18*SIN(2*PI()*(Scenario_Data!T220)/70))+Inputs!$C$28*EXP(-(((Scenario_Data!T220)-Inputs!$C$29)^2)/(2*Inputs!$C$31^2))*EXP(-(((Inputs!$C$6)-Inputs!$C$30)^2)/(2*Inputs!$C$32^2))+-Inputs!$C$33*EXP(-(((((Scenario_Data!T220)-Inputs!$C$34)^2)+(((Inputs!$C$6)-Inputs!$C$35)^2))/(2*Inputs!$C$36^2)))+Inputs!$C$37*(0.55*SIN(2*PI()*(Scenario_Data!T220)/Inputs!$C$39)+0.35*COS(2*PI()*(Inputs!$C$6)/Inputs!$C$40)+0.2*SIN(2*PI()*((Scenario_Data!T220)+(Inputs!$C$6))/(0.5*(Inputs!$C$39+Inputs!$C$40))))+Inputs!$C$38*SIN(2*PI()*(Scenario_Data!T220)/Inputs!$C$39)*SIN(2*PI()*(Inputs!$C$6)/Inputs!$C$40)+-Inputs!$C$41*EXP(-(((Inputs!$C$6)-Inputs!$C$43)^2)/(2*Inputs!$C$44^2))*EXP(-(((Scenario_Data!T220)-Inputs!$C$42)^2)/(2*Inputs!$C$45^2))+Inputs!$C$48*(0.7*(0.45*SIN(2*PI()*(((Scenario_Data!T220)/Inputs!$C$49)+Inputs!$C$47*0.137))+0.35*COS(2*PI()*(((Inputs!$C$6)/Inputs!$C$50)+Inputs!$C$47*0.173))+0.2*SIN(2*PI()*((((Scenario_Data!T220)+(Inputs!$C$6))/(0.5*(Inputs!$C$49+Inputs!$C$50)))+Inputs!$C$47*0.097)))+0.3*(2*((SIN(((Scenario_Data!T220)*12.9898+(Inputs!$C$6)*78.233+Inputs!$C$47*37.719))*43758.5453)-INT((SIN(((Scenario_Data!T220)*12.9898+(Inputs!$C$6)*78.233+Inputs!$C$47*37.719))*43758.5453)))-1))))/1000))*COS(SQRT((Scenario_Data!T220)^2+Inputs!$C$6^2)/Inputs!$C$52))*1000)/Inputs!$C$21*1000000</f>
        <v/>
      </c>
      <c r="AR220">
        <f>Scenario_Data!U220</f>
        <v/>
      </c>
      <c r="AS220">
        <f>2*(SQRT((Inputs!$C$52+(Scenario_Data!C220))^2+(Inputs!$C$52+((IF(OR(Inputs!$C$27=TRUE,Inputs!$C$27="TRUE",Inputs!$C$27=1),1,0)*(Inputs!$C$51*(115*EXP(-(((Inputs!$C$6)-25)^2)/(4.5^2))+70*EXP(-(((Inputs!$C$6)+38)^2)/(7^2))*(0.55+0.45*SIN(2*PI()*(Scenario_Data!U220)/45))+24*SIN(2*PI()*(Inputs!$C$6)/9+(Scenario_Data!U220)/18)*EXP(-(((Inputs!$C$6)+5)^2)/(22^2))+18*SIN(2*PI()*(Scenario_Data!U220)/70))+Inputs!$C$28*EXP(-(((Scenario_Data!U220)-Inputs!$C$29)^2)/(2*Inputs!$C$31^2))*EXP(-(((Inputs!$C$6)-Inputs!$C$30)^2)/(2*Inputs!$C$32^2))+-Inputs!$C$33*EXP(-(((((Scenario_Data!U220)-Inputs!$C$34)^2)+(((Inputs!$C$6)-Inputs!$C$35)^2))/(2*Inputs!$C$36^2)))+Inputs!$C$37*(0.55*SIN(2*PI()*(Scenario_Data!U220)/Inputs!$C$39)+0.35*COS(2*PI()*(Inputs!$C$6)/Inputs!$C$40)+0.2*SIN(2*PI()*((Scenario_Data!U220)+(Inputs!$C$6))/(0.5*(Inputs!$C$39+Inputs!$C$40))))+Inputs!$C$38*SIN(2*PI()*(Scenario_Data!U220)/Inputs!$C$39)*SIN(2*PI()*(Inputs!$C$6)/Inputs!$C$40)+-Inputs!$C$41*EXP(-(((Inputs!$C$6)-Inputs!$C$43)^2)/(2*Inputs!$C$44^2))*EXP(-(((Scenario_Data!U220)-Inputs!$C$42)^2)/(2*Inputs!$C$45^2))+Inputs!$C$48*(0.7*(0.45*SIN(2*PI()*(((Scenario_Data!U220)/Inputs!$C$49)+Inputs!$C$47*0.137))+0.35*COS(2*PI()*(((Inputs!$C$6)/Inputs!$C$50)+Inputs!$C$47*0.173))+0.2*SIN(2*PI()*((((Scenario_Data!U220)+(Inputs!$C$6))/(0.5*(Inputs!$C$49+Inputs!$C$50)))+Inputs!$C$47*0.097)))+0.3*(2*((SIN(((Scenario_Data!U220)*12.9898+(Inputs!$C$6)*78.233+Inputs!$C$47*37.719))*43758.5453)-INT((SIN(((Scenario_Data!U220)*12.9898+(Inputs!$C$6)*78.233+Inputs!$C$47*37.719))*43758.5453)))-1))))/1000))^2-2*(Inputs!$C$52+(Scenario_Data!C220))*(Inputs!$C$52+((IF(OR(Inputs!$C$27=TRUE,Inputs!$C$27="TRUE",Inputs!$C$27=1),1,0)*(Inputs!$C$51*(115*EXP(-(((Inputs!$C$6)-25)^2)/(4.5^2))+70*EXP(-(((Inputs!$C$6)+38)^2)/(7^2))*(0.55+0.45*SIN(2*PI()*(Scenario_Data!U220)/45))+24*SIN(2*PI()*(Inputs!$C$6)/9+(Scenario_Data!U220)/18)*EXP(-(((Inputs!$C$6)+5)^2)/(22^2))+18*SIN(2*PI()*(Scenario_Data!U220)/70))+Inputs!$C$28*EXP(-(((Scenario_Data!U220)-Inputs!$C$29)^2)/(2*Inputs!$C$31^2))*EXP(-(((Inputs!$C$6)-Inputs!$C$30)^2)/(2*Inputs!$C$32^2))+-Inputs!$C$33*EXP(-(((((Scenario_Data!U220)-Inputs!$C$34)^2)+(((Inputs!$C$6)-Inputs!$C$35)^2))/(2*Inputs!$C$36^2)))+Inputs!$C$37*(0.55*SIN(2*PI()*(Scenario_Data!U220)/Inputs!$C$39)+0.35*COS(2*PI()*(Inputs!$C$6)/Inputs!$C$40)+0.2*SIN(2*PI()*((Scenario_Data!U220)+(Inputs!$C$6))/(0.5*(Inputs!$C$39+Inputs!$C$40))))+Inputs!$C$38*SIN(2*PI()*(Scenario_Data!U220)/Inputs!$C$39)*SIN(2*PI()*(Inputs!$C$6)/Inputs!$C$40)+-Inputs!$C$41*EXP(-(((Inputs!$C$6)-Inputs!$C$43)^2)/(2*Inputs!$C$44^2))*EXP(-(((Scenario_Data!U220)-Inputs!$C$42)^2)/(2*Inputs!$C$45^2))+Inputs!$C$48*(0.7*(0.45*SIN(2*PI()*(((Scenario_Data!U220)/Inputs!$C$49)+Inputs!$C$47*0.137))+0.35*COS(2*PI()*(((Inputs!$C$6)/Inputs!$C$50)+Inputs!$C$47*0.173))+0.2*SIN(2*PI()*((((Scenario_Data!U220)+(Inputs!$C$6))/(0.5*(Inputs!$C$49+Inputs!$C$50)))+Inputs!$C$47*0.097)))+0.3*(2*((SIN(((Scenario_Data!U220)*12.9898+(Inputs!$C$6)*78.233+Inputs!$C$47*37.719))*43758.5453)-INT((SIN(((Scenario_Data!U220)*12.9898+(Inputs!$C$6)*78.233+Inputs!$C$47*37.719))*43758.5453)))-1))))/1000))*COS(SQRT((Scenario_Data!U220)^2+Inputs!$C$6^2)/Inputs!$C$52))*1000)/Inputs!$C$21*1000000</f>
        <v/>
      </c>
      <c r="AT220">
        <f>Scenario_Data!V220</f>
        <v/>
      </c>
      <c r="AU220">
        <f>2*(SQRT((Inputs!$C$52+(Scenario_Data!D220))^2+(Inputs!$C$52+((IF(OR(Inputs!$C$27=TRUE,Inputs!$C$27="TRUE",Inputs!$C$27=1),1,0)*(Inputs!$C$51*(115*EXP(-(((Inputs!$C$6)-25)^2)/(4.5^2))+70*EXP(-(((Inputs!$C$6)+38)^2)/(7^2))*(0.55+0.45*SIN(2*PI()*(Scenario_Data!V220)/45))+24*SIN(2*PI()*(Inputs!$C$6)/9+(Scenario_Data!V220)/18)*EXP(-(((Inputs!$C$6)+5)^2)/(22^2))+18*SIN(2*PI()*(Scenario_Data!V220)/70))+Inputs!$C$28*EXP(-(((Scenario_Data!V220)-Inputs!$C$29)^2)/(2*Inputs!$C$31^2))*EXP(-(((Inputs!$C$6)-Inputs!$C$30)^2)/(2*Inputs!$C$32^2))+-Inputs!$C$33*EXP(-(((((Scenario_Data!V220)-Inputs!$C$34)^2)+(((Inputs!$C$6)-Inputs!$C$35)^2))/(2*Inputs!$C$36^2)))+Inputs!$C$37*(0.55*SIN(2*PI()*(Scenario_Data!V220)/Inputs!$C$39)+0.35*COS(2*PI()*(Inputs!$C$6)/Inputs!$C$40)+0.2*SIN(2*PI()*((Scenario_Data!V220)+(Inputs!$C$6))/(0.5*(Inputs!$C$39+Inputs!$C$40))))+Inputs!$C$38*SIN(2*PI()*(Scenario_Data!V220)/Inputs!$C$39)*SIN(2*PI()*(Inputs!$C$6)/Inputs!$C$40)+-Inputs!$C$41*EXP(-(((Inputs!$C$6)-Inputs!$C$43)^2)/(2*Inputs!$C$44^2))*EXP(-(((Scenario_Data!V220)-Inputs!$C$42)^2)/(2*Inputs!$C$45^2))+Inputs!$C$48*(0.7*(0.45*SIN(2*PI()*(((Scenario_Data!V220)/Inputs!$C$49)+Inputs!$C$47*0.137))+0.35*COS(2*PI()*(((Inputs!$C$6)/Inputs!$C$50)+Inputs!$C$47*0.173))+0.2*SIN(2*PI()*((((Scenario_Data!V220)+(Inputs!$C$6))/(0.5*(Inputs!$C$49+Inputs!$C$50)))+Inputs!$C$47*0.097)))+0.3*(2*((SIN(((Scenario_Data!V220)*12.9898+(Inputs!$C$6)*78.233+Inputs!$C$47*37.719))*43758.5453)-INT((SIN(((Scenario_Data!V220)*12.9898+(Inputs!$C$6)*78.233+Inputs!$C$47*37.719))*43758.5453)))-1))))/1000))^2-2*(Inputs!$C$52+(Scenario_Data!D220))*(Inputs!$C$52+((IF(OR(Inputs!$C$27=TRUE,Inputs!$C$27="TRUE",Inputs!$C$27=1),1,0)*(Inputs!$C$51*(115*EXP(-(((Inputs!$C$6)-25)^2)/(4.5^2))+70*EXP(-(((Inputs!$C$6)+38)^2)/(7^2))*(0.55+0.45*SIN(2*PI()*(Scenario_Data!V220)/45))+24*SIN(2*PI()*(Inputs!$C$6)/9+(Scenario_Data!V220)/18)*EXP(-(((Inputs!$C$6)+5)^2)/(22^2))+18*SIN(2*PI()*(Scenario_Data!V220)/70))+Inputs!$C$28*EXP(-(((Scenario_Data!V220)-Inputs!$C$29)^2)/(2*Inputs!$C$31^2))*EXP(-(((Inputs!$C$6)-Inputs!$C$30)^2)/(2*Inputs!$C$32^2))+-Inputs!$C$33*EXP(-(((((Scenario_Data!V220)-Inputs!$C$34)^2)+(((Inputs!$C$6)-Inputs!$C$35)^2))/(2*Inputs!$C$36^2)))+Inputs!$C$37*(0.55*SIN(2*PI()*(Scenario_Data!V220)/Inputs!$C$39)+0.35*COS(2*PI()*(Inputs!$C$6)/Inputs!$C$40)+0.2*SIN(2*PI()*((Scenario_Data!V220)+(Inputs!$C$6))/(0.5*(Inputs!$C$39+Inputs!$C$40))))+Inputs!$C$38*SIN(2*PI()*(Scenario_Data!V220)/Inputs!$C$39)*SIN(2*PI()*(Inputs!$C$6)/Inputs!$C$40)+-Inputs!$C$41*EXP(-(((Inputs!$C$6)-Inputs!$C$43)^2)/(2*Inputs!$C$44^2))*EXP(-(((Scenario_Data!V220)-Inputs!$C$42)^2)/(2*Inputs!$C$45^2))+Inputs!$C$48*(0.7*(0.45*SIN(2*PI()*(((Scenario_Data!V220)/Inputs!$C$49)+Inputs!$C$47*0.137))+0.35*COS(2*PI()*(((Inputs!$C$6)/Inputs!$C$50)+Inputs!$C$47*0.173))+0.2*SIN(2*PI()*((((Scenario_Data!V220)+(Inputs!$C$6))/(0.5*(Inputs!$C$49+Inputs!$C$50)))+Inputs!$C$47*0.097)))+0.3*(2*((SIN(((Scenario_Data!V220)*12.9898+(Inputs!$C$6)*78.233+Inputs!$C$47*37.719))*43758.5453)-INT((SIN(((Scenario_Data!V220)*12.9898+(Inputs!$C$6)*78.233+Inputs!$C$47*37.719))*43758.5453)))-1))))/1000))*COS(SQRT((Scenario_Data!V220)^2+Inputs!$C$6^2)/Inputs!$C$52))*1000)/Inputs!$C$21*1000000</f>
        <v/>
      </c>
      <c r="AV220">
        <f>Scenario_Data!W220</f>
        <v/>
      </c>
      <c r="AW220">
        <f>2*(SQRT((Inputs!$C$52+(Scenario_Data!E220))^2+(Inputs!$C$52+((IF(OR(Inputs!$C$27=TRUE,Inputs!$C$27="TRUE",Inputs!$C$27=1),1,0)*(Inputs!$C$51*(115*EXP(-(((Inputs!$C$6)-25)^2)/(4.5^2))+70*EXP(-(((Inputs!$C$6)+38)^2)/(7^2))*(0.55+0.45*SIN(2*PI()*(Scenario_Data!W220)/45))+24*SIN(2*PI()*(Inputs!$C$6)/9+(Scenario_Data!W220)/18)*EXP(-(((Inputs!$C$6)+5)^2)/(22^2))+18*SIN(2*PI()*(Scenario_Data!W220)/70))+Inputs!$C$28*EXP(-(((Scenario_Data!W220)-Inputs!$C$29)^2)/(2*Inputs!$C$31^2))*EXP(-(((Inputs!$C$6)-Inputs!$C$30)^2)/(2*Inputs!$C$32^2))+-Inputs!$C$33*EXP(-(((((Scenario_Data!W220)-Inputs!$C$34)^2)+(((Inputs!$C$6)-Inputs!$C$35)^2))/(2*Inputs!$C$36^2)))+Inputs!$C$37*(0.55*SIN(2*PI()*(Scenario_Data!W220)/Inputs!$C$39)+0.35*COS(2*PI()*(Inputs!$C$6)/Inputs!$C$40)+0.2*SIN(2*PI()*((Scenario_Data!W220)+(Inputs!$C$6))/(0.5*(Inputs!$C$39+Inputs!$C$40))))+Inputs!$C$38*SIN(2*PI()*(Scenario_Data!W220)/Inputs!$C$39)*SIN(2*PI()*(Inputs!$C$6)/Inputs!$C$40)+-Inputs!$C$41*EXP(-(((Inputs!$C$6)-Inputs!$C$43)^2)/(2*Inputs!$C$44^2))*EXP(-(((Scenario_Data!W220)-Inputs!$C$42)^2)/(2*Inputs!$C$45^2))+Inputs!$C$48*(0.7*(0.45*SIN(2*PI()*(((Scenario_Data!W220)/Inputs!$C$49)+Inputs!$C$47*0.137))+0.35*COS(2*PI()*(((Inputs!$C$6)/Inputs!$C$50)+Inputs!$C$47*0.173))+0.2*SIN(2*PI()*((((Scenario_Data!W220)+(Inputs!$C$6))/(0.5*(Inputs!$C$49+Inputs!$C$50)))+Inputs!$C$47*0.097)))+0.3*(2*((SIN(((Scenario_Data!W220)*12.9898+(Inputs!$C$6)*78.233+Inputs!$C$47*37.719))*43758.5453)-INT((SIN(((Scenario_Data!W220)*12.9898+(Inputs!$C$6)*78.233+Inputs!$C$47*37.719))*43758.5453)))-1))))/1000))^2-2*(Inputs!$C$52+(Scenario_Data!E220))*(Inputs!$C$52+((IF(OR(Inputs!$C$27=TRUE,Inputs!$C$27="TRUE",Inputs!$C$27=1),1,0)*(Inputs!$C$51*(115*EXP(-(((Inputs!$C$6)-25)^2)/(4.5^2))+70*EXP(-(((Inputs!$C$6)+38)^2)/(7^2))*(0.55+0.45*SIN(2*PI()*(Scenario_Data!W220)/45))+24*SIN(2*PI()*(Inputs!$C$6)/9+(Scenario_Data!W220)/18)*EXP(-(((Inputs!$C$6)+5)^2)/(22^2))+18*SIN(2*PI()*(Scenario_Data!W220)/70))+Inputs!$C$28*EXP(-(((Scenario_Data!W220)-Inputs!$C$29)^2)/(2*Inputs!$C$31^2))*EXP(-(((Inputs!$C$6)-Inputs!$C$30)^2)/(2*Inputs!$C$32^2))+-Inputs!$C$33*EXP(-(((((Scenario_Data!W220)-Inputs!$C$34)^2)+(((Inputs!$C$6)-Inputs!$C$35)^2))/(2*Inputs!$C$36^2)))+Inputs!$C$37*(0.55*SIN(2*PI()*(Scenario_Data!W220)/Inputs!$C$39)+0.35*COS(2*PI()*(Inputs!$C$6)/Inputs!$C$40)+0.2*SIN(2*PI()*((Scenario_Data!W220)+(Inputs!$C$6))/(0.5*(Inputs!$C$39+Inputs!$C$40))))+Inputs!$C$38*SIN(2*PI()*(Scenario_Data!W220)/Inputs!$C$39)*SIN(2*PI()*(Inputs!$C$6)/Inputs!$C$40)+-Inputs!$C$41*EXP(-(((Inputs!$C$6)-Inputs!$C$43)^2)/(2*Inputs!$C$44^2))*EXP(-(((Scenario_Data!W220)-Inputs!$C$42)^2)/(2*Inputs!$C$45^2))+Inputs!$C$48*(0.7*(0.45*SIN(2*PI()*(((Scenario_Data!W220)/Inputs!$C$49)+Inputs!$C$47*0.137))+0.35*COS(2*PI()*(((Inputs!$C$6)/Inputs!$C$50)+Inputs!$C$47*0.173))+0.2*SIN(2*PI()*((((Scenario_Data!W220)+(Inputs!$C$6))/(0.5*(Inputs!$C$49+Inputs!$C$50)))+Inputs!$C$47*0.097)))+0.3*(2*((SIN(((Scenario_Data!W220)*12.9898+(Inputs!$C$6)*78.233+Inputs!$C$47*37.719))*43758.5453)-INT((SIN(((Scenario_Data!W220)*12.9898+(Inputs!$C$6)*78.233+Inputs!$C$47*37.719))*43758.5453)))-1))))/1000))*COS(SQRT((Scenario_Data!W220)^2+Inputs!$C$6^2)/Inputs!$C$52))*1000)/Inputs!$C$21*1000000</f>
        <v/>
      </c>
    </row>
    <row r="221">
      <c r="A221">
        <f>Chart_Data!K221</f>
        <v/>
      </c>
      <c r="B221">
        <f>Chart_Data!N221-Chart_Data!L221</f>
        <v/>
      </c>
      <c r="D221">
        <f>Chart_Data!G221</f>
        <v/>
      </c>
      <c r="E221">
        <f>Chart_Data!H221</f>
        <v/>
      </c>
      <c r="F221">
        <f>Chart_Data!I221</f>
        <v/>
      </c>
      <c r="G221">
        <f>Chart_Data!J221</f>
        <v/>
      </c>
      <c r="I221">
        <f>Scenario_Data!A221</f>
        <v/>
      </c>
      <c r="J221">
        <f>Scenario_Data!H221-(((SQRT((Inputs!$C$52+(Inputs!$H$6))^2+Inputs!$C$52^2-2*(Inputs!$C$52+(Inputs!$H$6))*Inputs!$C$52*COS(SQRT((Scenario_Data!T221)^2+Inputs!$C$6^2)/Inputs!$C$52)))-(Inputs!$H$6))*1000/Inputs!$C$12)</f>
        <v/>
      </c>
      <c r="K221">
        <f>Scenario_Data!I221-(((SQRT((Inputs!$C$52+(Inputs!$H$7))^2+Inputs!$C$52^2-2*(Inputs!$C$52+(Inputs!$H$7))*Inputs!$C$52*COS(SQRT((Scenario_Data!U221)^2+Inputs!$C$6^2)/Inputs!$C$52)))-(Inputs!$H$7))*1000/Inputs!$C$12)</f>
        <v/>
      </c>
      <c r="L221">
        <f>Scenario_Data!J221-(((SQRT((Inputs!$C$52+(Inputs!$H$8))^2+Inputs!$C$52^2-2*(Inputs!$C$52+(Inputs!$H$8))*Inputs!$C$52*COS(SQRT((Scenario_Data!V221)^2+Inputs!$C$6^2)/Inputs!$C$52)))-(Inputs!$H$8))*1000/Inputs!$C$12)</f>
        <v/>
      </c>
      <c r="M221">
        <f>Scenario_Data!K221-(((SQRT((Inputs!$C$52+(Inputs!$H$9))^2+Inputs!$C$52^2-2*(Inputs!$C$52+(Inputs!$H$9))*Inputs!$C$52*COS(SQRT((Scenario_Data!W221)^2+Inputs!$C$6^2)/Inputs!$C$52)))-(Inputs!$H$9))*1000/Inputs!$C$12)</f>
        <v/>
      </c>
      <c r="O221">
        <f>Scenario_Data!T221</f>
        <v/>
      </c>
      <c r="P221">
        <f>2*(Scenario_Data!B221*1000)/Inputs!$C$21*1000000</f>
        <v/>
      </c>
      <c r="Q221">
        <f>Scenario_Data!U221</f>
        <v/>
      </c>
      <c r="R221">
        <f>2*(Scenario_Data!C221*1000)/Inputs!$C$21*1000000</f>
        <v/>
      </c>
      <c r="S221">
        <f>Scenario_Data!V221</f>
        <v/>
      </c>
      <c r="T221">
        <f>2*(Scenario_Data!D221*1000)/Inputs!$C$21*1000000</f>
        <v/>
      </c>
      <c r="U221">
        <f>Scenario_Data!W221</f>
        <v/>
      </c>
      <c r="V221">
        <f>2*(Scenario_Data!E221*1000)/Inputs!$C$21*1000000</f>
        <v/>
      </c>
      <c r="X221">
        <f>Scenario_Data!T221</f>
        <v/>
      </c>
      <c r="Y221">
        <f>2*((Scenario_Data!B221*1000)-(IF(OR(Inputs!$C$27=TRUE,Inputs!$C$27="TRUE",Inputs!$C$27=1),1,0)*(Inputs!$C$51*(115*EXP(-(((0)-25)^2)/(4.5^2))+70*EXP(-(((0)+38)^2)/(7^2))*(0.55+0.45*SIN(2*PI()*(Scenario_Data!T221)/45))+24*SIN(2*PI()*(0)/9+(Scenario_Data!T221)/18)*EXP(-(((0)+5)^2)/(22^2))+18*SIN(2*PI()*(Scenario_Data!T221)/70))+Inputs!$C$28*EXP(-(((Scenario_Data!T221)-Inputs!$C$29)^2)/(2*Inputs!$C$31^2))*EXP(-(((0)-Inputs!$C$30)^2)/(2*Inputs!$C$32^2))+-Inputs!$C$33*EXP(-(((((Scenario_Data!T221)-Inputs!$C$34)^2)+(((0)-Inputs!$C$35)^2))/(2*Inputs!$C$36^2)))+Inputs!$C$37*(0.55*SIN(2*PI()*(Scenario_Data!T221)/Inputs!$C$39)+0.35*COS(2*PI()*(0)/Inputs!$C$40)+0.2*SIN(2*PI()*((Scenario_Data!T221)+(0))/(0.5*(Inputs!$C$39+Inputs!$C$40))))+Inputs!$C$38*SIN(2*PI()*(Scenario_Data!T221)/Inputs!$C$39)*SIN(2*PI()*(0)/Inputs!$C$40)+-Inputs!$C$41*EXP(-(((0)-Inputs!$C$43)^2)/(2*Inputs!$C$44^2))*EXP(-(((Scenario_Data!T221)-Inputs!$C$42)^2)/(2*Inputs!$C$45^2))+Inputs!$C$48*(0.7*(0.45*SIN(2*PI()*(((Scenario_Data!T221)/Inputs!$C$49)+Inputs!$C$47*0.137))+0.35*COS(2*PI()*(((0)/Inputs!$C$50)+Inputs!$C$47*0.173))+0.2*SIN(2*PI()*((((Scenario_Data!T221)+(0))/(0.5*(Inputs!$C$49+Inputs!$C$50)))+Inputs!$C$47*0.097)))+0.3*(2*((SIN(((Scenario_Data!T221)*12.9898+(0)*78.233+Inputs!$C$47*37.719))*43758.5453)-INT((SIN(((Scenario_Data!T221)*12.9898+(0)*78.233+Inputs!$C$47*37.719))*43758.5453)))-1)))))/Inputs!$C$21*1000000</f>
        <v/>
      </c>
      <c r="Z221">
        <f>Scenario_Data!U221</f>
        <v/>
      </c>
      <c r="AA221">
        <f>2*((Scenario_Data!C221*1000)-(IF(OR(Inputs!$C$27=TRUE,Inputs!$C$27="TRUE",Inputs!$C$27=1),1,0)*(Inputs!$C$51*(115*EXP(-(((0)-25)^2)/(4.5^2))+70*EXP(-(((0)+38)^2)/(7^2))*(0.55+0.45*SIN(2*PI()*(Scenario_Data!U221)/45))+24*SIN(2*PI()*(0)/9+(Scenario_Data!U221)/18)*EXP(-(((0)+5)^2)/(22^2))+18*SIN(2*PI()*(Scenario_Data!U221)/70))+Inputs!$C$28*EXP(-(((Scenario_Data!U221)-Inputs!$C$29)^2)/(2*Inputs!$C$31^2))*EXP(-(((0)-Inputs!$C$30)^2)/(2*Inputs!$C$32^2))+-Inputs!$C$33*EXP(-(((((Scenario_Data!U221)-Inputs!$C$34)^2)+(((0)-Inputs!$C$35)^2))/(2*Inputs!$C$36^2)))+Inputs!$C$37*(0.55*SIN(2*PI()*(Scenario_Data!U221)/Inputs!$C$39)+0.35*COS(2*PI()*(0)/Inputs!$C$40)+0.2*SIN(2*PI()*((Scenario_Data!U221)+(0))/(0.5*(Inputs!$C$39+Inputs!$C$40))))+Inputs!$C$38*SIN(2*PI()*(Scenario_Data!U221)/Inputs!$C$39)*SIN(2*PI()*(0)/Inputs!$C$40)+-Inputs!$C$41*EXP(-(((0)-Inputs!$C$43)^2)/(2*Inputs!$C$44^2))*EXP(-(((Scenario_Data!U221)-Inputs!$C$42)^2)/(2*Inputs!$C$45^2))+Inputs!$C$48*(0.7*(0.45*SIN(2*PI()*(((Scenario_Data!U221)/Inputs!$C$49)+Inputs!$C$47*0.137))+0.35*COS(2*PI()*(((0)/Inputs!$C$50)+Inputs!$C$47*0.173))+0.2*SIN(2*PI()*((((Scenario_Data!U221)+(0))/(0.5*(Inputs!$C$49+Inputs!$C$50)))+Inputs!$C$47*0.097)))+0.3*(2*((SIN(((Scenario_Data!U221)*12.9898+(0)*78.233+Inputs!$C$47*37.719))*43758.5453)-INT((SIN(((Scenario_Data!U221)*12.9898+(0)*78.233+Inputs!$C$47*37.719))*43758.5453)))-1)))))/Inputs!$C$21*1000000</f>
        <v/>
      </c>
      <c r="AB221">
        <f>Scenario_Data!V221</f>
        <v/>
      </c>
      <c r="AC221">
        <f>2*((Scenario_Data!D221*1000)-(IF(OR(Inputs!$C$27=TRUE,Inputs!$C$27="TRUE",Inputs!$C$27=1),1,0)*(Inputs!$C$51*(115*EXP(-(((0)-25)^2)/(4.5^2))+70*EXP(-(((0)+38)^2)/(7^2))*(0.55+0.45*SIN(2*PI()*(Scenario_Data!V221)/45))+24*SIN(2*PI()*(0)/9+(Scenario_Data!V221)/18)*EXP(-(((0)+5)^2)/(22^2))+18*SIN(2*PI()*(Scenario_Data!V221)/70))+Inputs!$C$28*EXP(-(((Scenario_Data!V221)-Inputs!$C$29)^2)/(2*Inputs!$C$31^2))*EXP(-(((0)-Inputs!$C$30)^2)/(2*Inputs!$C$32^2))+-Inputs!$C$33*EXP(-(((((Scenario_Data!V221)-Inputs!$C$34)^2)+(((0)-Inputs!$C$35)^2))/(2*Inputs!$C$36^2)))+Inputs!$C$37*(0.55*SIN(2*PI()*(Scenario_Data!V221)/Inputs!$C$39)+0.35*COS(2*PI()*(0)/Inputs!$C$40)+0.2*SIN(2*PI()*((Scenario_Data!V221)+(0))/(0.5*(Inputs!$C$39+Inputs!$C$40))))+Inputs!$C$38*SIN(2*PI()*(Scenario_Data!V221)/Inputs!$C$39)*SIN(2*PI()*(0)/Inputs!$C$40)+-Inputs!$C$41*EXP(-(((0)-Inputs!$C$43)^2)/(2*Inputs!$C$44^2))*EXP(-(((Scenario_Data!V221)-Inputs!$C$42)^2)/(2*Inputs!$C$45^2))+Inputs!$C$48*(0.7*(0.45*SIN(2*PI()*(((Scenario_Data!V221)/Inputs!$C$49)+Inputs!$C$47*0.137))+0.35*COS(2*PI()*(((0)/Inputs!$C$50)+Inputs!$C$47*0.173))+0.2*SIN(2*PI()*((((Scenario_Data!V221)+(0))/(0.5*(Inputs!$C$49+Inputs!$C$50)))+Inputs!$C$47*0.097)))+0.3*(2*((SIN(((Scenario_Data!V221)*12.9898+(0)*78.233+Inputs!$C$47*37.719))*43758.5453)-INT((SIN(((Scenario_Data!V221)*12.9898+(0)*78.233+Inputs!$C$47*37.719))*43758.5453)))-1)))))/Inputs!$C$21*1000000</f>
        <v/>
      </c>
      <c r="AD221">
        <f>Scenario_Data!W221</f>
        <v/>
      </c>
      <c r="AE221">
        <f>2*((Scenario_Data!E221*1000)-(IF(OR(Inputs!$C$27=TRUE,Inputs!$C$27="TRUE",Inputs!$C$27=1),1,0)*(Inputs!$C$51*(115*EXP(-(((0)-25)^2)/(4.5^2))+70*EXP(-(((0)+38)^2)/(7^2))*(0.55+0.45*SIN(2*PI()*(Scenario_Data!W221)/45))+24*SIN(2*PI()*(0)/9+(Scenario_Data!W221)/18)*EXP(-(((0)+5)^2)/(22^2))+18*SIN(2*PI()*(Scenario_Data!W221)/70))+Inputs!$C$28*EXP(-(((Scenario_Data!W221)-Inputs!$C$29)^2)/(2*Inputs!$C$31^2))*EXP(-(((0)-Inputs!$C$30)^2)/(2*Inputs!$C$32^2))+-Inputs!$C$33*EXP(-(((((Scenario_Data!W221)-Inputs!$C$34)^2)+(((0)-Inputs!$C$35)^2))/(2*Inputs!$C$36^2)))+Inputs!$C$37*(0.55*SIN(2*PI()*(Scenario_Data!W221)/Inputs!$C$39)+0.35*COS(2*PI()*(0)/Inputs!$C$40)+0.2*SIN(2*PI()*((Scenario_Data!W221)+(0))/(0.5*(Inputs!$C$39+Inputs!$C$40))))+Inputs!$C$38*SIN(2*PI()*(Scenario_Data!W221)/Inputs!$C$39)*SIN(2*PI()*(0)/Inputs!$C$40)+-Inputs!$C$41*EXP(-(((0)-Inputs!$C$43)^2)/(2*Inputs!$C$44^2))*EXP(-(((Scenario_Data!W221)-Inputs!$C$42)^2)/(2*Inputs!$C$45^2))+Inputs!$C$48*(0.7*(0.45*SIN(2*PI()*(((Scenario_Data!W221)/Inputs!$C$49)+Inputs!$C$47*0.137))+0.35*COS(2*PI()*(((0)/Inputs!$C$50)+Inputs!$C$47*0.173))+0.2*SIN(2*PI()*((((Scenario_Data!W221)+(0))/(0.5*(Inputs!$C$49+Inputs!$C$50)))+Inputs!$C$47*0.097)))+0.3*(2*((SIN(((Scenario_Data!W221)*12.9898+(0)*78.233+Inputs!$C$47*37.719))*43758.5453)-INT((SIN(((Scenario_Data!W221)*12.9898+(0)*78.233+Inputs!$C$47*37.719))*43758.5453)))-1)))))/Inputs!$C$21*1000000</f>
        <v/>
      </c>
      <c r="AG221">
        <f>Scenario_Data!T221</f>
        <v/>
      </c>
      <c r="AH221">
        <f>2*(SQRT((Inputs!$C$52+(Scenario_Data!B221))^2+Inputs!$C$52^2-2*(Inputs!$C$52+(Scenario_Data!B221))*Inputs!$C$52*COS(SQRT((Scenario_Data!T221)^2+Inputs!$C$6^2)/Inputs!$C$52))*1000)/Inputs!$C$21*1000000</f>
        <v/>
      </c>
      <c r="AI221">
        <f>Scenario_Data!U221</f>
        <v/>
      </c>
      <c r="AJ221">
        <f>2*(SQRT((Inputs!$C$52+(Scenario_Data!C221))^2+Inputs!$C$52^2-2*(Inputs!$C$52+(Scenario_Data!C221))*Inputs!$C$52*COS(SQRT((Scenario_Data!U221)^2+Inputs!$C$6^2)/Inputs!$C$52))*1000)/Inputs!$C$21*1000000</f>
        <v/>
      </c>
      <c r="AK221">
        <f>Scenario_Data!V221</f>
        <v/>
      </c>
      <c r="AL221">
        <f>2*(SQRT((Inputs!$C$52+(Scenario_Data!D221))^2+Inputs!$C$52^2-2*(Inputs!$C$52+(Scenario_Data!D221))*Inputs!$C$52*COS(SQRT((Scenario_Data!V221)^2+Inputs!$C$6^2)/Inputs!$C$52))*1000)/Inputs!$C$21*1000000</f>
        <v/>
      </c>
      <c r="AM221">
        <f>Scenario_Data!W221</f>
        <v/>
      </c>
      <c r="AN221">
        <f>2*(SQRT((Inputs!$C$52+(Scenario_Data!E221))^2+Inputs!$C$52^2-2*(Inputs!$C$52+(Scenario_Data!E221))*Inputs!$C$52*COS(SQRT((Scenario_Data!W221)^2+Inputs!$C$6^2)/Inputs!$C$52))*1000)/Inputs!$C$21*1000000</f>
        <v/>
      </c>
      <c r="AP221">
        <f>Scenario_Data!T221</f>
        <v/>
      </c>
      <c r="AQ221">
        <f>2*(SQRT((Inputs!$C$52+(Scenario_Data!B221))^2+(Inputs!$C$52+((IF(OR(Inputs!$C$27=TRUE,Inputs!$C$27="TRUE",Inputs!$C$27=1),1,0)*(Inputs!$C$51*(115*EXP(-(((Inputs!$C$6)-25)^2)/(4.5^2))+70*EXP(-(((Inputs!$C$6)+38)^2)/(7^2))*(0.55+0.45*SIN(2*PI()*(Scenario_Data!T221)/45))+24*SIN(2*PI()*(Inputs!$C$6)/9+(Scenario_Data!T221)/18)*EXP(-(((Inputs!$C$6)+5)^2)/(22^2))+18*SIN(2*PI()*(Scenario_Data!T221)/70))+Inputs!$C$28*EXP(-(((Scenario_Data!T221)-Inputs!$C$29)^2)/(2*Inputs!$C$31^2))*EXP(-(((Inputs!$C$6)-Inputs!$C$30)^2)/(2*Inputs!$C$32^2))+-Inputs!$C$33*EXP(-(((((Scenario_Data!T221)-Inputs!$C$34)^2)+(((Inputs!$C$6)-Inputs!$C$35)^2))/(2*Inputs!$C$36^2)))+Inputs!$C$37*(0.55*SIN(2*PI()*(Scenario_Data!T221)/Inputs!$C$39)+0.35*COS(2*PI()*(Inputs!$C$6)/Inputs!$C$40)+0.2*SIN(2*PI()*((Scenario_Data!T221)+(Inputs!$C$6))/(0.5*(Inputs!$C$39+Inputs!$C$40))))+Inputs!$C$38*SIN(2*PI()*(Scenario_Data!T221)/Inputs!$C$39)*SIN(2*PI()*(Inputs!$C$6)/Inputs!$C$40)+-Inputs!$C$41*EXP(-(((Inputs!$C$6)-Inputs!$C$43)^2)/(2*Inputs!$C$44^2))*EXP(-(((Scenario_Data!T221)-Inputs!$C$42)^2)/(2*Inputs!$C$45^2))+Inputs!$C$48*(0.7*(0.45*SIN(2*PI()*(((Scenario_Data!T221)/Inputs!$C$49)+Inputs!$C$47*0.137))+0.35*COS(2*PI()*(((Inputs!$C$6)/Inputs!$C$50)+Inputs!$C$47*0.173))+0.2*SIN(2*PI()*((((Scenario_Data!T221)+(Inputs!$C$6))/(0.5*(Inputs!$C$49+Inputs!$C$50)))+Inputs!$C$47*0.097)))+0.3*(2*((SIN(((Scenario_Data!T221)*12.9898+(Inputs!$C$6)*78.233+Inputs!$C$47*37.719))*43758.5453)-INT((SIN(((Scenario_Data!T221)*12.9898+(Inputs!$C$6)*78.233+Inputs!$C$47*37.719))*43758.5453)))-1))))/1000))^2-2*(Inputs!$C$52+(Scenario_Data!B221))*(Inputs!$C$52+((IF(OR(Inputs!$C$27=TRUE,Inputs!$C$27="TRUE",Inputs!$C$27=1),1,0)*(Inputs!$C$51*(115*EXP(-(((Inputs!$C$6)-25)^2)/(4.5^2))+70*EXP(-(((Inputs!$C$6)+38)^2)/(7^2))*(0.55+0.45*SIN(2*PI()*(Scenario_Data!T221)/45))+24*SIN(2*PI()*(Inputs!$C$6)/9+(Scenario_Data!T221)/18)*EXP(-(((Inputs!$C$6)+5)^2)/(22^2))+18*SIN(2*PI()*(Scenario_Data!T221)/70))+Inputs!$C$28*EXP(-(((Scenario_Data!T221)-Inputs!$C$29)^2)/(2*Inputs!$C$31^2))*EXP(-(((Inputs!$C$6)-Inputs!$C$30)^2)/(2*Inputs!$C$32^2))+-Inputs!$C$33*EXP(-(((((Scenario_Data!T221)-Inputs!$C$34)^2)+(((Inputs!$C$6)-Inputs!$C$35)^2))/(2*Inputs!$C$36^2)))+Inputs!$C$37*(0.55*SIN(2*PI()*(Scenario_Data!T221)/Inputs!$C$39)+0.35*COS(2*PI()*(Inputs!$C$6)/Inputs!$C$40)+0.2*SIN(2*PI()*((Scenario_Data!T221)+(Inputs!$C$6))/(0.5*(Inputs!$C$39+Inputs!$C$40))))+Inputs!$C$38*SIN(2*PI()*(Scenario_Data!T221)/Inputs!$C$39)*SIN(2*PI()*(Inputs!$C$6)/Inputs!$C$40)+-Inputs!$C$41*EXP(-(((Inputs!$C$6)-Inputs!$C$43)^2)/(2*Inputs!$C$44^2))*EXP(-(((Scenario_Data!T221)-Inputs!$C$42)^2)/(2*Inputs!$C$45^2))+Inputs!$C$48*(0.7*(0.45*SIN(2*PI()*(((Scenario_Data!T221)/Inputs!$C$49)+Inputs!$C$47*0.137))+0.35*COS(2*PI()*(((Inputs!$C$6)/Inputs!$C$50)+Inputs!$C$47*0.173))+0.2*SIN(2*PI()*((((Scenario_Data!T221)+(Inputs!$C$6))/(0.5*(Inputs!$C$49+Inputs!$C$50)))+Inputs!$C$47*0.097)))+0.3*(2*((SIN(((Scenario_Data!T221)*12.9898+(Inputs!$C$6)*78.233+Inputs!$C$47*37.719))*43758.5453)-INT((SIN(((Scenario_Data!T221)*12.9898+(Inputs!$C$6)*78.233+Inputs!$C$47*37.719))*43758.5453)))-1))))/1000))*COS(SQRT((Scenario_Data!T221)^2+Inputs!$C$6^2)/Inputs!$C$52))*1000)/Inputs!$C$21*1000000</f>
        <v/>
      </c>
      <c r="AR221">
        <f>Scenario_Data!U221</f>
        <v/>
      </c>
      <c r="AS221">
        <f>2*(SQRT((Inputs!$C$52+(Scenario_Data!C221))^2+(Inputs!$C$52+((IF(OR(Inputs!$C$27=TRUE,Inputs!$C$27="TRUE",Inputs!$C$27=1),1,0)*(Inputs!$C$51*(115*EXP(-(((Inputs!$C$6)-25)^2)/(4.5^2))+70*EXP(-(((Inputs!$C$6)+38)^2)/(7^2))*(0.55+0.45*SIN(2*PI()*(Scenario_Data!U221)/45))+24*SIN(2*PI()*(Inputs!$C$6)/9+(Scenario_Data!U221)/18)*EXP(-(((Inputs!$C$6)+5)^2)/(22^2))+18*SIN(2*PI()*(Scenario_Data!U221)/70))+Inputs!$C$28*EXP(-(((Scenario_Data!U221)-Inputs!$C$29)^2)/(2*Inputs!$C$31^2))*EXP(-(((Inputs!$C$6)-Inputs!$C$30)^2)/(2*Inputs!$C$32^2))+-Inputs!$C$33*EXP(-(((((Scenario_Data!U221)-Inputs!$C$34)^2)+(((Inputs!$C$6)-Inputs!$C$35)^2))/(2*Inputs!$C$36^2)))+Inputs!$C$37*(0.55*SIN(2*PI()*(Scenario_Data!U221)/Inputs!$C$39)+0.35*COS(2*PI()*(Inputs!$C$6)/Inputs!$C$40)+0.2*SIN(2*PI()*((Scenario_Data!U221)+(Inputs!$C$6))/(0.5*(Inputs!$C$39+Inputs!$C$40))))+Inputs!$C$38*SIN(2*PI()*(Scenario_Data!U221)/Inputs!$C$39)*SIN(2*PI()*(Inputs!$C$6)/Inputs!$C$40)+-Inputs!$C$41*EXP(-(((Inputs!$C$6)-Inputs!$C$43)^2)/(2*Inputs!$C$44^2))*EXP(-(((Scenario_Data!U221)-Inputs!$C$42)^2)/(2*Inputs!$C$45^2))+Inputs!$C$48*(0.7*(0.45*SIN(2*PI()*(((Scenario_Data!U221)/Inputs!$C$49)+Inputs!$C$47*0.137))+0.35*COS(2*PI()*(((Inputs!$C$6)/Inputs!$C$50)+Inputs!$C$47*0.173))+0.2*SIN(2*PI()*((((Scenario_Data!U221)+(Inputs!$C$6))/(0.5*(Inputs!$C$49+Inputs!$C$50)))+Inputs!$C$47*0.097)))+0.3*(2*((SIN(((Scenario_Data!U221)*12.9898+(Inputs!$C$6)*78.233+Inputs!$C$47*37.719))*43758.5453)-INT((SIN(((Scenario_Data!U221)*12.9898+(Inputs!$C$6)*78.233+Inputs!$C$47*37.719))*43758.5453)))-1))))/1000))^2-2*(Inputs!$C$52+(Scenario_Data!C221))*(Inputs!$C$52+((IF(OR(Inputs!$C$27=TRUE,Inputs!$C$27="TRUE",Inputs!$C$27=1),1,0)*(Inputs!$C$51*(115*EXP(-(((Inputs!$C$6)-25)^2)/(4.5^2))+70*EXP(-(((Inputs!$C$6)+38)^2)/(7^2))*(0.55+0.45*SIN(2*PI()*(Scenario_Data!U221)/45))+24*SIN(2*PI()*(Inputs!$C$6)/9+(Scenario_Data!U221)/18)*EXP(-(((Inputs!$C$6)+5)^2)/(22^2))+18*SIN(2*PI()*(Scenario_Data!U221)/70))+Inputs!$C$28*EXP(-(((Scenario_Data!U221)-Inputs!$C$29)^2)/(2*Inputs!$C$31^2))*EXP(-(((Inputs!$C$6)-Inputs!$C$30)^2)/(2*Inputs!$C$32^2))+-Inputs!$C$33*EXP(-(((((Scenario_Data!U221)-Inputs!$C$34)^2)+(((Inputs!$C$6)-Inputs!$C$35)^2))/(2*Inputs!$C$36^2)))+Inputs!$C$37*(0.55*SIN(2*PI()*(Scenario_Data!U221)/Inputs!$C$39)+0.35*COS(2*PI()*(Inputs!$C$6)/Inputs!$C$40)+0.2*SIN(2*PI()*((Scenario_Data!U221)+(Inputs!$C$6))/(0.5*(Inputs!$C$39+Inputs!$C$40))))+Inputs!$C$38*SIN(2*PI()*(Scenario_Data!U221)/Inputs!$C$39)*SIN(2*PI()*(Inputs!$C$6)/Inputs!$C$40)+-Inputs!$C$41*EXP(-(((Inputs!$C$6)-Inputs!$C$43)^2)/(2*Inputs!$C$44^2))*EXP(-(((Scenario_Data!U221)-Inputs!$C$42)^2)/(2*Inputs!$C$45^2))+Inputs!$C$48*(0.7*(0.45*SIN(2*PI()*(((Scenario_Data!U221)/Inputs!$C$49)+Inputs!$C$47*0.137))+0.35*COS(2*PI()*(((Inputs!$C$6)/Inputs!$C$50)+Inputs!$C$47*0.173))+0.2*SIN(2*PI()*((((Scenario_Data!U221)+(Inputs!$C$6))/(0.5*(Inputs!$C$49+Inputs!$C$50)))+Inputs!$C$47*0.097)))+0.3*(2*((SIN(((Scenario_Data!U221)*12.9898+(Inputs!$C$6)*78.233+Inputs!$C$47*37.719))*43758.5453)-INT((SIN(((Scenario_Data!U221)*12.9898+(Inputs!$C$6)*78.233+Inputs!$C$47*37.719))*43758.5453)))-1))))/1000))*COS(SQRT((Scenario_Data!U221)^2+Inputs!$C$6^2)/Inputs!$C$52))*1000)/Inputs!$C$21*1000000</f>
        <v/>
      </c>
      <c r="AT221">
        <f>Scenario_Data!V221</f>
        <v/>
      </c>
      <c r="AU221">
        <f>2*(SQRT((Inputs!$C$52+(Scenario_Data!D221))^2+(Inputs!$C$52+((IF(OR(Inputs!$C$27=TRUE,Inputs!$C$27="TRUE",Inputs!$C$27=1),1,0)*(Inputs!$C$51*(115*EXP(-(((Inputs!$C$6)-25)^2)/(4.5^2))+70*EXP(-(((Inputs!$C$6)+38)^2)/(7^2))*(0.55+0.45*SIN(2*PI()*(Scenario_Data!V221)/45))+24*SIN(2*PI()*(Inputs!$C$6)/9+(Scenario_Data!V221)/18)*EXP(-(((Inputs!$C$6)+5)^2)/(22^2))+18*SIN(2*PI()*(Scenario_Data!V221)/70))+Inputs!$C$28*EXP(-(((Scenario_Data!V221)-Inputs!$C$29)^2)/(2*Inputs!$C$31^2))*EXP(-(((Inputs!$C$6)-Inputs!$C$30)^2)/(2*Inputs!$C$32^2))+-Inputs!$C$33*EXP(-(((((Scenario_Data!V221)-Inputs!$C$34)^2)+(((Inputs!$C$6)-Inputs!$C$35)^2))/(2*Inputs!$C$36^2)))+Inputs!$C$37*(0.55*SIN(2*PI()*(Scenario_Data!V221)/Inputs!$C$39)+0.35*COS(2*PI()*(Inputs!$C$6)/Inputs!$C$40)+0.2*SIN(2*PI()*((Scenario_Data!V221)+(Inputs!$C$6))/(0.5*(Inputs!$C$39+Inputs!$C$40))))+Inputs!$C$38*SIN(2*PI()*(Scenario_Data!V221)/Inputs!$C$39)*SIN(2*PI()*(Inputs!$C$6)/Inputs!$C$40)+-Inputs!$C$41*EXP(-(((Inputs!$C$6)-Inputs!$C$43)^2)/(2*Inputs!$C$44^2))*EXP(-(((Scenario_Data!V221)-Inputs!$C$42)^2)/(2*Inputs!$C$45^2))+Inputs!$C$48*(0.7*(0.45*SIN(2*PI()*(((Scenario_Data!V221)/Inputs!$C$49)+Inputs!$C$47*0.137))+0.35*COS(2*PI()*(((Inputs!$C$6)/Inputs!$C$50)+Inputs!$C$47*0.173))+0.2*SIN(2*PI()*((((Scenario_Data!V221)+(Inputs!$C$6))/(0.5*(Inputs!$C$49+Inputs!$C$50)))+Inputs!$C$47*0.097)))+0.3*(2*((SIN(((Scenario_Data!V221)*12.9898+(Inputs!$C$6)*78.233+Inputs!$C$47*37.719))*43758.5453)-INT((SIN(((Scenario_Data!V221)*12.9898+(Inputs!$C$6)*78.233+Inputs!$C$47*37.719))*43758.5453)))-1))))/1000))^2-2*(Inputs!$C$52+(Scenario_Data!D221))*(Inputs!$C$52+((IF(OR(Inputs!$C$27=TRUE,Inputs!$C$27="TRUE",Inputs!$C$27=1),1,0)*(Inputs!$C$51*(115*EXP(-(((Inputs!$C$6)-25)^2)/(4.5^2))+70*EXP(-(((Inputs!$C$6)+38)^2)/(7^2))*(0.55+0.45*SIN(2*PI()*(Scenario_Data!V221)/45))+24*SIN(2*PI()*(Inputs!$C$6)/9+(Scenario_Data!V221)/18)*EXP(-(((Inputs!$C$6)+5)^2)/(22^2))+18*SIN(2*PI()*(Scenario_Data!V221)/70))+Inputs!$C$28*EXP(-(((Scenario_Data!V221)-Inputs!$C$29)^2)/(2*Inputs!$C$31^2))*EXP(-(((Inputs!$C$6)-Inputs!$C$30)^2)/(2*Inputs!$C$32^2))+-Inputs!$C$33*EXP(-(((((Scenario_Data!V221)-Inputs!$C$34)^2)+(((Inputs!$C$6)-Inputs!$C$35)^2))/(2*Inputs!$C$36^2)))+Inputs!$C$37*(0.55*SIN(2*PI()*(Scenario_Data!V221)/Inputs!$C$39)+0.35*COS(2*PI()*(Inputs!$C$6)/Inputs!$C$40)+0.2*SIN(2*PI()*((Scenario_Data!V221)+(Inputs!$C$6))/(0.5*(Inputs!$C$39+Inputs!$C$40))))+Inputs!$C$38*SIN(2*PI()*(Scenario_Data!V221)/Inputs!$C$39)*SIN(2*PI()*(Inputs!$C$6)/Inputs!$C$40)+-Inputs!$C$41*EXP(-(((Inputs!$C$6)-Inputs!$C$43)^2)/(2*Inputs!$C$44^2))*EXP(-(((Scenario_Data!V221)-Inputs!$C$42)^2)/(2*Inputs!$C$45^2))+Inputs!$C$48*(0.7*(0.45*SIN(2*PI()*(((Scenario_Data!V221)/Inputs!$C$49)+Inputs!$C$47*0.137))+0.35*COS(2*PI()*(((Inputs!$C$6)/Inputs!$C$50)+Inputs!$C$47*0.173))+0.2*SIN(2*PI()*((((Scenario_Data!V221)+(Inputs!$C$6))/(0.5*(Inputs!$C$49+Inputs!$C$50)))+Inputs!$C$47*0.097)))+0.3*(2*((SIN(((Scenario_Data!V221)*12.9898+(Inputs!$C$6)*78.233+Inputs!$C$47*37.719))*43758.5453)-INT((SIN(((Scenario_Data!V221)*12.9898+(Inputs!$C$6)*78.233+Inputs!$C$47*37.719))*43758.5453)))-1))))/1000))*COS(SQRT((Scenario_Data!V221)^2+Inputs!$C$6^2)/Inputs!$C$52))*1000)/Inputs!$C$21*1000000</f>
        <v/>
      </c>
      <c r="AV221">
        <f>Scenario_Data!W221</f>
        <v/>
      </c>
      <c r="AW221">
        <f>2*(SQRT((Inputs!$C$52+(Scenario_Data!E221))^2+(Inputs!$C$52+((IF(OR(Inputs!$C$27=TRUE,Inputs!$C$27="TRUE",Inputs!$C$27=1),1,0)*(Inputs!$C$51*(115*EXP(-(((Inputs!$C$6)-25)^2)/(4.5^2))+70*EXP(-(((Inputs!$C$6)+38)^2)/(7^2))*(0.55+0.45*SIN(2*PI()*(Scenario_Data!W221)/45))+24*SIN(2*PI()*(Inputs!$C$6)/9+(Scenario_Data!W221)/18)*EXP(-(((Inputs!$C$6)+5)^2)/(22^2))+18*SIN(2*PI()*(Scenario_Data!W221)/70))+Inputs!$C$28*EXP(-(((Scenario_Data!W221)-Inputs!$C$29)^2)/(2*Inputs!$C$31^2))*EXP(-(((Inputs!$C$6)-Inputs!$C$30)^2)/(2*Inputs!$C$32^2))+-Inputs!$C$33*EXP(-(((((Scenario_Data!W221)-Inputs!$C$34)^2)+(((Inputs!$C$6)-Inputs!$C$35)^2))/(2*Inputs!$C$36^2)))+Inputs!$C$37*(0.55*SIN(2*PI()*(Scenario_Data!W221)/Inputs!$C$39)+0.35*COS(2*PI()*(Inputs!$C$6)/Inputs!$C$40)+0.2*SIN(2*PI()*((Scenario_Data!W221)+(Inputs!$C$6))/(0.5*(Inputs!$C$39+Inputs!$C$40))))+Inputs!$C$38*SIN(2*PI()*(Scenario_Data!W221)/Inputs!$C$39)*SIN(2*PI()*(Inputs!$C$6)/Inputs!$C$40)+-Inputs!$C$41*EXP(-(((Inputs!$C$6)-Inputs!$C$43)^2)/(2*Inputs!$C$44^2))*EXP(-(((Scenario_Data!W221)-Inputs!$C$42)^2)/(2*Inputs!$C$45^2))+Inputs!$C$48*(0.7*(0.45*SIN(2*PI()*(((Scenario_Data!W221)/Inputs!$C$49)+Inputs!$C$47*0.137))+0.35*COS(2*PI()*(((Inputs!$C$6)/Inputs!$C$50)+Inputs!$C$47*0.173))+0.2*SIN(2*PI()*((((Scenario_Data!W221)+(Inputs!$C$6))/(0.5*(Inputs!$C$49+Inputs!$C$50)))+Inputs!$C$47*0.097)))+0.3*(2*((SIN(((Scenario_Data!W221)*12.9898+(Inputs!$C$6)*78.233+Inputs!$C$47*37.719))*43758.5453)-INT((SIN(((Scenario_Data!W221)*12.9898+(Inputs!$C$6)*78.233+Inputs!$C$47*37.719))*43758.5453)))-1))))/1000))^2-2*(Inputs!$C$52+(Scenario_Data!E221))*(Inputs!$C$52+((IF(OR(Inputs!$C$27=TRUE,Inputs!$C$27="TRUE",Inputs!$C$27=1),1,0)*(Inputs!$C$51*(115*EXP(-(((Inputs!$C$6)-25)^2)/(4.5^2))+70*EXP(-(((Inputs!$C$6)+38)^2)/(7^2))*(0.55+0.45*SIN(2*PI()*(Scenario_Data!W221)/45))+24*SIN(2*PI()*(Inputs!$C$6)/9+(Scenario_Data!W221)/18)*EXP(-(((Inputs!$C$6)+5)^2)/(22^2))+18*SIN(2*PI()*(Scenario_Data!W221)/70))+Inputs!$C$28*EXP(-(((Scenario_Data!W221)-Inputs!$C$29)^2)/(2*Inputs!$C$31^2))*EXP(-(((Inputs!$C$6)-Inputs!$C$30)^2)/(2*Inputs!$C$32^2))+-Inputs!$C$33*EXP(-(((((Scenario_Data!W221)-Inputs!$C$34)^2)+(((Inputs!$C$6)-Inputs!$C$35)^2))/(2*Inputs!$C$36^2)))+Inputs!$C$37*(0.55*SIN(2*PI()*(Scenario_Data!W221)/Inputs!$C$39)+0.35*COS(2*PI()*(Inputs!$C$6)/Inputs!$C$40)+0.2*SIN(2*PI()*((Scenario_Data!W221)+(Inputs!$C$6))/(0.5*(Inputs!$C$39+Inputs!$C$40))))+Inputs!$C$38*SIN(2*PI()*(Scenario_Data!W221)/Inputs!$C$39)*SIN(2*PI()*(Inputs!$C$6)/Inputs!$C$40)+-Inputs!$C$41*EXP(-(((Inputs!$C$6)-Inputs!$C$43)^2)/(2*Inputs!$C$44^2))*EXP(-(((Scenario_Data!W221)-Inputs!$C$42)^2)/(2*Inputs!$C$45^2))+Inputs!$C$48*(0.7*(0.45*SIN(2*PI()*(((Scenario_Data!W221)/Inputs!$C$49)+Inputs!$C$47*0.137))+0.35*COS(2*PI()*(((Inputs!$C$6)/Inputs!$C$50)+Inputs!$C$47*0.173))+0.2*SIN(2*PI()*((((Scenario_Data!W221)+(Inputs!$C$6))/(0.5*(Inputs!$C$49+Inputs!$C$50)))+Inputs!$C$47*0.097)))+0.3*(2*((SIN(((Scenario_Data!W221)*12.9898+(Inputs!$C$6)*78.233+Inputs!$C$47*37.719))*43758.5453)-INT((SIN(((Scenario_Data!W221)*12.9898+(Inputs!$C$6)*78.233+Inputs!$C$47*37.719))*43758.5453)))-1))))/1000))*COS(SQRT((Scenario_Data!W221)^2+Inputs!$C$6^2)/Inputs!$C$52))*1000)/Inputs!$C$21*1000000</f>
        <v/>
      </c>
    </row>
    <row r="222">
      <c r="A222">
        <f>Chart_Data!K222</f>
        <v/>
      </c>
      <c r="B222">
        <f>Chart_Data!N222-Chart_Data!L222</f>
        <v/>
      </c>
      <c r="D222">
        <f>Chart_Data!G222</f>
        <v/>
      </c>
      <c r="E222">
        <f>Chart_Data!H222</f>
        <v/>
      </c>
      <c r="F222">
        <f>Chart_Data!I222</f>
        <v/>
      </c>
      <c r="G222">
        <f>Chart_Data!J222</f>
        <v/>
      </c>
      <c r="I222">
        <f>Scenario_Data!A222</f>
        <v/>
      </c>
      <c r="J222">
        <f>Scenario_Data!H222-(((SQRT((Inputs!$C$52+(Inputs!$H$6))^2+Inputs!$C$52^2-2*(Inputs!$C$52+(Inputs!$H$6))*Inputs!$C$52*COS(SQRT((Scenario_Data!T222)^2+Inputs!$C$6^2)/Inputs!$C$52)))-(Inputs!$H$6))*1000/Inputs!$C$12)</f>
        <v/>
      </c>
      <c r="K222">
        <f>Scenario_Data!I222-(((SQRT((Inputs!$C$52+(Inputs!$H$7))^2+Inputs!$C$52^2-2*(Inputs!$C$52+(Inputs!$H$7))*Inputs!$C$52*COS(SQRT((Scenario_Data!U222)^2+Inputs!$C$6^2)/Inputs!$C$52)))-(Inputs!$H$7))*1000/Inputs!$C$12)</f>
        <v/>
      </c>
      <c r="L222">
        <f>Scenario_Data!J222-(((SQRT((Inputs!$C$52+(Inputs!$H$8))^2+Inputs!$C$52^2-2*(Inputs!$C$52+(Inputs!$H$8))*Inputs!$C$52*COS(SQRT((Scenario_Data!V222)^2+Inputs!$C$6^2)/Inputs!$C$52)))-(Inputs!$H$8))*1000/Inputs!$C$12)</f>
        <v/>
      </c>
      <c r="M222">
        <f>Scenario_Data!K222-(((SQRT((Inputs!$C$52+(Inputs!$H$9))^2+Inputs!$C$52^2-2*(Inputs!$C$52+(Inputs!$H$9))*Inputs!$C$52*COS(SQRT((Scenario_Data!W222)^2+Inputs!$C$6^2)/Inputs!$C$52)))-(Inputs!$H$9))*1000/Inputs!$C$12)</f>
        <v/>
      </c>
      <c r="O222">
        <f>Scenario_Data!T222</f>
        <v/>
      </c>
      <c r="P222">
        <f>2*(Scenario_Data!B222*1000)/Inputs!$C$21*1000000</f>
        <v/>
      </c>
      <c r="Q222">
        <f>Scenario_Data!U222</f>
        <v/>
      </c>
      <c r="R222">
        <f>2*(Scenario_Data!C222*1000)/Inputs!$C$21*1000000</f>
        <v/>
      </c>
      <c r="S222">
        <f>Scenario_Data!V222</f>
        <v/>
      </c>
      <c r="T222">
        <f>2*(Scenario_Data!D222*1000)/Inputs!$C$21*1000000</f>
        <v/>
      </c>
      <c r="U222">
        <f>Scenario_Data!W222</f>
        <v/>
      </c>
      <c r="V222">
        <f>2*(Scenario_Data!E222*1000)/Inputs!$C$21*1000000</f>
        <v/>
      </c>
      <c r="X222">
        <f>Scenario_Data!T222</f>
        <v/>
      </c>
      <c r="Y222">
        <f>2*((Scenario_Data!B222*1000)-(IF(OR(Inputs!$C$27=TRUE,Inputs!$C$27="TRUE",Inputs!$C$27=1),1,0)*(Inputs!$C$51*(115*EXP(-(((0)-25)^2)/(4.5^2))+70*EXP(-(((0)+38)^2)/(7^2))*(0.55+0.45*SIN(2*PI()*(Scenario_Data!T222)/45))+24*SIN(2*PI()*(0)/9+(Scenario_Data!T222)/18)*EXP(-(((0)+5)^2)/(22^2))+18*SIN(2*PI()*(Scenario_Data!T222)/70))+Inputs!$C$28*EXP(-(((Scenario_Data!T222)-Inputs!$C$29)^2)/(2*Inputs!$C$31^2))*EXP(-(((0)-Inputs!$C$30)^2)/(2*Inputs!$C$32^2))+-Inputs!$C$33*EXP(-(((((Scenario_Data!T222)-Inputs!$C$34)^2)+(((0)-Inputs!$C$35)^2))/(2*Inputs!$C$36^2)))+Inputs!$C$37*(0.55*SIN(2*PI()*(Scenario_Data!T222)/Inputs!$C$39)+0.35*COS(2*PI()*(0)/Inputs!$C$40)+0.2*SIN(2*PI()*((Scenario_Data!T222)+(0))/(0.5*(Inputs!$C$39+Inputs!$C$40))))+Inputs!$C$38*SIN(2*PI()*(Scenario_Data!T222)/Inputs!$C$39)*SIN(2*PI()*(0)/Inputs!$C$40)+-Inputs!$C$41*EXP(-(((0)-Inputs!$C$43)^2)/(2*Inputs!$C$44^2))*EXP(-(((Scenario_Data!T222)-Inputs!$C$42)^2)/(2*Inputs!$C$45^2))+Inputs!$C$48*(0.7*(0.45*SIN(2*PI()*(((Scenario_Data!T222)/Inputs!$C$49)+Inputs!$C$47*0.137))+0.35*COS(2*PI()*(((0)/Inputs!$C$50)+Inputs!$C$47*0.173))+0.2*SIN(2*PI()*((((Scenario_Data!T222)+(0))/(0.5*(Inputs!$C$49+Inputs!$C$50)))+Inputs!$C$47*0.097)))+0.3*(2*((SIN(((Scenario_Data!T222)*12.9898+(0)*78.233+Inputs!$C$47*37.719))*43758.5453)-INT((SIN(((Scenario_Data!T222)*12.9898+(0)*78.233+Inputs!$C$47*37.719))*43758.5453)))-1)))))/Inputs!$C$21*1000000</f>
        <v/>
      </c>
      <c r="Z222">
        <f>Scenario_Data!U222</f>
        <v/>
      </c>
      <c r="AA222">
        <f>2*((Scenario_Data!C222*1000)-(IF(OR(Inputs!$C$27=TRUE,Inputs!$C$27="TRUE",Inputs!$C$27=1),1,0)*(Inputs!$C$51*(115*EXP(-(((0)-25)^2)/(4.5^2))+70*EXP(-(((0)+38)^2)/(7^2))*(0.55+0.45*SIN(2*PI()*(Scenario_Data!U222)/45))+24*SIN(2*PI()*(0)/9+(Scenario_Data!U222)/18)*EXP(-(((0)+5)^2)/(22^2))+18*SIN(2*PI()*(Scenario_Data!U222)/70))+Inputs!$C$28*EXP(-(((Scenario_Data!U222)-Inputs!$C$29)^2)/(2*Inputs!$C$31^2))*EXP(-(((0)-Inputs!$C$30)^2)/(2*Inputs!$C$32^2))+-Inputs!$C$33*EXP(-(((((Scenario_Data!U222)-Inputs!$C$34)^2)+(((0)-Inputs!$C$35)^2))/(2*Inputs!$C$36^2)))+Inputs!$C$37*(0.55*SIN(2*PI()*(Scenario_Data!U222)/Inputs!$C$39)+0.35*COS(2*PI()*(0)/Inputs!$C$40)+0.2*SIN(2*PI()*((Scenario_Data!U222)+(0))/(0.5*(Inputs!$C$39+Inputs!$C$40))))+Inputs!$C$38*SIN(2*PI()*(Scenario_Data!U222)/Inputs!$C$39)*SIN(2*PI()*(0)/Inputs!$C$40)+-Inputs!$C$41*EXP(-(((0)-Inputs!$C$43)^2)/(2*Inputs!$C$44^2))*EXP(-(((Scenario_Data!U222)-Inputs!$C$42)^2)/(2*Inputs!$C$45^2))+Inputs!$C$48*(0.7*(0.45*SIN(2*PI()*(((Scenario_Data!U222)/Inputs!$C$49)+Inputs!$C$47*0.137))+0.35*COS(2*PI()*(((0)/Inputs!$C$50)+Inputs!$C$47*0.173))+0.2*SIN(2*PI()*((((Scenario_Data!U222)+(0))/(0.5*(Inputs!$C$49+Inputs!$C$50)))+Inputs!$C$47*0.097)))+0.3*(2*((SIN(((Scenario_Data!U222)*12.9898+(0)*78.233+Inputs!$C$47*37.719))*43758.5453)-INT((SIN(((Scenario_Data!U222)*12.9898+(0)*78.233+Inputs!$C$47*37.719))*43758.5453)))-1)))))/Inputs!$C$21*1000000</f>
        <v/>
      </c>
      <c r="AB222">
        <f>Scenario_Data!V222</f>
        <v/>
      </c>
      <c r="AC222">
        <f>2*((Scenario_Data!D222*1000)-(IF(OR(Inputs!$C$27=TRUE,Inputs!$C$27="TRUE",Inputs!$C$27=1),1,0)*(Inputs!$C$51*(115*EXP(-(((0)-25)^2)/(4.5^2))+70*EXP(-(((0)+38)^2)/(7^2))*(0.55+0.45*SIN(2*PI()*(Scenario_Data!V222)/45))+24*SIN(2*PI()*(0)/9+(Scenario_Data!V222)/18)*EXP(-(((0)+5)^2)/(22^2))+18*SIN(2*PI()*(Scenario_Data!V222)/70))+Inputs!$C$28*EXP(-(((Scenario_Data!V222)-Inputs!$C$29)^2)/(2*Inputs!$C$31^2))*EXP(-(((0)-Inputs!$C$30)^2)/(2*Inputs!$C$32^2))+-Inputs!$C$33*EXP(-(((((Scenario_Data!V222)-Inputs!$C$34)^2)+(((0)-Inputs!$C$35)^2))/(2*Inputs!$C$36^2)))+Inputs!$C$37*(0.55*SIN(2*PI()*(Scenario_Data!V222)/Inputs!$C$39)+0.35*COS(2*PI()*(0)/Inputs!$C$40)+0.2*SIN(2*PI()*((Scenario_Data!V222)+(0))/(0.5*(Inputs!$C$39+Inputs!$C$40))))+Inputs!$C$38*SIN(2*PI()*(Scenario_Data!V222)/Inputs!$C$39)*SIN(2*PI()*(0)/Inputs!$C$40)+-Inputs!$C$41*EXP(-(((0)-Inputs!$C$43)^2)/(2*Inputs!$C$44^2))*EXP(-(((Scenario_Data!V222)-Inputs!$C$42)^2)/(2*Inputs!$C$45^2))+Inputs!$C$48*(0.7*(0.45*SIN(2*PI()*(((Scenario_Data!V222)/Inputs!$C$49)+Inputs!$C$47*0.137))+0.35*COS(2*PI()*(((0)/Inputs!$C$50)+Inputs!$C$47*0.173))+0.2*SIN(2*PI()*((((Scenario_Data!V222)+(0))/(0.5*(Inputs!$C$49+Inputs!$C$50)))+Inputs!$C$47*0.097)))+0.3*(2*((SIN(((Scenario_Data!V222)*12.9898+(0)*78.233+Inputs!$C$47*37.719))*43758.5453)-INT((SIN(((Scenario_Data!V222)*12.9898+(0)*78.233+Inputs!$C$47*37.719))*43758.5453)))-1)))))/Inputs!$C$21*1000000</f>
        <v/>
      </c>
      <c r="AD222">
        <f>Scenario_Data!W222</f>
        <v/>
      </c>
      <c r="AE222">
        <f>2*((Scenario_Data!E222*1000)-(IF(OR(Inputs!$C$27=TRUE,Inputs!$C$27="TRUE",Inputs!$C$27=1),1,0)*(Inputs!$C$51*(115*EXP(-(((0)-25)^2)/(4.5^2))+70*EXP(-(((0)+38)^2)/(7^2))*(0.55+0.45*SIN(2*PI()*(Scenario_Data!W222)/45))+24*SIN(2*PI()*(0)/9+(Scenario_Data!W222)/18)*EXP(-(((0)+5)^2)/(22^2))+18*SIN(2*PI()*(Scenario_Data!W222)/70))+Inputs!$C$28*EXP(-(((Scenario_Data!W222)-Inputs!$C$29)^2)/(2*Inputs!$C$31^2))*EXP(-(((0)-Inputs!$C$30)^2)/(2*Inputs!$C$32^2))+-Inputs!$C$33*EXP(-(((((Scenario_Data!W222)-Inputs!$C$34)^2)+(((0)-Inputs!$C$35)^2))/(2*Inputs!$C$36^2)))+Inputs!$C$37*(0.55*SIN(2*PI()*(Scenario_Data!W222)/Inputs!$C$39)+0.35*COS(2*PI()*(0)/Inputs!$C$40)+0.2*SIN(2*PI()*((Scenario_Data!W222)+(0))/(0.5*(Inputs!$C$39+Inputs!$C$40))))+Inputs!$C$38*SIN(2*PI()*(Scenario_Data!W222)/Inputs!$C$39)*SIN(2*PI()*(0)/Inputs!$C$40)+-Inputs!$C$41*EXP(-(((0)-Inputs!$C$43)^2)/(2*Inputs!$C$44^2))*EXP(-(((Scenario_Data!W222)-Inputs!$C$42)^2)/(2*Inputs!$C$45^2))+Inputs!$C$48*(0.7*(0.45*SIN(2*PI()*(((Scenario_Data!W222)/Inputs!$C$49)+Inputs!$C$47*0.137))+0.35*COS(2*PI()*(((0)/Inputs!$C$50)+Inputs!$C$47*0.173))+0.2*SIN(2*PI()*((((Scenario_Data!W222)+(0))/(0.5*(Inputs!$C$49+Inputs!$C$50)))+Inputs!$C$47*0.097)))+0.3*(2*((SIN(((Scenario_Data!W222)*12.9898+(0)*78.233+Inputs!$C$47*37.719))*43758.5453)-INT((SIN(((Scenario_Data!W222)*12.9898+(0)*78.233+Inputs!$C$47*37.719))*43758.5453)))-1)))))/Inputs!$C$21*1000000</f>
        <v/>
      </c>
      <c r="AG222">
        <f>Scenario_Data!T222</f>
        <v/>
      </c>
      <c r="AH222">
        <f>2*(SQRT((Inputs!$C$52+(Scenario_Data!B222))^2+Inputs!$C$52^2-2*(Inputs!$C$52+(Scenario_Data!B222))*Inputs!$C$52*COS(SQRT((Scenario_Data!T222)^2+Inputs!$C$6^2)/Inputs!$C$52))*1000)/Inputs!$C$21*1000000</f>
        <v/>
      </c>
      <c r="AI222">
        <f>Scenario_Data!U222</f>
        <v/>
      </c>
      <c r="AJ222">
        <f>2*(SQRT((Inputs!$C$52+(Scenario_Data!C222))^2+Inputs!$C$52^2-2*(Inputs!$C$52+(Scenario_Data!C222))*Inputs!$C$52*COS(SQRT((Scenario_Data!U222)^2+Inputs!$C$6^2)/Inputs!$C$52))*1000)/Inputs!$C$21*1000000</f>
        <v/>
      </c>
      <c r="AK222">
        <f>Scenario_Data!V222</f>
        <v/>
      </c>
      <c r="AL222">
        <f>2*(SQRT((Inputs!$C$52+(Scenario_Data!D222))^2+Inputs!$C$52^2-2*(Inputs!$C$52+(Scenario_Data!D222))*Inputs!$C$52*COS(SQRT((Scenario_Data!V222)^2+Inputs!$C$6^2)/Inputs!$C$52))*1000)/Inputs!$C$21*1000000</f>
        <v/>
      </c>
      <c r="AM222">
        <f>Scenario_Data!W222</f>
        <v/>
      </c>
      <c r="AN222">
        <f>2*(SQRT((Inputs!$C$52+(Scenario_Data!E222))^2+Inputs!$C$52^2-2*(Inputs!$C$52+(Scenario_Data!E222))*Inputs!$C$52*COS(SQRT((Scenario_Data!W222)^2+Inputs!$C$6^2)/Inputs!$C$52))*1000)/Inputs!$C$21*1000000</f>
        <v/>
      </c>
      <c r="AP222">
        <f>Scenario_Data!T222</f>
        <v/>
      </c>
      <c r="AQ222">
        <f>2*(SQRT((Inputs!$C$52+(Scenario_Data!B222))^2+(Inputs!$C$52+((IF(OR(Inputs!$C$27=TRUE,Inputs!$C$27="TRUE",Inputs!$C$27=1),1,0)*(Inputs!$C$51*(115*EXP(-(((Inputs!$C$6)-25)^2)/(4.5^2))+70*EXP(-(((Inputs!$C$6)+38)^2)/(7^2))*(0.55+0.45*SIN(2*PI()*(Scenario_Data!T222)/45))+24*SIN(2*PI()*(Inputs!$C$6)/9+(Scenario_Data!T222)/18)*EXP(-(((Inputs!$C$6)+5)^2)/(22^2))+18*SIN(2*PI()*(Scenario_Data!T222)/70))+Inputs!$C$28*EXP(-(((Scenario_Data!T222)-Inputs!$C$29)^2)/(2*Inputs!$C$31^2))*EXP(-(((Inputs!$C$6)-Inputs!$C$30)^2)/(2*Inputs!$C$32^2))+-Inputs!$C$33*EXP(-(((((Scenario_Data!T222)-Inputs!$C$34)^2)+(((Inputs!$C$6)-Inputs!$C$35)^2))/(2*Inputs!$C$36^2)))+Inputs!$C$37*(0.55*SIN(2*PI()*(Scenario_Data!T222)/Inputs!$C$39)+0.35*COS(2*PI()*(Inputs!$C$6)/Inputs!$C$40)+0.2*SIN(2*PI()*((Scenario_Data!T222)+(Inputs!$C$6))/(0.5*(Inputs!$C$39+Inputs!$C$40))))+Inputs!$C$38*SIN(2*PI()*(Scenario_Data!T222)/Inputs!$C$39)*SIN(2*PI()*(Inputs!$C$6)/Inputs!$C$40)+-Inputs!$C$41*EXP(-(((Inputs!$C$6)-Inputs!$C$43)^2)/(2*Inputs!$C$44^2))*EXP(-(((Scenario_Data!T222)-Inputs!$C$42)^2)/(2*Inputs!$C$45^2))+Inputs!$C$48*(0.7*(0.45*SIN(2*PI()*(((Scenario_Data!T222)/Inputs!$C$49)+Inputs!$C$47*0.137))+0.35*COS(2*PI()*(((Inputs!$C$6)/Inputs!$C$50)+Inputs!$C$47*0.173))+0.2*SIN(2*PI()*((((Scenario_Data!T222)+(Inputs!$C$6))/(0.5*(Inputs!$C$49+Inputs!$C$50)))+Inputs!$C$47*0.097)))+0.3*(2*((SIN(((Scenario_Data!T222)*12.9898+(Inputs!$C$6)*78.233+Inputs!$C$47*37.719))*43758.5453)-INT((SIN(((Scenario_Data!T222)*12.9898+(Inputs!$C$6)*78.233+Inputs!$C$47*37.719))*43758.5453)))-1))))/1000))^2-2*(Inputs!$C$52+(Scenario_Data!B222))*(Inputs!$C$52+((IF(OR(Inputs!$C$27=TRUE,Inputs!$C$27="TRUE",Inputs!$C$27=1),1,0)*(Inputs!$C$51*(115*EXP(-(((Inputs!$C$6)-25)^2)/(4.5^2))+70*EXP(-(((Inputs!$C$6)+38)^2)/(7^2))*(0.55+0.45*SIN(2*PI()*(Scenario_Data!T222)/45))+24*SIN(2*PI()*(Inputs!$C$6)/9+(Scenario_Data!T222)/18)*EXP(-(((Inputs!$C$6)+5)^2)/(22^2))+18*SIN(2*PI()*(Scenario_Data!T222)/70))+Inputs!$C$28*EXP(-(((Scenario_Data!T222)-Inputs!$C$29)^2)/(2*Inputs!$C$31^2))*EXP(-(((Inputs!$C$6)-Inputs!$C$30)^2)/(2*Inputs!$C$32^2))+-Inputs!$C$33*EXP(-(((((Scenario_Data!T222)-Inputs!$C$34)^2)+(((Inputs!$C$6)-Inputs!$C$35)^2))/(2*Inputs!$C$36^2)))+Inputs!$C$37*(0.55*SIN(2*PI()*(Scenario_Data!T222)/Inputs!$C$39)+0.35*COS(2*PI()*(Inputs!$C$6)/Inputs!$C$40)+0.2*SIN(2*PI()*((Scenario_Data!T222)+(Inputs!$C$6))/(0.5*(Inputs!$C$39+Inputs!$C$40))))+Inputs!$C$38*SIN(2*PI()*(Scenario_Data!T222)/Inputs!$C$39)*SIN(2*PI()*(Inputs!$C$6)/Inputs!$C$40)+-Inputs!$C$41*EXP(-(((Inputs!$C$6)-Inputs!$C$43)^2)/(2*Inputs!$C$44^2))*EXP(-(((Scenario_Data!T222)-Inputs!$C$42)^2)/(2*Inputs!$C$45^2))+Inputs!$C$48*(0.7*(0.45*SIN(2*PI()*(((Scenario_Data!T222)/Inputs!$C$49)+Inputs!$C$47*0.137))+0.35*COS(2*PI()*(((Inputs!$C$6)/Inputs!$C$50)+Inputs!$C$47*0.173))+0.2*SIN(2*PI()*((((Scenario_Data!T222)+(Inputs!$C$6))/(0.5*(Inputs!$C$49+Inputs!$C$50)))+Inputs!$C$47*0.097)))+0.3*(2*((SIN(((Scenario_Data!T222)*12.9898+(Inputs!$C$6)*78.233+Inputs!$C$47*37.719))*43758.5453)-INT((SIN(((Scenario_Data!T222)*12.9898+(Inputs!$C$6)*78.233+Inputs!$C$47*37.719))*43758.5453)))-1))))/1000))*COS(SQRT((Scenario_Data!T222)^2+Inputs!$C$6^2)/Inputs!$C$52))*1000)/Inputs!$C$21*1000000</f>
        <v/>
      </c>
      <c r="AR222">
        <f>Scenario_Data!U222</f>
        <v/>
      </c>
      <c r="AS222">
        <f>2*(SQRT((Inputs!$C$52+(Scenario_Data!C222))^2+(Inputs!$C$52+((IF(OR(Inputs!$C$27=TRUE,Inputs!$C$27="TRUE",Inputs!$C$27=1),1,0)*(Inputs!$C$51*(115*EXP(-(((Inputs!$C$6)-25)^2)/(4.5^2))+70*EXP(-(((Inputs!$C$6)+38)^2)/(7^2))*(0.55+0.45*SIN(2*PI()*(Scenario_Data!U222)/45))+24*SIN(2*PI()*(Inputs!$C$6)/9+(Scenario_Data!U222)/18)*EXP(-(((Inputs!$C$6)+5)^2)/(22^2))+18*SIN(2*PI()*(Scenario_Data!U222)/70))+Inputs!$C$28*EXP(-(((Scenario_Data!U222)-Inputs!$C$29)^2)/(2*Inputs!$C$31^2))*EXP(-(((Inputs!$C$6)-Inputs!$C$30)^2)/(2*Inputs!$C$32^2))+-Inputs!$C$33*EXP(-(((((Scenario_Data!U222)-Inputs!$C$34)^2)+(((Inputs!$C$6)-Inputs!$C$35)^2))/(2*Inputs!$C$36^2)))+Inputs!$C$37*(0.55*SIN(2*PI()*(Scenario_Data!U222)/Inputs!$C$39)+0.35*COS(2*PI()*(Inputs!$C$6)/Inputs!$C$40)+0.2*SIN(2*PI()*((Scenario_Data!U222)+(Inputs!$C$6))/(0.5*(Inputs!$C$39+Inputs!$C$40))))+Inputs!$C$38*SIN(2*PI()*(Scenario_Data!U222)/Inputs!$C$39)*SIN(2*PI()*(Inputs!$C$6)/Inputs!$C$40)+-Inputs!$C$41*EXP(-(((Inputs!$C$6)-Inputs!$C$43)^2)/(2*Inputs!$C$44^2))*EXP(-(((Scenario_Data!U222)-Inputs!$C$42)^2)/(2*Inputs!$C$45^2))+Inputs!$C$48*(0.7*(0.45*SIN(2*PI()*(((Scenario_Data!U222)/Inputs!$C$49)+Inputs!$C$47*0.137))+0.35*COS(2*PI()*(((Inputs!$C$6)/Inputs!$C$50)+Inputs!$C$47*0.173))+0.2*SIN(2*PI()*((((Scenario_Data!U222)+(Inputs!$C$6))/(0.5*(Inputs!$C$49+Inputs!$C$50)))+Inputs!$C$47*0.097)))+0.3*(2*((SIN(((Scenario_Data!U222)*12.9898+(Inputs!$C$6)*78.233+Inputs!$C$47*37.719))*43758.5453)-INT((SIN(((Scenario_Data!U222)*12.9898+(Inputs!$C$6)*78.233+Inputs!$C$47*37.719))*43758.5453)))-1))))/1000))^2-2*(Inputs!$C$52+(Scenario_Data!C222))*(Inputs!$C$52+((IF(OR(Inputs!$C$27=TRUE,Inputs!$C$27="TRUE",Inputs!$C$27=1),1,0)*(Inputs!$C$51*(115*EXP(-(((Inputs!$C$6)-25)^2)/(4.5^2))+70*EXP(-(((Inputs!$C$6)+38)^2)/(7^2))*(0.55+0.45*SIN(2*PI()*(Scenario_Data!U222)/45))+24*SIN(2*PI()*(Inputs!$C$6)/9+(Scenario_Data!U222)/18)*EXP(-(((Inputs!$C$6)+5)^2)/(22^2))+18*SIN(2*PI()*(Scenario_Data!U222)/70))+Inputs!$C$28*EXP(-(((Scenario_Data!U222)-Inputs!$C$29)^2)/(2*Inputs!$C$31^2))*EXP(-(((Inputs!$C$6)-Inputs!$C$30)^2)/(2*Inputs!$C$32^2))+-Inputs!$C$33*EXP(-(((((Scenario_Data!U222)-Inputs!$C$34)^2)+(((Inputs!$C$6)-Inputs!$C$35)^2))/(2*Inputs!$C$36^2)))+Inputs!$C$37*(0.55*SIN(2*PI()*(Scenario_Data!U222)/Inputs!$C$39)+0.35*COS(2*PI()*(Inputs!$C$6)/Inputs!$C$40)+0.2*SIN(2*PI()*((Scenario_Data!U222)+(Inputs!$C$6))/(0.5*(Inputs!$C$39+Inputs!$C$40))))+Inputs!$C$38*SIN(2*PI()*(Scenario_Data!U222)/Inputs!$C$39)*SIN(2*PI()*(Inputs!$C$6)/Inputs!$C$40)+-Inputs!$C$41*EXP(-(((Inputs!$C$6)-Inputs!$C$43)^2)/(2*Inputs!$C$44^2))*EXP(-(((Scenario_Data!U222)-Inputs!$C$42)^2)/(2*Inputs!$C$45^2))+Inputs!$C$48*(0.7*(0.45*SIN(2*PI()*(((Scenario_Data!U222)/Inputs!$C$49)+Inputs!$C$47*0.137))+0.35*COS(2*PI()*(((Inputs!$C$6)/Inputs!$C$50)+Inputs!$C$47*0.173))+0.2*SIN(2*PI()*((((Scenario_Data!U222)+(Inputs!$C$6))/(0.5*(Inputs!$C$49+Inputs!$C$50)))+Inputs!$C$47*0.097)))+0.3*(2*((SIN(((Scenario_Data!U222)*12.9898+(Inputs!$C$6)*78.233+Inputs!$C$47*37.719))*43758.5453)-INT((SIN(((Scenario_Data!U222)*12.9898+(Inputs!$C$6)*78.233+Inputs!$C$47*37.719))*43758.5453)))-1))))/1000))*COS(SQRT((Scenario_Data!U222)^2+Inputs!$C$6^2)/Inputs!$C$52))*1000)/Inputs!$C$21*1000000</f>
        <v/>
      </c>
      <c r="AT222">
        <f>Scenario_Data!V222</f>
        <v/>
      </c>
      <c r="AU222">
        <f>2*(SQRT((Inputs!$C$52+(Scenario_Data!D222))^2+(Inputs!$C$52+((IF(OR(Inputs!$C$27=TRUE,Inputs!$C$27="TRUE",Inputs!$C$27=1),1,0)*(Inputs!$C$51*(115*EXP(-(((Inputs!$C$6)-25)^2)/(4.5^2))+70*EXP(-(((Inputs!$C$6)+38)^2)/(7^2))*(0.55+0.45*SIN(2*PI()*(Scenario_Data!V222)/45))+24*SIN(2*PI()*(Inputs!$C$6)/9+(Scenario_Data!V222)/18)*EXP(-(((Inputs!$C$6)+5)^2)/(22^2))+18*SIN(2*PI()*(Scenario_Data!V222)/70))+Inputs!$C$28*EXP(-(((Scenario_Data!V222)-Inputs!$C$29)^2)/(2*Inputs!$C$31^2))*EXP(-(((Inputs!$C$6)-Inputs!$C$30)^2)/(2*Inputs!$C$32^2))+-Inputs!$C$33*EXP(-(((((Scenario_Data!V222)-Inputs!$C$34)^2)+(((Inputs!$C$6)-Inputs!$C$35)^2))/(2*Inputs!$C$36^2)))+Inputs!$C$37*(0.55*SIN(2*PI()*(Scenario_Data!V222)/Inputs!$C$39)+0.35*COS(2*PI()*(Inputs!$C$6)/Inputs!$C$40)+0.2*SIN(2*PI()*((Scenario_Data!V222)+(Inputs!$C$6))/(0.5*(Inputs!$C$39+Inputs!$C$40))))+Inputs!$C$38*SIN(2*PI()*(Scenario_Data!V222)/Inputs!$C$39)*SIN(2*PI()*(Inputs!$C$6)/Inputs!$C$40)+-Inputs!$C$41*EXP(-(((Inputs!$C$6)-Inputs!$C$43)^2)/(2*Inputs!$C$44^2))*EXP(-(((Scenario_Data!V222)-Inputs!$C$42)^2)/(2*Inputs!$C$45^2))+Inputs!$C$48*(0.7*(0.45*SIN(2*PI()*(((Scenario_Data!V222)/Inputs!$C$49)+Inputs!$C$47*0.137))+0.35*COS(2*PI()*(((Inputs!$C$6)/Inputs!$C$50)+Inputs!$C$47*0.173))+0.2*SIN(2*PI()*((((Scenario_Data!V222)+(Inputs!$C$6))/(0.5*(Inputs!$C$49+Inputs!$C$50)))+Inputs!$C$47*0.097)))+0.3*(2*((SIN(((Scenario_Data!V222)*12.9898+(Inputs!$C$6)*78.233+Inputs!$C$47*37.719))*43758.5453)-INT((SIN(((Scenario_Data!V222)*12.9898+(Inputs!$C$6)*78.233+Inputs!$C$47*37.719))*43758.5453)))-1))))/1000))^2-2*(Inputs!$C$52+(Scenario_Data!D222))*(Inputs!$C$52+((IF(OR(Inputs!$C$27=TRUE,Inputs!$C$27="TRUE",Inputs!$C$27=1),1,0)*(Inputs!$C$51*(115*EXP(-(((Inputs!$C$6)-25)^2)/(4.5^2))+70*EXP(-(((Inputs!$C$6)+38)^2)/(7^2))*(0.55+0.45*SIN(2*PI()*(Scenario_Data!V222)/45))+24*SIN(2*PI()*(Inputs!$C$6)/9+(Scenario_Data!V222)/18)*EXP(-(((Inputs!$C$6)+5)^2)/(22^2))+18*SIN(2*PI()*(Scenario_Data!V222)/70))+Inputs!$C$28*EXP(-(((Scenario_Data!V222)-Inputs!$C$29)^2)/(2*Inputs!$C$31^2))*EXP(-(((Inputs!$C$6)-Inputs!$C$30)^2)/(2*Inputs!$C$32^2))+-Inputs!$C$33*EXP(-(((((Scenario_Data!V222)-Inputs!$C$34)^2)+(((Inputs!$C$6)-Inputs!$C$35)^2))/(2*Inputs!$C$36^2)))+Inputs!$C$37*(0.55*SIN(2*PI()*(Scenario_Data!V222)/Inputs!$C$39)+0.35*COS(2*PI()*(Inputs!$C$6)/Inputs!$C$40)+0.2*SIN(2*PI()*((Scenario_Data!V222)+(Inputs!$C$6))/(0.5*(Inputs!$C$39+Inputs!$C$40))))+Inputs!$C$38*SIN(2*PI()*(Scenario_Data!V222)/Inputs!$C$39)*SIN(2*PI()*(Inputs!$C$6)/Inputs!$C$40)+-Inputs!$C$41*EXP(-(((Inputs!$C$6)-Inputs!$C$43)^2)/(2*Inputs!$C$44^2))*EXP(-(((Scenario_Data!V222)-Inputs!$C$42)^2)/(2*Inputs!$C$45^2))+Inputs!$C$48*(0.7*(0.45*SIN(2*PI()*(((Scenario_Data!V222)/Inputs!$C$49)+Inputs!$C$47*0.137))+0.35*COS(2*PI()*(((Inputs!$C$6)/Inputs!$C$50)+Inputs!$C$47*0.173))+0.2*SIN(2*PI()*((((Scenario_Data!V222)+(Inputs!$C$6))/(0.5*(Inputs!$C$49+Inputs!$C$50)))+Inputs!$C$47*0.097)))+0.3*(2*((SIN(((Scenario_Data!V222)*12.9898+(Inputs!$C$6)*78.233+Inputs!$C$47*37.719))*43758.5453)-INT((SIN(((Scenario_Data!V222)*12.9898+(Inputs!$C$6)*78.233+Inputs!$C$47*37.719))*43758.5453)))-1))))/1000))*COS(SQRT((Scenario_Data!V222)^2+Inputs!$C$6^2)/Inputs!$C$52))*1000)/Inputs!$C$21*1000000</f>
        <v/>
      </c>
      <c r="AV222">
        <f>Scenario_Data!W222</f>
        <v/>
      </c>
      <c r="AW222">
        <f>2*(SQRT((Inputs!$C$52+(Scenario_Data!E222))^2+(Inputs!$C$52+((IF(OR(Inputs!$C$27=TRUE,Inputs!$C$27="TRUE",Inputs!$C$27=1),1,0)*(Inputs!$C$51*(115*EXP(-(((Inputs!$C$6)-25)^2)/(4.5^2))+70*EXP(-(((Inputs!$C$6)+38)^2)/(7^2))*(0.55+0.45*SIN(2*PI()*(Scenario_Data!W222)/45))+24*SIN(2*PI()*(Inputs!$C$6)/9+(Scenario_Data!W222)/18)*EXP(-(((Inputs!$C$6)+5)^2)/(22^2))+18*SIN(2*PI()*(Scenario_Data!W222)/70))+Inputs!$C$28*EXP(-(((Scenario_Data!W222)-Inputs!$C$29)^2)/(2*Inputs!$C$31^2))*EXP(-(((Inputs!$C$6)-Inputs!$C$30)^2)/(2*Inputs!$C$32^2))+-Inputs!$C$33*EXP(-(((((Scenario_Data!W222)-Inputs!$C$34)^2)+(((Inputs!$C$6)-Inputs!$C$35)^2))/(2*Inputs!$C$36^2)))+Inputs!$C$37*(0.55*SIN(2*PI()*(Scenario_Data!W222)/Inputs!$C$39)+0.35*COS(2*PI()*(Inputs!$C$6)/Inputs!$C$40)+0.2*SIN(2*PI()*((Scenario_Data!W222)+(Inputs!$C$6))/(0.5*(Inputs!$C$39+Inputs!$C$40))))+Inputs!$C$38*SIN(2*PI()*(Scenario_Data!W222)/Inputs!$C$39)*SIN(2*PI()*(Inputs!$C$6)/Inputs!$C$40)+-Inputs!$C$41*EXP(-(((Inputs!$C$6)-Inputs!$C$43)^2)/(2*Inputs!$C$44^2))*EXP(-(((Scenario_Data!W222)-Inputs!$C$42)^2)/(2*Inputs!$C$45^2))+Inputs!$C$48*(0.7*(0.45*SIN(2*PI()*(((Scenario_Data!W222)/Inputs!$C$49)+Inputs!$C$47*0.137))+0.35*COS(2*PI()*(((Inputs!$C$6)/Inputs!$C$50)+Inputs!$C$47*0.173))+0.2*SIN(2*PI()*((((Scenario_Data!W222)+(Inputs!$C$6))/(0.5*(Inputs!$C$49+Inputs!$C$50)))+Inputs!$C$47*0.097)))+0.3*(2*((SIN(((Scenario_Data!W222)*12.9898+(Inputs!$C$6)*78.233+Inputs!$C$47*37.719))*43758.5453)-INT((SIN(((Scenario_Data!W222)*12.9898+(Inputs!$C$6)*78.233+Inputs!$C$47*37.719))*43758.5453)))-1))))/1000))^2-2*(Inputs!$C$52+(Scenario_Data!E222))*(Inputs!$C$52+((IF(OR(Inputs!$C$27=TRUE,Inputs!$C$27="TRUE",Inputs!$C$27=1),1,0)*(Inputs!$C$51*(115*EXP(-(((Inputs!$C$6)-25)^2)/(4.5^2))+70*EXP(-(((Inputs!$C$6)+38)^2)/(7^2))*(0.55+0.45*SIN(2*PI()*(Scenario_Data!W222)/45))+24*SIN(2*PI()*(Inputs!$C$6)/9+(Scenario_Data!W222)/18)*EXP(-(((Inputs!$C$6)+5)^2)/(22^2))+18*SIN(2*PI()*(Scenario_Data!W222)/70))+Inputs!$C$28*EXP(-(((Scenario_Data!W222)-Inputs!$C$29)^2)/(2*Inputs!$C$31^2))*EXP(-(((Inputs!$C$6)-Inputs!$C$30)^2)/(2*Inputs!$C$32^2))+-Inputs!$C$33*EXP(-(((((Scenario_Data!W222)-Inputs!$C$34)^2)+(((Inputs!$C$6)-Inputs!$C$35)^2))/(2*Inputs!$C$36^2)))+Inputs!$C$37*(0.55*SIN(2*PI()*(Scenario_Data!W222)/Inputs!$C$39)+0.35*COS(2*PI()*(Inputs!$C$6)/Inputs!$C$40)+0.2*SIN(2*PI()*((Scenario_Data!W222)+(Inputs!$C$6))/(0.5*(Inputs!$C$39+Inputs!$C$40))))+Inputs!$C$38*SIN(2*PI()*(Scenario_Data!W222)/Inputs!$C$39)*SIN(2*PI()*(Inputs!$C$6)/Inputs!$C$40)+-Inputs!$C$41*EXP(-(((Inputs!$C$6)-Inputs!$C$43)^2)/(2*Inputs!$C$44^2))*EXP(-(((Scenario_Data!W222)-Inputs!$C$42)^2)/(2*Inputs!$C$45^2))+Inputs!$C$48*(0.7*(0.45*SIN(2*PI()*(((Scenario_Data!W222)/Inputs!$C$49)+Inputs!$C$47*0.137))+0.35*COS(2*PI()*(((Inputs!$C$6)/Inputs!$C$50)+Inputs!$C$47*0.173))+0.2*SIN(2*PI()*((((Scenario_Data!W222)+(Inputs!$C$6))/(0.5*(Inputs!$C$49+Inputs!$C$50)))+Inputs!$C$47*0.097)))+0.3*(2*((SIN(((Scenario_Data!W222)*12.9898+(Inputs!$C$6)*78.233+Inputs!$C$47*37.719))*43758.5453)-INT((SIN(((Scenario_Data!W222)*12.9898+(Inputs!$C$6)*78.233+Inputs!$C$47*37.719))*43758.5453)))-1))))/1000))*COS(SQRT((Scenario_Data!W222)^2+Inputs!$C$6^2)/Inputs!$C$52))*1000)/Inputs!$C$21*1000000</f>
        <v/>
      </c>
    </row>
    <row r="223">
      <c r="A223">
        <f>Chart_Data!K223</f>
        <v/>
      </c>
      <c r="B223">
        <f>Chart_Data!N223-Chart_Data!L223</f>
        <v/>
      </c>
      <c r="D223">
        <f>Chart_Data!G223</f>
        <v/>
      </c>
      <c r="E223">
        <f>Chart_Data!H223</f>
        <v/>
      </c>
      <c r="F223">
        <f>Chart_Data!I223</f>
        <v/>
      </c>
      <c r="G223">
        <f>Chart_Data!J223</f>
        <v/>
      </c>
      <c r="I223">
        <f>Scenario_Data!A223</f>
        <v/>
      </c>
      <c r="J223">
        <f>Scenario_Data!H223-(((SQRT((Inputs!$C$52+(Inputs!$H$6))^2+Inputs!$C$52^2-2*(Inputs!$C$52+(Inputs!$H$6))*Inputs!$C$52*COS(SQRT((Scenario_Data!T223)^2+Inputs!$C$6^2)/Inputs!$C$52)))-(Inputs!$H$6))*1000/Inputs!$C$12)</f>
        <v/>
      </c>
      <c r="K223">
        <f>Scenario_Data!I223-(((SQRT((Inputs!$C$52+(Inputs!$H$7))^2+Inputs!$C$52^2-2*(Inputs!$C$52+(Inputs!$H$7))*Inputs!$C$52*COS(SQRT((Scenario_Data!U223)^2+Inputs!$C$6^2)/Inputs!$C$52)))-(Inputs!$H$7))*1000/Inputs!$C$12)</f>
        <v/>
      </c>
      <c r="L223">
        <f>Scenario_Data!J223-(((SQRT((Inputs!$C$52+(Inputs!$H$8))^2+Inputs!$C$52^2-2*(Inputs!$C$52+(Inputs!$H$8))*Inputs!$C$52*COS(SQRT((Scenario_Data!V223)^2+Inputs!$C$6^2)/Inputs!$C$52)))-(Inputs!$H$8))*1000/Inputs!$C$12)</f>
        <v/>
      </c>
      <c r="M223">
        <f>Scenario_Data!K223-(((SQRT((Inputs!$C$52+(Inputs!$H$9))^2+Inputs!$C$52^2-2*(Inputs!$C$52+(Inputs!$H$9))*Inputs!$C$52*COS(SQRT((Scenario_Data!W223)^2+Inputs!$C$6^2)/Inputs!$C$52)))-(Inputs!$H$9))*1000/Inputs!$C$12)</f>
        <v/>
      </c>
      <c r="O223">
        <f>Scenario_Data!T223</f>
        <v/>
      </c>
      <c r="P223">
        <f>2*(Scenario_Data!B223*1000)/Inputs!$C$21*1000000</f>
        <v/>
      </c>
      <c r="Q223">
        <f>Scenario_Data!U223</f>
        <v/>
      </c>
      <c r="R223">
        <f>2*(Scenario_Data!C223*1000)/Inputs!$C$21*1000000</f>
        <v/>
      </c>
      <c r="S223">
        <f>Scenario_Data!V223</f>
        <v/>
      </c>
      <c r="T223">
        <f>2*(Scenario_Data!D223*1000)/Inputs!$C$21*1000000</f>
        <v/>
      </c>
      <c r="U223">
        <f>Scenario_Data!W223</f>
        <v/>
      </c>
      <c r="V223">
        <f>2*(Scenario_Data!E223*1000)/Inputs!$C$21*1000000</f>
        <v/>
      </c>
      <c r="X223">
        <f>Scenario_Data!T223</f>
        <v/>
      </c>
      <c r="Y223">
        <f>2*((Scenario_Data!B223*1000)-(IF(OR(Inputs!$C$27=TRUE,Inputs!$C$27="TRUE",Inputs!$C$27=1),1,0)*(Inputs!$C$51*(115*EXP(-(((0)-25)^2)/(4.5^2))+70*EXP(-(((0)+38)^2)/(7^2))*(0.55+0.45*SIN(2*PI()*(Scenario_Data!T223)/45))+24*SIN(2*PI()*(0)/9+(Scenario_Data!T223)/18)*EXP(-(((0)+5)^2)/(22^2))+18*SIN(2*PI()*(Scenario_Data!T223)/70))+Inputs!$C$28*EXP(-(((Scenario_Data!T223)-Inputs!$C$29)^2)/(2*Inputs!$C$31^2))*EXP(-(((0)-Inputs!$C$30)^2)/(2*Inputs!$C$32^2))+-Inputs!$C$33*EXP(-(((((Scenario_Data!T223)-Inputs!$C$34)^2)+(((0)-Inputs!$C$35)^2))/(2*Inputs!$C$36^2)))+Inputs!$C$37*(0.55*SIN(2*PI()*(Scenario_Data!T223)/Inputs!$C$39)+0.35*COS(2*PI()*(0)/Inputs!$C$40)+0.2*SIN(2*PI()*((Scenario_Data!T223)+(0))/(0.5*(Inputs!$C$39+Inputs!$C$40))))+Inputs!$C$38*SIN(2*PI()*(Scenario_Data!T223)/Inputs!$C$39)*SIN(2*PI()*(0)/Inputs!$C$40)+-Inputs!$C$41*EXP(-(((0)-Inputs!$C$43)^2)/(2*Inputs!$C$44^2))*EXP(-(((Scenario_Data!T223)-Inputs!$C$42)^2)/(2*Inputs!$C$45^2))+Inputs!$C$48*(0.7*(0.45*SIN(2*PI()*(((Scenario_Data!T223)/Inputs!$C$49)+Inputs!$C$47*0.137))+0.35*COS(2*PI()*(((0)/Inputs!$C$50)+Inputs!$C$47*0.173))+0.2*SIN(2*PI()*((((Scenario_Data!T223)+(0))/(0.5*(Inputs!$C$49+Inputs!$C$50)))+Inputs!$C$47*0.097)))+0.3*(2*((SIN(((Scenario_Data!T223)*12.9898+(0)*78.233+Inputs!$C$47*37.719))*43758.5453)-INT((SIN(((Scenario_Data!T223)*12.9898+(0)*78.233+Inputs!$C$47*37.719))*43758.5453)))-1)))))/Inputs!$C$21*1000000</f>
        <v/>
      </c>
      <c r="Z223">
        <f>Scenario_Data!U223</f>
        <v/>
      </c>
      <c r="AA223">
        <f>2*((Scenario_Data!C223*1000)-(IF(OR(Inputs!$C$27=TRUE,Inputs!$C$27="TRUE",Inputs!$C$27=1),1,0)*(Inputs!$C$51*(115*EXP(-(((0)-25)^2)/(4.5^2))+70*EXP(-(((0)+38)^2)/(7^2))*(0.55+0.45*SIN(2*PI()*(Scenario_Data!U223)/45))+24*SIN(2*PI()*(0)/9+(Scenario_Data!U223)/18)*EXP(-(((0)+5)^2)/(22^2))+18*SIN(2*PI()*(Scenario_Data!U223)/70))+Inputs!$C$28*EXP(-(((Scenario_Data!U223)-Inputs!$C$29)^2)/(2*Inputs!$C$31^2))*EXP(-(((0)-Inputs!$C$30)^2)/(2*Inputs!$C$32^2))+-Inputs!$C$33*EXP(-(((((Scenario_Data!U223)-Inputs!$C$34)^2)+(((0)-Inputs!$C$35)^2))/(2*Inputs!$C$36^2)))+Inputs!$C$37*(0.55*SIN(2*PI()*(Scenario_Data!U223)/Inputs!$C$39)+0.35*COS(2*PI()*(0)/Inputs!$C$40)+0.2*SIN(2*PI()*((Scenario_Data!U223)+(0))/(0.5*(Inputs!$C$39+Inputs!$C$40))))+Inputs!$C$38*SIN(2*PI()*(Scenario_Data!U223)/Inputs!$C$39)*SIN(2*PI()*(0)/Inputs!$C$40)+-Inputs!$C$41*EXP(-(((0)-Inputs!$C$43)^2)/(2*Inputs!$C$44^2))*EXP(-(((Scenario_Data!U223)-Inputs!$C$42)^2)/(2*Inputs!$C$45^2))+Inputs!$C$48*(0.7*(0.45*SIN(2*PI()*(((Scenario_Data!U223)/Inputs!$C$49)+Inputs!$C$47*0.137))+0.35*COS(2*PI()*(((0)/Inputs!$C$50)+Inputs!$C$47*0.173))+0.2*SIN(2*PI()*((((Scenario_Data!U223)+(0))/(0.5*(Inputs!$C$49+Inputs!$C$50)))+Inputs!$C$47*0.097)))+0.3*(2*((SIN(((Scenario_Data!U223)*12.9898+(0)*78.233+Inputs!$C$47*37.719))*43758.5453)-INT((SIN(((Scenario_Data!U223)*12.9898+(0)*78.233+Inputs!$C$47*37.719))*43758.5453)))-1)))))/Inputs!$C$21*1000000</f>
        <v/>
      </c>
      <c r="AB223">
        <f>Scenario_Data!V223</f>
        <v/>
      </c>
      <c r="AC223">
        <f>2*((Scenario_Data!D223*1000)-(IF(OR(Inputs!$C$27=TRUE,Inputs!$C$27="TRUE",Inputs!$C$27=1),1,0)*(Inputs!$C$51*(115*EXP(-(((0)-25)^2)/(4.5^2))+70*EXP(-(((0)+38)^2)/(7^2))*(0.55+0.45*SIN(2*PI()*(Scenario_Data!V223)/45))+24*SIN(2*PI()*(0)/9+(Scenario_Data!V223)/18)*EXP(-(((0)+5)^2)/(22^2))+18*SIN(2*PI()*(Scenario_Data!V223)/70))+Inputs!$C$28*EXP(-(((Scenario_Data!V223)-Inputs!$C$29)^2)/(2*Inputs!$C$31^2))*EXP(-(((0)-Inputs!$C$30)^2)/(2*Inputs!$C$32^2))+-Inputs!$C$33*EXP(-(((((Scenario_Data!V223)-Inputs!$C$34)^2)+(((0)-Inputs!$C$35)^2))/(2*Inputs!$C$36^2)))+Inputs!$C$37*(0.55*SIN(2*PI()*(Scenario_Data!V223)/Inputs!$C$39)+0.35*COS(2*PI()*(0)/Inputs!$C$40)+0.2*SIN(2*PI()*((Scenario_Data!V223)+(0))/(0.5*(Inputs!$C$39+Inputs!$C$40))))+Inputs!$C$38*SIN(2*PI()*(Scenario_Data!V223)/Inputs!$C$39)*SIN(2*PI()*(0)/Inputs!$C$40)+-Inputs!$C$41*EXP(-(((0)-Inputs!$C$43)^2)/(2*Inputs!$C$44^2))*EXP(-(((Scenario_Data!V223)-Inputs!$C$42)^2)/(2*Inputs!$C$45^2))+Inputs!$C$48*(0.7*(0.45*SIN(2*PI()*(((Scenario_Data!V223)/Inputs!$C$49)+Inputs!$C$47*0.137))+0.35*COS(2*PI()*(((0)/Inputs!$C$50)+Inputs!$C$47*0.173))+0.2*SIN(2*PI()*((((Scenario_Data!V223)+(0))/(0.5*(Inputs!$C$49+Inputs!$C$50)))+Inputs!$C$47*0.097)))+0.3*(2*((SIN(((Scenario_Data!V223)*12.9898+(0)*78.233+Inputs!$C$47*37.719))*43758.5453)-INT((SIN(((Scenario_Data!V223)*12.9898+(0)*78.233+Inputs!$C$47*37.719))*43758.5453)))-1)))))/Inputs!$C$21*1000000</f>
        <v/>
      </c>
      <c r="AD223">
        <f>Scenario_Data!W223</f>
        <v/>
      </c>
      <c r="AE223">
        <f>2*((Scenario_Data!E223*1000)-(IF(OR(Inputs!$C$27=TRUE,Inputs!$C$27="TRUE",Inputs!$C$27=1),1,0)*(Inputs!$C$51*(115*EXP(-(((0)-25)^2)/(4.5^2))+70*EXP(-(((0)+38)^2)/(7^2))*(0.55+0.45*SIN(2*PI()*(Scenario_Data!W223)/45))+24*SIN(2*PI()*(0)/9+(Scenario_Data!W223)/18)*EXP(-(((0)+5)^2)/(22^2))+18*SIN(2*PI()*(Scenario_Data!W223)/70))+Inputs!$C$28*EXP(-(((Scenario_Data!W223)-Inputs!$C$29)^2)/(2*Inputs!$C$31^2))*EXP(-(((0)-Inputs!$C$30)^2)/(2*Inputs!$C$32^2))+-Inputs!$C$33*EXP(-(((((Scenario_Data!W223)-Inputs!$C$34)^2)+(((0)-Inputs!$C$35)^2))/(2*Inputs!$C$36^2)))+Inputs!$C$37*(0.55*SIN(2*PI()*(Scenario_Data!W223)/Inputs!$C$39)+0.35*COS(2*PI()*(0)/Inputs!$C$40)+0.2*SIN(2*PI()*((Scenario_Data!W223)+(0))/(0.5*(Inputs!$C$39+Inputs!$C$40))))+Inputs!$C$38*SIN(2*PI()*(Scenario_Data!W223)/Inputs!$C$39)*SIN(2*PI()*(0)/Inputs!$C$40)+-Inputs!$C$41*EXP(-(((0)-Inputs!$C$43)^2)/(2*Inputs!$C$44^2))*EXP(-(((Scenario_Data!W223)-Inputs!$C$42)^2)/(2*Inputs!$C$45^2))+Inputs!$C$48*(0.7*(0.45*SIN(2*PI()*(((Scenario_Data!W223)/Inputs!$C$49)+Inputs!$C$47*0.137))+0.35*COS(2*PI()*(((0)/Inputs!$C$50)+Inputs!$C$47*0.173))+0.2*SIN(2*PI()*((((Scenario_Data!W223)+(0))/(0.5*(Inputs!$C$49+Inputs!$C$50)))+Inputs!$C$47*0.097)))+0.3*(2*((SIN(((Scenario_Data!W223)*12.9898+(0)*78.233+Inputs!$C$47*37.719))*43758.5453)-INT((SIN(((Scenario_Data!W223)*12.9898+(0)*78.233+Inputs!$C$47*37.719))*43758.5453)))-1)))))/Inputs!$C$21*1000000</f>
        <v/>
      </c>
      <c r="AG223">
        <f>Scenario_Data!T223</f>
        <v/>
      </c>
      <c r="AH223">
        <f>2*(SQRT((Inputs!$C$52+(Scenario_Data!B223))^2+Inputs!$C$52^2-2*(Inputs!$C$52+(Scenario_Data!B223))*Inputs!$C$52*COS(SQRT((Scenario_Data!T223)^2+Inputs!$C$6^2)/Inputs!$C$52))*1000)/Inputs!$C$21*1000000</f>
        <v/>
      </c>
      <c r="AI223">
        <f>Scenario_Data!U223</f>
        <v/>
      </c>
      <c r="AJ223">
        <f>2*(SQRT((Inputs!$C$52+(Scenario_Data!C223))^2+Inputs!$C$52^2-2*(Inputs!$C$52+(Scenario_Data!C223))*Inputs!$C$52*COS(SQRT((Scenario_Data!U223)^2+Inputs!$C$6^2)/Inputs!$C$52))*1000)/Inputs!$C$21*1000000</f>
        <v/>
      </c>
      <c r="AK223">
        <f>Scenario_Data!V223</f>
        <v/>
      </c>
      <c r="AL223">
        <f>2*(SQRT((Inputs!$C$52+(Scenario_Data!D223))^2+Inputs!$C$52^2-2*(Inputs!$C$52+(Scenario_Data!D223))*Inputs!$C$52*COS(SQRT((Scenario_Data!V223)^2+Inputs!$C$6^2)/Inputs!$C$52))*1000)/Inputs!$C$21*1000000</f>
        <v/>
      </c>
      <c r="AM223">
        <f>Scenario_Data!W223</f>
        <v/>
      </c>
      <c r="AN223">
        <f>2*(SQRT((Inputs!$C$52+(Scenario_Data!E223))^2+Inputs!$C$52^2-2*(Inputs!$C$52+(Scenario_Data!E223))*Inputs!$C$52*COS(SQRT((Scenario_Data!W223)^2+Inputs!$C$6^2)/Inputs!$C$52))*1000)/Inputs!$C$21*1000000</f>
        <v/>
      </c>
      <c r="AP223">
        <f>Scenario_Data!T223</f>
        <v/>
      </c>
      <c r="AQ223">
        <f>2*(SQRT((Inputs!$C$52+(Scenario_Data!B223))^2+(Inputs!$C$52+((IF(OR(Inputs!$C$27=TRUE,Inputs!$C$27="TRUE",Inputs!$C$27=1),1,0)*(Inputs!$C$51*(115*EXP(-(((Inputs!$C$6)-25)^2)/(4.5^2))+70*EXP(-(((Inputs!$C$6)+38)^2)/(7^2))*(0.55+0.45*SIN(2*PI()*(Scenario_Data!T223)/45))+24*SIN(2*PI()*(Inputs!$C$6)/9+(Scenario_Data!T223)/18)*EXP(-(((Inputs!$C$6)+5)^2)/(22^2))+18*SIN(2*PI()*(Scenario_Data!T223)/70))+Inputs!$C$28*EXP(-(((Scenario_Data!T223)-Inputs!$C$29)^2)/(2*Inputs!$C$31^2))*EXP(-(((Inputs!$C$6)-Inputs!$C$30)^2)/(2*Inputs!$C$32^2))+-Inputs!$C$33*EXP(-(((((Scenario_Data!T223)-Inputs!$C$34)^2)+(((Inputs!$C$6)-Inputs!$C$35)^2))/(2*Inputs!$C$36^2)))+Inputs!$C$37*(0.55*SIN(2*PI()*(Scenario_Data!T223)/Inputs!$C$39)+0.35*COS(2*PI()*(Inputs!$C$6)/Inputs!$C$40)+0.2*SIN(2*PI()*((Scenario_Data!T223)+(Inputs!$C$6))/(0.5*(Inputs!$C$39+Inputs!$C$40))))+Inputs!$C$38*SIN(2*PI()*(Scenario_Data!T223)/Inputs!$C$39)*SIN(2*PI()*(Inputs!$C$6)/Inputs!$C$40)+-Inputs!$C$41*EXP(-(((Inputs!$C$6)-Inputs!$C$43)^2)/(2*Inputs!$C$44^2))*EXP(-(((Scenario_Data!T223)-Inputs!$C$42)^2)/(2*Inputs!$C$45^2))+Inputs!$C$48*(0.7*(0.45*SIN(2*PI()*(((Scenario_Data!T223)/Inputs!$C$49)+Inputs!$C$47*0.137))+0.35*COS(2*PI()*(((Inputs!$C$6)/Inputs!$C$50)+Inputs!$C$47*0.173))+0.2*SIN(2*PI()*((((Scenario_Data!T223)+(Inputs!$C$6))/(0.5*(Inputs!$C$49+Inputs!$C$50)))+Inputs!$C$47*0.097)))+0.3*(2*((SIN(((Scenario_Data!T223)*12.9898+(Inputs!$C$6)*78.233+Inputs!$C$47*37.719))*43758.5453)-INT((SIN(((Scenario_Data!T223)*12.9898+(Inputs!$C$6)*78.233+Inputs!$C$47*37.719))*43758.5453)))-1))))/1000))^2-2*(Inputs!$C$52+(Scenario_Data!B223))*(Inputs!$C$52+((IF(OR(Inputs!$C$27=TRUE,Inputs!$C$27="TRUE",Inputs!$C$27=1),1,0)*(Inputs!$C$51*(115*EXP(-(((Inputs!$C$6)-25)^2)/(4.5^2))+70*EXP(-(((Inputs!$C$6)+38)^2)/(7^2))*(0.55+0.45*SIN(2*PI()*(Scenario_Data!T223)/45))+24*SIN(2*PI()*(Inputs!$C$6)/9+(Scenario_Data!T223)/18)*EXP(-(((Inputs!$C$6)+5)^2)/(22^2))+18*SIN(2*PI()*(Scenario_Data!T223)/70))+Inputs!$C$28*EXP(-(((Scenario_Data!T223)-Inputs!$C$29)^2)/(2*Inputs!$C$31^2))*EXP(-(((Inputs!$C$6)-Inputs!$C$30)^2)/(2*Inputs!$C$32^2))+-Inputs!$C$33*EXP(-(((((Scenario_Data!T223)-Inputs!$C$34)^2)+(((Inputs!$C$6)-Inputs!$C$35)^2))/(2*Inputs!$C$36^2)))+Inputs!$C$37*(0.55*SIN(2*PI()*(Scenario_Data!T223)/Inputs!$C$39)+0.35*COS(2*PI()*(Inputs!$C$6)/Inputs!$C$40)+0.2*SIN(2*PI()*((Scenario_Data!T223)+(Inputs!$C$6))/(0.5*(Inputs!$C$39+Inputs!$C$40))))+Inputs!$C$38*SIN(2*PI()*(Scenario_Data!T223)/Inputs!$C$39)*SIN(2*PI()*(Inputs!$C$6)/Inputs!$C$40)+-Inputs!$C$41*EXP(-(((Inputs!$C$6)-Inputs!$C$43)^2)/(2*Inputs!$C$44^2))*EXP(-(((Scenario_Data!T223)-Inputs!$C$42)^2)/(2*Inputs!$C$45^2))+Inputs!$C$48*(0.7*(0.45*SIN(2*PI()*(((Scenario_Data!T223)/Inputs!$C$49)+Inputs!$C$47*0.137))+0.35*COS(2*PI()*(((Inputs!$C$6)/Inputs!$C$50)+Inputs!$C$47*0.173))+0.2*SIN(2*PI()*((((Scenario_Data!T223)+(Inputs!$C$6))/(0.5*(Inputs!$C$49+Inputs!$C$50)))+Inputs!$C$47*0.097)))+0.3*(2*((SIN(((Scenario_Data!T223)*12.9898+(Inputs!$C$6)*78.233+Inputs!$C$47*37.719))*43758.5453)-INT((SIN(((Scenario_Data!T223)*12.9898+(Inputs!$C$6)*78.233+Inputs!$C$47*37.719))*43758.5453)))-1))))/1000))*COS(SQRT((Scenario_Data!T223)^2+Inputs!$C$6^2)/Inputs!$C$52))*1000)/Inputs!$C$21*1000000</f>
        <v/>
      </c>
      <c r="AR223">
        <f>Scenario_Data!U223</f>
        <v/>
      </c>
      <c r="AS223">
        <f>2*(SQRT((Inputs!$C$52+(Scenario_Data!C223))^2+(Inputs!$C$52+((IF(OR(Inputs!$C$27=TRUE,Inputs!$C$27="TRUE",Inputs!$C$27=1),1,0)*(Inputs!$C$51*(115*EXP(-(((Inputs!$C$6)-25)^2)/(4.5^2))+70*EXP(-(((Inputs!$C$6)+38)^2)/(7^2))*(0.55+0.45*SIN(2*PI()*(Scenario_Data!U223)/45))+24*SIN(2*PI()*(Inputs!$C$6)/9+(Scenario_Data!U223)/18)*EXP(-(((Inputs!$C$6)+5)^2)/(22^2))+18*SIN(2*PI()*(Scenario_Data!U223)/70))+Inputs!$C$28*EXP(-(((Scenario_Data!U223)-Inputs!$C$29)^2)/(2*Inputs!$C$31^2))*EXP(-(((Inputs!$C$6)-Inputs!$C$30)^2)/(2*Inputs!$C$32^2))+-Inputs!$C$33*EXP(-(((((Scenario_Data!U223)-Inputs!$C$34)^2)+(((Inputs!$C$6)-Inputs!$C$35)^2))/(2*Inputs!$C$36^2)))+Inputs!$C$37*(0.55*SIN(2*PI()*(Scenario_Data!U223)/Inputs!$C$39)+0.35*COS(2*PI()*(Inputs!$C$6)/Inputs!$C$40)+0.2*SIN(2*PI()*((Scenario_Data!U223)+(Inputs!$C$6))/(0.5*(Inputs!$C$39+Inputs!$C$40))))+Inputs!$C$38*SIN(2*PI()*(Scenario_Data!U223)/Inputs!$C$39)*SIN(2*PI()*(Inputs!$C$6)/Inputs!$C$40)+-Inputs!$C$41*EXP(-(((Inputs!$C$6)-Inputs!$C$43)^2)/(2*Inputs!$C$44^2))*EXP(-(((Scenario_Data!U223)-Inputs!$C$42)^2)/(2*Inputs!$C$45^2))+Inputs!$C$48*(0.7*(0.45*SIN(2*PI()*(((Scenario_Data!U223)/Inputs!$C$49)+Inputs!$C$47*0.137))+0.35*COS(2*PI()*(((Inputs!$C$6)/Inputs!$C$50)+Inputs!$C$47*0.173))+0.2*SIN(2*PI()*((((Scenario_Data!U223)+(Inputs!$C$6))/(0.5*(Inputs!$C$49+Inputs!$C$50)))+Inputs!$C$47*0.097)))+0.3*(2*((SIN(((Scenario_Data!U223)*12.9898+(Inputs!$C$6)*78.233+Inputs!$C$47*37.719))*43758.5453)-INT((SIN(((Scenario_Data!U223)*12.9898+(Inputs!$C$6)*78.233+Inputs!$C$47*37.719))*43758.5453)))-1))))/1000))^2-2*(Inputs!$C$52+(Scenario_Data!C223))*(Inputs!$C$52+((IF(OR(Inputs!$C$27=TRUE,Inputs!$C$27="TRUE",Inputs!$C$27=1),1,0)*(Inputs!$C$51*(115*EXP(-(((Inputs!$C$6)-25)^2)/(4.5^2))+70*EXP(-(((Inputs!$C$6)+38)^2)/(7^2))*(0.55+0.45*SIN(2*PI()*(Scenario_Data!U223)/45))+24*SIN(2*PI()*(Inputs!$C$6)/9+(Scenario_Data!U223)/18)*EXP(-(((Inputs!$C$6)+5)^2)/(22^2))+18*SIN(2*PI()*(Scenario_Data!U223)/70))+Inputs!$C$28*EXP(-(((Scenario_Data!U223)-Inputs!$C$29)^2)/(2*Inputs!$C$31^2))*EXP(-(((Inputs!$C$6)-Inputs!$C$30)^2)/(2*Inputs!$C$32^2))+-Inputs!$C$33*EXP(-(((((Scenario_Data!U223)-Inputs!$C$34)^2)+(((Inputs!$C$6)-Inputs!$C$35)^2))/(2*Inputs!$C$36^2)))+Inputs!$C$37*(0.55*SIN(2*PI()*(Scenario_Data!U223)/Inputs!$C$39)+0.35*COS(2*PI()*(Inputs!$C$6)/Inputs!$C$40)+0.2*SIN(2*PI()*((Scenario_Data!U223)+(Inputs!$C$6))/(0.5*(Inputs!$C$39+Inputs!$C$40))))+Inputs!$C$38*SIN(2*PI()*(Scenario_Data!U223)/Inputs!$C$39)*SIN(2*PI()*(Inputs!$C$6)/Inputs!$C$40)+-Inputs!$C$41*EXP(-(((Inputs!$C$6)-Inputs!$C$43)^2)/(2*Inputs!$C$44^2))*EXP(-(((Scenario_Data!U223)-Inputs!$C$42)^2)/(2*Inputs!$C$45^2))+Inputs!$C$48*(0.7*(0.45*SIN(2*PI()*(((Scenario_Data!U223)/Inputs!$C$49)+Inputs!$C$47*0.137))+0.35*COS(2*PI()*(((Inputs!$C$6)/Inputs!$C$50)+Inputs!$C$47*0.173))+0.2*SIN(2*PI()*((((Scenario_Data!U223)+(Inputs!$C$6))/(0.5*(Inputs!$C$49+Inputs!$C$50)))+Inputs!$C$47*0.097)))+0.3*(2*((SIN(((Scenario_Data!U223)*12.9898+(Inputs!$C$6)*78.233+Inputs!$C$47*37.719))*43758.5453)-INT((SIN(((Scenario_Data!U223)*12.9898+(Inputs!$C$6)*78.233+Inputs!$C$47*37.719))*43758.5453)))-1))))/1000))*COS(SQRT((Scenario_Data!U223)^2+Inputs!$C$6^2)/Inputs!$C$52))*1000)/Inputs!$C$21*1000000</f>
        <v/>
      </c>
      <c r="AT223">
        <f>Scenario_Data!V223</f>
        <v/>
      </c>
      <c r="AU223">
        <f>2*(SQRT((Inputs!$C$52+(Scenario_Data!D223))^2+(Inputs!$C$52+((IF(OR(Inputs!$C$27=TRUE,Inputs!$C$27="TRUE",Inputs!$C$27=1),1,0)*(Inputs!$C$51*(115*EXP(-(((Inputs!$C$6)-25)^2)/(4.5^2))+70*EXP(-(((Inputs!$C$6)+38)^2)/(7^2))*(0.55+0.45*SIN(2*PI()*(Scenario_Data!V223)/45))+24*SIN(2*PI()*(Inputs!$C$6)/9+(Scenario_Data!V223)/18)*EXP(-(((Inputs!$C$6)+5)^2)/(22^2))+18*SIN(2*PI()*(Scenario_Data!V223)/70))+Inputs!$C$28*EXP(-(((Scenario_Data!V223)-Inputs!$C$29)^2)/(2*Inputs!$C$31^2))*EXP(-(((Inputs!$C$6)-Inputs!$C$30)^2)/(2*Inputs!$C$32^2))+-Inputs!$C$33*EXP(-(((((Scenario_Data!V223)-Inputs!$C$34)^2)+(((Inputs!$C$6)-Inputs!$C$35)^2))/(2*Inputs!$C$36^2)))+Inputs!$C$37*(0.55*SIN(2*PI()*(Scenario_Data!V223)/Inputs!$C$39)+0.35*COS(2*PI()*(Inputs!$C$6)/Inputs!$C$40)+0.2*SIN(2*PI()*((Scenario_Data!V223)+(Inputs!$C$6))/(0.5*(Inputs!$C$39+Inputs!$C$40))))+Inputs!$C$38*SIN(2*PI()*(Scenario_Data!V223)/Inputs!$C$39)*SIN(2*PI()*(Inputs!$C$6)/Inputs!$C$40)+-Inputs!$C$41*EXP(-(((Inputs!$C$6)-Inputs!$C$43)^2)/(2*Inputs!$C$44^2))*EXP(-(((Scenario_Data!V223)-Inputs!$C$42)^2)/(2*Inputs!$C$45^2))+Inputs!$C$48*(0.7*(0.45*SIN(2*PI()*(((Scenario_Data!V223)/Inputs!$C$49)+Inputs!$C$47*0.137))+0.35*COS(2*PI()*(((Inputs!$C$6)/Inputs!$C$50)+Inputs!$C$47*0.173))+0.2*SIN(2*PI()*((((Scenario_Data!V223)+(Inputs!$C$6))/(0.5*(Inputs!$C$49+Inputs!$C$50)))+Inputs!$C$47*0.097)))+0.3*(2*((SIN(((Scenario_Data!V223)*12.9898+(Inputs!$C$6)*78.233+Inputs!$C$47*37.719))*43758.5453)-INT((SIN(((Scenario_Data!V223)*12.9898+(Inputs!$C$6)*78.233+Inputs!$C$47*37.719))*43758.5453)))-1))))/1000))^2-2*(Inputs!$C$52+(Scenario_Data!D223))*(Inputs!$C$52+((IF(OR(Inputs!$C$27=TRUE,Inputs!$C$27="TRUE",Inputs!$C$27=1),1,0)*(Inputs!$C$51*(115*EXP(-(((Inputs!$C$6)-25)^2)/(4.5^2))+70*EXP(-(((Inputs!$C$6)+38)^2)/(7^2))*(0.55+0.45*SIN(2*PI()*(Scenario_Data!V223)/45))+24*SIN(2*PI()*(Inputs!$C$6)/9+(Scenario_Data!V223)/18)*EXP(-(((Inputs!$C$6)+5)^2)/(22^2))+18*SIN(2*PI()*(Scenario_Data!V223)/70))+Inputs!$C$28*EXP(-(((Scenario_Data!V223)-Inputs!$C$29)^2)/(2*Inputs!$C$31^2))*EXP(-(((Inputs!$C$6)-Inputs!$C$30)^2)/(2*Inputs!$C$32^2))+-Inputs!$C$33*EXP(-(((((Scenario_Data!V223)-Inputs!$C$34)^2)+(((Inputs!$C$6)-Inputs!$C$35)^2))/(2*Inputs!$C$36^2)))+Inputs!$C$37*(0.55*SIN(2*PI()*(Scenario_Data!V223)/Inputs!$C$39)+0.35*COS(2*PI()*(Inputs!$C$6)/Inputs!$C$40)+0.2*SIN(2*PI()*((Scenario_Data!V223)+(Inputs!$C$6))/(0.5*(Inputs!$C$39+Inputs!$C$40))))+Inputs!$C$38*SIN(2*PI()*(Scenario_Data!V223)/Inputs!$C$39)*SIN(2*PI()*(Inputs!$C$6)/Inputs!$C$40)+-Inputs!$C$41*EXP(-(((Inputs!$C$6)-Inputs!$C$43)^2)/(2*Inputs!$C$44^2))*EXP(-(((Scenario_Data!V223)-Inputs!$C$42)^2)/(2*Inputs!$C$45^2))+Inputs!$C$48*(0.7*(0.45*SIN(2*PI()*(((Scenario_Data!V223)/Inputs!$C$49)+Inputs!$C$47*0.137))+0.35*COS(2*PI()*(((Inputs!$C$6)/Inputs!$C$50)+Inputs!$C$47*0.173))+0.2*SIN(2*PI()*((((Scenario_Data!V223)+(Inputs!$C$6))/(0.5*(Inputs!$C$49+Inputs!$C$50)))+Inputs!$C$47*0.097)))+0.3*(2*((SIN(((Scenario_Data!V223)*12.9898+(Inputs!$C$6)*78.233+Inputs!$C$47*37.719))*43758.5453)-INT((SIN(((Scenario_Data!V223)*12.9898+(Inputs!$C$6)*78.233+Inputs!$C$47*37.719))*43758.5453)))-1))))/1000))*COS(SQRT((Scenario_Data!V223)^2+Inputs!$C$6^2)/Inputs!$C$52))*1000)/Inputs!$C$21*1000000</f>
        <v/>
      </c>
      <c r="AV223">
        <f>Scenario_Data!W223</f>
        <v/>
      </c>
      <c r="AW223">
        <f>2*(SQRT((Inputs!$C$52+(Scenario_Data!E223))^2+(Inputs!$C$52+((IF(OR(Inputs!$C$27=TRUE,Inputs!$C$27="TRUE",Inputs!$C$27=1),1,0)*(Inputs!$C$51*(115*EXP(-(((Inputs!$C$6)-25)^2)/(4.5^2))+70*EXP(-(((Inputs!$C$6)+38)^2)/(7^2))*(0.55+0.45*SIN(2*PI()*(Scenario_Data!W223)/45))+24*SIN(2*PI()*(Inputs!$C$6)/9+(Scenario_Data!W223)/18)*EXP(-(((Inputs!$C$6)+5)^2)/(22^2))+18*SIN(2*PI()*(Scenario_Data!W223)/70))+Inputs!$C$28*EXP(-(((Scenario_Data!W223)-Inputs!$C$29)^2)/(2*Inputs!$C$31^2))*EXP(-(((Inputs!$C$6)-Inputs!$C$30)^2)/(2*Inputs!$C$32^2))+-Inputs!$C$33*EXP(-(((((Scenario_Data!W223)-Inputs!$C$34)^2)+(((Inputs!$C$6)-Inputs!$C$35)^2))/(2*Inputs!$C$36^2)))+Inputs!$C$37*(0.55*SIN(2*PI()*(Scenario_Data!W223)/Inputs!$C$39)+0.35*COS(2*PI()*(Inputs!$C$6)/Inputs!$C$40)+0.2*SIN(2*PI()*((Scenario_Data!W223)+(Inputs!$C$6))/(0.5*(Inputs!$C$39+Inputs!$C$40))))+Inputs!$C$38*SIN(2*PI()*(Scenario_Data!W223)/Inputs!$C$39)*SIN(2*PI()*(Inputs!$C$6)/Inputs!$C$40)+-Inputs!$C$41*EXP(-(((Inputs!$C$6)-Inputs!$C$43)^2)/(2*Inputs!$C$44^2))*EXP(-(((Scenario_Data!W223)-Inputs!$C$42)^2)/(2*Inputs!$C$45^2))+Inputs!$C$48*(0.7*(0.45*SIN(2*PI()*(((Scenario_Data!W223)/Inputs!$C$49)+Inputs!$C$47*0.137))+0.35*COS(2*PI()*(((Inputs!$C$6)/Inputs!$C$50)+Inputs!$C$47*0.173))+0.2*SIN(2*PI()*((((Scenario_Data!W223)+(Inputs!$C$6))/(0.5*(Inputs!$C$49+Inputs!$C$50)))+Inputs!$C$47*0.097)))+0.3*(2*((SIN(((Scenario_Data!W223)*12.9898+(Inputs!$C$6)*78.233+Inputs!$C$47*37.719))*43758.5453)-INT((SIN(((Scenario_Data!W223)*12.9898+(Inputs!$C$6)*78.233+Inputs!$C$47*37.719))*43758.5453)))-1))))/1000))^2-2*(Inputs!$C$52+(Scenario_Data!E223))*(Inputs!$C$52+((IF(OR(Inputs!$C$27=TRUE,Inputs!$C$27="TRUE",Inputs!$C$27=1),1,0)*(Inputs!$C$51*(115*EXP(-(((Inputs!$C$6)-25)^2)/(4.5^2))+70*EXP(-(((Inputs!$C$6)+38)^2)/(7^2))*(0.55+0.45*SIN(2*PI()*(Scenario_Data!W223)/45))+24*SIN(2*PI()*(Inputs!$C$6)/9+(Scenario_Data!W223)/18)*EXP(-(((Inputs!$C$6)+5)^2)/(22^2))+18*SIN(2*PI()*(Scenario_Data!W223)/70))+Inputs!$C$28*EXP(-(((Scenario_Data!W223)-Inputs!$C$29)^2)/(2*Inputs!$C$31^2))*EXP(-(((Inputs!$C$6)-Inputs!$C$30)^2)/(2*Inputs!$C$32^2))+-Inputs!$C$33*EXP(-(((((Scenario_Data!W223)-Inputs!$C$34)^2)+(((Inputs!$C$6)-Inputs!$C$35)^2))/(2*Inputs!$C$36^2)))+Inputs!$C$37*(0.55*SIN(2*PI()*(Scenario_Data!W223)/Inputs!$C$39)+0.35*COS(2*PI()*(Inputs!$C$6)/Inputs!$C$40)+0.2*SIN(2*PI()*((Scenario_Data!W223)+(Inputs!$C$6))/(0.5*(Inputs!$C$39+Inputs!$C$40))))+Inputs!$C$38*SIN(2*PI()*(Scenario_Data!W223)/Inputs!$C$39)*SIN(2*PI()*(Inputs!$C$6)/Inputs!$C$40)+-Inputs!$C$41*EXP(-(((Inputs!$C$6)-Inputs!$C$43)^2)/(2*Inputs!$C$44^2))*EXP(-(((Scenario_Data!W223)-Inputs!$C$42)^2)/(2*Inputs!$C$45^2))+Inputs!$C$48*(0.7*(0.45*SIN(2*PI()*(((Scenario_Data!W223)/Inputs!$C$49)+Inputs!$C$47*0.137))+0.35*COS(2*PI()*(((Inputs!$C$6)/Inputs!$C$50)+Inputs!$C$47*0.173))+0.2*SIN(2*PI()*((((Scenario_Data!W223)+(Inputs!$C$6))/(0.5*(Inputs!$C$49+Inputs!$C$50)))+Inputs!$C$47*0.097)))+0.3*(2*((SIN(((Scenario_Data!W223)*12.9898+(Inputs!$C$6)*78.233+Inputs!$C$47*37.719))*43758.5453)-INT((SIN(((Scenario_Data!W223)*12.9898+(Inputs!$C$6)*78.233+Inputs!$C$47*37.719))*43758.5453)))-1))))/1000))*COS(SQRT((Scenario_Data!W223)^2+Inputs!$C$6^2)/Inputs!$C$52))*1000)/Inputs!$C$21*1000000</f>
        <v/>
      </c>
    </row>
    <row r="224">
      <c r="A224">
        <f>Chart_Data!K224</f>
        <v/>
      </c>
      <c r="B224">
        <f>Chart_Data!N224-Chart_Data!L224</f>
        <v/>
      </c>
      <c r="D224">
        <f>Chart_Data!G224</f>
        <v/>
      </c>
      <c r="E224">
        <f>Chart_Data!H224</f>
        <v/>
      </c>
      <c r="F224">
        <f>Chart_Data!I224</f>
        <v/>
      </c>
      <c r="G224">
        <f>Chart_Data!J224</f>
        <v/>
      </c>
      <c r="I224">
        <f>Scenario_Data!A224</f>
        <v/>
      </c>
      <c r="J224">
        <f>Scenario_Data!H224-(((SQRT((Inputs!$C$52+(Inputs!$H$6))^2+Inputs!$C$52^2-2*(Inputs!$C$52+(Inputs!$H$6))*Inputs!$C$52*COS(SQRT((Scenario_Data!T224)^2+Inputs!$C$6^2)/Inputs!$C$52)))-(Inputs!$H$6))*1000/Inputs!$C$12)</f>
        <v/>
      </c>
      <c r="K224">
        <f>Scenario_Data!I224-(((SQRT((Inputs!$C$52+(Inputs!$H$7))^2+Inputs!$C$52^2-2*(Inputs!$C$52+(Inputs!$H$7))*Inputs!$C$52*COS(SQRT((Scenario_Data!U224)^2+Inputs!$C$6^2)/Inputs!$C$52)))-(Inputs!$H$7))*1000/Inputs!$C$12)</f>
        <v/>
      </c>
      <c r="L224">
        <f>Scenario_Data!J224-(((SQRT((Inputs!$C$52+(Inputs!$H$8))^2+Inputs!$C$52^2-2*(Inputs!$C$52+(Inputs!$H$8))*Inputs!$C$52*COS(SQRT((Scenario_Data!V224)^2+Inputs!$C$6^2)/Inputs!$C$52)))-(Inputs!$H$8))*1000/Inputs!$C$12)</f>
        <v/>
      </c>
      <c r="M224">
        <f>Scenario_Data!K224-(((SQRT((Inputs!$C$52+(Inputs!$H$9))^2+Inputs!$C$52^2-2*(Inputs!$C$52+(Inputs!$H$9))*Inputs!$C$52*COS(SQRT((Scenario_Data!W224)^2+Inputs!$C$6^2)/Inputs!$C$52)))-(Inputs!$H$9))*1000/Inputs!$C$12)</f>
        <v/>
      </c>
      <c r="O224">
        <f>Scenario_Data!T224</f>
        <v/>
      </c>
      <c r="P224">
        <f>2*(Scenario_Data!B224*1000)/Inputs!$C$21*1000000</f>
        <v/>
      </c>
      <c r="Q224">
        <f>Scenario_Data!U224</f>
        <v/>
      </c>
      <c r="R224">
        <f>2*(Scenario_Data!C224*1000)/Inputs!$C$21*1000000</f>
        <v/>
      </c>
      <c r="S224">
        <f>Scenario_Data!V224</f>
        <v/>
      </c>
      <c r="T224">
        <f>2*(Scenario_Data!D224*1000)/Inputs!$C$21*1000000</f>
        <v/>
      </c>
      <c r="U224">
        <f>Scenario_Data!W224</f>
        <v/>
      </c>
      <c r="V224">
        <f>2*(Scenario_Data!E224*1000)/Inputs!$C$21*1000000</f>
        <v/>
      </c>
      <c r="X224">
        <f>Scenario_Data!T224</f>
        <v/>
      </c>
      <c r="Y224">
        <f>2*((Scenario_Data!B224*1000)-(IF(OR(Inputs!$C$27=TRUE,Inputs!$C$27="TRUE",Inputs!$C$27=1),1,0)*(Inputs!$C$51*(115*EXP(-(((0)-25)^2)/(4.5^2))+70*EXP(-(((0)+38)^2)/(7^2))*(0.55+0.45*SIN(2*PI()*(Scenario_Data!T224)/45))+24*SIN(2*PI()*(0)/9+(Scenario_Data!T224)/18)*EXP(-(((0)+5)^2)/(22^2))+18*SIN(2*PI()*(Scenario_Data!T224)/70))+Inputs!$C$28*EXP(-(((Scenario_Data!T224)-Inputs!$C$29)^2)/(2*Inputs!$C$31^2))*EXP(-(((0)-Inputs!$C$30)^2)/(2*Inputs!$C$32^2))+-Inputs!$C$33*EXP(-(((((Scenario_Data!T224)-Inputs!$C$34)^2)+(((0)-Inputs!$C$35)^2))/(2*Inputs!$C$36^2)))+Inputs!$C$37*(0.55*SIN(2*PI()*(Scenario_Data!T224)/Inputs!$C$39)+0.35*COS(2*PI()*(0)/Inputs!$C$40)+0.2*SIN(2*PI()*((Scenario_Data!T224)+(0))/(0.5*(Inputs!$C$39+Inputs!$C$40))))+Inputs!$C$38*SIN(2*PI()*(Scenario_Data!T224)/Inputs!$C$39)*SIN(2*PI()*(0)/Inputs!$C$40)+-Inputs!$C$41*EXP(-(((0)-Inputs!$C$43)^2)/(2*Inputs!$C$44^2))*EXP(-(((Scenario_Data!T224)-Inputs!$C$42)^2)/(2*Inputs!$C$45^2))+Inputs!$C$48*(0.7*(0.45*SIN(2*PI()*(((Scenario_Data!T224)/Inputs!$C$49)+Inputs!$C$47*0.137))+0.35*COS(2*PI()*(((0)/Inputs!$C$50)+Inputs!$C$47*0.173))+0.2*SIN(2*PI()*((((Scenario_Data!T224)+(0))/(0.5*(Inputs!$C$49+Inputs!$C$50)))+Inputs!$C$47*0.097)))+0.3*(2*((SIN(((Scenario_Data!T224)*12.9898+(0)*78.233+Inputs!$C$47*37.719))*43758.5453)-INT((SIN(((Scenario_Data!T224)*12.9898+(0)*78.233+Inputs!$C$47*37.719))*43758.5453)))-1)))))/Inputs!$C$21*1000000</f>
        <v/>
      </c>
      <c r="Z224">
        <f>Scenario_Data!U224</f>
        <v/>
      </c>
      <c r="AA224">
        <f>2*((Scenario_Data!C224*1000)-(IF(OR(Inputs!$C$27=TRUE,Inputs!$C$27="TRUE",Inputs!$C$27=1),1,0)*(Inputs!$C$51*(115*EXP(-(((0)-25)^2)/(4.5^2))+70*EXP(-(((0)+38)^2)/(7^2))*(0.55+0.45*SIN(2*PI()*(Scenario_Data!U224)/45))+24*SIN(2*PI()*(0)/9+(Scenario_Data!U224)/18)*EXP(-(((0)+5)^2)/(22^2))+18*SIN(2*PI()*(Scenario_Data!U224)/70))+Inputs!$C$28*EXP(-(((Scenario_Data!U224)-Inputs!$C$29)^2)/(2*Inputs!$C$31^2))*EXP(-(((0)-Inputs!$C$30)^2)/(2*Inputs!$C$32^2))+-Inputs!$C$33*EXP(-(((((Scenario_Data!U224)-Inputs!$C$34)^2)+(((0)-Inputs!$C$35)^2))/(2*Inputs!$C$36^2)))+Inputs!$C$37*(0.55*SIN(2*PI()*(Scenario_Data!U224)/Inputs!$C$39)+0.35*COS(2*PI()*(0)/Inputs!$C$40)+0.2*SIN(2*PI()*((Scenario_Data!U224)+(0))/(0.5*(Inputs!$C$39+Inputs!$C$40))))+Inputs!$C$38*SIN(2*PI()*(Scenario_Data!U224)/Inputs!$C$39)*SIN(2*PI()*(0)/Inputs!$C$40)+-Inputs!$C$41*EXP(-(((0)-Inputs!$C$43)^2)/(2*Inputs!$C$44^2))*EXP(-(((Scenario_Data!U224)-Inputs!$C$42)^2)/(2*Inputs!$C$45^2))+Inputs!$C$48*(0.7*(0.45*SIN(2*PI()*(((Scenario_Data!U224)/Inputs!$C$49)+Inputs!$C$47*0.137))+0.35*COS(2*PI()*(((0)/Inputs!$C$50)+Inputs!$C$47*0.173))+0.2*SIN(2*PI()*((((Scenario_Data!U224)+(0))/(0.5*(Inputs!$C$49+Inputs!$C$50)))+Inputs!$C$47*0.097)))+0.3*(2*((SIN(((Scenario_Data!U224)*12.9898+(0)*78.233+Inputs!$C$47*37.719))*43758.5453)-INT((SIN(((Scenario_Data!U224)*12.9898+(0)*78.233+Inputs!$C$47*37.719))*43758.5453)))-1)))))/Inputs!$C$21*1000000</f>
        <v/>
      </c>
      <c r="AB224">
        <f>Scenario_Data!V224</f>
        <v/>
      </c>
      <c r="AC224">
        <f>2*((Scenario_Data!D224*1000)-(IF(OR(Inputs!$C$27=TRUE,Inputs!$C$27="TRUE",Inputs!$C$27=1),1,0)*(Inputs!$C$51*(115*EXP(-(((0)-25)^2)/(4.5^2))+70*EXP(-(((0)+38)^2)/(7^2))*(0.55+0.45*SIN(2*PI()*(Scenario_Data!V224)/45))+24*SIN(2*PI()*(0)/9+(Scenario_Data!V224)/18)*EXP(-(((0)+5)^2)/(22^2))+18*SIN(2*PI()*(Scenario_Data!V224)/70))+Inputs!$C$28*EXP(-(((Scenario_Data!V224)-Inputs!$C$29)^2)/(2*Inputs!$C$31^2))*EXP(-(((0)-Inputs!$C$30)^2)/(2*Inputs!$C$32^2))+-Inputs!$C$33*EXP(-(((((Scenario_Data!V224)-Inputs!$C$34)^2)+(((0)-Inputs!$C$35)^2))/(2*Inputs!$C$36^2)))+Inputs!$C$37*(0.55*SIN(2*PI()*(Scenario_Data!V224)/Inputs!$C$39)+0.35*COS(2*PI()*(0)/Inputs!$C$40)+0.2*SIN(2*PI()*((Scenario_Data!V224)+(0))/(0.5*(Inputs!$C$39+Inputs!$C$40))))+Inputs!$C$38*SIN(2*PI()*(Scenario_Data!V224)/Inputs!$C$39)*SIN(2*PI()*(0)/Inputs!$C$40)+-Inputs!$C$41*EXP(-(((0)-Inputs!$C$43)^2)/(2*Inputs!$C$44^2))*EXP(-(((Scenario_Data!V224)-Inputs!$C$42)^2)/(2*Inputs!$C$45^2))+Inputs!$C$48*(0.7*(0.45*SIN(2*PI()*(((Scenario_Data!V224)/Inputs!$C$49)+Inputs!$C$47*0.137))+0.35*COS(2*PI()*(((0)/Inputs!$C$50)+Inputs!$C$47*0.173))+0.2*SIN(2*PI()*((((Scenario_Data!V224)+(0))/(0.5*(Inputs!$C$49+Inputs!$C$50)))+Inputs!$C$47*0.097)))+0.3*(2*((SIN(((Scenario_Data!V224)*12.9898+(0)*78.233+Inputs!$C$47*37.719))*43758.5453)-INT((SIN(((Scenario_Data!V224)*12.9898+(0)*78.233+Inputs!$C$47*37.719))*43758.5453)))-1)))))/Inputs!$C$21*1000000</f>
        <v/>
      </c>
      <c r="AD224">
        <f>Scenario_Data!W224</f>
        <v/>
      </c>
      <c r="AE224">
        <f>2*((Scenario_Data!E224*1000)-(IF(OR(Inputs!$C$27=TRUE,Inputs!$C$27="TRUE",Inputs!$C$27=1),1,0)*(Inputs!$C$51*(115*EXP(-(((0)-25)^2)/(4.5^2))+70*EXP(-(((0)+38)^2)/(7^2))*(0.55+0.45*SIN(2*PI()*(Scenario_Data!W224)/45))+24*SIN(2*PI()*(0)/9+(Scenario_Data!W224)/18)*EXP(-(((0)+5)^2)/(22^2))+18*SIN(2*PI()*(Scenario_Data!W224)/70))+Inputs!$C$28*EXP(-(((Scenario_Data!W224)-Inputs!$C$29)^2)/(2*Inputs!$C$31^2))*EXP(-(((0)-Inputs!$C$30)^2)/(2*Inputs!$C$32^2))+-Inputs!$C$33*EXP(-(((((Scenario_Data!W224)-Inputs!$C$34)^2)+(((0)-Inputs!$C$35)^2))/(2*Inputs!$C$36^2)))+Inputs!$C$37*(0.55*SIN(2*PI()*(Scenario_Data!W224)/Inputs!$C$39)+0.35*COS(2*PI()*(0)/Inputs!$C$40)+0.2*SIN(2*PI()*((Scenario_Data!W224)+(0))/(0.5*(Inputs!$C$39+Inputs!$C$40))))+Inputs!$C$38*SIN(2*PI()*(Scenario_Data!W224)/Inputs!$C$39)*SIN(2*PI()*(0)/Inputs!$C$40)+-Inputs!$C$41*EXP(-(((0)-Inputs!$C$43)^2)/(2*Inputs!$C$44^2))*EXP(-(((Scenario_Data!W224)-Inputs!$C$42)^2)/(2*Inputs!$C$45^2))+Inputs!$C$48*(0.7*(0.45*SIN(2*PI()*(((Scenario_Data!W224)/Inputs!$C$49)+Inputs!$C$47*0.137))+0.35*COS(2*PI()*(((0)/Inputs!$C$50)+Inputs!$C$47*0.173))+0.2*SIN(2*PI()*((((Scenario_Data!W224)+(0))/(0.5*(Inputs!$C$49+Inputs!$C$50)))+Inputs!$C$47*0.097)))+0.3*(2*((SIN(((Scenario_Data!W224)*12.9898+(0)*78.233+Inputs!$C$47*37.719))*43758.5453)-INT((SIN(((Scenario_Data!W224)*12.9898+(0)*78.233+Inputs!$C$47*37.719))*43758.5453)))-1)))))/Inputs!$C$21*1000000</f>
        <v/>
      </c>
      <c r="AG224">
        <f>Scenario_Data!T224</f>
        <v/>
      </c>
      <c r="AH224">
        <f>2*(SQRT((Inputs!$C$52+(Scenario_Data!B224))^2+Inputs!$C$52^2-2*(Inputs!$C$52+(Scenario_Data!B224))*Inputs!$C$52*COS(SQRT((Scenario_Data!T224)^2+Inputs!$C$6^2)/Inputs!$C$52))*1000)/Inputs!$C$21*1000000</f>
        <v/>
      </c>
      <c r="AI224">
        <f>Scenario_Data!U224</f>
        <v/>
      </c>
      <c r="AJ224">
        <f>2*(SQRT((Inputs!$C$52+(Scenario_Data!C224))^2+Inputs!$C$52^2-2*(Inputs!$C$52+(Scenario_Data!C224))*Inputs!$C$52*COS(SQRT((Scenario_Data!U224)^2+Inputs!$C$6^2)/Inputs!$C$52))*1000)/Inputs!$C$21*1000000</f>
        <v/>
      </c>
      <c r="AK224">
        <f>Scenario_Data!V224</f>
        <v/>
      </c>
      <c r="AL224">
        <f>2*(SQRT((Inputs!$C$52+(Scenario_Data!D224))^2+Inputs!$C$52^2-2*(Inputs!$C$52+(Scenario_Data!D224))*Inputs!$C$52*COS(SQRT((Scenario_Data!V224)^2+Inputs!$C$6^2)/Inputs!$C$52))*1000)/Inputs!$C$21*1000000</f>
        <v/>
      </c>
      <c r="AM224">
        <f>Scenario_Data!W224</f>
        <v/>
      </c>
      <c r="AN224">
        <f>2*(SQRT((Inputs!$C$52+(Scenario_Data!E224))^2+Inputs!$C$52^2-2*(Inputs!$C$52+(Scenario_Data!E224))*Inputs!$C$52*COS(SQRT((Scenario_Data!W224)^2+Inputs!$C$6^2)/Inputs!$C$52))*1000)/Inputs!$C$21*1000000</f>
        <v/>
      </c>
      <c r="AP224">
        <f>Scenario_Data!T224</f>
        <v/>
      </c>
      <c r="AQ224">
        <f>2*(SQRT((Inputs!$C$52+(Scenario_Data!B224))^2+(Inputs!$C$52+((IF(OR(Inputs!$C$27=TRUE,Inputs!$C$27="TRUE",Inputs!$C$27=1),1,0)*(Inputs!$C$51*(115*EXP(-(((Inputs!$C$6)-25)^2)/(4.5^2))+70*EXP(-(((Inputs!$C$6)+38)^2)/(7^2))*(0.55+0.45*SIN(2*PI()*(Scenario_Data!T224)/45))+24*SIN(2*PI()*(Inputs!$C$6)/9+(Scenario_Data!T224)/18)*EXP(-(((Inputs!$C$6)+5)^2)/(22^2))+18*SIN(2*PI()*(Scenario_Data!T224)/70))+Inputs!$C$28*EXP(-(((Scenario_Data!T224)-Inputs!$C$29)^2)/(2*Inputs!$C$31^2))*EXP(-(((Inputs!$C$6)-Inputs!$C$30)^2)/(2*Inputs!$C$32^2))+-Inputs!$C$33*EXP(-(((((Scenario_Data!T224)-Inputs!$C$34)^2)+(((Inputs!$C$6)-Inputs!$C$35)^2))/(2*Inputs!$C$36^2)))+Inputs!$C$37*(0.55*SIN(2*PI()*(Scenario_Data!T224)/Inputs!$C$39)+0.35*COS(2*PI()*(Inputs!$C$6)/Inputs!$C$40)+0.2*SIN(2*PI()*((Scenario_Data!T224)+(Inputs!$C$6))/(0.5*(Inputs!$C$39+Inputs!$C$40))))+Inputs!$C$38*SIN(2*PI()*(Scenario_Data!T224)/Inputs!$C$39)*SIN(2*PI()*(Inputs!$C$6)/Inputs!$C$40)+-Inputs!$C$41*EXP(-(((Inputs!$C$6)-Inputs!$C$43)^2)/(2*Inputs!$C$44^2))*EXP(-(((Scenario_Data!T224)-Inputs!$C$42)^2)/(2*Inputs!$C$45^2))+Inputs!$C$48*(0.7*(0.45*SIN(2*PI()*(((Scenario_Data!T224)/Inputs!$C$49)+Inputs!$C$47*0.137))+0.35*COS(2*PI()*(((Inputs!$C$6)/Inputs!$C$50)+Inputs!$C$47*0.173))+0.2*SIN(2*PI()*((((Scenario_Data!T224)+(Inputs!$C$6))/(0.5*(Inputs!$C$49+Inputs!$C$50)))+Inputs!$C$47*0.097)))+0.3*(2*((SIN(((Scenario_Data!T224)*12.9898+(Inputs!$C$6)*78.233+Inputs!$C$47*37.719))*43758.5453)-INT((SIN(((Scenario_Data!T224)*12.9898+(Inputs!$C$6)*78.233+Inputs!$C$47*37.719))*43758.5453)))-1))))/1000))^2-2*(Inputs!$C$52+(Scenario_Data!B224))*(Inputs!$C$52+((IF(OR(Inputs!$C$27=TRUE,Inputs!$C$27="TRUE",Inputs!$C$27=1),1,0)*(Inputs!$C$51*(115*EXP(-(((Inputs!$C$6)-25)^2)/(4.5^2))+70*EXP(-(((Inputs!$C$6)+38)^2)/(7^2))*(0.55+0.45*SIN(2*PI()*(Scenario_Data!T224)/45))+24*SIN(2*PI()*(Inputs!$C$6)/9+(Scenario_Data!T224)/18)*EXP(-(((Inputs!$C$6)+5)^2)/(22^2))+18*SIN(2*PI()*(Scenario_Data!T224)/70))+Inputs!$C$28*EXP(-(((Scenario_Data!T224)-Inputs!$C$29)^2)/(2*Inputs!$C$31^2))*EXP(-(((Inputs!$C$6)-Inputs!$C$30)^2)/(2*Inputs!$C$32^2))+-Inputs!$C$33*EXP(-(((((Scenario_Data!T224)-Inputs!$C$34)^2)+(((Inputs!$C$6)-Inputs!$C$35)^2))/(2*Inputs!$C$36^2)))+Inputs!$C$37*(0.55*SIN(2*PI()*(Scenario_Data!T224)/Inputs!$C$39)+0.35*COS(2*PI()*(Inputs!$C$6)/Inputs!$C$40)+0.2*SIN(2*PI()*((Scenario_Data!T224)+(Inputs!$C$6))/(0.5*(Inputs!$C$39+Inputs!$C$40))))+Inputs!$C$38*SIN(2*PI()*(Scenario_Data!T224)/Inputs!$C$39)*SIN(2*PI()*(Inputs!$C$6)/Inputs!$C$40)+-Inputs!$C$41*EXP(-(((Inputs!$C$6)-Inputs!$C$43)^2)/(2*Inputs!$C$44^2))*EXP(-(((Scenario_Data!T224)-Inputs!$C$42)^2)/(2*Inputs!$C$45^2))+Inputs!$C$48*(0.7*(0.45*SIN(2*PI()*(((Scenario_Data!T224)/Inputs!$C$49)+Inputs!$C$47*0.137))+0.35*COS(2*PI()*(((Inputs!$C$6)/Inputs!$C$50)+Inputs!$C$47*0.173))+0.2*SIN(2*PI()*((((Scenario_Data!T224)+(Inputs!$C$6))/(0.5*(Inputs!$C$49+Inputs!$C$50)))+Inputs!$C$47*0.097)))+0.3*(2*((SIN(((Scenario_Data!T224)*12.9898+(Inputs!$C$6)*78.233+Inputs!$C$47*37.719))*43758.5453)-INT((SIN(((Scenario_Data!T224)*12.9898+(Inputs!$C$6)*78.233+Inputs!$C$47*37.719))*43758.5453)))-1))))/1000))*COS(SQRT((Scenario_Data!T224)^2+Inputs!$C$6^2)/Inputs!$C$52))*1000)/Inputs!$C$21*1000000</f>
        <v/>
      </c>
      <c r="AR224">
        <f>Scenario_Data!U224</f>
        <v/>
      </c>
      <c r="AS224">
        <f>2*(SQRT((Inputs!$C$52+(Scenario_Data!C224))^2+(Inputs!$C$52+((IF(OR(Inputs!$C$27=TRUE,Inputs!$C$27="TRUE",Inputs!$C$27=1),1,0)*(Inputs!$C$51*(115*EXP(-(((Inputs!$C$6)-25)^2)/(4.5^2))+70*EXP(-(((Inputs!$C$6)+38)^2)/(7^2))*(0.55+0.45*SIN(2*PI()*(Scenario_Data!U224)/45))+24*SIN(2*PI()*(Inputs!$C$6)/9+(Scenario_Data!U224)/18)*EXP(-(((Inputs!$C$6)+5)^2)/(22^2))+18*SIN(2*PI()*(Scenario_Data!U224)/70))+Inputs!$C$28*EXP(-(((Scenario_Data!U224)-Inputs!$C$29)^2)/(2*Inputs!$C$31^2))*EXP(-(((Inputs!$C$6)-Inputs!$C$30)^2)/(2*Inputs!$C$32^2))+-Inputs!$C$33*EXP(-(((((Scenario_Data!U224)-Inputs!$C$34)^2)+(((Inputs!$C$6)-Inputs!$C$35)^2))/(2*Inputs!$C$36^2)))+Inputs!$C$37*(0.55*SIN(2*PI()*(Scenario_Data!U224)/Inputs!$C$39)+0.35*COS(2*PI()*(Inputs!$C$6)/Inputs!$C$40)+0.2*SIN(2*PI()*((Scenario_Data!U224)+(Inputs!$C$6))/(0.5*(Inputs!$C$39+Inputs!$C$40))))+Inputs!$C$38*SIN(2*PI()*(Scenario_Data!U224)/Inputs!$C$39)*SIN(2*PI()*(Inputs!$C$6)/Inputs!$C$40)+-Inputs!$C$41*EXP(-(((Inputs!$C$6)-Inputs!$C$43)^2)/(2*Inputs!$C$44^2))*EXP(-(((Scenario_Data!U224)-Inputs!$C$42)^2)/(2*Inputs!$C$45^2))+Inputs!$C$48*(0.7*(0.45*SIN(2*PI()*(((Scenario_Data!U224)/Inputs!$C$49)+Inputs!$C$47*0.137))+0.35*COS(2*PI()*(((Inputs!$C$6)/Inputs!$C$50)+Inputs!$C$47*0.173))+0.2*SIN(2*PI()*((((Scenario_Data!U224)+(Inputs!$C$6))/(0.5*(Inputs!$C$49+Inputs!$C$50)))+Inputs!$C$47*0.097)))+0.3*(2*((SIN(((Scenario_Data!U224)*12.9898+(Inputs!$C$6)*78.233+Inputs!$C$47*37.719))*43758.5453)-INT((SIN(((Scenario_Data!U224)*12.9898+(Inputs!$C$6)*78.233+Inputs!$C$47*37.719))*43758.5453)))-1))))/1000))^2-2*(Inputs!$C$52+(Scenario_Data!C224))*(Inputs!$C$52+((IF(OR(Inputs!$C$27=TRUE,Inputs!$C$27="TRUE",Inputs!$C$27=1),1,0)*(Inputs!$C$51*(115*EXP(-(((Inputs!$C$6)-25)^2)/(4.5^2))+70*EXP(-(((Inputs!$C$6)+38)^2)/(7^2))*(0.55+0.45*SIN(2*PI()*(Scenario_Data!U224)/45))+24*SIN(2*PI()*(Inputs!$C$6)/9+(Scenario_Data!U224)/18)*EXP(-(((Inputs!$C$6)+5)^2)/(22^2))+18*SIN(2*PI()*(Scenario_Data!U224)/70))+Inputs!$C$28*EXP(-(((Scenario_Data!U224)-Inputs!$C$29)^2)/(2*Inputs!$C$31^2))*EXP(-(((Inputs!$C$6)-Inputs!$C$30)^2)/(2*Inputs!$C$32^2))+-Inputs!$C$33*EXP(-(((((Scenario_Data!U224)-Inputs!$C$34)^2)+(((Inputs!$C$6)-Inputs!$C$35)^2))/(2*Inputs!$C$36^2)))+Inputs!$C$37*(0.55*SIN(2*PI()*(Scenario_Data!U224)/Inputs!$C$39)+0.35*COS(2*PI()*(Inputs!$C$6)/Inputs!$C$40)+0.2*SIN(2*PI()*((Scenario_Data!U224)+(Inputs!$C$6))/(0.5*(Inputs!$C$39+Inputs!$C$40))))+Inputs!$C$38*SIN(2*PI()*(Scenario_Data!U224)/Inputs!$C$39)*SIN(2*PI()*(Inputs!$C$6)/Inputs!$C$40)+-Inputs!$C$41*EXP(-(((Inputs!$C$6)-Inputs!$C$43)^2)/(2*Inputs!$C$44^2))*EXP(-(((Scenario_Data!U224)-Inputs!$C$42)^2)/(2*Inputs!$C$45^2))+Inputs!$C$48*(0.7*(0.45*SIN(2*PI()*(((Scenario_Data!U224)/Inputs!$C$49)+Inputs!$C$47*0.137))+0.35*COS(2*PI()*(((Inputs!$C$6)/Inputs!$C$50)+Inputs!$C$47*0.173))+0.2*SIN(2*PI()*((((Scenario_Data!U224)+(Inputs!$C$6))/(0.5*(Inputs!$C$49+Inputs!$C$50)))+Inputs!$C$47*0.097)))+0.3*(2*((SIN(((Scenario_Data!U224)*12.9898+(Inputs!$C$6)*78.233+Inputs!$C$47*37.719))*43758.5453)-INT((SIN(((Scenario_Data!U224)*12.9898+(Inputs!$C$6)*78.233+Inputs!$C$47*37.719))*43758.5453)))-1))))/1000))*COS(SQRT((Scenario_Data!U224)^2+Inputs!$C$6^2)/Inputs!$C$52))*1000)/Inputs!$C$21*1000000</f>
        <v/>
      </c>
      <c r="AT224">
        <f>Scenario_Data!V224</f>
        <v/>
      </c>
      <c r="AU224">
        <f>2*(SQRT((Inputs!$C$52+(Scenario_Data!D224))^2+(Inputs!$C$52+((IF(OR(Inputs!$C$27=TRUE,Inputs!$C$27="TRUE",Inputs!$C$27=1),1,0)*(Inputs!$C$51*(115*EXP(-(((Inputs!$C$6)-25)^2)/(4.5^2))+70*EXP(-(((Inputs!$C$6)+38)^2)/(7^2))*(0.55+0.45*SIN(2*PI()*(Scenario_Data!V224)/45))+24*SIN(2*PI()*(Inputs!$C$6)/9+(Scenario_Data!V224)/18)*EXP(-(((Inputs!$C$6)+5)^2)/(22^2))+18*SIN(2*PI()*(Scenario_Data!V224)/70))+Inputs!$C$28*EXP(-(((Scenario_Data!V224)-Inputs!$C$29)^2)/(2*Inputs!$C$31^2))*EXP(-(((Inputs!$C$6)-Inputs!$C$30)^2)/(2*Inputs!$C$32^2))+-Inputs!$C$33*EXP(-(((((Scenario_Data!V224)-Inputs!$C$34)^2)+(((Inputs!$C$6)-Inputs!$C$35)^2))/(2*Inputs!$C$36^2)))+Inputs!$C$37*(0.55*SIN(2*PI()*(Scenario_Data!V224)/Inputs!$C$39)+0.35*COS(2*PI()*(Inputs!$C$6)/Inputs!$C$40)+0.2*SIN(2*PI()*((Scenario_Data!V224)+(Inputs!$C$6))/(0.5*(Inputs!$C$39+Inputs!$C$40))))+Inputs!$C$38*SIN(2*PI()*(Scenario_Data!V224)/Inputs!$C$39)*SIN(2*PI()*(Inputs!$C$6)/Inputs!$C$40)+-Inputs!$C$41*EXP(-(((Inputs!$C$6)-Inputs!$C$43)^2)/(2*Inputs!$C$44^2))*EXP(-(((Scenario_Data!V224)-Inputs!$C$42)^2)/(2*Inputs!$C$45^2))+Inputs!$C$48*(0.7*(0.45*SIN(2*PI()*(((Scenario_Data!V224)/Inputs!$C$49)+Inputs!$C$47*0.137))+0.35*COS(2*PI()*(((Inputs!$C$6)/Inputs!$C$50)+Inputs!$C$47*0.173))+0.2*SIN(2*PI()*((((Scenario_Data!V224)+(Inputs!$C$6))/(0.5*(Inputs!$C$49+Inputs!$C$50)))+Inputs!$C$47*0.097)))+0.3*(2*((SIN(((Scenario_Data!V224)*12.9898+(Inputs!$C$6)*78.233+Inputs!$C$47*37.719))*43758.5453)-INT((SIN(((Scenario_Data!V224)*12.9898+(Inputs!$C$6)*78.233+Inputs!$C$47*37.719))*43758.5453)))-1))))/1000))^2-2*(Inputs!$C$52+(Scenario_Data!D224))*(Inputs!$C$52+((IF(OR(Inputs!$C$27=TRUE,Inputs!$C$27="TRUE",Inputs!$C$27=1),1,0)*(Inputs!$C$51*(115*EXP(-(((Inputs!$C$6)-25)^2)/(4.5^2))+70*EXP(-(((Inputs!$C$6)+38)^2)/(7^2))*(0.55+0.45*SIN(2*PI()*(Scenario_Data!V224)/45))+24*SIN(2*PI()*(Inputs!$C$6)/9+(Scenario_Data!V224)/18)*EXP(-(((Inputs!$C$6)+5)^2)/(22^2))+18*SIN(2*PI()*(Scenario_Data!V224)/70))+Inputs!$C$28*EXP(-(((Scenario_Data!V224)-Inputs!$C$29)^2)/(2*Inputs!$C$31^2))*EXP(-(((Inputs!$C$6)-Inputs!$C$30)^2)/(2*Inputs!$C$32^2))+-Inputs!$C$33*EXP(-(((((Scenario_Data!V224)-Inputs!$C$34)^2)+(((Inputs!$C$6)-Inputs!$C$35)^2))/(2*Inputs!$C$36^2)))+Inputs!$C$37*(0.55*SIN(2*PI()*(Scenario_Data!V224)/Inputs!$C$39)+0.35*COS(2*PI()*(Inputs!$C$6)/Inputs!$C$40)+0.2*SIN(2*PI()*((Scenario_Data!V224)+(Inputs!$C$6))/(0.5*(Inputs!$C$39+Inputs!$C$40))))+Inputs!$C$38*SIN(2*PI()*(Scenario_Data!V224)/Inputs!$C$39)*SIN(2*PI()*(Inputs!$C$6)/Inputs!$C$40)+-Inputs!$C$41*EXP(-(((Inputs!$C$6)-Inputs!$C$43)^2)/(2*Inputs!$C$44^2))*EXP(-(((Scenario_Data!V224)-Inputs!$C$42)^2)/(2*Inputs!$C$45^2))+Inputs!$C$48*(0.7*(0.45*SIN(2*PI()*(((Scenario_Data!V224)/Inputs!$C$49)+Inputs!$C$47*0.137))+0.35*COS(2*PI()*(((Inputs!$C$6)/Inputs!$C$50)+Inputs!$C$47*0.173))+0.2*SIN(2*PI()*((((Scenario_Data!V224)+(Inputs!$C$6))/(0.5*(Inputs!$C$49+Inputs!$C$50)))+Inputs!$C$47*0.097)))+0.3*(2*((SIN(((Scenario_Data!V224)*12.9898+(Inputs!$C$6)*78.233+Inputs!$C$47*37.719))*43758.5453)-INT((SIN(((Scenario_Data!V224)*12.9898+(Inputs!$C$6)*78.233+Inputs!$C$47*37.719))*43758.5453)))-1))))/1000))*COS(SQRT((Scenario_Data!V224)^2+Inputs!$C$6^2)/Inputs!$C$52))*1000)/Inputs!$C$21*1000000</f>
        <v/>
      </c>
      <c r="AV224">
        <f>Scenario_Data!W224</f>
        <v/>
      </c>
      <c r="AW224">
        <f>2*(SQRT((Inputs!$C$52+(Scenario_Data!E224))^2+(Inputs!$C$52+((IF(OR(Inputs!$C$27=TRUE,Inputs!$C$27="TRUE",Inputs!$C$27=1),1,0)*(Inputs!$C$51*(115*EXP(-(((Inputs!$C$6)-25)^2)/(4.5^2))+70*EXP(-(((Inputs!$C$6)+38)^2)/(7^2))*(0.55+0.45*SIN(2*PI()*(Scenario_Data!W224)/45))+24*SIN(2*PI()*(Inputs!$C$6)/9+(Scenario_Data!W224)/18)*EXP(-(((Inputs!$C$6)+5)^2)/(22^2))+18*SIN(2*PI()*(Scenario_Data!W224)/70))+Inputs!$C$28*EXP(-(((Scenario_Data!W224)-Inputs!$C$29)^2)/(2*Inputs!$C$31^2))*EXP(-(((Inputs!$C$6)-Inputs!$C$30)^2)/(2*Inputs!$C$32^2))+-Inputs!$C$33*EXP(-(((((Scenario_Data!W224)-Inputs!$C$34)^2)+(((Inputs!$C$6)-Inputs!$C$35)^2))/(2*Inputs!$C$36^2)))+Inputs!$C$37*(0.55*SIN(2*PI()*(Scenario_Data!W224)/Inputs!$C$39)+0.35*COS(2*PI()*(Inputs!$C$6)/Inputs!$C$40)+0.2*SIN(2*PI()*((Scenario_Data!W224)+(Inputs!$C$6))/(0.5*(Inputs!$C$39+Inputs!$C$40))))+Inputs!$C$38*SIN(2*PI()*(Scenario_Data!W224)/Inputs!$C$39)*SIN(2*PI()*(Inputs!$C$6)/Inputs!$C$40)+-Inputs!$C$41*EXP(-(((Inputs!$C$6)-Inputs!$C$43)^2)/(2*Inputs!$C$44^2))*EXP(-(((Scenario_Data!W224)-Inputs!$C$42)^2)/(2*Inputs!$C$45^2))+Inputs!$C$48*(0.7*(0.45*SIN(2*PI()*(((Scenario_Data!W224)/Inputs!$C$49)+Inputs!$C$47*0.137))+0.35*COS(2*PI()*(((Inputs!$C$6)/Inputs!$C$50)+Inputs!$C$47*0.173))+0.2*SIN(2*PI()*((((Scenario_Data!W224)+(Inputs!$C$6))/(0.5*(Inputs!$C$49+Inputs!$C$50)))+Inputs!$C$47*0.097)))+0.3*(2*((SIN(((Scenario_Data!W224)*12.9898+(Inputs!$C$6)*78.233+Inputs!$C$47*37.719))*43758.5453)-INT((SIN(((Scenario_Data!W224)*12.9898+(Inputs!$C$6)*78.233+Inputs!$C$47*37.719))*43758.5453)))-1))))/1000))^2-2*(Inputs!$C$52+(Scenario_Data!E224))*(Inputs!$C$52+((IF(OR(Inputs!$C$27=TRUE,Inputs!$C$27="TRUE",Inputs!$C$27=1),1,0)*(Inputs!$C$51*(115*EXP(-(((Inputs!$C$6)-25)^2)/(4.5^2))+70*EXP(-(((Inputs!$C$6)+38)^2)/(7^2))*(0.55+0.45*SIN(2*PI()*(Scenario_Data!W224)/45))+24*SIN(2*PI()*(Inputs!$C$6)/9+(Scenario_Data!W224)/18)*EXP(-(((Inputs!$C$6)+5)^2)/(22^2))+18*SIN(2*PI()*(Scenario_Data!W224)/70))+Inputs!$C$28*EXP(-(((Scenario_Data!W224)-Inputs!$C$29)^2)/(2*Inputs!$C$31^2))*EXP(-(((Inputs!$C$6)-Inputs!$C$30)^2)/(2*Inputs!$C$32^2))+-Inputs!$C$33*EXP(-(((((Scenario_Data!W224)-Inputs!$C$34)^2)+(((Inputs!$C$6)-Inputs!$C$35)^2))/(2*Inputs!$C$36^2)))+Inputs!$C$37*(0.55*SIN(2*PI()*(Scenario_Data!W224)/Inputs!$C$39)+0.35*COS(2*PI()*(Inputs!$C$6)/Inputs!$C$40)+0.2*SIN(2*PI()*((Scenario_Data!W224)+(Inputs!$C$6))/(0.5*(Inputs!$C$39+Inputs!$C$40))))+Inputs!$C$38*SIN(2*PI()*(Scenario_Data!W224)/Inputs!$C$39)*SIN(2*PI()*(Inputs!$C$6)/Inputs!$C$40)+-Inputs!$C$41*EXP(-(((Inputs!$C$6)-Inputs!$C$43)^2)/(2*Inputs!$C$44^2))*EXP(-(((Scenario_Data!W224)-Inputs!$C$42)^2)/(2*Inputs!$C$45^2))+Inputs!$C$48*(0.7*(0.45*SIN(2*PI()*(((Scenario_Data!W224)/Inputs!$C$49)+Inputs!$C$47*0.137))+0.35*COS(2*PI()*(((Inputs!$C$6)/Inputs!$C$50)+Inputs!$C$47*0.173))+0.2*SIN(2*PI()*((((Scenario_Data!W224)+(Inputs!$C$6))/(0.5*(Inputs!$C$49+Inputs!$C$50)))+Inputs!$C$47*0.097)))+0.3*(2*((SIN(((Scenario_Data!W224)*12.9898+(Inputs!$C$6)*78.233+Inputs!$C$47*37.719))*43758.5453)-INT((SIN(((Scenario_Data!W224)*12.9898+(Inputs!$C$6)*78.233+Inputs!$C$47*37.719))*43758.5453)))-1))))/1000))*COS(SQRT((Scenario_Data!W224)^2+Inputs!$C$6^2)/Inputs!$C$52))*1000)/Inputs!$C$21*1000000</f>
        <v/>
      </c>
    </row>
    <row r="225">
      <c r="A225">
        <f>Chart_Data!K225</f>
        <v/>
      </c>
      <c r="B225">
        <f>Chart_Data!N225-Chart_Data!L225</f>
        <v/>
      </c>
      <c r="D225">
        <f>Chart_Data!G225</f>
        <v/>
      </c>
      <c r="E225">
        <f>Chart_Data!H225</f>
        <v/>
      </c>
      <c r="F225">
        <f>Chart_Data!I225</f>
        <v/>
      </c>
      <c r="G225">
        <f>Chart_Data!J225</f>
        <v/>
      </c>
      <c r="I225">
        <f>Scenario_Data!A225</f>
        <v/>
      </c>
      <c r="J225">
        <f>Scenario_Data!H225-(((SQRT((Inputs!$C$52+(Inputs!$H$6))^2+Inputs!$C$52^2-2*(Inputs!$C$52+(Inputs!$H$6))*Inputs!$C$52*COS(SQRT((Scenario_Data!T225)^2+Inputs!$C$6^2)/Inputs!$C$52)))-(Inputs!$H$6))*1000/Inputs!$C$12)</f>
        <v/>
      </c>
      <c r="K225">
        <f>Scenario_Data!I225-(((SQRT((Inputs!$C$52+(Inputs!$H$7))^2+Inputs!$C$52^2-2*(Inputs!$C$52+(Inputs!$H$7))*Inputs!$C$52*COS(SQRT((Scenario_Data!U225)^2+Inputs!$C$6^2)/Inputs!$C$52)))-(Inputs!$H$7))*1000/Inputs!$C$12)</f>
        <v/>
      </c>
      <c r="L225">
        <f>Scenario_Data!J225-(((SQRT((Inputs!$C$52+(Inputs!$H$8))^2+Inputs!$C$52^2-2*(Inputs!$C$52+(Inputs!$H$8))*Inputs!$C$52*COS(SQRT((Scenario_Data!V225)^2+Inputs!$C$6^2)/Inputs!$C$52)))-(Inputs!$H$8))*1000/Inputs!$C$12)</f>
        <v/>
      </c>
      <c r="M225">
        <f>Scenario_Data!K225-(((SQRT((Inputs!$C$52+(Inputs!$H$9))^2+Inputs!$C$52^2-2*(Inputs!$C$52+(Inputs!$H$9))*Inputs!$C$52*COS(SQRT((Scenario_Data!W225)^2+Inputs!$C$6^2)/Inputs!$C$52)))-(Inputs!$H$9))*1000/Inputs!$C$12)</f>
        <v/>
      </c>
      <c r="O225">
        <f>Scenario_Data!T225</f>
        <v/>
      </c>
      <c r="P225">
        <f>2*(Scenario_Data!B225*1000)/Inputs!$C$21*1000000</f>
        <v/>
      </c>
      <c r="Q225">
        <f>Scenario_Data!U225</f>
        <v/>
      </c>
      <c r="R225">
        <f>2*(Scenario_Data!C225*1000)/Inputs!$C$21*1000000</f>
        <v/>
      </c>
      <c r="S225">
        <f>Scenario_Data!V225</f>
        <v/>
      </c>
      <c r="T225">
        <f>2*(Scenario_Data!D225*1000)/Inputs!$C$21*1000000</f>
        <v/>
      </c>
      <c r="U225">
        <f>Scenario_Data!W225</f>
        <v/>
      </c>
      <c r="V225">
        <f>2*(Scenario_Data!E225*1000)/Inputs!$C$21*1000000</f>
        <v/>
      </c>
      <c r="X225">
        <f>Scenario_Data!T225</f>
        <v/>
      </c>
      <c r="Y225">
        <f>2*((Scenario_Data!B225*1000)-(IF(OR(Inputs!$C$27=TRUE,Inputs!$C$27="TRUE",Inputs!$C$27=1),1,0)*(Inputs!$C$51*(115*EXP(-(((0)-25)^2)/(4.5^2))+70*EXP(-(((0)+38)^2)/(7^2))*(0.55+0.45*SIN(2*PI()*(Scenario_Data!T225)/45))+24*SIN(2*PI()*(0)/9+(Scenario_Data!T225)/18)*EXP(-(((0)+5)^2)/(22^2))+18*SIN(2*PI()*(Scenario_Data!T225)/70))+Inputs!$C$28*EXP(-(((Scenario_Data!T225)-Inputs!$C$29)^2)/(2*Inputs!$C$31^2))*EXP(-(((0)-Inputs!$C$30)^2)/(2*Inputs!$C$32^2))+-Inputs!$C$33*EXP(-(((((Scenario_Data!T225)-Inputs!$C$34)^2)+(((0)-Inputs!$C$35)^2))/(2*Inputs!$C$36^2)))+Inputs!$C$37*(0.55*SIN(2*PI()*(Scenario_Data!T225)/Inputs!$C$39)+0.35*COS(2*PI()*(0)/Inputs!$C$40)+0.2*SIN(2*PI()*((Scenario_Data!T225)+(0))/(0.5*(Inputs!$C$39+Inputs!$C$40))))+Inputs!$C$38*SIN(2*PI()*(Scenario_Data!T225)/Inputs!$C$39)*SIN(2*PI()*(0)/Inputs!$C$40)+-Inputs!$C$41*EXP(-(((0)-Inputs!$C$43)^2)/(2*Inputs!$C$44^2))*EXP(-(((Scenario_Data!T225)-Inputs!$C$42)^2)/(2*Inputs!$C$45^2))+Inputs!$C$48*(0.7*(0.45*SIN(2*PI()*(((Scenario_Data!T225)/Inputs!$C$49)+Inputs!$C$47*0.137))+0.35*COS(2*PI()*(((0)/Inputs!$C$50)+Inputs!$C$47*0.173))+0.2*SIN(2*PI()*((((Scenario_Data!T225)+(0))/(0.5*(Inputs!$C$49+Inputs!$C$50)))+Inputs!$C$47*0.097)))+0.3*(2*((SIN(((Scenario_Data!T225)*12.9898+(0)*78.233+Inputs!$C$47*37.719))*43758.5453)-INT((SIN(((Scenario_Data!T225)*12.9898+(0)*78.233+Inputs!$C$47*37.719))*43758.5453)))-1)))))/Inputs!$C$21*1000000</f>
        <v/>
      </c>
      <c r="Z225">
        <f>Scenario_Data!U225</f>
        <v/>
      </c>
      <c r="AA225">
        <f>2*((Scenario_Data!C225*1000)-(IF(OR(Inputs!$C$27=TRUE,Inputs!$C$27="TRUE",Inputs!$C$27=1),1,0)*(Inputs!$C$51*(115*EXP(-(((0)-25)^2)/(4.5^2))+70*EXP(-(((0)+38)^2)/(7^2))*(0.55+0.45*SIN(2*PI()*(Scenario_Data!U225)/45))+24*SIN(2*PI()*(0)/9+(Scenario_Data!U225)/18)*EXP(-(((0)+5)^2)/(22^2))+18*SIN(2*PI()*(Scenario_Data!U225)/70))+Inputs!$C$28*EXP(-(((Scenario_Data!U225)-Inputs!$C$29)^2)/(2*Inputs!$C$31^2))*EXP(-(((0)-Inputs!$C$30)^2)/(2*Inputs!$C$32^2))+-Inputs!$C$33*EXP(-(((((Scenario_Data!U225)-Inputs!$C$34)^2)+(((0)-Inputs!$C$35)^2))/(2*Inputs!$C$36^2)))+Inputs!$C$37*(0.55*SIN(2*PI()*(Scenario_Data!U225)/Inputs!$C$39)+0.35*COS(2*PI()*(0)/Inputs!$C$40)+0.2*SIN(2*PI()*((Scenario_Data!U225)+(0))/(0.5*(Inputs!$C$39+Inputs!$C$40))))+Inputs!$C$38*SIN(2*PI()*(Scenario_Data!U225)/Inputs!$C$39)*SIN(2*PI()*(0)/Inputs!$C$40)+-Inputs!$C$41*EXP(-(((0)-Inputs!$C$43)^2)/(2*Inputs!$C$44^2))*EXP(-(((Scenario_Data!U225)-Inputs!$C$42)^2)/(2*Inputs!$C$45^2))+Inputs!$C$48*(0.7*(0.45*SIN(2*PI()*(((Scenario_Data!U225)/Inputs!$C$49)+Inputs!$C$47*0.137))+0.35*COS(2*PI()*(((0)/Inputs!$C$50)+Inputs!$C$47*0.173))+0.2*SIN(2*PI()*((((Scenario_Data!U225)+(0))/(0.5*(Inputs!$C$49+Inputs!$C$50)))+Inputs!$C$47*0.097)))+0.3*(2*((SIN(((Scenario_Data!U225)*12.9898+(0)*78.233+Inputs!$C$47*37.719))*43758.5453)-INT((SIN(((Scenario_Data!U225)*12.9898+(0)*78.233+Inputs!$C$47*37.719))*43758.5453)))-1)))))/Inputs!$C$21*1000000</f>
        <v/>
      </c>
      <c r="AB225">
        <f>Scenario_Data!V225</f>
        <v/>
      </c>
      <c r="AC225">
        <f>2*((Scenario_Data!D225*1000)-(IF(OR(Inputs!$C$27=TRUE,Inputs!$C$27="TRUE",Inputs!$C$27=1),1,0)*(Inputs!$C$51*(115*EXP(-(((0)-25)^2)/(4.5^2))+70*EXP(-(((0)+38)^2)/(7^2))*(0.55+0.45*SIN(2*PI()*(Scenario_Data!V225)/45))+24*SIN(2*PI()*(0)/9+(Scenario_Data!V225)/18)*EXP(-(((0)+5)^2)/(22^2))+18*SIN(2*PI()*(Scenario_Data!V225)/70))+Inputs!$C$28*EXP(-(((Scenario_Data!V225)-Inputs!$C$29)^2)/(2*Inputs!$C$31^2))*EXP(-(((0)-Inputs!$C$30)^2)/(2*Inputs!$C$32^2))+-Inputs!$C$33*EXP(-(((((Scenario_Data!V225)-Inputs!$C$34)^2)+(((0)-Inputs!$C$35)^2))/(2*Inputs!$C$36^2)))+Inputs!$C$37*(0.55*SIN(2*PI()*(Scenario_Data!V225)/Inputs!$C$39)+0.35*COS(2*PI()*(0)/Inputs!$C$40)+0.2*SIN(2*PI()*((Scenario_Data!V225)+(0))/(0.5*(Inputs!$C$39+Inputs!$C$40))))+Inputs!$C$38*SIN(2*PI()*(Scenario_Data!V225)/Inputs!$C$39)*SIN(2*PI()*(0)/Inputs!$C$40)+-Inputs!$C$41*EXP(-(((0)-Inputs!$C$43)^2)/(2*Inputs!$C$44^2))*EXP(-(((Scenario_Data!V225)-Inputs!$C$42)^2)/(2*Inputs!$C$45^2))+Inputs!$C$48*(0.7*(0.45*SIN(2*PI()*(((Scenario_Data!V225)/Inputs!$C$49)+Inputs!$C$47*0.137))+0.35*COS(2*PI()*(((0)/Inputs!$C$50)+Inputs!$C$47*0.173))+0.2*SIN(2*PI()*((((Scenario_Data!V225)+(0))/(0.5*(Inputs!$C$49+Inputs!$C$50)))+Inputs!$C$47*0.097)))+0.3*(2*((SIN(((Scenario_Data!V225)*12.9898+(0)*78.233+Inputs!$C$47*37.719))*43758.5453)-INT((SIN(((Scenario_Data!V225)*12.9898+(0)*78.233+Inputs!$C$47*37.719))*43758.5453)))-1)))))/Inputs!$C$21*1000000</f>
        <v/>
      </c>
      <c r="AD225">
        <f>Scenario_Data!W225</f>
        <v/>
      </c>
      <c r="AE225">
        <f>2*((Scenario_Data!E225*1000)-(IF(OR(Inputs!$C$27=TRUE,Inputs!$C$27="TRUE",Inputs!$C$27=1),1,0)*(Inputs!$C$51*(115*EXP(-(((0)-25)^2)/(4.5^2))+70*EXP(-(((0)+38)^2)/(7^2))*(0.55+0.45*SIN(2*PI()*(Scenario_Data!W225)/45))+24*SIN(2*PI()*(0)/9+(Scenario_Data!W225)/18)*EXP(-(((0)+5)^2)/(22^2))+18*SIN(2*PI()*(Scenario_Data!W225)/70))+Inputs!$C$28*EXP(-(((Scenario_Data!W225)-Inputs!$C$29)^2)/(2*Inputs!$C$31^2))*EXP(-(((0)-Inputs!$C$30)^2)/(2*Inputs!$C$32^2))+-Inputs!$C$33*EXP(-(((((Scenario_Data!W225)-Inputs!$C$34)^2)+(((0)-Inputs!$C$35)^2))/(2*Inputs!$C$36^2)))+Inputs!$C$37*(0.55*SIN(2*PI()*(Scenario_Data!W225)/Inputs!$C$39)+0.35*COS(2*PI()*(0)/Inputs!$C$40)+0.2*SIN(2*PI()*((Scenario_Data!W225)+(0))/(0.5*(Inputs!$C$39+Inputs!$C$40))))+Inputs!$C$38*SIN(2*PI()*(Scenario_Data!W225)/Inputs!$C$39)*SIN(2*PI()*(0)/Inputs!$C$40)+-Inputs!$C$41*EXP(-(((0)-Inputs!$C$43)^2)/(2*Inputs!$C$44^2))*EXP(-(((Scenario_Data!W225)-Inputs!$C$42)^2)/(2*Inputs!$C$45^2))+Inputs!$C$48*(0.7*(0.45*SIN(2*PI()*(((Scenario_Data!W225)/Inputs!$C$49)+Inputs!$C$47*0.137))+0.35*COS(2*PI()*(((0)/Inputs!$C$50)+Inputs!$C$47*0.173))+0.2*SIN(2*PI()*((((Scenario_Data!W225)+(0))/(0.5*(Inputs!$C$49+Inputs!$C$50)))+Inputs!$C$47*0.097)))+0.3*(2*((SIN(((Scenario_Data!W225)*12.9898+(0)*78.233+Inputs!$C$47*37.719))*43758.5453)-INT((SIN(((Scenario_Data!W225)*12.9898+(0)*78.233+Inputs!$C$47*37.719))*43758.5453)))-1)))))/Inputs!$C$21*1000000</f>
        <v/>
      </c>
      <c r="AG225">
        <f>Scenario_Data!T225</f>
        <v/>
      </c>
      <c r="AH225">
        <f>2*(SQRT((Inputs!$C$52+(Scenario_Data!B225))^2+Inputs!$C$52^2-2*(Inputs!$C$52+(Scenario_Data!B225))*Inputs!$C$52*COS(SQRT((Scenario_Data!T225)^2+Inputs!$C$6^2)/Inputs!$C$52))*1000)/Inputs!$C$21*1000000</f>
        <v/>
      </c>
      <c r="AI225">
        <f>Scenario_Data!U225</f>
        <v/>
      </c>
      <c r="AJ225">
        <f>2*(SQRT((Inputs!$C$52+(Scenario_Data!C225))^2+Inputs!$C$52^2-2*(Inputs!$C$52+(Scenario_Data!C225))*Inputs!$C$52*COS(SQRT((Scenario_Data!U225)^2+Inputs!$C$6^2)/Inputs!$C$52))*1000)/Inputs!$C$21*1000000</f>
        <v/>
      </c>
      <c r="AK225">
        <f>Scenario_Data!V225</f>
        <v/>
      </c>
      <c r="AL225">
        <f>2*(SQRT((Inputs!$C$52+(Scenario_Data!D225))^2+Inputs!$C$52^2-2*(Inputs!$C$52+(Scenario_Data!D225))*Inputs!$C$52*COS(SQRT((Scenario_Data!V225)^2+Inputs!$C$6^2)/Inputs!$C$52))*1000)/Inputs!$C$21*1000000</f>
        <v/>
      </c>
      <c r="AM225">
        <f>Scenario_Data!W225</f>
        <v/>
      </c>
      <c r="AN225">
        <f>2*(SQRT((Inputs!$C$52+(Scenario_Data!E225))^2+Inputs!$C$52^2-2*(Inputs!$C$52+(Scenario_Data!E225))*Inputs!$C$52*COS(SQRT((Scenario_Data!W225)^2+Inputs!$C$6^2)/Inputs!$C$52))*1000)/Inputs!$C$21*1000000</f>
        <v/>
      </c>
      <c r="AP225">
        <f>Scenario_Data!T225</f>
        <v/>
      </c>
      <c r="AQ225">
        <f>2*(SQRT((Inputs!$C$52+(Scenario_Data!B225))^2+(Inputs!$C$52+((IF(OR(Inputs!$C$27=TRUE,Inputs!$C$27="TRUE",Inputs!$C$27=1),1,0)*(Inputs!$C$51*(115*EXP(-(((Inputs!$C$6)-25)^2)/(4.5^2))+70*EXP(-(((Inputs!$C$6)+38)^2)/(7^2))*(0.55+0.45*SIN(2*PI()*(Scenario_Data!T225)/45))+24*SIN(2*PI()*(Inputs!$C$6)/9+(Scenario_Data!T225)/18)*EXP(-(((Inputs!$C$6)+5)^2)/(22^2))+18*SIN(2*PI()*(Scenario_Data!T225)/70))+Inputs!$C$28*EXP(-(((Scenario_Data!T225)-Inputs!$C$29)^2)/(2*Inputs!$C$31^2))*EXP(-(((Inputs!$C$6)-Inputs!$C$30)^2)/(2*Inputs!$C$32^2))+-Inputs!$C$33*EXP(-(((((Scenario_Data!T225)-Inputs!$C$34)^2)+(((Inputs!$C$6)-Inputs!$C$35)^2))/(2*Inputs!$C$36^2)))+Inputs!$C$37*(0.55*SIN(2*PI()*(Scenario_Data!T225)/Inputs!$C$39)+0.35*COS(2*PI()*(Inputs!$C$6)/Inputs!$C$40)+0.2*SIN(2*PI()*((Scenario_Data!T225)+(Inputs!$C$6))/(0.5*(Inputs!$C$39+Inputs!$C$40))))+Inputs!$C$38*SIN(2*PI()*(Scenario_Data!T225)/Inputs!$C$39)*SIN(2*PI()*(Inputs!$C$6)/Inputs!$C$40)+-Inputs!$C$41*EXP(-(((Inputs!$C$6)-Inputs!$C$43)^2)/(2*Inputs!$C$44^2))*EXP(-(((Scenario_Data!T225)-Inputs!$C$42)^2)/(2*Inputs!$C$45^2))+Inputs!$C$48*(0.7*(0.45*SIN(2*PI()*(((Scenario_Data!T225)/Inputs!$C$49)+Inputs!$C$47*0.137))+0.35*COS(2*PI()*(((Inputs!$C$6)/Inputs!$C$50)+Inputs!$C$47*0.173))+0.2*SIN(2*PI()*((((Scenario_Data!T225)+(Inputs!$C$6))/(0.5*(Inputs!$C$49+Inputs!$C$50)))+Inputs!$C$47*0.097)))+0.3*(2*((SIN(((Scenario_Data!T225)*12.9898+(Inputs!$C$6)*78.233+Inputs!$C$47*37.719))*43758.5453)-INT((SIN(((Scenario_Data!T225)*12.9898+(Inputs!$C$6)*78.233+Inputs!$C$47*37.719))*43758.5453)))-1))))/1000))^2-2*(Inputs!$C$52+(Scenario_Data!B225))*(Inputs!$C$52+((IF(OR(Inputs!$C$27=TRUE,Inputs!$C$27="TRUE",Inputs!$C$27=1),1,0)*(Inputs!$C$51*(115*EXP(-(((Inputs!$C$6)-25)^2)/(4.5^2))+70*EXP(-(((Inputs!$C$6)+38)^2)/(7^2))*(0.55+0.45*SIN(2*PI()*(Scenario_Data!T225)/45))+24*SIN(2*PI()*(Inputs!$C$6)/9+(Scenario_Data!T225)/18)*EXP(-(((Inputs!$C$6)+5)^2)/(22^2))+18*SIN(2*PI()*(Scenario_Data!T225)/70))+Inputs!$C$28*EXP(-(((Scenario_Data!T225)-Inputs!$C$29)^2)/(2*Inputs!$C$31^2))*EXP(-(((Inputs!$C$6)-Inputs!$C$30)^2)/(2*Inputs!$C$32^2))+-Inputs!$C$33*EXP(-(((((Scenario_Data!T225)-Inputs!$C$34)^2)+(((Inputs!$C$6)-Inputs!$C$35)^2))/(2*Inputs!$C$36^2)))+Inputs!$C$37*(0.55*SIN(2*PI()*(Scenario_Data!T225)/Inputs!$C$39)+0.35*COS(2*PI()*(Inputs!$C$6)/Inputs!$C$40)+0.2*SIN(2*PI()*((Scenario_Data!T225)+(Inputs!$C$6))/(0.5*(Inputs!$C$39+Inputs!$C$40))))+Inputs!$C$38*SIN(2*PI()*(Scenario_Data!T225)/Inputs!$C$39)*SIN(2*PI()*(Inputs!$C$6)/Inputs!$C$40)+-Inputs!$C$41*EXP(-(((Inputs!$C$6)-Inputs!$C$43)^2)/(2*Inputs!$C$44^2))*EXP(-(((Scenario_Data!T225)-Inputs!$C$42)^2)/(2*Inputs!$C$45^2))+Inputs!$C$48*(0.7*(0.45*SIN(2*PI()*(((Scenario_Data!T225)/Inputs!$C$49)+Inputs!$C$47*0.137))+0.35*COS(2*PI()*(((Inputs!$C$6)/Inputs!$C$50)+Inputs!$C$47*0.173))+0.2*SIN(2*PI()*((((Scenario_Data!T225)+(Inputs!$C$6))/(0.5*(Inputs!$C$49+Inputs!$C$50)))+Inputs!$C$47*0.097)))+0.3*(2*((SIN(((Scenario_Data!T225)*12.9898+(Inputs!$C$6)*78.233+Inputs!$C$47*37.719))*43758.5453)-INT((SIN(((Scenario_Data!T225)*12.9898+(Inputs!$C$6)*78.233+Inputs!$C$47*37.719))*43758.5453)))-1))))/1000))*COS(SQRT((Scenario_Data!T225)^2+Inputs!$C$6^2)/Inputs!$C$52))*1000)/Inputs!$C$21*1000000</f>
        <v/>
      </c>
      <c r="AR225">
        <f>Scenario_Data!U225</f>
        <v/>
      </c>
      <c r="AS225">
        <f>2*(SQRT((Inputs!$C$52+(Scenario_Data!C225))^2+(Inputs!$C$52+((IF(OR(Inputs!$C$27=TRUE,Inputs!$C$27="TRUE",Inputs!$C$27=1),1,0)*(Inputs!$C$51*(115*EXP(-(((Inputs!$C$6)-25)^2)/(4.5^2))+70*EXP(-(((Inputs!$C$6)+38)^2)/(7^2))*(0.55+0.45*SIN(2*PI()*(Scenario_Data!U225)/45))+24*SIN(2*PI()*(Inputs!$C$6)/9+(Scenario_Data!U225)/18)*EXP(-(((Inputs!$C$6)+5)^2)/(22^2))+18*SIN(2*PI()*(Scenario_Data!U225)/70))+Inputs!$C$28*EXP(-(((Scenario_Data!U225)-Inputs!$C$29)^2)/(2*Inputs!$C$31^2))*EXP(-(((Inputs!$C$6)-Inputs!$C$30)^2)/(2*Inputs!$C$32^2))+-Inputs!$C$33*EXP(-(((((Scenario_Data!U225)-Inputs!$C$34)^2)+(((Inputs!$C$6)-Inputs!$C$35)^2))/(2*Inputs!$C$36^2)))+Inputs!$C$37*(0.55*SIN(2*PI()*(Scenario_Data!U225)/Inputs!$C$39)+0.35*COS(2*PI()*(Inputs!$C$6)/Inputs!$C$40)+0.2*SIN(2*PI()*((Scenario_Data!U225)+(Inputs!$C$6))/(0.5*(Inputs!$C$39+Inputs!$C$40))))+Inputs!$C$38*SIN(2*PI()*(Scenario_Data!U225)/Inputs!$C$39)*SIN(2*PI()*(Inputs!$C$6)/Inputs!$C$40)+-Inputs!$C$41*EXP(-(((Inputs!$C$6)-Inputs!$C$43)^2)/(2*Inputs!$C$44^2))*EXP(-(((Scenario_Data!U225)-Inputs!$C$42)^2)/(2*Inputs!$C$45^2))+Inputs!$C$48*(0.7*(0.45*SIN(2*PI()*(((Scenario_Data!U225)/Inputs!$C$49)+Inputs!$C$47*0.137))+0.35*COS(2*PI()*(((Inputs!$C$6)/Inputs!$C$50)+Inputs!$C$47*0.173))+0.2*SIN(2*PI()*((((Scenario_Data!U225)+(Inputs!$C$6))/(0.5*(Inputs!$C$49+Inputs!$C$50)))+Inputs!$C$47*0.097)))+0.3*(2*((SIN(((Scenario_Data!U225)*12.9898+(Inputs!$C$6)*78.233+Inputs!$C$47*37.719))*43758.5453)-INT((SIN(((Scenario_Data!U225)*12.9898+(Inputs!$C$6)*78.233+Inputs!$C$47*37.719))*43758.5453)))-1))))/1000))^2-2*(Inputs!$C$52+(Scenario_Data!C225))*(Inputs!$C$52+((IF(OR(Inputs!$C$27=TRUE,Inputs!$C$27="TRUE",Inputs!$C$27=1),1,0)*(Inputs!$C$51*(115*EXP(-(((Inputs!$C$6)-25)^2)/(4.5^2))+70*EXP(-(((Inputs!$C$6)+38)^2)/(7^2))*(0.55+0.45*SIN(2*PI()*(Scenario_Data!U225)/45))+24*SIN(2*PI()*(Inputs!$C$6)/9+(Scenario_Data!U225)/18)*EXP(-(((Inputs!$C$6)+5)^2)/(22^2))+18*SIN(2*PI()*(Scenario_Data!U225)/70))+Inputs!$C$28*EXP(-(((Scenario_Data!U225)-Inputs!$C$29)^2)/(2*Inputs!$C$31^2))*EXP(-(((Inputs!$C$6)-Inputs!$C$30)^2)/(2*Inputs!$C$32^2))+-Inputs!$C$33*EXP(-(((((Scenario_Data!U225)-Inputs!$C$34)^2)+(((Inputs!$C$6)-Inputs!$C$35)^2))/(2*Inputs!$C$36^2)))+Inputs!$C$37*(0.55*SIN(2*PI()*(Scenario_Data!U225)/Inputs!$C$39)+0.35*COS(2*PI()*(Inputs!$C$6)/Inputs!$C$40)+0.2*SIN(2*PI()*((Scenario_Data!U225)+(Inputs!$C$6))/(0.5*(Inputs!$C$39+Inputs!$C$40))))+Inputs!$C$38*SIN(2*PI()*(Scenario_Data!U225)/Inputs!$C$39)*SIN(2*PI()*(Inputs!$C$6)/Inputs!$C$40)+-Inputs!$C$41*EXP(-(((Inputs!$C$6)-Inputs!$C$43)^2)/(2*Inputs!$C$44^2))*EXP(-(((Scenario_Data!U225)-Inputs!$C$42)^2)/(2*Inputs!$C$45^2))+Inputs!$C$48*(0.7*(0.45*SIN(2*PI()*(((Scenario_Data!U225)/Inputs!$C$49)+Inputs!$C$47*0.137))+0.35*COS(2*PI()*(((Inputs!$C$6)/Inputs!$C$50)+Inputs!$C$47*0.173))+0.2*SIN(2*PI()*((((Scenario_Data!U225)+(Inputs!$C$6))/(0.5*(Inputs!$C$49+Inputs!$C$50)))+Inputs!$C$47*0.097)))+0.3*(2*((SIN(((Scenario_Data!U225)*12.9898+(Inputs!$C$6)*78.233+Inputs!$C$47*37.719))*43758.5453)-INT((SIN(((Scenario_Data!U225)*12.9898+(Inputs!$C$6)*78.233+Inputs!$C$47*37.719))*43758.5453)))-1))))/1000))*COS(SQRT((Scenario_Data!U225)^2+Inputs!$C$6^2)/Inputs!$C$52))*1000)/Inputs!$C$21*1000000</f>
        <v/>
      </c>
      <c r="AT225">
        <f>Scenario_Data!V225</f>
        <v/>
      </c>
      <c r="AU225">
        <f>2*(SQRT((Inputs!$C$52+(Scenario_Data!D225))^2+(Inputs!$C$52+((IF(OR(Inputs!$C$27=TRUE,Inputs!$C$27="TRUE",Inputs!$C$27=1),1,0)*(Inputs!$C$51*(115*EXP(-(((Inputs!$C$6)-25)^2)/(4.5^2))+70*EXP(-(((Inputs!$C$6)+38)^2)/(7^2))*(0.55+0.45*SIN(2*PI()*(Scenario_Data!V225)/45))+24*SIN(2*PI()*(Inputs!$C$6)/9+(Scenario_Data!V225)/18)*EXP(-(((Inputs!$C$6)+5)^2)/(22^2))+18*SIN(2*PI()*(Scenario_Data!V225)/70))+Inputs!$C$28*EXP(-(((Scenario_Data!V225)-Inputs!$C$29)^2)/(2*Inputs!$C$31^2))*EXP(-(((Inputs!$C$6)-Inputs!$C$30)^2)/(2*Inputs!$C$32^2))+-Inputs!$C$33*EXP(-(((((Scenario_Data!V225)-Inputs!$C$34)^2)+(((Inputs!$C$6)-Inputs!$C$35)^2))/(2*Inputs!$C$36^2)))+Inputs!$C$37*(0.55*SIN(2*PI()*(Scenario_Data!V225)/Inputs!$C$39)+0.35*COS(2*PI()*(Inputs!$C$6)/Inputs!$C$40)+0.2*SIN(2*PI()*((Scenario_Data!V225)+(Inputs!$C$6))/(0.5*(Inputs!$C$39+Inputs!$C$40))))+Inputs!$C$38*SIN(2*PI()*(Scenario_Data!V225)/Inputs!$C$39)*SIN(2*PI()*(Inputs!$C$6)/Inputs!$C$40)+-Inputs!$C$41*EXP(-(((Inputs!$C$6)-Inputs!$C$43)^2)/(2*Inputs!$C$44^2))*EXP(-(((Scenario_Data!V225)-Inputs!$C$42)^2)/(2*Inputs!$C$45^2))+Inputs!$C$48*(0.7*(0.45*SIN(2*PI()*(((Scenario_Data!V225)/Inputs!$C$49)+Inputs!$C$47*0.137))+0.35*COS(2*PI()*(((Inputs!$C$6)/Inputs!$C$50)+Inputs!$C$47*0.173))+0.2*SIN(2*PI()*((((Scenario_Data!V225)+(Inputs!$C$6))/(0.5*(Inputs!$C$49+Inputs!$C$50)))+Inputs!$C$47*0.097)))+0.3*(2*((SIN(((Scenario_Data!V225)*12.9898+(Inputs!$C$6)*78.233+Inputs!$C$47*37.719))*43758.5453)-INT((SIN(((Scenario_Data!V225)*12.9898+(Inputs!$C$6)*78.233+Inputs!$C$47*37.719))*43758.5453)))-1))))/1000))^2-2*(Inputs!$C$52+(Scenario_Data!D225))*(Inputs!$C$52+((IF(OR(Inputs!$C$27=TRUE,Inputs!$C$27="TRUE",Inputs!$C$27=1),1,0)*(Inputs!$C$51*(115*EXP(-(((Inputs!$C$6)-25)^2)/(4.5^2))+70*EXP(-(((Inputs!$C$6)+38)^2)/(7^2))*(0.55+0.45*SIN(2*PI()*(Scenario_Data!V225)/45))+24*SIN(2*PI()*(Inputs!$C$6)/9+(Scenario_Data!V225)/18)*EXP(-(((Inputs!$C$6)+5)^2)/(22^2))+18*SIN(2*PI()*(Scenario_Data!V225)/70))+Inputs!$C$28*EXP(-(((Scenario_Data!V225)-Inputs!$C$29)^2)/(2*Inputs!$C$31^2))*EXP(-(((Inputs!$C$6)-Inputs!$C$30)^2)/(2*Inputs!$C$32^2))+-Inputs!$C$33*EXP(-(((((Scenario_Data!V225)-Inputs!$C$34)^2)+(((Inputs!$C$6)-Inputs!$C$35)^2))/(2*Inputs!$C$36^2)))+Inputs!$C$37*(0.55*SIN(2*PI()*(Scenario_Data!V225)/Inputs!$C$39)+0.35*COS(2*PI()*(Inputs!$C$6)/Inputs!$C$40)+0.2*SIN(2*PI()*((Scenario_Data!V225)+(Inputs!$C$6))/(0.5*(Inputs!$C$39+Inputs!$C$40))))+Inputs!$C$38*SIN(2*PI()*(Scenario_Data!V225)/Inputs!$C$39)*SIN(2*PI()*(Inputs!$C$6)/Inputs!$C$40)+-Inputs!$C$41*EXP(-(((Inputs!$C$6)-Inputs!$C$43)^2)/(2*Inputs!$C$44^2))*EXP(-(((Scenario_Data!V225)-Inputs!$C$42)^2)/(2*Inputs!$C$45^2))+Inputs!$C$48*(0.7*(0.45*SIN(2*PI()*(((Scenario_Data!V225)/Inputs!$C$49)+Inputs!$C$47*0.137))+0.35*COS(2*PI()*(((Inputs!$C$6)/Inputs!$C$50)+Inputs!$C$47*0.173))+0.2*SIN(2*PI()*((((Scenario_Data!V225)+(Inputs!$C$6))/(0.5*(Inputs!$C$49+Inputs!$C$50)))+Inputs!$C$47*0.097)))+0.3*(2*((SIN(((Scenario_Data!V225)*12.9898+(Inputs!$C$6)*78.233+Inputs!$C$47*37.719))*43758.5453)-INT((SIN(((Scenario_Data!V225)*12.9898+(Inputs!$C$6)*78.233+Inputs!$C$47*37.719))*43758.5453)))-1))))/1000))*COS(SQRT((Scenario_Data!V225)^2+Inputs!$C$6^2)/Inputs!$C$52))*1000)/Inputs!$C$21*1000000</f>
        <v/>
      </c>
      <c r="AV225">
        <f>Scenario_Data!W225</f>
        <v/>
      </c>
      <c r="AW225">
        <f>2*(SQRT((Inputs!$C$52+(Scenario_Data!E225))^2+(Inputs!$C$52+((IF(OR(Inputs!$C$27=TRUE,Inputs!$C$27="TRUE",Inputs!$C$27=1),1,0)*(Inputs!$C$51*(115*EXP(-(((Inputs!$C$6)-25)^2)/(4.5^2))+70*EXP(-(((Inputs!$C$6)+38)^2)/(7^2))*(0.55+0.45*SIN(2*PI()*(Scenario_Data!W225)/45))+24*SIN(2*PI()*(Inputs!$C$6)/9+(Scenario_Data!W225)/18)*EXP(-(((Inputs!$C$6)+5)^2)/(22^2))+18*SIN(2*PI()*(Scenario_Data!W225)/70))+Inputs!$C$28*EXP(-(((Scenario_Data!W225)-Inputs!$C$29)^2)/(2*Inputs!$C$31^2))*EXP(-(((Inputs!$C$6)-Inputs!$C$30)^2)/(2*Inputs!$C$32^2))+-Inputs!$C$33*EXP(-(((((Scenario_Data!W225)-Inputs!$C$34)^2)+(((Inputs!$C$6)-Inputs!$C$35)^2))/(2*Inputs!$C$36^2)))+Inputs!$C$37*(0.55*SIN(2*PI()*(Scenario_Data!W225)/Inputs!$C$39)+0.35*COS(2*PI()*(Inputs!$C$6)/Inputs!$C$40)+0.2*SIN(2*PI()*((Scenario_Data!W225)+(Inputs!$C$6))/(0.5*(Inputs!$C$39+Inputs!$C$40))))+Inputs!$C$38*SIN(2*PI()*(Scenario_Data!W225)/Inputs!$C$39)*SIN(2*PI()*(Inputs!$C$6)/Inputs!$C$40)+-Inputs!$C$41*EXP(-(((Inputs!$C$6)-Inputs!$C$43)^2)/(2*Inputs!$C$44^2))*EXP(-(((Scenario_Data!W225)-Inputs!$C$42)^2)/(2*Inputs!$C$45^2))+Inputs!$C$48*(0.7*(0.45*SIN(2*PI()*(((Scenario_Data!W225)/Inputs!$C$49)+Inputs!$C$47*0.137))+0.35*COS(2*PI()*(((Inputs!$C$6)/Inputs!$C$50)+Inputs!$C$47*0.173))+0.2*SIN(2*PI()*((((Scenario_Data!W225)+(Inputs!$C$6))/(0.5*(Inputs!$C$49+Inputs!$C$50)))+Inputs!$C$47*0.097)))+0.3*(2*((SIN(((Scenario_Data!W225)*12.9898+(Inputs!$C$6)*78.233+Inputs!$C$47*37.719))*43758.5453)-INT((SIN(((Scenario_Data!W225)*12.9898+(Inputs!$C$6)*78.233+Inputs!$C$47*37.719))*43758.5453)))-1))))/1000))^2-2*(Inputs!$C$52+(Scenario_Data!E225))*(Inputs!$C$52+((IF(OR(Inputs!$C$27=TRUE,Inputs!$C$27="TRUE",Inputs!$C$27=1),1,0)*(Inputs!$C$51*(115*EXP(-(((Inputs!$C$6)-25)^2)/(4.5^2))+70*EXP(-(((Inputs!$C$6)+38)^2)/(7^2))*(0.55+0.45*SIN(2*PI()*(Scenario_Data!W225)/45))+24*SIN(2*PI()*(Inputs!$C$6)/9+(Scenario_Data!W225)/18)*EXP(-(((Inputs!$C$6)+5)^2)/(22^2))+18*SIN(2*PI()*(Scenario_Data!W225)/70))+Inputs!$C$28*EXP(-(((Scenario_Data!W225)-Inputs!$C$29)^2)/(2*Inputs!$C$31^2))*EXP(-(((Inputs!$C$6)-Inputs!$C$30)^2)/(2*Inputs!$C$32^2))+-Inputs!$C$33*EXP(-(((((Scenario_Data!W225)-Inputs!$C$34)^2)+(((Inputs!$C$6)-Inputs!$C$35)^2))/(2*Inputs!$C$36^2)))+Inputs!$C$37*(0.55*SIN(2*PI()*(Scenario_Data!W225)/Inputs!$C$39)+0.35*COS(2*PI()*(Inputs!$C$6)/Inputs!$C$40)+0.2*SIN(2*PI()*((Scenario_Data!W225)+(Inputs!$C$6))/(0.5*(Inputs!$C$39+Inputs!$C$40))))+Inputs!$C$38*SIN(2*PI()*(Scenario_Data!W225)/Inputs!$C$39)*SIN(2*PI()*(Inputs!$C$6)/Inputs!$C$40)+-Inputs!$C$41*EXP(-(((Inputs!$C$6)-Inputs!$C$43)^2)/(2*Inputs!$C$44^2))*EXP(-(((Scenario_Data!W225)-Inputs!$C$42)^2)/(2*Inputs!$C$45^2))+Inputs!$C$48*(0.7*(0.45*SIN(2*PI()*(((Scenario_Data!W225)/Inputs!$C$49)+Inputs!$C$47*0.137))+0.35*COS(2*PI()*(((Inputs!$C$6)/Inputs!$C$50)+Inputs!$C$47*0.173))+0.2*SIN(2*PI()*((((Scenario_Data!W225)+(Inputs!$C$6))/(0.5*(Inputs!$C$49+Inputs!$C$50)))+Inputs!$C$47*0.097)))+0.3*(2*((SIN(((Scenario_Data!W225)*12.9898+(Inputs!$C$6)*78.233+Inputs!$C$47*37.719))*43758.5453)-INT((SIN(((Scenario_Data!W225)*12.9898+(Inputs!$C$6)*78.233+Inputs!$C$47*37.719))*43758.5453)))-1))))/1000))*COS(SQRT((Scenario_Data!W225)^2+Inputs!$C$6^2)/Inputs!$C$52))*1000)/Inputs!$C$21*1000000</f>
        <v/>
      </c>
    </row>
    <row r="226">
      <c r="A226">
        <f>Chart_Data!K226</f>
        <v/>
      </c>
      <c r="B226">
        <f>Chart_Data!N226-Chart_Data!L226</f>
        <v/>
      </c>
      <c r="D226">
        <f>Chart_Data!G226</f>
        <v/>
      </c>
      <c r="E226">
        <f>Chart_Data!H226</f>
        <v/>
      </c>
      <c r="F226">
        <f>Chart_Data!I226</f>
        <v/>
      </c>
      <c r="G226">
        <f>Chart_Data!J226</f>
        <v/>
      </c>
      <c r="I226">
        <f>Scenario_Data!A226</f>
        <v/>
      </c>
      <c r="J226">
        <f>Scenario_Data!H226-(((SQRT((Inputs!$C$52+(Inputs!$H$6))^2+Inputs!$C$52^2-2*(Inputs!$C$52+(Inputs!$H$6))*Inputs!$C$52*COS(SQRT((Scenario_Data!T226)^2+Inputs!$C$6^2)/Inputs!$C$52)))-(Inputs!$H$6))*1000/Inputs!$C$12)</f>
        <v/>
      </c>
      <c r="K226">
        <f>Scenario_Data!I226-(((SQRT((Inputs!$C$52+(Inputs!$H$7))^2+Inputs!$C$52^2-2*(Inputs!$C$52+(Inputs!$H$7))*Inputs!$C$52*COS(SQRT((Scenario_Data!U226)^2+Inputs!$C$6^2)/Inputs!$C$52)))-(Inputs!$H$7))*1000/Inputs!$C$12)</f>
        <v/>
      </c>
      <c r="L226">
        <f>Scenario_Data!J226-(((SQRT((Inputs!$C$52+(Inputs!$H$8))^2+Inputs!$C$52^2-2*(Inputs!$C$52+(Inputs!$H$8))*Inputs!$C$52*COS(SQRT((Scenario_Data!V226)^2+Inputs!$C$6^2)/Inputs!$C$52)))-(Inputs!$H$8))*1000/Inputs!$C$12)</f>
        <v/>
      </c>
      <c r="M226">
        <f>Scenario_Data!K226-(((SQRT((Inputs!$C$52+(Inputs!$H$9))^2+Inputs!$C$52^2-2*(Inputs!$C$52+(Inputs!$H$9))*Inputs!$C$52*COS(SQRT((Scenario_Data!W226)^2+Inputs!$C$6^2)/Inputs!$C$52)))-(Inputs!$H$9))*1000/Inputs!$C$12)</f>
        <v/>
      </c>
      <c r="O226">
        <f>Scenario_Data!T226</f>
        <v/>
      </c>
      <c r="P226">
        <f>2*(Scenario_Data!B226*1000)/Inputs!$C$21*1000000</f>
        <v/>
      </c>
      <c r="Q226">
        <f>Scenario_Data!U226</f>
        <v/>
      </c>
      <c r="R226">
        <f>2*(Scenario_Data!C226*1000)/Inputs!$C$21*1000000</f>
        <v/>
      </c>
      <c r="S226">
        <f>Scenario_Data!V226</f>
        <v/>
      </c>
      <c r="T226">
        <f>2*(Scenario_Data!D226*1000)/Inputs!$C$21*1000000</f>
        <v/>
      </c>
      <c r="U226">
        <f>Scenario_Data!W226</f>
        <v/>
      </c>
      <c r="V226">
        <f>2*(Scenario_Data!E226*1000)/Inputs!$C$21*1000000</f>
        <v/>
      </c>
      <c r="X226">
        <f>Scenario_Data!T226</f>
        <v/>
      </c>
      <c r="Y226">
        <f>2*((Scenario_Data!B226*1000)-(IF(OR(Inputs!$C$27=TRUE,Inputs!$C$27="TRUE",Inputs!$C$27=1),1,0)*(Inputs!$C$51*(115*EXP(-(((0)-25)^2)/(4.5^2))+70*EXP(-(((0)+38)^2)/(7^2))*(0.55+0.45*SIN(2*PI()*(Scenario_Data!T226)/45))+24*SIN(2*PI()*(0)/9+(Scenario_Data!T226)/18)*EXP(-(((0)+5)^2)/(22^2))+18*SIN(2*PI()*(Scenario_Data!T226)/70))+Inputs!$C$28*EXP(-(((Scenario_Data!T226)-Inputs!$C$29)^2)/(2*Inputs!$C$31^2))*EXP(-(((0)-Inputs!$C$30)^2)/(2*Inputs!$C$32^2))+-Inputs!$C$33*EXP(-(((((Scenario_Data!T226)-Inputs!$C$34)^2)+(((0)-Inputs!$C$35)^2))/(2*Inputs!$C$36^2)))+Inputs!$C$37*(0.55*SIN(2*PI()*(Scenario_Data!T226)/Inputs!$C$39)+0.35*COS(2*PI()*(0)/Inputs!$C$40)+0.2*SIN(2*PI()*((Scenario_Data!T226)+(0))/(0.5*(Inputs!$C$39+Inputs!$C$40))))+Inputs!$C$38*SIN(2*PI()*(Scenario_Data!T226)/Inputs!$C$39)*SIN(2*PI()*(0)/Inputs!$C$40)+-Inputs!$C$41*EXP(-(((0)-Inputs!$C$43)^2)/(2*Inputs!$C$44^2))*EXP(-(((Scenario_Data!T226)-Inputs!$C$42)^2)/(2*Inputs!$C$45^2))+Inputs!$C$48*(0.7*(0.45*SIN(2*PI()*(((Scenario_Data!T226)/Inputs!$C$49)+Inputs!$C$47*0.137))+0.35*COS(2*PI()*(((0)/Inputs!$C$50)+Inputs!$C$47*0.173))+0.2*SIN(2*PI()*((((Scenario_Data!T226)+(0))/(0.5*(Inputs!$C$49+Inputs!$C$50)))+Inputs!$C$47*0.097)))+0.3*(2*((SIN(((Scenario_Data!T226)*12.9898+(0)*78.233+Inputs!$C$47*37.719))*43758.5453)-INT((SIN(((Scenario_Data!T226)*12.9898+(0)*78.233+Inputs!$C$47*37.719))*43758.5453)))-1)))))/Inputs!$C$21*1000000</f>
        <v/>
      </c>
      <c r="Z226">
        <f>Scenario_Data!U226</f>
        <v/>
      </c>
      <c r="AA226">
        <f>2*((Scenario_Data!C226*1000)-(IF(OR(Inputs!$C$27=TRUE,Inputs!$C$27="TRUE",Inputs!$C$27=1),1,0)*(Inputs!$C$51*(115*EXP(-(((0)-25)^2)/(4.5^2))+70*EXP(-(((0)+38)^2)/(7^2))*(0.55+0.45*SIN(2*PI()*(Scenario_Data!U226)/45))+24*SIN(2*PI()*(0)/9+(Scenario_Data!U226)/18)*EXP(-(((0)+5)^2)/(22^2))+18*SIN(2*PI()*(Scenario_Data!U226)/70))+Inputs!$C$28*EXP(-(((Scenario_Data!U226)-Inputs!$C$29)^2)/(2*Inputs!$C$31^2))*EXP(-(((0)-Inputs!$C$30)^2)/(2*Inputs!$C$32^2))+-Inputs!$C$33*EXP(-(((((Scenario_Data!U226)-Inputs!$C$34)^2)+(((0)-Inputs!$C$35)^2))/(2*Inputs!$C$36^2)))+Inputs!$C$37*(0.55*SIN(2*PI()*(Scenario_Data!U226)/Inputs!$C$39)+0.35*COS(2*PI()*(0)/Inputs!$C$40)+0.2*SIN(2*PI()*((Scenario_Data!U226)+(0))/(0.5*(Inputs!$C$39+Inputs!$C$40))))+Inputs!$C$38*SIN(2*PI()*(Scenario_Data!U226)/Inputs!$C$39)*SIN(2*PI()*(0)/Inputs!$C$40)+-Inputs!$C$41*EXP(-(((0)-Inputs!$C$43)^2)/(2*Inputs!$C$44^2))*EXP(-(((Scenario_Data!U226)-Inputs!$C$42)^2)/(2*Inputs!$C$45^2))+Inputs!$C$48*(0.7*(0.45*SIN(2*PI()*(((Scenario_Data!U226)/Inputs!$C$49)+Inputs!$C$47*0.137))+0.35*COS(2*PI()*(((0)/Inputs!$C$50)+Inputs!$C$47*0.173))+0.2*SIN(2*PI()*((((Scenario_Data!U226)+(0))/(0.5*(Inputs!$C$49+Inputs!$C$50)))+Inputs!$C$47*0.097)))+0.3*(2*((SIN(((Scenario_Data!U226)*12.9898+(0)*78.233+Inputs!$C$47*37.719))*43758.5453)-INT((SIN(((Scenario_Data!U226)*12.9898+(0)*78.233+Inputs!$C$47*37.719))*43758.5453)))-1)))))/Inputs!$C$21*1000000</f>
        <v/>
      </c>
      <c r="AB226">
        <f>Scenario_Data!V226</f>
        <v/>
      </c>
      <c r="AC226">
        <f>2*((Scenario_Data!D226*1000)-(IF(OR(Inputs!$C$27=TRUE,Inputs!$C$27="TRUE",Inputs!$C$27=1),1,0)*(Inputs!$C$51*(115*EXP(-(((0)-25)^2)/(4.5^2))+70*EXP(-(((0)+38)^2)/(7^2))*(0.55+0.45*SIN(2*PI()*(Scenario_Data!V226)/45))+24*SIN(2*PI()*(0)/9+(Scenario_Data!V226)/18)*EXP(-(((0)+5)^2)/(22^2))+18*SIN(2*PI()*(Scenario_Data!V226)/70))+Inputs!$C$28*EXP(-(((Scenario_Data!V226)-Inputs!$C$29)^2)/(2*Inputs!$C$31^2))*EXP(-(((0)-Inputs!$C$30)^2)/(2*Inputs!$C$32^2))+-Inputs!$C$33*EXP(-(((((Scenario_Data!V226)-Inputs!$C$34)^2)+(((0)-Inputs!$C$35)^2))/(2*Inputs!$C$36^2)))+Inputs!$C$37*(0.55*SIN(2*PI()*(Scenario_Data!V226)/Inputs!$C$39)+0.35*COS(2*PI()*(0)/Inputs!$C$40)+0.2*SIN(2*PI()*((Scenario_Data!V226)+(0))/(0.5*(Inputs!$C$39+Inputs!$C$40))))+Inputs!$C$38*SIN(2*PI()*(Scenario_Data!V226)/Inputs!$C$39)*SIN(2*PI()*(0)/Inputs!$C$40)+-Inputs!$C$41*EXP(-(((0)-Inputs!$C$43)^2)/(2*Inputs!$C$44^2))*EXP(-(((Scenario_Data!V226)-Inputs!$C$42)^2)/(2*Inputs!$C$45^2))+Inputs!$C$48*(0.7*(0.45*SIN(2*PI()*(((Scenario_Data!V226)/Inputs!$C$49)+Inputs!$C$47*0.137))+0.35*COS(2*PI()*(((0)/Inputs!$C$50)+Inputs!$C$47*0.173))+0.2*SIN(2*PI()*((((Scenario_Data!V226)+(0))/(0.5*(Inputs!$C$49+Inputs!$C$50)))+Inputs!$C$47*0.097)))+0.3*(2*((SIN(((Scenario_Data!V226)*12.9898+(0)*78.233+Inputs!$C$47*37.719))*43758.5453)-INT((SIN(((Scenario_Data!V226)*12.9898+(0)*78.233+Inputs!$C$47*37.719))*43758.5453)))-1)))))/Inputs!$C$21*1000000</f>
        <v/>
      </c>
      <c r="AD226">
        <f>Scenario_Data!W226</f>
        <v/>
      </c>
      <c r="AE226">
        <f>2*((Scenario_Data!E226*1000)-(IF(OR(Inputs!$C$27=TRUE,Inputs!$C$27="TRUE",Inputs!$C$27=1),1,0)*(Inputs!$C$51*(115*EXP(-(((0)-25)^2)/(4.5^2))+70*EXP(-(((0)+38)^2)/(7^2))*(0.55+0.45*SIN(2*PI()*(Scenario_Data!W226)/45))+24*SIN(2*PI()*(0)/9+(Scenario_Data!W226)/18)*EXP(-(((0)+5)^2)/(22^2))+18*SIN(2*PI()*(Scenario_Data!W226)/70))+Inputs!$C$28*EXP(-(((Scenario_Data!W226)-Inputs!$C$29)^2)/(2*Inputs!$C$31^2))*EXP(-(((0)-Inputs!$C$30)^2)/(2*Inputs!$C$32^2))+-Inputs!$C$33*EXP(-(((((Scenario_Data!W226)-Inputs!$C$34)^2)+(((0)-Inputs!$C$35)^2))/(2*Inputs!$C$36^2)))+Inputs!$C$37*(0.55*SIN(2*PI()*(Scenario_Data!W226)/Inputs!$C$39)+0.35*COS(2*PI()*(0)/Inputs!$C$40)+0.2*SIN(2*PI()*((Scenario_Data!W226)+(0))/(0.5*(Inputs!$C$39+Inputs!$C$40))))+Inputs!$C$38*SIN(2*PI()*(Scenario_Data!W226)/Inputs!$C$39)*SIN(2*PI()*(0)/Inputs!$C$40)+-Inputs!$C$41*EXP(-(((0)-Inputs!$C$43)^2)/(2*Inputs!$C$44^2))*EXP(-(((Scenario_Data!W226)-Inputs!$C$42)^2)/(2*Inputs!$C$45^2))+Inputs!$C$48*(0.7*(0.45*SIN(2*PI()*(((Scenario_Data!W226)/Inputs!$C$49)+Inputs!$C$47*0.137))+0.35*COS(2*PI()*(((0)/Inputs!$C$50)+Inputs!$C$47*0.173))+0.2*SIN(2*PI()*((((Scenario_Data!W226)+(0))/(0.5*(Inputs!$C$49+Inputs!$C$50)))+Inputs!$C$47*0.097)))+0.3*(2*((SIN(((Scenario_Data!W226)*12.9898+(0)*78.233+Inputs!$C$47*37.719))*43758.5453)-INT((SIN(((Scenario_Data!W226)*12.9898+(0)*78.233+Inputs!$C$47*37.719))*43758.5453)))-1)))))/Inputs!$C$21*1000000</f>
        <v/>
      </c>
      <c r="AG226">
        <f>Scenario_Data!T226</f>
        <v/>
      </c>
      <c r="AH226">
        <f>2*(SQRT((Inputs!$C$52+(Scenario_Data!B226))^2+Inputs!$C$52^2-2*(Inputs!$C$52+(Scenario_Data!B226))*Inputs!$C$52*COS(SQRT((Scenario_Data!T226)^2+Inputs!$C$6^2)/Inputs!$C$52))*1000)/Inputs!$C$21*1000000</f>
        <v/>
      </c>
      <c r="AI226">
        <f>Scenario_Data!U226</f>
        <v/>
      </c>
      <c r="AJ226">
        <f>2*(SQRT((Inputs!$C$52+(Scenario_Data!C226))^2+Inputs!$C$52^2-2*(Inputs!$C$52+(Scenario_Data!C226))*Inputs!$C$52*COS(SQRT((Scenario_Data!U226)^2+Inputs!$C$6^2)/Inputs!$C$52))*1000)/Inputs!$C$21*1000000</f>
        <v/>
      </c>
      <c r="AK226">
        <f>Scenario_Data!V226</f>
        <v/>
      </c>
      <c r="AL226">
        <f>2*(SQRT((Inputs!$C$52+(Scenario_Data!D226))^2+Inputs!$C$52^2-2*(Inputs!$C$52+(Scenario_Data!D226))*Inputs!$C$52*COS(SQRT((Scenario_Data!V226)^2+Inputs!$C$6^2)/Inputs!$C$52))*1000)/Inputs!$C$21*1000000</f>
        <v/>
      </c>
      <c r="AM226">
        <f>Scenario_Data!W226</f>
        <v/>
      </c>
      <c r="AN226">
        <f>2*(SQRT((Inputs!$C$52+(Scenario_Data!E226))^2+Inputs!$C$52^2-2*(Inputs!$C$52+(Scenario_Data!E226))*Inputs!$C$52*COS(SQRT((Scenario_Data!W226)^2+Inputs!$C$6^2)/Inputs!$C$52))*1000)/Inputs!$C$21*1000000</f>
        <v/>
      </c>
      <c r="AP226">
        <f>Scenario_Data!T226</f>
        <v/>
      </c>
      <c r="AQ226">
        <f>2*(SQRT((Inputs!$C$52+(Scenario_Data!B226))^2+(Inputs!$C$52+((IF(OR(Inputs!$C$27=TRUE,Inputs!$C$27="TRUE",Inputs!$C$27=1),1,0)*(Inputs!$C$51*(115*EXP(-(((Inputs!$C$6)-25)^2)/(4.5^2))+70*EXP(-(((Inputs!$C$6)+38)^2)/(7^2))*(0.55+0.45*SIN(2*PI()*(Scenario_Data!T226)/45))+24*SIN(2*PI()*(Inputs!$C$6)/9+(Scenario_Data!T226)/18)*EXP(-(((Inputs!$C$6)+5)^2)/(22^2))+18*SIN(2*PI()*(Scenario_Data!T226)/70))+Inputs!$C$28*EXP(-(((Scenario_Data!T226)-Inputs!$C$29)^2)/(2*Inputs!$C$31^2))*EXP(-(((Inputs!$C$6)-Inputs!$C$30)^2)/(2*Inputs!$C$32^2))+-Inputs!$C$33*EXP(-(((((Scenario_Data!T226)-Inputs!$C$34)^2)+(((Inputs!$C$6)-Inputs!$C$35)^2))/(2*Inputs!$C$36^2)))+Inputs!$C$37*(0.55*SIN(2*PI()*(Scenario_Data!T226)/Inputs!$C$39)+0.35*COS(2*PI()*(Inputs!$C$6)/Inputs!$C$40)+0.2*SIN(2*PI()*((Scenario_Data!T226)+(Inputs!$C$6))/(0.5*(Inputs!$C$39+Inputs!$C$40))))+Inputs!$C$38*SIN(2*PI()*(Scenario_Data!T226)/Inputs!$C$39)*SIN(2*PI()*(Inputs!$C$6)/Inputs!$C$40)+-Inputs!$C$41*EXP(-(((Inputs!$C$6)-Inputs!$C$43)^2)/(2*Inputs!$C$44^2))*EXP(-(((Scenario_Data!T226)-Inputs!$C$42)^2)/(2*Inputs!$C$45^2))+Inputs!$C$48*(0.7*(0.45*SIN(2*PI()*(((Scenario_Data!T226)/Inputs!$C$49)+Inputs!$C$47*0.137))+0.35*COS(2*PI()*(((Inputs!$C$6)/Inputs!$C$50)+Inputs!$C$47*0.173))+0.2*SIN(2*PI()*((((Scenario_Data!T226)+(Inputs!$C$6))/(0.5*(Inputs!$C$49+Inputs!$C$50)))+Inputs!$C$47*0.097)))+0.3*(2*((SIN(((Scenario_Data!T226)*12.9898+(Inputs!$C$6)*78.233+Inputs!$C$47*37.719))*43758.5453)-INT((SIN(((Scenario_Data!T226)*12.9898+(Inputs!$C$6)*78.233+Inputs!$C$47*37.719))*43758.5453)))-1))))/1000))^2-2*(Inputs!$C$52+(Scenario_Data!B226))*(Inputs!$C$52+((IF(OR(Inputs!$C$27=TRUE,Inputs!$C$27="TRUE",Inputs!$C$27=1),1,0)*(Inputs!$C$51*(115*EXP(-(((Inputs!$C$6)-25)^2)/(4.5^2))+70*EXP(-(((Inputs!$C$6)+38)^2)/(7^2))*(0.55+0.45*SIN(2*PI()*(Scenario_Data!T226)/45))+24*SIN(2*PI()*(Inputs!$C$6)/9+(Scenario_Data!T226)/18)*EXP(-(((Inputs!$C$6)+5)^2)/(22^2))+18*SIN(2*PI()*(Scenario_Data!T226)/70))+Inputs!$C$28*EXP(-(((Scenario_Data!T226)-Inputs!$C$29)^2)/(2*Inputs!$C$31^2))*EXP(-(((Inputs!$C$6)-Inputs!$C$30)^2)/(2*Inputs!$C$32^2))+-Inputs!$C$33*EXP(-(((((Scenario_Data!T226)-Inputs!$C$34)^2)+(((Inputs!$C$6)-Inputs!$C$35)^2))/(2*Inputs!$C$36^2)))+Inputs!$C$37*(0.55*SIN(2*PI()*(Scenario_Data!T226)/Inputs!$C$39)+0.35*COS(2*PI()*(Inputs!$C$6)/Inputs!$C$40)+0.2*SIN(2*PI()*((Scenario_Data!T226)+(Inputs!$C$6))/(0.5*(Inputs!$C$39+Inputs!$C$40))))+Inputs!$C$38*SIN(2*PI()*(Scenario_Data!T226)/Inputs!$C$39)*SIN(2*PI()*(Inputs!$C$6)/Inputs!$C$40)+-Inputs!$C$41*EXP(-(((Inputs!$C$6)-Inputs!$C$43)^2)/(2*Inputs!$C$44^2))*EXP(-(((Scenario_Data!T226)-Inputs!$C$42)^2)/(2*Inputs!$C$45^2))+Inputs!$C$48*(0.7*(0.45*SIN(2*PI()*(((Scenario_Data!T226)/Inputs!$C$49)+Inputs!$C$47*0.137))+0.35*COS(2*PI()*(((Inputs!$C$6)/Inputs!$C$50)+Inputs!$C$47*0.173))+0.2*SIN(2*PI()*((((Scenario_Data!T226)+(Inputs!$C$6))/(0.5*(Inputs!$C$49+Inputs!$C$50)))+Inputs!$C$47*0.097)))+0.3*(2*((SIN(((Scenario_Data!T226)*12.9898+(Inputs!$C$6)*78.233+Inputs!$C$47*37.719))*43758.5453)-INT((SIN(((Scenario_Data!T226)*12.9898+(Inputs!$C$6)*78.233+Inputs!$C$47*37.719))*43758.5453)))-1))))/1000))*COS(SQRT((Scenario_Data!T226)^2+Inputs!$C$6^2)/Inputs!$C$52))*1000)/Inputs!$C$21*1000000</f>
        <v/>
      </c>
      <c r="AR226">
        <f>Scenario_Data!U226</f>
        <v/>
      </c>
      <c r="AS226">
        <f>2*(SQRT((Inputs!$C$52+(Scenario_Data!C226))^2+(Inputs!$C$52+((IF(OR(Inputs!$C$27=TRUE,Inputs!$C$27="TRUE",Inputs!$C$27=1),1,0)*(Inputs!$C$51*(115*EXP(-(((Inputs!$C$6)-25)^2)/(4.5^2))+70*EXP(-(((Inputs!$C$6)+38)^2)/(7^2))*(0.55+0.45*SIN(2*PI()*(Scenario_Data!U226)/45))+24*SIN(2*PI()*(Inputs!$C$6)/9+(Scenario_Data!U226)/18)*EXP(-(((Inputs!$C$6)+5)^2)/(22^2))+18*SIN(2*PI()*(Scenario_Data!U226)/70))+Inputs!$C$28*EXP(-(((Scenario_Data!U226)-Inputs!$C$29)^2)/(2*Inputs!$C$31^2))*EXP(-(((Inputs!$C$6)-Inputs!$C$30)^2)/(2*Inputs!$C$32^2))+-Inputs!$C$33*EXP(-(((((Scenario_Data!U226)-Inputs!$C$34)^2)+(((Inputs!$C$6)-Inputs!$C$35)^2))/(2*Inputs!$C$36^2)))+Inputs!$C$37*(0.55*SIN(2*PI()*(Scenario_Data!U226)/Inputs!$C$39)+0.35*COS(2*PI()*(Inputs!$C$6)/Inputs!$C$40)+0.2*SIN(2*PI()*((Scenario_Data!U226)+(Inputs!$C$6))/(0.5*(Inputs!$C$39+Inputs!$C$40))))+Inputs!$C$38*SIN(2*PI()*(Scenario_Data!U226)/Inputs!$C$39)*SIN(2*PI()*(Inputs!$C$6)/Inputs!$C$40)+-Inputs!$C$41*EXP(-(((Inputs!$C$6)-Inputs!$C$43)^2)/(2*Inputs!$C$44^2))*EXP(-(((Scenario_Data!U226)-Inputs!$C$42)^2)/(2*Inputs!$C$45^2))+Inputs!$C$48*(0.7*(0.45*SIN(2*PI()*(((Scenario_Data!U226)/Inputs!$C$49)+Inputs!$C$47*0.137))+0.35*COS(2*PI()*(((Inputs!$C$6)/Inputs!$C$50)+Inputs!$C$47*0.173))+0.2*SIN(2*PI()*((((Scenario_Data!U226)+(Inputs!$C$6))/(0.5*(Inputs!$C$49+Inputs!$C$50)))+Inputs!$C$47*0.097)))+0.3*(2*((SIN(((Scenario_Data!U226)*12.9898+(Inputs!$C$6)*78.233+Inputs!$C$47*37.719))*43758.5453)-INT((SIN(((Scenario_Data!U226)*12.9898+(Inputs!$C$6)*78.233+Inputs!$C$47*37.719))*43758.5453)))-1))))/1000))^2-2*(Inputs!$C$52+(Scenario_Data!C226))*(Inputs!$C$52+((IF(OR(Inputs!$C$27=TRUE,Inputs!$C$27="TRUE",Inputs!$C$27=1),1,0)*(Inputs!$C$51*(115*EXP(-(((Inputs!$C$6)-25)^2)/(4.5^2))+70*EXP(-(((Inputs!$C$6)+38)^2)/(7^2))*(0.55+0.45*SIN(2*PI()*(Scenario_Data!U226)/45))+24*SIN(2*PI()*(Inputs!$C$6)/9+(Scenario_Data!U226)/18)*EXP(-(((Inputs!$C$6)+5)^2)/(22^2))+18*SIN(2*PI()*(Scenario_Data!U226)/70))+Inputs!$C$28*EXP(-(((Scenario_Data!U226)-Inputs!$C$29)^2)/(2*Inputs!$C$31^2))*EXP(-(((Inputs!$C$6)-Inputs!$C$30)^2)/(2*Inputs!$C$32^2))+-Inputs!$C$33*EXP(-(((((Scenario_Data!U226)-Inputs!$C$34)^2)+(((Inputs!$C$6)-Inputs!$C$35)^2))/(2*Inputs!$C$36^2)))+Inputs!$C$37*(0.55*SIN(2*PI()*(Scenario_Data!U226)/Inputs!$C$39)+0.35*COS(2*PI()*(Inputs!$C$6)/Inputs!$C$40)+0.2*SIN(2*PI()*((Scenario_Data!U226)+(Inputs!$C$6))/(0.5*(Inputs!$C$39+Inputs!$C$40))))+Inputs!$C$38*SIN(2*PI()*(Scenario_Data!U226)/Inputs!$C$39)*SIN(2*PI()*(Inputs!$C$6)/Inputs!$C$40)+-Inputs!$C$41*EXP(-(((Inputs!$C$6)-Inputs!$C$43)^2)/(2*Inputs!$C$44^2))*EXP(-(((Scenario_Data!U226)-Inputs!$C$42)^2)/(2*Inputs!$C$45^2))+Inputs!$C$48*(0.7*(0.45*SIN(2*PI()*(((Scenario_Data!U226)/Inputs!$C$49)+Inputs!$C$47*0.137))+0.35*COS(2*PI()*(((Inputs!$C$6)/Inputs!$C$50)+Inputs!$C$47*0.173))+0.2*SIN(2*PI()*((((Scenario_Data!U226)+(Inputs!$C$6))/(0.5*(Inputs!$C$49+Inputs!$C$50)))+Inputs!$C$47*0.097)))+0.3*(2*((SIN(((Scenario_Data!U226)*12.9898+(Inputs!$C$6)*78.233+Inputs!$C$47*37.719))*43758.5453)-INT((SIN(((Scenario_Data!U226)*12.9898+(Inputs!$C$6)*78.233+Inputs!$C$47*37.719))*43758.5453)))-1))))/1000))*COS(SQRT((Scenario_Data!U226)^2+Inputs!$C$6^2)/Inputs!$C$52))*1000)/Inputs!$C$21*1000000</f>
        <v/>
      </c>
      <c r="AT226">
        <f>Scenario_Data!V226</f>
        <v/>
      </c>
      <c r="AU226">
        <f>2*(SQRT((Inputs!$C$52+(Scenario_Data!D226))^2+(Inputs!$C$52+((IF(OR(Inputs!$C$27=TRUE,Inputs!$C$27="TRUE",Inputs!$C$27=1),1,0)*(Inputs!$C$51*(115*EXP(-(((Inputs!$C$6)-25)^2)/(4.5^2))+70*EXP(-(((Inputs!$C$6)+38)^2)/(7^2))*(0.55+0.45*SIN(2*PI()*(Scenario_Data!V226)/45))+24*SIN(2*PI()*(Inputs!$C$6)/9+(Scenario_Data!V226)/18)*EXP(-(((Inputs!$C$6)+5)^2)/(22^2))+18*SIN(2*PI()*(Scenario_Data!V226)/70))+Inputs!$C$28*EXP(-(((Scenario_Data!V226)-Inputs!$C$29)^2)/(2*Inputs!$C$31^2))*EXP(-(((Inputs!$C$6)-Inputs!$C$30)^2)/(2*Inputs!$C$32^2))+-Inputs!$C$33*EXP(-(((((Scenario_Data!V226)-Inputs!$C$34)^2)+(((Inputs!$C$6)-Inputs!$C$35)^2))/(2*Inputs!$C$36^2)))+Inputs!$C$37*(0.55*SIN(2*PI()*(Scenario_Data!V226)/Inputs!$C$39)+0.35*COS(2*PI()*(Inputs!$C$6)/Inputs!$C$40)+0.2*SIN(2*PI()*((Scenario_Data!V226)+(Inputs!$C$6))/(0.5*(Inputs!$C$39+Inputs!$C$40))))+Inputs!$C$38*SIN(2*PI()*(Scenario_Data!V226)/Inputs!$C$39)*SIN(2*PI()*(Inputs!$C$6)/Inputs!$C$40)+-Inputs!$C$41*EXP(-(((Inputs!$C$6)-Inputs!$C$43)^2)/(2*Inputs!$C$44^2))*EXP(-(((Scenario_Data!V226)-Inputs!$C$42)^2)/(2*Inputs!$C$45^2))+Inputs!$C$48*(0.7*(0.45*SIN(2*PI()*(((Scenario_Data!V226)/Inputs!$C$49)+Inputs!$C$47*0.137))+0.35*COS(2*PI()*(((Inputs!$C$6)/Inputs!$C$50)+Inputs!$C$47*0.173))+0.2*SIN(2*PI()*((((Scenario_Data!V226)+(Inputs!$C$6))/(0.5*(Inputs!$C$49+Inputs!$C$50)))+Inputs!$C$47*0.097)))+0.3*(2*((SIN(((Scenario_Data!V226)*12.9898+(Inputs!$C$6)*78.233+Inputs!$C$47*37.719))*43758.5453)-INT((SIN(((Scenario_Data!V226)*12.9898+(Inputs!$C$6)*78.233+Inputs!$C$47*37.719))*43758.5453)))-1))))/1000))^2-2*(Inputs!$C$52+(Scenario_Data!D226))*(Inputs!$C$52+((IF(OR(Inputs!$C$27=TRUE,Inputs!$C$27="TRUE",Inputs!$C$27=1),1,0)*(Inputs!$C$51*(115*EXP(-(((Inputs!$C$6)-25)^2)/(4.5^2))+70*EXP(-(((Inputs!$C$6)+38)^2)/(7^2))*(0.55+0.45*SIN(2*PI()*(Scenario_Data!V226)/45))+24*SIN(2*PI()*(Inputs!$C$6)/9+(Scenario_Data!V226)/18)*EXP(-(((Inputs!$C$6)+5)^2)/(22^2))+18*SIN(2*PI()*(Scenario_Data!V226)/70))+Inputs!$C$28*EXP(-(((Scenario_Data!V226)-Inputs!$C$29)^2)/(2*Inputs!$C$31^2))*EXP(-(((Inputs!$C$6)-Inputs!$C$30)^2)/(2*Inputs!$C$32^2))+-Inputs!$C$33*EXP(-(((((Scenario_Data!V226)-Inputs!$C$34)^2)+(((Inputs!$C$6)-Inputs!$C$35)^2))/(2*Inputs!$C$36^2)))+Inputs!$C$37*(0.55*SIN(2*PI()*(Scenario_Data!V226)/Inputs!$C$39)+0.35*COS(2*PI()*(Inputs!$C$6)/Inputs!$C$40)+0.2*SIN(2*PI()*((Scenario_Data!V226)+(Inputs!$C$6))/(0.5*(Inputs!$C$39+Inputs!$C$40))))+Inputs!$C$38*SIN(2*PI()*(Scenario_Data!V226)/Inputs!$C$39)*SIN(2*PI()*(Inputs!$C$6)/Inputs!$C$40)+-Inputs!$C$41*EXP(-(((Inputs!$C$6)-Inputs!$C$43)^2)/(2*Inputs!$C$44^2))*EXP(-(((Scenario_Data!V226)-Inputs!$C$42)^2)/(2*Inputs!$C$45^2))+Inputs!$C$48*(0.7*(0.45*SIN(2*PI()*(((Scenario_Data!V226)/Inputs!$C$49)+Inputs!$C$47*0.137))+0.35*COS(2*PI()*(((Inputs!$C$6)/Inputs!$C$50)+Inputs!$C$47*0.173))+0.2*SIN(2*PI()*((((Scenario_Data!V226)+(Inputs!$C$6))/(0.5*(Inputs!$C$49+Inputs!$C$50)))+Inputs!$C$47*0.097)))+0.3*(2*((SIN(((Scenario_Data!V226)*12.9898+(Inputs!$C$6)*78.233+Inputs!$C$47*37.719))*43758.5453)-INT((SIN(((Scenario_Data!V226)*12.9898+(Inputs!$C$6)*78.233+Inputs!$C$47*37.719))*43758.5453)))-1))))/1000))*COS(SQRT((Scenario_Data!V226)^2+Inputs!$C$6^2)/Inputs!$C$52))*1000)/Inputs!$C$21*1000000</f>
        <v/>
      </c>
      <c r="AV226">
        <f>Scenario_Data!W226</f>
        <v/>
      </c>
      <c r="AW226">
        <f>2*(SQRT((Inputs!$C$52+(Scenario_Data!E226))^2+(Inputs!$C$52+((IF(OR(Inputs!$C$27=TRUE,Inputs!$C$27="TRUE",Inputs!$C$27=1),1,0)*(Inputs!$C$51*(115*EXP(-(((Inputs!$C$6)-25)^2)/(4.5^2))+70*EXP(-(((Inputs!$C$6)+38)^2)/(7^2))*(0.55+0.45*SIN(2*PI()*(Scenario_Data!W226)/45))+24*SIN(2*PI()*(Inputs!$C$6)/9+(Scenario_Data!W226)/18)*EXP(-(((Inputs!$C$6)+5)^2)/(22^2))+18*SIN(2*PI()*(Scenario_Data!W226)/70))+Inputs!$C$28*EXP(-(((Scenario_Data!W226)-Inputs!$C$29)^2)/(2*Inputs!$C$31^2))*EXP(-(((Inputs!$C$6)-Inputs!$C$30)^2)/(2*Inputs!$C$32^2))+-Inputs!$C$33*EXP(-(((((Scenario_Data!W226)-Inputs!$C$34)^2)+(((Inputs!$C$6)-Inputs!$C$35)^2))/(2*Inputs!$C$36^2)))+Inputs!$C$37*(0.55*SIN(2*PI()*(Scenario_Data!W226)/Inputs!$C$39)+0.35*COS(2*PI()*(Inputs!$C$6)/Inputs!$C$40)+0.2*SIN(2*PI()*((Scenario_Data!W226)+(Inputs!$C$6))/(0.5*(Inputs!$C$39+Inputs!$C$40))))+Inputs!$C$38*SIN(2*PI()*(Scenario_Data!W226)/Inputs!$C$39)*SIN(2*PI()*(Inputs!$C$6)/Inputs!$C$40)+-Inputs!$C$41*EXP(-(((Inputs!$C$6)-Inputs!$C$43)^2)/(2*Inputs!$C$44^2))*EXP(-(((Scenario_Data!W226)-Inputs!$C$42)^2)/(2*Inputs!$C$45^2))+Inputs!$C$48*(0.7*(0.45*SIN(2*PI()*(((Scenario_Data!W226)/Inputs!$C$49)+Inputs!$C$47*0.137))+0.35*COS(2*PI()*(((Inputs!$C$6)/Inputs!$C$50)+Inputs!$C$47*0.173))+0.2*SIN(2*PI()*((((Scenario_Data!W226)+(Inputs!$C$6))/(0.5*(Inputs!$C$49+Inputs!$C$50)))+Inputs!$C$47*0.097)))+0.3*(2*((SIN(((Scenario_Data!W226)*12.9898+(Inputs!$C$6)*78.233+Inputs!$C$47*37.719))*43758.5453)-INT((SIN(((Scenario_Data!W226)*12.9898+(Inputs!$C$6)*78.233+Inputs!$C$47*37.719))*43758.5453)))-1))))/1000))^2-2*(Inputs!$C$52+(Scenario_Data!E226))*(Inputs!$C$52+((IF(OR(Inputs!$C$27=TRUE,Inputs!$C$27="TRUE",Inputs!$C$27=1),1,0)*(Inputs!$C$51*(115*EXP(-(((Inputs!$C$6)-25)^2)/(4.5^2))+70*EXP(-(((Inputs!$C$6)+38)^2)/(7^2))*(0.55+0.45*SIN(2*PI()*(Scenario_Data!W226)/45))+24*SIN(2*PI()*(Inputs!$C$6)/9+(Scenario_Data!W226)/18)*EXP(-(((Inputs!$C$6)+5)^2)/(22^2))+18*SIN(2*PI()*(Scenario_Data!W226)/70))+Inputs!$C$28*EXP(-(((Scenario_Data!W226)-Inputs!$C$29)^2)/(2*Inputs!$C$31^2))*EXP(-(((Inputs!$C$6)-Inputs!$C$30)^2)/(2*Inputs!$C$32^2))+-Inputs!$C$33*EXP(-(((((Scenario_Data!W226)-Inputs!$C$34)^2)+(((Inputs!$C$6)-Inputs!$C$35)^2))/(2*Inputs!$C$36^2)))+Inputs!$C$37*(0.55*SIN(2*PI()*(Scenario_Data!W226)/Inputs!$C$39)+0.35*COS(2*PI()*(Inputs!$C$6)/Inputs!$C$40)+0.2*SIN(2*PI()*((Scenario_Data!W226)+(Inputs!$C$6))/(0.5*(Inputs!$C$39+Inputs!$C$40))))+Inputs!$C$38*SIN(2*PI()*(Scenario_Data!W226)/Inputs!$C$39)*SIN(2*PI()*(Inputs!$C$6)/Inputs!$C$40)+-Inputs!$C$41*EXP(-(((Inputs!$C$6)-Inputs!$C$43)^2)/(2*Inputs!$C$44^2))*EXP(-(((Scenario_Data!W226)-Inputs!$C$42)^2)/(2*Inputs!$C$45^2))+Inputs!$C$48*(0.7*(0.45*SIN(2*PI()*(((Scenario_Data!W226)/Inputs!$C$49)+Inputs!$C$47*0.137))+0.35*COS(2*PI()*(((Inputs!$C$6)/Inputs!$C$50)+Inputs!$C$47*0.173))+0.2*SIN(2*PI()*((((Scenario_Data!W226)+(Inputs!$C$6))/(0.5*(Inputs!$C$49+Inputs!$C$50)))+Inputs!$C$47*0.097)))+0.3*(2*((SIN(((Scenario_Data!W226)*12.9898+(Inputs!$C$6)*78.233+Inputs!$C$47*37.719))*43758.5453)-INT((SIN(((Scenario_Data!W226)*12.9898+(Inputs!$C$6)*78.233+Inputs!$C$47*37.719))*43758.5453)))-1))))/1000))*COS(SQRT((Scenario_Data!W226)^2+Inputs!$C$6^2)/Inputs!$C$52))*1000)/Inputs!$C$21*1000000</f>
        <v/>
      </c>
    </row>
    <row r="227">
      <c r="A227">
        <f>Chart_Data!K227</f>
        <v/>
      </c>
      <c r="B227">
        <f>Chart_Data!N227-Chart_Data!L227</f>
        <v/>
      </c>
      <c r="D227">
        <f>Chart_Data!G227</f>
        <v/>
      </c>
      <c r="E227">
        <f>Chart_Data!H227</f>
        <v/>
      </c>
      <c r="F227">
        <f>Chart_Data!I227</f>
        <v/>
      </c>
      <c r="G227">
        <f>Chart_Data!J227</f>
        <v/>
      </c>
      <c r="I227">
        <f>Scenario_Data!A227</f>
        <v/>
      </c>
      <c r="J227">
        <f>Scenario_Data!H227-(((SQRT((Inputs!$C$52+(Inputs!$H$6))^2+Inputs!$C$52^2-2*(Inputs!$C$52+(Inputs!$H$6))*Inputs!$C$52*COS(SQRT((Scenario_Data!T227)^2+Inputs!$C$6^2)/Inputs!$C$52)))-(Inputs!$H$6))*1000/Inputs!$C$12)</f>
        <v/>
      </c>
      <c r="K227">
        <f>Scenario_Data!I227-(((SQRT((Inputs!$C$52+(Inputs!$H$7))^2+Inputs!$C$52^2-2*(Inputs!$C$52+(Inputs!$H$7))*Inputs!$C$52*COS(SQRT((Scenario_Data!U227)^2+Inputs!$C$6^2)/Inputs!$C$52)))-(Inputs!$H$7))*1000/Inputs!$C$12)</f>
        <v/>
      </c>
      <c r="L227">
        <f>Scenario_Data!J227-(((SQRT((Inputs!$C$52+(Inputs!$H$8))^2+Inputs!$C$52^2-2*(Inputs!$C$52+(Inputs!$H$8))*Inputs!$C$52*COS(SQRT((Scenario_Data!V227)^2+Inputs!$C$6^2)/Inputs!$C$52)))-(Inputs!$H$8))*1000/Inputs!$C$12)</f>
        <v/>
      </c>
      <c r="M227">
        <f>Scenario_Data!K227-(((SQRT((Inputs!$C$52+(Inputs!$H$9))^2+Inputs!$C$52^2-2*(Inputs!$C$52+(Inputs!$H$9))*Inputs!$C$52*COS(SQRT((Scenario_Data!W227)^2+Inputs!$C$6^2)/Inputs!$C$52)))-(Inputs!$H$9))*1000/Inputs!$C$12)</f>
        <v/>
      </c>
      <c r="O227">
        <f>Scenario_Data!T227</f>
        <v/>
      </c>
      <c r="P227">
        <f>2*(Scenario_Data!B227*1000)/Inputs!$C$21*1000000</f>
        <v/>
      </c>
      <c r="Q227">
        <f>Scenario_Data!U227</f>
        <v/>
      </c>
      <c r="R227">
        <f>2*(Scenario_Data!C227*1000)/Inputs!$C$21*1000000</f>
        <v/>
      </c>
      <c r="S227">
        <f>Scenario_Data!V227</f>
        <v/>
      </c>
      <c r="T227">
        <f>2*(Scenario_Data!D227*1000)/Inputs!$C$21*1000000</f>
        <v/>
      </c>
      <c r="U227">
        <f>Scenario_Data!W227</f>
        <v/>
      </c>
      <c r="V227">
        <f>2*(Scenario_Data!E227*1000)/Inputs!$C$21*1000000</f>
        <v/>
      </c>
      <c r="X227">
        <f>Scenario_Data!T227</f>
        <v/>
      </c>
      <c r="Y227">
        <f>2*((Scenario_Data!B227*1000)-(IF(OR(Inputs!$C$27=TRUE,Inputs!$C$27="TRUE",Inputs!$C$27=1),1,0)*(Inputs!$C$51*(115*EXP(-(((0)-25)^2)/(4.5^2))+70*EXP(-(((0)+38)^2)/(7^2))*(0.55+0.45*SIN(2*PI()*(Scenario_Data!T227)/45))+24*SIN(2*PI()*(0)/9+(Scenario_Data!T227)/18)*EXP(-(((0)+5)^2)/(22^2))+18*SIN(2*PI()*(Scenario_Data!T227)/70))+Inputs!$C$28*EXP(-(((Scenario_Data!T227)-Inputs!$C$29)^2)/(2*Inputs!$C$31^2))*EXP(-(((0)-Inputs!$C$30)^2)/(2*Inputs!$C$32^2))+-Inputs!$C$33*EXP(-(((((Scenario_Data!T227)-Inputs!$C$34)^2)+(((0)-Inputs!$C$35)^2))/(2*Inputs!$C$36^2)))+Inputs!$C$37*(0.55*SIN(2*PI()*(Scenario_Data!T227)/Inputs!$C$39)+0.35*COS(2*PI()*(0)/Inputs!$C$40)+0.2*SIN(2*PI()*((Scenario_Data!T227)+(0))/(0.5*(Inputs!$C$39+Inputs!$C$40))))+Inputs!$C$38*SIN(2*PI()*(Scenario_Data!T227)/Inputs!$C$39)*SIN(2*PI()*(0)/Inputs!$C$40)+-Inputs!$C$41*EXP(-(((0)-Inputs!$C$43)^2)/(2*Inputs!$C$44^2))*EXP(-(((Scenario_Data!T227)-Inputs!$C$42)^2)/(2*Inputs!$C$45^2))+Inputs!$C$48*(0.7*(0.45*SIN(2*PI()*(((Scenario_Data!T227)/Inputs!$C$49)+Inputs!$C$47*0.137))+0.35*COS(2*PI()*(((0)/Inputs!$C$50)+Inputs!$C$47*0.173))+0.2*SIN(2*PI()*((((Scenario_Data!T227)+(0))/(0.5*(Inputs!$C$49+Inputs!$C$50)))+Inputs!$C$47*0.097)))+0.3*(2*((SIN(((Scenario_Data!T227)*12.9898+(0)*78.233+Inputs!$C$47*37.719))*43758.5453)-INT((SIN(((Scenario_Data!T227)*12.9898+(0)*78.233+Inputs!$C$47*37.719))*43758.5453)))-1)))))/Inputs!$C$21*1000000</f>
        <v/>
      </c>
      <c r="Z227">
        <f>Scenario_Data!U227</f>
        <v/>
      </c>
      <c r="AA227">
        <f>2*((Scenario_Data!C227*1000)-(IF(OR(Inputs!$C$27=TRUE,Inputs!$C$27="TRUE",Inputs!$C$27=1),1,0)*(Inputs!$C$51*(115*EXP(-(((0)-25)^2)/(4.5^2))+70*EXP(-(((0)+38)^2)/(7^2))*(0.55+0.45*SIN(2*PI()*(Scenario_Data!U227)/45))+24*SIN(2*PI()*(0)/9+(Scenario_Data!U227)/18)*EXP(-(((0)+5)^2)/(22^2))+18*SIN(2*PI()*(Scenario_Data!U227)/70))+Inputs!$C$28*EXP(-(((Scenario_Data!U227)-Inputs!$C$29)^2)/(2*Inputs!$C$31^2))*EXP(-(((0)-Inputs!$C$30)^2)/(2*Inputs!$C$32^2))+-Inputs!$C$33*EXP(-(((((Scenario_Data!U227)-Inputs!$C$34)^2)+(((0)-Inputs!$C$35)^2))/(2*Inputs!$C$36^2)))+Inputs!$C$37*(0.55*SIN(2*PI()*(Scenario_Data!U227)/Inputs!$C$39)+0.35*COS(2*PI()*(0)/Inputs!$C$40)+0.2*SIN(2*PI()*((Scenario_Data!U227)+(0))/(0.5*(Inputs!$C$39+Inputs!$C$40))))+Inputs!$C$38*SIN(2*PI()*(Scenario_Data!U227)/Inputs!$C$39)*SIN(2*PI()*(0)/Inputs!$C$40)+-Inputs!$C$41*EXP(-(((0)-Inputs!$C$43)^2)/(2*Inputs!$C$44^2))*EXP(-(((Scenario_Data!U227)-Inputs!$C$42)^2)/(2*Inputs!$C$45^2))+Inputs!$C$48*(0.7*(0.45*SIN(2*PI()*(((Scenario_Data!U227)/Inputs!$C$49)+Inputs!$C$47*0.137))+0.35*COS(2*PI()*(((0)/Inputs!$C$50)+Inputs!$C$47*0.173))+0.2*SIN(2*PI()*((((Scenario_Data!U227)+(0))/(0.5*(Inputs!$C$49+Inputs!$C$50)))+Inputs!$C$47*0.097)))+0.3*(2*((SIN(((Scenario_Data!U227)*12.9898+(0)*78.233+Inputs!$C$47*37.719))*43758.5453)-INT((SIN(((Scenario_Data!U227)*12.9898+(0)*78.233+Inputs!$C$47*37.719))*43758.5453)))-1)))))/Inputs!$C$21*1000000</f>
        <v/>
      </c>
      <c r="AB227">
        <f>Scenario_Data!V227</f>
        <v/>
      </c>
      <c r="AC227">
        <f>2*((Scenario_Data!D227*1000)-(IF(OR(Inputs!$C$27=TRUE,Inputs!$C$27="TRUE",Inputs!$C$27=1),1,0)*(Inputs!$C$51*(115*EXP(-(((0)-25)^2)/(4.5^2))+70*EXP(-(((0)+38)^2)/(7^2))*(0.55+0.45*SIN(2*PI()*(Scenario_Data!V227)/45))+24*SIN(2*PI()*(0)/9+(Scenario_Data!V227)/18)*EXP(-(((0)+5)^2)/(22^2))+18*SIN(2*PI()*(Scenario_Data!V227)/70))+Inputs!$C$28*EXP(-(((Scenario_Data!V227)-Inputs!$C$29)^2)/(2*Inputs!$C$31^2))*EXP(-(((0)-Inputs!$C$30)^2)/(2*Inputs!$C$32^2))+-Inputs!$C$33*EXP(-(((((Scenario_Data!V227)-Inputs!$C$34)^2)+(((0)-Inputs!$C$35)^2))/(2*Inputs!$C$36^2)))+Inputs!$C$37*(0.55*SIN(2*PI()*(Scenario_Data!V227)/Inputs!$C$39)+0.35*COS(2*PI()*(0)/Inputs!$C$40)+0.2*SIN(2*PI()*((Scenario_Data!V227)+(0))/(0.5*(Inputs!$C$39+Inputs!$C$40))))+Inputs!$C$38*SIN(2*PI()*(Scenario_Data!V227)/Inputs!$C$39)*SIN(2*PI()*(0)/Inputs!$C$40)+-Inputs!$C$41*EXP(-(((0)-Inputs!$C$43)^2)/(2*Inputs!$C$44^2))*EXP(-(((Scenario_Data!V227)-Inputs!$C$42)^2)/(2*Inputs!$C$45^2))+Inputs!$C$48*(0.7*(0.45*SIN(2*PI()*(((Scenario_Data!V227)/Inputs!$C$49)+Inputs!$C$47*0.137))+0.35*COS(2*PI()*(((0)/Inputs!$C$50)+Inputs!$C$47*0.173))+0.2*SIN(2*PI()*((((Scenario_Data!V227)+(0))/(0.5*(Inputs!$C$49+Inputs!$C$50)))+Inputs!$C$47*0.097)))+0.3*(2*((SIN(((Scenario_Data!V227)*12.9898+(0)*78.233+Inputs!$C$47*37.719))*43758.5453)-INT((SIN(((Scenario_Data!V227)*12.9898+(0)*78.233+Inputs!$C$47*37.719))*43758.5453)))-1)))))/Inputs!$C$21*1000000</f>
        <v/>
      </c>
      <c r="AD227">
        <f>Scenario_Data!W227</f>
        <v/>
      </c>
      <c r="AE227">
        <f>2*((Scenario_Data!E227*1000)-(IF(OR(Inputs!$C$27=TRUE,Inputs!$C$27="TRUE",Inputs!$C$27=1),1,0)*(Inputs!$C$51*(115*EXP(-(((0)-25)^2)/(4.5^2))+70*EXP(-(((0)+38)^2)/(7^2))*(0.55+0.45*SIN(2*PI()*(Scenario_Data!W227)/45))+24*SIN(2*PI()*(0)/9+(Scenario_Data!W227)/18)*EXP(-(((0)+5)^2)/(22^2))+18*SIN(2*PI()*(Scenario_Data!W227)/70))+Inputs!$C$28*EXP(-(((Scenario_Data!W227)-Inputs!$C$29)^2)/(2*Inputs!$C$31^2))*EXP(-(((0)-Inputs!$C$30)^2)/(2*Inputs!$C$32^2))+-Inputs!$C$33*EXP(-(((((Scenario_Data!W227)-Inputs!$C$34)^2)+(((0)-Inputs!$C$35)^2))/(2*Inputs!$C$36^2)))+Inputs!$C$37*(0.55*SIN(2*PI()*(Scenario_Data!W227)/Inputs!$C$39)+0.35*COS(2*PI()*(0)/Inputs!$C$40)+0.2*SIN(2*PI()*((Scenario_Data!W227)+(0))/(0.5*(Inputs!$C$39+Inputs!$C$40))))+Inputs!$C$38*SIN(2*PI()*(Scenario_Data!W227)/Inputs!$C$39)*SIN(2*PI()*(0)/Inputs!$C$40)+-Inputs!$C$41*EXP(-(((0)-Inputs!$C$43)^2)/(2*Inputs!$C$44^2))*EXP(-(((Scenario_Data!W227)-Inputs!$C$42)^2)/(2*Inputs!$C$45^2))+Inputs!$C$48*(0.7*(0.45*SIN(2*PI()*(((Scenario_Data!W227)/Inputs!$C$49)+Inputs!$C$47*0.137))+0.35*COS(2*PI()*(((0)/Inputs!$C$50)+Inputs!$C$47*0.173))+0.2*SIN(2*PI()*((((Scenario_Data!W227)+(0))/(0.5*(Inputs!$C$49+Inputs!$C$50)))+Inputs!$C$47*0.097)))+0.3*(2*((SIN(((Scenario_Data!W227)*12.9898+(0)*78.233+Inputs!$C$47*37.719))*43758.5453)-INT((SIN(((Scenario_Data!W227)*12.9898+(0)*78.233+Inputs!$C$47*37.719))*43758.5453)))-1)))))/Inputs!$C$21*1000000</f>
        <v/>
      </c>
      <c r="AG227">
        <f>Scenario_Data!T227</f>
        <v/>
      </c>
      <c r="AH227">
        <f>2*(SQRT((Inputs!$C$52+(Scenario_Data!B227))^2+Inputs!$C$52^2-2*(Inputs!$C$52+(Scenario_Data!B227))*Inputs!$C$52*COS(SQRT((Scenario_Data!T227)^2+Inputs!$C$6^2)/Inputs!$C$52))*1000)/Inputs!$C$21*1000000</f>
        <v/>
      </c>
      <c r="AI227">
        <f>Scenario_Data!U227</f>
        <v/>
      </c>
      <c r="AJ227">
        <f>2*(SQRT((Inputs!$C$52+(Scenario_Data!C227))^2+Inputs!$C$52^2-2*(Inputs!$C$52+(Scenario_Data!C227))*Inputs!$C$52*COS(SQRT((Scenario_Data!U227)^2+Inputs!$C$6^2)/Inputs!$C$52))*1000)/Inputs!$C$21*1000000</f>
        <v/>
      </c>
      <c r="AK227">
        <f>Scenario_Data!V227</f>
        <v/>
      </c>
      <c r="AL227">
        <f>2*(SQRT((Inputs!$C$52+(Scenario_Data!D227))^2+Inputs!$C$52^2-2*(Inputs!$C$52+(Scenario_Data!D227))*Inputs!$C$52*COS(SQRT((Scenario_Data!V227)^2+Inputs!$C$6^2)/Inputs!$C$52))*1000)/Inputs!$C$21*1000000</f>
        <v/>
      </c>
      <c r="AM227">
        <f>Scenario_Data!W227</f>
        <v/>
      </c>
      <c r="AN227">
        <f>2*(SQRT((Inputs!$C$52+(Scenario_Data!E227))^2+Inputs!$C$52^2-2*(Inputs!$C$52+(Scenario_Data!E227))*Inputs!$C$52*COS(SQRT((Scenario_Data!W227)^2+Inputs!$C$6^2)/Inputs!$C$52))*1000)/Inputs!$C$21*1000000</f>
        <v/>
      </c>
      <c r="AP227">
        <f>Scenario_Data!T227</f>
        <v/>
      </c>
      <c r="AQ227">
        <f>2*(SQRT((Inputs!$C$52+(Scenario_Data!B227))^2+(Inputs!$C$52+((IF(OR(Inputs!$C$27=TRUE,Inputs!$C$27="TRUE",Inputs!$C$27=1),1,0)*(Inputs!$C$51*(115*EXP(-(((Inputs!$C$6)-25)^2)/(4.5^2))+70*EXP(-(((Inputs!$C$6)+38)^2)/(7^2))*(0.55+0.45*SIN(2*PI()*(Scenario_Data!T227)/45))+24*SIN(2*PI()*(Inputs!$C$6)/9+(Scenario_Data!T227)/18)*EXP(-(((Inputs!$C$6)+5)^2)/(22^2))+18*SIN(2*PI()*(Scenario_Data!T227)/70))+Inputs!$C$28*EXP(-(((Scenario_Data!T227)-Inputs!$C$29)^2)/(2*Inputs!$C$31^2))*EXP(-(((Inputs!$C$6)-Inputs!$C$30)^2)/(2*Inputs!$C$32^2))+-Inputs!$C$33*EXP(-(((((Scenario_Data!T227)-Inputs!$C$34)^2)+(((Inputs!$C$6)-Inputs!$C$35)^2))/(2*Inputs!$C$36^2)))+Inputs!$C$37*(0.55*SIN(2*PI()*(Scenario_Data!T227)/Inputs!$C$39)+0.35*COS(2*PI()*(Inputs!$C$6)/Inputs!$C$40)+0.2*SIN(2*PI()*((Scenario_Data!T227)+(Inputs!$C$6))/(0.5*(Inputs!$C$39+Inputs!$C$40))))+Inputs!$C$38*SIN(2*PI()*(Scenario_Data!T227)/Inputs!$C$39)*SIN(2*PI()*(Inputs!$C$6)/Inputs!$C$40)+-Inputs!$C$41*EXP(-(((Inputs!$C$6)-Inputs!$C$43)^2)/(2*Inputs!$C$44^2))*EXP(-(((Scenario_Data!T227)-Inputs!$C$42)^2)/(2*Inputs!$C$45^2))+Inputs!$C$48*(0.7*(0.45*SIN(2*PI()*(((Scenario_Data!T227)/Inputs!$C$49)+Inputs!$C$47*0.137))+0.35*COS(2*PI()*(((Inputs!$C$6)/Inputs!$C$50)+Inputs!$C$47*0.173))+0.2*SIN(2*PI()*((((Scenario_Data!T227)+(Inputs!$C$6))/(0.5*(Inputs!$C$49+Inputs!$C$50)))+Inputs!$C$47*0.097)))+0.3*(2*((SIN(((Scenario_Data!T227)*12.9898+(Inputs!$C$6)*78.233+Inputs!$C$47*37.719))*43758.5453)-INT((SIN(((Scenario_Data!T227)*12.9898+(Inputs!$C$6)*78.233+Inputs!$C$47*37.719))*43758.5453)))-1))))/1000))^2-2*(Inputs!$C$52+(Scenario_Data!B227))*(Inputs!$C$52+((IF(OR(Inputs!$C$27=TRUE,Inputs!$C$27="TRUE",Inputs!$C$27=1),1,0)*(Inputs!$C$51*(115*EXP(-(((Inputs!$C$6)-25)^2)/(4.5^2))+70*EXP(-(((Inputs!$C$6)+38)^2)/(7^2))*(0.55+0.45*SIN(2*PI()*(Scenario_Data!T227)/45))+24*SIN(2*PI()*(Inputs!$C$6)/9+(Scenario_Data!T227)/18)*EXP(-(((Inputs!$C$6)+5)^2)/(22^2))+18*SIN(2*PI()*(Scenario_Data!T227)/70))+Inputs!$C$28*EXP(-(((Scenario_Data!T227)-Inputs!$C$29)^2)/(2*Inputs!$C$31^2))*EXP(-(((Inputs!$C$6)-Inputs!$C$30)^2)/(2*Inputs!$C$32^2))+-Inputs!$C$33*EXP(-(((((Scenario_Data!T227)-Inputs!$C$34)^2)+(((Inputs!$C$6)-Inputs!$C$35)^2))/(2*Inputs!$C$36^2)))+Inputs!$C$37*(0.55*SIN(2*PI()*(Scenario_Data!T227)/Inputs!$C$39)+0.35*COS(2*PI()*(Inputs!$C$6)/Inputs!$C$40)+0.2*SIN(2*PI()*((Scenario_Data!T227)+(Inputs!$C$6))/(0.5*(Inputs!$C$39+Inputs!$C$40))))+Inputs!$C$38*SIN(2*PI()*(Scenario_Data!T227)/Inputs!$C$39)*SIN(2*PI()*(Inputs!$C$6)/Inputs!$C$40)+-Inputs!$C$41*EXP(-(((Inputs!$C$6)-Inputs!$C$43)^2)/(2*Inputs!$C$44^2))*EXP(-(((Scenario_Data!T227)-Inputs!$C$42)^2)/(2*Inputs!$C$45^2))+Inputs!$C$48*(0.7*(0.45*SIN(2*PI()*(((Scenario_Data!T227)/Inputs!$C$49)+Inputs!$C$47*0.137))+0.35*COS(2*PI()*(((Inputs!$C$6)/Inputs!$C$50)+Inputs!$C$47*0.173))+0.2*SIN(2*PI()*((((Scenario_Data!T227)+(Inputs!$C$6))/(0.5*(Inputs!$C$49+Inputs!$C$50)))+Inputs!$C$47*0.097)))+0.3*(2*((SIN(((Scenario_Data!T227)*12.9898+(Inputs!$C$6)*78.233+Inputs!$C$47*37.719))*43758.5453)-INT((SIN(((Scenario_Data!T227)*12.9898+(Inputs!$C$6)*78.233+Inputs!$C$47*37.719))*43758.5453)))-1))))/1000))*COS(SQRT((Scenario_Data!T227)^2+Inputs!$C$6^2)/Inputs!$C$52))*1000)/Inputs!$C$21*1000000</f>
        <v/>
      </c>
      <c r="AR227">
        <f>Scenario_Data!U227</f>
        <v/>
      </c>
      <c r="AS227">
        <f>2*(SQRT((Inputs!$C$52+(Scenario_Data!C227))^2+(Inputs!$C$52+((IF(OR(Inputs!$C$27=TRUE,Inputs!$C$27="TRUE",Inputs!$C$27=1),1,0)*(Inputs!$C$51*(115*EXP(-(((Inputs!$C$6)-25)^2)/(4.5^2))+70*EXP(-(((Inputs!$C$6)+38)^2)/(7^2))*(0.55+0.45*SIN(2*PI()*(Scenario_Data!U227)/45))+24*SIN(2*PI()*(Inputs!$C$6)/9+(Scenario_Data!U227)/18)*EXP(-(((Inputs!$C$6)+5)^2)/(22^2))+18*SIN(2*PI()*(Scenario_Data!U227)/70))+Inputs!$C$28*EXP(-(((Scenario_Data!U227)-Inputs!$C$29)^2)/(2*Inputs!$C$31^2))*EXP(-(((Inputs!$C$6)-Inputs!$C$30)^2)/(2*Inputs!$C$32^2))+-Inputs!$C$33*EXP(-(((((Scenario_Data!U227)-Inputs!$C$34)^2)+(((Inputs!$C$6)-Inputs!$C$35)^2))/(2*Inputs!$C$36^2)))+Inputs!$C$37*(0.55*SIN(2*PI()*(Scenario_Data!U227)/Inputs!$C$39)+0.35*COS(2*PI()*(Inputs!$C$6)/Inputs!$C$40)+0.2*SIN(2*PI()*((Scenario_Data!U227)+(Inputs!$C$6))/(0.5*(Inputs!$C$39+Inputs!$C$40))))+Inputs!$C$38*SIN(2*PI()*(Scenario_Data!U227)/Inputs!$C$39)*SIN(2*PI()*(Inputs!$C$6)/Inputs!$C$40)+-Inputs!$C$41*EXP(-(((Inputs!$C$6)-Inputs!$C$43)^2)/(2*Inputs!$C$44^2))*EXP(-(((Scenario_Data!U227)-Inputs!$C$42)^2)/(2*Inputs!$C$45^2))+Inputs!$C$48*(0.7*(0.45*SIN(2*PI()*(((Scenario_Data!U227)/Inputs!$C$49)+Inputs!$C$47*0.137))+0.35*COS(2*PI()*(((Inputs!$C$6)/Inputs!$C$50)+Inputs!$C$47*0.173))+0.2*SIN(2*PI()*((((Scenario_Data!U227)+(Inputs!$C$6))/(0.5*(Inputs!$C$49+Inputs!$C$50)))+Inputs!$C$47*0.097)))+0.3*(2*((SIN(((Scenario_Data!U227)*12.9898+(Inputs!$C$6)*78.233+Inputs!$C$47*37.719))*43758.5453)-INT((SIN(((Scenario_Data!U227)*12.9898+(Inputs!$C$6)*78.233+Inputs!$C$47*37.719))*43758.5453)))-1))))/1000))^2-2*(Inputs!$C$52+(Scenario_Data!C227))*(Inputs!$C$52+((IF(OR(Inputs!$C$27=TRUE,Inputs!$C$27="TRUE",Inputs!$C$27=1),1,0)*(Inputs!$C$51*(115*EXP(-(((Inputs!$C$6)-25)^2)/(4.5^2))+70*EXP(-(((Inputs!$C$6)+38)^2)/(7^2))*(0.55+0.45*SIN(2*PI()*(Scenario_Data!U227)/45))+24*SIN(2*PI()*(Inputs!$C$6)/9+(Scenario_Data!U227)/18)*EXP(-(((Inputs!$C$6)+5)^2)/(22^2))+18*SIN(2*PI()*(Scenario_Data!U227)/70))+Inputs!$C$28*EXP(-(((Scenario_Data!U227)-Inputs!$C$29)^2)/(2*Inputs!$C$31^2))*EXP(-(((Inputs!$C$6)-Inputs!$C$30)^2)/(2*Inputs!$C$32^2))+-Inputs!$C$33*EXP(-(((((Scenario_Data!U227)-Inputs!$C$34)^2)+(((Inputs!$C$6)-Inputs!$C$35)^2))/(2*Inputs!$C$36^2)))+Inputs!$C$37*(0.55*SIN(2*PI()*(Scenario_Data!U227)/Inputs!$C$39)+0.35*COS(2*PI()*(Inputs!$C$6)/Inputs!$C$40)+0.2*SIN(2*PI()*((Scenario_Data!U227)+(Inputs!$C$6))/(0.5*(Inputs!$C$39+Inputs!$C$40))))+Inputs!$C$38*SIN(2*PI()*(Scenario_Data!U227)/Inputs!$C$39)*SIN(2*PI()*(Inputs!$C$6)/Inputs!$C$40)+-Inputs!$C$41*EXP(-(((Inputs!$C$6)-Inputs!$C$43)^2)/(2*Inputs!$C$44^2))*EXP(-(((Scenario_Data!U227)-Inputs!$C$42)^2)/(2*Inputs!$C$45^2))+Inputs!$C$48*(0.7*(0.45*SIN(2*PI()*(((Scenario_Data!U227)/Inputs!$C$49)+Inputs!$C$47*0.137))+0.35*COS(2*PI()*(((Inputs!$C$6)/Inputs!$C$50)+Inputs!$C$47*0.173))+0.2*SIN(2*PI()*((((Scenario_Data!U227)+(Inputs!$C$6))/(0.5*(Inputs!$C$49+Inputs!$C$50)))+Inputs!$C$47*0.097)))+0.3*(2*((SIN(((Scenario_Data!U227)*12.9898+(Inputs!$C$6)*78.233+Inputs!$C$47*37.719))*43758.5453)-INT((SIN(((Scenario_Data!U227)*12.9898+(Inputs!$C$6)*78.233+Inputs!$C$47*37.719))*43758.5453)))-1))))/1000))*COS(SQRT((Scenario_Data!U227)^2+Inputs!$C$6^2)/Inputs!$C$52))*1000)/Inputs!$C$21*1000000</f>
        <v/>
      </c>
      <c r="AT227">
        <f>Scenario_Data!V227</f>
        <v/>
      </c>
      <c r="AU227">
        <f>2*(SQRT((Inputs!$C$52+(Scenario_Data!D227))^2+(Inputs!$C$52+((IF(OR(Inputs!$C$27=TRUE,Inputs!$C$27="TRUE",Inputs!$C$27=1),1,0)*(Inputs!$C$51*(115*EXP(-(((Inputs!$C$6)-25)^2)/(4.5^2))+70*EXP(-(((Inputs!$C$6)+38)^2)/(7^2))*(0.55+0.45*SIN(2*PI()*(Scenario_Data!V227)/45))+24*SIN(2*PI()*(Inputs!$C$6)/9+(Scenario_Data!V227)/18)*EXP(-(((Inputs!$C$6)+5)^2)/(22^2))+18*SIN(2*PI()*(Scenario_Data!V227)/70))+Inputs!$C$28*EXP(-(((Scenario_Data!V227)-Inputs!$C$29)^2)/(2*Inputs!$C$31^2))*EXP(-(((Inputs!$C$6)-Inputs!$C$30)^2)/(2*Inputs!$C$32^2))+-Inputs!$C$33*EXP(-(((((Scenario_Data!V227)-Inputs!$C$34)^2)+(((Inputs!$C$6)-Inputs!$C$35)^2))/(2*Inputs!$C$36^2)))+Inputs!$C$37*(0.55*SIN(2*PI()*(Scenario_Data!V227)/Inputs!$C$39)+0.35*COS(2*PI()*(Inputs!$C$6)/Inputs!$C$40)+0.2*SIN(2*PI()*((Scenario_Data!V227)+(Inputs!$C$6))/(0.5*(Inputs!$C$39+Inputs!$C$40))))+Inputs!$C$38*SIN(2*PI()*(Scenario_Data!V227)/Inputs!$C$39)*SIN(2*PI()*(Inputs!$C$6)/Inputs!$C$40)+-Inputs!$C$41*EXP(-(((Inputs!$C$6)-Inputs!$C$43)^2)/(2*Inputs!$C$44^2))*EXP(-(((Scenario_Data!V227)-Inputs!$C$42)^2)/(2*Inputs!$C$45^2))+Inputs!$C$48*(0.7*(0.45*SIN(2*PI()*(((Scenario_Data!V227)/Inputs!$C$49)+Inputs!$C$47*0.137))+0.35*COS(2*PI()*(((Inputs!$C$6)/Inputs!$C$50)+Inputs!$C$47*0.173))+0.2*SIN(2*PI()*((((Scenario_Data!V227)+(Inputs!$C$6))/(0.5*(Inputs!$C$49+Inputs!$C$50)))+Inputs!$C$47*0.097)))+0.3*(2*((SIN(((Scenario_Data!V227)*12.9898+(Inputs!$C$6)*78.233+Inputs!$C$47*37.719))*43758.5453)-INT((SIN(((Scenario_Data!V227)*12.9898+(Inputs!$C$6)*78.233+Inputs!$C$47*37.719))*43758.5453)))-1))))/1000))^2-2*(Inputs!$C$52+(Scenario_Data!D227))*(Inputs!$C$52+((IF(OR(Inputs!$C$27=TRUE,Inputs!$C$27="TRUE",Inputs!$C$27=1),1,0)*(Inputs!$C$51*(115*EXP(-(((Inputs!$C$6)-25)^2)/(4.5^2))+70*EXP(-(((Inputs!$C$6)+38)^2)/(7^2))*(0.55+0.45*SIN(2*PI()*(Scenario_Data!V227)/45))+24*SIN(2*PI()*(Inputs!$C$6)/9+(Scenario_Data!V227)/18)*EXP(-(((Inputs!$C$6)+5)^2)/(22^2))+18*SIN(2*PI()*(Scenario_Data!V227)/70))+Inputs!$C$28*EXP(-(((Scenario_Data!V227)-Inputs!$C$29)^2)/(2*Inputs!$C$31^2))*EXP(-(((Inputs!$C$6)-Inputs!$C$30)^2)/(2*Inputs!$C$32^2))+-Inputs!$C$33*EXP(-(((((Scenario_Data!V227)-Inputs!$C$34)^2)+(((Inputs!$C$6)-Inputs!$C$35)^2))/(2*Inputs!$C$36^2)))+Inputs!$C$37*(0.55*SIN(2*PI()*(Scenario_Data!V227)/Inputs!$C$39)+0.35*COS(2*PI()*(Inputs!$C$6)/Inputs!$C$40)+0.2*SIN(2*PI()*((Scenario_Data!V227)+(Inputs!$C$6))/(0.5*(Inputs!$C$39+Inputs!$C$40))))+Inputs!$C$38*SIN(2*PI()*(Scenario_Data!V227)/Inputs!$C$39)*SIN(2*PI()*(Inputs!$C$6)/Inputs!$C$40)+-Inputs!$C$41*EXP(-(((Inputs!$C$6)-Inputs!$C$43)^2)/(2*Inputs!$C$44^2))*EXP(-(((Scenario_Data!V227)-Inputs!$C$42)^2)/(2*Inputs!$C$45^2))+Inputs!$C$48*(0.7*(0.45*SIN(2*PI()*(((Scenario_Data!V227)/Inputs!$C$49)+Inputs!$C$47*0.137))+0.35*COS(2*PI()*(((Inputs!$C$6)/Inputs!$C$50)+Inputs!$C$47*0.173))+0.2*SIN(2*PI()*((((Scenario_Data!V227)+(Inputs!$C$6))/(0.5*(Inputs!$C$49+Inputs!$C$50)))+Inputs!$C$47*0.097)))+0.3*(2*((SIN(((Scenario_Data!V227)*12.9898+(Inputs!$C$6)*78.233+Inputs!$C$47*37.719))*43758.5453)-INT((SIN(((Scenario_Data!V227)*12.9898+(Inputs!$C$6)*78.233+Inputs!$C$47*37.719))*43758.5453)))-1))))/1000))*COS(SQRT((Scenario_Data!V227)^2+Inputs!$C$6^2)/Inputs!$C$52))*1000)/Inputs!$C$21*1000000</f>
        <v/>
      </c>
      <c r="AV227">
        <f>Scenario_Data!W227</f>
        <v/>
      </c>
      <c r="AW227">
        <f>2*(SQRT((Inputs!$C$52+(Scenario_Data!E227))^2+(Inputs!$C$52+((IF(OR(Inputs!$C$27=TRUE,Inputs!$C$27="TRUE",Inputs!$C$27=1),1,0)*(Inputs!$C$51*(115*EXP(-(((Inputs!$C$6)-25)^2)/(4.5^2))+70*EXP(-(((Inputs!$C$6)+38)^2)/(7^2))*(0.55+0.45*SIN(2*PI()*(Scenario_Data!W227)/45))+24*SIN(2*PI()*(Inputs!$C$6)/9+(Scenario_Data!W227)/18)*EXP(-(((Inputs!$C$6)+5)^2)/(22^2))+18*SIN(2*PI()*(Scenario_Data!W227)/70))+Inputs!$C$28*EXP(-(((Scenario_Data!W227)-Inputs!$C$29)^2)/(2*Inputs!$C$31^2))*EXP(-(((Inputs!$C$6)-Inputs!$C$30)^2)/(2*Inputs!$C$32^2))+-Inputs!$C$33*EXP(-(((((Scenario_Data!W227)-Inputs!$C$34)^2)+(((Inputs!$C$6)-Inputs!$C$35)^2))/(2*Inputs!$C$36^2)))+Inputs!$C$37*(0.55*SIN(2*PI()*(Scenario_Data!W227)/Inputs!$C$39)+0.35*COS(2*PI()*(Inputs!$C$6)/Inputs!$C$40)+0.2*SIN(2*PI()*((Scenario_Data!W227)+(Inputs!$C$6))/(0.5*(Inputs!$C$39+Inputs!$C$40))))+Inputs!$C$38*SIN(2*PI()*(Scenario_Data!W227)/Inputs!$C$39)*SIN(2*PI()*(Inputs!$C$6)/Inputs!$C$40)+-Inputs!$C$41*EXP(-(((Inputs!$C$6)-Inputs!$C$43)^2)/(2*Inputs!$C$44^2))*EXP(-(((Scenario_Data!W227)-Inputs!$C$42)^2)/(2*Inputs!$C$45^2))+Inputs!$C$48*(0.7*(0.45*SIN(2*PI()*(((Scenario_Data!W227)/Inputs!$C$49)+Inputs!$C$47*0.137))+0.35*COS(2*PI()*(((Inputs!$C$6)/Inputs!$C$50)+Inputs!$C$47*0.173))+0.2*SIN(2*PI()*((((Scenario_Data!W227)+(Inputs!$C$6))/(0.5*(Inputs!$C$49+Inputs!$C$50)))+Inputs!$C$47*0.097)))+0.3*(2*((SIN(((Scenario_Data!W227)*12.9898+(Inputs!$C$6)*78.233+Inputs!$C$47*37.719))*43758.5453)-INT((SIN(((Scenario_Data!W227)*12.9898+(Inputs!$C$6)*78.233+Inputs!$C$47*37.719))*43758.5453)))-1))))/1000))^2-2*(Inputs!$C$52+(Scenario_Data!E227))*(Inputs!$C$52+((IF(OR(Inputs!$C$27=TRUE,Inputs!$C$27="TRUE",Inputs!$C$27=1),1,0)*(Inputs!$C$51*(115*EXP(-(((Inputs!$C$6)-25)^2)/(4.5^2))+70*EXP(-(((Inputs!$C$6)+38)^2)/(7^2))*(0.55+0.45*SIN(2*PI()*(Scenario_Data!W227)/45))+24*SIN(2*PI()*(Inputs!$C$6)/9+(Scenario_Data!W227)/18)*EXP(-(((Inputs!$C$6)+5)^2)/(22^2))+18*SIN(2*PI()*(Scenario_Data!W227)/70))+Inputs!$C$28*EXP(-(((Scenario_Data!W227)-Inputs!$C$29)^2)/(2*Inputs!$C$31^2))*EXP(-(((Inputs!$C$6)-Inputs!$C$30)^2)/(2*Inputs!$C$32^2))+-Inputs!$C$33*EXP(-(((((Scenario_Data!W227)-Inputs!$C$34)^2)+(((Inputs!$C$6)-Inputs!$C$35)^2))/(2*Inputs!$C$36^2)))+Inputs!$C$37*(0.55*SIN(2*PI()*(Scenario_Data!W227)/Inputs!$C$39)+0.35*COS(2*PI()*(Inputs!$C$6)/Inputs!$C$40)+0.2*SIN(2*PI()*((Scenario_Data!W227)+(Inputs!$C$6))/(0.5*(Inputs!$C$39+Inputs!$C$40))))+Inputs!$C$38*SIN(2*PI()*(Scenario_Data!W227)/Inputs!$C$39)*SIN(2*PI()*(Inputs!$C$6)/Inputs!$C$40)+-Inputs!$C$41*EXP(-(((Inputs!$C$6)-Inputs!$C$43)^2)/(2*Inputs!$C$44^2))*EXP(-(((Scenario_Data!W227)-Inputs!$C$42)^2)/(2*Inputs!$C$45^2))+Inputs!$C$48*(0.7*(0.45*SIN(2*PI()*(((Scenario_Data!W227)/Inputs!$C$49)+Inputs!$C$47*0.137))+0.35*COS(2*PI()*(((Inputs!$C$6)/Inputs!$C$50)+Inputs!$C$47*0.173))+0.2*SIN(2*PI()*((((Scenario_Data!W227)+(Inputs!$C$6))/(0.5*(Inputs!$C$49+Inputs!$C$50)))+Inputs!$C$47*0.097)))+0.3*(2*((SIN(((Scenario_Data!W227)*12.9898+(Inputs!$C$6)*78.233+Inputs!$C$47*37.719))*43758.5453)-INT((SIN(((Scenario_Data!W227)*12.9898+(Inputs!$C$6)*78.233+Inputs!$C$47*37.719))*43758.5453)))-1))))/1000))*COS(SQRT((Scenario_Data!W227)^2+Inputs!$C$6^2)/Inputs!$C$52))*1000)/Inputs!$C$21*1000000</f>
        <v/>
      </c>
    </row>
    <row r="228">
      <c r="A228">
        <f>Chart_Data!K228</f>
        <v/>
      </c>
      <c r="B228">
        <f>Chart_Data!N228-Chart_Data!L228</f>
        <v/>
      </c>
      <c r="D228">
        <f>Chart_Data!G228</f>
        <v/>
      </c>
      <c r="E228">
        <f>Chart_Data!H228</f>
        <v/>
      </c>
      <c r="F228">
        <f>Chart_Data!I228</f>
        <v/>
      </c>
      <c r="G228">
        <f>Chart_Data!J228</f>
        <v/>
      </c>
      <c r="I228">
        <f>Scenario_Data!A228</f>
        <v/>
      </c>
      <c r="J228">
        <f>Scenario_Data!H228-(((SQRT((Inputs!$C$52+(Inputs!$H$6))^2+Inputs!$C$52^2-2*(Inputs!$C$52+(Inputs!$H$6))*Inputs!$C$52*COS(SQRT((Scenario_Data!T228)^2+Inputs!$C$6^2)/Inputs!$C$52)))-(Inputs!$H$6))*1000/Inputs!$C$12)</f>
        <v/>
      </c>
      <c r="K228">
        <f>Scenario_Data!I228-(((SQRT((Inputs!$C$52+(Inputs!$H$7))^2+Inputs!$C$52^2-2*(Inputs!$C$52+(Inputs!$H$7))*Inputs!$C$52*COS(SQRT((Scenario_Data!U228)^2+Inputs!$C$6^2)/Inputs!$C$52)))-(Inputs!$H$7))*1000/Inputs!$C$12)</f>
        <v/>
      </c>
      <c r="L228">
        <f>Scenario_Data!J228-(((SQRT((Inputs!$C$52+(Inputs!$H$8))^2+Inputs!$C$52^2-2*(Inputs!$C$52+(Inputs!$H$8))*Inputs!$C$52*COS(SQRT((Scenario_Data!V228)^2+Inputs!$C$6^2)/Inputs!$C$52)))-(Inputs!$H$8))*1000/Inputs!$C$12)</f>
        <v/>
      </c>
      <c r="M228">
        <f>Scenario_Data!K228-(((SQRT((Inputs!$C$52+(Inputs!$H$9))^2+Inputs!$C$52^2-2*(Inputs!$C$52+(Inputs!$H$9))*Inputs!$C$52*COS(SQRT((Scenario_Data!W228)^2+Inputs!$C$6^2)/Inputs!$C$52)))-(Inputs!$H$9))*1000/Inputs!$C$12)</f>
        <v/>
      </c>
      <c r="O228">
        <f>Scenario_Data!T228</f>
        <v/>
      </c>
      <c r="P228">
        <f>2*(Scenario_Data!B228*1000)/Inputs!$C$21*1000000</f>
        <v/>
      </c>
      <c r="Q228">
        <f>Scenario_Data!U228</f>
        <v/>
      </c>
      <c r="R228">
        <f>2*(Scenario_Data!C228*1000)/Inputs!$C$21*1000000</f>
        <v/>
      </c>
      <c r="S228">
        <f>Scenario_Data!V228</f>
        <v/>
      </c>
      <c r="T228">
        <f>2*(Scenario_Data!D228*1000)/Inputs!$C$21*1000000</f>
        <v/>
      </c>
      <c r="U228">
        <f>Scenario_Data!W228</f>
        <v/>
      </c>
      <c r="V228">
        <f>2*(Scenario_Data!E228*1000)/Inputs!$C$21*1000000</f>
        <v/>
      </c>
      <c r="X228">
        <f>Scenario_Data!T228</f>
        <v/>
      </c>
      <c r="Y228">
        <f>2*((Scenario_Data!B228*1000)-(IF(OR(Inputs!$C$27=TRUE,Inputs!$C$27="TRUE",Inputs!$C$27=1),1,0)*(Inputs!$C$51*(115*EXP(-(((0)-25)^2)/(4.5^2))+70*EXP(-(((0)+38)^2)/(7^2))*(0.55+0.45*SIN(2*PI()*(Scenario_Data!T228)/45))+24*SIN(2*PI()*(0)/9+(Scenario_Data!T228)/18)*EXP(-(((0)+5)^2)/(22^2))+18*SIN(2*PI()*(Scenario_Data!T228)/70))+Inputs!$C$28*EXP(-(((Scenario_Data!T228)-Inputs!$C$29)^2)/(2*Inputs!$C$31^2))*EXP(-(((0)-Inputs!$C$30)^2)/(2*Inputs!$C$32^2))+-Inputs!$C$33*EXP(-(((((Scenario_Data!T228)-Inputs!$C$34)^2)+(((0)-Inputs!$C$35)^2))/(2*Inputs!$C$36^2)))+Inputs!$C$37*(0.55*SIN(2*PI()*(Scenario_Data!T228)/Inputs!$C$39)+0.35*COS(2*PI()*(0)/Inputs!$C$40)+0.2*SIN(2*PI()*((Scenario_Data!T228)+(0))/(0.5*(Inputs!$C$39+Inputs!$C$40))))+Inputs!$C$38*SIN(2*PI()*(Scenario_Data!T228)/Inputs!$C$39)*SIN(2*PI()*(0)/Inputs!$C$40)+-Inputs!$C$41*EXP(-(((0)-Inputs!$C$43)^2)/(2*Inputs!$C$44^2))*EXP(-(((Scenario_Data!T228)-Inputs!$C$42)^2)/(2*Inputs!$C$45^2))+Inputs!$C$48*(0.7*(0.45*SIN(2*PI()*(((Scenario_Data!T228)/Inputs!$C$49)+Inputs!$C$47*0.137))+0.35*COS(2*PI()*(((0)/Inputs!$C$50)+Inputs!$C$47*0.173))+0.2*SIN(2*PI()*((((Scenario_Data!T228)+(0))/(0.5*(Inputs!$C$49+Inputs!$C$50)))+Inputs!$C$47*0.097)))+0.3*(2*((SIN(((Scenario_Data!T228)*12.9898+(0)*78.233+Inputs!$C$47*37.719))*43758.5453)-INT((SIN(((Scenario_Data!T228)*12.9898+(0)*78.233+Inputs!$C$47*37.719))*43758.5453)))-1)))))/Inputs!$C$21*1000000</f>
        <v/>
      </c>
      <c r="Z228">
        <f>Scenario_Data!U228</f>
        <v/>
      </c>
      <c r="AA228">
        <f>2*((Scenario_Data!C228*1000)-(IF(OR(Inputs!$C$27=TRUE,Inputs!$C$27="TRUE",Inputs!$C$27=1),1,0)*(Inputs!$C$51*(115*EXP(-(((0)-25)^2)/(4.5^2))+70*EXP(-(((0)+38)^2)/(7^2))*(0.55+0.45*SIN(2*PI()*(Scenario_Data!U228)/45))+24*SIN(2*PI()*(0)/9+(Scenario_Data!U228)/18)*EXP(-(((0)+5)^2)/(22^2))+18*SIN(2*PI()*(Scenario_Data!U228)/70))+Inputs!$C$28*EXP(-(((Scenario_Data!U228)-Inputs!$C$29)^2)/(2*Inputs!$C$31^2))*EXP(-(((0)-Inputs!$C$30)^2)/(2*Inputs!$C$32^2))+-Inputs!$C$33*EXP(-(((((Scenario_Data!U228)-Inputs!$C$34)^2)+(((0)-Inputs!$C$35)^2))/(2*Inputs!$C$36^2)))+Inputs!$C$37*(0.55*SIN(2*PI()*(Scenario_Data!U228)/Inputs!$C$39)+0.35*COS(2*PI()*(0)/Inputs!$C$40)+0.2*SIN(2*PI()*((Scenario_Data!U228)+(0))/(0.5*(Inputs!$C$39+Inputs!$C$40))))+Inputs!$C$38*SIN(2*PI()*(Scenario_Data!U228)/Inputs!$C$39)*SIN(2*PI()*(0)/Inputs!$C$40)+-Inputs!$C$41*EXP(-(((0)-Inputs!$C$43)^2)/(2*Inputs!$C$44^2))*EXP(-(((Scenario_Data!U228)-Inputs!$C$42)^2)/(2*Inputs!$C$45^2))+Inputs!$C$48*(0.7*(0.45*SIN(2*PI()*(((Scenario_Data!U228)/Inputs!$C$49)+Inputs!$C$47*0.137))+0.35*COS(2*PI()*(((0)/Inputs!$C$50)+Inputs!$C$47*0.173))+0.2*SIN(2*PI()*((((Scenario_Data!U228)+(0))/(0.5*(Inputs!$C$49+Inputs!$C$50)))+Inputs!$C$47*0.097)))+0.3*(2*((SIN(((Scenario_Data!U228)*12.9898+(0)*78.233+Inputs!$C$47*37.719))*43758.5453)-INT((SIN(((Scenario_Data!U228)*12.9898+(0)*78.233+Inputs!$C$47*37.719))*43758.5453)))-1)))))/Inputs!$C$21*1000000</f>
        <v/>
      </c>
      <c r="AB228">
        <f>Scenario_Data!V228</f>
        <v/>
      </c>
      <c r="AC228">
        <f>2*((Scenario_Data!D228*1000)-(IF(OR(Inputs!$C$27=TRUE,Inputs!$C$27="TRUE",Inputs!$C$27=1),1,0)*(Inputs!$C$51*(115*EXP(-(((0)-25)^2)/(4.5^2))+70*EXP(-(((0)+38)^2)/(7^2))*(0.55+0.45*SIN(2*PI()*(Scenario_Data!V228)/45))+24*SIN(2*PI()*(0)/9+(Scenario_Data!V228)/18)*EXP(-(((0)+5)^2)/(22^2))+18*SIN(2*PI()*(Scenario_Data!V228)/70))+Inputs!$C$28*EXP(-(((Scenario_Data!V228)-Inputs!$C$29)^2)/(2*Inputs!$C$31^2))*EXP(-(((0)-Inputs!$C$30)^2)/(2*Inputs!$C$32^2))+-Inputs!$C$33*EXP(-(((((Scenario_Data!V228)-Inputs!$C$34)^2)+(((0)-Inputs!$C$35)^2))/(2*Inputs!$C$36^2)))+Inputs!$C$37*(0.55*SIN(2*PI()*(Scenario_Data!V228)/Inputs!$C$39)+0.35*COS(2*PI()*(0)/Inputs!$C$40)+0.2*SIN(2*PI()*((Scenario_Data!V228)+(0))/(0.5*(Inputs!$C$39+Inputs!$C$40))))+Inputs!$C$38*SIN(2*PI()*(Scenario_Data!V228)/Inputs!$C$39)*SIN(2*PI()*(0)/Inputs!$C$40)+-Inputs!$C$41*EXP(-(((0)-Inputs!$C$43)^2)/(2*Inputs!$C$44^2))*EXP(-(((Scenario_Data!V228)-Inputs!$C$42)^2)/(2*Inputs!$C$45^2))+Inputs!$C$48*(0.7*(0.45*SIN(2*PI()*(((Scenario_Data!V228)/Inputs!$C$49)+Inputs!$C$47*0.137))+0.35*COS(2*PI()*(((0)/Inputs!$C$50)+Inputs!$C$47*0.173))+0.2*SIN(2*PI()*((((Scenario_Data!V228)+(0))/(0.5*(Inputs!$C$49+Inputs!$C$50)))+Inputs!$C$47*0.097)))+0.3*(2*((SIN(((Scenario_Data!V228)*12.9898+(0)*78.233+Inputs!$C$47*37.719))*43758.5453)-INT((SIN(((Scenario_Data!V228)*12.9898+(0)*78.233+Inputs!$C$47*37.719))*43758.5453)))-1)))))/Inputs!$C$21*1000000</f>
        <v/>
      </c>
      <c r="AD228">
        <f>Scenario_Data!W228</f>
        <v/>
      </c>
      <c r="AE228">
        <f>2*((Scenario_Data!E228*1000)-(IF(OR(Inputs!$C$27=TRUE,Inputs!$C$27="TRUE",Inputs!$C$27=1),1,0)*(Inputs!$C$51*(115*EXP(-(((0)-25)^2)/(4.5^2))+70*EXP(-(((0)+38)^2)/(7^2))*(0.55+0.45*SIN(2*PI()*(Scenario_Data!W228)/45))+24*SIN(2*PI()*(0)/9+(Scenario_Data!W228)/18)*EXP(-(((0)+5)^2)/(22^2))+18*SIN(2*PI()*(Scenario_Data!W228)/70))+Inputs!$C$28*EXP(-(((Scenario_Data!W228)-Inputs!$C$29)^2)/(2*Inputs!$C$31^2))*EXP(-(((0)-Inputs!$C$30)^2)/(2*Inputs!$C$32^2))+-Inputs!$C$33*EXP(-(((((Scenario_Data!W228)-Inputs!$C$34)^2)+(((0)-Inputs!$C$35)^2))/(2*Inputs!$C$36^2)))+Inputs!$C$37*(0.55*SIN(2*PI()*(Scenario_Data!W228)/Inputs!$C$39)+0.35*COS(2*PI()*(0)/Inputs!$C$40)+0.2*SIN(2*PI()*((Scenario_Data!W228)+(0))/(0.5*(Inputs!$C$39+Inputs!$C$40))))+Inputs!$C$38*SIN(2*PI()*(Scenario_Data!W228)/Inputs!$C$39)*SIN(2*PI()*(0)/Inputs!$C$40)+-Inputs!$C$41*EXP(-(((0)-Inputs!$C$43)^2)/(2*Inputs!$C$44^2))*EXP(-(((Scenario_Data!W228)-Inputs!$C$42)^2)/(2*Inputs!$C$45^2))+Inputs!$C$48*(0.7*(0.45*SIN(2*PI()*(((Scenario_Data!W228)/Inputs!$C$49)+Inputs!$C$47*0.137))+0.35*COS(2*PI()*(((0)/Inputs!$C$50)+Inputs!$C$47*0.173))+0.2*SIN(2*PI()*((((Scenario_Data!W228)+(0))/(0.5*(Inputs!$C$49+Inputs!$C$50)))+Inputs!$C$47*0.097)))+0.3*(2*((SIN(((Scenario_Data!W228)*12.9898+(0)*78.233+Inputs!$C$47*37.719))*43758.5453)-INT((SIN(((Scenario_Data!W228)*12.9898+(0)*78.233+Inputs!$C$47*37.719))*43758.5453)))-1)))))/Inputs!$C$21*1000000</f>
        <v/>
      </c>
      <c r="AG228">
        <f>Scenario_Data!T228</f>
        <v/>
      </c>
      <c r="AH228">
        <f>2*(SQRT((Inputs!$C$52+(Scenario_Data!B228))^2+Inputs!$C$52^2-2*(Inputs!$C$52+(Scenario_Data!B228))*Inputs!$C$52*COS(SQRT((Scenario_Data!T228)^2+Inputs!$C$6^2)/Inputs!$C$52))*1000)/Inputs!$C$21*1000000</f>
        <v/>
      </c>
      <c r="AI228">
        <f>Scenario_Data!U228</f>
        <v/>
      </c>
      <c r="AJ228">
        <f>2*(SQRT((Inputs!$C$52+(Scenario_Data!C228))^2+Inputs!$C$52^2-2*(Inputs!$C$52+(Scenario_Data!C228))*Inputs!$C$52*COS(SQRT((Scenario_Data!U228)^2+Inputs!$C$6^2)/Inputs!$C$52))*1000)/Inputs!$C$21*1000000</f>
        <v/>
      </c>
      <c r="AK228">
        <f>Scenario_Data!V228</f>
        <v/>
      </c>
      <c r="AL228">
        <f>2*(SQRT((Inputs!$C$52+(Scenario_Data!D228))^2+Inputs!$C$52^2-2*(Inputs!$C$52+(Scenario_Data!D228))*Inputs!$C$52*COS(SQRT((Scenario_Data!V228)^2+Inputs!$C$6^2)/Inputs!$C$52))*1000)/Inputs!$C$21*1000000</f>
        <v/>
      </c>
      <c r="AM228">
        <f>Scenario_Data!W228</f>
        <v/>
      </c>
      <c r="AN228">
        <f>2*(SQRT((Inputs!$C$52+(Scenario_Data!E228))^2+Inputs!$C$52^2-2*(Inputs!$C$52+(Scenario_Data!E228))*Inputs!$C$52*COS(SQRT((Scenario_Data!W228)^2+Inputs!$C$6^2)/Inputs!$C$52))*1000)/Inputs!$C$21*1000000</f>
        <v/>
      </c>
      <c r="AP228">
        <f>Scenario_Data!T228</f>
        <v/>
      </c>
      <c r="AQ228">
        <f>2*(SQRT((Inputs!$C$52+(Scenario_Data!B228))^2+(Inputs!$C$52+((IF(OR(Inputs!$C$27=TRUE,Inputs!$C$27="TRUE",Inputs!$C$27=1),1,0)*(Inputs!$C$51*(115*EXP(-(((Inputs!$C$6)-25)^2)/(4.5^2))+70*EXP(-(((Inputs!$C$6)+38)^2)/(7^2))*(0.55+0.45*SIN(2*PI()*(Scenario_Data!T228)/45))+24*SIN(2*PI()*(Inputs!$C$6)/9+(Scenario_Data!T228)/18)*EXP(-(((Inputs!$C$6)+5)^2)/(22^2))+18*SIN(2*PI()*(Scenario_Data!T228)/70))+Inputs!$C$28*EXP(-(((Scenario_Data!T228)-Inputs!$C$29)^2)/(2*Inputs!$C$31^2))*EXP(-(((Inputs!$C$6)-Inputs!$C$30)^2)/(2*Inputs!$C$32^2))+-Inputs!$C$33*EXP(-(((((Scenario_Data!T228)-Inputs!$C$34)^2)+(((Inputs!$C$6)-Inputs!$C$35)^2))/(2*Inputs!$C$36^2)))+Inputs!$C$37*(0.55*SIN(2*PI()*(Scenario_Data!T228)/Inputs!$C$39)+0.35*COS(2*PI()*(Inputs!$C$6)/Inputs!$C$40)+0.2*SIN(2*PI()*((Scenario_Data!T228)+(Inputs!$C$6))/(0.5*(Inputs!$C$39+Inputs!$C$40))))+Inputs!$C$38*SIN(2*PI()*(Scenario_Data!T228)/Inputs!$C$39)*SIN(2*PI()*(Inputs!$C$6)/Inputs!$C$40)+-Inputs!$C$41*EXP(-(((Inputs!$C$6)-Inputs!$C$43)^2)/(2*Inputs!$C$44^2))*EXP(-(((Scenario_Data!T228)-Inputs!$C$42)^2)/(2*Inputs!$C$45^2))+Inputs!$C$48*(0.7*(0.45*SIN(2*PI()*(((Scenario_Data!T228)/Inputs!$C$49)+Inputs!$C$47*0.137))+0.35*COS(2*PI()*(((Inputs!$C$6)/Inputs!$C$50)+Inputs!$C$47*0.173))+0.2*SIN(2*PI()*((((Scenario_Data!T228)+(Inputs!$C$6))/(0.5*(Inputs!$C$49+Inputs!$C$50)))+Inputs!$C$47*0.097)))+0.3*(2*((SIN(((Scenario_Data!T228)*12.9898+(Inputs!$C$6)*78.233+Inputs!$C$47*37.719))*43758.5453)-INT((SIN(((Scenario_Data!T228)*12.9898+(Inputs!$C$6)*78.233+Inputs!$C$47*37.719))*43758.5453)))-1))))/1000))^2-2*(Inputs!$C$52+(Scenario_Data!B228))*(Inputs!$C$52+((IF(OR(Inputs!$C$27=TRUE,Inputs!$C$27="TRUE",Inputs!$C$27=1),1,0)*(Inputs!$C$51*(115*EXP(-(((Inputs!$C$6)-25)^2)/(4.5^2))+70*EXP(-(((Inputs!$C$6)+38)^2)/(7^2))*(0.55+0.45*SIN(2*PI()*(Scenario_Data!T228)/45))+24*SIN(2*PI()*(Inputs!$C$6)/9+(Scenario_Data!T228)/18)*EXP(-(((Inputs!$C$6)+5)^2)/(22^2))+18*SIN(2*PI()*(Scenario_Data!T228)/70))+Inputs!$C$28*EXP(-(((Scenario_Data!T228)-Inputs!$C$29)^2)/(2*Inputs!$C$31^2))*EXP(-(((Inputs!$C$6)-Inputs!$C$30)^2)/(2*Inputs!$C$32^2))+-Inputs!$C$33*EXP(-(((((Scenario_Data!T228)-Inputs!$C$34)^2)+(((Inputs!$C$6)-Inputs!$C$35)^2))/(2*Inputs!$C$36^2)))+Inputs!$C$37*(0.55*SIN(2*PI()*(Scenario_Data!T228)/Inputs!$C$39)+0.35*COS(2*PI()*(Inputs!$C$6)/Inputs!$C$40)+0.2*SIN(2*PI()*((Scenario_Data!T228)+(Inputs!$C$6))/(0.5*(Inputs!$C$39+Inputs!$C$40))))+Inputs!$C$38*SIN(2*PI()*(Scenario_Data!T228)/Inputs!$C$39)*SIN(2*PI()*(Inputs!$C$6)/Inputs!$C$40)+-Inputs!$C$41*EXP(-(((Inputs!$C$6)-Inputs!$C$43)^2)/(2*Inputs!$C$44^2))*EXP(-(((Scenario_Data!T228)-Inputs!$C$42)^2)/(2*Inputs!$C$45^2))+Inputs!$C$48*(0.7*(0.45*SIN(2*PI()*(((Scenario_Data!T228)/Inputs!$C$49)+Inputs!$C$47*0.137))+0.35*COS(2*PI()*(((Inputs!$C$6)/Inputs!$C$50)+Inputs!$C$47*0.173))+0.2*SIN(2*PI()*((((Scenario_Data!T228)+(Inputs!$C$6))/(0.5*(Inputs!$C$49+Inputs!$C$50)))+Inputs!$C$47*0.097)))+0.3*(2*((SIN(((Scenario_Data!T228)*12.9898+(Inputs!$C$6)*78.233+Inputs!$C$47*37.719))*43758.5453)-INT((SIN(((Scenario_Data!T228)*12.9898+(Inputs!$C$6)*78.233+Inputs!$C$47*37.719))*43758.5453)))-1))))/1000))*COS(SQRT((Scenario_Data!T228)^2+Inputs!$C$6^2)/Inputs!$C$52))*1000)/Inputs!$C$21*1000000</f>
        <v/>
      </c>
      <c r="AR228">
        <f>Scenario_Data!U228</f>
        <v/>
      </c>
      <c r="AS228">
        <f>2*(SQRT((Inputs!$C$52+(Scenario_Data!C228))^2+(Inputs!$C$52+((IF(OR(Inputs!$C$27=TRUE,Inputs!$C$27="TRUE",Inputs!$C$27=1),1,0)*(Inputs!$C$51*(115*EXP(-(((Inputs!$C$6)-25)^2)/(4.5^2))+70*EXP(-(((Inputs!$C$6)+38)^2)/(7^2))*(0.55+0.45*SIN(2*PI()*(Scenario_Data!U228)/45))+24*SIN(2*PI()*(Inputs!$C$6)/9+(Scenario_Data!U228)/18)*EXP(-(((Inputs!$C$6)+5)^2)/(22^2))+18*SIN(2*PI()*(Scenario_Data!U228)/70))+Inputs!$C$28*EXP(-(((Scenario_Data!U228)-Inputs!$C$29)^2)/(2*Inputs!$C$31^2))*EXP(-(((Inputs!$C$6)-Inputs!$C$30)^2)/(2*Inputs!$C$32^2))+-Inputs!$C$33*EXP(-(((((Scenario_Data!U228)-Inputs!$C$34)^2)+(((Inputs!$C$6)-Inputs!$C$35)^2))/(2*Inputs!$C$36^2)))+Inputs!$C$37*(0.55*SIN(2*PI()*(Scenario_Data!U228)/Inputs!$C$39)+0.35*COS(2*PI()*(Inputs!$C$6)/Inputs!$C$40)+0.2*SIN(2*PI()*((Scenario_Data!U228)+(Inputs!$C$6))/(0.5*(Inputs!$C$39+Inputs!$C$40))))+Inputs!$C$38*SIN(2*PI()*(Scenario_Data!U228)/Inputs!$C$39)*SIN(2*PI()*(Inputs!$C$6)/Inputs!$C$40)+-Inputs!$C$41*EXP(-(((Inputs!$C$6)-Inputs!$C$43)^2)/(2*Inputs!$C$44^2))*EXP(-(((Scenario_Data!U228)-Inputs!$C$42)^2)/(2*Inputs!$C$45^2))+Inputs!$C$48*(0.7*(0.45*SIN(2*PI()*(((Scenario_Data!U228)/Inputs!$C$49)+Inputs!$C$47*0.137))+0.35*COS(2*PI()*(((Inputs!$C$6)/Inputs!$C$50)+Inputs!$C$47*0.173))+0.2*SIN(2*PI()*((((Scenario_Data!U228)+(Inputs!$C$6))/(0.5*(Inputs!$C$49+Inputs!$C$50)))+Inputs!$C$47*0.097)))+0.3*(2*((SIN(((Scenario_Data!U228)*12.9898+(Inputs!$C$6)*78.233+Inputs!$C$47*37.719))*43758.5453)-INT((SIN(((Scenario_Data!U228)*12.9898+(Inputs!$C$6)*78.233+Inputs!$C$47*37.719))*43758.5453)))-1))))/1000))^2-2*(Inputs!$C$52+(Scenario_Data!C228))*(Inputs!$C$52+((IF(OR(Inputs!$C$27=TRUE,Inputs!$C$27="TRUE",Inputs!$C$27=1),1,0)*(Inputs!$C$51*(115*EXP(-(((Inputs!$C$6)-25)^2)/(4.5^2))+70*EXP(-(((Inputs!$C$6)+38)^2)/(7^2))*(0.55+0.45*SIN(2*PI()*(Scenario_Data!U228)/45))+24*SIN(2*PI()*(Inputs!$C$6)/9+(Scenario_Data!U228)/18)*EXP(-(((Inputs!$C$6)+5)^2)/(22^2))+18*SIN(2*PI()*(Scenario_Data!U228)/70))+Inputs!$C$28*EXP(-(((Scenario_Data!U228)-Inputs!$C$29)^2)/(2*Inputs!$C$31^2))*EXP(-(((Inputs!$C$6)-Inputs!$C$30)^2)/(2*Inputs!$C$32^2))+-Inputs!$C$33*EXP(-(((((Scenario_Data!U228)-Inputs!$C$34)^2)+(((Inputs!$C$6)-Inputs!$C$35)^2))/(2*Inputs!$C$36^2)))+Inputs!$C$37*(0.55*SIN(2*PI()*(Scenario_Data!U228)/Inputs!$C$39)+0.35*COS(2*PI()*(Inputs!$C$6)/Inputs!$C$40)+0.2*SIN(2*PI()*((Scenario_Data!U228)+(Inputs!$C$6))/(0.5*(Inputs!$C$39+Inputs!$C$40))))+Inputs!$C$38*SIN(2*PI()*(Scenario_Data!U228)/Inputs!$C$39)*SIN(2*PI()*(Inputs!$C$6)/Inputs!$C$40)+-Inputs!$C$41*EXP(-(((Inputs!$C$6)-Inputs!$C$43)^2)/(2*Inputs!$C$44^2))*EXP(-(((Scenario_Data!U228)-Inputs!$C$42)^2)/(2*Inputs!$C$45^2))+Inputs!$C$48*(0.7*(0.45*SIN(2*PI()*(((Scenario_Data!U228)/Inputs!$C$49)+Inputs!$C$47*0.137))+0.35*COS(2*PI()*(((Inputs!$C$6)/Inputs!$C$50)+Inputs!$C$47*0.173))+0.2*SIN(2*PI()*((((Scenario_Data!U228)+(Inputs!$C$6))/(0.5*(Inputs!$C$49+Inputs!$C$50)))+Inputs!$C$47*0.097)))+0.3*(2*((SIN(((Scenario_Data!U228)*12.9898+(Inputs!$C$6)*78.233+Inputs!$C$47*37.719))*43758.5453)-INT((SIN(((Scenario_Data!U228)*12.9898+(Inputs!$C$6)*78.233+Inputs!$C$47*37.719))*43758.5453)))-1))))/1000))*COS(SQRT((Scenario_Data!U228)^2+Inputs!$C$6^2)/Inputs!$C$52))*1000)/Inputs!$C$21*1000000</f>
        <v/>
      </c>
      <c r="AT228">
        <f>Scenario_Data!V228</f>
        <v/>
      </c>
      <c r="AU228">
        <f>2*(SQRT((Inputs!$C$52+(Scenario_Data!D228))^2+(Inputs!$C$52+((IF(OR(Inputs!$C$27=TRUE,Inputs!$C$27="TRUE",Inputs!$C$27=1),1,0)*(Inputs!$C$51*(115*EXP(-(((Inputs!$C$6)-25)^2)/(4.5^2))+70*EXP(-(((Inputs!$C$6)+38)^2)/(7^2))*(0.55+0.45*SIN(2*PI()*(Scenario_Data!V228)/45))+24*SIN(2*PI()*(Inputs!$C$6)/9+(Scenario_Data!V228)/18)*EXP(-(((Inputs!$C$6)+5)^2)/(22^2))+18*SIN(2*PI()*(Scenario_Data!V228)/70))+Inputs!$C$28*EXP(-(((Scenario_Data!V228)-Inputs!$C$29)^2)/(2*Inputs!$C$31^2))*EXP(-(((Inputs!$C$6)-Inputs!$C$30)^2)/(2*Inputs!$C$32^2))+-Inputs!$C$33*EXP(-(((((Scenario_Data!V228)-Inputs!$C$34)^2)+(((Inputs!$C$6)-Inputs!$C$35)^2))/(2*Inputs!$C$36^2)))+Inputs!$C$37*(0.55*SIN(2*PI()*(Scenario_Data!V228)/Inputs!$C$39)+0.35*COS(2*PI()*(Inputs!$C$6)/Inputs!$C$40)+0.2*SIN(2*PI()*((Scenario_Data!V228)+(Inputs!$C$6))/(0.5*(Inputs!$C$39+Inputs!$C$40))))+Inputs!$C$38*SIN(2*PI()*(Scenario_Data!V228)/Inputs!$C$39)*SIN(2*PI()*(Inputs!$C$6)/Inputs!$C$40)+-Inputs!$C$41*EXP(-(((Inputs!$C$6)-Inputs!$C$43)^2)/(2*Inputs!$C$44^2))*EXP(-(((Scenario_Data!V228)-Inputs!$C$42)^2)/(2*Inputs!$C$45^2))+Inputs!$C$48*(0.7*(0.45*SIN(2*PI()*(((Scenario_Data!V228)/Inputs!$C$49)+Inputs!$C$47*0.137))+0.35*COS(2*PI()*(((Inputs!$C$6)/Inputs!$C$50)+Inputs!$C$47*0.173))+0.2*SIN(2*PI()*((((Scenario_Data!V228)+(Inputs!$C$6))/(0.5*(Inputs!$C$49+Inputs!$C$50)))+Inputs!$C$47*0.097)))+0.3*(2*((SIN(((Scenario_Data!V228)*12.9898+(Inputs!$C$6)*78.233+Inputs!$C$47*37.719))*43758.5453)-INT((SIN(((Scenario_Data!V228)*12.9898+(Inputs!$C$6)*78.233+Inputs!$C$47*37.719))*43758.5453)))-1))))/1000))^2-2*(Inputs!$C$52+(Scenario_Data!D228))*(Inputs!$C$52+((IF(OR(Inputs!$C$27=TRUE,Inputs!$C$27="TRUE",Inputs!$C$27=1),1,0)*(Inputs!$C$51*(115*EXP(-(((Inputs!$C$6)-25)^2)/(4.5^2))+70*EXP(-(((Inputs!$C$6)+38)^2)/(7^2))*(0.55+0.45*SIN(2*PI()*(Scenario_Data!V228)/45))+24*SIN(2*PI()*(Inputs!$C$6)/9+(Scenario_Data!V228)/18)*EXP(-(((Inputs!$C$6)+5)^2)/(22^2))+18*SIN(2*PI()*(Scenario_Data!V228)/70))+Inputs!$C$28*EXP(-(((Scenario_Data!V228)-Inputs!$C$29)^2)/(2*Inputs!$C$31^2))*EXP(-(((Inputs!$C$6)-Inputs!$C$30)^2)/(2*Inputs!$C$32^2))+-Inputs!$C$33*EXP(-(((((Scenario_Data!V228)-Inputs!$C$34)^2)+(((Inputs!$C$6)-Inputs!$C$35)^2))/(2*Inputs!$C$36^2)))+Inputs!$C$37*(0.55*SIN(2*PI()*(Scenario_Data!V228)/Inputs!$C$39)+0.35*COS(2*PI()*(Inputs!$C$6)/Inputs!$C$40)+0.2*SIN(2*PI()*((Scenario_Data!V228)+(Inputs!$C$6))/(0.5*(Inputs!$C$39+Inputs!$C$40))))+Inputs!$C$38*SIN(2*PI()*(Scenario_Data!V228)/Inputs!$C$39)*SIN(2*PI()*(Inputs!$C$6)/Inputs!$C$40)+-Inputs!$C$41*EXP(-(((Inputs!$C$6)-Inputs!$C$43)^2)/(2*Inputs!$C$44^2))*EXP(-(((Scenario_Data!V228)-Inputs!$C$42)^2)/(2*Inputs!$C$45^2))+Inputs!$C$48*(0.7*(0.45*SIN(2*PI()*(((Scenario_Data!V228)/Inputs!$C$49)+Inputs!$C$47*0.137))+0.35*COS(2*PI()*(((Inputs!$C$6)/Inputs!$C$50)+Inputs!$C$47*0.173))+0.2*SIN(2*PI()*((((Scenario_Data!V228)+(Inputs!$C$6))/(0.5*(Inputs!$C$49+Inputs!$C$50)))+Inputs!$C$47*0.097)))+0.3*(2*((SIN(((Scenario_Data!V228)*12.9898+(Inputs!$C$6)*78.233+Inputs!$C$47*37.719))*43758.5453)-INT((SIN(((Scenario_Data!V228)*12.9898+(Inputs!$C$6)*78.233+Inputs!$C$47*37.719))*43758.5453)))-1))))/1000))*COS(SQRT((Scenario_Data!V228)^2+Inputs!$C$6^2)/Inputs!$C$52))*1000)/Inputs!$C$21*1000000</f>
        <v/>
      </c>
      <c r="AV228">
        <f>Scenario_Data!W228</f>
        <v/>
      </c>
      <c r="AW228">
        <f>2*(SQRT((Inputs!$C$52+(Scenario_Data!E228))^2+(Inputs!$C$52+((IF(OR(Inputs!$C$27=TRUE,Inputs!$C$27="TRUE",Inputs!$C$27=1),1,0)*(Inputs!$C$51*(115*EXP(-(((Inputs!$C$6)-25)^2)/(4.5^2))+70*EXP(-(((Inputs!$C$6)+38)^2)/(7^2))*(0.55+0.45*SIN(2*PI()*(Scenario_Data!W228)/45))+24*SIN(2*PI()*(Inputs!$C$6)/9+(Scenario_Data!W228)/18)*EXP(-(((Inputs!$C$6)+5)^2)/(22^2))+18*SIN(2*PI()*(Scenario_Data!W228)/70))+Inputs!$C$28*EXP(-(((Scenario_Data!W228)-Inputs!$C$29)^2)/(2*Inputs!$C$31^2))*EXP(-(((Inputs!$C$6)-Inputs!$C$30)^2)/(2*Inputs!$C$32^2))+-Inputs!$C$33*EXP(-(((((Scenario_Data!W228)-Inputs!$C$34)^2)+(((Inputs!$C$6)-Inputs!$C$35)^2))/(2*Inputs!$C$36^2)))+Inputs!$C$37*(0.55*SIN(2*PI()*(Scenario_Data!W228)/Inputs!$C$39)+0.35*COS(2*PI()*(Inputs!$C$6)/Inputs!$C$40)+0.2*SIN(2*PI()*((Scenario_Data!W228)+(Inputs!$C$6))/(0.5*(Inputs!$C$39+Inputs!$C$40))))+Inputs!$C$38*SIN(2*PI()*(Scenario_Data!W228)/Inputs!$C$39)*SIN(2*PI()*(Inputs!$C$6)/Inputs!$C$40)+-Inputs!$C$41*EXP(-(((Inputs!$C$6)-Inputs!$C$43)^2)/(2*Inputs!$C$44^2))*EXP(-(((Scenario_Data!W228)-Inputs!$C$42)^2)/(2*Inputs!$C$45^2))+Inputs!$C$48*(0.7*(0.45*SIN(2*PI()*(((Scenario_Data!W228)/Inputs!$C$49)+Inputs!$C$47*0.137))+0.35*COS(2*PI()*(((Inputs!$C$6)/Inputs!$C$50)+Inputs!$C$47*0.173))+0.2*SIN(2*PI()*((((Scenario_Data!W228)+(Inputs!$C$6))/(0.5*(Inputs!$C$49+Inputs!$C$50)))+Inputs!$C$47*0.097)))+0.3*(2*((SIN(((Scenario_Data!W228)*12.9898+(Inputs!$C$6)*78.233+Inputs!$C$47*37.719))*43758.5453)-INT((SIN(((Scenario_Data!W228)*12.9898+(Inputs!$C$6)*78.233+Inputs!$C$47*37.719))*43758.5453)))-1))))/1000))^2-2*(Inputs!$C$52+(Scenario_Data!E228))*(Inputs!$C$52+((IF(OR(Inputs!$C$27=TRUE,Inputs!$C$27="TRUE",Inputs!$C$27=1),1,0)*(Inputs!$C$51*(115*EXP(-(((Inputs!$C$6)-25)^2)/(4.5^2))+70*EXP(-(((Inputs!$C$6)+38)^2)/(7^2))*(0.55+0.45*SIN(2*PI()*(Scenario_Data!W228)/45))+24*SIN(2*PI()*(Inputs!$C$6)/9+(Scenario_Data!W228)/18)*EXP(-(((Inputs!$C$6)+5)^2)/(22^2))+18*SIN(2*PI()*(Scenario_Data!W228)/70))+Inputs!$C$28*EXP(-(((Scenario_Data!W228)-Inputs!$C$29)^2)/(2*Inputs!$C$31^2))*EXP(-(((Inputs!$C$6)-Inputs!$C$30)^2)/(2*Inputs!$C$32^2))+-Inputs!$C$33*EXP(-(((((Scenario_Data!W228)-Inputs!$C$34)^2)+(((Inputs!$C$6)-Inputs!$C$35)^2))/(2*Inputs!$C$36^2)))+Inputs!$C$37*(0.55*SIN(2*PI()*(Scenario_Data!W228)/Inputs!$C$39)+0.35*COS(2*PI()*(Inputs!$C$6)/Inputs!$C$40)+0.2*SIN(2*PI()*((Scenario_Data!W228)+(Inputs!$C$6))/(0.5*(Inputs!$C$39+Inputs!$C$40))))+Inputs!$C$38*SIN(2*PI()*(Scenario_Data!W228)/Inputs!$C$39)*SIN(2*PI()*(Inputs!$C$6)/Inputs!$C$40)+-Inputs!$C$41*EXP(-(((Inputs!$C$6)-Inputs!$C$43)^2)/(2*Inputs!$C$44^2))*EXP(-(((Scenario_Data!W228)-Inputs!$C$42)^2)/(2*Inputs!$C$45^2))+Inputs!$C$48*(0.7*(0.45*SIN(2*PI()*(((Scenario_Data!W228)/Inputs!$C$49)+Inputs!$C$47*0.137))+0.35*COS(2*PI()*(((Inputs!$C$6)/Inputs!$C$50)+Inputs!$C$47*0.173))+0.2*SIN(2*PI()*((((Scenario_Data!W228)+(Inputs!$C$6))/(0.5*(Inputs!$C$49+Inputs!$C$50)))+Inputs!$C$47*0.097)))+0.3*(2*((SIN(((Scenario_Data!W228)*12.9898+(Inputs!$C$6)*78.233+Inputs!$C$47*37.719))*43758.5453)-INT((SIN(((Scenario_Data!W228)*12.9898+(Inputs!$C$6)*78.233+Inputs!$C$47*37.719))*43758.5453)))-1))))/1000))*COS(SQRT((Scenario_Data!W228)^2+Inputs!$C$6^2)/Inputs!$C$52))*1000)/Inputs!$C$21*1000000</f>
        <v/>
      </c>
    </row>
    <row r="229">
      <c r="A229">
        <f>Chart_Data!K229</f>
        <v/>
      </c>
      <c r="B229">
        <f>Chart_Data!N229-Chart_Data!L229</f>
        <v/>
      </c>
      <c r="D229">
        <f>Chart_Data!G229</f>
        <v/>
      </c>
      <c r="E229">
        <f>Chart_Data!H229</f>
        <v/>
      </c>
      <c r="F229">
        <f>Chart_Data!I229</f>
        <v/>
      </c>
      <c r="G229">
        <f>Chart_Data!J229</f>
        <v/>
      </c>
      <c r="I229">
        <f>Scenario_Data!A229</f>
        <v/>
      </c>
      <c r="J229">
        <f>Scenario_Data!H229-(((SQRT((Inputs!$C$52+(Inputs!$H$6))^2+Inputs!$C$52^2-2*(Inputs!$C$52+(Inputs!$H$6))*Inputs!$C$52*COS(SQRT((Scenario_Data!T229)^2+Inputs!$C$6^2)/Inputs!$C$52)))-(Inputs!$H$6))*1000/Inputs!$C$12)</f>
        <v/>
      </c>
      <c r="K229">
        <f>Scenario_Data!I229-(((SQRT((Inputs!$C$52+(Inputs!$H$7))^2+Inputs!$C$52^2-2*(Inputs!$C$52+(Inputs!$H$7))*Inputs!$C$52*COS(SQRT((Scenario_Data!U229)^2+Inputs!$C$6^2)/Inputs!$C$52)))-(Inputs!$H$7))*1000/Inputs!$C$12)</f>
        <v/>
      </c>
      <c r="L229">
        <f>Scenario_Data!J229-(((SQRT((Inputs!$C$52+(Inputs!$H$8))^2+Inputs!$C$52^2-2*(Inputs!$C$52+(Inputs!$H$8))*Inputs!$C$52*COS(SQRT((Scenario_Data!V229)^2+Inputs!$C$6^2)/Inputs!$C$52)))-(Inputs!$H$8))*1000/Inputs!$C$12)</f>
        <v/>
      </c>
      <c r="M229">
        <f>Scenario_Data!K229-(((SQRT((Inputs!$C$52+(Inputs!$H$9))^2+Inputs!$C$52^2-2*(Inputs!$C$52+(Inputs!$H$9))*Inputs!$C$52*COS(SQRT((Scenario_Data!W229)^2+Inputs!$C$6^2)/Inputs!$C$52)))-(Inputs!$H$9))*1000/Inputs!$C$12)</f>
        <v/>
      </c>
      <c r="O229">
        <f>Scenario_Data!T229</f>
        <v/>
      </c>
      <c r="P229">
        <f>2*(Scenario_Data!B229*1000)/Inputs!$C$21*1000000</f>
        <v/>
      </c>
      <c r="Q229">
        <f>Scenario_Data!U229</f>
        <v/>
      </c>
      <c r="R229">
        <f>2*(Scenario_Data!C229*1000)/Inputs!$C$21*1000000</f>
        <v/>
      </c>
      <c r="S229">
        <f>Scenario_Data!V229</f>
        <v/>
      </c>
      <c r="T229">
        <f>2*(Scenario_Data!D229*1000)/Inputs!$C$21*1000000</f>
        <v/>
      </c>
      <c r="U229">
        <f>Scenario_Data!W229</f>
        <v/>
      </c>
      <c r="V229">
        <f>2*(Scenario_Data!E229*1000)/Inputs!$C$21*1000000</f>
        <v/>
      </c>
      <c r="X229">
        <f>Scenario_Data!T229</f>
        <v/>
      </c>
      <c r="Y229">
        <f>2*((Scenario_Data!B229*1000)-(IF(OR(Inputs!$C$27=TRUE,Inputs!$C$27="TRUE",Inputs!$C$27=1),1,0)*(Inputs!$C$51*(115*EXP(-(((0)-25)^2)/(4.5^2))+70*EXP(-(((0)+38)^2)/(7^2))*(0.55+0.45*SIN(2*PI()*(Scenario_Data!T229)/45))+24*SIN(2*PI()*(0)/9+(Scenario_Data!T229)/18)*EXP(-(((0)+5)^2)/(22^2))+18*SIN(2*PI()*(Scenario_Data!T229)/70))+Inputs!$C$28*EXP(-(((Scenario_Data!T229)-Inputs!$C$29)^2)/(2*Inputs!$C$31^2))*EXP(-(((0)-Inputs!$C$30)^2)/(2*Inputs!$C$32^2))+-Inputs!$C$33*EXP(-(((((Scenario_Data!T229)-Inputs!$C$34)^2)+(((0)-Inputs!$C$35)^2))/(2*Inputs!$C$36^2)))+Inputs!$C$37*(0.55*SIN(2*PI()*(Scenario_Data!T229)/Inputs!$C$39)+0.35*COS(2*PI()*(0)/Inputs!$C$40)+0.2*SIN(2*PI()*((Scenario_Data!T229)+(0))/(0.5*(Inputs!$C$39+Inputs!$C$40))))+Inputs!$C$38*SIN(2*PI()*(Scenario_Data!T229)/Inputs!$C$39)*SIN(2*PI()*(0)/Inputs!$C$40)+-Inputs!$C$41*EXP(-(((0)-Inputs!$C$43)^2)/(2*Inputs!$C$44^2))*EXP(-(((Scenario_Data!T229)-Inputs!$C$42)^2)/(2*Inputs!$C$45^2))+Inputs!$C$48*(0.7*(0.45*SIN(2*PI()*(((Scenario_Data!T229)/Inputs!$C$49)+Inputs!$C$47*0.137))+0.35*COS(2*PI()*(((0)/Inputs!$C$50)+Inputs!$C$47*0.173))+0.2*SIN(2*PI()*((((Scenario_Data!T229)+(0))/(0.5*(Inputs!$C$49+Inputs!$C$50)))+Inputs!$C$47*0.097)))+0.3*(2*((SIN(((Scenario_Data!T229)*12.9898+(0)*78.233+Inputs!$C$47*37.719))*43758.5453)-INT((SIN(((Scenario_Data!T229)*12.9898+(0)*78.233+Inputs!$C$47*37.719))*43758.5453)))-1)))))/Inputs!$C$21*1000000</f>
        <v/>
      </c>
      <c r="Z229">
        <f>Scenario_Data!U229</f>
        <v/>
      </c>
      <c r="AA229">
        <f>2*((Scenario_Data!C229*1000)-(IF(OR(Inputs!$C$27=TRUE,Inputs!$C$27="TRUE",Inputs!$C$27=1),1,0)*(Inputs!$C$51*(115*EXP(-(((0)-25)^2)/(4.5^2))+70*EXP(-(((0)+38)^2)/(7^2))*(0.55+0.45*SIN(2*PI()*(Scenario_Data!U229)/45))+24*SIN(2*PI()*(0)/9+(Scenario_Data!U229)/18)*EXP(-(((0)+5)^2)/(22^2))+18*SIN(2*PI()*(Scenario_Data!U229)/70))+Inputs!$C$28*EXP(-(((Scenario_Data!U229)-Inputs!$C$29)^2)/(2*Inputs!$C$31^2))*EXP(-(((0)-Inputs!$C$30)^2)/(2*Inputs!$C$32^2))+-Inputs!$C$33*EXP(-(((((Scenario_Data!U229)-Inputs!$C$34)^2)+(((0)-Inputs!$C$35)^2))/(2*Inputs!$C$36^2)))+Inputs!$C$37*(0.55*SIN(2*PI()*(Scenario_Data!U229)/Inputs!$C$39)+0.35*COS(2*PI()*(0)/Inputs!$C$40)+0.2*SIN(2*PI()*((Scenario_Data!U229)+(0))/(0.5*(Inputs!$C$39+Inputs!$C$40))))+Inputs!$C$38*SIN(2*PI()*(Scenario_Data!U229)/Inputs!$C$39)*SIN(2*PI()*(0)/Inputs!$C$40)+-Inputs!$C$41*EXP(-(((0)-Inputs!$C$43)^2)/(2*Inputs!$C$44^2))*EXP(-(((Scenario_Data!U229)-Inputs!$C$42)^2)/(2*Inputs!$C$45^2))+Inputs!$C$48*(0.7*(0.45*SIN(2*PI()*(((Scenario_Data!U229)/Inputs!$C$49)+Inputs!$C$47*0.137))+0.35*COS(2*PI()*(((0)/Inputs!$C$50)+Inputs!$C$47*0.173))+0.2*SIN(2*PI()*((((Scenario_Data!U229)+(0))/(0.5*(Inputs!$C$49+Inputs!$C$50)))+Inputs!$C$47*0.097)))+0.3*(2*((SIN(((Scenario_Data!U229)*12.9898+(0)*78.233+Inputs!$C$47*37.719))*43758.5453)-INT((SIN(((Scenario_Data!U229)*12.9898+(0)*78.233+Inputs!$C$47*37.719))*43758.5453)))-1)))))/Inputs!$C$21*1000000</f>
        <v/>
      </c>
      <c r="AB229">
        <f>Scenario_Data!V229</f>
        <v/>
      </c>
      <c r="AC229">
        <f>2*((Scenario_Data!D229*1000)-(IF(OR(Inputs!$C$27=TRUE,Inputs!$C$27="TRUE",Inputs!$C$27=1),1,0)*(Inputs!$C$51*(115*EXP(-(((0)-25)^2)/(4.5^2))+70*EXP(-(((0)+38)^2)/(7^2))*(0.55+0.45*SIN(2*PI()*(Scenario_Data!V229)/45))+24*SIN(2*PI()*(0)/9+(Scenario_Data!V229)/18)*EXP(-(((0)+5)^2)/(22^2))+18*SIN(2*PI()*(Scenario_Data!V229)/70))+Inputs!$C$28*EXP(-(((Scenario_Data!V229)-Inputs!$C$29)^2)/(2*Inputs!$C$31^2))*EXP(-(((0)-Inputs!$C$30)^2)/(2*Inputs!$C$32^2))+-Inputs!$C$33*EXP(-(((((Scenario_Data!V229)-Inputs!$C$34)^2)+(((0)-Inputs!$C$35)^2))/(2*Inputs!$C$36^2)))+Inputs!$C$37*(0.55*SIN(2*PI()*(Scenario_Data!V229)/Inputs!$C$39)+0.35*COS(2*PI()*(0)/Inputs!$C$40)+0.2*SIN(2*PI()*((Scenario_Data!V229)+(0))/(0.5*(Inputs!$C$39+Inputs!$C$40))))+Inputs!$C$38*SIN(2*PI()*(Scenario_Data!V229)/Inputs!$C$39)*SIN(2*PI()*(0)/Inputs!$C$40)+-Inputs!$C$41*EXP(-(((0)-Inputs!$C$43)^2)/(2*Inputs!$C$44^2))*EXP(-(((Scenario_Data!V229)-Inputs!$C$42)^2)/(2*Inputs!$C$45^2))+Inputs!$C$48*(0.7*(0.45*SIN(2*PI()*(((Scenario_Data!V229)/Inputs!$C$49)+Inputs!$C$47*0.137))+0.35*COS(2*PI()*(((0)/Inputs!$C$50)+Inputs!$C$47*0.173))+0.2*SIN(2*PI()*((((Scenario_Data!V229)+(0))/(0.5*(Inputs!$C$49+Inputs!$C$50)))+Inputs!$C$47*0.097)))+0.3*(2*((SIN(((Scenario_Data!V229)*12.9898+(0)*78.233+Inputs!$C$47*37.719))*43758.5453)-INT((SIN(((Scenario_Data!V229)*12.9898+(0)*78.233+Inputs!$C$47*37.719))*43758.5453)))-1)))))/Inputs!$C$21*1000000</f>
        <v/>
      </c>
      <c r="AD229">
        <f>Scenario_Data!W229</f>
        <v/>
      </c>
      <c r="AE229">
        <f>2*((Scenario_Data!E229*1000)-(IF(OR(Inputs!$C$27=TRUE,Inputs!$C$27="TRUE",Inputs!$C$27=1),1,0)*(Inputs!$C$51*(115*EXP(-(((0)-25)^2)/(4.5^2))+70*EXP(-(((0)+38)^2)/(7^2))*(0.55+0.45*SIN(2*PI()*(Scenario_Data!W229)/45))+24*SIN(2*PI()*(0)/9+(Scenario_Data!W229)/18)*EXP(-(((0)+5)^2)/(22^2))+18*SIN(2*PI()*(Scenario_Data!W229)/70))+Inputs!$C$28*EXP(-(((Scenario_Data!W229)-Inputs!$C$29)^2)/(2*Inputs!$C$31^2))*EXP(-(((0)-Inputs!$C$30)^2)/(2*Inputs!$C$32^2))+-Inputs!$C$33*EXP(-(((((Scenario_Data!W229)-Inputs!$C$34)^2)+(((0)-Inputs!$C$35)^2))/(2*Inputs!$C$36^2)))+Inputs!$C$37*(0.55*SIN(2*PI()*(Scenario_Data!W229)/Inputs!$C$39)+0.35*COS(2*PI()*(0)/Inputs!$C$40)+0.2*SIN(2*PI()*((Scenario_Data!W229)+(0))/(0.5*(Inputs!$C$39+Inputs!$C$40))))+Inputs!$C$38*SIN(2*PI()*(Scenario_Data!W229)/Inputs!$C$39)*SIN(2*PI()*(0)/Inputs!$C$40)+-Inputs!$C$41*EXP(-(((0)-Inputs!$C$43)^2)/(2*Inputs!$C$44^2))*EXP(-(((Scenario_Data!W229)-Inputs!$C$42)^2)/(2*Inputs!$C$45^2))+Inputs!$C$48*(0.7*(0.45*SIN(2*PI()*(((Scenario_Data!W229)/Inputs!$C$49)+Inputs!$C$47*0.137))+0.35*COS(2*PI()*(((0)/Inputs!$C$50)+Inputs!$C$47*0.173))+0.2*SIN(2*PI()*((((Scenario_Data!W229)+(0))/(0.5*(Inputs!$C$49+Inputs!$C$50)))+Inputs!$C$47*0.097)))+0.3*(2*((SIN(((Scenario_Data!W229)*12.9898+(0)*78.233+Inputs!$C$47*37.719))*43758.5453)-INT((SIN(((Scenario_Data!W229)*12.9898+(0)*78.233+Inputs!$C$47*37.719))*43758.5453)))-1)))))/Inputs!$C$21*1000000</f>
        <v/>
      </c>
      <c r="AG229">
        <f>Scenario_Data!T229</f>
        <v/>
      </c>
      <c r="AH229">
        <f>2*(SQRT((Inputs!$C$52+(Scenario_Data!B229))^2+Inputs!$C$52^2-2*(Inputs!$C$52+(Scenario_Data!B229))*Inputs!$C$52*COS(SQRT((Scenario_Data!T229)^2+Inputs!$C$6^2)/Inputs!$C$52))*1000)/Inputs!$C$21*1000000</f>
        <v/>
      </c>
      <c r="AI229">
        <f>Scenario_Data!U229</f>
        <v/>
      </c>
      <c r="AJ229">
        <f>2*(SQRT((Inputs!$C$52+(Scenario_Data!C229))^2+Inputs!$C$52^2-2*(Inputs!$C$52+(Scenario_Data!C229))*Inputs!$C$52*COS(SQRT((Scenario_Data!U229)^2+Inputs!$C$6^2)/Inputs!$C$52))*1000)/Inputs!$C$21*1000000</f>
        <v/>
      </c>
      <c r="AK229">
        <f>Scenario_Data!V229</f>
        <v/>
      </c>
      <c r="AL229">
        <f>2*(SQRT((Inputs!$C$52+(Scenario_Data!D229))^2+Inputs!$C$52^2-2*(Inputs!$C$52+(Scenario_Data!D229))*Inputs!$C$52*COS(SQRT((Scenario_Data!V229)^2+Inputs!$C$6^2)/Inputs!$C$52))*1000)/Inputs!$C$21*1000000</f>
        <v/>
      </c>
      <c r="AM229">
        <f>Scenario_Data!W229</f>
        <v/>
      </c>
      <c r="AN229">
        <f>2*(SQRT((Inputs!$C$52+(Scenario_Data!E229))^2+Inputs!$C$52^2-2*(Inputs!$C$52+(Scenario_Data!E229))*Inputs!$C$52*COS(SQRT((Scenario_Data!W229)^2+Inputs!$C$6^2)/Inputs!$C$52))*1000)/Inputs!$C$21*1000000</f>
        <v/>
      </c>
      <c r="AP229">
        <f>Scenario_Data!T229</f>
        <v/>
      </c>
      <c r="AQ229">
        <f>2*(SQRT((Inputs!$C$52+(Scenario_Data!B229))^2+(Inputs!$C$52+((IF(OR(Inputs!$C$27=TRUE,Inputs!$C$27="TRUE",Inputs!$C$27=1),1,0)*(Inputs!$C$51*(115*EXP(-(((Inputs!$C$6)-25)^2)/(4.5^2))+70*EXP(-(((Inputs!$C$6)+38)^2)/(7^2))*(0.55+0.45*SIN(2*PI()*(Scenario_Data!T229)/45))+24*SIN(2*PI()*(Inputs!$C$6)/9+(Scenario_Data!T229)/18)*EXP(-(((Inputs!$C$6)+5)^2)/(22^2))+18*SIN(2*PI()*(Scenario_Data!T229)/70))+Inputs!$C$28*EXP(-(((Scenario_Data!T229)-Inputs!$C$29)^2)/(2*Inputs!$C$31^2))*EXP(-(((Inputs!$C$6)-Inputs!$C$30)^2)/(2*Inputs!$C$32^2))+-Inputs!$C$33*EXP(-(((((Scenario_Data!T229)-Inputs!$C$34)^2)+(((Inputs!$C$6)-Inputs!$C$35)^2))/(2*Inputs!$C$36^2)))+Inputs!$C$37*(0.55*SIN(2*PI()*(Scenario_Data!T229)/Inputs!$C$39)+0.35*COS(2*PI()*(Inputs!$C$6)/Inputs!$C$40)+0.2*SIN(2*PI()*((Scenario_Data!T229)+(Inputs!$C$6))/(0.5*(Inputs!$C$39+Inputs!$C$40))))+Inputs!$C$38*SIN(2*PI()*(Scenario_Data!T229)/Inputs!$C$39)*SIN(2*PI()*(Inputs!$C$6)/Inputs!$C$40)+-Inputs!$C$41*EXP(-(((Inputs!$C$6)-Inputs!$C$43)^2)/(2*Inputs!$C$44^2))*EXP(-(((Scenario_Data!T229)-Inputs!$C$42)^2)/(2*Inputs!$C$45^2))+Inputs!$C$48*(0.7*(0.45*SIN(2*PI()*(((Scenario_Data!T229)/Inputs!$C$49)+Inputs!$C$47*0.137))+0.35*COS(2*PI()*(((Inputs!$C$6)/Inputs!$C$50)+Inputs!$C$47*0.173))+0.2*SIN(2*PI()*((((Scenario_Data!T229)+(Inputs!$C$6))/(0.5*(Inputs!$C$49+Inputs!$C$50)))+Inputs!$C$47*0.097)))+0.3*(2*((SIN(((Scenario_Data!T229)*12.9898+(Inputs!$C$6)*78.233+Inputs!$C$47*37.719))*43758.5453)-INT((SIN(((Scenario_Data!T229)*12.9898+(Inputs!$C$6)*78.233+Inputs!$C$47*37.719))*43758.5453)))-1))))/1000))^2-2*(Inputs!$C$52+(Scenario_Data!B229))*(Inputs!$C$52+((IF(OR(Inputs!$C$27=TRUE,Inputs!$C$27="TRUE",Inputs!$C$27=1),1,0)*(Inputs!$C$51*(115*EXP(-(((Inputs!$C$6)-25)^2)/(4.5^2))+70*EXP(-(((Inputs!$C$6)+38)^2)/(7^2))*(0.55+0.45*SIN(2*PI()*(Scenario_Data!T229)/45))+24*SIN(2*PI()*(Inputs!$C$6)/9+(Scenario_Data!T229)/18)*EXP(-(((Inputs!$C$6)+5)^2)/(22^2))+18*SIN(2*PI()*(Scenario_Data!T229)/70))+Inputs!$C$28*EXP(-(((Scenario_Data!T229)-Inputs!$C$29)^2)/(2*Inputs!$C$31^2))*EXP(-(((Inputs!$C$6)-Inputs!$C$30)^2)/(2*Inputs!$C$32^2))+-Inputs!$C$33*EXP(-(((((Scenario_Data!T229)-Inputs!$C$34)^2)+(((Inputs!$C$6)-Inputs!$C$35)^2))/(2*Inputs!$C$36^2)))+Inputs!$C$37*(0.55*SIN(2*PI()*(Scenario_Data!T229)/Inputs!$C$39)+0.35*COS(2*PI()*(Inputs!$C$6)/Inputs!$C$40)+0.2*SIN(2*PI()*((Scenario_Data!T229)+(Inputs!$C$6))/(0.5*(Inputs!$C$39+Inputs!$C$40))))+Inputs!$C$38*SIN(2*PI()*(Scenario_Data!T229)/Inputs!$C$39)*SIN(2*PI()*(Inputs!$C$6)/Inputs!$C$40)+-Inputs!$C$41*EXP(-(((Inputs!$C$6)-Inputs!$C$43)^2)/(2*Inputs!$C$44^2))*EXP(-(((Scenario_Data!T229)-Inputs!$C$42)^2)/(2*Inputs!$C$45^2))+Inputs!$C$48*(0.7*(0.45*SIN(2*PI()*(((Scenario_Data!T229)/Inputs!$C$49)+Inputs!$C$47*0.137))+0.35*COS(2*PI()*(((Inputs!$C$6)/Inputs!$C$50)+Inputs!$C$47*0.173))+0.2*SIN(2*PI()*((((Scenario_Data!T229)+(Inputs!$C$6))/(0.5*(Inputs!$C$49+Inputs!$C$50)))+Inputs!$C$47*0.097)))+0.3*(2*((SIN(((Scenario_Data!T229)*12.9898+(Inputs!$C$6)*78.233+Inputs!$C$47*37.719))*43758.5453)-INT((SIN(((Scenario_Data!T229)*12.9898+(Inputs!$C$6)*78.233+Inputs!$C$47*37.719))*43758.5453)))-1))))/1000))*COS(SQRT((Scenario_Data!T229)^2+Inputs!$C$6^2)/Inputs!$C$52))*1000)/Inputs!$C$21*1000000</f>
        <v/>
      </c>
      <c r="AR229">
        <f>Scenario_Data!U229</f>
        <v/>
      </c>
      <c r="AS229">
        <f>2*(SQRT((Inputs!$C$52+(Scenario_Data!C229))^2+(Inputs!$C$52+((IF(OR(Inputs!$C$27=TRUE,Inputs!$C$27="TRUE",Inputs!$C$27=1),1,0)*(Inputs!$C$51*(115*EXP(-(((Inputs!$C$6)-25)^2)/(4.5^2))+70*EXP(-(((Inputs!$C$6)+38)^2)/(7^2))*(0.55+0.45*SIN(2*PI()*(Scenario_Data!U229)/45))+24*SIN(2*PI()*(Inputs!$C$6)/9+(Scenario_Data!U229)/18)*EXP(-(((Inputs!$C$6)+5)^2)/(22^2))+18*SIN(2*PI()*(Scenario_Data!U229)/70))+Inputs!$C$28*EXP(-(((Scenario_Data!U229)-Inputs!$C$29)^2)/(2*Inputs!$C$31^2))*EXP(-(((Inputs!$C$6)-Inputs!$C$30)^2)/(2*Inputs!$C$32^2))+-Inputs!$C$33*EXP(-(((((Scenario_Data!U229)-Inputs!$C$34)^2)+(((Inputs!$C$6)-Inputs!$C$35)^2))/(2*Inputs!$C$36^2)))+Inputs!$C$37*(0.55*SIN(2*PI()*(Scenario_Data!U229)/Inputs!$C$39)+0.35*COS(2*PI()*(Inputs!$C$6)/Inputs!$C$40)+0.2*SIN(2*PI()*((Scenario_Data!U229)+(Inputs!$C$6))/(0.5*(Inputs!$C$39+Inputs!$C$40))))+Inputs!$C$38*SIN(2*PI()*(Scenario_Data!U229)/Inputs!$C$39)*SIN(2*PI()*(Inputs!$C$6)/Inputs!$C$40)+-Inputs!$C$41*EXP(-(((Inputs!$C$6)-Inputs!$C$43)^2)/(2*Inputs!$C$44^2))*EXP(-(((Scenario_Data!U229)-Inputs!$C$42)^2)/(2*Inputs!$C$45^2))+Inputs!$C$48*(0.7*(0.45*SIN(2*PI()*(((Scenario_Data!U229)/Inputs!$C$49)+Inputs!$C$47*0.137))+0.35*COS(2*PI()*(((Inputs!$C$6)/Inputs!$C$50)+Inputs!$C$47*0.173))+0.2*SIN(2*PI()*((((Scenario_Data!U229)+(Inputs!$C$6))/(0.5*(Inputs!$C$49+Inputs!$C$50)))+Inputs!$C$47*0.097)))+0.3*(2*((SIN(((Scenario_Data!U229)*12.9898+(Inputs!$C$6)*78.233+Inputs!$C$47*37.719))*43758.5453)-INT((SIN(((Scenario_Data!U229)*12.9898+(Inputs!$C$6)*78.233+Inputs!$C$47*37.719))*43758.5453)))-1))))/1000))^2-2*(Inputs!$C$52+(Scenario_Data!C229))*(Inputs!$C$52+((IF(OR(Inputs!$C$27=TRUE,Inputs!$C$27="TRUE",Inputs!$C$27=1),1,0)*(Inputs!$C$51*(115*EXP(-(((Inputs!$C$6)-25)^2)/(4.5^2))+70*EXP(-(((Inputs!$C$6)+38)^2)/(7^2))*(0.55+0.45*SIN(2*PI()*(Scenario_Data!U229)/45))+24*SIN(2*PI()*(Inputs!$C$6)/9+(Scenario_Data!U229)/18)*EXP(-(((Inputs!$C$6)+5)^2)/(22^2))+18*SIN(2*PI()*(Scenario_Data!U229)/70))+Inputs!$C$28*EXP(-(((Scenario_Data!U229)-Inputs!$C$29)^2)/(2*Inputs!$C$31^2))*EXP(-(((Inputs!$C$6)-Inputs!$C$30)^2)/(2*Inputs!$C$32^2))+-Inputs!$C$33*EXP(-(((((Scenario_Data!U229)-Inputs!$C$34)^2)+(((Inputs!$C$6)-Inputs!$C$35)^2))/(2*Inputs!$C$36^2)))+Inputs!$C$37*(0.55*SIN(2*PI()*(Scenario_Data!U229)/Inputs!$C$39)+0.35*COS(2*PI()*(Inputs!$C$6)/Inputs!$C$40)+0.2*SIN(2*PI()*((Scenario_Data!U229)+(Inputs!$C$6))/(0.5*(Inputs!$C$39+Inputs!$C$40))))+Inputs!$C$38*SIN(2*PI()*(Scenario_Data!U229)/Inputs!$C$39)*SIN(2*PI()*(Inputs!$C$6)/Inputs!$C$40)+-Inputs!$C$41*EXP(-(((Inputs!$C$6)-Inputs!$C$43)^2)/(2*Inputs!$C$44^2))*EXP(-(((Scenario_Data!U229)-Inputs!$C$42)^2)/(2*Inputs!$C$45^2))+Inputs!$C$48*(0.7*(0.45*SIN(2*PI()*(((Scenario_Data!U229)/Inputs!$C$49)+Inputs!$C$47*0.137))+0.35*COS(2*PI()*(((Inputs!$C$6)/Inputs!$C$50)+Inputs!$C$47*0.173))+0.2*SIN(2*PI()*((((Scenario_Data!U229)+(Inputs!$C$6))/(0.5*(Inputs!$C$49+Inputs!$C$50)))+Inputs!$C$47*0.097)))+0.3*(2*((SIN(((Scenario_Data!U229)*12.9898+(Inputs!$C$6)*78.233+Inputs!$C$47*37.719))*43758.5453)-INT((SIN(((Scenario_Data!U229)*12.9898+(Inputs!$C$6)*78.233+Inputs!$C$47*37.719))*43758.5453)))-1))))/1000))*COS(SQRT((Scenario_Data!U229)^2+Inputs!$C$6^2)/Inputs!$C$52))*1000)/Inputs!$C$21*1000000</f>
        <v/>
      </c>
      <c r="AT229">
        <f>Scenario_Data!V229</f>
        <v/>
      </c>
      <c r="AU229">
        <f>2*(SQRT((Inputs!$C$52+(Scenario_Data!D229))^2+(Inputs!$C$52+((IF(OR(Inputs!$C$27=TRUE,Inputs!$C$27="TRUE",Inputs!$C$27=1),1,0)*(Inputs!$C$51*(115*EXP(-(((Inputs!$C$6)-25)^2)/(4.5^2))+70*EXP(-(((Inputs!$C$6)+38)^2)/(7^2))*(0.55+0.45*SIN(2*PI()*(Scenario_Data!V229)/45))+24*SIN(2*PI()*(Inputs!$C$6)/9+(Scenario_Data!V229)/18)*EXP(-(((Inputs!$C$6)+5)^2)/(22^2))+18*SIN(2*PI()*(Scenario_Data!V229)/70))+Inputs!$C$28*EXP(-(((Scenario_Data!V229)-Inputs!$C$29)^2)/(2*Inputs!$C$31^2))*EXP(-(((Inputs!$C$6)-Inputs!$C$30)^2)/(2*Inputs!$C$32^2))+-Inputs!$C$33*EXP(-(((((Scenario_Data!V229)-Inputs!$C$34)^2)+(((Inputs!$C$6)-Inputs!$C$35)^2))/(2*Inputs!$C$36^2)))+Inputs!$C$37*(0.55*SIN(2*PI()*(Scenario_Data!V229)/Inputs!$C$39)+0.35*COS(2*PI()*(Inputs!$C$6)/Inputs!$C$40)+0.2*SIN(2*PI()*((Scenario_Data!V229)+(Inputs!$C$6))/(0.5*(Inputs!$C$39+Inputs!$C$40))))+Inputs!$C$38*SIN(2*PI()*(Scenario_Data!V229)/Inputs!$C$39)*SIN(2*PI()*(Inputs!$C$6)/Inputs!$C$40)+-Inputs!$C$41*EXP(-(((Inputs!$C$6)-Inputs!$C$43)^2)/(2*Inputs!$C$44^2))*EXP(-(((Scenario_Data!V229)-Inputs!$C$42)^2)/(2*Inputs!$C$45^2))+Inputs!$C$48*(0.7*(0.45*SIN(2*PI()*(((Scenario_Data!V229)/Inputs!$C$49)+Inputs!$C$47*0.137))+0.35*COS(2*PI()*(((Inputs!$C$6)/Inputs!$C$50)+Inputs!$C$47*0.173))+0.2*SIN(2*PI()*((((Scenario_Data!V229)+(Inputs!$C$6))/(0.5*(Inputs!$C$49+Inputs!$C$50)))+Inputs!$C$47*0.097)))+0.3*(2*((SIN(((Scenario_Data!V229)*12.9898+(Inputs!$C$6)*78.233+Inputs!$C$47*37.719))*43758.5453)-INT((SIN(((Scenario_Data!V229)*12.9898+(Inputs!$C$6)*78.233+Inputs!$C$47*37.719))*43758.5453)))-1))))/1000))^2-2*(Inputs!$C$52+(Scenario_Data!D229))*(Inputs!$C$52+((IF(OR(Inputs!$C$27=TRUE,Inputs!$C$27="TRUE",Inputs!$C$27=1),1,0)*(Inputs!$C$51*(115*EXP(-(((Inputs!$C$6)-25)^2)/(4.5^2))+70*EXP(-(((Inputs!$C$6)+38)^2)/(7^2))*(0.55+0.45*SIN(2*PI()*(Scenario_Data!V229)/45))+24*SIN(2*PI()*(Inputs!$C$6)/9+(Scenario_Data!V229)/18)*EXP(-(((Inputs!$C$6)+5)^2)/(22^2))+18*SIN(2*PI()*(Scenario_Data!V229)/70))+Inputs!$C$28*EXP(-(((Scenario_Data!V229)-Inputs!$C$29)^2)/(2*Inputs!$C$31^2))*EXP(-(((Inputs!$C$6)-Inputs!$C$30)^2)/(2*Inputs!$C$32^2))+-Inputs!$C$33*EXP(-(((((Scenario_Data!V229)-Inputs!$C$34)^2)+(((Inputs!$C$6)-Inputs!$C$35)^2))/(2*Inputs!$C$36^2)))+Inputs!$C$37*(0.55*SIN(2*PI()*(Scenario_Data!V229)/Inputs!$C$39)+0.35*COS(2*PI()*(Inputs!$C$6)/Inputs!$C$40)+0.2*SIN(2*PI()*((Scenario_Data!V229)+(Inputs!$C$6))/(0.5*(Inputs!$C$39+Inputs!$C$40))))+Inputs!$C$38*SIN(2*PI()*(Scenario_Data!V229)/Inputs!$C$39)*SIN(2*PI()*(Inputs!$C$6)/Inputs!$C$40)+-Inputs!$C$41*EXP(-(((Inputs!$C$6)-Inputs!$C$43)^2)/(2*Inputs!$C$44^2))*EXP(-(((Scenario_Data!V229)-Inputs!$C$42)^2)/(2*Inputs!$C$45^2))+Inputs!$C$48*(0.7*(0.45*SIN(2*PI()*(((Scenario_Data!V229)/Inputs!$C$49)+Inputs!$C$47*0.137))+0.35*COS(2*PI()*(((Inputs!$C$6)/Inputs!$C$50)+Inputs!$C$47*0.173))+0.2*SIN(2*PI()*((((Scenario_Data!V229)+(Inputs!$C$6))/(0.5*(Inputs!$C$49+Inputs!$C$50)))+Inputs!$C$47*0.097)))+0.3*(2*((SIN(((Scenario_Data!V229)*12.9898+(Inputs!$C$6)*78.233+Inputs!$C$47*37.719))*43758.5453)-INT((SIN(((Scenario_Data!V229)*12.9898+(Inputs!$C$6)*78.233+Inputs!$C$47*37.719))*43758.5453)))-1))))/1000))*COS(SQRT((Scenario_Data!V229)^2+Inputs!$C$6^2)/Inputs!$C$52))*1000)/Inputs!$C$21*1000000</f>
        <v/>
      </c>
      <c r="AV229">
        <f>Scenario_Data!W229</f>
        <v/>
      </c>
      <c r="AW229">
        <f>2*(SQRT((Inputs!$C$52+(Scenario_Data!E229))^2+(Inputs!$C$52+((IF(OR(Inputs!$C$27=TRUE,Inputs!$C$27="TRUE",Inputs!$C$27=1),1,0)*(Inputs!$C$51*(115*EXP(-(((Inputs!$C$6)-25)^2)/(4.5^2))+70*EXP(-(((Inputs!$C$6)+38)^2)/(7^2))*(0.55+0.45*SIN(2*PI()*(Scenario_Data!W229)/45))+24*SIN(2*PI()*(Inputs!$C$6)/9+(Scenario_Data!W229)/18)*EXP(-(((Inputs!$C$6)+5)^2)/(22^2))+18*SIN(2*PI()*(Scenario_Data!W229)/70))+Inputs!$C$28*EXP(-(((Scenario_Data!W229)-Inputs!$C$29)^2)/(2*Inputs!$C$31^2))*EXP(-(((Inputs!$C$6)-Inputs!$C$30)^2)/(2*Inputs!$C$32^2))+-Inputs!$C$33*EXP(-(((((Scenario_Data!W229)-Inputs!$C$34)^2)+(((Inputs!$C$6)-Inputs!$C$35)^2))/(2*Inputs!$C$36^2)))+Inputs!$C$37*(0.55*SIN(2*PI()*(Scenario_Data!W229)/Inputs!$C$39)+0.35*COS(2*PI()*(Inputs!$C$6)/Inputs!$C$40)+0.2*SIN(2*PI()*((Scenario_Data!W229)+(Inputs!$C$6))/(0.5*(Inputs!$C$39+Inputs!$C$40))))+Inputs!$C$38*SIN(2*PI()*(Scenario_Data!W229)/Inputs!$C$39)*SIN(2*PI()*(Inputs!$C$6)/Inputs!$C$40)+-Inputs!$C$41*EXP(-(((Inputs!$C$6)-Inputs!$C$43)^2)/(2*Inputs!$C$44^2))*EXP(-(((Scenario_Data!W229)-Inputs!$C$42)^2)/(2*Inputs!$C$45^2))+Inputs!$C$48*(0.7*(0.45*SIN(2*PI()*(((Scenario_Data!W229)/Inputs!$C$49)+Inputs!$C$47*0.137))+0.35*COS(2*PI()*(((Inputs!$C$6)/Inputs!$C$50)+Inputs!$C$47*0.173))+0.2*SIN(2*PI()*((((Scenario_Data!W229)+(Inputs!$C$6))/(0.5*(Inputs!$C$49+Inputs!$C$50)))+Inputs!$C$47*0.097)))+0.3*(2*((SIN(((Scenario_Data!W229)*12.9898+(Inputs!$C$6)*78.233+Inputs!$C$47*37.719))*43758.5453)-INT((SIN(((Scenario_Data!W229)*12.9898+(Inputs!$C$6)*78.233+Inputs!$C$47*37.719))*43758.5453)))-1))))/1000))^2-2*(Inputs!$C$52+(Scenario_Data!E229))*(Inputs!$C$52+((IF(OR(Inputs!$C$27=TRUE,Inputs!$C$27="TRUE",Inputs!$C$27=1),1,0)*(Inputs!$C$51*(115*EXP(-(((Inputs!$C$6)-25)^2)/(4.5^2))+70*EXP(-(((Inputs!$C$6)+38)^2)/(7^2))*(0.55+0.45*SIN(2*PI()*(Scenario_Data!W229)/45))+24*SIN(2*PI()*(Inputs!$C$6)/9+(Scenario_Data!W229)/18)*EXP(-(((Inputs!$C$6)+5)^2)/(22^2))+18*SIN(2*PI()*(Scenario_Data!W229)/70))+Inputs!$C$28*EXP(-(((Scenario_Data!W229)-Inputs!$C$29)^2)/(2*Inputs!$C$31^2))*EXP(-(((Inputs!$C$6)-Inputs!$C$30)^2)/(2*Inputs!$C$32^2))+-Inputs!$C$33*EXP(-(((((Scenario_Data!W229)-Inputs!$C$34)^2)+(((Inputs!$C$6)-Inputs!$C$35)^2))/(2*Inputs!$C$36^2)))+Inputs!$C$37*(0.55*SIN(2*PI()*(Scenario_Data!W229)/Inputs!$C$39)+0.35*COS(2*PI()*(Inputs!$C$6)/Inputs!$C$40)+0.2*SIN(2*PI()*((Scenario_Data!W229)+(Inputs!$C$6))/(0.5*(Inputs!$C$39+Inputs!$C$40))))+Inputs!$C$38*SIN(2*PI()*(Scenario_Data!W229)/Inputs!$C$39)*SIN(2*PI()*(Inputs!$C$6)/Inputs!$C$40)+-Inputs!$C$41*EXP(-(((Inputs!$C$6)-Inputs!$C$43)^2)/(2*Inputs!$C$44^2))*EXP(-(((Scenario_Data!W229)-Inputs!$C$42)^2)/(2*Inputs!$C$45^2))+Inputs!$C$48*(0.7*(0.45*SIN(2*PI()*(((Scenario_Data!W229)/Inputs!$C$49)+Inputs!$C$47*0.137))+0.35*COS(2*PI()*(((Inputs!$C$6)/Inputs!$C$50)+Inputs!$C$47*0.173))+0.2*SIN(2*PI()*((((Scenario_Data!W229)+(Inputs!$C$6))/(0.5*(Inputs!$C$49+Inputs!$C$50)))+Inputs!$C$47*0.097)))+0.3*(2*((SIN(((Scenario_Data!W229)*12.9898+(Inputs!$C$6)*78.233+Inputs!$C$47*37.719))*43758.5453)-INT((SIN(((Scenario_Data!W229)*12.9898+(Inputs!$C$6)*78.233+Inputs!$C$47*37.719))*43758.5453)))-1))))/1000))*COS(SQRT((Scenario_Data!W229)^2+Inputs!$C$6^2)/Inputs!$C$52))*1000)/Inputs!$C$21*1000000</f>
        <v/>
      </c>
    </row>
    <row r="230">
      <c r="A230">
        <f>Chart_Data!K230</f>
        <v/>
      </c>
      <c r="B230">
        <f>Chart_Data!N230-Chart_Data!L230</f>
        <v/>
      </c>
      <c r="D230">
        <f>Chart_Data!G230</f>
        <v/>
      </c>
      <c r="E230">
        <f>Chart_Data!H230</f>
        <v/>
      </c>
      <c r="F230">
        <f>Chart_Data!I230</f>
        <v/>
      </c>
      <c r="G230">
        <f>Chart_Data!J230</f>
        <v/>
      </c>
      <c r="I230">
        <f>Scenario_Data!A230</f>
        <v/>
      </c>
      <c r="J230">
        <f>Scenario_Data!H230-(((SQRT((Inputs!$C$52+(Inputs!$H$6))^2+Inputs!$C$52^2-2*(Inputs!$C$52+(Inputs!$H$6))*Inputs!$C$52*COS(SQRT((Scenario_Data!T230)^2+Inputs!$C$6^2)/Inputs!$C$52)))-(Inputs!$H$6))*1000/Inputs!$C$12)</f>
        <v/>
      </c>
      <c r="K230">
        <f>Scenario_Data!I230-(((SQRT((Inputs!$C$52+(Inputs!$H$7))^2+Inputs!$C$52^2-2*(Inputs!$C$52+(Inputs!$H$7))*Inputs!$C$52*COS(SQRT((Scenario_Data!U230)^2+Inputs!$C$6^2)/Inputs!$C$52)))-(Inputs!$H$7))*1000/Inputs!$C$12)</f>
        <v/>
      </c>
      <c r="L230">
        <f>Scenario_Data!J230-(((SQRT((Inputs!$C$52+(Inputs!$H$8))^2+Inputs!$C$52^2-2*(Inputs!$C$52+(Inputs!$H$8))*Inputs!$C$52*COS(SQRT((Scenario_Data!V230)^2+Inputs!$C$6^2)/Inputs!$C$52)))-(Inputs!$H$8))*1000/Inputs!$C$12)</f>
        <v/>
      </c>
      <c r="M230">
        <f>Scenario_Data!K230-(((SQRT((Inputs!$C$52+(Inputs!$H$9))^2+Inputs!$C$52^2-2*(Inputs!$C$52+(Inputs!$H$9))*Inputs!$C$52*COS(SQRT((Scenario_Data!W230)^2+Inputs!$C$6^2)/Inputs!$C$52)))-(Inputs!$H$9))*1000/Inputs!$C$12)</f>
        <v/>
      </c>
      <c r="O230">
        <f>Scenario_Data!T230</f>
        <v/>
      </c>
      <c r="P230">
        <f>2*(Scenario_Data!B230*1000)/Inputs!$C$21*1000000</f>
        <v/>
      </c>
      <c r="Q230">
        <f>Scenario_Data!U230</f>
        <v/>
      </c>
      <c r="R230">
        <f>2*(Scenario_Data!C230*1000)/Inputs!$C$21*1000000</f>
        <v/>
      </c>
      <c r="S230">
        <f>Scenario_Data!V230</f>
        <v/>
      </c>
      <c r="T230">
        <f>2*(Scenario_Data!D230*1000)/Inputs!$C$21*1000000</f>
        <v/>
      </c>
      <c r="U230">
        <f>Scenario_Data!W230</f>
        <v/>
      </c>
      <c r="V230">
        <f>2*(Scenario_Data!E230*1000)/Inputs!$C$21*1000000</f>
        <v/>
      </c>
      <c r="X230">
        <f>Scenario_Data!T230</f>
        <v/>
      </c>
      <c r="Y230">
        <f>2*((Scenario_Data!B230*1000)-(IF(OR(Inputs!$C$27=TRUE,Inputs!$C$27="TRUE",Inputs!$C$27=1),1,0)*(Inputs!$C$51*(115*EXP(-(((0)-25)^2)/(4.5^2))+70*EXP(-(((0)+38)^2)/(7^2))*(0.55+0.45*SIN(2*PI()*(Scenario_Data!T230)/45))+24*SIN(2*PI()*(0)/9+(Scenario_Data!T230)/18)*EXP(-(((0)+5)^2)/(22^2))+18*SIN(2*PI()*(Scenario_Data!T230)/70))+Inputs!$C$28*EXP(-(((Scenario_Data!T230)-Inputs!$C$29)^2)/(2*Inputs!$C$31^2))*EXP(-(((0)-Inputs!$C$30)^2)/(2*Inputs!$C$32^2))+-Inputs!$C$33*EXP(-(((((Scenario_Data!T230)-Inputs!$C$34)^2)+(((0)-Inputs!$C$35)^2))/(2*Inputs!$C$36^2)))+Inputs!$C$37*(0.55*SIN(2*PI()*(Scenario_Data!T230)/Inputs!$C$39)+0.35*COS(2*PI()*(0)/Inputs!$C$40)+0.2*SIN(2*PI()*((Scenario_Data!T230)+(0))/(0.5*(Inputs!$C$39+Inputs!$C$40))))+Inputs!$C$38*SIN(2*PI()*(Scenario_Data!T230)/Inputs!$C$39)*SIN(2*PI()*(0)/Inputs!$C$40)+-Inputs!$C$41*EXP(-(((0)-Inputs!$C$43)^2)/(2*Inputs!$C$44^2))*EXP(-(((Scenario_Data!T230)-Inputs!$C$42)^2)/(2*Inputs!$C$45^2))+Inputs!$C$48*(0.7*(0.45*SIN(2*PI()*(((Scenario_Data!T230)/Inputs!$C$49)+Inputs!$C$47*0.137))+0.35*COS(2*PI()*(((0)/Inputs!$C$50)+Inputs!$C$47*0.173))+0.2*SIN(2*PI()*((((Scenario_Data!T230)+(0))/(0.5*(Inputs!$C$49+Inputs!$C$50)))+Inputs!$C$47*0.097)))+0.3*(2*((SIN(((Scenario_Data!T230)*12.9898+(0)*78.233+Inputs!$C$47*37.719))*43758.5453)-INT((SIN(((Scenario_Data!T230)*12.9898+(0)*78.233+Inputs!$C$47*37.719))*43758.5453)))-1)))))/Inputs!$C$21*1000000</f>
        <v/>
      </c>
      <c r="Z230">
        <f>Scenario_Data!U230</f>
        <v/>
      </c>
      <c r="AA230">
        <f>2*((Scenario_Data!C230*1000)-(IF(OR(Inputs!$C$27=TRUE,Inputs!$C$27="TRUE",Inputs!$C$27=1),1,0)*(Inputs!$C$51*(115*EXP(-(((0)-25)^2)/(4.5^2))+70*EXP(-(((0)+38)^2)/(7^2))*(0.55+0.45*SIN(2*PI()*(Scenario_Data!U230)/45))+24*SIN(2*PI()*(0)/9+(Scenario_Data!U230)/18)*EXP(-(((0)+5)^2)/(22^2))+18*SIN(2*PI()*(Scenario_Data!U230)/70))+Inputs!$C$28*EXP(-(((Scenario_Data!U230)-Inputs!$C$29)^2)/(2*Inputs!$C$31^2))*EXP(-(((0)-Inputs!$C$30)^2)/(2*Inputs!$C$32^2))+-Inputs!$C$33*EXP(-(((((Scenario_Data!U230)-Inputs!$C$34)^2)+(((0)-Inputs!$C$35)^2))/(2*Inputs!$C$36^2)))+Inputs!$C$37*(0.55*SIN(2*PI()*(Scenario_Data!U230)/Inputs!$C$39)+0.35*COS(2*PI()*(0)/Inputs!$C$40)+0.2*SIN(2*PI()*((Scenario_Data!U230)+(0))/(0.5*(Inputs!$C$39+Inputs!$C$40))))+Inputs!$C$38*SIN(2*PI()*(Scenario_Data!U230)/Inputs!$C$39)*SIN(2*PI()*(0)/Inputs!$C$40)+-Inputs!$C$41*EXP(-(((0)-Inputs!$C$43)^2)/(2*Inputs!$C$44^2))*EXP(-(((Scenario_Data!U230)-Inputs!$C$42)^2)/(2*Inputs!$C$45^2))+Inputs!$C$48*(0.7*(0.45*SIN(2*PI()*(((Scenario_Data!U230)/Inputs!$C$49)+Inputs!$C$47*0.137))+0.35*COS(2*PI()*(((0)/Inputs!$C$50)+Inputs!$C$47*0.173))+0.2*SIN(2*PI()*((((Scenario_Data!U230)+(0))/(0.5*(Inputs!$C$49+Inputs!$C$50)))+Inputs!$C$47*0.097)))+0.3*(2*((SIN(((Scenario_Data!U230)*12.9898+(0)*78.233+Inputs!$C$47*37.719))*43758.5453)-INT((SIN(((Scenario_Data!U230)*12.9898+(0)*78.233+Inputs!$C$47*37.719))*43758.5453)))-1)))))/Inputs!$C$21*1000000</f>
        <v/>
      </c>
      <c r="AB230">
        <f>Scenario_Data!V230</f>
        <v/>
      </c>
      <c r="AC230">
        <f>2*((Scenario_Data!D230*1000)-(IF(OR(Inputs!$C$27=TRUE,Inputs!$C$27="TRUE",Inputs!$C$27=1),1,0)*(Inputs!$C$51*(115*EXP(-(((0)-25)^2)/(4.5^2))+70*EXP(-(((0)+38)^2)/(7^2))*(0.55+0.45*SIN(2*PI()*(Scenario_Data!V230)/45))+24*SIN(2*PI()*(0)/9+(Scenario_Data!V230)/18)*EXP(-(((0)+5)^2)/(22^2))+18*SIN(2*PI()*(Scenario_Data!V230)/70))+Inputs!$C$28*EXP(-(((Scenario_Data!V230)-Inputs!$C$29)^2)/(2*Inputs!$C$31^2))*EXP(-(((0)-Inputs!$C$30)^2)/(2*Inputs!$C$32^2))+-Inputs!$C$33*EXP(-(((((Scenario_Data!V230)-Inputs!$C$34)^2)+(((0)-Inputs!$C$35)^2))/(2*Inputs!$C$36^2)))+Inputs!$C$37*(0.55*SIN(2*PI()*(Scenario_Data!V230)/Inputs!$C$39)+0.35*COS(2*PI()*(0)/Inputs!$C$40)+0.2*SIN(2*PI()*((Scenario_Data!V230)+(0))/(0.5*(Inputs!$C$39+Inputs!$C$40))))+Inputs!$C$38*SIN(2*PI()*(Scenario_Data!V230)/Inputs!$C$39)*SIN(2*PI()*(0)/Inputs!$C$40)+-Inputs!$C$41*EXP(-(((0)-Inputs!$C$43)^2)/(2*Inputs!$C$44^2))*EXP(-(((Scenario_Data!V230)-Inputs!$C$42)^2)/(2*Inputs!$C$45^2))+Inputs!$C$48*(0.7*(0.45*SIN(2*PI()*(((Scenario_Data!V230)/Inputs!$C$49)+Inputs!$C$47*0.137))+0.35*COS(2*PI()*(((0)/Inputs!$C$50)+Inputs!$C$47*0.173))+0.2*SIN(2*PI()*((((Scenario_Data!V230)+(0))/(0.5*(Inputs!$C$49+Inputs!$C$50)))+Inputs!$C$47*0.097)))+0.3*(2*((SIN(((Scenario_Data!V230)*12.9898+(0)*78.233+Inputs!$C$47*37.719))*43758.5453)-INT((SIN(((Scenario_Data!V230)*12.9898+(0)*78.233+Inputs!$C$47*37.719))*43758.5453)))-1)))))/Inputs!$C$21*1000000</f>
        <v/>
      </c>
      <c r="AD230">
        <f>Scenario_Data!W230</f>
        <v/>
      </c>
      <c r="AE230">
        <f>2*((Scenario_Data!E230*1000)-(IF(OR(Inputs!$C$27=TRUE,Inputs!$C$27="TRUE",Inputs!$C$27=1),1,0)*(Inputs!$C$51*(115*EXP(-(((0)-25)^2)/(4.5^2))+70*EXP(-(((0)+38)^2)/(7^2))*(0.55+0.45*SIN(2*PI()*(Scenario_Data!W230)/45))+24*SIN(2*PI()*(0)/9+(Scenario_Data!W230)/18)*EXP(-(((0)+5)^2)/(22^2))+18*SIN(2*PI()*(Scenario_Data!W230)/70))+Inputs!$C$28*EXP(-(((Scenario_Data!W230)-Inputs!$C$29)^2)/(2*Inputs!$C$31^2))*EXP(-(((0)-Inputs!$C$30)^2)/(2*Inputs!$C$32^2))+-Inputs!$C$33*EXP(-(((((Scenario_Data!W230)-Inputs!$C$34)^2)+(((0)-Inputs!$C$35)^2))/(2*Inputs!$C$36^2)))+Inputs!$C$37*(0.55*SIN(2*PI()*(Scenario_Data!W230)/Inputs!$C$39)+0.35*COS(2*PI()*(0)/Inputs!$C$40)+0.2*SIN(2*PI()*((Scenario_Data!W230)+(0))/(0.5*(Inputs!$C$39+Inputs!$C$40))))+Inputs!$C$38*SIN(2*PI()*(Scenario_Data!W230)/Inputs!$C$39)*SIN(2*PI()*(0)/Inputs!$C$40)+-Inputs!$C$41*EXP(-(((0)-Inputs!$C$43)^2)/(2*Inputs!$C$44^2))*EXP(-(((Scenario_Data!W230)-Inputs!$C$42)^2)/(2*Inputs!$C$45^2))+Inputs!$C$48*(0.7*(0.45*SIN(2*PI()*(((Scenario_Data!W230)/Inputs!$C$49)+Inputs!$C$47*0.137))+0.35*COS(2*PI()*(((0)/Inputs!$C$50)+Inputs!$C$47*0.173))+0.2*SIN(2*PI()*((((Scenario_Data!W230)+(0))/(0.5*(Inputs!$C$49+Inputs!$C$50)))+Inputs!$C$47*0.097)))+0.3*(2*((SIN(((Scenario_Data!W230)*12.9898+(0)*78.233+Inputs!$C$47*37.719))*43758.5453)-INT((SIN(((Scenario_Data!W230)*12.9898+(0)*78.233+Inputs!$C$47*37.719))*43758.5453)))-1)))))/Inputs!$C$21*1000000</f>
        <v/>
      </c>
      <c r="AG230">
        <f>Scenario_Data!T230</f>
        <v/>
      </c>
      <c r="AH230">
        <f>2*(SQRT((Inputs!$C$52+(Scenario_Data!B230))^2+Inputs!$C$52^2-2*(Inputs!$C$52+(Scenario_Data!B230))*Inputs!$C$52*COS(SQRT((Scenario_Data!T230)^2+Inputs!$C$6^2)/Inputs!$C$52))*1000)/Inputs!$C$21*1000000</f>
        <v/>
      </c>
      <c r="AI230">
        <f>Scenario_Data!U230</f>
        <v/>
      </c>
      <c r="AJ230">
        <f>2*(SQRT((Inputs!$C$52+(Scenario_Data!C230))^2+Inputs!$C$52^2-2*(Inputs!$C$52+(Scenario_Data!C230))*Inputs!$C$52*COS(SQRT((Scenario_Data!U230)^2+Inputs!$C$6^2)/Inputs!$C$52))*1000)/Inputs!$C$21*1000000</f>
        <v/>
      </c>
      <c r="AK230">
        <f>Scenario_Data!V230</f>
        <v/>
      </c>
      <c r="AL230">
        <f>2*(SQRT((Inputs!$C$52+(Scenario_Data!D230))^2+Inputs!$C$52^2-2*(Inputs!$C$52+(Scenario_Data!D230))*Inputs!$C$52*COS(SQRT((Scenario_Data!V230)^2+Inputs!$C$6^2)/Inputs!$C$52))*1000)/Inputs!$C$21*1000000</f>
        <v/>
      </c>
      <c r="AM230">
        <f>Scenario_Data!W230</f>
        <v/>
      </c>
      <c r="AN230">
        <f>2*(SQRT((Inputs!$C$52+(Scenario_Data!E230))^2+Inputs!$C$52^2-2*(Inputs!$C$52+(Scenario_Data!E230))*Inputs!$C$52*COS(SQRT((Scenario_Data!W230)^2+Inputs!$C$6^2)/Inputs!$C$52))*1000)/Inputs!$C$21*1000000</f>
        <v/>
      </c>
      <c r="AP230">
        <f>Scenario_Data!T230</f>
        <v/>
      </c>
      <c r="AQ230">
        <f>2*(SQRT((Inputs!$C$52+(Scenario_Data!B230))^2+(Inputs!$C$52+((IF(OR(Inputs!$C$27=TRUE,Inputs!$C$27="TRUE",Inputs!$C$27=1),1,0)*(Inputs!$C$51*(115*EXP(-(((Inputs!$C$6)-25)^2)/(4.5^2))+70*EXP(-(((Inputs!$C$6)+38)^2)/(7^2))*(0.55+0.45*SIN(2*PI()*(Scenario_Data!T230)/45))+24*SIN(2*PI()*(Inputs!$C$6)/9+(Scenario_Data!T230)/18)*EXP(-(((Inputs!$C$6)+5)^2)/(22^2))+18*SIN(2*PI()*(Scenario_Data!T230)/70))+Inputs!$C$28*EXP(-(((Scenario_Data!T230)-Inputs!$C$29)^2)/(2*Inputs!$C$31^2))*EXP(-(((Inputs!$C$6)-Inputs!$C$30)^2)/(2*Inputs!$C$32^2))+-Inputs!$C$33*EXP(-(((((Scenario_Data!T230)-Inputs!$C$34)^2)+(((Inputs!$C$6)-Inputs!$C$35)^2))/(2*Inputs!$C$36^2)))+Inputs!$C$37*(0.55*SIN(2*PI()*(Scenario_Data!T230)/Inputs!$C$39)+0.35*COS(2*PI()*(Inputs!$C$6)/Inputs!$C$40)+0.2*SIN(2*PI()*((Scenario_Data!T230)+(Inputs!$C$6))/(0.5*(Inputs!$C$39+Inputs!$C$40))))+Inputs!$C$38*SIN(2*PI()*(Scenario_Data!T230)/Inputs!$C$39)*SIN(2*PI()*(Inputs!$C$6)/Inputs!$C$40)+-Inputs!$C$41*EXP(-(((Inputs!$C$6)-Inputs!$C$43)^2)/(2*Inputs!$C$44^2))*EXP(-(((Scenario_Data!T230)-Inputs!$C$42)^2)/(2*Inputs!$C$45^2))+Inputs!$C$48*(0.7*(0.45*SIN(2*PI()*(((Scenario_Data!T230)/Inputs!$C$49)+Inputs!$C$47*0.137))+0.35*COS(2*PI()*(((Inputs!$C$6)/Inputs!$C$50)+Inputs!$C$47*0.173))+0.2*SIN(2*PI()*((((Scenario_Data!T230)+(Inputs!$C$6))/(0.5*(Inputs!$C$49+Inputs!$C$50)))+Inputs!$C$47*0.097)))+0.3*(2*((SIN(((Scenario_Data!T230)*12.9898+(Inputs!$C$6)*78.233+Inputs!$C$47*37.719))*43758.5453)-INT((SIN(((Scenario_Data!T230)*12.9898+(Inputs!$C$6)*78.233+Inputs!$C$47*37.719))*43758.5453)))-1))))/1000))^2-2*(Inputs!$C$52+(Scenario_Data!B230))*(Inputs!$C$52+((IF(OR(Inputs!$C$27=TRUE,Inputs!$C$27="TRUE",Inputs!$C$27=1),1,0)*(Inputs!$C$51*(115*EXP(-(((Inputs!$C$6)-25)^2)/(4.5^2))+70*EXP(-(((Inputs!$C$6)+38)^2)/(7^2))*(0.55+0.45*SIN(2*PI()*(Scenario_Data!T230)/45))+24*SIN(2*PI()*(Inputs!$C$6)/9+(Scenario_Data!T230)/18)*EXP(-(((Inputs!$C$6)+5)^2)/(22^2))+18*SIN(2*PI()*(Scenario_Data!T230)/70))+Inputs!$C$28*EXP(-(((Scenario_Data!T230)-Inputs!$C$29)^2)/(2*Inputs!$C$31^2))*EXP(-(((Inputs!$C$6)-Inputs!$C$30)^2)/(2*Inputs!$C$32^2))+-Inputs!$C$33*EXP(-(((((Scenario_Data!T230)-Inputs!$C$34)^2)+(((Inputs!$C$6)-Inputs!$C$35)^2))/(2*Inputs!$C$36^2)))+Inputs!$C$37*(0.55*SIN(2*PI()*(Scenario_Data!T230)/Inputs!$C$39)+0.35*COS(2*PI()*(Inputs!$C$6)/Inputs!$C$40)+0.2*SIN(2*PI()*((Scenario_Data!T230)+(Inputs!$C$6))/(0.5*(Inputs!$C$39+Inputs!$C$40))))+Inputs!$C$38*SIN(2*PI()*(Scenario_Data!T230)/Inputs!$C$39)*SIN(2*PI()*(Inputs!$C$6)/Inputs!$C$40)+-Inputs!$C$41*EXP(-(((Inputs!$C$6)-Inputs!$C$43)^2)/(2*Inputs!$C$44^2))*EXP(-(((Scenario_Data!T230)-Inputs!$C$42)^2)/(2*Inputs!$C$45^2))+Inputs!$C$48*(0.7*(0.45*SIN(2*PI()*(((Scenario_Data!T230)/Inputs!$C$49)+Inputs!$C$47*0.137))+0.35*COS(2*PI()*(((Inputs!$C$6)/Inputs!$C$50)+Inputs!$C$47*0.173))+0.2*SIN(2*PI()*((((Scenario_Data!T230)+(Inputs!$C$6))/(0.5*(Inputs!$C$49+Inputs!$C$50)))+Inputs!$C$47*0.097)))+0.3*(2*((SIN(((Scenario_Data!T230)*12.9898+(Inputs!$C$6)*78.233+Inputs!$C$47*37.719))*43758.5453)-INT((SIN(((Scenario_Data!T230)*12.9898+(Inputs!$C$6)*78.233+Inputs!$C$47*37.719))*43758.5453)))-1))))/1000))*COS(SQRT((Scenario_Data!T230)^2+Inputs!$C$6^2)/Inputs!$C$52))*1000)/Inputs!$C$21*1000000</f>
        <v/>
      </c>
      <c r="AR230">
        <f>Scenario_Data!U230</f>
        <v/>
      </c>
      <c r="AS230">
        <f>2*(SQRT((Inputs!$C$52+(Scenario_Data!C230))^2+(Inputs!$C$52+((IF(OR(Inputs!$C$27=TRUE,Inputs!$C$27="TRUE",Inputs!$C$27=1),1,0)*(Inputs!$C$51*(115*EXP(-(((Inputs!$C$6)-25)^2)/(4.5^2))+70*EXP(-(((Inputs!$C$6)+38)^2)/(7^2))*(0.55+0.45*SIN(2*PI()*(Scenario_Data!U230)/45))+24*SIN(2*PI()*(Inputs!$C$6)/9+(Scenario_Data!U230)/18)*EXP(-(((Inputs!$C$6)+5)^2)/(22^2))+18*SIN(2*PI()*(Scenario_Data!U230)/70))+Inputs!$C$28*EXP(-(((Scenario_Data!U230)-Inputs!$C$29)^2)/(2*Inputs!$C$31^2))*EXP(-(((Inputs!$C$6)-Inputs!$C$30)^2)/(2*Inputs!$C$32^2))+-Inputs!$C$33*EXP(-(((((Scenario_Data!U230)-Inputs!$C$34)^2)+(((Inputs!$C$6)-Inputs!$C$35)^2))/(2*Inputs!$C$36^2)))+Inputs!$C$37*(0.55*SIN(2*PI()*(Scenario_Data!U230)/Inputs!$C$39)+0.35*COS(2*PI()*(Inputs!$C$6)/Inputs!$C$40)+0.2*SIN(2*PI()*((Scenario_Data!U230)+(Inputs!$C$6))/(0.5*(Inputs!$C$39+Inputs!$C$40))))+Inputs!$C$38*SIN(2*PI()*(Scenario_Data!U230)/Inputs!$C$39)*SIN(2*PI()*(Inputs!$C$6)/Inputs!$C$40)+-Inputs!$C$41*EXP(-(((Inputs!$C$6)-Inputs!$C$43)^2)/(2*Inputs!$C$44^2))*EXP(-(((Scenario_Data!U230)-Inputs!$C$42)^2)/(2*Inputs!$C$45^2))+Inputs!$C$48*(0.7*(0.45*SIN(2*PI()*(((Scenario_Data!U230)/Inputs!$C$49)+Inputs!$C$47*0.137))+0.35*COS(2*PI()*(((Inputs!$C$6)/Inputs!$C$50)+Inputs!$C$47*0.173))+0.2*SIN(2*PI()*((((Scenario_Data!U230)+(Inputs!$C$6))/(0.5*(Inputs!$C$49+Inputs!$C$50)))+Inputs!$C$47*0.097)))+0.3*(2*((SIN(((Scenario_Data!U230)*12.9898+(Inputs!$C$6)*78.233+Inputs!$C$47*37.719))*43758.5453)-INT((SIN(((Scenario_Data!U230)*12.9898+(Inputs!$C$6)*78.233+Inputs!$C$47*37.719))*43758.5453)))-1))))/1000))^2-2*(Inputs!$C$52+(Scenario_Data!C230))*(Inputs!$C$52+((IF(OR(Inputs!$C$27=TRUE,Inputs!$C$27="TRUE",Inputs!$C$27=1),1,0)*(Inputs!$C$51*(115*EXP(-(((Inputs!$C$6)-25)^2)/(4.5^2))+70*EXP(-(((Inputs!$C$6)+38)^2)/(7^2))*(0.55+0.45*SIN(2*PI()*(Scenario_Data!U230)/45))+24*SIN(2*PI()*(Inputs!$C$6)/9+(Scenario_Data!U230)/18)*EXP(-(((Inputs!$C$6)+5)^2)/(22^2))+18*SIN(2*PI()*(Scenario_Data!U230)/70))+Inputs!$C$28*EXP(-(((Scenario_Data!U230)-Inputs!$C$29)^2)/(2*Inputs!$C$31^2))*EXP(-(((Inputs!$C$6)-Inputs!$C$30)^2)/(2*Inputs!$C$32^2))+-Inputs!$C$33*EXP(-(((((Scenario_Data!U230)-Inputs!$C$34)^2)+(((Inputs!$C$6)-Inputs!$C$35)^2))/(2*Inputs!$C$36^2)))+Inputs!$C$37*(0.55*SIN(2*PI()*(Scenario_Data!U230)/Inputs!$C$39)+0.35*COS(2*PI()*(Inputs!$C$6)/Inputs!$C$40)+0.2*SIN(2*PI()*((Scenario_Data!U230)+(Inputs!$C$6))/(0.5*(Inputs!$C$39+Inputs!$C$40))))+Inputs!$C$38*SIN(2*PI()*(Scenario_Data!U230)/Inputs!$C$39)*SIN(2*PI()*(Inputs!$C$6)/Inputs!$C$40)+-Inputs!$C$41*EXP(-(((Inputs!$C$6)-Inputs!$C$43)^2)/(2*Inputs!$C$44^2))*EXP(-(((Scenario_Data!U230)-Inputs!$C$42)^2)/(2*Inputs!$C$45^2))+Inputs!$C$48*(0.7*(0.45*SIN(2*PI()*(((Scenario_Data!U230)/Inputs!$C$49)+Inputs!$C$47*0.137))+0.35*COS(2*PI()*(((Inputs!$C$6)/Inputs!$C$50)+Inputs!$C$47*0.173))+0.2*SIN(2*PI()*((((Scenario_Data!U230)+(Inputs!$C$6))/(0.5*(Inputs!$C$49+Inputs!$C$50)))+Inputs!$C$47*0.097)))+0.3*(2*((SIN(((Scenario_Data!U230)*12.9898+(Inputs!$C$6)*78.233+Inputs!$C$47*37.719))*43758.5453)-INT((SIN(((Scenario_Data!U230)*12.9898+(Inputs!$C$6)*78.233+Inputs!$C$47*37.719))*43758.5453)))-1))))/1000))*COS(SQRT((Scenario_Data!U230)^2+Inputs!$C$6^2)/Inputs!$C$52))*1000)/Inputs!$C$21*1000000</f>
        <v/>
      </c>
      <c r="AT230">
        <f>Scenario_Data!V230</f>
        <v/>
      </c>
      <c r="AU230">
        <f>2*(SQRT((Inputs!$C$52+(Scenario_Data!D230))^2+(Inputs!$C$52+((IF(OR(Inputs!$C$27=TRUE,Inputs!$C$27="TRUE",Inputs!$C$27=1),1,0)*(Inputs!$C$51*(115*EXP(-(((Inputs!$C$6)-25)^2)/(4.5^2))+70*EXP(-(((Inputs!$C$6)+38)^2)/(7^2))*(0.55+0.45*SIN(2*PI()*(Scenario_Data!V230)/45))+24*SIN(2*PI()*(Inputs!$C$6)/9+(Scenario_Data!V230)/18)*EXP(-(((Inputs!$C$6)+5)^2)/(22^2))+18*SIN(2*PI()*(Scenario_Data!V230)/70))+Inputs!$C$28*EXP(-(((Scenario_Data!V230)-Inputs!$C$29)^2)/(2*Inputs!$C$31^2))*EXP(-(((Inputs!$C$6)-Inputs!$C$30)^2)/(2*Inputs!$C$32^2))+-Inputs!$C$33*EXP(-(((((Scenario_Data!V230)-Inputs!$C$34)^2)+(((Inputs!$C$6)-Inputs!$C$35)^2))/(2*Inputs!$C$36^2)))+Inputs!$C$37*(0.55*SIN(2*PI()*(Scenario_Data!V230)/Inputs!$C$39)+0.35*COS(2*PI()*(Inputs!$C$6)/Inputs!$C$40)+0.2*SIN(2*PI()*((Scenario_Data!V230)+(Inputs!$C$6))/(0.5*(Inputs!$C$39+Inputs!$C$40))))+Inputs!$C$38*SIN(2*PI()*(Scenario_Data!V230)/Inputs!$C$39)*SIN(2*PI()*(Inputs!$C$6)/Inputs!$C$40)+-Inputs!$C$41*EXP(-(((Inputs!$C$6)-Inputs!$C$43)^2)/(2*Inputs!$C$44^2))*EXP(-(((Scenario_Data!V230)-Inputs!$C$42)^2)/(2*Inputs!$C$45^2))+Inputs!$C$48*(0.7*(0.45*SIN(2*PI()*(((Scenario_Data!V230)/Inputs!$C$49)+Inputs!$C$47*0.137))+0.35*COS(2*PI()*(((Inputs!$C$6)/Inputs!$C$50)+Inputs!$C$47*0.173))+0.2*SIN(2*PI()*((((Scenario_Data!V230)+(Inputs!$C$6))/(0.5*(Inputs!$C$49+Inputs!$C$50)))+Inputs!$C$47*0.097)))+0.3*(2*((SIN(((Scenario_Data!V230)*12.9898+(Inputs!$C$6)*78.233+Inputs!$C$47*37.719))*43758.5453)-INT((SIN(((Scenario_Data!V230)*12.9898+(Inputs!$C$6)*78.233+Inputs!$C$47*37.719))*43758.5453)))-1))))/1000))^2-2*(Inputs!$C$52+(Scenario_Data!D230))*(Inputs!$C$52+((IF(OR(Inputs!$C$27=TRUE,Inputs!$C$27="TRUE",Inputs!$C$27=1),1,0)*(Inputs!$C$51*(115*EXP(-(((Inputs!$C$6)-25)^2)/(4.5^2))+70*EXP(-(((Inputs!$C$6)+38)^2)/(7^2))*(0.55+0.45*SIN(2*PI()*(Scenario_Data!V230)/45))+24*SIN(2*PI()*(Inputs!$C$6)/9+(Scenario_Data!V230)/18)*EXP(-(((Inputs!$C$6)+5)^2)/(22^2))+18*SIN(2*PI()*(Scenario_Data!V230)/70))+Inputs!$C$28*EXP(-(((Scenario_Data!V230)-Inputs!$C$29)^2)/(2*Inputs!$C$31^2))*EXP(-(((Inputs!$C$6)-Inputs!$C$30)^2)/(2*Inputs!$C$32^2))+-Inputs!$C$33*EXP(-(((((Scenario_Data!V230)-Inputs!$C$34)^2)+(((Inputs!$C$6)-Inputs!$C$35)^2))/(2*Inputs!$C$36^2)))+Inputs!$C$37*(0.55*SIN(2*PI()*(Scenario_Data!V230)/Inputs!$C$39)+0.35*COS(2*PI()*(Inputs!$C$6)/Inputs!$C$40)+0.2*SIN(2*PI()*((Scenario_Data!V230)+(Inputs!$C$6))/(0.5*(Inputs!$C$39+Inputs!$C$40))))+Inputs!$C$38*SIN(2*PI()*(Scenario_Data!V230)/Inputs!$C$39)*SIN(2*PI()*(Inputs!$C$6)/Inputs!$C$40)+-Inputs!$C$41*EXP(-(((Inputs!$C$6)-Inputs!$C$43)^2)/(2*Inputs!$C$44^2))*EXP(-(((Scenario_Data!V230)-Inputs!$C$42)^2)/(2*Inputs!$C$45^2))+Inputs!$C$48*(0.7*(0.45*SIN(2*PI()*(((Scenario_Data!V230)/Inputs!$C$49)+Inputs!$C$47*0.137))+0.35*COS(2*PI()*(((Inputs!$C$6)/Inputs!$C$50)+Inputs!$C$47*0.173))+0.2*SIN(2*PI()*((((Scenario_Data!V230)+(Inputs!$C$6))/(0.5*(Inputs!$C$49+Inputs!$C$50)))+Inputs!$C$47*0.097)))+0.3*(2*((SIN(((Scenario_Data!V230)*12.9898+(Inputs!$C$6)*78.233+Inputs!$C$47*37.719))*43758.5453)-INT((SIN(((Scenario_Data!V230)*12.9898+(Inputs!$C$6)*78.233+Inputs!$C$47*37.719))*43758.5453)))-1))))/1000))*COS(SQRT((Scenario_Data!V230)^2+Inputs!$C$6^2)/Inputs!$C$52))*1000)/Inputs!$C$21*1000000</f>
        <v/>
      </c>
      <c r="AV230">
        <f>Scenario_Data!W230</f>
        <v/>
      </c>
      <c r="AW230">
        <f>2*(SQRT((Inputs!$C$52+(Scenario_Data!E230))^2+(Inputs!$C$52+((IF(OR(Inputs!$C$27=TRUE,Inputs!$C$27="TRUE",Inputs!$C$27=1),1,0)*(Inputs!$C$51*(115*EXP(-(((Inputs!$C$6)-25)^2)/(4.5^2))+70*EXP(-(((Inputs!$C$6)+38)^2)/(7^2))*(0.55+0.45*SIN(2*PI()*(Scenario_Data!W230)/45))+24*SIN(2*PI()*(Inputs!$C$6)/9+(Scenario_Data!W230)/18)*EXP(-(((Inputs!$C$6)+5)^2)/(22^2))+18*SIN(2*PI()*(Scenario_Data!W230)/70))+Inputs!$C$28*EXP(-(((Scenario_Data!W230)-Inputs!$C$29)^2)/(2*Inputs!$C$31^2))*EXP(-(((Inputs!$C$6)-Inputs!$C$30)^2)/(2*Inputs!$C$32^2))+-Inputs!$C$33*EXP(-(((((Scenario_Data!W230)-Inputs!$C$34)^2)+(((Inputs!$C$6)-Inputs!$C$35)^2))/(2*Inputs!$C$36^2)))+Inputs!$C$37*(0.55*SIN(2*PI()*(Scenario_Data!W230)/Inputs!$C$39)+0.35*COS(2*PI()*(Inputs!$C$6)/Inputs!$C$40)+0.2*SIN(2*PI()*((Scenario_Data!W230)+(Inputs!$C$6))/(0.5*(Inputs!$C$39+Inputs!$C$40))))+Inputs!$C$38*SIN(2*PI()*(Scenario_Data!W230)/Inputs!$C$39)*SIN(2*PI()*(Inputs!$C$6)/Inputs!$C$40)+-Inputs!$C$41*EXP(-(((Inputs!$C$6)-Inputs!$C$43)^2)/(2*Inputs!$C$44^2))*EXP(-(((Scenario_Data!W230)-Inputs!$C$42)^2)/(2*Inputs!$C$45^2))+Inputs!$C$48*(0.7*(0.45*SIN(2*PI()*(((Scenario_Data!W230)/Inputs!$C$49)+Inputs!$C$47*0.137))+0.35*COS(2*PI()*(((Inputs!$C$6)/Inputs!$C$50)+Inputs!$C$47*0.173))+0.2*SIN(2*PI()*((((Scenario_Data!W230)+(Inputs!$C$6))/(0.5*(Inputs!$C$49+Inputs!$C$50)))+Inputs!$C$47*0.097)))+0.3*(2*((SIN(((Scenario_Data!W230)*12.9898+(Inputs!$C$6)*78.233+Inputs!$C$47*37.719))*43758.5453)-INT((SIN(((Scenario_Data!W230)*12.9898+(Inputs!$C$6)*78.233+Inputs!$C$47*37.719))*43758.5453)))-1))))/1000))^2-2*(Inputs!$C$52+(Scenario_Data!E230))*(Inputs!$C$52+((IF(OR(Inputs!$C$27=TRUE,Inputs!$C$27="TRUE",Inputs!$C$27=1),1,0)*(Inputs!$C$51*(115*EXP(-(((Inputs!$C$6)-25)^2)/(4.5^2))+70*EXP(-(((Inputs!$C$6)+38)^2)/(7^2))*(0.55+0.45*SIN(2*PI()*(Scenario_Data!W230)/45))+24*SIN(2*PI()*(Inputs!$C$6)/9+(Scenario_Data!W230)/18)*EXP(-(((Inputs!$C$6)+5)^2)/(22^2))+18*SIN(2*PI()*(Scenario_Data!W230)/70))+Inputs!$C$28*EXP(-(((Scenario_Data!W230)-Inputs!$C$29)^2)/(2*Inputs!$C$31^2))*EXP(-(((Inputs!$C$6)-Inputs!$C$30)^2)/(2*Inputs!$C$32^2))+-Inputs!$C$33*EXP(-(((((Scenario_Data!W230)-Inputs!$C$34)^2)+(((Inputs!$C$6)-Inputs!$C$35)^2))/(2*Inputs!$C$36^2)))+Inputs!$C$37*(0.55*SIN(2*PI()*(Scenario_Data!W230)/Inputs!$C$39)+0.35*COS(2*PI()*(Inputs!$C$6)/Inputs!$C$40)+0.2*SIN(2*PI()*((Scenario_Data!W230)+(Inputs!$C$6))/(0.5*(Inputs!$C$39+Inputs!$C$40))))+Inputs!$C$38*SIN(2*PI()*(Scenario_Data!W230)/Inputs!$C$39)*SIN(2*PI()*(Inputs!$C$6)/Inputs!$C$40)+-Inputs!$C$41*EXP(-(((Inputs!$C$6)-Inputs!$C$43)^2)/(2*Inputs!$C$44^2))*EXP(-(((Scenario_Data!W230)-Inputs!$C$42)^2)/(2*Inputs!$C$45^2))+Inputs!$C$48*(0.7*(0.45*SIN(2*PI()*(((Scenario_Data!W230)/Inputs!$C$49)+Inputs!$C$47*0.137))+0.35*COS(2*PI()*(((Inputs!$C$6)/Inputs!$C$50)+Inputs!$C$47*0.173))+0.2*SIN(2*PI()*((((Scenario_Data!W230)+(Inputs!$C$6))/(0.5*(Inputs!$C$49+Inputs!$C$50)))+Inputs!$C$47*0.097)))+0.3*(2*((SIN(((Scenario_Data!W230)*12.9898+(Inputs!$C$6)*78.233+Inputs!$C$47*37.719))*43758.5453)-INT((SIN(((Scenario_Data!W230)*12.9898+(Inputs!$C$6)*78.233+Inputs!$C$47*37.719))*43758.5453)))-1))))/1000))*COS(SQRT((Scenario_Data!W230)^2+Inputs!$C$6^2)/Inputs!$C$52))*1000)/Inputs!$C$21*1000000</f>
        <v/>
      </c>
    </row>
    <row r="231">
      <c r="A231">
        <f>Chart_Data!K231</f>
        <v/>
      </c>
      <c r="B231">
        <f>Chart_Data!N231-Chart_Data!L231</f>
        <v/>
      </c>
      <c r="D231">
        <f>Chart_Data!G231</f>
        <v/>
      </c>
      <c r="E231">
        <f>Chart_Data!H231</f>
        <v/>
      </c>
      <c r="F231">
        <f>Chart_Data!I231</f>
        <v/>
      </c>
      <c r="G231">
        <f>Chart_Data!J231</f>
        <v/>
      </c>
      <c r="I231">
        <f>Scenario_Data!A231</f>
        <v/>
      </c>
      <c r="J231">
        <f>Scenario_Data!H231-(((SQRT((Inputs!$C$52+(Inputs!$H$6))^2+Inputs!$C$52^2-2*(Inputs!$C$52+(Inputs!$H$6))*Inputs!$C$52*COS(SQRT((Scenario_Data!T231)^2+Inputs!$C$6^2)/Inputs!$C$52)))-(Inputs!$H$6))*1000/Inputs!$C$12)</f>
        <v/>
      </c>
      <c r="K231">
        <f>Scenario_Data!I231-(((SQRT((Inputs!$C$52+(Inputs!$H$7))^2+Inputs!$C$52^2-2*(Inputs!$C$52+(Inputs!$H$7))*Inputs!$C$52*COS(SQRT((Scenario_Data!U231)^2+Inputs!$C$6^2)/Inputs!$C$52)))-(Inputs!$H$7))*1000/Inputs!$C$12)</f>
        <v/>
      </c>
      <c r="L231">
        <f>Scenario_Data!J231-(((SQRT((Inputs!$C$52+(Inputs!$H$8))^2+Inputs!$C$52^2-2*(Inputs!$C$52+(Inputs!$H$8))*Inputs!$C$52*COS(SQRT((Scenario_Data!V231)^2+Inputs!$C$6^2)/Inputs!$C$52)))-(Inputs!$H$8))*1000/Inputs!$C$12)</f>
        <v/>
      </c>
      <c r="M231">
        <f>Scenario_Data!K231-(((SQRT((Inputs!$C$52+(Inputs!$H$9))^2+Inputs!$C$52^2-2*(Inputs!$C$52+(Inputs!$H$9))*Inputs!$C$52*COS(SQRT((Scenario_Data!W231)^2+Inputs!$C$6^2)/Inputs!$C$52)))-(Inputs!$H$9))*1000/Inputs!$C$12)</f>
        <v/>
      </c>
      <c r="O231">
        <f>Scenario_Data!T231</f>
        <v/>
      </c>
      <c r="P231">
        <f>2*(Scenario_Data!B231*1000)/Inputs!$C$21*1000000</f>
        <v/>
      </c>
      <c r="Q231">
        <f>Scenario_Data!U231</f>
        <v/>
      </c>
      <c r="R231">
        <f>2*(Scenario_Data!C231*1000)/Inputs!$C$21*1000000</f>
        <v/>
      </c>
      <c r="S231">
        <f>Scenario_Data!V231</f>
        <v/>
      </c>
      <c r="T231">
        <f>2*(Scenario_Data!D231*1000)/Inputs!$C$21*1000000</f>
        <v/>
      </c>
      <c r="U231">
        <f>Scenario_Data!W231</f>
        <v/>
      </c>
      <c r="V231">
        <f>2*(Scenario_Data!E231*1000)/Inputs!$C$21*1000000</f>
        <v/>
      </c>
      <c r="X231">
        <f>Scenario_Data!T231</f>
        <v/>
      </c>
      <c r="Y231">
        <f>2*((Scenario_Data!B231*1000)-(IF(OR(Inputs!$C$27=TRUE,Inputs!$C$27="TRUE",Inputs!$C$27=1),1,0)*(Inputs!$C$51*(115*EXP(-(((0)-25)^2)/(4.5^2))+70*EXP(-(((0)+38)^2)/(7^2))*(0.55+0.45*SIN(2*PI()*(Scenario_Data!T231)/45))+24*SIN(2*PI()*(0)/9+(Scenario_Data!T231)/18)*EXP(-(((0)+5)^2)/(22^2))+18*SIN(2*PI()*(Scenario_Data!T231)/70))+Inputs!$C$28*EXP(-(((Scenario_Data!T231)-Inputs!$C$29)^2)/(2*Inputs!$C$31^2))*EXP(-(((0)-Inputs!$C$30)^2)/(2*Inputs!$C$32^2))+-Inputs!$C$33*EXP(-(((((Scenario_Data!T231)-Inputs!$C$34)^2)+(((0)-Inputs!$C$35)^2))/(2*Inputs!$C$36^2)))+Inputs!$C$37*(0.55*SIN(2*PI()*(Scenario_Data!T231)/Inputs!$C$39)+0.35*COS(2*PI()*(0)/Inputs!$C$40)+0.2*SIN(2*PI()*((Scenario_Data!T231)+(0))/(0.5*(Inputs!$C$39+Inputs!$C$40))))+Inputs!$C$38*SIN(2*PI()*(Scenario_Data!T231)/Inputs!$C$39)*SIN(2*PI()*(0)/Inputs!$C$40)+-Inputs!$C$41*EXP(-(((0)-Inputs!$C$43)^2)/(2*Inputs!$C$44^2))*EXP(-(((Scenario_Data!T231)-Inputs!$C$42)^2)/(2*Inputs!$C$45^2))+Inputs!$C$48*(0.7*(0.45*SIN(2*PI()*(((Scenario_Data!T231)/Inputs!$C$49)+Inputs!$C$47*0.137))+0.35*COS(2*PI()*(((0)/Inputs!$C$50)+Inputs!$C$47*0.173))+0.2*SIN(2*PI()*((((Scenario_Data!T231)+(0))/(0.5*(Inputs!$C$49+Inputs!$C$50)))+Inputs!$C$47*0.097)))+0.3*(2*((SIN(((Scenario_Data!T231)*12.9898+(0)*78.233+Inputs!$C$47*37.719))*43758.5453)-INT((SIN(((Scenario_Data!T231)*12.9898+(0)*78.233+Inputs!$C$47*37.719))*43758.5453)))-1)))))/Inputs!$C$21*1000000</f>
        <v/>
      </c>
      <c r="Z231">
        <f>Scenario_Data!U231</f>
        <v/>
      </c>
      <c r="AA231">
        <f>2*((Scenario_Data!C231*1000)-(IF(OR(Inputs!$C$27=TRUE,Inputs!$C$27="TRUE",Inputs!$C$27=1),1,0)*(Inputs!$C$51*(115*EXP(-(((0)-25)^2)/(4.5^2))+70*EXP(-(((0)+38)^2)/(7^2))*(0.55+0.45*SIN(2*PI()*(Scenario_Data!U231)/45))+24*SIN(2*PI()*(0)/9+(Scenario_Data!U231)/18)*EXP(-(((0)+5)^2)/(22^2))+18*SIN(2*PI()*(Scenario_Data!U231)/70))+Inputs!$C$28*EXP(-(((Scenario_Data!U231)-Inputs!$C$29)^2)/(2*Inputs!$C$31^2))*EXP(-(((0)-Inputs!$C$30)^2)/(2*Inputs!$C$32^2))+-Inputs!$C$33*EXP(-(((((Scenario_Data!U231)-Inputs!$C$34)^2)+(((0)-Inputs!$C$35)^2))/(2*Inputs!$C$36^2)))+Inputs!$C$37*(0.55*SIN(2*PI()*(Scenario_Data!U231)/Inputs!$C$39)+0.35*COS(2*PI()*(0)/Inputs!$C$40)+0.2*SIN(2*PI()*((Scenario_Data!U231)+(0))/(0.5*(Inputs!$C$39+Inputs!$C$40))))+Inputs!$C$38*SIN(2*PI()*(Scenario_Data!U231)/Inputs!$C$39)*SIN(2*PI()*(0)/Inputs!$C$40)+-Inputs!$C$41*EXP(-(((0)-Inputs!$C$43)^2)/(2*Inputs!$C$44^2))*EXP(-(((Scenario_Data!U231)-Inputs!$C$42)^2)/(2*Inputs!$C$45^2))+Inputs!$C$48*(0.7*(0.45*SIN(2*PI()*(((Scenario_Data!U231)/Inputs!$C$49)+Inputs!$C$47*0.137))+0.35*COS(2*PI()*(((0)/Inputs!$C$50)+Inputs!$C$47*0.173))+0.2*SIN(2*PI()*((((Scenario_Data!U231)+(0))/(0.5*(Inputs!$C$49+Inputs!$C$50)))+Inputs!$C$47*0.097)))+0.3*(2*((SIN(((Scenario_Data!U231)*12.9898+(0)*78.233+Inputs!$C$47*37.719))*43758.5453)-INT((SIN(((Scenario_Data!U231)*12.9898+(0)*78.233+Inputs!$C$47*37.719))*43758.5453)))-1)))))/Inputs!$C$21*1000000</f>
        <v/>
      </c>
      <c r="AB231">
        <f>Scenario_Data!V231</f>
        <v/>
      </c>
      <c r="AC231">
        <f>2*((Scenario_Data!D231*1000)-(IF(OR(Inputs!$C$27=TRUE,Inputs!$C$27="TRUE",Inputs!$C$27=1),1,0)*(Inputs!$C$51*(115*EXP(-(((0)-25)^2)/(4.5^2))+70*EXP(-(((0)+38)^2)/(7^2))*(0.55+0.45*SIN(2*PI()*(Scenario_Data!V231)/45))+24*SIN(2*PI()*(0)/9+(Scenario_Data!V231)/18)*EXP(-(((0)+5)^2)/(22^2))+18*SIN(2*PI()*(Scenario_Data!V231)/70))+Inputs!$C$28*EXP(-(((Scenario_Data!V231)-Inputs!$C$29)^2)/(2*Inputs!$C$31^2))*EXP(-(((0)-Inputs!$C$30)^2)/(2*Inputs!$C$32^2))+-Inputs!$C$33*EXP(-(((((Scenario_Data!V231)-Inputs!$C$34)^2)+(((0)-Inputs!$C$35)^2))/(2*Inputs!$C$36^2)))+Inputs!$C$37*(0.55*SIN(2*PI()*(Scenario_Data!V231)/Inputs!$C$39)+0.35*COS(2*PI()*(0)/Inputs!$C$40)+0.2*SIN(2*PI()*((Scenario_Data!V231)+(0))/(0.5*(Inputs!$C$39+Inputs!$C$40))))+Inputs!$C$38*SIN(2*PI()*(Scenario_Data!V231)/Inputs!$C$39)*SIN(2*PI()*(0)/Inputs!$C$40)+-Inputs!$C$41*EXP(-(((0)-Inputs!$C$43)^2)/(2*Inputs!$C$44^2))*EXP(-(((Scenario_Data!V231)-Inputs!$C$42)^2)/(2*Inputs!$C$45^2))+Inputs!$C$48*(0.7*(0.45*SIN(2*PI()*(((Scenario_Data!V231)/Inputs!$C$49)+Inputs!$C$47*0.137))+0.35*COS(2*PI()*(((0)/Inputs!$C$50)+Inputs!$C$47*0.173))+0.2*SIN(2*PI()*((((Scenario_Data!V231)+(0))/(0.5*(Inputs!$C$49+Inputs!$C$50)))+Inputs!$C$47*0.097)))+0.3*(2*((SIN(((Scenario_Data!V231)*12.9898+(0)*78.233+Inputs!$C$47*37.719))*43758.5453)-INT((SIN(((Scenario_Data!V231)*12.9898+(0)*78.233+Inputs!$C$47*37.719))*43758.5453)))-1)))))/Inputs!$C$21*1000000</f>
        <v/>
      </c>
      <c r="AD231">
        <f>Scenario_Data!W231</f>
        <v/>
      </c>
      <c r="AE231">
        <f>2*((Scenario_Data!E231*1000)-(IF(OR(Inputs!$C$27=TRUE,Inputs!$C$27="TRUE",Inputs!$C$27=1),1,0)*(Inputs!$C$51*(115*EXP(-(((0)-25)^2)/(4.5^2))+70*EXP(-(((0)+38)^2)/(7^2))*(0.55+0.45*SIN(2*PI()*(Scenario_Data!W231)/45))+24*SIN(2*PI()*(0)/9+(Scenario_Data!W231)/18)*EXP(-(((0)+5)^2)/(22^2))+18*SIN(2*PI()*(Scenario_Data!W231)/70))+Inputs!$C$28*EXP(-(((Scenario_Data!W231)-Inputs!$C$29)^2)/(2*Inputs!$C$31^2))*EXP(-(((0)-Inputs!$C$30)^2)/(2*Inputs!$C$32^2))+-Inputs!$C$33*EXP(-(((((Scenario_Data!W231)-Inputs!$C$34)^2)+(((0)-Inputs!$C$35)^2))/(2*Inputs!$C$36^2)))+Inputs!$C$37*(0.55*SIN(2*PI()*(Scenario_Data!W231)/Inputs!$C$39)+0.35*COS(2*PI()*(0)/Inputs!$C$40)+0.2*SIN(2*PI()*((Scenario_Data!W231)+(0))/(0.5*(Inputs!$C$39+Inputs!$C$40))))+Inputs!$C$38*SIN(2*PI()*(Scenario_Data!W231)/Inputs!$C$39)*SIN(2*PI()*(0)/Inputs!$C$40)+-Inputs!$C$41*EXP(-(((0)-Inputs!$C$43)^2)/(2*Inputs!$C$44^2))*EXP(-(((Scenario_Data!W231)-Inputs!$C$42)^2)/(2*Inputs!$C$45^2))+Inputs!$C$48*(0.7*(0.45*SIN(2*PI()*(((Scenario_Data!W231)/Inputs!$C$49)+Inputs!$C$47*0.137))+0.35*COS(2*PI()*(((0)/Inputs!$C$50)+Inputs!$C$47*0.173))+0.2*SIN(2*PI()*((((Scenario_Data!W231)+(0))/(0.5*(Inputs!$C$49+Inputs!$C$50)))+Inputs!$C$47*0.097)))+0.3*(2*((SIN(((Scenario_Data!W231)*12.9898+(0)*78.233+Inputs!$C$47*37.719))*43758.5453)-INT((SIN(((Scenario_Data!W231)*12.9898+(0)*78.233+Inputs!$C$47*37.719))*43758.5453)))-1)))))/Inputs!$C$21*1000000</f>
        <v/>
      </c>
      <c r="AG231">
        <f>Scenario_Data!T231</f>
        <v/>
      </c>
      <c r="AH231">
        <f>2*(SQRT((Inputs!$C$52+(Scenario_Data!B231))^2+Inputs!$C$52^2-2*(Inputs!$C$52+(Scenario_Data!B231))*Inputs!$C$52*COS(SQRT((Scenario_Data!T231)^2+Inputs!$C$6^2)/Inputs!$C$52))*1000)/Inputs!$C$21*1000000</f>
        <v/>
      </c>
      <c r="AI231">
        <f>Scenario_Data!U231</f>
        <v/>
      </c>
      <c r="AJ231">
        <f>2*(SQRT((Inputs!$C$52+(Scenario_Data!C231))^2+Inputs!$C$52^2-2*(Inputs!$C$52+(Scenario_Data!C231))*Inputs!$C$52*COS(SQRT((Scenario_Data!U231)^2+Inputs!$C$6^2)/Inputs!$C$52))*1000)/Inputs!$C$21*1000000</f>
        <v/>
      </c>
      <c r="AK231">
        <f>Scenario_Data!V231</f>
        <v/>
      </c>
      <c r="AL231">
        <f>2*(SQRT((Inputs!$C$52+(Scenario_Data!D231))^2+Inputs!$C$52^2-2*(Inputs!$C$52+(Scenario_Data!D231))*Inputs!$C$52*COS(SQRT((Scenario_Data!V231)^2+Inputs!$C$6^2)/Inputs!$C$52))*1000)/Inputs!$C$21*1000000</f>
        <v/>
      </c>
      <c r="AM231">
        <f>Scenario_Data!W231</f>
        <v/>
      </c>
      <c r="AN231">
        <f>2*(SQRT((Inputs!$C$52+(Scenario_Data!E231))^2+Inputs!$C$52^2-2*(Inputs!$C$52+(Scenario_Data!E231))*Inputs!$C$52*COS(SQRT((Scenario_Data!W231)^2+Inputs!$C$6^2)/Inputs!$C$52))*1000)/Inputs!$C$21*1000000</f>
        <v/>
      </c>
      <c r="AP231">
        <f>Scenario_Data!T231</f>
        <v/>
      </c>
      <c r="AQ231">
        <f>2*(SQRT((Inputs!$C$52+(Scenario_Data!B231))^2+(Inputs!$C$52+((IF(OR(Inputs!$C$27=TRUE,Inputs!$C$27="TRUE",Inputs!$C$27=1),1,0)*(Inputs!$C$51*(115*EXP(-(((Inputs!$C$6)-25)^2)/(4.5^2))+70*EXP(-(((Inputs!$C$6)+38)^2)/(7^2))*(0.55+0.45*SIN(2*PI()*(Scenario_Data!T231)/45))+24*SIN(2*PI()*(Inputs!$C$6)/9+(Scenario_Data!T231)/18)*EXP(-(((Inputs!$C$6)+5)^2)/(22^2))+18*SIN(2*PI()*(Scenario_Data!T231)/70))+Inputs!$C$28*EXP(-(((Scenario_Data!T231)-Inputs!$C$29)^2)/(2*Inputs!$C$31^2))*EXP(-(((Inputs!$C$6)-Inputs!$C$30)^2)/(2*Inputs!$C$32^2))+-Inputs!$C$33*EXP(-(((((Scenario_Data!T231)-Inputs!$C$34)^2)+(((Inputs!$C$6)-Inputs!$C$35)^2))/(2*Inputs!$C$36^2)))+Inputs!$C$37*(0.55*SIN(2*PI()*(Scenario_Data!T231)/Inputs!$C$39)+0.35*COS(2*PI()*(Inputs!$C$6)/Inputs!$C$40)+0.2*SIN(2*PI()*((Scenario_Data!T231)+(Inputs!$C$6))/(0.5*(Inputs!$C$39+Inputs!$C$40))))+Inputs!$C$38*SIN(2*PI()*(Scenario_Data!T231)/Inputs!$C$39)*SIN(2*PI()*(Inputs!$C$6)/Inputs!$C$40)+-Inputs!$C$41*EXP(-(((Inputs!$C$6)-Inputs!$C$43)^2)/(2*Inputs!$C$44^2))*EXP(-(((Scenario_Data!T231)-Inputs!$C$42)^2)/(2*Inputs!$C$45^2))+Inputs!$C$48*(0.7*(0.45*SIN(2*PI()*(((Scenario_Data!T231)/Inputs!$C$49)+Inputs!$C$47*0.137))+0.35*COS(2*PI()*(((Inputs!$C$6)/Inputs!$C$50)+Inputs!$C$47*0.173))+0.2*SIN(2*PI()*((((Scenario_Data!T231)+(Inputs!$C$6))/(0.5*(Inputs!$C$49+Inputs!$C$50)))+Inputs!$C$47*0.097)))+0.3*(2*((SIN(((Scenario_Data!T231)*12.9898+(Inputs!$C$6)*78.233+Inputs!$C$47*37.719))*43758.5453)-INT((SIN(((Scenario_Data!T231)*12.9898+(Inputs!$C$6)*78.233+Inputs!$C$47*37.719))*43758.5453)))-1))))/1000))^2-2*(Inputs!$C$52+(Scenario_Data!B231))*(Inputs!$C$52+((IF(OR(Inputs!$C$27=TRUE,Inputs!$C$27="TRUE",Inputs!$C$27=1),1,0)*(Inputs!$C$51*(115*EXP(-(((Inputs!$C$6)-25)^2)/(4.5^2))+70*EXP(-(((Inputs!$C$6)+38)^2)/(7^2))*(0.55+0.45*SIN(2*PI()*(Scenario_Data!T231)/45))+24*SIN(2*PI()*(Inputs!$C$6)/9+(Scenario_Data!T231)/18)*EXP(-(((Inputs!$C$6)+5)^2)/(22^2))+18*SIN(2*PI()*(Scenario_Data!T231)/70))+Inputs!$C$28*EXP(-(((Scenario_Data!T231)-Inputs!$C$29)^2)/(2*Inputs!$C$31^2))*EXP(-(((Inputs!$C$6)-Inputs!$C$30)^2)/(2*Inputs!$C$32^2))+-Inputs!$C$33*EXP(-(((((Scenario_Data!T231)-Inputs!$C$34)^2)+(((Inputs!$C$6)-Inputs!$C$35)^2))/(2*Inputs!$C$36^2)))+Inputs!$C$37*(0.55*SIN(2*PI()*(Scenario_Data!T231)/Inputs!$C$39)+0.35*COS(2*PI()*(Inputs!$C$6)/Inputs!$C$40)+0.2*SIN(2*PI()*((Scenario_Data!T231)+(Inputs!$C$6))/(0.5*(Inputs!$C$39+Inputs!$C$40))))+Inputs!$C$38*SIN(2*PI()*(Scenario_Data!T231)/Inputs!$C$39)*SIN(2*PI()*(Inputs!$C$6)/Inputs!$C$40)+-Inputs!$C$41*EXP(-(((Inputs!$C$6)-Inputs!$C$43)^2)/(2*Inputs!$C$44^2))*EXP(-(((Scenario_Data!T231)-Inputs!$C$42)^2)/(2*Inputs!$C$45^2))+Inputs!$C$48*(0.7*(0.45*SIN(2*PI()*(((Scenario_Data!T231)/Inputs!$C$49)+Inputs!$C$47*0.137))+0.35*COS(2*PI()*(((Inputs!$C$6)/Inputs!$C$50)+Inputs!$C$47*0.173))+0.2*SIN(2*PI()*((((Scenario_Data!T231)+(Inputs!$C$6))/(0.5*(Inputs!$C$49+Inputs!$C$50)))+Inputs!$C$47*0.097)))+0.3*(2*((SIN(((Scenario_Data!T231)*12.9898+(Inputs!$C$6)*78.233+Inputs!$C$47*37.719))*43758.5453)-INT((SIN(((Scenario_Data!T231)*12.9898+(Inputs!$C$6)*78.233+Inputs!$C$47*37.719))*43758.5453)))-1))))/1000))*COS(SQRT((Scenario_Data!T231)^2+Inputs!$C$6^2)/Inputs!$C$52))*1000)/Inputs!$C$21*1000000</f>
        <v/>
      </c>
      <c r="AR231">
        <f>Scenario_Data!U231</f>
        <v/>
      </c>
      <c r="AS231">
        <f>2*(SQRT((Inputs!$C$52+(Scenario_Data!C231))^2+(Inputs!$C$52+((IF(OR(Inputs!$C$27=TRUE,Inputs!$C$27="TRUE",Inputs!$C$27=1),1,0)*(Inputs!$C$51*(115*EXP(-(((Inputs!$C$6)-25)^2)/(4.5^2))+70*EXP(-(((Inputs!$C$6)+38)^2)/(7^2))*(0.55+0.45*SIN(2*PI()*(Scenario_Data!U231)/45))+24*SIN(2*PI()*(Inputs!$C$6)/9+(Scenario_Data!U231)/18)*EXP(-(((Inputs!$C$6)+5)^2)/(22^2))+18*SIN(2*PI()*(Scenario_Data!U231)/70))+Inputs!$C$28*EXP(-(((Scenario_Data!U231)-Inputs!$C$29)^2)/(2*Inputs!$C$31^2))*EXP(-(((Inputs!$C$6)-Inputs!$C$30)^2)/(2*Inputs!$C$32^2))+-Inputs!$C$33*EXP(-(((((Scenario_Data!U231)-Inputs!$C$34)^2)+(((Inputs!$C$6)-Inputs!$C$35)^2))/(2*Inputs!$C$36^2)))+Inputs!$C$37*(0.55*SIN(2*PI()*(Scenario_Data!U231)/Inputs!$C$39)+0.35*COS(2*PI()*(Inputs!$C$6)/Inputs!$C$40)+0.2*SIN(2*PI()*((Scenario_Data!U231)+(Inputs!$C$6))/(0.5*(Inputs!$C$39+Inputs!$C$40))))+Inputs!$C$38*SIN(2*PI()*(Scenario_Data!U231)/Inputs!$C$39)*SIN(2*PI()*(Inputs!$C$6)/Inputs!$C$40)+-Inputs!$C$41*EXP(-(((Inputs!$C$6)-Inputs!$C$43)^2)/(2*Inputs!$C$44^2))*EXP(-(((Scenario_Data!U231)-Inputs!$C$42)^2)/(2*Inputs!$C$45^2))+Inputs!$C$48*(0.7*(0.45*SIN(2*PI()*(((Scenario_Data!U231)/Inputs!$C$49)+Inputs!$C$47*0.137))+0.35*COS(2*PI()*(((Inputs!$C$6)/Inputs!$C$50)+Inputs!$C$47*0.173))+0.2*SIN(2*PI()*((((Scenario_Data!U231)+(Inputs!$C$6))/(0.5*(Inputs!$C$49+Inputs!$C$50)))+Inputs!$C$47*0.097)))+0.3*(2*((SIN(((Scenario_Data!U231)*12.9898+(Inputs!$C$6)*78.233+Inputs!$C$47*37.719))*43758.5453)-INT((SIN(((Scenario_Data!U231)*12.9898+(Inputs!$C$6)*78.233+Inputs!$C$47*37.719))*43758.5453)))-1))))/1000))^2-2*(Inputs!$C$52+(Scenario_Data!C231))*(Inputs!$C$52+((IF(OR(Inputs!$C$27=TRUE,Inputs!$C$27="TRUE",Inputs!$C$27=1),1,0)*(Inputs!$C$51*(115*EXP(-(((Inputs!$C$6)-25)^2)/(4.5^2))+70*EXP(-(((Inputs!$C$6)+38)^2)/(7^2))*(0.55+0.45*SIN(2*PI()*(Scenario_Data!U231)/45))+24*SIN(2*PI()*(Inputs!$C$6)/9+(Scenario_Data!U231)/18)*EXP(-(((Inputs!$C$6)+5)^2)/(22^2))+18*SIN(2*PI()*(Scenario_Data!U231)/70))+Inputs!$C$28*EXP(-(((Scenario_Data!U231)-Inputs!$C$29)^2)/(2*Inputs!$C$31^2))*EXP(-(((Inputs!$C$6)-Inputs!$C$30)^2)/(2*Inputs!$C$32^2))+-Inputs!$C$33*EXP(-(((((Scenario_Data!U231)-Inputs!$C$34)^2)+(((Inputs!$C$6)-Inputs!$C$35)^2))/(2*Inputs!$C$36^2)))+Inputs!$C$37*(0.55*SIN(2*PI()*(Scenario_Data!U231)/Inputs!$C$39)+0.35*COS(2*PI()*(Inputs!$C$6)/Inputs!$C$40)+0.2*SIN(2*PI()*((Scenario_Data!U231)+(Inputs!$C$6))/(0.5*(Inputs!$C$39+Inputs!$C$40))))+Inputs!$C$38*SIN(2*PI()*(Scenario_Data!U231)/Inputs!$C$39)*SIN(2*PI()*(Inputs!$C$6)/Inputs!$C$40)+-Inputs!$C$41*EXP(-(((Inputs!$C$6)-Inputs!$C$43)^2)/(2*Inputs!$C$44^2))*EXP(-(((Scenario_Data!U231)-Inputs!$C$42)^2)/(2*Inputs!$C$45^2))+Inputs!$C$48*(0.7*(0.45*SIN(2*PI()*(((Scenario_Data!U231)/Inputs!$C$49)+Inputs!$C$47*0.137))+0.35*COS(2*PI()*(((Inputs!$C$6)/Inputs!$C$50)+Inputs!$C$47*0.173))+0.2*SIN(2*PI()*((((Scenario_Data!U231)+(Inputs!$C$6))/(0.5*(Inputs!$C$49+Inputs!$C$50)))+Inputs!$C$47*0.097)))+0.3*(2*((SIN(((Scenario_Data!U231)*12.9898+(Inputs!$C$6)*78.233+Inputs!$C$47*37.719))*43758.5453)-INT((SIN(((Scenario_Data!U231)*12.9898+(Inputs!$C$6)*78.233+Inputs!$C$47*37.719))*43758.5453)))-1))))/1000))*COS(SQRT((Scenario_Data!U231)^2+Inputs!$C$6^2)/Inputs!$C$52))*1000)/Inputs!$C$21*1000000</f>
        <v/>
      </c>
      <c r="AT231">
        <f>Scenario_Data!V231</f>
        <v/>
      </c>
      <c r="AU231">
        <f>2*(SQRT((Inputs!$C$52+(Scenario_Data!D231))^2+(Inputs!$C$52+((IF(OR(Inputs!$C$27=TRUE,Inputs!$C$27="TRUE",Inputs!$C$27=1),1,0)*(Inputs!$C$51*(115*EXP(-(((Inputs!$C$6)-25)^2)/(4.5^2))+70*EXP(-(((Inputs!$C$6)+38)^2)/(7^2))*(0.55+0.45*SIN(2*PI()*(Scenario_Data!V231)/45))+24*SIN(2*PI()*(Inputs!$C$6)/9+(Scenario_Data!V231)/18)*EXP(-(((Inputs!$C$6)+5)^2)/(22^2))+18*SIN(2*PI()*(Scenario_Data!V231)/70))+Inputs!$C$28*EXP(-(((Scenario_Data!V231)-Inputs!$C$29)^2)/(2*Inputs!$C$31^2))*EXP(-(((Inputs!$C$6)-Inputs!$C$30)^2)/(2*Inputs!$C$32^2))+-Inputs!$C$33*EXP(-(((((Scenario_Data!V231)-Inputs!$C$34)^2)+(((Inputs!$C$6)-Inputs!$C$35)^2))/(2*Inputs!$C$36^2)))+Inputs!$C$37*(0.55*SIN(2*PI()*(Scenario_Data!V231)/Inputs!$C$39)+0.35*COS(2*PI()*(Inputs!$C$6)/Inputs!$C$40)+0.2*SIN(2*PI()*((Scenario_Data!V231)+(Inputs!$C$6))/(0.5*(Inputs!$C$39+Inputs!$C$40))))+Inputs!$C$38*SIN(2*PI()*(Scenario_Data!V231)/Inputs!$C$39)*SIN(2*PI()*(Inputs!$C$6)/Inputs!$C$40)+-Inputs!$C$41*EXP(-(((Inputs!$C$6)-Inputs!$C$43)^2)/(2*Inputs!$C$44^2))*EXP(-(((Scenario_Data!V231)-Inputs!$C$42)^2)/(2*Inputs!$C$45^2))+Inputs!$C$48*(0.7*(0.45*SIN(2*PI()*(((Scenario_Data!V231)/Inputs!$C$49)+Inputs!$C$47*0.137))+0.35*COS(2*PI()*(((Inputs!$C$6)/Inputs!$C$50)+Inputs!$C$47*0.173))+0.2*SIN(2*PI()*((((Scenario_Data!V231)+(Inputs!$C$6))/(0.5*(Inputs!$C$49+Inputs!$C$50)))+Inputs!$C$47*0.097)))+0.3*(2*((SIN(((Scenario_Data!V231)*12.9898+(Inputs!$C$6)*78.233+Inputs!$C$47*37.719))*43758.5453)-INT((SIN(((Scenario_Data!V231)*12.9898+(Inputs!$C$6)*78.233+Inputs!$C$47*37.719))*43758.5453)))-1))))/1000))^2-2*(Inputs!$C$52+(Scenario_Data!D231))*(Inputs!$C$52+((IF(OR(Inputs!$C$27=TRUE,Inputs!$C$27="TRUE",Inputs!$C$27=1),1,0)*(Inputs!$C$51*(115*EXP(-(((Inputs!$C$6)-25)^2)/(4.5^2))+70*EXP(-(((Inputs!$C$6)+38)^2)/(7^2))*(0.55+0.45*SIN(2*PI()*(Scenario_Data!V231)/45))+24*SIN(2*PI()*(Inputs!$C$6)/9+(Scenario_Data!V231)/18)*EXP(-(((Inputs!$C$6)+5)^2)/(22^2))+18*SIN(2*PI()*(Scenario_Data!V231)/70))+Inputs!$C$28*EXP(-(((Scenario_Data!V231)-Inputs!$C$29)^2)/(2*Inputs!$C$31^2))*EXP(-(((Inputs!$C$6)-Inputs!$C$30)^2)/(2*Inputs!$C$32^2))+-Inputs!$C$33*EXP(-(((((Scenario_Data!V231)-Inputs!$C$34)^2)+(((Inputs!$C$6)-Inputs!$C$35)^2))/(2*Inputs!$C$36^2)))+Inputs!$C$37*(0.55*SIN(2*PI()*(Scenario_Data!V231)/Inputs!$C$39)+0.35*COS(2*PI()*(Inputs!$C$6)/Inputs!$C$40)+0.2*SIN(2*PI()*((Scenario_Data!V231)+(Inputs!$C$6))/(0.5*(Inputs!$C$39+Inputs!$C$40))))+Inputs!$C$38*SIN(2*PI()*(Scenario_Data!V231)/Inputs!$C$39)*SIN(2*PI()*(Inputs!$C$6)/Inputs!$C$40)+-Inputs!$C$41*EXP(-(((Inputs!$C$6)-Inputs!$C$43)^2)/(2*Inputs!$C$44^2))*EXP(-(((Scenario_Data!V231)-Inputs!$C$42)^2)/(2*Inputs!$C$45^2))+Inputs!$C$48*(0.7*(0.45*SIN(2*PI()*(((Scenario_Data!V231)/Inputs!$C$49)+Inputs!$C$47*0.137))+0.35*COS(2*PI()*(((Inputs!$C$6)/Inputs!$C$50)+Inputs!$C$47*0.173))+0.2*SIN(2*PI()*((((Scenario_Data!V231)+(Inputs!$C$6))/(0.5*(Inputs!$C$49+Inputs!$C$50)))+Inputs!$C$47*0.097)))+0.3*(2*((SIN(((Scenario_Data!V231)*12.9898+(Inputs!$C$6)*78.233+Inputs!$C$47*37.719))*43758.5453)-INT((SIN(((Scenario_Data!V231)*12.9898+(Inputs!$C$6)*78.233+Inputs!$C$47*37.719))*43758.5453)))-1))))/1000))*COS(SQRT((Scenario_Data!V231)^2+Inputs!$C$6^2)/Inputs!$C$52))*1000)/Inputs!$C$21*1000000</f>
        <v/>
      </c>
      <c r="AV231">
        <f>Scenario_Data!W231</f>
        <v/>
      </c>
      <c r="AW231">
        <f>2*(SQRT((Inputs!$C$52+(Scenario_Data!E231))^2+(Inputs!$C$52+((IF(OR(Inputs!$C$27=TRUE,Inputs!$C$27="TRUE",Inputs!$C$27=1),1,0)*(Inputs!$C$51*(115*EXP(-(((Inputs!$C$6)-25)^2)/(4.5^2))+70*EXP(-(((Inputs!$C$6)+38)^2)/(7^2))*(0.55+0.45*SIN(2*PI()*(Scenario_Data!W231)/45))+24*SIN(2*PI()*(Inputs!$C$6)/9+(Scenario_Data!W231)/18)*EXP(-(((Inputs!$C$6)+5)^2)/(22^2))+18*SIN(2*PI()*(Scenario_Data!W231)/70))+Inputs!$C$28*EXP(-(((Scenario_Data!W231)-Inputs!$C$29)^2)/(2*Inputs!$C$31^2))*EXP(-(((Inputs!$C$6)-Inputs!$C$30)^2)/(2*Inputs!$C$32^2))+-Inputs!$C$33*EXP(-(((((Scenario_Data!W231)-Inputs!$C$34)^2)+(((Inputs!$C$6)-Inputs!$C$35)^2))/(2*Inputs!$C$36^2)))+Inputs!$C$37*(0.55*SIN(2*PI()*(Scenario_Data!W231)/Inputs!$C$39)+0.35*COS(2*PI()*(Inputs!$C$6)/Inputs!$C$40)+0.2*SIN(2*PI()*((Scenario_Data!W231)+(Inputs!$C$6))/(0.5*(Inputs!$C$39+Inputs!$C$40))))+Inputs!$C$38*SIN(2*PI()*(Scenario_Data!W231)/Inputs!$C$39)*SIN(2*PI()*(Inputs!$C$6)/Inputs!$C$40)+-Inputs!$C$41*EXP(-(((Inputs!$C$6)-Inputs!$C$43)^2)/(2*Inputs!$C$44^2))*EXP(-(((Scenario_Data!W231)-Inputs!$C$42)^2)/(2*Inputs!$C$45^2))+Inputs!$C$48*(0.7*(0.45*SIN(2*PI()*(((Scenario_Data!W231)/Inputs!$C$49)+Inputs!$C$47*0.137))+0.35*COS(2*PI()*(((Inputs!$C$6)/Inputs!$C$50)+Inputs!$C$47*0.173))+0.2*SIN(2*PI()*((((Scenario_Data!W231)+(Inputs!$C$6))/(0.5*(Inputs!$C$49+Inputs!$C$50)))+Inputs!$C$47*0.097)))+0.3*(2*((SIN(((Scenario_Data!W231)*12.9898+(Inputs!$C$6)*78.233+Inputs!$C$47*37.719))*43758.5453)-INT((SIN(((Scenario_Data!W231)*12.9898+(Inputs!$C$6)*78.233+Inputs!$C$47*37.719))*43758.5453)))-1))))/1000))^2-2*(Inputs!$C$52+(Scenario_Data!E231))*(Inputs!$C$52+((IF(OR(Inputs!$C$27=TRUE,Inputs!$C$27="TRUE",Inputs!$C$27=1),1,0)*(Inputs!$C$51*(115*EXP(-(((Inputs!$C$6)-25)^2)/(4.5^2))+70*EXP(-(((Inputs!$C$6)+38)^2)/(7^2))*(0.55+0.45*SIN(2*PI()*(Scenario_Data!W231)/45))+24*SIN(2*PI()*(Inputs!$C$6)/9+(Scenario_Data!W231)/18)*EXP(-(((Inputs!$C$6)+5)^2)/(22^2))+18*SIN(2*PI()*(Scenario_Data!W231)/70))+Inputs!$C$28*EXP(-(((Scenario_Data!W231)-Inputs!$C$29)^2)/(2*Inputs!$C$31^2))*EXP(-(((Inputs!$C$6)-Inputs!$C$30)^2)/(2*Inputs!$C$32^2))+-Inputs!$C$33*EXP(-(((((Scenario_Data!W231)-Inputs!$C$34)^2)+(((Inputs!$C$6)-Inputs!$C$35)^2))/(2*Inputs!$C$36^2)))+Inputs!$C$37*(0.55*SIN(2*PI()*(Scenario_Data!W231)/Inputs!$C$39)+0.35*COS(2*PI()*(Inputs!$C$6)/Inputs!$C$40)+0.2*SIN(2*PI()*((Scenario_Data!W231)+(Inputs!$C$6))/(0.5*(Inputs!$C$39+Inputs!$C$40))))+Inputs!$C$38*SIN(2*PI()*(Scenario_Data!W231)/Inputs!$C$39)*SIN(2*PI()*(Inputs!$C$6)/Inputs!$C$40)+-Inputs!$C$41*EXP(-(((Inputs!$C$6)-Inputs!$C$43)^2)/(2*Inputs!$C$44^2))*EXP(-(((Scenario_Data!W231)-Inputs!$C$42)^2)/(2*Inputs!$C$45^2))+Inputs!$C$48*(0.7*(0.45*SIN(2*PI()*(((Scenario_Data!W231)/Inputs!$C$49)+Inputs!$C$47*0.137))+0.35*COS(2*PI()*(((Inputs!$C$6)/Inputs!$C$50)+Inputs!$C$47*0.173))+0.2*SIN(2*PI()*((((Scenario_Data!W231)+(Inputs!$C$6))/(0.5*(Inputs!$C$49+Inputs!$C$50)))+Inputs!$C$47*0.097)))+0.3*(2*((SIN(((Scenario_Data!W231)*12.9898+(Inputs!$C$6)*78.233+Inputs!$C$47*37.719))*43758.5453)-INT((SIN(((Scenario_Data!W231)*12.9898+(Inputs!$C$6)*78.233+Inputs!$C$47*37.719))*43758.5453)))-1))))/1000))*COS(SQRT((Scenario_Data!W231)^2+Inputs!$C$6^2)/Inputs!$C$52))*1000)/Inputs!$C$21*1000000</f>
        <v/>
      </c>
    </row>
    <row r="232">
      <c r="A232">
        <f>Chart_Data!K232</f>
        <v/>
      </c>
      <c r="B232">
        <f>Chart_Data!N232-Chart_Data!L232</f>
        <v/>
      </c>
      <c r="D232">
        <f>Chart_Data!G232</f>
        <v/>
      </c>
      <c r="E232">
        <f>Chart_Data!H232</f>
        <v/>
      </c>
      <c r="F232">
        <f>Chart_Data!I232</f>
        <v/>
      </c>
      <c r="G232">
        <f>Chart_Data!J232</f>
        <v/>
      </c>
      <c r="I232">
        <f>Scenario_Data!A232</f>
        <v/>
      </c>
      <c r="J232">
        <f>Scenario_Data!H232-(((SQRT((Inputs!$C$52+(Inputs!$H$6))^2+Inputs!$C$52^2-2*(Inputs!$C$52+(Inputs!$H$6))*Inputs!$C$52*COS(SQRT((Scenario_Data!T232)^2+Inputs!$C$6^2)/Inputs!$C$52)))-(Inputs!$H$6))*1000/Inputs!$C$12)</f>
        <v/>
      </c>
      <c r="K232">
        <f>Scenario_Data!I232-(((SQRT((Inputs!$C$52+(Inputs!$H$7))^2+Inputs!$C$52^2-2*(Inputs!$C$52+(Inputs!$H$7))*Inputs!$C$52*COS(SQRT((Scenario_Data!U232)^2+Inputs!$C$6^2)/Inputs!$C$52)))-(Inputs!$H$7))*1000/Inputs!$C$12)</f>
        <v/>
      </c>
      <c r="L232">
        <f>Scenario_Data!J232-(((SQRT((Inputs!$C$52+(Inputs!$H$8))^2+Inputs!$C$52^2-2*(Inputs!$C$52+(Inputs!$H$8))*Inputs!$C$52*COS(SQRT((Scenario_Data!V232)^2+Inputs!$C$6^2)/Inputs!$C$52)))-(Inputs!$H$8))*1000/Inputs!$C$12)</f>
        <v/>
      </c>
      <c r="M232">
        <f>Scenario_Data!K232-(((SQRT((Inputs!$C$52+(Inputs!$H$9))^2+Inputs!$C$52^2-2*(Inputs!$C$52+(Inputs!$H$9))*Inputs!$C$52*COS(SQRT((Scenario_Data!W232)^2+Inputs!$C$6^2)/Inputs!$C$52)))-(Inputs!$H$9))*1000/Inputs!$C$12)</f>
        <v/>
      </c>
      <c r="O232">
        <f>Scenario_Data!T232</f>
        <v/>
      </c>
      <c r="P232">
        <f>2*(Scenario_Data!B232*1000)/Inputs!$C$21*1000000</f>
        <v/>
      </c>
      <c r="Q232">
        <f>Scenario_Data!U232</f>
        <v/>
      </c>
      <c r="R232">
        <f>2*(Scenario_Data!C232*1000)/Inputs!$C$21*1000000</f>
        <v/>
      </c>
      <c r="S232">
        <f>Scenario_Data!V232</f>
        <v/>
      </c>
      <c r="T232">
        <f>2*(Scenario_Data!D232*1000)/Inputs!$C$21*1000000</f>
        <v/>
      </c>
      <c r="U232">
        <f>Scenario_Data!W232</f>
        <v/>
      </c>
      <c r="V232">
        <f>2*(Scenario_Data!E232*1000)/Inputs!$C$21*1000000</f>
        <v/>
      </c>
      <c r="X232">
        <f>Scenario_Data!T232</f>
        <v/>
      </c>
      <c r="Y232">
        <f>2*((Scenario_Data!B232*1000)-(IF(OR(Inputs!$C$27=TRUE,Inputs!$C$27="TRUE",Inputs!$C$27=1),1,0)*(Inputs!$C$51*(115*EXP(-(((0)-25)^2)/(4.5^2))+70*EXP(-(((0)+38)^2)/(7^2))*(0.55+0.45*SIN(2*PI()*(Scenario_Data!T232)/45))+24*SIN(2*PI()*(0)/9+(Scenario_Data!T232)/18)*EXP(-(((0)+5)^2)/(22^2))+18*SIN(2*PI()*(Scenario_Data!T232)/70))+Inputs!$C$28*EXP(-(((Scenario_Data!T232)-Inputs!$C$29)^2)/(2*Inputs!$C$31^2))*EXP(-(((0)-Inputs!$C$30)^2)/(2*Inputs!$C$32^2))+-Inputs!$C$33*EXP(-(((((Scenario_Data!T232)-Inputs!$C$34)^2)+(((0)-Inputs!$C$35)^2))/(2*Inputs!$C$36^2)))+Inputs!$C$37*(0.55*SIN(2*PI()*(Scenario_Data!T232)/Inputs!$C$39)+0.35*COS(2*PI()*(0)/Inputs!$C$40)+0.2*SIN(2*PI()*((Scenario_Data!T232)+(0))/(0.5*(Inputs!$C$39+Inputs!$C$40))))+Inputs!$C$38*SIN(2*PI()*(Scenario_Data!T232)/Inputs!$C$39)*SIN(2*PI()*(0)/Inputs!$C$40)+-Inputs!$C$41*EXP(-(((0)-Inputs!$C$43)^2)/(2*Inputs!$C$44^2))*EXP(-(((Scenario_Data!T232)-Inputs!$C$42)^2)/(2*Inputs!$C$45^2))+Inputs!$C$48*(0.7*(0.45*SIN(2*PI()*(((Scenario_Data!T232)/Inputs!$C$49)+Inputs!$C$47*0.137))+0.35*COS(2*PI()*(((0)/Inputs!$C$50)+Inputs!$C$47*0.173))+0.2*SIN(2*PI()*((((Scenario_Data!T232)+(0))/(0.5*(Inputs!$C$49+Inputs!$C$50)))+Inputs!$C$47*0.097)))+0.3*(2*((SIN(((Scenario_Data!T232)*12.9898+(0)*78.233+Inputs!$C$47*37.719))*43758.5453)-INT((SIN(((Scenario_Data!T232)*12.9898+(0)*78.233+Inputs!$C$47*37.719))*43758.5453)))-1)))))/Inputs!$C$21*1000000</f>
        <v/>
      </c>
      <c r="Z232">
        <f>Scenario_Data!U232</f>
        <v/>
      </c>
      <c r="AA232">
        <f>2*((Scenario_Data!C232*1000)-(IF(OR(Inputs!$C$27=TRUE,Inputs!$C$27="TRUE",Inputs!$C$27=1),1,0)*(Inputs!$C$51*(115*EXP(-(((0)-25)^2)/(4.5^2))+70*EXP(-(((0)+38)^2)/(7^2))*(0.55+0.45*SIN(2*PI()*(Scenario_Data!U232)/45))+24*SIN(2*PI()*(0)/9+(Scenario_Data!U232)/18)*EXP(-(((0)+5)^2)/(22^2))+18*SIN(2*PI()*(Scenario_Data!U232)/70))+Inputs!$C$28*EXP(-(((Scenario_Data!U232)-Inputs!$C$29)^2)/(2*Inputs!$C$31^2))*EXP(-(((0)-Inputs!$C$30)^2)/(2*Inputs!$C$32^2))+-Inputs!$C$33*EXP(-(((((Scenario_Data!U232)-Inputs!$C$34)^2)+(((0)-Inputs!$C$35)^2))/(2*Inputs!$C$36^2)))+Inputs!$C$37*(0.55*SIN(2*PI()*(Scenario_Data!U232)/Inputs!$C$39)+0.35*COS(2*PI()*(0)/Inputs!$C$40)+0.2*SIN(2*PI()*((Scenario_Data!U232)+(0))/(0.5*(Inputs!$C$39+Inputs!$C$40))))+Inputs!$C$38*SIN(2*PI()*(Scenario_Data!U232)/Inputs!$C$39)*SIN(2*PI()*(0)/Inputs!$C$40)+-Inputs!$C$41*EXP(-(((0)-Inputs!$C$43)^2)/(2*Inputs!$C$44^2))*EXP(-(((Scenario_Data!U232)-Inputs!$C$42)^2)/(2*Inputs!$C$45^2))+Inputs!$C$48*(0.7*(0.45*SIN(2*PI()*(((Scenario_Data!U232)/Inputs!$C$49)+Inputs!$C$47*0.137))+0.35*COS(2*PI()*(((0)/Inputs!$C$50)+Inputs!$C$47*0.173))+0.2*SIN(2*PI()*((((Scenario_Data!U232)+(0))/(0.5*(Inputs!$C$49+Inputs!$C$50)))+Inputs!$C$47*0.097)))+0.3*(2*((SIN(((Scenario_Data!U232)*12.9898+(0)*78.233+Inputs!$C$47*37.719))*43758.5453)-INT((SIN(((Scenario_Data!U232)*12.9898+(0)*78.233+Inputs!$C$47*37.719))*43758.5453)))-1)))))/Inputs!$C$21*1000000</f>
        <v/>
      </c>
      <c r="AB232">
        <f>Scenario_Data!V232</f>
        <v/>
      </c>
      <c r="AC232">
        <f>2*((Scenario_Data!D232*1000)-(IF(OR(Inputs!$C$27=TRUE,Inputs!$C$27="TRUE",Inputs!$C$27=1),1,0)*(Inputs!$C$51*(115*EXP(-(((0)-25)^2)/(4.5^2))+70*EXP(-(((0)+38)^2)/(7^2))*(0.55+0.45*SIN(2*PI()*(Scenario_Data!V232)/45))+24*SIN(2*PI()*(0)/9+(Scenario_Data!V232)/18)*EXP(-(((0)+5)^2)/(22^2))+18*SIN(2*PI()*(Scenario_Data!V232)/70))+Inputs!$C$28*EXP(-(((Scenario_Data!V232)-Inputs!$C$29)^2)/(2*Inputs!$C$31^2))*EXP(-(((0)-Inputs!$C$30)^2)/(2*Inputs!$C$32^2))+-Inputs!$C$33*EXP(-(((((Scenario_Data!V232)-Inputs!$C$34)^2)+(((0)-Inputs!$C$35)^2))/(2*Inputs!$C$36^2)))+Inputs!$C$37*(0.55*SIN(2*PI()*(Scenario_Data!V232)/Inputs!$C$39)+0.35*COS(2*PI()*(0)/Inputs!$C$40)+0.2*SIN(2*PI()*((Scenario_Data!V232)+(0))/(0.5*(Inputs!$C$39+Inputs!$C$40))))+Inputs!$C$38*SIN(2*PI()*(Scenario_Data!V232)/Inputs!$C$39)*SIN(2*PI()*(0)/Inputs!$C$40)+-Inputs!$C$41*EXP(-(((0)-Inputs!$C$43)^2)/(2*Inputs!$C$44^2))*EXP(-(((Scenario_Data!V232)-Inputs!$C$42)^2)/(2*Inputs!$C$45^2))+Inputs!$C$48*(0.7*(0.45*SIN(2*PI()*(((Scenario_Data!V232)/Inputs!$C$49)+Inputs!$C$47*0.137))+0.35*COS(2*PI()*(((0)/Inputs!$C$50)+Inputs!$C$47*0.173))+0.2*SIN(2*PI()*((((Scenario_Data!V232)+(0))/(0.5*(Inputs!$C$49+Inputs!$C$50)))+Inputs!$C$47*0.097)))+0.3*(2*((SIN(((Scenario_Data!V232)*12.9898+(0)*78.233+Inputs!$C$47*37.719))*43758.5453)-INT((SIN(((Scenario_Data!V232)*12.9898+(0)*78.233+Inputs!$C$47*37.719))*43758.5453)))-1)))))/Inputs!$C$21*1000000</f>
        <v/>
      </c>
      <c r="AD232">
        <f>Scenario_Data!W232</f>
        <v/>
      </c>
      <c r="AE232">
        <f>2*((Scenario_Data!E232*1000)-(IF(OR(Inputs!$C$27=TRUE,Inputs!$C$27="TRUE",Inputs!$C$27=1),1,0)*(Inputs!$C$51*(115*EXP(-(((0)-25)^2)/(4.5^2))+70*EXP(-(((0)+38)^2)/(7^2))*(0.55+0.45*SIN(2*PI()*(Scenario_Data!W232)/45))+24*SIN(2*PI()*(0)/9+(Scenario_Data!W232)/18)*EXP(-(((0)+5)^2)/(22^2))+18*SIN(2*PI()*(Scenario_Data!W232)/70))+Inputs!$C$28*EXP(-(((Scenario_Data!W232)-Inputs!$C$29)^2)/(2*Inputs!$C$31^2))*EXP(-(((0)-Inputs!$C$30)^2)/(2*Inputs!$C$32^2))+-Inputs!$C$33*EXP(-(((((Scenario_Data!W232)-Inputs!$C$34)^2)+(((0)-Inputs!$C$35)^2))/(2*Inputs!$C$36^2)))+Inputs!$C$37*(0.55*SIN(2*PI()*(Scenario_Data!W232)/Inputs!$C$39)+0.35*COS(2*PI()*(0)/Inputs!$C$40)+0.2*SIN(2*PI()*((Scenario_Data!W232)+(0))/(0.5*(Inputs!$C$39+Inputs!$C$40))))+Inputs!$C$38*SIN(2*PI()*(Scenario_Data!W232)/Inputs!$C$39)*SIN(2*PI()*(0)/Inputs!$C$40)+-Inputs!$C$41*EXP(-(((0)-Inputs!$C$43)^2)/(2*Inputs!$C$44^2))*EXP(-(((Scenario_Data!W232)-Inputs!$C$42)^2)/(2*Inputs!$C$45^2))+Inputs!$C$48*(0.7*(0.45*SIN(2*PI()*(((Scenario_Data!W232)/Inputs!$C$49)+Inputs!$C$47*0.137))+0.35*COS(2*PI()*(((0)/Inputs!$C$50)+Inputs!$C$47*0.173))+0.2*SIN(2*PI()*((((Scenario_Data!W232)+(0))/(0.5*(Inputs!$C$49+Inputs!$C$50)))+Inputs!$C$47*0.097)))+0.3*(2*((SIN(((Scenario_Data!W232)*12.9898+(0)*78.233+Inputs!$C$47*37.719))*43758.5453)-INT((SIN(((Scenario_Data!W232)*12.9898+(0)*78.233+Inputs!$C$47*37.719))*43758.5453)))-1)))))/Inputs!$C$21*1000000</f>
        <v/>
      </c>
      <c r="AG232">
        <f>Scenario_Data!T232</f>
        <v/>
      </c>
      <c r="AH232">
        <f>2*(SQRT((Inputs!$C$52+(Scenario_Data!B232))^2+Inputs!$C$52^2-2*(Inputs!$C$52+(Scenario_Data!B232))*Inputs!$C$52*COS(SQRT((Scenario_Data!T232)^2+Inputs!$C$6^2)/Inputs!$C$52))*1000)/Inputs!$C$21*1000000</f>
        <v/>
      </c>
      <c r="AI232">
        <f>Scenario_Data!U232</f>
        <v/>
      </c>
      <c r="AJ232">
        <f>2*(SQRT((Inputs!$C$52+(Scenario_Data!C232))^2+Inputs!$C$52^2-2*(Inputs!$C$52+(Scenario_Data!C232))*Inputs!$C$52*COS(SQRT((Scenario_Data!U232)^2+Inputs!$C$6^2)/Inputs!$C$52))*1000)/Inputs!$C$21*1000000</f>
        <v/>
      </c>
      <c r="AK232">
        <f>Scenario_Data!V232</f>
        <v/>
      </c>
      <c r="AL232">
        <f>2*(SQRT((Inputs!$C$52+(Scenario_Data!D232))^2+Inputs!$C$52^2-2*(Inputs!$C$52+(Scenario_Data!D232))*Inputs!$C$52*COS(SQRT((Scenario_Data!V232)^2+Inputs!$C$6^2)/Inputs!$C$52))*1000)/Inputs!$C$21*1000000</f>
        <v/>
      </c>
      <c r="AM232">
        <f>Scenario_Data!W232</f>
        <v/>
      </c>
      <c r="AN232">
        <f>2*(SQRT((Inputs!$C$52+(Scenario_Data!E232))^2+Inputs!$C$52^2-2*(Inputs!$C$52+(Scenario_Data!E232))*Inputs!$C$52*COS(SQRT((Scenario_Data!W232)^2+Inputs!$C$6^2)/Inputs!$C$52))*1000)/Inputs!$C$21*1000000</f>
        <v/>
      </c>
      <c r="AP232">
        <f>Scenario_Data!T232</f>
        <v/>
      </c>
      <c r="AQ232">
        <f>2*(SQRT((Inputs!$C$52+(Scenario_Data!B232))^2+(Inputs!$C$52+((IF(OR(Inputs!$C$27=TRUE,Inputs!$C$27="TRUE",Inputs!$C$27=1),1,0)*(Inputs!$C$51*(115*EXP(-(((Inputs!$C$6)-25)^2)/(4.5^2))+70*EXP(-(((Inputs!$C$6)+38)^2)/(7^2))*(0.55+0.45*SIN(2*PI()*(Scenario_Data!T232)/45))+24*SIN(2*PI()*(Inputs!$C$6)/9+(Scenario_Data!T232)/18)*EXP(-(((Inputs!$C$6)+5)^2)/(22^2))+18*SIN(2*PI()*(Scenario_Data!T232)/70))+Inputs!$C$28*EXP(-(((Scenario_Data!T232)-Inputs!$C$29)^2)/(2*Inputs!$C$31^2))*EXP(-(((Inputs!$C$6)-Inputs!$C$30)^2)/(2*Inputs!$C$32^2))+-Inputs!$C$33*EXP(-(((((Scenario_Data!T232)-Inputs!$C$34)^2)+(((Inputs!$C$6)-Inputs!$C$35)^2))/(2*Inputs!$C$36^2)))+Inputs!$C$37*(0.55*SIN(2*PI()*(Scenario_Data!T232)/Inputs!$C$39)+0.35*COS(2*PI()*(Inputs!$C$6)/Inputs!$C$40)+0.2*SIN(2*PI()*((Scenario_Data!T232)+(Inputs!$C$6))/(0.5*(Inputs!$C$39+Inputs!$C$40))))+Inputs!$C$38*SIN(2*PI()*(Scenario_Data!T232)/Inputs!$C$39)*SIN(2*PI()*(Inputs!$C$6)/Inputs!$C$40)+-Inputs!$C$41*EXP(-(((Inputs!$C$6)-Inputs!$C$43)^2)/(2*Inputs!$C$44^2))*EXP(-(((Scenario_Data!T232)-Inputs!$C$42)^2)/(2*Inputs!$C$45^2))+Inputs!$C$48*(0.7*(0.45*SIN(2*PI()*(((Scenario_Data!T232)/Inputs!$C$49)+Inputs!$C$47*0.137))+0.35*COS(2*PI()*(((Inputs!$C$6)/Inputs!$C$50)+Inputs!$C$47*0.173))+0.2*SIN(2*PI()*((((Scenario_Data!T232)+(Inputs!$C$6))/(0.5*(Inputs!$C$49+Inputs!$C$50)))+Inputs!$C$47*0.097)))+0.3*(2*((SIN(((Scenario_Data!T232)*12.9898+(Inputs!$C$6)*78.233+Inputs!$C$47*37.719))*43758.5453)-INT((SIN(((Scenario_Data!T232)*12.9898+(Inputs!$C$6)*78.233+Inputs!$C$47*37.719))*43758.5453)))-1))))/1000))^2-2*(Inputs!$C$52+(Scenario_Data!B232))*(Inputs!$C$52+((IF(OR(Inputs!$C$27=TRUE,Inputs!$C$27="TRUE",Inputs!$C$27=1),1,0)*(Inputs!$C$51*(115*EXP(-(((Inputs!$C$6)-25)^2)/(4.5^2))+70*EXP(-(((Inputs!$C$6)+38)^2)/(7^2))*(0.55+0.45*SIN(2*PI()*(Scenario_Data!T232)/45))+24*SIN(2*PI()*(Inputs!$C$6)/9+(Scenario_Data!T232)/18)*EXP(-(((Inputs!$C$6)+5)^2)/(22^2))+18*SIN(2*PI()*(Scenario_Data!T232)/70))+Inputs!$C$28*EXP(-(((Scenario_Data!T232)-Inputs!$C$29)^2)/(2*Inputs!$C$31^2))*EXP(-(((Inputs!$C$6)-Inputs!$C$30)^2)/(2*Inputs!$C$32^2))+-Inputs!$C$33*EXP(-(((((Scenario_Data!T232)-Inputs!$C$34)^2)+(((Inputs!$C$6)-Inputs!$C$35)^2))/(2*Inputs!$C$36^2)))+Inputs!$C$37*(0.55*SIN(2*PI()*(Scenario_Data!T232)/Inputs!$C$39)+0.35*COS(2*PI()*(Inputs!$C$6)/Inputs!$C$40)+0.2*SIN(2*PI()*((Scenario_Data!T232)+(Inputs!$C$6))/(0.5*(Inputs!$C$39+Inputs!$C$40))))+Inputs!$C$38*SIN(2*PI()*(Scenario_Data!T232)/Inputs!$C$39)*SIN(2*PI()*(Inputs!$C$6)/Inputs!$C$40)+-Inputs!$C$41*EXP(-(((Inputs!$C$6)-Inputs!$C$43)^2)/(2*Inputs!$C$44^2))*EXP(-(((Scenario_Data!T232)-Inputs!$C$42)^2)/(2*Inputs!$C$45^2))+Inputs!$C$48*(0.7*(0.45*SIN(2*PI()*(((Scenario_Data!T232)/Inputs!$C$49)+Inputs!$C$47*0.137))+0.35*COS(2*PI()*(((Inputs!$C$6)/Inputs!$C$50)+Inputs!$C$47*0.173))+0.2*SIN(2*PI()*((((Scenario_Data!T232)+(Inputs!$C$6))/(0.5*(Inputs!$C$49+Inputs!$C$50)))+Inputs!$C$47*0.097)))+0.3*(2*((SIN(((Scenario_Data!T232)*12.9898+(Inputs!$C$6)*78.233+Inputs!$C$47*37.719))*43758.5453)-INT((SIN(((Scenario_Data!T232)*12.9898+(Inputs!$C$6)*78.233+Inputs!$C$47*37.719))*43758.5453)))-1))))/1000))*COS(SQRT((Scenario_Data!T232)^2+Inputs!$C$6^2)/Inputs!$C$52))*1000)/Inputs!$C$21*1000000</f>
        <v/>
      </c>
      <c r="AR232">
        <f>Scenario_Data!U232</f>
        <v/>
      </c>
      <c r="AS232">
        <f>2*(SQRT((Inputs!$C$52+(Scenario_Data!C232))^2+(Inputs!$C$52+((IF(OR(Inputs!$C$27=TRUE,Inputs!$C$27="TRUE",Inputs!$C$27=1),1,0)*(Inputs!$C$51*(115*EXP(-(((Inputs!$C$6)-25)^2)/(4.5^2))+70*EXP(-(((Inputs!$C$6)+38)^2)/(7^2))*(0.55+0.45*SIN(2*PI()*(Scenario_Data!U232)/45))+24*SIN(2*PI()*(Inputs!$C$6)/9+(Scenario_Data!U232)/18)*EXP(-(((Inputs!$C$6)+5)^2)/(22^2))+18*SIN(2*PI()*(Scenario_Data!U232)/70))+Inputs!$C$28*EXP(-(((Scenario_Data!U232)-Inputs!$C$29)^2)/(2*Inputs!$C$31^2))*EXP(-(((Inputs!$C$6)-Inputs!$C$30)^2)/(2*Inputs!$C$32^2))+-Inputs!$C$33*EXP(-(((((Scenario_Data!U232)-Inputs!$C$34)^2)+(((Inputs!$C$6)-Inputs!$C$35)^2))/(2*Inputs!$C$36^2)))+Inputs!$C$37*(0.55*SIN(2*PI()*(Scenario_Data!U232)/Inputs!$C$39)+0.35*COS(2*PI()*(Inputs!$C$6)/Inputs!$C$40)+0.2*SIN(2*PI()*((Scenario_Data!U232)+(Inputs!$C$6))/(0.5*(Inputs!$C$39+Inputs!$C$40))))+Inputs!$C$38*SIN(2*PI()*(Scenario_Data!U232)/Inputs!$C$39)*SIN(2*PI()*(Inputs!$C$6)/Inputs!$C$40)+-Inputs!$C$41*EXP(-(((Inputs!$C$6)-Inputs!$C$43)^2)/(2*Inputs!$C$44^2))*EXP(-(((Scenario_Data!U232)-Inputs!$C$42)^2)/(2*Inputs!$C$45^2))+Inputs!$C$48*(0.7*(0.45*SIN(2*PI()*(((Scenario_Data!U232)/Inputs!$C$49)+Inputs!$C$47*0.137))+0.35*COS(2*PI()*(((Inputs!$C$6)/Inputs!$C$50)+Inputs!$C$47*0.173))+0.2*SIN(2*PI()*((((Scenario_Data!U232)+(Inputs!$C$6))/(0.5*(Inputs!$C$49+Inputs!$C$50)))+Inputs!$C$47*0.097)))+0.3*(2*((SIN(((Scenario_Data!U232)*12.9898+(Inputs!$C$6)*78.233+Inputs!$C$47*37.719))*43758.5453)-INT((SIN(((Scenario_Data!U232)*12.9898+(Inputs!$C$6)*78.233+Inputs!$C$47*37.719))*43758.5453)))-1))))/1000))^2-2*(Inputs!$C$52+(Scenario_Data!C232))*(Inputs!$C$52+((IF(OR(Inputs!$C$27=TRUE,Inputs!$C$27="TRUE",Inputs!$C$27=1),1,0)*(Inputs!$C$51*(115*EXP(-(((Inputs!$C$6)-25)^2)/(4.5^2))+70*EXP(-(((Inputs!$C$6)+38)^2)/(7^2))*(0.55+0.45*SIN(2*PI()*(Scenario_Data!U232)/45))+24*SIN(2*PI()*(Inputs!$C$6)/9+(Scenario_Data!U232)/18)*EXP(-(((Inputs!$C$6)+5)^2)/(22^2))+18*SIN(2*PI()*(Scenario_Data!U232)/70))+Inputs!$C$28*EXP(-(((Scenario_Data!U232)-Inputs!$C$29)^2)/(2*Inputs!$C$31^2))*EXP(-(((Inputs!$C$6)-Inputs!$C$30)^2)/(2*Inputs!$C$32^2))+-Inputs!$C$33*EXP(-(((((Scenario_Data!U232)-Inputs!$C$34)^2)+(((Inputs!$C$6)-Inputs!$C$35)^2))/(2*Inputs!$C$36^2)))+Inputs!$C$37*(0.55*SIN(2*PI()*(Scenario_Data!U232)/Inputs!$C$39)+0.35*COS(2*PI()*(Inputs!$C$6)/Inputs!$C$40)+0.2*SIN(2*PI()*((Scenario_Data!U232)+(Inputs!$C$6))/(0.5*(Inputs!$C$39+Inputs!$C$40))))+Inputs!$C$38*SIN(2*PI()*(Scenario_Data!U232)/Inputs!$C$39)*SIN(2*PI()*(Inputs!$C$6)/Inputs!$C$40)+-Inputs!$C$41*EXP(-(((Inputs!$C$6)-Inputs!$C$43)^2)/(2*Inputs!$C$44^2))*EXP(-(((Scenario_Data!U232)-Inputs!$C$42)^2)/(2*Inputs!$C$45^2))+Inputs!$C$48*(0.7*(0.45*SIN(2*PI()*(((Scenario_Data!U232)/Inputs!$C$49)+Inputs!$C$47*0.137))+0.35*COS(2*PI()*(((Inputs!$C$6)/Inputs!$C$50)+Inputs!$C$47*0.173))+0.2*SIN(2*PI()*((((Scenario_Data!U232)+(Inputs!$C$6))/(0.5*(Inputs!$C$49+Inputs!$C$50)))+Inputs!$C$47*0.097)))+0.3*(2*((SIN(((Scenario_Data!U232)*12.9898+(Inputs!$C$6)*78.233+Inputs!$C$47*37.719))*43758.5453)-INT((SIN(((Scenario_Data!U232)*12.9898+(Inputs!$C$6)*78.233+Inputs!$C$47*37.719))*43758.5453)))-1))))/1000))*COS(SQRT((Scenario_Data!U232)^2+Inputs!$C$6^2)/Inputs!$C$52))*1000)/Inputs!$C$21*1000000</f>
        <v/>
      </c>
      <c r="AT232">
        <f>Scenario_Data!V232</f>
        <v/>
      </c>
      <c r="AU232">
        <f>2*(SQRT((Inputs!$C$52+(Scenario_Data!D232))^2+(Inputs!$C$52+((IF(OR(Inputs!$C$27=TRUE,Inputs!$C$27="TRUE",Inputs!$C$27=1),1,0)*(Inputs!$C$51*(115*EXP(-(((Inputs!$C$6)-25)^2)/(4.5^2))+70*EXP(-(((Inputs!$C$6)+38)^2)/(7^2))*(0.55+0.45*SIN(2*PI()*(Scenario_Data!V232)/45))+24*SIN(2*PI()*(Inputs!$C$6)/9+(Scenario_Data!V232)/18)*EXP(-(((Inputs!$C$6)+5)^2)/(22^2))+18*SIN(2*PI()*(Scenario_Data!V232)/70))+Inputs!$C$28*EXP(-(((Scenario_Data!V232)-Inputs!$C$29)^2)/(2*Inputs!$C$31^2))*EXP(-(((Inputs!$C$6)-Inputs!$C$30)^2)/(2*Inputs!$C$32^2))+-Inputs!$C$33*EXP(-(((((Scenario_Data!V232)-Inputs!$C$34)^2)+(((Inputs!$C$6)-Inputs!$C$35)^2))/(2*Inputs!$C$36^2)))+Inputs!$C$37*(0.55*SIN(2*PI()*(Scenario_Data!V232)/Inputs!$C$39)+0.35*COS(2*PI()*(Inputs!$C$6)/Inputs!$C$40)+0.2*SIN(2*PI()*((Scenario_Data!V232)+(Inputs!$C$6))/(0.5*(Inputs!$C$39+Inputs!$C$40))))+Inputs!$C$38*SIN(2*PI()*(Scenario_Data!V232)/Inputs!$C$39)*SIN(2*PI()*(Inputs!$C$6)/Inputs!$C$40)+-Inputs!$C$41*EXP(-(((Inputs!$C$6)-Inputs!$C$43)^2)/(2*Inputs!$C$44^2))*EXP(-(((Scenario_Data!V232)-Inputs!$C$42)^2)/(2*Inputs!$C$45^2))+Inputs!$C$48*(0.7*(0.45*SIN(2*PI()*(((Scenario_Data!V232)/Inputs!$C$49)+Inputs!$C$47*0.137))+0.35*COS(2*PI()*(((Inputs!$C$6)/Inputs!$C$50)+Inputs!$C$47*0.173))+0.2*SIN(2*PI()*((((Scenario_Data!V232)+(Inputs!$C$6))/(0.5*(Inputs!$C$49+Inputs!$C$50)))+Inputs!$C$47*0.097)))+0.3*(2*((SIN(((Scenario_Data!V232)*12.9898+(Inputs!$C$6)*78.233+Inputs!$C$47*37.719))*43758.5453)-INT((SIN(((Scenario_Data!V232)*12.9898+(Inputs!$C$6)*78.233+Inputs!$C$47*37.719))*43758.5453)))-1))))/1000))^2-2*(Inputs!$C$52+(Scenario_Data!D232))*(Inputs!$C$52+((IF(OR(Inputs!$C$27=TRUE,Inputs!$C$27="TRUE",Inputs!$C$27=1),1,0)*(Inputs!$C$51*(115*EXP(-(((Inputs!$C$6)-25)^2)/(4.5^2))+70*EXP(-(((Inputs!$C$6)+38)^2)/(7^2))*(0.55+0.45*SIN(2*PI()*(Scenario_Data!V232)/45))+24*SIN(2*PI()*(Inputs!$C$6)/9+(Scenario_Data!V232)/18)*EXP(-(((Inputs!$C$6)+5)^2)/(22^2))+18*SIN(2*PI()*(Scenario_Data!V232)/70))+Inputs!$C$28*EXP(-(((Scenario_Data!V232)-Inputs!$C$29)^2)/(2*Inputs!$C$31^2))*EXP(-(((Inputs!$C$6)-Inputs!$C$30)^2)/(2*Inputs!$C$32^2))+-Inputs!$C$33*EXP(-(((((Scenario_Data!V232)-Inputs!$C$34)^2)+(((Inputs!$C$6)-Inputs!$C$35)^2))/(2*Inputs!$C$36^2)))+Inputs!$C$37*(0.55*SIN(2*PI()*(Scenario_Data!V232)/Inputs!$C$39)+0.35*COS(2*PI()*(Inputs!$C$6)/Inputs!$C$40)+0.2*SIN(2*PI()*((Scenario_Data!V232)+(Inputs!$C$6))/(0.5*(Inputs!$C$39+Inputs!$C$40))))+Inputs!$C$38*SIN(2*PI()*(Scenario_Data!V232)/Inputs!$C$39)*SIN(2*PI()*(Inputs!$C$6)/Inputs!$C$40)+-Inputs!$C$41*EXP(-(((Inputs!$C$6)-Inputs!$C$43)^2)/(2*Inputs!$C$44^2))*EXP(-(((Scenario_Data!V232)-Inputs!$C$42)^2)/(2*Inputs!$C$45^2))+Inputs!$C$48*(0.7*(0.45*SIN(2*PI()*(((Scenario_Data!V232)/Inputs!$C$49)+Inputs!$C$47*0.137))+0.35*COS(2*PI()*(((Inputs!$C$6)/Inputs!$C$50)+Inputs!$C$47*0.173))+0.2*SIN(2*PI()*((((Scenario_Data!V232)+(Inputs!$C$6))/(0.5*(Inputs!$C$49+Inputs!$C$50)))+Inputs!$C$47*0.097)))+0.3*(2*((SIN(((Scenario_Data!V232)*12.9898+(Inputs!$C$6)*78.233+Inputs!$C$47*37.719))*43758.5453)-INT((SIN(((Scenario_Data!V232)*12.9898+(Inputs!$C$6)*78.233+Inputs!$C$47*37.719))*43758.5453)))-1))))/1000))*COS(SQRT((Scenario_Data!V232)^2+Inputs!$C$6^2)/Inputs!$C$52))*1000)/Inputs!$C$21*1000000</f>
        <v/>
      </c>
      <c r="AV232">
        <f>Scenario_Data!W232</f>
        <v/>
      </c>
      <c r="AW232">
        <f>2*(SQRT((Inputs!$C$52+(Scenario_Data!E232))^2+(Inputs!$C$52+((IF(OR(Inputs!$C$27=TRUE,Inputs!$C$27="TRUE",Inputs!$C$27=1),1,0)*(Inputs!$C$51*(115*EXP(-(((Inputs!$C$6)-25)^2)/(4.5^2))+70*EXP(-(((Inputs!$C$6)+38)^2)/(7^2))*(0.55+0.45*SIN(2*PI()*(Scenario_Data!W232)/45))+24*SIN(2*PI()*(Inputs!$C$6)/9+(Scenario_Data!W232)/18)*EXP(-(((Inputs!$C$6)+5)^2)/(22^2))+18*SIN(2*PI()*(Scenario_Data!W232)/70))+Inputs!$C$28*EXP(-(((Scenario_Data!W232)-Inputs!$C$29)^2)/(2*Inputs!$C$31^2))*EXP(-(((Inputs!$C$6)-Inputs!$C$30)^2)/(2*Inputs!$C$32^2))+-Inputs!$C$33*EXP(-(((((Scenario_Data!W232)-Inputs!$C$34)^2)+(((Inputs!$C$6)-Inputs!$C$35)^2))/(2*Inputs!$C$36^2)))+Inputs!$C$37*(0.55*SIN(2*PI()*(Scenario_Data!W232)/Inputs!$C$39)+0.35*COS(2*PI()*(Inputs!$C$6)/Inputs!$C$40)+0.2*SIN(2*PI()*((Scenario_Data!W232)+(Inputs!$C$6))/(0.5*(Inputs!$C$39+Inputs!$C$40))))+Inputs!$C$38*SIN(2*PI()*(Scenario_Data!W232)/Inputs!$C$39)*SIN(2*PI()*(Inputs!$C$6)/Inputs!$C$40)+-Inputs!$C$41*EXP(-(((Inputs!$C$6)-Inputs!$C$43)^2)/(2*Inputs!$C$44^2))*EXP(-(((Scenario_Data!W232)-Inputs!$C$42)^2)/(2*Inputs!$C$45^2))+Inputs!$C$48*(0.7*(0.45*SIN(2*PI()*(((Scenario_Data!W232)/Inputs!$C$49)+Inputs!$C$47*0.137))+0.35*COS(2*PI()*(((Inputs!$C$6)/Inputs!$C$50)+Inputs!$C$47*0.173))+0.2*SIN(2*PI()*((((Scenario_Data!W232)+(Inputs!$C$6))/(0.5*(Inputs!$C$49+Inputs!$C$50)))+Inputs!$C$47*0.097)))+0.3*(2*((SIN(((Scenario_Data!W232)*12.9898+(Inputs!$C$6)*78.233+Inputs!$C$47*37.719))*43758.5453)-INT((SIN(((Scenario_Data!W232)*12.9898+(Inputs!$C$6)*78.233+Inputs!$C$47*37.719))*43758.5453)))-1))))/1000))^2-2*(Inputs!$C$52+(Scenario_Data!E232))*(Inputs!$C$52+((IF(OR(Inputs!$C$27=TRUE,Inputs!$C$27="TRUE",Inputs!$C$27=1),1,0)*(Inputs!$C$51*(115*EXP(-(((Inputs!$C$6)-25)^2)/(4.5^2))+70*EXP(-(((Inputs!$C$6)+38)^2)/(7^2))*(0.55+0.45*SIN(2*PI()*(Scenario_Data!W232)/45))+24*SIN(2*PI()*(Inputs!$C$6)/9+(Scenario_Data!W232)/18)*EXP(-(((Inputs!$C$6)+5)^2)/(22^2))+18*SIN(2*PI()*(Scenario_Data!W232)/70))+Inputs!$C$28*EXP(-(((Scenario_Data!W232)-Inputs!$C$29)^2)/(2*Inputs!$C$31^2))*EXP(-(((Inputs!$C$6)-Inputs!$C$30)^2)/(2*Inputs!$C$32^2))+-Inputs!$C$33*EXP(-(((((Scenario_Data!W232)-Inputs!$C$34)^2)+(((Inputs!$C$6)-Inputs!$C$35)^2))/(2*Inputs!$C$36^2)))+Inputs!$C$37*(0.55*SIN(2*PI()*(Scenario_Data!W232)/Inputs!$C$39)+0.35*COS(2*PI()*(Inputs!$C$6)/Inputs!$C$40)+0.2*SIN(2*PI()*((Scenario_Data!W232)+(Inputs!$C$6))/(0.5*(Inputs!$C$39+Inputs!$C$40))))+Inputs!$C$38*SIN(2*PI()*(Scenario_Data!W232)/Inputs!$C$39)*SIN(2*PI()*(Inputs!$C$6)/Inputs!$C$40)+-Inputs!$C$41*EXP(-(((Inputs!$C$6)-Inputs!$C$43)^2)/(2*Inputs!$C$44^2))*EXP(-(((Scenario_Data!W232)-Inputs!$C$42)^2)/(2*Inputs!$C$45^2))+Inputs!$C$48*(0.7*(0.45*SIN(2*PI()*(((Scenario_Data!W232)/Inputs!$C$49)+Inputs!$C$47*0.137))+0.35*COS(2*PI()*(((Inputs!$C$6)/Inputs!$C$50)+Inputs!$C$47*0.173))+0.2*SIN(2*PI()*((((Scenario_Data!W232)+(Inputs!$C$6))/(0.5*(Inputs!$C$49+Inputs!$C$50)))+Inputs!$C$47*0.097)))+0.3*(2*((SIN(((Scenario_Data!W232)*12.9898+(Inputs!$C$6)*78.233+Inputs!$C$47*37.719))*43758.5453)-INT((SIN(((Scenario_Data!W232)*12.9898+(Inputs!$C$6)*78.233+Inputs!$C$47*37.719))*43758.5453)))-1))))/1000))*COS(SQRT((Scenario_Data!W232)^2+Inputs!$C$6^2)/Inputs!$C$52))*1000)/Inputs!$C$21*1000000</f>
        <v/>
      </c>
    </row>
    <row r="233">
      <c r="A233">
        <f>Chart_Data!K233</f>
        <v/>
      </c>
      <c r="B233">
        <f>Chart_Data!N233-Chart_Data!L233</f>
        <v/>
      </c>
      <c r="D233">
        <f>Chart_Data!G233</f>
        <v/>
      </c>
      <c r="E233">
        <f>Chart_Data!H233</f>
        <v/>
      </c>
      <c r="F233">
        <f>Chart_Data!I233</f>
        <v/>
      </c>
      <c r="G233">
        <f>Chart_Data!J233</f>
        <v/>
      </c>
      <c r="I233">
        <f>Scenario_Data!A233</f>
        <v/>
      </c>
      <c r="J233">
        <f>Scenario_Data!H233-(((SQRT((Inputs!$C$52+(Inputs!$H$6))^2+Inputs!$C$52^2-2*(Inputs!$C$52+(Inputs!$H$6))*Inputs!$C$52*COS(SQRT((Scenario_Data!T233)^2+Inputs!$C$6^2)/Inputs!$C$52)))-(Inputs!$H$6))*1000/Inputs!$C$12)</f>
        <v/>
      </c>
      <c r="K233">
        <f>Scenario_Data!I233-(((SQRT((Inputs!$C$52+(Inputs!$H$7))^2+Inputs!$C$52^2-2*(Inputs!$C$52+(Inputs!$H$7))*Inputs!$C$52*COS(SQRT((Scenario_Data!U233)^2+Inputs!$C$6^2)/Inputs!$C$52)))-(Inputs!$H$7))*1000/Inputs!$C$12)</f>
        <v/>
      </c>
      <c r="L233">
        <f>Scenario_Data!J233-(((SQRT((Inputs!$C$52+(Inputs!$H$8))^2+Inputs!$C$52^2-2*(Inputs!$C$52+(Inputs!$H$8))*Inputs!$C$52*COS(SQRT((Scenario_Data!V233)^2+Inputs!$C$6^2)/Inputs!$C$52)))-(Inputs!$H$8))*1000/Inputs!$C$12)</f>
        <v/>
      </c>
      <c r="M233">
        <f>Scenario_Data!K233-(((SQRT((Inputs!$C$52+(Inputs!$H$9))^2+Inputs!$C$52^2-2*(Inputs!$C$52+(Inputs!$H$9))*Inputs!$C$52*COS(SQRT((Scenario_Data!W233)^2+Inputs!$C$6^2)/Inputs!$C$52)))-(Inputs!$H$9))*1000/Inputs!$C$12)</f>
        <v/>
      </c>
      <c r="O233">
        <f>Scenario_Data!T233</f>
        <v/>
      </c>
      <c r="P233">
        <f>2*(Scenario_Data!B233*1000)/Inputs!$C$21*1000000</f>
        <v/>
      </c>
      <c r="Q233">
        <f>Scenario_Data!U233</f>
        <v/>
      </c>
      <c r="R233">
        <f>2*(Scenario_Data!C233*1000)/Inputs!$C$21*1000000</f>
        <v/>
      </c>
      <c r="S233">
        <f>Scenario_Data!V233</f>
        <v/>
      </c>
      <c r="T233">
        <f>2*(Scenario_Data!D233*1000)/Inputs!$C$21*1000000</f>
        <v/>
      </c>
      <c r="U233">
        <f>Scenario_Data!W233</f>
        <v/>
      </c>
      <c r="V233">
        <f>2*(Scenario_Data!E233*1000)/Inputs!$C$21*1000000</f>
        <v/>
      </c>
      <c r="X233">
        <f>Scenario_Data!T233</f>
        <v/>
      </c>
      <c r="Y233">
        <f>2*((Scenario_Data!B233*1000)-(IF(OR(Inputs!$C$27=TRUE,Inputs!$C$27="TRUE",Inputs!$C$27=1),1,0)*(Inputs!$C$51*(115*EXP(-(((0)-25)^2)/(4.5^2))+70*EXP(-(((0)+38)^2)/(7^2))*(0.55+0.45*SIN(2*PI()*(Scenario_Data!T233)/45))+24*SIN(2*PI()*(0)/9+(Scenario_Data!T233)/18)*EXP(-(((0)+5)^2)/(22^2))+18*SIN(2*PI()*(Scenario_Data!T233)/70))+Inputs!$C$28*EXP(-(((Scenario_Data!T233)-Inputs!$C$29)^2)/(2*Inputs!$C$31^2))*EXP(-(((0)-Inputs!$C$30)^2)/(2*Inputs!$C$32^2))+-Inputs!$C$33*EXP(-(((((Scenario_Data!T233)-Inputs!$C$34)^2)+(((0)-Inputs!$C$35)^2))/(2*Inputs!$C$36^2)))+Inputs!$C$37*(0.55*SIN(2*PI()*(Scenario_Data!T233)/Inputs!$C$39)+0.35*COS(2*PI()*(0)/Inputs!$C$40)+0.2*SIN(2*PI()*((Scenario_Data!T233)+(0))/(0.5*(Inputs!$C$39+Inputs!$C$40))))+Inputs!$C$38*SIN(2*PI()*(Scenario_Data!T233)/Inputs!$C$39)*SIN(2*PI()*(0)/Inputs!$C$40)+-Inputs!$C$41*EXP(-(((0)-Inputs!$C$43)^2)/(2*Inputs!$C$44^2))*EXP(-(((Scenario_Data!T233)-Inputs!$C$42)^2)/(2*Inputs!$C$45^2))+Inputs!$C$48*(0.7*(0.45*SIN(2*PI()*(((Scenario_Data!T233)/Inputs!$C$49)+Inputs!$C$47*0.137))+0.35*COS(2*PI()*(((0)/Inputs!$C$50)+Inputs!$C$47*0.173))+0.2*SIN(2*PI()*((((Scenario_Data!T233)+(0))/(0.5*(Inputs!$C$49+Inputs!$C$50)))+Inputs!$C$47*0.097)))+0.3*(2*((SIN(((Scenario_Data!T233)*12.9898+(0)*78.233+Inputs!$C$47*37.719))*43758.5453)-INT((SIN(((Scenario_Data!T233)*12.9898+(0)*78.233+Inputs!$C$47*37.719))*43758.5453)))-1)))))/Inputs!$C$21*1000000</f>
        <v/>
      </c>
      <c r="Z233">
        <f>Scenario_Data!U233</f>
        <v/>
      </c>
      <c r="AA233">
        <f>2*((Scenario_Data!C233*1000)-(IF(OR(Inputs!$C$27=TRUE,Inputs!$C$27="TRUE",Inputs!$C$27=1),1,0)*(Inputs!$C$51*(115*EXP(-(((0)-25)^2)/(4.5^2))+70*EXP(-(((0)+38)^2)/(7^2))*(0.55+0.45*SIN(2*PI()*(Scenario_Data!U233)/45))+24*SIN(2*PI()*(0)/9+(Scenario_Data!U233)/18)*EXP(-(((0)+5)^2)/(22^2))+18*SIN(2*PI()*(Scenario_Data!U233)/70))+Inputs!$C$28*EXP(-(((Scenario_Data!U233)-Inputs!$C$29)^2)/(2*Inputs!$C$31^2))*EXP(-(((0)-Inputs!$C$30)^2)/(2*Inputs!$C$32^2))+-Inputs!$C$33*EXP(-(((((Scenario_Data!U233)-Inputs!$C$34)^2)+(((0)-Inputs!$C$35)^2))/(2*Inputs!$C$36^2)))+Inputs!$C$37*(0.55*SIN(2*PI()*(Scenario_Data!U233)/Inputs!$C$39)+0.35*COS(2*PI()*(0)/Inputs!$C$40)+0.2*SIN(2*PI()*((Scenario_Data!U233)+(0))/(0.5*(Inputs!$C$39+Inputs!$C$40))))+Inputs!$C$38*SIN(2*PI()*(Scenario_Data!U233)/Inputs!$C$39)*SIN(2*PI()*(0)/Inputs!$C$40)+-Inputs!$C$41*EXP(-(((0)-Inputs!$C$43)^2)/(2*Inputs!$C$44^2))*EXP(-(((Scenario_Data!U233)-Inputs!$C$42)^2)/(2*Inputs!$C$45^2))+Inputs!$C$48*(0.7*(0.45*SIN(2*PI()*(((Scenario_Data!U233)/Inputs!$C$49)+Inputs!$C$47*0.137))+0.35*COS(2*PI()*(((0)/Inputs!$C$50)+Inputs!$C$47*0.173))+0.2*SIN(2*PI()*((((Scenario_Data!U233)+(0))/(0.5*(Inputs!$C$49+Inputs!$C$50)))+Inputs!$C$47*0.097)))+0.3*(2*((SIN(((Scenario_Data!U233)*12.9898+(0)*78.233+Inputs!$C$47*37.719))*43758.5453)-INT((SIN(((Scenario_Data!U233)*12.9898+(0)*78.233+Inputs!$C$47*37.719))*43758.5453)))-1)))))/Inputs!$C$21*1000000</f>
        <v/>
      </c>
      <c r="AB233">
        <f>Scenario_Data!V233</f>
        <v/>
      </c>
      <c r="AC233">
        <f>2*((Scenario_Data!D233*1000)-(IF(OR(Inputs!$C$27=TRUE,Inputs!$C$27="TRUE",Inputs!$C$27=1),1,0)*(Inputs!$C$51*(115*EXP(-(((0)-25)^2)/(4.5^2))+70*EXP(-(((0)+38)^2)/(7^2))*(0.55+0.45*SIN(2*PI()*(Scenario_Data!V233)/45))+24*SIN(2*PI()*(0)/9+(Scenario_Data!V233)/18)*EXP(-(((0)+5)^2)/(22^2))+18*SIN(2*PI()*(Scenario_Data!V233)/70))+Inputs!$C$28*EXP(-(((Scenario_Data!V233)-Inputs!$C$29)^2)/(2*Inputs!$C$31^2))*EXP(-(((0)-Inputs!$C$30)^2)/(2*Inputs!$C$32^2))+-Inputs!$C$33*EXP(-(((((Scenario_Data!V233)-Inputs!$C$34)^2)+(((0)-Inputs!$C$35)^2))/(2*Inputs!$C$36^2)))+Inputs!$C$37*(0.55*SIN(2*PI()*(Scenario_Data!V233)/Inputs!$C$39)+0.35*COS(2*PI()*(0)/Inputs!$C$40)+0.2*SIN(2*PI()*((Scenario_Data!V233)+(0))/(0.5*(Inputs!$C$39+Inputs!$C$40))))+Inputs!$C$38*SIN(2*PI()*(Scenario_Data!V233)/Inputs!$C$39)*SIN(2*PI()*(0)/Inputs!$C$40)+-Inputs!$C$41*EXP(-(((0)-Inputs!$C$43)^2)/(2*Inputs!$C$44^2))*EXP(-(((Scenario_Data!V233)-Inputs!$C$42)^2)/(2*Inputs!$C$45^2))+Inputs!$C$48*(0.7*(0.45*SIN(2*PI()*(((Scenario_Data!V233)/Inputs!$C$49)+Inputs!$C$47*0.137))+0.35*COS(2*PI()*(((0)/Inputs!$C$50)+Inputs!$C$47*0.173))+0.2*SIN(2*PI()*((((Scenario_Data!V233)+(0))/(0.5*(Inputs!$C$49+Inputs!$C$50)))+Inputs!$C$47*0.097)))+0.3*(2*((SIN(((Scenario_Data!V233)*12.9898+(0)*78.233+Inputs!$C$47*37.719))*43758.5453)-INT((SIN(((Scenario_Data!V233)*12.9898+(0)*78.233+Inputs!$C$47*37.719))*43758.5453)))-1)))))/Inputs!$C$21*1000000</f>
        <v/>
      </c>
      <c r="AD233">
        <f>Scenario_Data!W233</f>
        <v/>
      </c>
      <c r="AE233">
        <f>2*((Scenario_Data!E233*1000)-(IF(OR(Inputs!$C$27=TRUE,Inputs!$C$27="TRUE",Inputs!$C$27=1),1,0)*(Inputs!$C$51*(115*EXP(-(((0)-25)^2)/(4.5^2))+70*EXP(-(((0)+38)^2)/(7^2))*(0.55+0.45*SIN(2*PI()*(Scenario_Data!W233)/45))+24*SIN(2*PI()*(0)/9+(Scenario_Data!W233)/18)*EXP(-(((0)+5)^2)/(22^2))+18*SIN(2*PI()*(Scenario_Data!W233)/70))+Inputs!$C$28*EXP(-(((Scenario_Data!W233)-Inputs!$C$29)^2)/(2*Inputs!$C$31^2))*EXP(-(((0)-Inputs!$C$30)^2)/(2*Inputs!$C$32^2))+-Inputs!$C$33*EXP(-(((((Scenario_Data!W233)-Inputs!$C$34)^2)+(((0)-Inputs!$C$35)^2))/(2*Inputs!$C$36^2)))+Inputs!$C$37*(0.55*SIN(2*PI()*(Scenario_Data!W233)/Inputs!$C$39)+0.35*COS(2*PI()*(0)/Inputs!$C$40)+0.2*SIN(2*PI()*((Scenario_Data!W233)+(0))/(0.5*(Inputs!$C$39+Inputs!$C$40))))+Inputs!$C$38*SIN(2*PI()*(Scenario_Data!W233)/Inputs!$C$39)*SIN(2*PI()*(0)/Inputs!$C$40)+-Inputs!$C$41*EXP(-(((0)-Inputs!$C$43)^2)/(2*Inputs!$C$44^2))*EXP(-(((Scenario_Data!W233)-Inputs!$C$42)^2)/(2*Inputs!$C$45^2))+Inputs!$C$48*(0.7*(0.45*SIN(2*PI()*(((Scenario_Data!W233)/Inputs!$C$49)+Inputs!$C$47*0.137))+0.35*COS(2*PI()*(((0)/Inputs!$C$50)+Inputs!$C$47*0.173))+0.2*SIN(2*PI()*((((Scenario_Data!W233)+(0))/(0.5*(Inputs!$C$49+Inputs!$C$50)))+Inputs!$C$47*0.097)))+0.3*(2*((SIN(((Scenario_Data!W233)*12.9898+(0)*78.233+Inputs!$C$47*37.719))*43758.5453)-INT((SIN(((Scenario_Data!W233)*12.9898+(0)*78.233+Inputs!$C$47*37.719))*43758.5453)))-1)))))/Inputs!$C$21*1000000</f>
        <v/>
      </c>
      <c r="AG233">
        <f>Scenario_Data!T233</f>
        <v/>
      </c>
      <c r="AH233">
        <f>2*(SQRT((Inputs!$C$52+(Scenario_Data!B233))^2+Inputs!$C$52^2-2*(Inputs!$C$52+(Scenario_Data!B233))*Inputs!$C$52*COS(SQRT((Scenario_Data!T233)^2+Inputs!$C$6^2)/Inputs!$C$52))*1000)/Inputs!$C$21*1000000</f>
        <v/>
      </c>
      <c r="AI233">
        <f>Scenario_Data!U233</f>
        <v/>
      </c>
      <c r="AJ233">
        <f>2*(SQRT((Inputs!$C$52+(Scenario_Data!C233))^2+Inputs!$C$52^2-2*(Inputs!$C$52+(Scenario_Data!C233))*Inputs!$C$52*COS(SQRT((Scenario_Data!U233)^2+Inputs!$C$6^2)/Inputs!$C$52))*1000)/Inputs!$C$21*1000000</f>
        <v/>
      </c>
      <c r="AK233">
        <f>Scenario_Data!V233</f>
        <v/>
      </c>
      <c r="AL233">
        <f>2*(SQRT((Inputs!$C$52+(Scenario_Data!D233))^2+Inputs!$C$52^2-2*(Inputs!$C$52+(Scenario_Data!D233))*Inputs!$C$52*COS(SQRT((Scenario_Data!V233)^2+Inputs!$C$6^2)/Inputs!$C$52))*1000)/Inputs!$C$21*1000000</f>
        <v/>
      </c>
      <c r="AM233">
        <f>Scenario_Data!W233</f>
        <v/>
      </c>
      <c r="AN233">
        <f>2*(SQRT((Inputs!$C$52+(Scenario_Data!E233))^2+Inputs!$C$52^2-2*(Inputs!$C$52+(Scenario_Data!E233))*Inputs!$C$52*COS(SQRT((Scenario_Data!W233)^2+Inputs!$C$6^2)/Inputs!$C$52))*1000)/Inputs!$C$21*1000000</f>
        <v/>
      </c>
      <c r="AP233">
        <f>Scenario_Data!T233</f>
        <v/>
      </c>
      <c r="AQ233">
        <f>2*(SQRT((Inputs!$C$52+(Scenario_Data!B233))^2+(Inputs!$C$52+((IF(OR(Inputs!$C$27=TRUE,Inputs!$C$27="TRUE",Inputs!$C$27=1),1,0)*(Inputs!$C$51*(115*EXP(-(((Inputs!$C$6)-25)^2)/(4.5^2))+70*EXP(-(((Inputs!$C$6)+38)^2)/(7^2))*(0.55+0.45*SIN(2*PI()*(Scenario_Data!T233)/45))+24*SIN(2*PI()*(Inputs!$C$6)/9+(Scenario_Data!T233)/18)*EXP(-(((Inputs!$C$6)+5)^2)/(22^2))+18*SIN(2*PI()*(Scenario_Data!T233)/70))+Inputs!$C$28*EXP(-(((Scenario_Data!T233)-Inputs!$C$29)^2)/(2*Inputs!$C$31^2))*EXP(-(((Inputs!$C$6)-Inputs!$C$30)^2)/(2*Inputs!$C$32^2))+-Inputs!$C$33*EXP(-(((((Scenario_Data!T233)-Inputs!$C$34)^2)+(((Inputs!$C$6)-Inputs!$C$35)^2))/(2*Inputs!$C$36^2)))+Inputs!$C$37*(0.55*SIN(2*PI()*(Scenario_Data!T233)/Inputs!$C$39)+0.35*COS(2*PI()*(Inputs!$C$6)/Inputs!$C$40)+0.2*SIN(2*PI()*((Scenario_Data!T233)+(Inputs!$C$6))/(0.5*(Inputs!$C$39+Inputs!$C$40))))+Inputs!$C$38*SIN(2*PI()*(Scenario_Data!T233)/Inputs!$C$39)*SIN(2*PI()*(Inputs!$C$6)/Inputs!$C$40)+-Inputs!$C$41*EXP(-(((Inputs!$C$6)-Inputs!$C$43)^2)/(2*Inputs!$C$44^2))*EXP(-(((Scenario_Data!T233)-Inputs!$C$42)^2)/(2*Inputs!$C$45^2))+Inputs!$C$48*(0.7*(0.45*SIN(2*PI()*(((Scenario_Data!T233)/Inputs!$C$49)+Inputs!$C$47*0.137))+0.35*COS(2*PI()*(((Inputs!$C$6)/Inputs!$C$50)+Inputs!$C$47*0.173))+0.2*SIN(2*PI()*((((Scenario_Data!T233)+(Inputs!$C$6))/(0.5*(Inputs!$C$49+Inputs!$C$50)))+Inputs!$C$47*0.097)))+0.3*(2*((SIN(((Scenario_Data!T233)*12.9898+(Inputs!$C$6)*78.233+Inputs!$C$47*37.719))*43758.5453)-INT((SIN(((Scenario_Data!T233)*12.9898+(Inputs!$C$6)*78.233+Inputs!$C$47*37.719))*43758.5453)))-1))))/1000))^2-2*(Inputs!$C$52+(Scenario_Data!B233))*(Inputs!$C$52+((IF(OR(Inputs!$C$27=TRUE,Inputs!$C$27="TRUE",Inputs!$C$27=1),1,0)*(Inputs!$C$51*(115*EXP(-(((Inputs!$C$6)-25)^2)/(4.5^2))+70*EXP(-(((Inputs!$C$6)+38)^2)/(7^2))*(0.55+0.45*SIN(2*PI()*(Scenario_Data!T233)/45))+24*SIN(2*PI()*(Inputs!$C$6)/9+(Scenario_Data!T233)/18)*EXP(-(((Inputs!$C$6)+5)^2)/(22^2))+18*SIN(2*PI()*(Scenario_Data!T233)/70))+Inputs!$C$28*EXP(-(((Scenario_Data!T233)-Inputs!$C$29)^2)/(2*Inputs!$C$31^2))*EXP(-(((Inputs!$C$6)-Inputs!$C$30)^2)/(2*Inputs!$C$32^2))+-Inputs!$C$33*EXP(-(((((Scenario_Data!T233)-Inputs!$C$34)^2)+(((Inputs!$C$6)-Inputs!$C$35)^2))/(2*Inputs!$C$36^2)))+Inputs!$C$37*(0.55*SIN(2*PI()*(Scenario_Data!T233)/Inputs!$C$39)+0.35*COS(2*PI()*(Inputs!$C$6)/Inputs!$C$40)+0.2*SIN(2*PI()*((Scenario_Data!T233)+(Inputs!$C$6))/(0.5*(Inputs!$C$39+Inputs!$C$40))))+Inputs!$C$38*SIN(2*PI()*(Scenario_Data!T233)/Inputs!$C$39)*SIN(2*PI()*(Inputs!$C$6)/Inputs!$C$40)+-Inputs!$C$41*EXP(-(((Inputs!$C$6)-Inputs!$C$43)^2)/(2*Inputs!$C$44^2))*EXP(-(((Scenario_Data!T233)-Inputs!$C$42)^2)/(2*Inputs!$C$45^2))+Inputs!$C$48*(0.7*(0.45*SIN(2*PI()*(((Scenario_Data!T233)/Inputs!$C$49)+Inputs!$C$47*0.137))+0.35*COS(2*PI()*(((Inputs!$C$6)/Inputs!$C$50)+Inputs!$C$47*0.173))+0.2*SIN(2*PI()*((((Scenario_Data!T233)+(Inputs!$C$6))/(0.5*(Inputs!$C$49+Inputs!$C$50)))+Inputs!$C$47*0.097)))+0.3*(2*((SIN(((Scenario_Data!T233)*12.9898+(Inputs!$C$6)*78.233+Inputs!$C$47*37.719))*43758.5453)-INT((SIN(((Scenario_Data!T233)*12.9898+(Inputs!$C$6)*78.233+Inputs!$C$47*37.719))*43758.5453)))-1))))/1000))*COS(SQRT((Scenario_Data!T233)^2+Inputs!$C$6^2)/Inputs!$C$52))*1000)/Inputs!$C$21*1000000</f>
        <v/>
      </c>
      <c r="AR233">
        <f>Scenario_Data!U233</f>
        <v/>
      </c>
      <c r="AS233">
        <f>2*(SQRT((Inputs!$C$52+(Scenario_Data!C233))^2+(Inputs!$C$52+((IF(OR(Inputs!$C$27=TRUE,Inputs!$C$27="TRUE",Inputs!$C$27=1),1,0)*(Inputs!$C$51*(115*EXP(-(((Inputs!$C$6)-25)^2)/(4.5^2))+70*EXP(-(((Inputs!$C$6)+38)^2)/(7^2))*(0.55+0.45*SIN(2*PI()*(Scenario_Data!U233)/45))+24*SIN(2*PI()*(Inputs!$C$6)/9+(Scenario_Data!U233)/18)*EXP(-(((Inputs!$C$6)+5)^2)/(22^2))+18*SIN(2*PI()*(Scenario_Data!U233)/70))+Inputs!$C$28*EXP(-(((Scenario_Data!U233)-Inputs!$C$29)^2)/(2*Inputs!$C$31^2))*EXP(-(((Inputs!$C$6)-Inputs!$C$30)^2)/(2*Inputs!$C$32^2))+-Inputs!$C$33*EXP(-(((((Scenario_Data!U233)-Inputs!$C$34)^2)+(((Inputs!$C$6)-Inputs!$C$35)^2))/(2*Inputs!$C$36^2)))+Inputs!$C$37*(0.55*SIN(2*PI()*(Scenario_Data!U233)/Inputs!$C$39)+0.35*COS(2*PI()*(Inputs!$C$6)/Inputs!$C$40)+0.2*SIN(2*PI()*((Scenario_Data!U233)+(Inputs!$C$6))/(0.5*(Inputs!$C$39+Inputs!$C$40))))+Inputs!$C$38*SIN(2*PI()*(Scenario_Data!U233)/Inputs!$C$39)*SIN(2*PI()*(Inputs!$C$6)/Inputs!$C$40)+-Inputs!$C$41*EXP(-(((Inputs!$C$6)-Inputs!$C$43)^2)/(2*Inputs!$C$44^2))*EXP(-(((Scenario_Data!U233)-Inputs!$C$42)^2)/(2*Inputs!$C$45^2))+Inputs!$C$48*(0.7*(0.45*SIN(2*PI()*(((Scenario_Data!U233)/Inputs!$C$49)+Inputs!$C$47*0.137))+0.35*COS(2*PI()*(((Inputs!$C$6)/Inputs!$C$50)+Inputs!$C$47*0.173))+0.2*SIN(2*PI()*((((Scenario_Data!U233)+(Inputs!$C$6))/(0.5*(Inputs!$C$49+Inputs!$C$50)))+Inputs!$C$47*0.097)))+0.3*(2*((SIN(((Scenario_Data!U233)*12.9898+(Inputs!$C$6)*78.233+Inputs!$C$47*37.719))*43758.5453)-INT((SIN(((Scenario_Data!U233)*12.9898+(Inputs!$C$6)*78.233+Inputs!$C$47*37.719))*43758.5453)))-1))))/1000))^2-2*(Inputs!$C$52+(Scenario_Data!C233))*(Inputs!$C$52+((IF(OR(Inputs!$C$27=TRUE,Inputs!$C$27="TRUE",Inputs!$C$27=1),1,0)*(Inputs!$C$51*(115*EXP(-(((Inputs!$C$6)-25)^2)/(4.5^2))+70*EXP(-(((Inputs!$C$6)+38)^2)/(7^2))*(0.55+0.45*SIN(2*PI()*(Scenario_Data!U233)/45))+24*SIN(2*PI()*(Inputs!$C$6)/9+(Scenario_Data!U233)/18)*EXP(-(((Inputs!$C$6)+5)^2)/(22^2))+18*SIN(2*PI()*(Scenario_Data!U233)/70))+Inputs!$C$28*EXP(-(((Scenario_Data!U233)-Inputs!$C$29)^2)/(2*Inputs!$C$31^2))*EXP(-(((Inputs!$C$6)-Inputs!$C$30)^2)/(2*Inputs!$C$32^2))+-Inputs!$C$33*EXP(-(((((Scenario_Data!U233)-Inputs!$C$34)^2)+(((Inputs!$C$6)-Inputs!$C$35)^2))/(2*Inputs!$C$36^2)))+Inputs!$C$37*(0.55*SIN(2*PI()*(Scenario_Data!U233)/Inputs!$C$39)+0.35*COS(2*PI()*(Inputs!$C$6)/Inputs!$C$40)+0.2*SIN(2*PI()*((Scenario_Data!U233)+(Inputs!$C$6))/(0.5*(Inputs!$C$39+Inputs!$C$40))))+Inputs!$C$38*SIN(2*PI()*(Scenario_Data!U233)/Inputs!$C$39)*SIN(2*PI()*(Inputs!$C$6)/Inputs!$C$40)+-Inputs!$C$41*EXP(-(((Inputs!$C$6)-Inputs!$C$43)^2)/(2*Inputs!$C$44^2))*EXP(-(((Scenario_Data!U233)-Inputs!$C$42)^2)/(2*Inputs!$C$45^2))+Inputs!$C$48*(0.7*(0.45*SIN(2*PI()*(((Scenario_Data!U233)/Inputs!$C$49)+Inputs!$C$47*0.137))+0.35*COS(2*PI()*(((Inputs!$C$6)/Inputs!$C$50)+Inputs!$C$47*0.173))+0.2*SIN(2*PI()*((((Scenario_Data!U233)+(Inputs!$C$6))/(0.5*(Inputs!$C$49+Inputs!$C$50)))+Inputs!$C$47*0.097)))+0.3*(2*((SIN(((Scenario_Data!U233)*12.9898+(Inputs!$C$6)*78.233+Inputs!$C$47*37.719))*43758.5453)-INT((SIN(((Scenario_Data!U233)*12.9898+(Inputs!$C$6)*78.233+Inputs!$C$47*37.719))*43758.5453)))-1))))/1000))*COS(SQRT((Scenario_Data!U233)^2+Inputs!$C$6^2)/Inputs!$C$52))*1000)/Inputs!$C$21*1000000</f>
        <v/>
      </c>
      <c r="AT233">
        <f>Scenario_Data!V233</f>
        <v/>
      </c>
      <c r="AU233">
        <f>2*(SQRT((Inputs!$C$52+(Scenario_Data!D233))^2+(Inputs!$C$52+((IF(OR(Inputs!$C$27=TRUE,Inputs!$C$27="TRUE",Inputs!$C$27=1),1,0)*(Inputs!$C$51*(115*EXP(-(((Inputs!$C$6)-25)^2)/(4.5^2))+70*EXP(-(((Inputs!$C$6)+38)^2)/(7^2))*(0.55+0.45*SIN(2*PI()*(Scenario_Data!V233)/45))+24*SIN(2*PI()*(Inputs!$C$6)/9+(Scenario_Data!V233)/18)*EXP(-(((Inputs!$C$6)+5)^2)/(22^2))+18*SIN(2*PI()*(Scenario_Data!V233)/70))+Inputs!$C$28*EXP(-(((Scenario_Data!V233)-Inputs!$C$29)^2)/(2*Inputs!$C$31^2))*EXP(-(((Inputs!$C$6)-Inputs!$C$30)^2)/(2*Inputs!$C$32^2))+-Inputs!$C$33*EXP(-(((((Scenario_Data!V233)-Inputs!$C$34)^2)+(((Inputs!$C$6)-Inputs!$C$35)^2))/(2*Inputs!$C$36^2)))+Inputs!$C$37*(0.55*SIN(2*PI()*(Scenario_Data!V233)/Inputs!$C$39)+0.35*COS(2*PI()*(Inputs!$C$6)/Inputs!$C$40)+0.2*SIN(2*PI()*((Scenario_Data!V233)+(Inputs!$C$6))/(0.5*(Inputs!$C$39+Inputs!$C$40))))+Inputs!$C$38*SIN(2*PI()*(Scenario_Data!V233)/Inputs!$C$39)*SIN(2*PI()*(Inputs!$C$6)/Inputs!$C$40)+-Inputs!$C$41*EXP(-(((Inputs!$C$6)-Inputs!$C$43)^2)/(2*Inputs!$C$44^2))*EXP(-(((Scenario_Data!V233)-Inputs!$C$42)^2)/(2*Inputs!$C$45^2))+Inputs!$C$48*(0.7*(0.45*SIN(2*PI()*(((Scenario_Data!V233)/Inputs!$C$49)+Inputs!$C$47*0.137))+0.35*COS(2*PI()*(((Inputs!$C$6)/Inputs!$C$50)+Inputs!$C$47*0.173))+0.2*SIN(2*PI()*((((Scenario_Data!V233)+(Inputs!$C$6))/(0.5*(Inputs!$C$49+Inputs!$C$50)))+Inputs!$C$47*0.097)))+0.3*(2*((SIN(((Scenario_Data!V233)*12.9898+(Inputs!$C$6)*78.233+Inputs!$C$47*37.719))*43758.5453)-INT((SIN(((Scenario_Data!V233)*12.9898+(Inputs!$C$6)*78.233+Inputs!$C$47*37.719))*43758.5453)))-1))))/1000))^2-2*(Inputs!$C$52+(Scenario_Data!D233))*(Inputs!$C$52+((IF(OR(Inputs!$C$27=TRUE,Inputs!$C$27="TRUE",Inputs!$C$27=1),1,0)*(Inputs!$C$51*(115*EXP(-(((Inputs!$C$6)-25)^2)/(4.5^2))+70*EXP(-(((Inputs!$C$6)+38)^2)/(7^2))*(0.55+0.45*SIN(2*PI()*(Scenario_Data!V233)/45))+24*SIN(2*PI()*(Inputs!$C$6)/9+(Scenario_Data!V233)/18)*EXP(-(((Inputs!$C$6)+5)^2)/(22^2))+18*SIN(2*PI()*(Scenario_Data!V233)/70))+Inputs!$C$28*EXP(-(((Scenario_Data!V233)-Inputs!$C$29)^2)/(2*Inputs!$C$31^2))*EXP(-(((Inputs!$C$6)-Inputs!$C$30)^2)/(2*Inputs!$C$32^2))+-Inputs!$C$33*EXP(-(((((Scenario_Data!V233)-Inputs!$C$34)^2)+(((Inputs!$C$6)-Inputs!$C$35)^2))/(2*Inputs!$C$36^2)))+Inputs!$C$37*(0.55*SIN(2*PI()*(Scenario_Data!V233)/Inputs!$C$39)+0.35*COS(2*PI()*(Inputs!$C$6)/Inputs!$C$40)+0.2*SIN(2*PI()*((Scenario_Data!V233)+(Inputs!$C$6))/(0.5*(Inputs!$C$39+Inputs!$C$40))))+Inputs!$C$38*SIN(2*PI()*(Scenario_Data!V233)/Inputs!$C$39)*SIN(2*PI()*(Inputs!$C$6)/Inputs!$C$40)+-Inputs!$C$41*EXP(-(((Inputs!$C$6)-Inputs!$C$43)^2)/(2*Inputs!$C$44^2))*EXP(-(((Scenario_Data!V233)-Inputs!$C$42)^2)/(2*Inputs!$C$45^2))+Inputs!$C$48*(0.7*(0.45*SIN(2*PI()*(((Scenario_Data!V233)/Inputs!$C$49)+Inputs!$C$47*0.137))+0.35*COS(2*PI()*(((Inputs!$C$6)/Inputs!$C$50)+Inputs!$C$47*0.173))+0.2*SIN(2*PI()*((((Scenario_Data!V233)+(Inputs!$C$6))/(0.5*(Inputs!$C$49+Inputs!$C$50)))+Inputs!$C$47*0.097)))+0.3*(2*((SIN(((Scenario_Data!V233)*12.9898+(Inputs!$C$6)*78.233+Inputs!$C$47*37.719))*43758.5453)-INT((SIN(((Scenario_Data!V233)*12.9898+(Inputs!$C$6)*78.233+Inputs!$C$47*37.719))*43758.5453)))-1))))/1000))*COS(SQRT((Scenario_Data!V233)^2+Inputs!$C$6^2)/Inputs!$C$52))*1000)/Inputs!$C$21*1000000</f>
        <v/>
      </c>
      <c r="AV233">
        <f>Scenario_Data!W233</f>
        <v/>
      </c>
      <c r="AW233">
        <f>2*(SQRT((Inputs!$C$52+(Scenario_Data!E233))^2+(Inputs!$C$52+((IF(OR(Inputs!$C$27=TRUE,Inputs!$C$27="TRUE",Inputs!$C$27=1),1,0)*(Inputs!$C$51*(115*EXP(-(((Inputs!$C$6)-25)^2)/(4.5^2))+70*EXP(-(((Inputs!$C$6)+38)^2)/(7^2))*(0.55+0.45*SIN(2*PI()*(Scenario_Data!W233)/45))+24*SIN(2*PI()*(Inputs!$C$6)/9+(Scenario_Data!W233)/18)*EXP(-(((Inputs!$C$6)+5)^2)/(22^2))+18*SIN(2*PI()*(Scenario_Data!W233)/70))+Inputs!$C$28*EXP(-(((Scenario_Data!W233)-Inputs!$C$29)^2)/(2*Inputs!$C$31^2))*EXP(-(((Inputs!$C$6)-Inputs!$C$30)^2)/(2*Inputs!$C$32^2))+-Inputs!$C$33*EXP(-(((((Scenario_Data!W233)-Inputs!$C$34)^2)+(((Inputs!$C$6)-Inputs!$C$35)^2))/(2*Inputs!$C$36^2)))+Inputs!$C$37*(0.55*SIN(2*PI()*(Scenario_Data!W233)/Inputs!$C$39)+0.35*COS(2*PI()*(Inputs!$C$6)/Inputs!$C$40)+0.2*SIN(2*PI()*((Scenario_Data!W233)+(Inputs!$C$6))/(0.5*(Inputs!$C$39+Inputs!$C$40))))+Inputs!$C$38*SIN(2*PI()*(Scenario_Data!W233)/Inputs!$C$39)*SIN(2*PI()*(Inputs!$C$6)/Inputs!$C$40)+-Inputs!$C$41*EXP(-(((Inputs!$C$6)-Inputs!$C$43)^2)/(2*Inputs!$C$44^2))*EXP(-(((Scenario_Data!W233)-Inputs!$C$42)^2)/(2*Inputs!$C$45^2))+Inputs!$C$48*(0.7*(0.45*SIN(2*PI()*(((Scenario_Data!W233)/Inputs!$C$49)+Inputs!$C$47*0.137))+0.35*COS(2*PI()*(((Inputs!$C$6)/Inputs!$C$50)+Inputs!$C$47*0.173))+0.2*SIN(2*PI()*((((Scenario_Data!W233)+(Inputs!$C$6))/(0.5*(Inputs!$C$49+Inputs!$C$50)))+Inputs!$C$47*0.097)))+0.3*(2*((SIN(((Scenario_Data!W233)*12.9898+(Inputs!$C$6)*78.233+Inputs!$C$47*37.719))*43758.5453)-INT((SIN(((Scenario_Data!W233)*12.9898+(Inputs!$C$6)*78.233+Inputs!$C$47*37.719))*43758.5453)))-1))))/1000))^2-2*(Inputs!$C$52+(Scenario_Data!E233))*(Inputs!$C$52+((IF(OR(Inputs!$C$27=TRUE,Inputs!$C$27="TRUE",Inputs!$C$27=1),1,0)*(Inputs!$C$51*(115*EXP(-(((Inputs!$C$6)-25)^2)/(4.5^2))+70*EXP(-(((Inputs!$C$6)+38)^2)/(7^2))*(0.55+0.45*SIN(2*PI()*(Scenario_Data!W233)/45))+24*SIN(2*PI()*(Inputs!$C$6)/9+(Scenario_Data!W233)/18)*EXP(-(((Inputs!$C$6)+5)^2)/(22^2))+18*SIN(2*PI()*(Scenario_Data!W233)/70))+Inputs!$C$28*EXP(-(((Scenario_Data!W233)-Inputs!$C$29)^2)/(2*Inputs!$C$31^2))*EXP(-(((Inputs!$C$6)-Inputs!$C$30)^2)/(2*Inputs!$C$32^2))+-Inputs!$C$33*EXP(-(((((Scenario_Data!W233)-Inputs!$C$34)^2)+(((Inputs!$C$6)-Inputs!$C$35)^2))/(2*Inputs!$C$36^2)))+Inputs!$C$37*(0.55*SIN(2*PI()*(Scenario_Data!W233)/Inputs!$C$39)+0.35*COS(2*PI()*(Inputs!$C$6)/Inputs!$C$40)+0.2*SIN(2*PI()*((Scenario_Data!W233)+(Inputs!$C$6))/(0.5*(Inputs!$C$39+Inputs!$C$40))))+Inputs!$C$38*SIN(2*PI()*(Scenario_Data!W233)/Inputs!$C$39)*SIN(2*PI()*(Inputs!$C$6)/Inputs!$C$40)+-Inputs!$C$41*EXP(-(((Inputs!$C$6)-Inputs!$C$43)^2)/(2*Inputs!$C$44^2))*EXP(-(((Scenario_Data!W233)-Inputs!$C$42)^2)/(2*Inputs!$C$45^2))+Inputs!$C$48*(0.7*(0.45*SIN(2*PI()*(((Scenario_Data!W233)/Inputs!$C$49)+Inputs!$C$47*0.137))+0.35*COS(2*PI()*(((Inputs!$C$6)/Inputs!$C$50)+Inputs!$C$47*0.173))+0.2*SIN(2*PI()*((((Scenario_Data!W233)+(Inputs!$C$6))/(0.5*(Inputs!$C$49+Inputs!$C$50)))+Inputs!$C$47*0.097)))+0.3*(2*((SIN(((Scenario_Data!W233)*12.9898+(Inputs!$C$6)*78.233+Inputs!$C$47*37.719))*43758.5453)-INT((SIN(((Scenario_Data!W233)*12.9898+(Inputs!$C$6)*78.233+Inputs!$C$47*37.719))*43758.5453)))-1))))/1000))*COS(SQRT((Scenario_Data!W233)^2+Inputs!$C$6^2)/Inputs!$C$52))*1000)/Inputs!$C$21*1000000</f>
        <v/>
      </c>
    </row>
    <row r="234">
      <c r="A234">
        <f>Chart_Data!K234</f>
        <v/>
      </c>
      <c r="B234">
        <f>Chart_Data!N234-Chart_Data!L234</f>
        <v/>
      </c>
      <c r="D234">
        <f>Chart_Data!G234</f>
        <v/>
      </c>
      <c r="E234">
        <f>Chart_Data!H234</f>
        <v/>
      </c>
      <c r="F234">
        <f>Chart_Data!I234</f>
        <v/>
      </c>
      <c r="G234">
        <f>Chart_Data!J234</f>
        <v/>
      </c>
      <c r="I234">
        <f>Scenario_Data!A234</f>
        <v/>
      </c>
      <c r="J234">
        <f>Scenario_Data!H234-(((SQRT((Inputs!$C$52+(Inputs!$H$6))^2+Inputs!$C$52^2-2*(Inputs!$C$52+(Inputs!$H$6))*Inputs!$C$52*COS(SQRT((Scenario_Data!T234)^2+Inputs!$C$6^2)/Inputs!$C$52)))-(Inputs!$H$6))*1000/Inputs!$C$12)</f>
        <v/>
      </c>
      <c r="K234">
        <f>Scenario_Data!I234-(((SQRT((Inputs!$C$52+(Inputs!$H$7))^2+Inputs!$C$52^2-2*(Inputs!$C$52+(Inputs!$H$7))*Inputs!$C$52*COS(SQRT((Scenario_Data!U234)^2+Inputs!$C$6^2)/Inputs!$C$52)))-(Inputs!$H$7))*1000/Inputs!$C$12)</f>
        <v/>
      </c>
      <c r="L234">
        <f>Scenario_Data!J234-(((SQRT((Inputs!$C$52+(Inputs!$H$8))^2+Inputs!$C$52^2-2*(Inputs!$C$52+(Inputs!$H$8))*Inputs!$C$52*COS(SQRT((Scenario_Data!V234)^2+Inputs!$C$6^2)/Inputs!$C$52)))-(Inputs!$H$8))*1000/Inputs!$C$12)</f>
        <v/>
      </c>
      <c r="M234">
        <f>Scenario_Data!K234-(((SQRT((Inputs!$C$52+(Inputs!$H$9))^2+Inputs!$C$52^2-2*(Inputs!$C$52+(Inputs!$H$9))*Inputs!$C$52*COS(SQRT((Scenario_Data!W234)^2+Inputs!$C$6^2)/Inputs!$C$52)))-(Inputs!$H$9))*1000/Inputs!$C$12)</f>
        <v/>
      </c>
      <c r="O234">
        <f>Scenario_Data!T234</f>
        <v/>
      </c>
      <c r="P234">
        <f>2*(Scenario_Data!B234*1000)/Inputs!$C$21*1000000</f>
        <v/>
      </c>
      <c r="Q234">
        <f>Scenario_Data!U234</f>
        <v/>
      </c>
      <c r="R234">
        <f>2*(Scenario_Data!C234*1000)/Inputs!$C$21*1000000</f>
        <v/>
      </c>
      <c r="S234">
        <f>Scenario_Data!V234</f>
        <v/>
      </c>
      <c r="T234">
        <f>2*(Scenario_Data!D234*1000)/Inputs!$C$21*1000000</f>
        <v/>
      </c>
      <c r="U234">
        <f>Scenario_Data!W234</f>
        <v/>
      </c>
      <c r="V234">
        <f>2*(Scenario_Data!E234*1000)/Inputs!$C$21*1000000</f>
        <v/>
      </c>
      <c r="X234">
        <f>Scenario_Data!T234</f>
        <v/>
      </c>
      <c r="Y234">
        <f>2*((Scenario_Data!B234*1000)-(IF(OR(Inputs!$C$27=TRUE,Inputs!$C$27="TRUE",Inputs!$C$27=1),1,0)*(Inputs!$C$51*(115*EXP(-(((0)-25)^2)/(4.5^2))+70*EXP(-(((0)+38)^2)/(7^2))*(0.55+0.45*SIN(2*PI()*(Scenario_Data!T234)/45))+24*SIN(2*PI()*(0)/9+(Scenario_Data!T234)/18)*EXP(-(((0)+5)^2)/(22^2))+18*SIN(2*PI()*(Scenario_Data!T234)/70))+Inputs!$C$28*EXP(-(((Scenario_Data!T234)-Inputs!$C$29)^2)/(2*Inputs!$C$31^2))*EXP(-(((0)-Inputs!$C$30)^2)/(2*Inputs!$C$32^2))+-Inputs!$C$33*EXP(-(((((Scenario_Data!T234)-Inputs!$C$34)^2)+(((0)-Inputs!$C$35)^2))/(2*Inputs!$C$36^2)))+Inputs!$C$37*(0.55*SIN(2*PI()*(Scenario_Data!T234)/Inputs!$C$39)+0.35*COS(2*PI()*(0)/Inputs!$C$40)+0.2*SIN(2*PI()*((Scenario_Data!T234)+(0))/(0.5*(Inputs!$C$39+Inputs!$C$40))))+Inputs!$C$38*SIN(2*PI()*(Scenario_Data!T234)/Inputs!$C$39)*SIN(2*PI()*(0)/Inputs!$C$40)+-Inputs!$C$41*EXP(-(((0)-Inputs!$C$43)^2)/(2*Inputs!$C$44^2))*EXP(-(((Scenario_Data!T234)-Inputs!$C$42)^2)/(2*Inputs!$C$45^2))+Inputs!$C$48*(0.7*(0.45*SIN(2*PI()*(((Scenario_Data!T234)/Inputs!$C$49)+Inputs!$C$47*0.137))+0.35*COS(2*PI()*(((0)/Inputs!$C$50)+Inputs!$C$47*0.173))+0.2*SIN(2*PI()*((((Scenario_Data!T234)+(0))/(0.5*(Inputs!$C$49+Inputs!$C$50)))+Inputs!$C$47*0.097)))+0.3*(2*((SIN(((Scenario_Data!T234)*12.9898+(0)*78.233+Inputs!$C$47*37.719))*43758.5453)-INT((SIN(((Scenario_Data!T234)*12.9898+(0)*78.233+Inputs!$C$47*37.719))*43758.5453)))-1)))))/Inputs!$C$21*1000000</f>
        <v/>
      </c>
      <c r="Z234">
        <f>Scenario_Data!U234</f>
        <v/>
      </c>
      <c r="AA234">
        <f>2*((Scenario_Data!C234*1000)-(IF(OR(Inputs!$C$27=TRUE,Inputs!$C$27="TRUE",Inputs!$C$27=1),1,0)*(Inputs!$C$51*(115*EXP(-(((0)-25)^2)/(4.5^2))+70*EXP(-(((0)+38)^2)/(7^2))*(0.55+0.45*SIN(2*PI()*(Scenario_Data!U234)/45))+24*SIN(2*PI()*(0)/9+(Scenario_Data!U234)/18)*EXP(-(((0)+5)^2)/(22^2))+18*SIN(2*PI()*(Scenario_Data!U234)/70))+Inputs!$C$28*EXP(-(((Scenario_Data!U234)-Inputs!$C$29)^2)/(2*Inputs!$C$31^2))*EXP(-(((0)-Inputs!$C$30)^2)/(2*Inputs!$C$32^2))+-Inputs!$C$33*EXP(-(((((Scenario_Data!U234)-Inputs!$C$34)^2)+(((0)-Inputs!$C$35)^2))/(2*Inputs!$C$36^2)))+Inputs!$C$37*(0.55*SIN(2*PI()*(Scenario_Data!U234)/Inputs!$C$39)+0.35*COS(2*PI()*(0)/Inputs!$C$40)+0.2*SIN(2*PI()*((Scenario_Data!U234)+(0))/(0.5*(Inputs!$C$39+Inputs!$C$40))))+Inputs!$C$38*SIN(2*PI()*(Scenario_Data!U234)/Inputs!$C$39)*SIN(2*PI()*(0)/Inputs!$C$40)+-Inputs!$C$41*EXP(-(((0)-Inputs!$C$43)^2)/(2*Inputs!$C$44^2))*EXP(-(((Scenario_Data!U234)-Inputs!$C$42)^2)/(2*Inputs!$C$45^2))+Inputs!$C$48*(0.7*(0.45*SIN(2*PI()*(((Scenario_Data!U234)/Inputs!$C$49)+Inputs!$C$47*0.137))+0.35*COS(2*PI()*(((0)/Inputs!$C$50)+Inputs!$C$47*0.173))+0.2*SIN(2*PI()*((((Scenario_Data!U234)+(0))/(0.5*(Inputs!$C$49+Inputs!$C$50)))+Inputs!$C$47*0.097)))+0.3*(2*((SIN(((Scenario_Data!U234)*12.9898+(0)*78.233+Inputs!$C$47*37.719))*43758.5453)-INT((SIN(((Scenario_Data!U234)*12.9898+(0)*78.233+Inputs!$C$47*37.719))*43758.5453)))-1)))))/Inputs!$C$21*1000000</f>
        <v/>
      </c>
      <c r="AB234">
        <f>Scenario_Data!V234</f>
        <v/>
      </c>
      <c r="AC234">
        <f>2*((Scenario_Data!D234*1000)-(IF(OR(Inputs!$C$27=TRUE,Inputs!$C$27="TRUE",Inputs!$C$27=1),1,0)*(Inputs!$C$51*(115*EXP(-(((0)-25)^2)/(4.5^2))+70*EXP(-(((0)+38)^2)/(7^2))*(0.55+0.45*SIN(2*PI()*(Scenario_Data!V234)/45))+24*SIN(2*PI()*(0)/9+(Scenario_Data!V234)/18)*EXP(-(((0)+5)^2)/(22^2))+18*SIN(2*PI()*(Scenario_Data!V234)/70))+Inputs!$C$28*EXP(-(((Scenario_Data!V234)-Inputs!$C$29)^2)/(2*Inputs!$C$31^2))*EXP(-(((0)-Inputs!$C$30)^2)/(2*Inputs!$C$32^2))+-Inputs!$C$33*EXP(-(((((Scenario_Data!V234)-Inputs!$C$34)^2)+(((0)-Inputs!$C$35)^2))/(2*Inputs!$C$36^2)))+Inputs!$C$37*(0.55*SIN(2*PI()*(Scenario_Data!V234)/Inputs!$C$39)+0.35*COS(2*PI()*(0)/Inputs!$C$40)+0.2*SIN(2*PI()*((Scenario_Data!V234)+(0))/(0.5*(Inputs!$C$39+Inputs!$C$40))))+Inputs!$C$38*SIN(2*PI()*(Scenario_Data!V234)/Inputs!$C$39)*SIN(2*PI()*(0)/Inputs!$C$40)+-Inputs!$C$41*EXP(-(((0)-Inputs!$C$43)^2)/(2*Inputs!$C$44^2))*EXP(-(((Scenario_Data!V234)-Inputs!$C$42)^2)/(2*Inputs!$C$45^2))+Inputs!$C$48*(0.7*(0.45*SIN(2*PI()*(((Scenario_Data!V234)/Inputs!$C$49)+Inputs!$C$47*0.137))+0.35*COS(2*PI()*(((0)/Inputs!$C$50)+Inputs!$C$47*0.173))+0.2*SIN(2*PI()*((((Scenario_Data!V234)+(0))/(0.5*(Inputs!$C$49+Inputs!$C$50)))+Inputs!$C$47*0.097)))+0.3*(2*((SIN(((Scenario_Data!V234)*12.9898+(0)*78.233+Inputs!$C$47*37.719))*43758.5453)-INT((SIN(((Scenario_Data!V234)*12.9898+(0)*78.233+Inputs!$C$47*37.719))*43758.5453)))-1)))))/Inputs!$C$21*1000000</f>
        <v/>
      </c>
      <c r="AD234">
        <f>Scenario_Data!W234</f>
        <v/>
      </c>
      <c r="AE234">
        <f>2*((Scenario_Data!E234*1000)-(IF(OR(Inputs!$C$27=TRUE,Inputs!$C$27="TRUE",Inputs!$C$27=1),1,0)*(Inputs!$C$51*(115*EXP(-(((0)-25)^2)/(4.5^2))+70*EXP(-(((0)+38)^2)/(7^2))*(0.55+0.45*SIN(2*PI()*(Scenario_Data!W234)/45))+24*SIN(2*PI()*(0)/9+(Scenario_Data!W234)/18)*EXP(-(((0)+5)^2)/(22^2))+18*SIN(2*PI()*(Scenario_Data!W234)/70))+Inputs!$C$28*EXP(-(((Scenario_Data!W234)-Inputs!$C$29)^2)/(2*Inputs!$C$31^2))*EXP(-(((0)-Inputs!$C$30)^2)/(2*Inputs!$C$32^2))+-Inputs!$C$33*EXP(-(((((Scenario_Data!W234)-Inputs!$C$34)^2)+(((0)-Inputs!$C$35)^2))/(2*Inputs!$C$36^2)))+Inputs!$C$37*(0.55*SIN(2*PI()*(Scenario_Data!W234)/Inputs!$C$39)+0.35*COS(2*PI()*(0)/Inputs!$C$40)+0.2*SIN(2*PI()*((Scenario_Data!W234)+(0))/(0.5*(Inputs!$C$39+Inputs!$C$40))))+Inputs!$C$38*SIN(2*PI()*(Scenario_Data!W234)/Inputs!$C$39)*SIN(2*PI()*(0)/Inputs!$C$40)+-Inputs!$C$41*EXP(-(((0)-Inputs!$C$43)^2)/(2*Inputs!$C$44^2))*EXP(-(((Scenario_Data!W234)-Inputs!$C$42)^2)/(2*Inputs!$C$45^2))+Inputs!$C$48*(0.7*(0.45*SIN(2*PI()*(((Scenario_Data!W234)/Inputs!$C$49)+Inputs!$C$47*0.137))+0.35*COS(2*PI()*(((0)/Inputs!$C$50)+Inputs!$C$47*0.173))+0.2*SIN(2*PI()*((((Scenario_Data!W234)+(0))/(0.5*(Inputs!$C$49+Inputs!$C$50)))+Inputs!$C$47*0.097)))+0.3*(2*((SIN(((Scenario_Data!W234)*12.9898+(0)*78.233+Inputs!$C$47*37.719))*43758.5453)-INT((SIN(((Scenario_Data!W234)*12.9898+(0)*78.233+Inputs!$C$47*37.719))*43758.5453)))-1)))))/Inputs!$C$21*1000000</f>
        <v/>
      </c>
      <c r="AG234">
        <f>Scenario_Data!T234</f>
        <v/>
      </c>
      <c r="AH234">
        <f>2*(SQRT((Inputs!$C$52+(Scenario_Data!B234))^2+Inputs!$C$52^2-2*(Inputs!$C$52+(Scenario_Data!B234))*Inputs!$C$52*COS(SQRT((Scenario_Data!T234)^2+Inputs!$C$6^2)/Inputs!$C$52))*1000)/Inputs!$C$21*1000000</f>
        <v/>
      </c>
      <c r="AI234">
        <f>Scenario_Data!U234</f>
        <v/>
      </c>
      <c r="AJ234">
        <f>2*(SQRT((Inputs!$C$52+(Scenario_Data!C234))^2+Inputs!$C$52^2-2*(Inputs!$C$52+(Scenario_Data!C234))*Inputs!$C$52*COS(SQRT((Scenario_Data!U234)^2+Inputs!$C$6^2)/Inputs!$C$52))*1000)/Inputs!$C$21*1000000</f>
        <v/>
      </c>
      <c r="AK234">
        <f>Scenario_Data!V234</f>
        <v/>
      </c>
      <c r="AL234">
        <f>2*(SQRT((Inputs!$C$52+(Scenario_Data!D234))^2+Inputs!$C$52^2-2*(Inputs!$C$52+(Scenario_Data!D234))*Inputs!$C$52*COS(SQRT((Scenario_Data!V234)^2+Inputs!$C$6^2)/Inputs!$C$52))*1000)/Inputs!$C$21*1000000</f>
        <v/>
      </c>
      <c r="AM234">
        <f>Scenario_Data!W234</f>
        <v/>
      </c>
      <c r="AN234">
        <f>2*(SQRT((Inputs!$C$52+(Scenario_Data!E234))^2+Inputs!$C$52^2-2*(Inputs!$C$52+(Scenario_Data!E234))*Inputs!$C$52*COS(SQRT((Scenario_Data!W234)^2+Inputs!$C$6^2)/Inputs!$C$52))*1000)/Inputs!$C$21*1000000</f>
        <v/>
      </c>
      <c r="AP234">
        <f>Scenario_Data!T234</f>
        <v/>
      </c>
      <c r="AQ234">
        <f>2*(SQRT((Inputs!$C$52+(Scenario_Data!B234))^2+(Inputs!$C$52+((IF(OR(Inputs!$C$27=TRUE,Inputs!$C$27="TRUE",Inputs!$C$27=1),1,0)*(Inputs!$C$51*(115*EXP(-(((Inputs!$C$6)-25)^2)/(4.5^2))+70*EXP(-(((Inputs!$C$6)+38)^2)/(7^2))*(0.55+0.45*SIN(2*PI()*(Scenario_Data!T234)/45))+24*SIN(2*PI()*(Inputs!$C$6)/9+(Scenario_Data!T234)/18)*EXP(-(((Inputs!$C$6)+5)^2)/(22^2))+18*SIN(2*PI()*(Scenario_Data!T234)/70))+Inputs!$C$28*EXP(-(((Scenario_Data!T234)-Inputs!$C$29)^2)/(2*Inputs!$C$31^2))*EXP(-(((Inputs!$C$6)-Inputs!$C$30)^2)/(2*Inputs!$C$32^2))+-Inputs!$C$33*EXP(-(((((Scenario_Data!T234)-Inputs!$C$34)^2)+(((Inputs!$C$6)-Inputs!$C$35)^2))/(2*Inputs!$C$36^2)))+Inputs!$C$37*(0.55*SIN(2*PI()*(Scenario_Data!T234)/Inputs!$C$39)+0.35*COS(2*PI()*(Inputs!$C$6)/Inputs!$C$40)+0.2*SIN(2*PI()*((Scenario_Data!T234)+(Inputs!$C$6))/(0.5*(Inputs!$C$39+Inputs!$C$40))))+Inputs!$C$38*SIN(2*PI()*(Scenario_Data!T234)/Inputs!$C$39)*SIN(2*PI()*(Inputs!$C$6)/Inputs!$C$40)+-Inputs!$C$41*EXP(-(((Inputs!$C$6)-Inputs!$C$43)^2)/(2*Inputs!$C$44^2))*EXP(-(((Scenario_Data!T234)-Inputs!$C$42)^2)/(2*Inputs!$C$45^2))+Inputs!$C$48*(0.7*(0.45*SIN(2*PI()*(((Scenario_Data!T234)/Inputs!$C$49)+Inputs!$C$47*0.137))+0.35*COS(2*PI()*(((Inputs!$C$6)/Inputs!$C$50)+Inputs!$C$47*0.173))+0.2*SIN(2*PI()*((((Scenario_Data!T234)+(Inputs!$C$6))/(0.5*(Inputs!$C$49+Inputs!$C$50)))+Inputs!$C$47*0.097)))+0.3*(2*((SIN(((Scenario_Data!T234)*12.9898+(Inputs!$C$6)*78.233+Inputs!$C$47*37.719))*43758.5453)-INT((SIN(((Scenario_Data!T234)*12.9898+(Inputs!$C$6)*78.233+Inputs!$C$47*37.719))*43758.5453)))-1))))/1000))^2-2*(Inputs!$C$52+(Scenario_Data!B234))*(Inputs!$C$52+((IF(OR(Inputs!$C$27=TRUE,Inputs!$C$27="TRUE",Inputs!$C$27=1),1,0)*(Inputs!$C$51*(115*EXP(-(((Inputs!$C$6)-25)^2)/(4.5^2))+70*EXP(-(((Inputs!$C$6)+38)^2)/(7^2))*(0.55+0.45*SIN(2*PI()*(Scenario_Data!T234)/45))+24*SIN(2*PI()*(Inputs!$C$6)/9+(Scenario_Data!T234)/18)*EXP(-(((Inputs!$C$6)+5)^2)/(22^2))+18*SIN(2*PI()*(Scenario_Data!T234)/70))+Inputs!$C$28*EXP(-(((Scenario_Data!T234)-Inputs!$C$29)^2)/(2*Inputs!$C$31^2))*EXP(-(((Inputs!$C$6)-Inputs!$C$30)^2)/(2*Inputs!$C$32^2))+-Inputs!$C$33*EXP(-(((((Scenario_Data!T234)-Inputs!$C$34)^2)+(((Inputs!$C$6)-Inputs!$C$35)^2))/(2*Inputs!$C$36^2)))+Inputs!$C$37*(0.55*SIN(2*PI()*(Scenario_Data!T234)/Inputs!$C$39)+0.35*COS(2*PI()*(Inputs!$C$6)/Inputs!$C$40)+0.2*SIN(2*PI()*((Scenario_Data!T234)+(Inputs!$C$6))/(0.5*(Inputs!$C$39+Inputs!$C$40))))+Inputs!$C$38*SIN(2*PI()*(Scenario_Data!T234)/Inputs!$C$39)*SIN(2*PI()*(Inputs!$C$6)/Inputs!$C$40)+-Inputs!$C$41*EXP(-(((Inputs!$C$6)-Inputs!$C$43)^2)/(2*Inputs!$C$44^2))*EXP(-(((Scenario_Data!T234)-Inputs!$C$42)^2)/(2*Inputs!$C$45^2))+Inputs!$C$48*(0.7*(0.45*SIN(2*PI()*(((Scenario_Data!T234)/Inputs!$C$49)+Inputs!$C$47*0.137))+0.35*COS(2*PI()*(((Inputs!$C$6)/Inputs!$C$50)+Inputs!$C$47*0.173))+0.2*SIN(2*PI()*((((Scenario_Data!T234)+(Inputs!$C$6))/(0.5*(Inputs!$C$49+Inputs!$C$50)))+Inputs!$C$47*0.097)))+0.3*(2*((SIN(((Scenario_Data!T234)*12.9898+(Inputs!$C$6)*78.233+Inputs!$C$47*37.719))*43758.5453)-INT((SIN(((Scenario_Data!T234)*12.9898+(Inputs!$C$6)*78.233+Inputs!$C$47*37.719))*43758.5453)))-1))))/1000))*COS(SQRT((Scenario_Data!T234)^2+Inputs!$C$6^2)/Inputs!$C$52))*1000)/Inputs!$C$21*1000000</f>
        <v/>
      </c>
      <c r="AR234">
        <f>Scenario_Data!U234</f>
        <v/>
      </c>
      <c r="AS234">
        <f>2*(SQRT((Inputs!$C$52+(Scenario_Data!C234))^2+(Inputs!$C$52+((IF(OR(Inputs!$C$27=TRUE,Inputs!$C$27="TRUE",Inputs!$C$27=1),1,0)*(Inputs!$C$51*(115*EXP(-(((Inputs!$C$6)-25)^2)/(4.5^2))+70*EXP(-(((Inputs!$C$6)+38)^2)/(7^2))*(0.55+0.45*SIN(2*PI()*(Scenario_Data!U234)/45))+24*SIN(2*PI()*(Inputs!$C$6)/9+(Scenario_Data!U234)/18)*EXP(-(((Inputs!$C$6)+5)^2)/(22^2))+18*SIN(2*PI()*(Scenario_Data!U234)/70))+Inputs!$C$28*EXP(-(((Scenario_Data!U234)-Inputs!$C$29)^2)/(2*Inputs!$C$31^2))*EXP(-(((Inputs!$C$6)-Inputs!$C$30)^2)/(2*Inputs!$C$32^2))+-Inputs!$C$33*EXP(-(((((Scenario_Data!U234)-Inputs!$C$34)^2)+(((Inputs!$C$6)-Inputs!$C$35)^2))/(2*Inputs!$C$36^2)))+Inputs!$C$37*(0.55*SIN(2*PI()*(Scenario_Data!U234)/Inputs!$C$39)+0.35*COS(2*PI()*(Inputs!$C$6)/Inputs!$C$40)+0.2*SIN(2*PI()*((Scenario_Data!U234)+(Inputs!$C$6))/(0.5*(Inputs!$C$39+Inputs!$C$40))))+Inputs!$C$38*SIN(2*PI()*(Scenario_Data!U234)/Inputs!$C$39)*SIN(2*PI()*(Inputs!$C$6)/Inputs!$C$40)+-Inputs!$C$41*EXP(-(((Inputs!$C$6)-Inputs!$C$43)^2)/(2*Inputs!$C$44^2))*EXP(-(((Scenario_Data!U234)-Inputs!$C$42)^2)/(2*Inputs!$C$45^2))+Inputs!$C$48*(0.7*(0.45*SIN(2*PI()*(((Scenario_Data!U234)/Inputs!$C$49)+Inputs!$C$47*0.137))+0.35*COS(2*PI()*(((Inputs!$C$6)/Inputs!$C$50)+Inputs!$C$47*0.173))+0.2*SIN(2*PI()*((((Scenario_Data!U234)+(Inputs!$C$6))/(0.5*(Inputs!$C$49+Inputs!$C$50)))+Inputs!$C$47*0.097)))+0.3*(2*((SIN(((Scenario_Data!U234)*12.9898+(Inputs!$C$6)*78.233+Inputs!$C$47*37.719))*43758.5453)-INT((SIN(((Scenario_Data!U234)*12.9898+(Inputs!$C$6)*78.233+Inputs!$C$47*37.719))*43758.5453)))-1))))/1000))^2-2*(Inputs!$C$52+(Scenario_Data!C234))*(Inputs!$C$52+((IF(OR(Inputs!$C$27=TRUE,Inputs!$C$27="TRUE",Inputs!$C$27=1),1,0)*(Inputs!$C$51*(115*EXP(-(((Inputs!$C$6)-25)^2)/(4.5^2))+70*EXP(-(((Inputs!$C$6)+38)^2)/(7^2))*(0.55+0.45*SIN(2*PI()*(Scenario_Data!U234)/45))+24*SIN(2*PI()*(Inputs!$C$6)/9+(Scenario_Data!U234)/18)*EXP(-(((Inputs!$C$6)+5)^2)/(22^2))+18*SIN(2*PI()*(Scenario_Data!U234)/70))+Inputs!$C$28*EXP(-(((Scenario_Data!U234)-Inputs!$C$29)^2)/(2*Inputs!$C$31^2))*EXP(-(((Inputs!$C$6)-Inputs!$C$30)^2)/(2*Inputs!$C$32^2))+-Inputs!$C$33*EXP(-(((((Scenario_Data!U234)-Inputs!$C$34)^2)+(((Inputs!$C$6)-Inputs!$C$35)^2))/(2*Inputs!$C$36^2)))+Inputs!$C$37*(0.55*SIN(2*PI()*(Scenario_Data!U234)/Inputs!$C$39)+0.35*COS(2*PI()*(Inputs!$C$6)/Inputs!$C$40)+0.2*SIN(2*PI()*((Scenario_Data!U234)+(Inputs!$C$6))/(0.5*(Inputs!$C$39+Inputs!$C$40))))+Inputs!$C$38*SIN(2*PI()*(Scenario_Data!U234)/Inputs!$C$39)*SIN(2*PI()*(Inputs!$C$6)/Inputs!$C$40)+-Inputs!$C$41*EXP(-(((Inputs!$C$6)-Inputs!$C$43)^2)/(2*Inputs!$C$44^2))*EXP(-(((Scenario_Data!U234)-Inputs!$C$42)^2)/(2*Inputs!$C$45^2))+Inputs!$C$48*(0.7*(0.45*SIN(2*PI()*(((Scenario_Data!U234)/Inputs!$C$49)+Inputs!$C$47*0.137))+0.35*COS(2*PI()*(((Inputs!$C$6)/Inputs!$C$50)+Inputs!$C$47*0.173))+0.2*SIN(2*PI()*((((Scenario_Data!U234)+(Inputs!$C$6))/(0.5*(Inputs!$C$49+Inputs!$C$50)))+Inputs!$C$47*0.097)))+0.3*(2*((SIN(((Scenario_Data!U234)*12.9898+(Inputs!$C$6)*78.233+Inputs!$C$47*37.719))*43758.5453)-INT((SIN(((Scenario_Data!U234)*12.9898+(Inputs!$C$6)*78.233+Inputs!$C$47*37.719))*43758.5453)))-1))))/1000))*COS(SQRT((Scenario_Data!U234)^2+Inputs!$C$6^2)/Inputs!$C$52))*1000)/Inputs!$C$21*1000000</f>
        <v/>
      </c>
      <c r="AT234">
        <f>Scenario_Data!V234</f>
        <v/>
      </c>
      <c r="AU234">
        <f>2*(SQRT((Inputs!$C$52+(Scenario_Data!D234))^2+(Inputs!$C$52+((IF(OR(Inputs!$C$27=TRUE,Inputs!$C$27="TRUE",Inputs!$C$27=1),1,0)*(Inputs!$C$51*(115*EXP(-(((Inputs!$C$6)-25)^2)/(4.5^2))+70*EXP(-(((Inputs!$C$6)+38)^2)/(7^2))*(0.55+0.45*SIN(2*PI()*(Scenario_Data!V234)/45))+24*SIN(2*PI()*(Inputs!$C$6)/9+(Scenario_Data!V234)/18)*EXP(-(((Inputs!$C$6)+5)^2)/(22^2))+18*SIN(2*PI()*(Scenario_Data!V234)/70))+Inputs!$C$28*EXP(-(((Scenario_Data!V234)-Inputs!$C$29)^2)/(2*Inputs!$C$31^2))*EXP(-(((Inputs!$C$6)-Inputs!$C$30)^2)/(2*Inputs!$C$32^2))+-Inputs!$C$33*EXP(-(((((Scenario_Data!V234)-Inputs!$C$34)^2)+(((Inputs!$C$6)-Inputs!$C$35)^2))/(2*Inputs!$C$36^2)))+Inputs!$C$37*(0.55*SIN(2*PI()*(Scenario_Data!V234)/Inputs!$C$39)+0.35*COS(2*PI()*(Inputs!$C$6)/Inputs!$C$40)+0.2*SIN(2*PI()*((Scenario_Data!V234)+(Inputs!$C$6))/(0.5*(Inputs!$C$39+Inputs!$C$40))))+Inputs!$C$38*SIN(2*PI()*(Scenario_Data!V234)/Inputs!$C$39)*SIN(2*PI()*(Inputs!$C$6)/Inputs!$C$40)+-Inputs!$C$41*EXP(-(((Inputs!$C$6)-Inputs!$C$43)^2)/(2*Inputs!$C$44^2))*EXP(-(((Scenario_Data!V234)-Inputs!$C$42)^2)/(2*Inputs!$C$45^2))+Inputs!$C$48*(0.7*(0.45*SIN(2*PI()*(((Scenario_Data!V234)/Inputs!$C$49)+Inputs!$C$47*0.137))+0.35*COS(2*PI()*(((Inputs!$C$6)/Inputs!$C$50)+Inputs!$C$47*0.173))+0.2*SIN(2*PI()*((((Scenario_Data!V234)+(Inputs!$C$6))/(0.5*(Inputs!$C$49+Inputs!$C$50)))+Inputs!$C$47*0.097)))+0.3*(2*((SIN(((Scenario_Data!V234)*12.9898+(Inputs!$C$6)*78.233+Inputs!$C$47*37.719))*43758.5453)-INT((SIN(((Scenario_Data!V234)*12.9898+(Inputs!$C$6)*78.233+Inputs!$C$47*37.719))*43758.5453)))-1))))/1000))^2-2*(Inputs!$C$52+(Scenario_Data!D234))*(Inputs!$C$52+((IF(OR(Inputs!$C$27=TRUE,Inputs!$C$27="TRUE",Inputs!$C$27=1),1,0)*(Inputs!$C$51*(115*EXP(-(((Inputs!$C$6)-25)^2)/(4.5^2))+70*EXP(-(((Inputs!$C$6)+38)^2)/(7^2))*(0.55+0.45*SIN(2*PI()*(Scenario_Data!V234)/45))+24*SIN(2*PI()*(Inputs!$C$6)/9+(Scenario_Data!V234)/18)*EXP(-(((Inputs!$C$6)+5)^2)/(22^2))+18*SIN(2*PI()*(Scenario_Data!V234)/70))+Inputs!$C$28*EXP(-(((Scenario_Data!V234)-Inputs!$C$29)^2)/(2*Inputs!$C$31^2))*EXP(-(((Inputs!$C$6)-Inputs!$C$30)^2)/(2*Inputs!$C$32^2))+-Inputs!$C$33*EXP(-(((((Scenario_Data!V234)-Inputs!$C$34)^2)+(((Inputs!$C$6)-Inputs!$C$35)^2))/(2*Inputs!$C$36^2)))+Inputs!$C$37*(0.55*SIN(2*PI()*(Scenario_Data!V234)/Inputs!$C$39)+0.35*COS(2*PI()*(Inputs!$C$6)/Inputs!$C$40)+0.2*SIN(2*PI()*((Scenario_Data!V234)+(Inputs!$C$6))/(0.5*(Inputs!$C$39+Inputs!$C$40))))+Inputs!$C$38*SIN(2*PI()*(Scenario_Data!V234)/Inputs!$C$39)*SIN(2*PI()*(Inputs!$C$6)/Inputs!$C$40)+-Inputs!$C$41*EXP(-(((Inputs!$C$6)-Inputs!$C$43)^2)/(2*Inputs!$C$44^2))*EXP(-(((Scenario_Data!V234)-Inputs!$C$42)^2)/(2*Inputs!$C$45^2))+Inputs!$C$48*(0.7*(0.45*SIN(2*PI()*(((Scenario_Data!V234)/Inputs!$C$49)+Inputs!$C$47*0.137))+0.35*COS(2*PI()*(((Inputs!$C$6)/Inputs!$C$50)+Inputs!$C$47*0.173))+0.2*SIN(2*PI()*((((Scenario_Data!V234)+(Inputs!$C$6))/(0.5*(Inputs!$C$49+Inputs!$C$50)))+Inputs!$C$47*0.097)))+0.3*(2*((SIN(((Scenario_Data!V234)*12.9898+(Inputs!$C$6)*78.233+Inputs!$C$47*37.719))*43758.5453)-INT((SIN(((Scenario_Data!V234)*12.9898+(Inputs!$C$6)*78.233+Inputs!$C$47*37.719))*43758.5453)))-1))))/1000))*COS(SQRT((Scenario_Data!V234)^2+Inputs!$C$6^2)/Inputs!$C$52))*1000)/Inputs!$C$21*1000000</f>
        <v/>
      </c>
      <c r="AV234">
        <f>Scenario_Data!W234</f>
        <v/>
      </c>
      <c r="AW234">
        <f>2*(SQRT((Inputs!$C$52+(Scenario_Data!E234))^2+(Inputs!$C$52+((IF(OR(Inputs!$C$27=TRUE,Inputs!$C$27="TRUE",Inputs!$C$27=1),1,0)*(Inputs!$C$51*(115*EXP(-(((Inputs!$C$6)-25)^2)/(4.5^2))+70*EXP(-(((Inputs!$C$6)+38)^2)/(7^2))*(0.55+0.45*SIN(2*PI()*(Scenario_Data!W234)/45))+24*SIN(2*PI()*(Inputs!$C$6)/9+(Scenario_Data!W234)/18)*EXP(-(((Inputs!$C$6)+5)^2)/(22^2))+18*SIN(2*PI()*(Scenario_Data!W234)/70))+Inputs!$C$28*EXP(-(((Scenario_Data!W234)-Inputs!$C$29)^2)/(2*Inputs!$C$31^2))*EXP(-(((Inputs!$C$6)-Inputs!$C$30)^2)/(2*Inputs!$C$32^2))+-Inputs!$C$33*EXP(-(((((Scenario_Data!W234)-Inputs!$C$34)^2)+(((Inputs!$C$6)-Inputs!$C$35)^2))/(2*Inputs!$C$36^2)))+Inputs!$C$37*(0.55*SIN(2*PI()*(Scenario_Data!W234)/Inputs!$C$39)+0.35*COS(2*PI()*(Inputs!$C$6)/Inputs!$C$40)+0.2*SIN(2*PI()*((Scenario_Data!W234)+(Inputs!$C$6))/(0.5*(Inputs!$C$39+Inputs!$C$40))))+Inputs!$C$38*SIN(2*PI()*(Scenario_Data!W234)/Inputs!$C$39)*SIN(2*PI()*(Inputs!$C$6)/Inputs!$C$40)+-Inputs!$C$41*EXP(-(((Inputs!$C$6)-Inputs!$C$43)^2)/(2*Inputs!$C$44^2))*EXP(-(((Scenario_Data!W234)-Inputs!$C$42)^2)/(2*Inputs!$C$45^2))+Inputs!$C$48*(0.7*(0.45*SIN(2*PI()*(((Scenario_Data!W234)/Inputs!$C$49)+Inputs!$C$47*0.137))+0.35*COS(2*PI()*(((Inputs!$C$6)/Inputs!$C$50)+Inputs!$C$47*0.173))+0.2*SIN(2*PI()*((((Scenario_Data!W234)+(Inputs!$C$6))/(0.5*(Inputs!$C$49+Inputs!$C$50)))+Inputs!$C$47*0.097)))+0.3*(2*((SIN(((Scenario_Data!W234)*12.9898+(Inputs!$C$6)*78.233+Inputs!$C$47*37.719))*43758.5453)-INT((SIN(((Scenario_Data!W234)*12.9898+(Inputs!$C$6)*78.233+Inputs!$C$47*37.719))*43758.5453)))-1))))/1000))^2-2*(Inputs!$C$52+(Scenario_Data!E234))*(Inputs!$C$52+((IF(OR(Inputs!$C$27=TRUE,Inputs!$C$27="TRUE",Inputs!$C$27=1),1,0)*(Inputs!$C$51*(115*EXP(-(((Inputs!$C$6)-25)^2)/(4.5^2))+70*EXP(-(((Inputs!$C$6)+38)^2)/(7^2))*(0.55+0.45*SIN(2*PI()*(Scenario_Data!W234)/45))+24*SIN(2*PI()*(Inputs!$C$6)/9+(Scenario_Data!W234)/18)*EXP(-(((Inputs!$C$6)+5)^2)/(22^2))+18*SIN(2*PI()*(Scenario_Data!W234)/70))+Inputs!$C$28*EXP(-(((Scenario_Data!W234)-Inputs!$C$29)^2)/(2*Inputs!$C$31^2))*EXP(-(((Inputs!$C$6)-Inputs!$C$30)^2)/(2*Inputs!$C$32^2))+-Inputs!$C$33*EXP(-(((((Scenario_Data!W234)-Inputs!$C$34)^2)+(((Inputs!$C$6)-Inputs!$C$35)^2))/(2*Inputs!$C$36^2)))+Inputs!$C$37*(0.55*SIN(2*PI()*(Scenario_Data!W234)/Inputs!$C$39)+0.35*COS(2*PI()*(Inputs!$C$6)/Inputs!$C$40)+0.2*SIN(2*PI()*((Scenario_Data!W234)+(Inputs!$C$6))/(0.5*(Inputs!$C$39+Inputs!$C$40))))+Inputs!$C$38*SIN(2*PI()*(Scenario_Data!W234)/Inputs!$C$39)*SIN(2*PI()*(Inputs!$C$6)/Inputs!$C$40)+-Inputs!$C$41*EXP(-(((Inputs!$C$6)-Inputs!$C$43)^2)/(2*Inputs!$C$44^2))*EXP(-(((Scenario_Data!W234)-Inputs!$C$42)^2)/(2*Inputs!$C$45^2))+Inputs!$C$48*(0.7*(0.45*SIN(2*PI()*(((Scenario_Data!W234)/Inputs!$C$49)+Inputs!$C$47*0.137))+0.35*COS(2*PI()*(((Inputs!$C$6)/Inputs!$C$50)+Inputs!$C$47*0.173))+0.2*SIN(2*PI()*((((Scenario_Data!W234)+(Inputs!$C$6))/(0.5*(Inputs!$C$49+Inputs!$C$50)))+Inputs!$C$47*0.097)))+0.3*(2*((SIN(((Scenario_Data!W234)*12.9898+(Inputs!$C$6)*78.233+Inputs!$C$47*37.719))*43758.5453)-INT((SIN(((Scenario_Data!W234)*12.9898+(Inputs!$C$6)*78.233+Inputs!$C$47*37.719))*43758.5453)))-1))))/1000))*COS(SQRT((Scenario_Data!W234)^2+Inputs!$C$6^2)/Inputs!$C$52))*1000)/Inputs!$C$21*1000000</f>
        <v/>
      </c>
    </row>
    <row r="235">
      <c r="A235">
        <f>Chart_Data!K235</f>
        <v/>
      </c>
      <c r="B235">
        <f>Chart_Data!N235-Chart_Data!L235</f>
        <v/>
      </c>
      <c r="D235">
        <f>Chart_Data!G235</f>
        <v/>
      </c>
      <c r="E235">
        <f>Chart_Data!H235</f>
        <v/>
      </c>
      <c r="F235">
        <f>Chart_Data!I235</f>
        <v/>
      </c>
      <c r="G235">
        <f>Chart_Data!J235</f>
        <v/>
      </c>
      <c r="I235">
        <f>Scenario_Data!A235</f>
        <v/>
      </c>
      <c r="J235">
        <f>Scenario_Data!H235-(((SQRT((Inputs!$C$52+(Inputs!$H$6))^2+Inputs!$C$52^2-2*(Inputs!$C$52+(Inputs!$H$6))*Inputs!$C$52*COS(SQRT((Scenario_Data!T235)^2+Inputs!$C$6^2)/Inputs!$C$52)))-(Inputs!$H$6))*1000/Inputs!$C$12)</f>
        <v/>
      </c>
      <c r="K235">
        <f>Scenario_Data!I235-(((SQRT((Inputs!$C$52+(Inputs!$H$7))^2+Inputs!$C$52^2-2*(Inputs!$C$52+(Inputs!$H$7))*Inputs!$C$52*COS(SQRT((Scenario_Data!U235)^2+Inputs!$C$6^2)/Inputs!$C$52)))-(Inputs!$H$7))*1000/Inputs!$C$12)</f>
        <v/>
      </c>
      <c r="L235">
        <f>Scenario_Data!J235-(((SQRT((Inputs!$C$52+(Inputs!$H$8))^2+Inputs!$C$52^2-2*(Inputs!$C$52+(Inputs!$H$8))*Inputs!$C$52*COS(SQRT((Scenario_Data!V235)^2+Inputs!$C$6^2)/Inputs!$C$52)))-(Inputs!$H$8))*1000/Inputs!$C$12)</f>
        <v/>
      </c>
      <c r="M235">
        <f>Scenario_Data!K235-(((SQRT((Inputs!$C$52+(Inputs!$H$9))^2+Inputs!$C$52^2-2*(Inputs!$C$52+(Inputs!$H$9))*Inputs!$C$52*COS(SQRT((Scenario_Data!W235)^2+Inputs!$C$6^2)/Inputs!$C$52)))-(Inputs!$H$9))*1000/Inputs!$C$12)</f>
        <v/>
      </c>
      <c r="O235">
        <f>Scenario_Data!T235</f>
        <v/>
      </c>
      <c r="P235">
        <f>2*(Scenario_Data!B235*1000)/Inputs!$C$21*1000000</f>
        <v/>
      </c>
      <c r="Q235">
        <f>Scenario_Data!U235</f>
        <v/>
      </c>
      <c r="R235">
        <f>2*(Scenario_Data!C235*1000)/Inputs!$C$21*1000000</f>
        <v/>
      </c>
      <c r="S235">
        <f>Scenario_Data!V235</f>
        <v/>
      </c>
      <c r="T235">
        <f>2*(Scenario_Data!D235*1000)/Inputs!$C$21*1000000</f>
        <v/>
      </c>
      <c r="U235">
        <f>Scenario_Data!W235</f>
        <v/>
      </c>
      <c r="V235">
        <f>2*(Scenario_Data!E235*1000)/Inputs!$C$21*1000000</f>
        <v/>
      </c>
      <c r="X235">
        <f>Scenario_Data!T235</f>
        <v/>
      </c>
      <c r="Y235">
        <f>2*((Scenario_Data!B235*1000)-(IF(OR(Inputs!$C$27=TRUE,Inputs!$C$27="TRUE",Inputs!$C$27=1),1,0)*(Inputs!$C$51*(115*EXP(-(((0)-25)^2)/(4.5^2))+70*EXP(-(((0)+38)^2)/(7^2))*(0.55+0.45*SIN(2*PI()*(Scenario_Data!T235)/45))+24*SIN(2*PI()*(0)/9+(Scenario_Data!T235)/18)*EXP(-(((0)+5)^2)/(22^2))+18*SIN(2*PI()*(Scenario_Data!T235)/70))+Inputs!$C$28*EXP(-(((Scenario_Data!T235)-Inputs!$C$29)^2)/(2*Inputs!$C$31^2))*EXP(-(((0)-Inputs!$C$30)^2)/(2*Inputs!$C$32^2))+-Inputs!$C$33*EXP(-(((((Scenario_Data!T235)-Inputs!$C$34)^2)+(((0)-Inputs!$C$35)^2))/(2*Inputs!$C$36^2)))+Inputs!$C$37*(0.55*SIN(2*PI()*(Scenario_Data!T235)/Inputs!$C$39)+0.35*COS(2*PI()*(0)/Inputs!$C$40)+0.2*SIN(2*PI()*((Scenario_Data!T235)+(0))/(0.5*(Inputs!$C$39+Inputs!$C$40))))+Inputs!$C$38*SIN(2*PI()*(Scenario_Data!T235)/Inputs!$C$39)*SIN(2*PI()*(0)/Inputs!$C$40)+-Inputs!$C$41*EXP(-(((0)-Inputs!$C$43)^2)/(2*Inputs!$C$44^2))*EXP(-(((Scenario_Data!T235)-Inputs!$C$42)^2)/(2*Inputs!$C$45^2))+Inputs!$C$48*(0.7*(0.45*SIN(2*PI()*(((Scenario_Data!T235)/Inputs!$C$49)+Inputs!$C$47*0.137))+0.35*COS(2*PI()*(((0)/Inputs!$C$50)+Inputs!$C$47*0.173))+0.2*SIN(2*PI()*((((Scenario_Data!T235)+(0))/(0.5*(Inputs!$C$49+Inputs!$C$50)))+Inputs!$C$47*0.097)))+0.3*(2*((SIN(((Scenario_Data!T235)*12.9898+(0)*78.233+Inputs!$C$47*37.719))*43758.5453)-INT((SIN(((Scenario_Data!T235)*12.9898+(0)*78.233+Inputs!$C$47*37.719))*43758.5453)))-1)))))/Inputs!$C$21*1000000</f>
        <v/>
      </c>
      <c r="Z235">
        <f>Scenario_Data!U235</f>
        <v/>
      </c>
      <c r="AA235">
        <f>2*((Scenario_Data!C235*1000)-(IF(OR(Inputs!$C$27=TRUE,Inputs!$C$27="TRUE",Inputs!$C$27=1),1,0)*(Inputs!$C$51*(115*EXP(-(((0)-25)^2)/(4.5^2))+70*EXP(-(((0)+38)^2)/(7^2))*(0.55+0.45*SIN(2*PI()*(Scenario_Data!U235)/45))+24*SIN(2*PI()*(0)/9+(Scenario_Data!U235)/18)*EXP(-(((0)+5)^2)/(22^2))+18*SIN(2*PI()*(Scenario_Data!U235)/70))+Inputs!$C$28*EXP(-(((Scenario_Data!U235)-Inputs!$C$29)^2)/(2*Inputs!$C$31^2))*EXP(-(((0)-Inputs!$C$30)^2)/(2*Inputs!$C$32^2))+-Inputs!$C$33*EXP(-(((((Scenario_Data!U235)-Inputs!$C$34)^2)+(((0)-Inputs!$C$35)^2))/(2*Inputs!$C$36^2)))+Inputs!$C$37*(0.55*SIN(2*PI()*(Scenario_Data!U235)/Inputs!$C$39)+0.35*COS(2*PI()*(0)/Inputs!$C$40)+0.2*SIN(2*PI()*((Scenario_Data!U235)+(0))/(0.5*(Inputs!$C$39+Inputs!$C$40))))+Inputs!$C$38*SIN(2*PI()*(Scenario_Data!U235)/Inputs!$C$39)*SIN(2*PI()*(0)/Inputs!$C$40)+-Inputs!$C$41*EXP(-(((0)-Inputs!$C$43)^2)/(2*Inputs!$C$44^2))*EXP(-(((Scenario_Data!U235)-Inputs!$C$42)^2)/(2*Inputs!$C$45^2))+Inputs!$C$48*(0.7*(0.45*SIN(2*PI()*(((Scenario_Data!U235)/Inputs!$C$49)+Inputs!$C$47*0.137))+0.35*COS(2*PI()*(((0)/Inputs!$C$50)+Inputs!$C$47*0.173))+0.2*SIN(2*PI()*((((Scenario_Data!U235)+(0))/(0.5*(Inputs!$C$49+Inputs!$C$50)))+Inputs!$C$47*0.097)))+0.3*(2*((SIN(((Scenario_Data!U235)*12.9898+(0)*78.233+Inputs!$C$47*37.719))*43758.5453)-INT((SIN(((Scenario_Data!U235)*12.9898+(0)*78.233+Inputs!$C$47*37.719))*43758.5453)))-1)))))/Inputs!$C$21*1000000</f>
        <v/>
      </c>
      <c r="AB235">
        <f>Scenario_Data!V235</f>
        <v/>
      </c>
      <c r="AC235">
        <f>2*((Scenario_Data!D235*1000)-(IF(OR(Inputs!$C$27=TRUE,Inputs!$C$27="TRUE",Inputs!$C$27=1),1,0)*(Inputs!$C$51*(115*EXP(-(((0)-25)^2)/(4.5^2))+70*EXP(-(((0)+38)^2)/(7^2))*(0.55+0.45*SIN(2*PI()*(Scenario_Data!V235)/45))+24*SIN(2*PI()*(0)/9+(Scenario_Data!V235)/18)*EXP(-(((0)+5)^2)/(22^2))+18*SIN(2*PI()*(Scenario_Data!V235)/70))+Inputs!$C$28*EXP(-(((Scenario_Data!V235)-Inputs!$C$29)^2)/(2*Inputs!$C$31^2))*EXP(-(((0)-Inputs!$C$30)^2)/(2*Inputs!$C$32^2))+-Inputs!$C$33*EXP(-(((((Scenario_Data!V235)-Inputs!$C$34)^2)+(((0)-Inputs!$C$35)^2))/(2*Inputs!$C$36^2)))+Inputs!$C$37*(0.55*SIN(2*PI()*(Scenario_Data!V235)/Inputs!$C$39)+0.35*COS(2*PI()*(0)/Inputs!$C$40)+0.2*SIN(2*PI()*((Scenario_Data!V235)+(0))/(0.5*(Inputs!$C$39+Inputs!$C$40))))+Inputs!$C$38*SIN(2*PI()*(Scenario_Data!V235)/Inputs!$C$39)*SIN(2*PI()*(0)/Inputs!$C$40)+-Inputs!$C$41*EXP(-(((0)-Inputs!$C$43)^2)/(2*Inputs!$C$44^2))*EXP(-(((Scenario_Data!V235)-Inputs!$C$42)^2)/(2*Inputs!$C$45^2))+Inputs!$C$48*(0.7*(0.45*SIN(2*PI()*(((Scenario_Data!V235)/Inputs!$C$49)+Inputs!$C$47*0.137))+0.35*COS(2*PI()*(((0)/Inputs!$C$50)+Inputs!$C$47*0.173))+0.2*SIN(2*PI()*((((Scenario_Data!V235)+(0))/(0.5*(Inputs!$C$49+Inputs!$C$50)))+Inputs!$C$47*0.097)))+0.3*(2*((SIN(((Scenario_Data!V235)*12.9898+(0)*78.233+Inputs!$C$47*37.719))*43758.5453)-INT((SIN(((Scenario_Data!V235)*12.9898+(0)*78.233+Inputs!$C$47*37.719))*43758.5453)))-1)))))/Inputs!$C$21*1000000</f>
        <v/>
      </c>
      <c r="AD235">
        <f>Scenario_Data!W235</f>
        <v/>
      </c>
      <c r="AE235">
        <f>2*((Scenario_Data!E235*1000)-(IF(OR(Inputs!$C$27=TRUE,Inputs!$C$27="TRUE",Inputs!$C$27=1),1,0)*(Inputs!$C$51*(115*EXP(-(((0)-25)^2)/(4.5^2))+70*EXP(-(((0)+38)^2)/(7^2))*(0.55+0.45*SIN(2*PI()*(Scenario_Data!W235)/45))+24*SIN(2*PI()*(0)/9+(Scenario_Data!W235)/18)*EXP(-(((0)+5)^2)/(22^2))+18*SIN(2*PI()*(Scenario_Data!W235)/70))+Inputs!$C$28*EXP(-(((Scenario_Data!W235)-Inputs!$C$29)^2)/(2*Inputs!$C$31^2))*EXP(-(((0)-Inputs!$C$30)^2)/(2*Inputs!$C$32^2))+-Inputs!$C$33*EXP(-(((((Scenario_Data!W235)-Inputs!$C$34)^2)+(((0)-Inputs!$C$35)^2))/(2*Inputs!$C$36^2)))+Inputs!$C$37*(0.55*SIN(2*PI()*(Scenario_Data!W235)/Inputs!$C$39)+0.35*COS(2*PI()*(0)/Inputs!$C$40)+0.2*SIN(2*PI()*((Scenario_Data!W235)+(0))/(0.5*(Inputs!$C$39+Inputs!$C$40))))+Inputs!$C$38*SIN(2*PI()*(Scenario_Data!W235)/Inputs!$C$39)*SIN(2*PI()*(0)/Inputs!$C$40)+-Inputs!$C$41*EXP(-(((0)-Inputs!$C$43)^2)/(2*Inputs!$C$44^2))*EXP(-(((Scenario_Data!W235)-Inputs!$C$42)^2)/(2*Inputs!$C$45^2))+Inputs!$C$48*(0.7*(0.45*SIN(2*PI()*(((Scenario_Data!W235)/Inputs!$C$49)+Inputs!$C$47*0.137))+0.35*COS(2*PI()*(((0)/Inputs!$C$50)+Inputs!$C$47*0.173))+0.2*SIN(2*PI()*((((Scenario_Data!W235)+(0))/(0.5*(Inputs!$C$49+Inputs!$C$50)))+Inputs!$C$47*0.097)))+0.3*(2*((SIN(((Scenario_Data!W235)*12.9898+(0)*78.233+Inputs!$C$47*37.719))*43758.5453)-INT((SIN(((Scenario_Data!W235)*12.9898+(0)*78.233+Inputs!$C$47*37.719))*43758.5453)))-1)))))/Inputs!$C$21*1000000</f>
        <v/>
      </c>
      <c r="AG235">
        <f>Scenario_Data!T235</f>
        <v/>
      </c>
      <c r="AH235">
        <f>2*(SQRT((Inputs!$C$52+(Scenario_Data!B235))^2+Inputs!$C$52^2-2*(Inputs!$C$52+(Scenario_Data!B235))*Inputs!$C$52*COS(SQRT((Scenario_Data!T235)^2+Inputs!$C$6^2)/Inputs!$C$52))*1000)/Inputs!$C$21*1000000</f>
        <v/>
      </c>
      <c r="AI235">
        <f>Scenario_Data!U235</f>
        <v/>
      </c>
      <c r="AJ235">
        <f>2*(SQRT((Inputs!$C$52+(Scenario_Data!C235))^2+Inputs!$C$52^2-2*(Inputs!$C$52+(Scenario_Data!C235))*Inputs!$C$52*COS(SQRT((Scenario_Data!U235)^2+Inputs!$C$6^2)/Inputs!$C$52))*1000)/Inputs!$C$21*1000000</f>
        <v/>
      </c>
      <c r="AK235">
        <f>Scenario_Data!V235</f>
        <v/>
      </c>
      <c r="AL235">
        <f>2*(SQRT((Inputs!$C$52+(Scenario_Data!D235))^2+Inputs!$C$52^2-2*(Inputs!$C$52+(Scenario_Data!D235))*Inputs!$C$52*COS(SQRT((Scenario_Data!V235)^2+Inputs!$C$6^2)/Inputs!$C$52))*1000)/Inputs!$C$21*1000000</f>
        <v/>
      </c>
      <c r="AM235">
        <f>Scenario_Data!W235</f>
        <v/>
      </c>
      <c r="AN235">
        <f>2*(SQRT((Inputs!$C$52+(Scenario_Data!E235))^2+Inputs!$C$52^2-2*(Inputs!$C$52+(Scenario_Data!E235))*Inputs!$C$52*COS(SQRT((Scenario_Data!W235)^2+Inputs!$C$6^2)/Inputs!$C$52))*1000)/Inputs!$C$21*1000000</f>
        <v/>
      </c>
      <c r="AP235">
        <f>Scenario_Data!T235</f>
        <v/>
      </c>
      <c r="AQ235">
        <f>2*(SQRT((Inputs!$C$52+(Scenario_Data!B235))^2+(Inputs!$C$52+((IF(OR(Inputs!$C$27=TRUE,Inputs!$C$27="TRUE",Inputs!$C$27=1),1,0)*(Inputs!$C$51*(115*EXP(-(((Inputs!$C$6)-25)^2)/(4.5^2))+70*EXP(-(((Inputs!$C$6)+38)^2)/(7^2))*(0.55+0.45*SIN(2*PI()*(Scenario_Data!T235)/45))+24*SIN(2*PI()*(Inputs!$C$6)/9+(Scenario_Data!T235)/18)*EXP(-(((Inputs!$C$6)+5)^2)/(22^2))+18*SIN(2*PI()*(Scenario_Data!T235)/70))+Inputs!$C$28*EXP(-(((Scenario_Data!T235)-Inputs!$C$29)^2)/(2*Inputs!$C$31^2))*EXP(-(((Inputs!$C$6)-Inputs!$C$30)^2)/(2*Inputs!$C$32^2))+-Inputs!$C$33*EXP(-(((((Scenario_Data!T235)-Inputs!$C$34)^2)+(((Inputs!$C$6)-Inputs!$C$35)^2))/(2*Inputs!$C$36^2)))+Inputs!$C$37*(0.55*SIN(2*PI()*(Scenario_Data!T235)/Inputs!$C$39)+0.35*COS(2*PI()*(Inputs!$C$6)/Inputs!$C$40)+0.2*SIN(2*PI()*((Scenario_Data!T235)+(Inputs!$C$6))/(0.5*(Inputs!$C$39+Inputs!$C$40))))+Inputs!$C$38*SIN(2*PI()*(Scenario_Data!T235)/Inputs!$C$39)*SIN(2*PI()*(Inputs!$C$6)/Inputs!$C$40)+-Inputs!$C$41*EXP(-(((Inputs!$C$6)-Inputs!$C$43)^2)/(2*Inputs!$C$44^2))*EXP(-(((Scenario_Data!T235)-Inputs!$C$42)^2)/(2*Inputs!$C$45^2))+Inputs!$C$48*(0.7*(0.45*SIN(2*PI()*(((Scenario_Data!T235)/Inputs!$C$49)+Inputs!$C$47*0.137))+0.35*COS(2*PI()*(((Inputs!$C$6)/Inputs!$C$50)+Inputs!$C$47*0.173))+0.2*SIN(2*PI()*((((Scenario_Data!T235)+(Inputs!$C$6))/(0.5*(Inputs!$C$49+Inputs!$C$50)))+Inputs!$C$47*0.097)))+0.3*(2*((SIN(((Scenario_Data!T235)*12.9898+(Inputs!$C$6)*78.233+Inputs!$C$47*37.719))*43758.5453)-INT((SIN(((Scenario_Data!T235)*12.9898+(Inputs!$C$6)*78.233+Inputs!$C$47*37.719))*43758.5453)))-1))))/1000))^2-2*(Inputs!$C$52+(Scenario_Data!B235))*(Inputs!$C$52+((IF(OR(Inputs!$C$27=TRUE,Inputs!$C$27="TRUE",Inputs!$C$27=1),1,0)*(Inputs!$C$51*(115*EXP(-(((Inputs!$C$6)-25)^2)/(4.5^2))+70*EXP(-(((Inputs!$C$6)+38)^2)/(7^2))*(0.55+0.45*SIN(2*PI()*(Scenario_Data!T235)/45))+24*SIN(2*PI()*(Inputs!$C$6)/9+(Scenario_Data!T235)/18)*EXP(-(((Inputs!$C$6)+5)^2)/(22^2))+18*SIN(2*PI()*(Scenario_Data!T235)/70))+Inputs!$C$28*EXP(-(((Scenario_Data!T235)-Inputs!$C$29)^2)/(2*Inputs!$C$31^2))*EXP(-(((Inputs!$C$6)-Inputs!$C$30)^2)/(2*Inputs!$C$32^2))+-Inputs!$C$33*EXP(-(((((Scenario_Data!T235)-Inputs!$C$34)^2)+(((Inputs!$C$6)-Inputs!$C$35)^2))/(2*Inputs!$C$36^2)))+Inputs!$C$37*(0.55*SIN(2*PI()*(Scenario_Data!T235)/Inputs!$C$39)+0.35*COS(2*PI()*(Inputs!$C$6)/Inputs!$C$40)+0.2*SIN(2*PI()*((Scenario_Data!T235)+(Inputs!$C$6))/(0.5*(Inputs!$C$39+Inputs!$C$40))))+Inputs!$C$38*SIN(2*PI()*(Scenario_Data!T235)/Inputs!$C$39)*SIN(2*PI()*(Inputs!$C$6)/Inputs!$C$40)+-Inputs!$C$41*EXP(-(((Inputs!$C$6)-Inputs!$C$43)^2)/(2*Inputs!$C$44^2))*EXP(-(((Scenario_Data!T235)-Inputs!$C$42)^2)/(2*Inputs!$C$45^2))+Inputs!$C$48*(0.7*(0.45*SIN(2*PI()*(((Scenario_Data!T235)/Inputs!$C$49)+Inputs!$C$47*0.137))+0.35*COS(2*PI()*(((Inputs!$C$6)/Inputs!$C$50)+Inputs!$C$47*0.173))+0.2*SIN(2*PI()*((((Scenario_Data!T235)+(Inputs!$C$6))/(0.5*(Inputs!$C$49+Inputs!$C$50)))+Inputs!$C$47*0.097)))+0.3*(2*((SIN(((Scenario_Data!T235)*12.9898+(Inputs!$C$6)*78.233+Inputs!$C$47*37.719))*43758.5453)-INT((SIN(((Scenario_Data!T235)*12.9898+(Inputs!$C$6)*78.233+Inputs!$C$47*37.719))*43758.5453)))-1))))/1000))*COS(SQRT((Scenario_Data!T235)^2+Inputs!$C$6^2)/Inputs!$C$52))*1000)/Inputs!$C$21*1000000</f>
        <v/>
      </c>
      <c r="AR235">
        <f>Scenario_Data!U235</f>
        <v/>
      </c>
      <c r="AS235">
        <f>2*(SQRT((Inputs!$C$52+(Scenario_Data!C235))^2+(Inputs!$C$52+((IF(OR(Inputs!$C$27=TRUE,Inputs!$C$27="TRUE",Inputs!$C$27=1),1,0)*(Inputs!$C$51*(115*EXP(-(((Inputs!$C$6)-25)^2)/(4.5^2))+70*EXP(-(((Inputs!$C$6)+38)^2)/(7^2))*(0.55+0.45*SIN(2*PI()*(Scenario_Data!U235)/45))+24*SIN(2*PI()*(Inputs!$C$6)/9+(Scenario_Data!U235)/18)*EXP(-(((Inputs!$C$6)+5)^2)/(22^2))+18*SIN(2*PI()*(Scenario_Data!U235)/70))+Inputs!$C$28*EXP(-(((Scenario_Data!U235)-Inputs!$C$29)^2)/(2*Inputs!$C$31^2))*EXP(-(((Inputs!$C$6)-Inputs!$C$30)^2)/(2*Inputs!$C$32^2))+-Inputs!$C$33*EXP(-(((((Scenario_Data!U235)-Inputs!$C$34)^2)+(((Inputs!$C$6)-Inputs!$C$35)^2))/(2*Inputs!$C$36^2)))+Inputs!$C$37*(0.55*SIN(2*PI()*(Scenario_Data!U235)/Inputs!$C$39)+0.35*COS(2*PI()*(Inputs!$C$6)/Inputs!$C$40)+0.2*SIN(2*PI()*((Scenario_Data!U235)+(Inputs!$C$6))/(0.5*(Inputs!$C$39+Inputs!$C$40))))+Inputs!$C$38*SIN(2*PI()*(Scenario_Data!U235)/Inputs!$C$39)*SIN(2*PI()*(Inputs!$C$6)/Inputs!$C$40)+-Inputs!$C$41*EXP(-(((Inputs!$C$6)-Inputs!$C$43)^2)/(2*Inputs!$C$44^2))*EXP(-(((Scenario_Data!U235)-Inputs!$C$42)^2)/(2*Inputs!$C$45^2))+Inputs!$C$48*(0.7*(0.45*SIN(2*PI()*(((Scenario_Data!U235)/Inputs!$C$49)+Inputs!$C$47*0.137))+0.35*COS(2*PI()*(((Inputs!$C$6)/Inputs!$C$50)+Inputs!$C$47*0.173))+0.2*SIN(2*PI()*((((Scenario_Data!U235)+(Inputs!$C$6))/(0.5*(Inputs!$C$49+Inputs!$C$50)))+Inputs!$C$47*0.097)))+0.3*(2*((SIN(((Scenario_Data!U235)*12.9898+(Inputs!$C$6)*78.233+Inputs!$C$47*37.719))*43758.5453)-INT((SIN(((Scenario_Data!U235)*12.9898+(Inputs!$C$6)*78.233+Inputs!$C$47*37.719))*43758.5453)))-1))))/1000))^2-2*(Inputs!$C$52+(Scenario_Data!C235))*(Inputs!$C$52+((IF(OR(Inputs!$C$27=TRUE,Inputs!$C$27="TRUE",Inputs!$C$27=1),1,0)*(Inputs!$C$51*(115*EXP(-(((Inputs!$C$6)-25)^2)/(4.5^2))+70*EXP(-(((Inputs!$C$6)+38)^2)/(7^2))*(0.55+0.45*SIN(2*PI()*(Scenario_Data!U235)/45))+24*SIN(2*PI()*(Inputs!$C$6)/9+(Scenario_Data!U235)/18)*EXP(-(((Inputs!$C$6)+5)^2)/(22^2))+18*SIN(2*PI()*(Scenario_Data!U235)/70))+Inputs!$C$28*EXP(-(((Scenario_Data!U235)-Inputs!$C$29)^2)/(2*Inputs!$C$31^2))*EXP(-(((Inputs!$C$6)-Inputs!$C$30)^2)/(2*Inputs!$C$32^2))+-Inputs!$C$33*EXP(-(((((Scenario_Data!U235)-Inputs!$C$34)^2)+(((Inputs!$C$6)-Inputs!$C$35)^2))/(2*Inputs!$C$36^2)))+Inputs!$C$37*(0.55*SIN(2*PI()*(Scenario_Data!U235)/Inputs!$C$39)+0.35*COS(2*PI()*(Inputs!$C$6)/Inputs!$C$40)+0.2*SIN(2*PI()*((Scenario_Data!U235)+(Inputs!$C$6))/(0.5*(Inputs!$C$39+Inputs!$C$40))))+Inputs!$C$38*SIN(2*PI()*(Scenario_Data!U235)/Inputs!$C$39)*SIN(2*PI()*(Inputs!$C$6)/Inputs!$C$40)+-Inputs!$C$41*EXP(-(((Inputs!$C$6)-Inputs!$C$43)^2)/(2*Inputs!$C$44^2))*EXP(-(((Scenario_Data!U235)-Inputs!$C$42)^2)/(2*Inputs!$C$45^2))+Inputs!$C$48*(0.7*(0.45*SIN(2*PI()*(((Scenario_Data!U235)/Inputs!$C$49)+Inputs!$C$47*0.137))+0.35*COS(2*PI()*(((Inputs!$C$6)/Inputs!$C$50)+Inputs!$C$47*0.173))+0.2*SIN(2*PI()*((((Scenario_Data!U235)+(Inputs!$C$6))/(0.5*(Inputs!$C$49+Inputs!$C$50)))+Inputs!$C$47*0.097)))+0.3*(2*((SIN(((Scenario_Data!U235)*12.9898+(Inputs!$C$6)*78.233+Inputs!$C$47*37.719))*43758.5453)-INT((SIN(((Scenario_Data!U235)*12.9898+(Inputs!$C$6)*78.233+Inputs!$C$47*37.719))*43758.5453)))-1))))/1000))*COS(SQRT((Scenario_Data!U235)^2+Inputs!$C$6^2)/Inputs!$C$52))*1000)/Inputs!$C$21*1000000</f>
        <v/>
      </c>
      <c r="AT235">
        <f>Scenario_Data!V235</f>
        <v/>
      </c>
      <c r="AU235">
        <f>2*(SQRT((Inputs!$C$52+(Scenario_Data!D235))^2+(Inputs!$C$52+((IF(OR(Inputs!$C$27=TRUE,Inputs!$C$27="TRUE",Inputs!$C$27=1),1,0)*(Inputs!$C$51*(115*EXP(-(((Inputs!$C$6)-25)^2)/(4.5^2))+70*EXP(-(((Inputs!$C$6)+38)^2)/(7^2))*(0.55+0.45*SIN(2*PI()*(Scenario_Data!V235)/45))+24*SIN(2*PI()*(Inputs!$C$6)/9+(Scenario_Data!V235)/18)*EXP(-(((Inputs!$C$6)+5)^2)/(22^2))+18*SIN(2*PI()*(Scenario_Data!V235)/70))+Inputs!$C$28*EXP(-(((Scenario_Data!V235)-Inputs!$C$29)^2)/(2*Inputs!$C$31^2))*EXP(-(((Inputs!$C$6)-Inputs!$C$30)^2)/(2*Inputs!$C$32^2))+-Inputs!$C$33*EXP(-(((((Scenario_Data!V235)-Inputs!$C$34)^2)+(((Inputs!$C$6)-Inputs!$C$35)^2))/(2*Inputs!$C$36^2)))+Inputs!$C$37*(0.55*SIN(2*PI()*(Scenario_Data!V235)/Inputs!$C$39)+0.35*COS(2*PI()*(Inputs!$C$6)/Inputs!$C$40)+0.2*SIN(2*PI()*((Scenario_Data!V235)+(Inputs!$C$6))/(0.5*(Inputs!$C$39+Inputs!$C$40))))+Inputs!$C$38*SIN(2*PI()*(Scenario_Data!V235)/Inputs!$C$39)*SIN(2*PI()*(Inputs!$C$6)/Inputs!$C$40)+-Inputs!$C$41*EXP(-(((Inputs!$C$6)-Inputs!$C$43)^2)/(2*Inputs!$C$44^2))*EXP(-(((Scenario_Data!V235)-Inputs!$C$42)^2)/(2*Inputs!$C$45^2))+Inputs!$C$48*(0.7*(0.45*SIN(2*PI()*(((Scenario_Data!V235)/Inputs!$C$49)+Inputs!$C$47*0.137))+0.35*COS(2*PI()*(((Inputs!$C$6)/Inputs!$C$50)+Inputs!$C$47*0.173))+0.2*SIN(2*PI()*((((Scenario_Data!V235)+(Inputs!$C$6))/(0.5*(Inputs!$C$49+Inputs!$C$50)))+Inputs!$C$47*0.097)))+0.3*(2*((SIN(((Scenario_Data!V235)*12.9898+(Inputs!$C$6)*78.233+Inputs!$C$47*37.719))*43758.5453)-INT((SIN(((Scenario_Data!V235)*12.9898+(Inputs!$C$6)*78.233+Inputs!$C$47*37.719))*43758.5453)))-1))))/1000))^2-2*(Inputs!$C$52+(Scenario_Data!D235))*(Inputs!$C$52+((IF(OR(Inputs!$C$27=TRUE,Inputs!$C$27="TRUE",Inputs!$C$27=1),1,0)*(Inputs!$C$51*(115*EXP(-(((Inputs!$C$6)-25)^2)/(4.5^2))+70*EXP(-(((Inputs!$C$6)+38)^2)/(7^2))*(0.55+0.45*SIN(2*PI()*(Scenario_Data!V235)/45))+24*SIN(2*PI()*(Inputs!$C$6)/9+(Scenario_Data!V235)/18)*EXP(-(((Inputs!$C$6)+5)^2)/(22^2))+18*SIN(2*PI()*(Scenario_Data!V235)/70))+Inputs!$C$28*EXP(-(((Scenario_Data!V235)-Inputs!$C$29)^2)/(2*Inputs!$C$31^2))*EXP(-(((Inputs!$C$6)-Inputs!$C$30)^2)/(2*Inputs!$C$32^2))+-Inputs!$C$33*EXP(-(((((Scenario_Data!V235)-Inputs!$C$34)^2)+(((Inputs!$C$6)-Inputs!$C$35)^2))/(2*Inputs!$C$36^2)))+Inputs!$C$37*(0.55*SIN(2*PI()*(Scenario_Data!V235)/Inputs!$C$39)+0.35*COS(2*PI()*(Inputs!$C$6)/Inputs!$C$40)+0.2*SIN(2*PI()*((Scenario_Data!V235)+(Inputs!$C$6))/(0.5*(Inputs!$C$39+Inputs!$C$40))))+Inputs!$C$38*SIN(2*PI()*(Scenario_Data!V235)/Inputs!$C$39)*SIN(2*PI()*(Inputs!$C$6)/Inputs!$C$40)+-Inputs!$C$41*EXP(-(((Inputs!$C$6)-Inputs!$C$43)^2)/(2*Inputs!$C$44^2))*EXP(-(((Scenario_Data!V235)-Inputs!$C$42)^2)/(2*Inputs!$C$45^2))+Inputs!$C$48*(0.7*(0.45*SIN(2*PI()*(((Scenario_Data!V235)/Inputs!$C$49)+Inputs!$C$47*0.137))+0.35*COS(2*PI()*(((Inputs!$C$6)/Inputs!$C$50)+Inputs!$C$47*0.173))+0.2*SIN(2*PI()*((((Scenario_Data!V235)+(Inputs!$C$6))/(0.5*(Inputs!$C$49+Inputs!$C$50)))+Inputs!$C$47*0.097)))+0.3*(2*((SIN(((Scenario_Data!V235)*12.9898+(Inputs!$C$6)*78.233+Inputs!$C$47*37.719))*43758.5453)-INT((SIN(((Scenario_Data!V235)*12.9898+(Inputs!$C$6)*78.233+Inputs!$C$47*37.719))*43758.5453)))-1))))/1000))*COS(SQRT((Scenario_Data!V235)^2+Inputs!$C$6^2)/Inputs!$C$52))*1000)/Inputs!$C$21*1000000</f>
        <v/>
      </c>
      <c r="AV235">
        <f>Scenario_Data!W235</f>
        <v/>
      </c>
      <c r="AW235">
        <f>2*(SQRT((Inputs!$C$52+(Scenario_Data!E235))^2+(Inputs!$C$52+((IF(OR(Inputs!$C$27=TRUE,Inputs!$C$27="TRUE",Inputs!$C$27=1),1,0)*(Inputs!$C$51*(115*EXP(-(((Inputs!$C$6)-25)^2)/(4.5^2))+70*EXP(-(((Inputs!$C$6)+38)^2)/(7^2))*(0.55+0.45*SIN(2*PI()*(Scenario_Data!W235)/45))+24*SIN(2*PI()*(Inputs!$C$6)/9+(Scenario_Data!W235)/18)*EXP(-(((Inputs!$C$6)+5)^2)/(22^2))+18*SIN(2*PI()*(Scenario_Data!W235)/70))+Inputs!$C$28*EXP(-(((Scenario_Data!W235)-Inputs!$C$29)^2)/(2*Inputs!$C$31^2))*EXP(-(((Inputs!$C$6)-Inputs!$C$30)^2)/(2*Inputs!$C$32^2))+-Inputs!$C$33*EXP(-(((((Scenario_Data!W235)-Inputs!$C$34)^2)+(((Inputs!$C$6)-Inputs!$C$35)^2))/(2*Inputs!$C$36^2)))+Inputs!$C$37*(0.55*SIN(2*PI()*(Scenario_Data!W235)/Inputs!$C$39)+0.35*COS(2*PI()*(Inputs!$C$6)/Inputs!$C$40)+0.2*SIN(2*PI()*((Scenario_Data!W235)+(Inputs!$C$6))/(0.5*(Inputs!$C$39+Inputs!$C$40))))+Inputs!$C$38*SIN(2*PI()*(Scenario_Data!W235)/Inputs!$C$39)*SIN(2*PI()*(Inputs!$C$6)/Inputs!$C$40)+-Inputs!$C$41*EXP(-(((Inputs!$C$6)-Inputs!$C$43)^2)/(2*Inputs!$C$44^2))*EXP(-(((Scenario_Data!W235)-Inputs!$C$42)^2)/(2*Inputs!$C$45^2))+Inputs!$C$48*(0.7*(0.45*SIN(2*PI()*(((Scenario_Data!W235)/Inputs!$C$49)+Inputs!$C$47*0.137))+0.35*COS(2*PI()*(((Inputs!$C$6)/Inputs!$C$50)+Inputs!$C$47*0.173))+0.2*SIN(2*PI()*((((Scenario_Data!W235)+(Inputs!$C$6))/(0.5*(Inputs!$C$49+Inputs!$C$50)))+Inputs!$C$47*0.097)))+0.3*(2*((SIN(((Scenario_Data!W235)*12.9898+(Inputs!$C$6)*78.233+Inputs!$C$47*37.719))*43758.5453)-INT((SIN(((Scenario_Data!W235)*12.9898+(Inputs!$C$6)*78.233+Inputs!$C$47*37.719))*43758.5453)))-1))))/1000))^2-2*(Inputs!$C$52+(Scenario_Data!E235))*(Inputs!$C$52+((IF(OR(Inputs!$C$27=TRUE,Inputs!$C$27="TRUE",Inputs!$C$27=1),1,0)*(Inputs!$C$51*(115*EXP(-(((Inputs!$C$6)-25)^2)/(4.5^2))+70*EXP(-(((Inputs!$C$6)+38)^2)/(7^2))*(0.55+0.45*SIN(2*PI()*(Scenario_Data!W235)/45))+24*SIN(2*PI()*(Inputs!$C$6)/9+(Scenario_Data!W235)/18)*EXP(-(((Inputs!$C$6)+5)^2)/(22^2))+18*SIN(2*PI()*(Scenario_Data!W235)/70))+Inputs!$C$28*EXP(-(((Scenario_Data!W235)-Inputs!$C$29)^2)/(2*Inputs!$C$31^2))*EXP(-(((Inputs!$C$6)-Inputs!$C$30)^2)/(2*Inputs!$C$32^2))+-Inputs!$C$33*EXP(-(((((Scenario_Data!W235)-Inputs!$C$34)^2)+(((Inputs!$C$6)-Inputs!$C$35)^2))/(2*Inputs!$C$36^2)))+Inputs!$C$37*(0.55*SIN(2*PI()*(Scenario_Data!W235)/Inputs!$C$39)+0.35*COS(2*PI()*(Inputs!$C$6)/Inputs!$C$40)+0.2*SIN(2*PI()*((Scenario_Data!W235)+(Inputs!$C$6))/(0.5*(Inputs!$C$39+Inputs!$C$40))))+Inputs!$C$38*SIN(2*PI()*(Scenario_Data!W235)/Inputs!$C$39)*SIN(2*PI()*(Inputs!$C$6)/Inputs!$C$40)+-Inputs!$C$41*EXP(-(((Inputs!$C$6)-Inputs!$C$43)^2)/(2*Inputs!$C$44^2))*EXP(-(((Scenario_Data!W235)-Inputs!$C$42)^2)/(2*Inputs!$C$45^2))+Inputs!$C$48*(0.7*(0.45*SIN(2*PI()*(((Scenario_Data!W235)/Inputs!$C$49)+Inputs!$C$47*0.137))+0.35*COS(2*PI()*(((Inputs!$C$6)/Inputs!$C$50)+Inputs!$C$47*0.173))+0.2*SIN(2*PI()*((((Scenario_Data!W235)+(Inputs!$C$6))/(0.5*(Inputs!$C$49+Inputs!$C$50)))+Inputs!$C$47*0.097)))+0.3*(2*((SIN(((Scenario_Data!W235)*12.9898+(Inputs!$C$6)*78.233+Inputs!$C$47*37.719))*43758.5453)-INT((SIN(((Scenario_Data!W235)*12.9898+(Inputs!$C$6)*78.233+Inputs!$C$47*37.719))*43758.5453)))-1))))/1000))*COS(SQRT((Scenario_Data!W235)^2+Inputs!$C$6^2)/Inputs!$C$52))*1000)/Inputs!$C$21*1000000</f>
        <v/>
      </c>
    </row>
    <row r="236">
      <c r="A236">
        <f>Chart_Data!K236</f>
        <v/>
      </c>
      <c r="B236">
        <f>Chart_Data!N236-Chart_Data!L236</f>
        <v/>
      </c>
      <c r="D236">
        <f>Chart_Data!G236</f>
        <v/>
      </c>
      <c r="E236">
        <f>Chart_Data!H236</f>
        <v/>
      </c>
      <c r="F236">
        <f>Chart_Data!I236</f>
        <v/>
      </c>
      <c r="G236">
        <f>Chart_Data!J236</f>
        <v/>
      </c>
      <c r="I236">
        <f>Scenario_Data!A236</f>
        <v/>
      </c>
      <c r="J236">
        <f>Scenario_Data!H236-(((SQRT((Inputs!$C$52+(Inputs!$H$6))^2+Inputs!$C$52^2-2*(Inputs!$C$52+(Inputs!$H$6))*Inputs!$C$52*COS(SQRT((Scenario_Data!T236)^2+Inputs!$C$6^2)/Inputs!$C$52)))-(Inputs!$H$6))*1000/Inputs!$C$12)</f>
        <v/>
      </c>
      <c r="K236">
        <f>Scenario_Data!I236-(((SQRT((Inputs!$C$52+(Inputs!$H$7))^2+Inputs!$C$52^2-2*(Inputs!$C$52+(Inputs!$H$7))*Inputs!$C$52*COS(SQRT((Scenario_Data!U236)^2+Inputs!$C$6^2)/Inputs!$C$52)))-(Inputs!$H$7))*1000/Inputs!$C$12)</f>
        <v/>
      </c>
      <c r="L236">
        <f>Scenario_Data!J236-(((SQRT((Inputs!$C$52+(Inputs!$H$8))^2+Inputs!$C$52^2-2*(Inputs!$C$52+(Inputs!$H$8))*Inputs!$C$52*COS(SQRT((Scenario_Data!V236)^2+Inputs!$C$6^2)/Inputs!$C$52)))-(Inputs!$H$8))*1000/Inputs!$C$12)</f>
        <v/>
      </c>
      <c r="M236">
        <f>Scenario_Data!K236-(((SQRT((Inputs!$C$52+(Inputs!$H$9))^2+Inputs!$C$52^2-2*(Inputs!$C$52+(Inputs!$H$9))*Inputs!$C$52*COS(SQRT((Scenario_Data!W236)^2+Inputs!$C$6^2)/Inputs!$C$52)))-(Inputs!$H$9))*1000/Inputs!$C$12)</f>
        <v/>
      </c>
      <c r="O236">
        <f>Scenario_Data!T236</f>
        <v/>
      </c>
      <c r="P236">
        <f>2*(Scenario_Data!B236*1000)/Inputs!$C$21*1000000</f>
        <v/>
      </c>
      <c r="Q236">
        <f>Scenario_Data!U236</f>
        <v/>
      </c>
      <c r="R236">
        <f>2*(Scenario_Data!C236*1000)/Inputs!$C$21*1000000</f>
        <v/>
      </c>
      <c r="S236">
        <f>Scenario_Data!V236</f>
        <v/>
      </c>
      <c r="T236">
        <f>2*(Scenario_Data!D236*1000)/Inputs!$C$21*1000000</f>
        <v/>
      </c>
      <c r="U236">
        <f>Scenario_Data!W236</f>
        <v/>
      </c>
      <c r="V236">
        <f>2*(Scenario_Data!E236*1000)/Inputs!$C$21*1000000</f>
        <v/>
      </c>
      <c r="X236">
        <f>Scenario_Data!T236</f>
        <v/>
      </c>
      <c r="Y236">
        <f>2*((Scenario_Data!B236*1000)-(IF(OR(Inputs!$C$27=TRUE,Inputs!$C$27="TRUE",Inputs!$C$27=1),1,0)*(Inputs!$C$51*(115*EXP(-(((0)-25)^2)/(4.5^2))+70*EXP(-(((0)+38)^2)/(7^2))*(0.55+0.45*SIN(2*PI()*(Scenario_Data!T236)/45))+24*SIN(2*PI()*(0)/9+(Scenario_Data!T236)/18)*EXP(-(((0)+5)^2)/(22^2))+18*SIN(2*PI()*(Scenario_Data!T236)/70))+Inputs!$C$28*EXP(-(((Scenario_Data!T236)-Inputs!$C$29)^2)/(2*Inputs!$C$31^2))*EXP(-(((0)-Inputs!$C$30)^2)/(2*Inputs!$C$32^2))+-Inputs!$C$33*EXP(-(((((Scenario_Data!T236)-Inputs!$C$34)^2)+(((0)-Inputs!$C$35)^2))/(2*Inputs!$C$36^2)))+Inputs!$C$37*(0.55*SIN(2*PI()*(Scenario_Data!T236)/Inputs!$C$39)+0.35*COS(2*PI()*(0)/Inputs!$C$40)+0.2*SIN(2*PI()*((Scenario_Data!T236)+(0))/(0.5*(Inputs!$C$39+Inputs!$C$40))))+Inputs!$C$38*SIN(2*PI()*(Scenario_Data!T236)/Inputs!$C$39)*SIN(2*PI()*(0)/Inputs!$C$40)+-Inputs!$C$41*EXP(-(((0)-Inputs!$C$43)^2)/(2*Inputs!$C$44^2))*EXP(-(((Scenario_Data!T236)-Inputs!$C$42)^2)/(2*Inputs!$C$45^2))+Inputs!$C$48*(0.7*(0.45*SIN(2*PI()*(((Scenario_Data!T236)/Inputs!$C$49)+Inputs!$C$47*0.137))+0.35*COS(2*PI()*(((0)/Inputs!$C$50)+Inputs!$C$47*0.173))+0.2*SIN(2*PI()*((((Scenario_Data!T236)+(0))/(0.5*(Inputs!$C$49+Inputs!$C$50)))+Inputs!$C$47*0.097)))+0.3*(2*((SIN(((Scenario_Data!T236)*12.9898+(0)*78.233+Inputs!$C$47*37.719))*43758.5453)-INT((SIN(((Scenario_Data!T236)*12.9898+(0)*78.233+Inputs!$C$47*37.719))*43758.5453)))-1)))))/Inputs!$C$21*1000000</f>
        <v/>
      </c>
      <c r="Z236">
        <f>Scenario_Data!U236</f>
        <v/>
      </c>
      <c r="AA236">
        <f>2*((Scenario_Data!C236*1000)-(IF(OR(Inputs!$C$27=TRUE,Inputs!$C$27="TRUE",Inputs!$C$27=1),1,0)*(Inputs!$C$51*(115*EXP(-(((0)-25)^2)/(4.5^2))+70*EXP(-(((0)+38)^2)/(7^2))*(0.55+0.45*SIN(2*PI()*(Scenario_Data!U236)/45))+24*SIN(2*PI()*(0)/9+(Scenario_Data!U236)/18)*EXP(-(((0)+5)^2)/(22^2))+18*SIN(2*PI()*(Scenario_Data!U236)/70))+Inputs!$C$28*EXP(-(((Scenario_Data!U236)-Inputs!$C$29)^2)/(2*Inputs!$C$31^2))*EXP(-(((0)-Inputs!$C$30)^2)/(2*Inputs!$C$32^2))+-Inputs!$C$33*EXP(-(((((Scenario_Data!U236)-Inputs!$C$34)^2)+(((0)-Inputs!$C$35)^2))/(2*Inputs!$C$36^2)))+Inputs!$C$37*(0.55*SIN(2*PI()*(Scenario_Data!U236)/Inputs!$C$39)+0.35*COS(2*PI()*(0)/Inputs!$C$40)+0.2*SIN(2*PI()*((Scenario_Data!U236)+(0))/(0.5*(Inputs!$C$39+Inputs!$C$40))))+Inputs!$C$38*SIN(2*PI()*(Scenario_Data!U236)/Inputs!$C$39)*SIN(2*PI()*(0)/Inputs!$C$40)+-Inputs!$C$41*EXP(-(((0)-Inputs!$C$43)^2)/(2*Inputs!$C$44^2))*EXP(-(((Scenario_Data!U236)-Inputs!$C$42)^2)/(2*Inputs!$C$45^2))+Inputs!$C$48*(0.7*(0.45*SIN(2*PI()*(((Scenario_Data!U236)/Inputs!$C$49)+Inputs!$C$47*0.137))+0.35*COS(2*PI()*(((0)/Inputs!$C$50)+Inputs!$C$47*0.173))+0.2*SIN(2*PI()*((((Scenario_Data!U236)+(0))/(0.5*(Inputs!$C$49+Inputs!$C$50)))+Inputs!$C$47*0.097)))+0.3*(2*((SIN(((Scenario_Data!U236)*12.9898+(0)*78.233+Inputs!$C$47*37.719))*43758.5453)-INT((SIN(((Scenario_Data!U236)*12.9898+(0)*78.233+Inputs!$C$47*37.719))*43758.5453)))-1)))))/Inputs!$C$21*1000000</f>
        <v/>
      </c>
      <c r="AB236">
        <f>Scenario_Data!V236</f>
        <v/>
      </c>
      <c r="AC236">
        <f>2*((Scenario_Data!D236*1000)-(IF(OR(Inputs!$C$27=TRUE,Inputs!$C$27="TRUE",Inputs!$C$27=1),1,0)*(Inputs!$C$51*(115*EXP(-(((0)-25)^2)/(4.5^2))+70*EXP(-(((0)+38)^2)/(7^2))*(0.55+0.45*SIN(2*PI()*(Scenario_Data!V236)/45))+24*SIN(2*PI()*(0)/9+(Scenario_Data!V236)/18)*EXP(-(((0)+5)^2)/(22^2))+18*SIN(2*PI()*(Scenario_Data!V236)/70))+Inputs!$C$28*EXP(-(((Scenario_Data!V236)-Inputs!$C$29)^2)/(2*Inputs!$C$31^2))*EXP(-(((0)-Inputs!$C$30)^2)/(2*Inputs!$C$32^2))+-Inputs!$C$33*EXP(-(((((Scenario_Data!V236)-Inputs!$C$34)^2)+(((0)-Inputs!$C$35)^2))/(2*Inputs!$C$36^2)))+Inputs!$C$37*(0.55*SIN(2*PI()*(Scenario_Data!V236)/Inputs!$C$39)+0.35*COS(2*PI()*(0)/Inputs!$C$40)+0.2*SIN(2*PI()*((Scenario_Data!V236)+(0))/(0.5*(Inputs!$C$39+Inputs!$C$40))))+Inputs!$C$38*SIN(2*PI()*(Scenario_Data!V236)/Inputs!$C$39)*SIN(2*PI()*(0)/Inputs!$C$40)+-Inputs!$C$41*EXP(-(((0)-Inputs!$C$43)^2)/(2*Inputs!$C$44^2))*EXP(-(((Scenario_Data!V236)-Inputs!$C$42)^2)/(2*Inputs!$C$45^2))+Inputs!$C$48*(0.7*(0.45*SIN(2*PI()*(((Scenario_Data!V236)/Inputs!$C$49)+Inputs!$C$47*0.137))+0.35*COS(2*PI()*(((0)/Inputs!$C$50)+Inputs!$C$47*0.173))+0.2*SIN(2*PI()*((((Scenario_Data!V236)+(0))/(0.5*(Inputs!$C$49+Inputs!$C$50)))+Inputs!$C$47*0.097)))+0.3*(2*((SIN(((Scenario_Data!V236)*12.9898+(0)*78.233+Inputs!$C$47*37.719))*43758.5453)-INT((SIN(((Scenario_Data!V236)*12.9898+(0)*78.233+Inputs!$C$47*37.719))*43758.5453)))-1)))))/Inputs!$C$21*1000000</f>
        <v/>
      </c>
      <c r="AD236">
        <f>Scenario_Data!W236</f>
        <v/>
      </c>
      <c r="AE236">
        <f>2*((Scenario_Data!E236*1000)-(IF(OR(Inputs!$C$27=TRUE,Inputs!$C$27="TRUE",Inputs!$C$27=1),1,0)*(Inputs!$C$51*(115*EXP(-(((0)-25)^2)/(4.5^2))+70*EXP(-(((0)+38)^2)/(7^2))*(0.55+0.45*SIN(2*PI()*(Scenario_Data!W236)/45))+24*SIN(2*PI()*(0)/9+(Scenario_Data!W236)/18)*EXP(-(((0)+5)^2)/(22^2))+18*SIN(2*PI()*(Scenario_Data!W236)/70))+Inputs!$C$28*EXP(-(((Scenario_Data!W236)-Inputs!$C$29)^2)/(2*Inputs!$C$31^2))*EXP(-(((0)-Inputs!$C$30)^2)/(2*Inputs!$C$32^2))+-Inputs!$C$33*EXP(-(((((Scenario_Data!W236)-Inputs!$C$34)^2)+(((0)-Inputs!$C$35)^2))/(2*Inputs!$C$36^2)))+Inputs!$C$37*(0.55*SIN(2*PI()*(Scenario_Data!W236)/Inputs!$C$39)+0.35*COS(2*PI()*(0)/Inputs!$C$40)+0.2*SIN(2*PI()*((Scenario_Data!W236)+(0))/(0.5*(Inputs!$C$39+Inputs!$C$40))))+Inputs!$C$38*SIN(2*PI()*(Scenario_Data!W236)/Inputs!$C$39)*SIN(2*PI()*(0)/Inputs!$C$40)+-Inputs!$C$41*EXP(-(((0)-Inputs!$C$43)^2)/(2*Inputs!$C$44^2))*EXP(-(((Scenario_Data!W236)-Inputs!$C$42)^2)/(2*Inputs!$C$45^2))+Inputs!$C$48*(0.7*(0.45*SIN(2*PI()*(((Scenario_Data!W236)/Inputs!$C$49)+Inputs!$C$47*0.137))+0.35*COS(2*PI()*(((0)/Inputs!$C$50)+Inputs!$C$47*0.173))+0.2*SIN(2*PI()*((((Scenario_Data!W236)+(0))/(0.5*(Inputs!$C$49+Inputs!$C$50)))+Inputs!$C$47*0.097)))+0.3*(2*((SIN(((Scenario_Data!W236)*12.9898+(0)*78.233+Inputs!$C$47*37.719))*43758.5453)-INT((SIN(((Scenario_Data!W236)*12.9898+(0)*78.233+Inputs!$C$47*37.719))*43758.5453)))-1)))))/Inputs!$C$21*1000000</f>
        <v/>
      </c>
      <c r="AG236">
        <f>Scenario_Data!T236</f>
        <v/>
      </c>
      <c r="AH236">
        <f>2*(SQRT((Inputs!$C$52+(Scenario_Data!B236))^2+Inputs!$C$52^2-2*(Inputs!$C$52+(Scenario_Data!B236))*Inputs!$C$52*COS(SQRT((Scenario_Data!T236)^2+Inputs!$C$6^2)/Inputs!$C$52))*1000)/Inputs!$C$21*1000000</f>
        <v/>
      </c>
      <c r="AI236">
        <f>Scenario_Data!U236</f>
        <v/>
      </c>
      <c r="AJ236">
        <f>2*(SQRT((Inputs!$C$52+(Scenario_Data!C236))^2+Inputs!$C$52^2-2*(Inputs!$C$52+(Scenario_Data!C236))*Inputs!$C$52*COS(SQRT((Scenario_Data!U236)^2+Inputs!$C$6^2)/Inputs!$C$52))*1000)/Inputs!$C$21*1000000</f>
        <v/>
      </c>
      <c r="AK236">
        <f>Scenario_Data!V236</f>
        <v/>
      </c>
      <c r="AL236">
        <f>2*(SQRT((Inputs!$C$52+(Scenario_Data!D236))^2+Inputs!$C$52^2-2*(Inputs!$C$52+(Scenario_Data!D236))*Inputs!$C$52*COS(SQRT((Scenario_Data!V236)^2+Inputs!$C$6^2)/Inputs!$C$52))*1000)/Inputs!$C$21*1000000</f>
        <v/>
      </c>
      <c r="AM236">
        <f>Scenario_Data!W236</f>
        <v/>
      </c>
      <c r="AN236">
        <f>2*(SQRT((Inputs!$C$52+(Scenario_Data!E236))^2+Inputs!$C$52^2-2*(Inputs!$C$52+(Scenario_Data!E236))*Inputs!$C$52*COS(SQRT((Scenario_Data!W236)^2+Inputs!$C$6^2)/Inputs!$C$52))*1000)/Inputs!$C$21*1000000</f>
        <v/>
      </c>
      <c r="AP236">
        <f>Scenario_Data!T236</f>
        <v/>
      </c>
      <c r="AQ236">
        <f>2*(SQRT((Inputs!$C$52+(Scenario_Data!B236))^2+(Inputs!$C$52+((IF(OR(Inputs!$C$27=TRUE,Inputs!$C$27="TRUE",Inputs!$C$27=1),1,0)*(Inputs!$C$51*(115*EXP(-(((Inputs!$C$6)-25)^2)/(4.5^2))+70*EXP(-(((Inputs!$C$6)+38)^2)/(7^2))*(0.55+0.45*SIN(2*PI()*(Scenario_Data!T236)/45))+24*SIN(2*PI()*(Inputs!$C$6)/9+(Scenario_Data!T236)/18)*EXP(-(((Inputs!$C$6)+5)^2)/(22^2))+18*SIN(2*PI()*(Scenario_Data!T236)/70))+Inputs!$C$28*EXP(-(((Scenario_Data!T236)-Inputs!$C$29)^2)/(2*Inputs!$C$31^2))*EXP(-(((Inputs!$C$6)-Inputs!$C$30)^2)/(2*Inputs!$C$32^2))+-Inputs!$C$33*EXP(-(((((Scenario_Data!T236)-Inputs!$C$34)^2)+(((Inputs!$C$6)-Inputs!$C$35)^2))/(2*Inputs!$C$36^2)))+Inputs!$C$37*(0.55*SIN(2*PI()*(Scenario_Data!T236)/Inputs!$C$39)+0.35*COS(2*PI()*(Inputs!$C$6)/Inputs!$C$40)+0.2*SIN(2*PI()*((Scenario_Data!T236)+(Inputs!$C$6))/(0.5*(Inputs!$C$39+Inputs!$C$40))))+Inputs!$C$38*SIN(2*PI()*(Scenario_Data!T236)/Inputs!$C$39)*SIN(2*PI()*(Inputs!$C$6)/Inputs!$C$40)+-Inputs!$C$41*EXP(-(((Inputs!$C$6)-Inputs!$C$43)^2)/(2*Inputs!$C$44^2))*EXP(-(((Scenario_Data!T236)-Inputs!$C$42)^2)/(2*Inputs!$C$45^2))+Inputs!$C$48*(0.7*(0.45*SIN(2*PI()*(((Scenario_Data!T236)/Inputs!$C$49)+Inputs!$C$47*0.137))+0.35*COS(2*PI()*(((Inputs!$C$6)/Inputs!$C$50)+Inputs!$C$47*0.173))+0.2*SIN(2*PI()*((((Scenario_Data!T236)+(Inputs!$C$6))/(0.5*(Inputs!$C$49+Inputs!$C$50)))+Inputs!$C$47*0.097)))+0.3*(2*((SIN(((Scenario_Data!T236)*12.9898+(Inputs!$C$6)*78.233+Inputs!$C$47*37.719))*43758.5453)-INT((SIN(((Scenario_Data!T236)*12.9898+(Inputs!$C$6)*78.233+Inputs!$C$47*37.719))*43758.5453)))-1))))/1000))^2-2*(Inputs!$C$52+(Scenario_Data!B236))*(Inputs!$C$52+((IF(OR(Inputs!$C$27=TRUE,Inputs!$C$27="TRUE",Inputs!$C$27=1),1,0)*(Inputs!$C$51*(115*EXP(-(((Inputs!$C$6)-25)^2)/(4.5^2))+70*EXP(-(((Inputs!$C$6)+38)^2)/(7^2))*(0.55+0.45*SIN(2*PI()*(Scenario_Data!T236)/45))+24*SIN(2*PI()*(Inputs!$C$6)/9+(Scenario_Data!T236)/18)*EXP(-(((Inputs!$C$6)+5)^2)/(22^2))+18*SIN(2*PI()*(Scenario_Data!T236)/70))+Inputs!$C$28*EXP(-(((Scenario_Data!T236)-Inputs!$C$29)^2)/(2*Inputs!$C$31^2))*EXP(-(((Inputs!$C$6)-Inputs!$C$30)^2)/(2*Inputs!$C$32^2))+-Inputs!$C$33*EXP(-(((((Scenario_Data!T236)-Inputs!$C$34)^2)+(((Inputs!$C$6)-Inputs!$C$35)^2))/(2*Inputs!$C$36^2)))+Inputs!$C$37*(0.55*SIN(2*PI()*(Scenario_Data!T236)/Inputs!$C$39)+0.35*COS(2*PI()*(Inputs!$C$6)/Inputs!$C$40)+0.2*SIN(2*PI()*((Scenario_Data!T236)+(Inputs!$C$6))/(0.5*(Inputs!$C$39+Inputs!$C$40))))+Inputs!$C$38*SIN(2*PI()*(Scenario_Data!T236)/Inputs!$C$39)*SIN(2*PI()*(Inputs!$C$6)/Inputs!$C$40)+-Inputs!$C$41*EXP(-(((Inputs!$C$6)-Inputs!$C$43)^2)/(2*Inputs!$C$44^2))*EXP(-(((Scenario_Data!T236)-Inputs!$C$42)^2)/(2*Inputs!$C$45^2))+Inputs!$C$48*(0.7*(0.45*SIN(2*PI()*(((Scenario_Data!T236)/Inputs!$C$49)+Inputs!$C$47*0.137))+0.35*COS(2*PI()*(((Inputs!$C$6)/Inputs!$C$50)+Inputs!$C$47*0.173))+0.2*SIN(2*PI()*((((Scenario_Data!T236)+(Inputs!$C$6))/(0.5*(Inputs!$C$49+Inputs!$C$50)))+Inputs!$C$47*0.097)))+0.3*(2*((SIN(((Scenario_Data!T236)*12.9898+(Inputs!$C$6)*78.233+Inputs!$C$47*37.719))*43758.5453)-INT((SIN(((Scenario_Data!T236)*12.9898+(Inputs!$C$6)*78.233+Inputs!$C$47*37.719))*43758.5453)))-1))))/1000))*COS(SQRT((Scenario_Data!T236)^2+Inputs!$C$6^2)/Inputs!$C$52))*1000)/Inputs!$C$21*1000000</f>
        <v/>
      </c>
      <c r="AR236">
        <f>Scenario_Data!U236</f>
        <v/>
      </c>
      <c r="AS236">
        <f>2*(SQRT((Inputs!$C$52+(Scenario_Data!C236))^2+(Inputs!$C$52+((IF(OR(Inputs!$C$27=TRUE,Inputs!$C$27="TRUE",Inputs!$C$27=1),1,0)*(Inputs!$C$51*(115*EXP(-(((Inputs!$C$6)-25)^2)/(4.5^2))+70*EXP(-(((Inputs!$C$6)+38)^2)/(7^2))*(0.55+0.45*SIN(2*PI()*(Scenario_Data!U236)/45))+24*SIN(2*PI()*(Inputs!$C$6)/9+(Scenario_Data!U236)/18)*EXP(-(((Inputs!$C$6)+5)^2)/(22^2))+18*SIN(2*PI()*(Scenario_Data!U236)/70))+Inputs!$C$28*EXP(-(((Scenario_Data!U236)-Inputs!$C$29)^2)/(2*Inputs!$C$31^2))*EXP(-(((Inputs!$C$6)-Inputs!$C$30)^2)/(2*Inputs!$C$32^2))+-Inputs!$C$33*EXP(-(((((Scenario_Data!U236)-Inputs!$C$34)^2)+(((Inputs!$C$6)-Inputs!$C$35)^2))/(2*Inputs!$C$36^2)))+Inputs!$C$37*(0.55*SIN(2*PI()*(Scenario_Data!U236)/Inputs!$C$39)+0.35*COS(2*PI()*(Inputs!$C$6)/Inputs!$C$40)+0.2*SIN(2*PI()*((Scenario_Data!U236)+(Inputs!$C$6))/(0.5*(Inputs!$C$39+Inputs!$C$40))))+Inputs!$C$38*SIN(2*PI()*(Scenario_Data!U236)/Inputs!$C$39)*SIN(2*PI()*(Inputs!$C$6)/Inputs!$C$40)+-Inputs!$C$41*EXP(-(((Inputs!$C$6)-Inputs!$C$43)^2)/(2*Inputs!$C$44^2))*EXP(-(((Scenario_Data!U236)-Inputs!$C$42)^2)/(2*Inputs!$C$45^2))+Inputs!$C$48*(0.7*(0.45*SIN(2*PI()*(((Scenario_Data!U236)/Inputs!$C$49)+Inputs!$C$47*0.137))+0.35*COS(2*PI()*(((Inputs!$C$6)/Inputs!$C$50)+Inputs!$C$47*0.173))+0.2*SIN(2*PI()*((((Scenario_Data!U236)+(Inputs!$C$6))/(0.5*(Inputs!$C$49+Inputs!$C$50)))+Inputs!$C$47*0.097)))+0.3*(2*((SIN(((Scenario_Data!U236)*12.9898+(Inputs!$C$6)*78.233+Inputs!$C$47*37.719))*43758.5453)-INT((SIN(((Scenario_Data!U236)*12.9898+(Inputs!$C$6)*78.233+Inputs!$C$47*37.719))*43758.5453)))-1))))/1000))^2-2*(Inputs!$C$52+(Scenario_Data!C236))*(Inputs!$C$52+((IF(OR(Inputs!$C$27=TRUE,Inputs!$C$27="TRUE",Inputs!$C$27=1),1,0)*(Inputs!$C$51*(115*EXP(-(((Inputs!$C$6)-25)^2)/(4.5^2))+70*EXP(-(((Inputs!$C$6)+38)^2)/(7^2))*(0.55+0.45*SIN(2*PI()*(Scenario_Data!U236)/45))+24*SIN(2*PI()*(Inputs!$C$6)/9+(Scenario_Data!U236)/18)*EXP(-(((Inputs!$C$6)+5)^2)/(22^2))+18*SIN(2*PI()*(Scenario_Data!U236)/70))+Inputs!$C$28*EXP(-(((Scenario_Data!U236)-Inputs!$C$29)^2)/(2*Inputs!$C$31^2))*EXP(-(((Inputs!$C$6)-Inputs!$C$30)^2)/(2*Inputs!$C$32^2))+-Inputs!$C$33*EXP(-(((((Scenario_Data!U236)-Inputs!$C$34)^2)+(((Inputs!$C$6)-Inputs!$C$35)^2))/(2*Inputs!$C$36^2)))+Inputs!$C$37*(0.55*SIN(2*PI()*(Scenario_Data!U236)/Inputs!$C$39)+0.35*COS(2*PI()*(Inputs!$C$6)/Inputs!$C$40)+0.2*SIN(2*PI()*((Scenario_Data!U236)+(Inputs!$C$6))/(0.5*(Inputs!$C$39+Inputs!$C$40))))+Inputs!$C$38*SIN(2*PI()*(Scenario_Data!U236)/Inputs!$C$39)*SIN(2*PI()*(Inputs!$C$6)/Inputs!$C$40)+-Inputs!$C$41*EXP(-(((Inputs!$C$6)-Inputs!$C$43)^2)/(2*Inputs!$C$44^2))*EXP(-(((Scenario_Data!U236)-Inputs!$C$42)^2)/(2*Inputs!$C$45^2))+Inputs!$C$48*(0.7*(0.45*SIN(2*PI()*(((Scenario_Data!U236)/Inputs!$C$49)+Inputs!$C$47*0.137))+0.35*COS(2*PI()*(((Inputs!$C$6)/Inputs!$C$50)+Inputs!$C$47*0.173))+0.2*SIN(2*PI()*((((Scenario_Data!U236)+(Inputs!$C$6))/(0.5*(Inputs!$C$49+Inputs!$C$50)))+Inputs!$C$47*0.097)))+0.3*(2*((SIN(((Scenario_Data!U236)*12.9898+(Inputs!$C$6)*78.233+Inputs!$C$47*37.719))*43758.5453)-INT((SIN(((Scenario_Data!U236)*12.9898+(Inputs!$C$6)*78.233+Inputs!$C$47*37.719))*43758.5453)))-1))))/1000))*COS(SQRT((Scenario_Data!U236)^2+Inputs!$C$6^2)/Inputs!$C$52))*1000)/Inputs!$C$21*1000000</f>
        <v/>
      </c>
      <c r="AT236">
        <f>Scenario_Data!V236</f>
        <v/>
      </c>
      <c r="AU236">
        <f>2*(SQRT((Inputs!$C$52+(Scenario_Data!D236))^2+(Inputs!$C$52+((IF(OR(Inputs!$C$27=TRUE,Inputs!$C$27="TRUE",Inputs!$C$27=1),1,0)*(Inputs!$C$51*(115*EXP(-(((Inputs!$C$6)-25)^2)/(4.5^2))+70*EXP(-(((Inputs!$C$6)+38)^2)/(7^2))*(0.55+0.45*SIN(2*PI()*(Scenario_Data!V236)/45))+24*SIN(2*PI()*(Inputs!$C$6)/9+(Scenario_Data!V236)/18)*EXP(-(((Inputs!$C$6)+5)^2)/(22^2))+18*SIN(2*PI()*(Scenario_Data!V236)/70))+Inputs!$C$28*EXP(-(((Scenario_Data!V236)-Inputs!$C$29)^2)/(2*Inputs!$C$31^2))*EXP(-(((Inputs!$C$6)-Inputs!$C$30)^2)/(2*Inputs!$C$32^2))+-Inputs!$C$33*EXP(-(((((Scenario_Data!V236)-Inputs!$C$34)^2)+(((Inputs!$C$6)-Inputs!$C$35)^2))/(2*Inputs!$C$36^2)))+Inputs!$C$37*(0.55*SIN(2*PI()*(Scenario_Data!V236)/Inputs!$C$39)+0.35*COS(2*PI()*(Inputs!$C$6)/Inputs!$C$40)+0.2*SIN(2*PI()*((Scenario_Data!V236)+(Inputs!$C$6))/(0.5*(Inputs!$C$39+Inputs!$C$40))))+Inputs!$C$38*SIN(2*PI()*(Scenario_Data!V236)/Inputs!$C$39)*SIN(2*PI()*(Inputs!$C$6)/Inputs!$C$40)+-Inputs!$C$41*EXP(-(((Inputs!$C$6)-Inputs!$C$43)^2)/(2*Inputs!$C$44^2))*EXP(-(((Scenario_Data!V236)-Inputs!$C$42)^2)/(2*Inputs!$C$45^2))+Inputs!$C$48*(0.7*(0.45*SIN(2*PI()*(((Scenario_Data!V236)/Inputs!$C$49)+Inputs!$C$47*0.137))+0.35*COS(2*PI()*(((Inputs!$C$6)/Inputs!$C$50)+Inputs!$C$47*0.173))+0.2*SIN(2*PI()*((((Scenario_Data!V236)+(Inputs!$C$6))/(0.5*(Inputs!$C$49+Inputs!$C$50)))+Inputs!$C$47*0.097)))+0.3*(2*((SIN(((Scenario_Data!V236)*12.9898+(Inputs!$C$6)*78.233+Inputs!$C$47*37.719))*43758.5453)-INT((SIN(((Scenario_Data!V236)*12.9898+(Inputs!$C$6)*78.233+Inputs!$C$47*37.719))*43758.5453)))-1))))/1000))^2-2*(Inputs!$C$52+(Scenario_Data!D236))*(Inputs!$C$52+((IF(OR(Inputs!$C$27=TRUE,Inputs!$C$27="TRUE",Inputs!$C$27=1),1,0)*(Inputs!$C$51*(115*EXP(-(((Inputs!$C$6)-25)^2)/(4.5^2))+70*EXP(-(((Inputs!$C$6)+38)^2)/(7^2))*(0.55+0.45*SIN(2*PI()*(Scenario_Data!V236)/45))+24*SIN(2*PI()*(Inputs!$C$6)/9+(Scenario_Data!V236)/18)*EXP(-(((Inputs!$C$6)+5)^2)/(22^2))+18*SIN(2*PI()*(Scenario_Data!V236)/70))+Inputs!$C$28*EXP(-(((Scenario_Data!V236)-Inputs!$C$29)^2)/(2*Inputs!$C$31^2))*EXP(-(((Inputs!$C$6)-Inputs!$C$30)^2)/(2*Inputs!$C$32^2))+-Inputs!$C$33*EXP(-(((((Scenario_Data!V236)-Inputs!$C$34)^2)+(((Inputs!$C$6)-Inputs!$C$35)^2))/(2*Inputs!$C$36^2)))+Inputs!$C$37*(0.55*SIN(2*PI()*(Scenario_Data!V236)/Inputs!$C$39)+0.35*COS(2*PI()*(Inputs!$C$6)/Inputs!$C$40)+0.2*SIN(2*PI()*((Scenario_Data!V236)+(Inputs!$C$6))/(0.5*(Inputs!$C$39+Inputs!$C$40))))+Inputs!$C$38*SIN(2*PI()*(Scenario_Data!V236)/Inputs!$C$39)*SIN(2*PI()*(Inputs!$C$6)/Inputs!$C$40)+-Inputs!$C$41*EXP(-(((Inputs!$C$6)-Inputs!$C$43)^2)/(2*Inputs!$C$44^2))*EXP(-(((Scenario_Data!V236)-Inputs!$C$42)^2)/(2*Inputs!$C$45^2))+Inputs!$C$48*(0.7*(0.45*SIN(2*PI()*(((Scenario_Data!V236)/Inputs!$C$49)+Inputs!$C$47*0.137))+0.35*COS(2*PI()*(((Inputs!$C$6)/Inputs!$C$50)+Inputs!$C$47*0.173))+0.2*SIN(2*PI()*((((Scenario_Data!V236)+(Inputs!$C$6))/(0.5*(Inputs!$C$49+Inputs!$C$50)))+Inputs!$C$47*0.097)))+0.3*(2*((SIN(((Scenario_Data!V236)*12.9898+(Inputs!$C$6)*78.233+Inputs!$C$47*37.719))*43758.5453)-INT((SIN(((Scenario_Data!V236)*12.9898+(Inputs!$C$6)*78.233+Inputs!$C$47*37.719))*43758.5453)))-1))))/1000))*COS(SQRT((Scenario_Data!V236)^2+Inputs!$C$6^2)/Inputs!$C$52))*1000)/Inputs!$C$21*1000000</f>
        <v/>
      </c>
      <c r="AV236">
        <f>Scenario_Data!W236</f>
        <v/>
      </c>
      <c r="AW236">
        <f>2*(SQRT((Inputs!$C$52+(Scenario_Data!E236))^2+(Inputs!$C$52+((IF(OR(Inputs!$C$27=TRUE,Inputs!$C$27="TRUE",Inputs!$C$27=1),1,0)*(Inputs!$C$51*(115*EXP(-(((Inputs!$C$6)-25)^2)/(4.5^2))+70*EXP(-(((Inputs!$C$6)+38)^2)/(7^2))*(0.55+0.45*SIN(2*PI()*(Scenario_Data!W236)/45))+24*SIN(2*PI()*(Inputs!$C$6)/9+(Scenario_Data!W236)/18)*EXP(-(((Inputs!$C$6)+5)^2)/(22^2))+18*SIN(2*PI()*(Scenario_Data!W236)/70))+Inputs!$C$28*EXP(-(((Scenario_Data!W236)-Inputs!$C$29)^2)/(2*Inputs!$C$31^2))*EXP(-(((Inputs!$C$6)-Inputs!$C$30)^2)/(2*Inputs!$C$32^2))+-Inputs!$C$33*EXP(-(((((Scenario_Data!W236)-Inputs!$C$34)^2)+(((Inputs!$C$6)-Inputs!$C$35)^2))/(2*Inputs!$C$36^2)))+Inputs!$C$37*(0.55*SIN(2*PI()*(Scenario_Data!W236)/Inputs!$C$39)+0.35*COS(2*PI()*(Inputs!$C$6)/Inputs!$C$40)+0.2*SIN(2*PI()*((Scenario_Data!W236)+(Inputs!$C$6))/(0.5*(Inputs!$C$39+Inputs!$C$40))))+Inputs!$C$38*SIN(2*PI()*(Scenario_Data!W236)/Inputs!$C$39)*SIN(2*PI()*(Inputs!$C$6)/Inputs!$C$40)+-Inputs!$C$41*EXP(-(((Inputs!$C$6)-Inputs!$C$43)^2)/(2*Inputs!$C$44^2))*EXP(-(((Scenario_Data!W236)-Inputs!$C$42)^2)/(2*Inputs!$C$45^2))+Inputs!$C$48*(0.7*(0.45*SIN(2*PI()*(((Scenario_Data!W236)/Inputs!$C$49)+Inputs!$C$47*0.137))+0.35*COS(2*PI()*(((Inputs!$C$6)/Inputs!$C$50)+Inputs!$C$47*0.173))+0.2*SIN(2*PI()*((((Scenario_Data!W236)+(Inputs!$C$6))/(0.5*(Inputs!$C$49+Inputs!$C$50)))+Inputs!$C$47*0.097)))+0.3*(2*((SIN(((Scenario_Data!W236)*12.9898+(Inputs!$C$6)*78.233+Inputs!$C$47*37.719))*43758.5453)-INT((SIN(((Scenario_Data!W236)*12.9898+(Inputs!$C$6)*78.233+Inputs!$C$47*37.719))*43758.5453)))-1))))/1000))^2-2*(Inputs!$C$52+(Scenario_Data!E236))*(Inputs!$C$52+((IF(OR(Inputs!$C$27=TRUE,Inputs!$C$27="TRUE",Inputs!$C$27=1),1,0)*(Inputs!$C$51*(115*EXP(-(((Inputs!$C$6)-25)^2)/(4.5^2))+70*EXP(-(((Inputs!$C$6)+38)^2)/(7^2))*(0.55+0.45*SIN(2*PI()*(Scenario_Data!W236)/45))+24*SIN(2*PI()*(Inputs!$C$6)/9+(Scenario_Data!W236)/18)*EXP(-(((Inputs!$C$6)+5)^2)/(22^2))+18*SIN(2*PI()*(Scenario_Data!W236)/70))+Inputs!$C$28*EXP(-(((Scenario_Data!W236)-Inputs!$C$29)^2)/(2*Inputs!$C$31^2))*EXP(-(((Inputs!$C$6)-Inputs!$C$30)^2)/(2*Inputs!$C$32^2))+-Inputs!$C$33*EXP(-(((((Scenario_Data!W236)-Inputs!$C$34)^2)+(((Inputs!$C$6)-Inputs!$C$35)^2))/(2*Inputs!$C$36^2)))+Inputs!$C$37*(0.55*SIN(2*PI()*(Scenario_Data!W236)/Inputs!$C$39)+0.35*COS(2*PI()*(Inputs!$C$6)/Inputs!$C$40)+0.2*SIN(2*PI()*((Scenario_Data!W236)+(Inputs!$C$6))/(0.5*(Inputs!$C$39+Inputs!$C$40))))+Inputs!$C$38*SIN(2*PI()*(Scenario_Data!W236)/Inputs!$C$39)*SIN(2*PI()*(Inputs!$C$6)/Inputs!$C$40)+-Inputs!$C$41*EXP(-(((Inputs!$C$6)-Inputs!$C$43)^2)/(2*Inputs!$C$44^2))*EXP(-(((Scenario_Data!W236)-Inputs!$C$42)^2)/(2*Inputs!$C$45^2))+Inputs!$C$48*(0.7*(0.45*SIN(2*PI()*(((Scenario_Data!W236)/Inputs!$C$49)+Inputs!$C$47*0.137))+0.35*COS(2*PI()*(((Inputs!$C$6)/Inputs!$C$50)+Inputs!$C$47*0.173))+0.2*SIN(2*PI()*((((Scenario_Data!W236)+(Inputs!$C$6))/(0.5*(Inputs!$C$49+Inputs!$C$50)))+Inputs!$C$47*0.097)))+0.3*(2*((SIN(((Scenario_Data!W236)*12.9898+(Inputs!$C$6)*78.233+Inputs!$C$47*37.719))*43758.5453)-INT((SIN(((Scenario_Data!W236)*12.9898+(Inputs!$C$6)*78.233+Inputs!$C$47*37.719))*43758.5453)))-1))))/1000))*COS(SQRT((Scenario_Data!W236)^2+Inputs!$C$6^2)/Inputs!$C$52))*1000)/Inputs!$C$21*1000000</f>
        <v/>
      </c>
    </row>
    <row r="237">
      <c r="A237">
        <f>Chart_Data!K237</f>
        <v/>
      </c>
      <c r="B237">
        <f>Chart_Data!N237-Chart_Data!L237</f>
        <v/>
      </c>
      <c r="D237">
        <f>Chart_Data!G237</f>
        <v/>
      </c>
      <c r="E237">
        <f>Chart_Data!H237</f>
        <v/>
      </c>
      <c r="F237">
        <f>Chart_Data!I237</f>
        <v/>
      </c>
      <c r="G237">
        <f>Chart_Data!J237</f>
        <v/>
      </c>
      <c r="I237">
        <f>Scenario_Data!A237</f>
        <v/>
      </c>
      <c r="J237">
        <f>Scenario_Data!H237-(((SQRT((Inputs!$C$52+(Inputs!$H$6))^2+Inputs!$C$52^2-2*(Inputs!$C$52+(Inputs!$H$6))*Inputs!$C$52*COS(SQRT((Scenario_Data!T237)^2+Inputs!$C$6^2)/Inputs!$C$52)))-(Inputs!$H$6))*1000/Inputs!$C$12)</f>
        <v/>
      </c>
      <c r="K237">
        <f>Scenario_Data!I237-(((SQRT((Inputs!$C$52+(Inputs!$H$7))^2+Inputs!$C$52^2-2*(Inputs!$C$52+(Inputs!$H$7))*Inputs!$C$52*COS(SQRT((Scenario_Data!U237)^2+Inputs!$C$6^2)/Inputs!$C$52)))-(Inputs!$H$7))*1000/Inputs!$C$12)</f>
        <v/>
      </c>
      <c r="L237">
        <f>Scenario_Data!J237-(((SQRT((Inputs!$C$52+(Inputs!$H$8))^2+Inputs!$C$52^2-2*(Inputs!$C$52+(Inputs!$H$8))*Inputs!$C$52*COS(SQRT((Scenario_Data!V237)^2+Inputs!$C$6^2)/Inputs!$C$52)))-(Inputs!$H$8))*1000/Inputs!$C$12)</f>
        <v/>
      </c>
      <c r="M237">
        <f>Scenario_Data!K237-(((SQRT((Inputs!$C$52+(Inputs!$H$9))^2+Inputs!$C$52^2-2*(Inputs!$C$52+(Inputs!$H$9))*Inputs!$C$52*COS(SQRT((Scenario_Data!W237)^2+Inputs!$C$6^2)/Inputs!$C$52)))-(Inputs!$H$9))*1000/Inputs!$C$12)</f>
        <v/>
      </c>
      <c r="O237">
        <f>Scenario_Data!T237</f>
        <v/>
      </c>
      <c r="P237">
        <f>2*(Scenario_Data!B237*1000)/Inputs!$C$21*1000000</f>
        <v/>
      </c>
      <c r="Q237">
        <f>Scenario_Data!U237</f>
        <v/>
      </c>
      <c r="R237">
        <f>2*(Scenario_Data!C237*1000)/Inputs!$C$21*1000000</f>
        <v/>
      </c>
      <c r="S237">
        <f>Scenario_Data!V237</f>
        <v/>
      </c>
      <c r="T237">
        <f>2*(Scenario_Data!D237*1000)/Inputs!$C$21*1000000</f>
        <v/>
      </c>
      <c r="U237">
        <f>Scenario_Data!W237</f>
        <v/>
      </c>
      <c r="V237">
        <f>2*(Scenario_Data!E237*1000)/Inputs!$C$21*1000000</f>
        <v/>
      </c>
      <c r="X237">
        <f>Scenario_Data!T237</f>
        <v/>
      </c>
      <c r="Y237">
        <f>2*((Scenario_Data!B237*1000)-(IF(OR(Inputs!$C$27=TRUE,Inputs!$C$27="TRUE",Inputs!$C$27=1),1,0)*(Inputs!$C$51*(115*EXP(-(((0)-25)^2)/(4.5^2))+70*EXP(-(((0)+38)^2)/(7^2))*(0.55+0.45*SIN(2*PI()*(Scenario_Data!T237)/45))+24*SIN(2*PI()*(0)/9+(Scenario_Data!T237)/18)*EXP(-(((0)+5)^2)/(22^2))+18*SIN(2*PI()*(Scenario_Data!T237)/70))+Inputs!$C$28*EXP(-(((Scenario_Data!T237)-Inputs!$C$29)^2)/(2*Inputs!$C$31^2))*EXP(-(((0)-Inputs!$C$30)^2)/(2*Inputs!$C$32^2))+-Inputs!$C$33*EXP(-(((((Scenario_Data!T237)-Inputs!$C$34)^2)+(((0)-Inputs!$C$35)^2))/(2*Inputs!$C$36^2)))+Inputs!$C$37*(0.55*SIN(2*PI()*(Scenario_Data!T237)/Inputs!$C$39)+0.35*COS(2*PI()*(0)/Inputs!$C$40)+0.2*SIN(2*PI()*((Scenario_Data!T237)+(0))/(0.5*(Inputs!$C$39+Inputs!$C$40))))+Inputs!$C$38*SIN(2*PI()*(Scenario_Data!T237)/Inputs!$C$39)*SIN(2*PI()*(0)/Inputs!$C$40)+-Inputs!$C$41*EXP(-(((0)-Inputs!$C$43)^2)/(2*Inputs!$C$44^2))*EXP(-(((Scenario_Data!T237)-Inputs!$C$42)^2)/(2*Inputs!$C$45^2))+Inputs!$C$48*(0.7*(0.45*SIN(2*PI()*(((Scenario_Data!T237)/Inputs!$C$49)+Inputs!$C$47*0.137))+0.35*COS(2*PI()*(((0)/Inputs!$C$50)+Inputs!$C$47*0.173))+0.2*SIN(2*PI()*((((Scenario_Data!T237)+(0))/(0.5*(Inputs!$C$49+Inputs!$C$50)))+Inputs!$C$47*0.097)))+0.3*(2*((SIN(((Scenario_Data!T237)*12.9898+(0)*78.233+Inputs!$C$47*37.719))*43758.5453)-INT((SIN(((Scenario_Data!T237)*12.9898+(0)*78.233+Inputs!$C$47*37.719))*43758.5453)))-1)))))/Inputs!$C$21*1000000</f>
        <v/>
      </c>
      <c r="Z237">
        <f>Scenario_Data!U237</f>
        <v/>
      </c>
      <c r="AA237">
        <f>2*((Scenario_Data!C237*1000)-(IF(OR(Inputs!$C$27=TRUE,Inputs!$C$27="TRUE",Inputs!$C$27=1),1,0)*(Inputs!$C$51*(115*EXP(-(((0)-25)^2)/(4.5^2))+70*EXP(-(((0)+38)^2)/(7^2))*(0.55+0.45*SIN(2*PI()*(Scenario_Data!U237)/45))+24*SIN(2*PI()*(0)/9+(Scenario_Data!U237)/18)*EXP(-(((0)+5)^2)/(22^2))+18*SIN(2*PI()*(Scenario_Data!U237)/70))+Inputs!$C$28*EXP(-(((Scenario_Data!U237)-Inputs!$C$29)^2)/(2*Inputs!$C$31^2))*EXP(-(((0)-Inputs!$C$30)^2)/(2*Inputs!$C$32^2))+-Inputs!$C$33*EXP(-(((((Scenario_Data!U237)-Inputs!$C$34)^2)+(((0)-Inputs!$C$35)^2))/(2*Inputs!$C$36^2)))+Inputs!$C$37*(0.55*SIN(2*PI()*(Scenario_Data!U237)/Inputs!$C$39)+0.35*COS(2*PI()*(0)/Inputs!$C$40)+0.2*SIN(2*PI()*((Scenario_Data!U237)+(0))/(0.5*(Inputs!$C$39+Inputs!$C$40))))+Inputs!$C$38*SIN(2*PI()*(Scenario_Data!U237)/Inputs!$C$39)*SIN(2*PI()*(0)/Inputs!$C$40)+-Inputs!$C$41*EXP(-(((0)-Inputs!$C$43)^2)/(2*Inputs!$C$44^2))*EXP(-(((Scenario_Data!U237)-Inputs!$C$42)^2)/(2*Inputs!$C$45^2))+Inputs!$C$48*(0.7*(0.45*SIN(2*PI()*(((Scenario_Data!U237)/Inputs!$C$49)+Inputs!$C$47*0.137))+0.35*COS(2*PI()*(((0)/Inputs!$C$50)+Inputs!$C$47*0.173))+0.2*SIN(2*PI()*((((Scenario_Data!U237)+(0))/(0.5*(Inputs!$C$49+Inputs!$C$50)))+Inputs!$C$47*0.097)))+0.3*(2*((SIN(((Scenario_Data!U237)*12.9898+(0)*78.233+Inputs!$C$47*37.719))*43758.5453)-INT((SIN(((Scenario_Data!U237)*12.9898+(0)*78.233+Inputs!$C$47*37.719))*43758.5453)))-1)))))/Inputs!$C$21*1000000</f>
        <v/>
      </c>
      <c r="AB237">
        <f>Scenario_Data!V237</f>
        <v/>
      </c>
      <c r="AC237">
        <f>2*((Scenario_Data!D237*1000)-(IF(OR(Inputs!$C$27=TRUE,Inputs!$C$27="TRUE",Inputs!$C$27=1),1,0)*(Inputs!$C$51*(115*EXP(-(((0)-25)^2)/(4.5^2))+70*EXP(-(((0)+38)^2)/(7^2))*(0.55+0.45*SIN(2*PI()*(Scenario_Data!V237)/45))+24*SIN(2*PI()*(0)/9+(Scenario_Data!V237)/18)*EXP(-(((0)+5)^2)/(22^2))+18*SIN(2*PI()*(Scenario_Data!V237)/70))+Inputs!$C$28*EXP(-(((Scenario_Data!V237)-Inputs!$C$29)^2)/(2*Inputs!$C$31^2))*EXP(-(((0)-Inputs!$C$30)^2)/(2*Inputs!$C$32^2))+-Inputs!$C$33*EXP(-(((((Scenario_Data!V237)-Inputs!$C$34)^2)+(((0)-Inputs!$C$35)^2))/(2*Inputs!$C$36^2)))+Inputs!$C$37*(0.55*SIN(2*PI()*(Scenario_Data!V237)/Inputs!$C$39)+0.35*COS(2*PI()*(0)/Inputs!$C$40)+0.2*SIN(2*PI()*((Scenario_Data!V237)+(0))/(0.5*(Inputs!$C$39+Inputs!$C$40))))+Inputs!$C$38*SIN(2*PI()*(Scenario_Data!V237)/Inputs!$C$39)*SIN(2*PI()*(0)/Inputs!$C$40)+-Inputs!$C$41*EXP(-(((0)-Inputs!$C$43)^2)/(2*Inputs!$C$44^2))*EXP(-(((Scenario_Data!V237)-Inputs!$C$42)^2)/(2*Inputs!$C$45^2))+Inputs!$C$48*(0.7*(0.45*SIN(2*PI()*(((Scenario_Data!V237)/Inputs!$C$49)+Inputs!$C$47*0.137))+0.35*COS(2*PI()*(((0)/Inputs!$C$50)+Inputs!$C$47*0.173))+0.2*SIN(2*PI()*((((Scenario_Data!V237)+(0))/(0.5*(Inputs!$C$49+Inputs!$C$50)))+Inputs!$C$47*0.097)))+0.3*(2*((SIN(((Scenario_Data!V237)*12.9898+(0)*78.233+Inputs!$C$47*37.719))*43758.5453)-INT((SIN(((Scenario_Data!V237)*12.9898+(0)*78.233+Inputs!$C$47*37.719))*43758.5453)))-1)))))/Inputs!$C$21*1000000</f>
        <v/>
      </c>
      <c r="AD237">
        <f>Scenario_Data!W237</f>
        <v/>
      </c>
      <c r="AE237">
        <f>2*((Scenario_Data!E237*1000)-(IF(OR(Inputs!$C$27=TRUE,Inputs!$C$27="TRUE",Inputs!$C$27=1),1,0)*(Inputs!$C$51*(115*EXP(-(((0)-25)^2)/(4.5^2))+70*EXP(-(((0)+38)^2)/(7^2))*(0.55+0.45*SIN(2*PI()*(Scenario_Data!W237)/45))+24*SIN(2*PI()*(0)/9+(Scenario_Data!W237)/18)*EXP(-(((0)+5)^2)/(22^2))+18*SIN(2*PI()*(Scenario_Data!W237)/70))+Inputs!$C$28*EXP(-(((Scenario_Data!W237)-Inputs!$C$29)^2)/(2*Inputs!$C$31^2))*EXP(-(((0)-Inputs!$C$30)^2)/(2*Inputs!$C$32^2))+-Inputs!$C$33*EXP(-(((((Scenario_Data!W237)-Inputs!$C$34)^2)+(((0)-Inputs!$C$35)^2))/(2*Inputs!$C$36^2)))+Inputs!$C$37*(0.55*SIN(2*PI()*(Scenario_Data!W237)/Inputs!$C$39)+0.35*COS(2*PI()*(0)/Inputs!$C$40)+0.2*SIN(2*PI()*((Scenario_Data!W237)+(0))/(0.5*(Inputs!$C$39+Inputs!$C$40))))+Inputs!$C$38*SIN(2*PI()*(Scenario_Data!W237)/Inputs!$C$39)*SIN(2*PI()*(0)/Inputs!$C$40)+-Inputs!$C$41*EXP(-(((0)-Inputs!$C$43)^2)/(2*Inputs!$C$44^2))*EXP(-(((Scenario_Data!W237)-Inputs!$C$42)^2)/(2*Inputs!$C$45^2))+Inputs!$C$48*(0.7*(0.45*SIN(2*PI()*(((Scenario_Data!W237)/Inputs!$C$49)+Inputs!$C$47*0.137))+0.35*COS(2*PI()*(((0)/Inputs!$C$50)+Inputs!$C$47*0.173))+0.2*SIN(2*PI()*((((Scenario_Data!W237)+(0))/(0.5*(Inputs!$C$49+Inputs!$C$50)))+Inputs!$C$47*0.097)))+0.3*(2*((SIN(((Scenario_Data!W237)*12.9898+(0)*78.233+Inputs!$C$47*37.719))*43758.5453)-INT((SIN(((Scenario_Data!W237)*12.9898+(0)*78.233+Inputs!$C$47*37.719))*43758.5453)))-1)))))/Inputs!$C$21*1000000</f>
        <v/>
      </c>
      <c r="AG237">
        <f>Scenario_Data!T237</f>
        <v/>
      </c>
      <c r="AH237">
        <f>2*(SQRT((Inputs!$C$52+(Scenario_Data!B237))^2+Inputs!$C$52^2-2*(Inputs!$C$52+(Scenario_Data!B237))*Inputs!$C$52*COS(SQRT((Scenario_Data!T237)^2+Inputs!$C$6^2)/Inputs!$C$52))*1000)/Inputs!$C$21*1000000</f>
        <v/>
      </c>
      <c r="AI237">
        <f>Scenario_Data!U237</f>
        <v/>
      </c>
      <c r="AJ237">
        <f>2*(SQRT((Inputs!$C$52+(Scenario_Data!C237))^2+Inputs!$C$52^2-2*(Inputs!$C$52+(Scenario_Data!C237))*Inputs!$C$52*COS(SQRT((Scenario_Data!U237)^2+Inputs!$C$6^2)/Inputs!$C$52))*1000)/Inputs!$C$21*1000000</f>
        <v/>
      </c>
      <c r="AK237">
        <f>Scenario_Data!V237</f>
        <v/>
      </c>
      <c r="AL237">
        <f>2*(SQRT((Inputs!$C$52+(Scenario_Data!D237))^2+Inputs!$C$52^2-2*(Inputs!$C$52+(Scenario_Data!D237))*Inputs!$C$52*COS(SQRT((Scenario_Data!V237)^2+Inputs!$C$6^2)/Inputs!$C$52))*1000)/Inputs!$C$21*1000000</f>
        <v/>
      </c>
      <c r="AM237">
        <f>Scenario_Data!W237</f>
        <v/>
      </c>
      <c r="AN237">
        <f>2*(SQRT((Inputs!$C$52+(Scenario_Data!E237))^2+Inputs!$C$52^2-2*(Inputs!$C$52+(Scenario_Data!E237))*Inputs!$C$52*COS(SQRT((Scenario_Data!W237)^2+Inputs!$C$6^2)/Inputs!$C$52))*1000)/Inputs!$C$21*1000000</f>
        <v/>
      </c>
      <c r="AP237">
        <f>Scenario_Data!T237</f>
        <v/>
      </c>
      <c r="AQ237">
        <f>2*(SQRT((Inputs!$C$52+(Scenario_Data!B237))^2+(Inputs!$C$52+((IF(OR(Inputs!$C$27=TRUE,Inputs!$C$27="TRUE",Inputs!$C$27=1),1,0)*(Inputs!$C$51*(115*EXP(-(((Inputs!$C$6)-25)^2)/(4.5^2))+70*EXP(-(((Inputs!$C$6)+38)^2)/(7^2))*(0.55+0.45*SIN(2*PI()*(Scenario_Data!T237)/45))+24*SIN(2*PI()*(Inputs!$C$6)/9+(Scenario_Data!T237)/18)*EXP(-(((Inputs!$C$6)+5)^2)/(22^2))+18*SIN(2*PI()*(Scenario_Data!T237)/70))+Inputs!$C$28*EXP(-(((Scenario_Data!T237)-Inputs!$C$29)^2)/(2*Inputs!$C$31^2))*EXP(-(((Inputs!$C$6)-Inputs!$C$30)^2)/(2*Inputs!$C$32^2))+-Inputs!$C$33*EXP(-(((((Scenario_Data!T237)-Inputs!$C$34)^2)+(((Inputs!$C$6)-Inputs!$C$35)^2))/(2*Inputs!$C$36^2)))+Inputs!$C$37*(0.55*SIN(2*PI()*(Scenario_Data!T237)/Inputs!$C$39)+0.35*COS(2*PI()*(Inputs!$C$6)/Inputs!$C$40)+0.2*SIN(2*PI()*((Scenario_Data!T237)+(Inputs!$C$6))/(0.5*(Inputs!$C$39+Inputs!$C$40))))+Inputs!$C$38*SIN(2*PI()*(Scenario_Data!T237)/Inputs!$C$39)*SIN(2*PI()*(Inputs!$C$6)/Inputs!$C$40)+-Inputs!$C$41*EXP(-(((Inputs!$C$6)-Inputs!$C$43)^2)/(2*Inputs!$C$44^2))*EXP(-(((Scenario_Data!T237)-Inputs!$C$42)^2)/(2*Inputs!$C$45^2))+Inputs!$C$48*(0.7*(0.45*SIN(2*PI()*(((Scenario_Data!T237)/Inputs!$C$49)+Inputs!$C$47*0.137))+0.35*COS(2*PI()*(((Inputs!$C$6)/Inputs!$C$50)+Inputs!$C$47*0.173))+0.2*SIN(2*PI()*((((Scenario_Data!T237)+(Inputs!$C$6))/(0.5*(Inputs!$C$49+Inputs!$C$50)))+Inputs!$C$47*0.097)))+0.3*(2*((SIN(((Scenario_Data!T237)*12.9898+(Inputs!$C$6)*78.233+Inputs!$C$47*37.719))*43758.5453)-INT((SIN(((Scenario_Data!T237)*12.9898+(Inputs!$C$6)*78.233+Inputs!$C$47*37.719))*43758.5453)))-1))))/1000))^2-2*(Inputs!$C$52+(Scenario_Data!B237))*(Inputs!$C$52+((IF(OR(Inputs!$C$27=TRUE,Inputs!$C$27="TRUE",Inputs!$C$27=1),1,0)*(Inputs!$C$51*(115*EXP(-(((Inputs!$C$6)-25)^2)/(4.5^2))+70*EXP(-(((Inputs!$C$6)+38)^2)/(7^2))*(0.55+0.45*SIN(2*PI()*(Scenario_Data!T237)/45))+24*SIN(2*PI()*(Inputs!$C$6)/9+(Scenario_Data!T237)/18)*EXP(-(((Inputs!$C$6)+5)^2)/(22^2))+18*SIN(2*PI()*(Scenario_Data!T237)/70))+Inputs!$C$28*EXP(-(((Scenario_Data!T237)-Inputs!$C$29)^2)/(2*Inputs!$C$31^2))*EXP(-(((Inputs!$C$6)-Inputs!$C$30)^2)/(2*Inputs!$C$32^2))+-Inputs!$C$33*EXP(-(((((Scenario_Data!T237)-Inputs!$C$34)^2)+(((Inputs!$C$6)-Inputs!$C$35)^2))/(2*Inputs!$C$36^2)))+Inputs!$C$37*(0.55*SIN(2*PI()*(Scenario_Data!T237)/Inputs!$C$39)+0.35*COS(2*PI()*(Inputs!$C$6)/Inputs!$C$40)+0.2*SIN(2*PI()*((Scenario_Data!T237)+(Inputs!$C$6))/(0.5*(Inputs!$C$39+Inputs!$C$40))))+Inputs!$C$38*SIN(2*PI()*(Scenario_Data!T237)/Inputs!$C$39)*SIN(2*PI()*(Inputs!$C$6)/Inputs!$C$40)+-Inputs!$C$41*EXP(-(((Inputs!$C$6)-Inputs!$C$43)^2)/(2*Inputs!$C$44^2))*EXP(-(((Scenario_Data!T237)-Inputs!$C$42)^2)/(2*Inputs!$C$45^2))+Inputs!$C$48*(0.7*(0.45*SIN(2*PI()*(((Scenario_Data!T237)/Inputs!$C$49)+Inputs!$C$47*0.137))+0.35*COS(2*PI()*(((Inputs!$C$6)/Inputs!$C$50)+Inputs!$C$47*0.173))+0.2*SIN(2*PI()*((((Scenario_Data!T237)+(Inputs!$C$6))/(0.5*(Inputs!$C$49+Inputs!$C$50)))+Inputs!$C$47*0.097)))+0.3*(2*((SIN(((Scenario_Data!T237)*12.9898+(Inputs!$C$6)*78.233+Inputs!$C$47*37.719))*43758.5453)-INT((SIN(((Scenario_Data!T237)*12.9898+(Inputs!$C$6)*78.233+Inputs!$C$47*37.719))*43758.5453)))-1))))/1000))*COS(SQRT((Scenario_Data!T237)^2+Inputs!$C$6^2)/Inputs!$C$52))*1000)/Inputs!$C$21*1000000</f>
        <v/>
      </c>
      <c r="AR237">
        <f>Scenario_Data!U237</f>
        <v/>
      </c>
      <c r="AS237">
        <f>2*(SQRT((Inputs!$C$52+(Scenario_Data!C237))^2+(Inputs!$C$52+((IF(OR(Inputs!$C$27=TRUE,Inputs!$C$27="TRUE",Inputs!$C$27=1),1,0)*(Inputs!$C$51*(115*EXP(-(((Inputs!$C$6)-25)^2)/(4.5^2))+70*EXP(-(((Inputs!$C$6)+38)^2)/(7^2))*(0.55+0.45*SIN(2*PI()*(Scenario_Data!U237)/45))+24*SIN(2*PI()*(Inputs!$C$6)/9+(Scenario_Data!U237)/18)*EXP(-(((Inputs!$C$6)+5)^2)/(22^2))+18*SIN(2*PI()*(Scenario_Data!U237)/70))+Inputs!$C$28*EXP(-(((Scenario_Data!U237)-Inputs!$C$29)^2)/(2*Inputs!$C$31^2))*EXP(-(((Inputs!$C$6)-Inputs!$C$30)^2)/(2*Inputs!$C$32^2))+-Inputs!$C$33*EXP(-(((((Scenario_Data!U237)-Inputs!$C$34)^2)+(((Inputs!$C$6)-Inputs!$C$35)^2))/(2*Inputs!$C$36^2)))+Inputs!$C$37*(0.55*SIN(2*PI()*(Scenario_Data!U237)/Inputs!$C$39)+0.35*COS(2*PI()*(Inputs!$C$6)/Inputs!$C$40)+0.2*SIN(2*PI()*((Scenario_Data!U237)+(Inputs!$C$6))/(0.5*(Inputs!$C$39+Inputs!$C$40))))+Inputs!$C$38*SIN(2*PI()*(Scenario_Data!U237)/Inputs!$C$39)*SIN(2*PI()*(Inputs!$C$6)/Inputs!$C$40)+-Inputs!$C$41*EXP(-(((Inputs!$C$6)-Inputs!$C$43)^2)/(2*Inputs!$C$44^2))*EXP(-(((Scenario_Data!U237)-Inputs!$C$42)^2)/(2*Inputs!$C$45^2))+Inputs!$C$48*(0.7*(0.45*SIN(2*PI()*(((Scenario_Data!U237)/Inputs!$C$49)+Inputs!$C$47*0.137))+0.35*COS(2*PI()*(((Inputs!$C$6)/Inputs!$C$50)+Inputs!$C$47*0.173))+0.2*SIN(2*PI()*((((Scenario_Data!U237)+(Inputs!$C$6))/(0.5*(Inputs!$C$49+Inputs!$C$50)))+Inputs!$C$47*0.097)))+0.3*(2*((SIN(((Scenario_Data!U237)*12.9898+(Inputs!$C$6)*78.233+Inputs!$C$47*37.719))*43758.5453)-INT((SIN(((Scenario_Data!U237)*12.9898+(Inputs!$C$6)*78.233+Inputs!$C$47*37.719))*43758.5453)))-1))))/1000))^2-2*(Inputs!$C$52+(Scenario_Data!C237))*(Inputs!$C$52+((IF(OR(Inputs!$C$27=TRUE,Inputs!$C$27="TRUE",Inputs!$C$27=1),1,0)*(Inputs!$C$51*(115*EXP(-(((Inputs!$C$6)-25)^2)/(4.5^2))+70*EXP(-(((Inputs!$C$6)+38)^2)/(7^2))*(0.55+0.45*SIN(2*PI()*(Scenario_Data!U237)/45))+24*SIN(2*PI()*(Inputs!$C$6)/9+(Scenario_Data!U237)/18)*EXP(-(((Inputs!$C$6)+5)^2)/(22^2))+18*SIN(2*PI()*(Scenario_Data!U237)/70))+Inputs!$C$28*EXP(-(((Scenario_Data!U237)-Inputs!$C$29)^2)/(2*Inputs!$C$31^2))*EXP(-(((Inputs!$C$6)-Inputs!$C$30)^2)/(2*Inputs!$C$32^2))+-Inputs!$C$33*EXP(-(((((Scenario_Data!U237)-Inputs!$C$34)^2)+(((Inputs!$C$6)-Inputs!$C$35)^2))/(2*Inputs!$C$36^2)))+Inputs!$C$37*(0.55*SIN(2*PI()*(Scenario_Data!U237)/Inputs!$C$39)+0.35*COS(2*PI()*(Inputs!$C$6)/Inputs!$C$40)+0.2*SIN(2*PI()*((Scenario_Data!U237)+(Inputs!$C$6))/(0.5*(Inputs!$C$39+Inputs!$C$40))))+Inputs!$C$38*SIN(2*PI()*(Scenario_Data!U237)/Inputs!$C$39)*SIN(2*PI()*(Inputs!$C$6)/Inputs!$C$40)+-Inputs!$C$41*EXP(-(((Inputs!$C$6)-Inputs!$C$43)^2)/(2*Inputs!$C$44^2))*EXP(-(((Scenario_Data!U237)-Inputs!$C$42)^2)/(2*Inputs!$C$45^2))+Inputs!$C$48*(0.7*(0.45*SIN(2*PI()*(((Scenario_Data!U237)/Inputs!$C$49)+Inputs!$C$47*0.137))+0.35*COS(2*PI()*(((Inputs!$C$6)/Inputs!$C$50)+Inputs!$C$47*0.173))+0.2*SIN(2*PI()*((((Scenario_Data!U237)+(Inputs!$C$6))/(0.5*(Inputs!$C$49+Inputs!$C$50)))+Inputs!$C$47*0.097)))+0.3*(2*((SIN(((Scenario_Data!U237)*12.9898+(Inputs!$C$6)*78.233+Inputs!$C$47*37.719))*43758.5453)-INT((SIN(((Scenario_Data!U237)*12.9898+(Inputs!$C$6)*78.233+Inputs!$C$47*37.719))*43758.5453)))-1))))/1000))*COS(SQRT((Scenario_Data!U237)^2+Inputs!$C$6^2)/Inputs!$C$52))*1000)/Inputs!$C$21*1000000</f>
        <v/>
      </c>
      <c r="AT237">
        <f>Scenario_Data!V237</f>
        <v/>
      </c>
      <c r="AU237">
        <f>2*(SQRT((Inputs!$C$52+(Scenario_Data!D237))^2+(Inputs!$C$52+((IF(OR(Inputs!$C$27=TRUE,Inputs!$C$27="TRUE",Inputs!$C$27=1),1,0)*(Inputs!$C$51*(115*EXP(-(((Inputs!$C$6)-25)^2)/(4.5^2))+70*EXP(-(((Inputs!$C$6)+38)^2)/(7^2))*(0.55+0.45*SIN(2*PI()*(Scenario_Data!V237)/45))+24*SIN(2*PI()*(Inputs!$C$6)/9+(Scenario_Data!V237)/18)*EXP(-(((Inputs!$C$6)+5)^2)/(22^2))+18*SIN(2*PI()*(Scenario_Data!V237)/70))+Inputs!$C$28*EXP(-(((Scenario_Data!V237)-Inputs!$C$29)^2)/(2*Inputs!$C$31^2))*EXP(-(((Inputs!$C$6)-Inputs!$C$30)^2)/(2*Inputs!$C$32^2))+-Inputs!$C$33*EXP(-(((((Scenario_Data!V237)-Inputs!$C$34)^2)+(((Inputs!$C$6)-Inputs!$C$35)^2))/(2*Inputs!$C$36^2)))+Inputs!$C$37*(0.55*SIN(2*PI()*(Scenario_Data!V237)/Inputs!$C$39)+0.35*COS(2*PI()*(Inputs!$C$6)/Inputs!$C$40)+0.2*SIN(2*PI()*((Scenario_Data!V237)+(Inputs!$C$6))/(0.5*(Inputs!$C$39+Inputs!$C$40))))+Inputs!$C$38*SIN(2*PI()*(Scenario_Data!V237)/Inputs!$C$39)*SIN(2*PI()*(Inputs!$C$6)/Inputs!$C$40)+-Inputs!$C$41*EXP(-(((Inputs!$C$6)-Inputs!$C$43)^2)/(2*Inputs!$C$44^2))*EXP(-(((Scenario_Data!V237)-Inputs!$C$42)^2)/(2*Inputs!$C$45^2))+Inputs!$C$48*(0.7*(0.45*SIN(2*PI()*(((Scenario_Data!V237)/Inputs!$C$49)+Inputs!$C$47*0.137))+0.35*COS(2*PI()*(((Inputs!$C$6)/Inputs!$C$50)+Inputs!$C$47*0.173))+0.2*SIN(2*PI()*((((Scenario_Data!V237)+(Inputs!$C$6))/(0.5*(Inputs!$C$49+Inputs!$C$50)))+Inputs!$C$47*0.097)))+0.3*(2*((SIN(((Scenario_Data!V237)*12.9898+(Inputs!$C$6)*78.233+Inputs!$C$47*37.719))*43758.5453)-INT((SIN(((Scenario_Data!V237)*12.9898+(Inputs!$C$6)*78.233+Inputs!$C$47*37.719))*43758.5453)))-1))))/1000))^2-2*(Inputs!$C$52+(Scenario_Data!D237))*(Inputs!$C$52+((IF(OR(Inputs!$C$27=TRUE,Inputs!$C$27="TRUE",Inputs!$C$27=1),1,0)*(Inputs!$C$51*(115*EXP(-(((Inputs!$C$6)-25)^2)/(4.5^2))+70*EXP(-(((Inputs!$C$6)+38)^2)/(7^2))*(0.55+0.45*SIN(2*PI()*(Scenario_Data!V237)/45))+24*SIN(2*PI()*(Inputs!$C$6)/9+(Scenario_Data!V237)/18)*EXP(-(((Inputs!$C$6)+5)^2)/(22^2))+18*SIN(2*PI()*(Scenario_Data!V237)/70))+Inputs!$C$28*EXP(-(((Scenario_Data!V237)-Inputs!$C$29)^2)/(2*Inputs!$C$31^2))*EXP(-(((Inputs!$C$6)-Inputs!$C$30)^2)/(2*Inputs!$C$32^2))+-Inputs!$C$33*EXP(-(((((Scenario_Data!V237)-Inputs!$C$34)^2)+(((Inputs!$C$6)-Inputs!$C$35)^2))/(2*Inputs!$C$36^2)))+Inputs!$C$37*(0.55*SIN(2*PI()*(Scenario_Data!V237)/Inputs!$C$39)+0.35*COS(2*PI()*(Inputs!$C$6)/Inputs!$C$40)+0.2*SIN(2*PI()*((Scenario_Data!V237)+(Inputs!$C$6))/(0.5*(Inputs!$C$39+Inputs!$C$40))))+Inputs!$C$38*SIN(2*PI()*(Scenario_Data!V237)/Inputs!$C$39)*SIN(2*PI()*(Inputs!$C$6)/Inputs!$C$40)+-Inputs!$C$41*EXP(-(((Inputs!$C$6)-Inputs!$C$43)^2)/(2*Inputs!$C$44^2))*EXP(-(((Scenario_Data!V237)-Inputs!$C$42)^2)/(2*Inputs!$C$45^2))+Inputs!$C$48*(0.7*(0.45*SIN(2*PI()*(((Scenario_Data!V237)/Inputs!$C$49)+Inputs!$C$47*0.137))+0.35*COS(2*PI()*(((Inputs!$C$6)/Inputs!$C$50)+Inputs!$C$47*0.173))+0.2*SIN(2*PI()*((((Scenario_Data!V237)+(Inputs!$C$6))/(0.5*(Inputs!$C$49+Inputs!$C$50)))+Inputs!$C$47*0.097)))+0.3*(2*((SIN(((Scenario_Data!V237)*12.9898+(Inputs!$C$6)*78.233+Inputs!$C$47*37.719))*43758.5453)-INT((SIN(((Scenario_Data!V237)*12.9898+(Inputs!$C$6)*78.233+Inputs!$C$47*37.719))*43758.5453)))-1))))/1000))*COS(SQRT((Scenario_Data!V237)^2+Inputs!$C$6^2)/Inputs!$C$52))*1000)/Inputs!$C$21*1000000</f>
        <v/>
      </c>
      <c r="AV237">
        <f>Scenario_Data!W237</f>
        <v/>
      </c>
      <c r="AW237">
        <f>2*(SQRT((Inputs!$C$52+(Scenario_Data!E237))^2+(Inputs!$C$52+((IF(OR(Inputs!$C$27=TRUE,Inputs!$C$27="TRUE",Inputs!$C$27=1),1,0)*(Inputs!$C$51*(115*EXP(-(((Inputs!$C$6)-25)^2)/(4.5^2))+70*EXP(-(((Inputs!$C$6)+38)^2)/(7^2))*(0.55+0.45*SIN(2*PI()*(Scenario_Data!W237)/45))+24*SIN(2*PI()*(Inputs!$C$6)/9+(Scenario_Data!W237)/18)*EXP(-(((Inputs!$C$6)+5)^2)/(22^2))+18*SIN(2*PI()*(Scenario_Data!W237)/70))+Inputs!$C$28*EXP(-(((Scenario_Data!W237)-Inputs!$C$29)^2)/(2*Inputs!$C$31^2))*EXP(-(((Inputs!$C$6)-Inputs!$C$30)^2)/(2*Inputs!$C$32^2))+-Inputs!$C$33*EXP(-(((((Scenario_Data!W237)-Inputs!$C$34)^2)+(((Inputs!$C$6)-Inputs!$C$35)^2))/(2*Inputs!$C$36^2)))+Inputs!$C$37*(0.55*SIN(2*PI()*(Scenario_Data!W237)/Inputs!$C$39)+0.35*COS(2*PI()*(Inputs!$C$6)/Inputs!$C$40)+0.2*SIN(2*PI()*((Scenario_Data!W237)+(Inputs!$C$6))/(0.5*(Inputs!$C$39+Inputs!$C$40))))+Inputs!$C$38*SIN(2*PI()*(Scenario_Data!W237)/Inputs!$C$39)*SIN(2*PI()*(Inputs!$C$6)/Inputs!$C$40)+-Inputs!$C$41*EXP(-(((Inputs!$C$6)-Inputs!$C$43)^2)/(2*Inputs!$C$44^2))*EXP(-(((Scenario_Data!W237)-Inputs!$C$42)^2)/(2*Inputs!$C$45^2))+Inputs!$C$48*(0.7*(0.45*SIN(2*PI()*(((Scenario_Data!W237)/Inputs!$C$49)+Inputs!$C$47*0.137))+0.35*COS(2*PI()*(((Inputs!$C$6)/Inputs!$C$50)+Inputs!$C$47*0.173))+0.2*SIN(2*PI()*((((Scenario_Data!W237)+(Inputs!$C$6))/(0.5*(Inputs!$C$49+Inputs!$C$50)))+Inputs!$C$47*0.097)))+0.3*(2*((SIN(((Scenario_Data!W237)*12.9898+(Inputs!$C$6)*78.233+Inputs!$C$47*37.719))*43758.5453)-INT((SIN(((Scenario_Data!W237)*12.9898+(Inputs!$C$6)*78.233+Inputs!$C$47*37.719))*43758.5453)))-1))))/1000))^2-2*(Inputs!$C$52+(Scenario_Data!E237))*(Inputs!$C$52+((IF(OR(Inputs!$C$27=TRUE,Inputs!$C$27="TRUE",Inputs!$C$27=1),1,0)*(Inputs!$C$51*(115*EXP(-(((Inputs!$C$6)-25)^2)/(4.5^2))+70*EXP(-(((Inputs!$C$6)+38)^2)/(7^2))*(0.55+0.45*SIN(2*PI()*(Scenario_Data!W237)/45))+24*SIN(2*PI()*(Inputs!$C$6)/9+(Scenario_Data!W237)/18)*EXP(-(((Inputs!$C$6)+5)^2)/(22^2))+18*SIN(2*PI()*(Scenario_Data!W237)/70))+Inputs!$C$28*EXP(-(((Scenario_Data!W237)-Inputs!$C$29)^2)/(2*Inputs!$C$31^2))*EXP(-(((Inputs!$C$6)-Inputs!$C$30)^2)/(2*Inputs!$C$32^2))+-Inputs!$C$33*EXP(-(((((Scenario_Data!W237)-Inputs!$C$34)^2)+(((Inputs!$C$6)-Inputs!$C$35)^2))/(2*Inputs!$C$36^2)))+Inputs!$C$37*(0.55*SIN(2*PI()*(Scenario_Data!W237)/Inputs!$C$39)+0.35*COS(2*PI()*(Inputs!$C$6)/Inputs!$C$40)+0.2*SIN(2*PI()*((Scenario_Data!W237)+(Inputs!$C$6))/(0.5*(Inputs!$C$39+Inputs!$C$40))))+Inputs!$C$38*SIN(2*PI()*(Scenario_Data!W237)/Inputs!$C$39)*SIN(2*PI()*(Inputs!$C$6)/Inputs!$C$40)+-Inputs!$C$41*EXP(-(((Inputs!$C$6)-Inputs!$C$43)^2)/(2*Inputs!$C$44^2))*EXP(-(((Scenario_Data!W237)-Inputs!$C$42)^2)/(2*Inputs!$C$45^2))+Inputs!$C$48*(0.7*(0.45*SIN(2*PI()*(((Scenario_Data!W237)/Inputs!$C$49)+Inputs!$C$47*0.137))+0.35*COS(2*PI()*(((Inputs!$C$6)/Inputs!$C$50)+Inputs!$C$47*0.173))+0.2*SIN(2*PI()*((((Scenario_Data!W237)+(Inputs!$C$6))/(0.5*(Inputs!$C$49+Inputs!$C$50)))+Inputs!$C$47*0.097)))+0.3*(2*((SIN(((Scenario_Data!W237)*12.9898+(Inputs!$C$6)*78.233+Inputs!$C$47*37.719))*43758.5453)-INT((SIN(((Scenario_Data!W237)*12.9898+(Inputs!$C$6)*78.233+Inputs!$C$47*37.719))*43758.5453)))-1))))/1000))*COS(SQRT((Scenario_Data!W237)^2+Inputs!$C$6^2)/Inputs!$C$52))*1000)/Inputs!$C$21*1000000</f>
        <v/>
      </c>
    </row>
    <row r="238">
      <c r="A238">
        <f>Chart_Data!K238</f>
        <v/>
      </c>
      <c r="B238">
        <f>Chart_Data!N238-Chart_Data!L238</f>
        <v/>
      </c>
      <c r="D238">
        <f>Chart_Data!G238</f>
        <v/>
      </c>
      <c r="E238">
        <f>Chart_Data!H238</f>
        <v/>
      </c>
      <c r="F238">
        <f>Chart_Data!I238</f>
        <v/>
      </c>
      <c r="G238">
        <f>Chart_Data!J238</f>
        <v/>
      </c>
      <c r="I238">
        <f>Scenario_Data!A238</f>
        <v/>
      </c>
      <c r="J238">
        <f>Scenario_Data!H238-(((SQRT((Inputs!$C$52+(Inputs!$H$6))^2+Inputs!$C$52^2-2*(Inputs!$C$52+(Inputs!$H$6))*Inputs!$C$52*COS(SQRT((Scenario_Data!T238)^2+Inputs!$C$6^2)/Inputs!$C$52)))-(Inputs!$H$6))*1000/Inputs!$C$12)</f>
        <v/>
      </c>
      <c r="K238">
        <f>Scenario_Data!I238-(((SQRT((Inputs!$C$52+(Inputs!$H$7))^2+Inputs!$C$52^2-2*(Inputs!$C$52+(Inputs!$H$7))*Inputs!$C$52*COS(SQRT((Scenario_Data!U238)^2+Inputs!$C$6^2)/Inputs!$C$52)))-(Inputs!$H$7))*1000/Inputs!$C$12)</f>
        <v/>
      </c>
      <c r="L238">
        <f>Scenario_Data!J238-(((SQRT((Inputs!$C$52+(Inputs!$H$8))^2+Inputs!$C$52^2-2*(Inputs!$C$52+(Inputs!$H$8))*Inputs!$C$52*COS(SQRT((Scenario_Data!V238)^2+Inputs!$C$6^2)/Inputs!$C$52)))-(Inputs!$H$8))*1000/Inputs!$C$12)</f>
        <v/>
      </c>
      <c r="M238">
        <f>Scenario_Data!K238-(((SQRT((Inputs!$C$52+(Inputs!$H$9))^2+Inputs!$C$52^2-2*(Inputs!$C$52+(Inputs!$H$9))*Inputs!$C$52*COS(SQRT((Scenario_Data!W238)^2+Inputs!$C$6^2)/Inputs!$C$52)))-(Inputs!$H$9))*1000/Inputs!$C$12)</f>
        <v/>
      </c>
      <c r="O238">
        <f>Scenario_Data!T238</f>
        <v/>
      </c>
      <c r="P238">
        <f>2*(Scenario_Data!B238*1000)/Inputs!$C$21*1000000</f>
        <v/>
      </c>
      <c r="Q238">
        <f>Scenario_Data!U238</f>
        <v/>
      </c>
      <c r="R238">
        <f>2*(Scenario_Data!C238*1000)/Inputs!$C$21*1000000</f>
        <v/>
      </c>
      <c r="S238">
        <f>Scenario_Data!V238</f>
        <v/>
      </c>
      <c r="T238">
        <f>2*(Scenario_Data!D238*1000)/Inputs!$C$21*1000000</f>
        <v/>
      </c>
      <c r="U238">
        <f>Scenario_Data!W238</f>
        <v/>
      </c>
      <c r="V238">
        <f>2*(Scenario_Data!E238*1000)/Inputs!$C$21*1000000</f>
        <v/>
      </c>
      <c r="X238">
        <f>Scenario_Data!T238</f>
        <v/>
      </c>
      <c r="Y238">
        <f>2*((Scenario_Data!B238*1000)-(IF(OR(Inputs!$C$27=TRUE,Inputs!$C$27="TRUE",Inputs!$C$27=1),1,0)*(Inputs!$C$51*(115*EXP(-(((0)-25)^2)/(4.5^2))+70*EXP(-(((0)+38)^2)/(7^2))*(0.55+0.45*SIN(2*PI()*(Scenario_Data!T238)/45))+24*SIN(2*PI()*(0)/9+(Scenario_Data!T238)/18)*EXP(-(((0)+5)^2)/(22^2))+18*SIN(2*PI()*(Scenario_Data!T238)/70))+Inputs!$C$28*EXP(-(((Scenario_Data!T238)-Inputs!$C$29)^2)/(2*Inputs!$C$31^2))*EXP(-(((0)-Inputs!$C$30)^2)/(2*Inputs!$C$32^2))+-Inputs!$C$33*EXP(-(((((Scenario_Data!T238)-Inputs!$C$34)^2)+(((0)-Inputs!$C$35)^2))/(2*Inputs!$C$36^2)))+Inputs!$C$37*(0.55*SIN(2*PI()*(Scenario_Data!T238)/Inputs!$C$39)+0.35*COS(2*PI()*(0)/Inputs!$C$40)+0.2*SIN(2*PI()*((Scenario_Data!T238)+(0))/(0.5*(Inputs!$C$39+Inputs!$C$40))))+Inputs!$C$38*SIN(2*PI()*(Scenario_Data!T238)/Inputs!$C$39)*SIN(2*PI()*(0)/Inputs!$C$40)+-Inputs!$C$41*EXP(-(((0)-Inputs!$C$43)^2)/(2*Inputs!$C$44^2))*EXP(-(((Scenario_Data!T238)-Inputs!$C$42)^2)/(2*Inputs!$C$45^2))+Inputs!$C$48*(0.7*(0.45*SIN(2*PI()*(((Scenario_Data!T238)/Inputs!$C$49)+Inputs!$C$47*0.137))+0.35*COS(2*PI()*(((0)/Inputs!$C$50)+Inputs!$C$47*0.173))+0.2*SIN(2*PI()*((((Scenario_Data!T238)+(0))/(0.5*(Inputs!$C$49+Inputs!$C$50)))+Inputs!$C$47*0.097)))+0.3*(2*((SIN(((Scenario_Data!T238)*12.9898+(0)*78.233+Inputs!$C$47*37.719))*43758.5453)-INT((SIN(((Scenario_Data!T238)*12.9898+(0)*78.233+Inputs!$C$47*37.719))*43758.5453)))-1)))))/Inputs!$C$21*1000000</f>
        <v/>
      </c>
      <c r="Z238">
        <f>Scenario_Data!U238</f>
        <v/>
      </c>
      <c r="AA238">
        <f>2*((Scenario_Data!C238*1000)-(IF(OR(Inputs!$C$27=TRUE,Inputs!$C$27="TRUE",Inputs!$C$27=1),1,0)*(Inputs!$C$51*(115*EXP(-(((0)-25)^2)/(4.5^2))+70*EXP(-(((0)+38)^2)/(7^2))*(0.55+0.45*SIN(2*PI()*(Scenario_Data!U238)/45))+24*SIN(2*PI()*(0)/9+(Scenario_Data!U238)/18)*EXP(-(((0)+5)^2)/(22^2))+18*SIN(2*PI()*(Scenario_Data!U238)/70))+Inputs!$C$28*EXP(-(((Scenario_Data!U238)-Inputs!$C$29)^2)/(2*Inputs!$C$31^2))*EXP(-(((0)-Inputs!$C$30)^2)/(2*Inputs!$C$32^2))+-Inputs!$C$33*EXP(-(((((Scenario_Data!U238)-Inputs!$C$34)^2)+(((0)-Inputs!$C$35)^2))/(2*Inputs!$C$36^2)))+Inputs!$C$37*(0.55*SIN(2*PI()*(Scenario_Data!U238)/Inputs!$C$39)+0.35*COS(2*PI()*(0)/Inputs!$C$40)+0.2*SIN(2*PI()*((Scenario_Data!U238)+(0))/(0.5*(Inputs!$C$39+Inputs!$C$40))))+Inputs!$C$38*SIN(2*PI()*(Scenario_Data!U238)/Inputs!$C$39)*SIN(2*PI()*(0)/Inputs!$C$40)+-Inputs!$C$41*EXP(-(((0)-Inputs!$C$43)^2)/(2*Inputs!$C$44^2))*EXP(-(((Scenario_Data!U238)-Inputs!$C$42)^2)/(2*Inputs!$C$45^2))+Inputs!$C$48*(0.7*(0.45*SIN(2*PI()*(((Scenario_Data!U238)/Inputs!$C$49)+Inputs!$C$47*0.137))+0.35*COS(2*PI()*(((0)/Inputs!$C$50)+Inputs!$C$47*0.173))+0.2*SIN(2*PI()*((((Scenario_Data!U238)+(0))/(0.5*(Inputs!$C$49+Inputs!$C$50)))+Inputs!$C$47*0.097)))+0.3*(2*((SIN(((Scenario_Data!U238)*12.9898+(0)*78.233+Inputs!$C$47*37.719))*43758.5453)-INT((SIN(((Scenario_Data!U238)*12.9898+(0)*78.233+Inputs!$C$47*37.719))*43758.5453)))-1)))))/Inputs!$C$21*1000000</f>
        <v/>
      </c>
      <c r="AB238">
        <f>Scenario_Data!V238</f>
        <v/>
      </c>
      <c r="AC238">
        <f>2*((Scenario_Data!D238*1000)-(IF(OR(Inputs!$C$27=TRUE,Inputs!$C$27="TRUE",Inputs!$C$27=1),1,0)*(Inputs!$C$51*(115*EXP(-(((0)-25)^2)/(4.5^2))+70*EXP(-(((0)+38)^2)/(7^2))*(0.55+0.45*SIN(2*PI()*(Scenario_Data!V238)/45))+24*SIN(2*PI()*(0)/9+(Scenario_Data!V238)/18)*EXP(-(((0)+5)^2)/(22^2))+18*SIN(2*PI()*(Scenario_Data!V238)/70))+Inputs!$C$28*EXP(-(((Scenario_Data!V238)-Inputs!$C$29)^2)/(2*Inputs!$C$31^2))*EXP(-(((0)-Inputs!$C$30)^2)/(2*Inputs!$C$32^2))+-Inputs!$C$33*EXP(-(((((Scenario_Data!V238)-Inputs!$C$34)^2)+(((0)-Inputs!$C$35)^2))/(2*Inputs!$C$36^2)))+Inputs!$C$37*(0.55*SIN(2*PI()*(Scenario_Data!V238)/Inputs!$C$39)+0.35*COS(2*PI()*(0)/Inputs!$C$40)+0.2*SIN(2*PI()*((Scenario_Data!V238)+(0))/(0.5*(Inputs!$C$39+Inputs!$C$40))))+Inputs!$C$38*SIN(2*PI()*(Scenario_Data!V238)/Inputs!$C$39)*SIN(2*PI()*(0)/Inputs!$C$40)+-Inputs!$C$41*EXP(-(((0)-Inputs!$C$43)^2)/(2*Inputs!$C$44^2))*EXP(-(((Scenario_Data!V238)-Inputs!$C$42)^2)/(2*Inputs!$C$45^2))+Inputs!$C$48*(0.7*(0.45*SIN(2*PI()*(((Scenario_Data!V238)/Inputs!$C$49)+Inputs!$C$47*0.137))+0.35*COS(2*PI()*(((0)/Inputs!$C$50)+Inputs!$C$47*0.173))+0.2*SIN(2*PI()*((((Scenario_Data!V238)+(0))/(0.5*(Inputs!$C$49+Inputs!$C$50)))+Inputs!$C$47*0.097)))+0.3*(2*((SIN(((Scenario_Data!V238)*12.9898+(0)*78.233+Inputs!$C$47*37.719))*43758.5453)-INT((SIN(((Scenario_Data!V238)*12.9898+(0)*78.233+Inputs!$C$47*37.719))*43758.5453)))-1)))))/Inputs!$C$21*1000000</f>
        <v/>
      </c>
      <c r="AD238">
        <f>Scenario_Data!W238</f>
        <v/>
      </c>
      <c r="AE238">
        <f>2*((Scenario_Data!E238*1000)-(IF(OR(Inputs!$C$27=TRUE,Inputs!$C$27="TRUE",Inputs!$C$27=1),1,0)*(Inputs!$C$51*(115*EXP(-(((0)-25)^2)/(4.5^2))+70*EXP(-(((0)+38)^2)/(7^2))*(0.55+0.45*SIN(2*PI()*(Scenario_Data!W238)/45))+24*SIN(2*PI()*(0)/9+(Scenario_Data!W238)/18)*EXP(-(((0)+5)^2)/(22^2))+18*SIN(2*PI()*(Scenario_Data!W238)/70))+Inputs!$C$28*EXP(-(((Scenario_Data!W238)-Inputs!$C$29)^2)/(2*Inputs!$C$31^2))*EXP(-(((0)-Inputs!$C$30)^2)/(2*Inputs!$C$32^2))+-Inputs!$C$33*EXP(-(((((Scenario_Data!W238)-Inputs!$C$34)^2)+(((0)-Inputs!$C$35)^2))/(2*Inputs!$C$36^2)))+Inputs!$C$37*(0.55*SIN(2*PI()*(Scenario_Data!W238)/Inputs!$C$39)+0.35*COS(2*PI()*(0)/Inputs!$C$40)+0.2*SIN(2*PI()*((Scenario_Data!W238)+(0))/(0.5*(Inputs!$C$39+Inputs!$C$40))))+Inputs!$C$38*SIN(2*PI()*(Scenario_Data!W238)/Inputs!$C$39)*SIN(2*PI()*(0)/Inputs!$C$40)+-Inputs!$C$41*EXP(-(((0)-Inputs!$C$43)^2)/(2*Inputs!$C$44^2))*EXP(-(((Scenario_Data!W238)-Inputs!$C$42)^2)/(2*Inputs!$C$45^2))+Inputs!$C$48*(0.7*(0.45*SIN(2*PI()*(((Scenario_Data!W238)/Inputs!$C$49)+Inputs!$C$47*0.137))+0.35*COS(2*PI()*(((0)/Inputs!$C$50)+Inputs!$C$47*0.173))+0.2*SIN(2*PI()*((((Scenario_Data!W238)+(0))/(0.5*(Inputs!$C$49+Inputs!$C$50)))+Inputs!$C$47*0.097)))+0.3*(2*((SIN(((Scenario_Data!W238)*12.9898+(0)*78.233+Inputs!$C$47*37.719))*43758.5453)-INT((SIN(((Scenario_Data!W238)*12.9898+(0)*78.233+Inputs!$C$47*37.719))*43758.5453)))-1)))))/Inputs!$C$21*1000000</f>
        <v/>
      </c>
      <c r="AG238">
        <f>Scenario_Data!T238</f>
        <v/>
      </c>
      <c r="AH238">
        <f>2*(SQRT((Inputs!$C$52+(Scenario_Data!B238))^2+Inputs!$C$52^2-2*(Inputs!$C$52+(Scenario_Data!B238))*Inputs!$C$52*COS(SQRT((Scenario_Data!T238)^2+Inputs!$C$6^2)/Inputs!$C$52))*1000)/Inputs!$C$21*1000000</f>
        <v/>
      </c>
      <c r="AI238">
        <f>Scenario_Data!U238</f>
        <v/>
      </c>
      <c r="AJ238">
        <f>2*(SQRT((Inputs!$C$52+(Scenario_Data!C238))^2+Inputs!$C$52^2-2*(Inputs!$C$52+(Scenario_Data!C238))*Inputs!$C$52*COS(SQRT((Scenario_Data!U238)^2+Inputs!$C$6^2)/Inputs!$C$52))*1000)/Inputs!$C$21*1000000</f>
        <v/>
      </c>
      <c r="AK238">
        <f>Scenario_Data!V238</f>
        <v/>
      </c>
      <c r="AL238">
        <f>2*(SQRT((Inputs!$C$52+(Scenario_Data!D238))^2+Inputs!$C$52^2-2*(Inputs!$C$52+(Scenario_Data!D238))*Inputs!$C$52*COS(SQRT((Scenario_Data!V238)^2+Inputs!$C$6^2)/Inputs!$C$52))*1000)/Inputs!$C$21*1000000</f>
        <v/>
      </c>
      <c r="AM238">
        <f>Scenario_Data!W238</f>
        <v/>
      </c>
      <c r="AN238">
        <f>2*(SQRT((Inputs!$C$52+(Scenario_Data!E238))^2+Inputs!$C$52^2-2*(Inputs!$C$52+(Scenario_Data!E238))*Inputs!$C$52*COS(SQRT((Scenario_Data!W238)^2+Inputs!$C$6^2)/Inputs!$C$52))*1000)/Inputs!$C$21*1000000</f>
        <v/>
      </c>
      <c r="AP238">
        <f>Scenario_Data!T238</f>
        <v/>
      </c>
      <c r="AQ238">
        <f>2*(SQRT((Inputs!$C$52+(Scenario_Data!B238))^2+(Inputs!$C$52+((IF(OR(Inputs!$C$27=TRUE,Inputs!$C$27="TRUE",Inputs!$C$27=1),1,0)*(Inputs!$C$51*(115*EXP(-(((Inputs!$C$6)-25)^2)/(4.5^2))+70*EXP(-(((Inputs!$C$6)+38)^2)/(7^2))*(0.55+0.45*SIN(2*PI()*(Scenario_Data!T238)/45))+24*SIN(2*PI()*(Inputs!$C$6)/9+(Scenario_Data!T238)/18)*EXP(-(((Inputs!$C$6)+5)^2)/(22^2))+18*SIN(2*PI()*(Scenario_Data!T238)/70))+Inputs!$C$28*EXP(-(((Scenario_Data!T238)-Inputs!$C$29)^2)/(2*Inputs!$C$31^2))*EXP(-(((Inputs!$C$6)-Inputs!$C$30)^2)/(2*Inputs!$C$32^2))+-Inputs!$C$33*EXP(-(((((Scenario_Data!T238)-Inputs!$C$34)^2)+(((Inputs!$C$6)-Inputs!$C$35)^2))/(2*Inputs!$C$36^2)))+Inputs!$C$37*(0.55*SIN(2*PI()*(Scenario_Data!T238)/Inputs!$C$39)+0.35*COS(2*PI()*(Inputs!$C$6)/Inputs!$C$40)+0.2*SIN(2*PI()*((Scenario_Data!T238)+(Inputs!$C$6))/(0.5*(Inputs!$C$39+Inputs!$C$40))))+Inputs!$C$38*SIN(2*PI()*(Scenario_Data!T238)/Inputs!$C$39)*SIN(2*PI()*(Inputs!$C$6)/Inputs!$C$40)+-Inputs!$C$41*EXP(-(((Inputs!$C$6)-Inputs!$C$43)^2)/(2*Inputs!$C$44^2))*EXP(-(((Scenario_Data!T238)-Inputs!$C$42)^2)/(2*Inputs!$C$45^2))+Inputs!$C$48*(0.7*(0.45*SIN(2*PI()*(((Scenario_Data!T238)/Inputs!$C$49)+Inputs!$C$47*0.137))+0.35*COS(2*PI()*(((Inputs!$C$6)/Inputs!$C$50)+Inputs!$C$47*0.173))+0.2*SIN(2*PI()*((((Scenario_Data!T238)+(Inputs!$C$6))/(0.5*(Inputs!$C$49+Inputs!$C$50)))+Inputs!$C$47*0.097)))+0.3*(2*((SIN(((Scenario_Data!T238)*12.9898+(Inputs!$C$6)*78.233+Inputs!$C$47*37.719))*43758.5453)-INT((SIN(((Scenario_Data!T238)*12.9898+(Inputs!$C$6)*78.233+Inputs!$C$47*37.719))*43758.5453)))-1))))/1000))^2-2*(Inputs!$C$52+(Scenario_Data!B238))*(Inputs!$C$52+((IF(OR(Inputs!$C$27=TRUE,Inputs!$C$27="TRUE",Inputs!$C$27=1),1,0)*(Inputs!$C$51*(115*EXP(-(((Inputs!$C$6)-25)^2)/(4.5^2))+70*EXP(-(((Inputs!$C$6)+38)^2)/(7^2))*(0.55+0.45*SIN(2*PI()*(Scenario_Data!T238)/45))+24*SIN(2*PI()*(Inputs!$C$6)/9+(Scenario_Data!T238)/18)*EXP(-(((Inputs!$C$6)+5)^2)/(22^2))+18*SIN(2*PI()*(Scenario_Data!T238)/70))+Inputs!$C$28*EXP(-(((Scenario_Data!T238)-Inputs!$C$29)^2)/(2*Inputs!$C$31^2))*EXP(-(((Inputs!$C$6)-Inputs!$C$30)^2)/(2*Inputs!$C$32^2))+-Inputs!$C$33*EXP(-(((((Scenario_Data!T238)-Inputs!$C$34)^2)+(((Inputs!$C$6)-Inputs!$C$35)^2))/(2*Inputs!$C$36^2)))+Inputs!$C$37*(0.55*SIN(2*PI()*(Scenario_Data!T238)/Inputs!$C$39)+0.35*COS(2*PI()*(Inputs!$C$6)/Inputs!$C$40)+0.2*SIN(2*PI()*((Scenario_Data!T238)+(Inputs!$C$6))/(0.5*(Inputs!$C$39+Inputs!$C$40))))+Inputs!$C$38*SIN(2*PI()*(Scenario_Data!T238)/Inputs!$C$39)*SIN(2*PI()*(Inputs!$C$6)/Inputs!$C$40)+-Inputs!$C$41*EXP(-(((Inputs!$C$6)-Inputs!$C$43)^2)/(2*Inputs!$C$44^2))*EXP(-(((Scenario_Data!T238)-Inputs!$C$42)^2)/(2*Inputs!$C$45^2))+Inputs!$C$48*(0.7*(0.45*SIN(2*PI()*(((Scenario_Data!T238)/Inputs!$C$49)+Inputs!$C$47*0.137))+0.35*COS(2*PI()*(((Inputs!$C$6)/Inputs!$C$50)+Inputs!$C$47*0.173))+0.2*SIN(2*PI()*((((Scenario_Data!T238)+(Inputs!$C$6))/(0.5*(Inputs!$C$49+Inputs!$C$50)))+Inputs!$C$47*0.097)))+0.3*(2*((SIN(((Scenario_Data!T238)*12.9898+(Inputs!$C$6)*78.233+Inputs!$C$47*37.719))*43758.5453)-INT((SIN(((Scenario_Data!T238)*12.9898+(Inputs!$C$6)*78.233+Inputs!$C$47*37.719))*43758.5453)))-1))))/1000))*COS(SQRT((Scenario_Data!T238)^2+Inputs!$C$6^2)/Inputs!$C$52))*1000)/Inputs!$C$21*1000000</f>
        <v/>
      </c>
      <c r="AR238">
        <f>Scenario_Data!U238</f>
        <v/>
      </c>
      <c r="AS238">
        <f>2*(SQRT((Inputs!$C$52+(Scenario_Data!C238))^2+(Inputs!$C$52+((IF(OR(Inputs!$C$27=TRUE,Inputs!$C$27="TRUE",Inputs!$C$27=1),1,0)*(Inputs!$C$51*(115*EXP(-(((Inputs!$C$6)-25)^2)/(4.5^2))+70*EXP(-(((Inputs!$C$6)+38)^2)/(7^2))*(0.55+0.45*SIN(2*PI()*(Scenario_Data!U238)/45))+24*SIN(2*PI()*(Inputs!$C$6)/9+(Scenario_Data!U238)/18)*EXP(-(((Inputs!$C$6)+5)^2)/(22^2))+18*SIN(2*PI()*(Scenario_Data!U238)/70))+Inputs!$C$28*EXP(-(((Scenario_Data!U238)-Inputs!$C$29)^2)/(2*Inputs!$C$31^2))*EXP(-(((Inputs!$C$6)-Inputs!$C$30)^2)/(2*Inputs!$C$32^2))+-Inputs!$C$33*EXP(-(((((Scenario_Data!U238)-Inputs!$C$34)^2)+(((Inputs!$C$6)-Inputs!$C$35)^2))/(2*Inputs!$C$36^2)))+Inputs!$C$37*(0.55*SIN(2*PI()*(Scenario_Data!U238)/Inputs!$C$39)+0.35*COS(2*PI()*(Inputs!$C$6)/Inputs!$C$40)+0.2*SIN(2*PI()*((Scenario_Data!U238)+(Inputs!$C$6))/(0.5*(Inputs!$C$39+Inputs!$C$40))))+Inputs!$C$38*SIN(2*PI()*(Scenario_Data!U238)/Inputs!$C$39)*SIN(2*PI()*(Inputs!$C$6)/Inputs!$C$40)+-Inputs!$C$41*EXP(-(((Inputs!$C$6)-Inputs!$C$43)^2)/(2*Inputs!$C$44^2))*EXP(-(((Scenario_Data!U238)-Inputs!$C$42)^2)/(2*Inputs!$C$45^2))+Inputs!$C$48*(0.7*(0.45*SIN(2*PI()*(((Scenario_Data!U238)/Inputs!$C$49)+Inputs!$C$47*0.137))+0.35*COS(2*PI()*(((Inputs!$C$6)/Inputs!$C$50)+Inputs!$C$47*0.173))+0.2*SIN(2*PI()*((((Scenario_Data!U238)+(Inputs!$C$6))/(0.5*(Inputs!$C$49+Inputs!$C$50)))+Inputs!$C$47*0.097)))+0.3*(2*((SIN(((Scenario_Data!U238)*12.9898+(Inputs!$C$6)*78.233+Inputs!$C$47*37.719))*43758.5453)-INT((SIN(((Scenario_Data!U238)*12.9898+(Inputs!$C$6)*78.233+Inputs!$C$47*37.719))*43758.5453)))-1))))/1000))^2-2*(Inputs!$C$52+(Scenario_Data!C238))*(Inputs!$C$52+((IF(OR(Inputs!$C$27=TRUE,Inputs!$C$27="TRUE",Inputs!$C$27=1),1,0)*(Inputs!$C$51*(115*EXP(-(((Inputs!$C$6)-25)^2)/(4.5^2))+70*EXP(-(((Inputs!$C$6)+38)^2)/(7^2))*(0.55+0.45*SIN(2*PI()*(Scenario_Data!U238)/45))+24*SIN(2*PI()*(Inputs!$C$6)/9+(Scenario_Data!U238)/18)*EXP(-(((Inputs!$C$6)+5)^2)/(22^2))+18*SIN(2*PI()*(Scenario_Data!U238)/70))+Inputs!$C$28*EXP(-(((Scenario_Data!U238)-Inputs!$C$29)^2)/(2*Inputs!$C$31^2))*EXP(-(((Inputs!$C$6)-Inputs!$C$30)^2)/(2*Inputs!$C$32^2))+-Inputs!$C$33*EXP(-(((((Scenario_Data!U238)-Inputs!$C$34)^2)+(((Inputs!$C$6)-Inputs!$C$35)^2))/(2*Inputs!$C$36^2)))+Inputs!$C$37*(0.55*SIN(2*PI()*(Scenario_Data!U238)/Inputs!$C$39)+0.35*COS(2*PI()*(Inputs!$C$6)/Inputs!$C$40)+0.2*SIN(2*PI()*((Scenario_Data!U238)+(Inputs!$C$6))/(0.5*(Inputs!$C$39+Inputs!$C$40))))+Inputs!$C$38*SIN(2*PI()*(Scenario_Data!U238)/Inputs!$C$39)*SIN(2*PI()*(Inputs!$C$6)/Inputs!$C$40)+-Inputs!$C$41*EXP(-(((Inputs!$C$6)-Inputs!$C$43)^2)/(2*Inputs!$C$44^2))*EXP(-(((Scenario_Data!U238)-Inputs!$C$42)^2)/(2*Inputs!$C$45^2))+Inputs!$C$48*(0.7*(0.45*SIN(2*PI()*(((Scenario_Data!U238)/Inputs!$C$49)+Inputs!$C$47*0.137))+0.35*COS(2*PI()*(((Inputs!$C$6)/Inputs!$C$50)+Inputs!$C$47*0.173))+0.2*SIN(2*PI()*((((Scenario_Data!U238)+(Inputs!$C$6))/(0.5*(Inputs!$C$49+Inputs!$C$50)))+Inputs!$C$47*0.097)))+0.3*(2*((SIN(((Scenario_Data!U238)*12.9898+(Inputs!$C$6)*78.233+Inputs!$C$47*37.719))*43758.5453)-INT((SIN(((Scenario_Data!U238)*12.9898+(Inputs!$C$6)*78.233+Inputs!$C$47*37.719))*43758.5453)))-1))))/1000))*COS(SQRT((Scenario_Data!U238)^2+Inputs!$C$6^2)/Inputs!$C$52))*1000)/Inputs!$C$21*1000000</f>
        <v/>
      </c>
      <c r="AT238">
        <f>Scenario_Data!V238</f>
        <v/>
      </c>
      <c r="AU238">
        <f>2*(SQRT((Inputs!$C$52+(Scenario_Data!D238))^2+(Inputs!$C$52+((IF(OR(Inputs!$C$27=TRUE,Inputs!$C$27="TRUE",Inputs!$C$27=1),1,0)*(Inputs!$C$51*(115*EXP(-(((Inputs!$C$6)-25)^2)/(4.5^2))+70*EXP(-(((Inputs!$C$6)+38)^2)/(7^2))*(0.55+0.45*SIN(2*PI()*(Scenario_Data!V238)/45))+24*SIN(2*PI()*(Inputs!$C$6)/9+(Scenario_Data!V238)/18)*EXP(-(((Inputs!$C$6)+5)^2)/(22^2))+18*SIN(2*PI()*(Scenario_Data!V238)/70))+Inputs!$C$28*EXP(-(((Scenario_Data!V238)-Inputs!$C$29)^2)/(2*Inputs!$C$31^2))*EXP(-(((Inputs!$C$6)-Inputs!$C$30)^2)/(2*Inputs!$C$32^2))+-Inputs!$C$33*EXP(-(((((Scenario_Data!V238)-Inputs!$C$34)^2)+(((Inputs!$C$6)-Inputs!$C$35)^2))/(2*Inputs!$C$36^2)))+Inputs!$C$37*(0.55*SIN(2*PI()*(Scenario_Data!V238)/Inputs!$C$39)+0.35*COS(2*PI()*(Inputs!$C$6)/Inputs!$C$40)+0.2*SIN(2*PI()*((Scenario_Data!V238)+(Inputs!$C$6))/(0.5*(Inputs!$C$39+Inputs!$C$40))))+Inputs!$C$38*SIN(2*PI()*(Scenario_Data!V238)/Inputs!$C$39)*SIN(2*PI()*(Inputs!$C$6)/Inputs!$C$40)+-Inputs!$C$41*EXP(-(((Inputs!$C$6)-Inputs!$C$43)^2)/(2*Inputs!$C$44^2))*EXP(-(((Scenario_Data!V238)-Inputs!$C$42)^2)/(2*Inputs!$C$45^2))+Inputs!$C$48*(0.7*(0.45*SIN(2*PI()*(((Scenario_Data!V238)/Inputs!$C$49)+Inputs!$C$47*0.137))+0.35*COS(2*PI()*(((Inputs!$C$6)/Inputs!$C$50)+Inputs!$C$47*0.173))+0.2*SIN(2*PI()*((((Scenario_Data!V238)+(Inputs!$C$6))/(0.5*(Inputs!$C$49+Inputs!$C$50)))+Inputs!$C$47*0.097)))+0.3*(2*((SIN(((Scenario_Data!V238)*12.9898+(Inputs!$C$6)*78.233+Inputs!$C$47*37.719))*43758.5453)-INT((SIN(((Scenario_Data!V238)*12.9898+(Inputs!$C$6)*78.233+Inputs!$C$47*37.719))*43758.5453)))-1))))/1000))^2-2*(Inputs!$C$52+(Scenario_Data!D238))*(Inputs!$C$52+((IF(OR(Inputs!$C$27=TRUE,Inputs!$C$27="TRUE",Inputs!$C$27=1),1,0)*(Inputs!$C$51*(115*EXP(-(((Inputs!$C$6)-25)^2)/(4.5^2))+70*EXP(-(((Inputs!$C$6)+38)^2)/(7^2))*(0.55+0.45*SIN(2*PI()*(Scenario_Data!V238)/45))+24*SIN(2*PI()*(Inputs!$C$6)/9+(Scenario_Data!V238)/18)*EXP(-(((Inputs!$C$6)+5)^2)/(22^2))+18*SIN(2*PI()*(Scenario_Data!V238)/70))+Inputs!$C$28*EXP(-(((Scenario_Data!V238)-Inputs!$C$29)^2)/(2*Inputs!$C$31^2))*EXP(-(((Inputs!$C$6)-Inputs!$C$30)^2)/(2*Inputs!$C$32^2))+-Inputs!$C$33*EXP(-(((((Scenario_Data!V238)-Inputs!$C$34)^2)+(((Inputs!$C$6)-Inputs!$C$35)^2))/(2*Inputs!$C$36^2)))+Inputs!$C$37*(0.55*SIN(2*PI()*(Scenario_Data!V238)/Inputs!$C$39)+0.35*COS(2*PI()*(Inputs!$C$6)/Inputs!$C$40)+0.2*SIN(2*PI()*((Scenario_Data!V238)+(Inputs!$C$6))/(0.5*(Inputs!$C$39+Inputs!$C$40))))+Inputs!$C$38*SIN(2*PI()*(Scenario_Data!V238)/Inputs!$C$39)*SIN(2*PI()*(Inputs!$C$6)/Inputs!$C$40)+-Inputs!$C$41*EXP(-(((Inputs!$C$6)-Inputs!$C$43)^2)/(2*Inputs!$C$44^2))*EXP(-(((Scenario_Data!V238)-Inputs!$C$42)^2)/(2*Inputs!$C$45^2))+Inputs!$C$48*(0.7*(0.45*SIN(2*PI()*(((Scenario_Data!V238)/Inputs!$C$49)+Inputs!$C$47*0.137))+0.35*COS(2*PI()*(((Inputs!$C$6)/Inputs!$C$50)+Inputs!$C$47*0.173))+0.2*SIN(2*PI()*((((Scenario_Data!V238)+(Inputs!$C$6))/(0.5*(Inputs!$C$49+Inputs!$C$50)))+Inputs!$C$47*0.097)))+0.3*(2*((SIN(((Scenario_Data!V238)*12.9898+(Inputs!$C$6)*78.233+Inputs!$C$47*37.719))*43758.5453)-INT((SIN(((Scenario_Data!V238)*12.9898+(Inputs!$C$6)*78.233+Inputs!$C$47*37.719))*43758.5453)))-1))))/1000))*COS(SQRT((Scenario_Data!V238)^2+Inputs!$C$6^2)/Inputs!$C$52))*1000)/Inputs!$C$21*1000000</f>
        <v/>
      </c>
      <c r="AV238">
        <f>Scenario_Data!W238</f>
        <v/>
      </c>
      <c r="AW238">
        <f>2*(SQRT((Inputs!$C$52+(Scenario_Data!E238))^2+(Inputs!$C$52+((IF(OR(Inputs!$C$27=TRUE,Inputs!$C$27="TRUE",Inputs!$C$27=1),1,0)*(Inputs!$C$51*(115*EXP(-(((Inputs!$C$6)-25)^2)/(4.5^2))+70*EXP(-(((Inputs!$C$6)+38)^2)/(7^2))*(0.55+0.45*SIN(2*PI()*(Scenario_Data!W238)/45))+24*SIN(2*PI()*(Inputs!$C$6)/9+(Scenario_Data!W238)/18)*EXP(-(((Inputs!$C$6)+5)^2)/(22^2))+18*SIN(2*PI()*(Scenario_Data!W238)/70))+Inputs!$C$28*EXP(-(((Scenario_Data!W238)-Inputs!$C$29)^2)/(2*Inputs!$C$31^2))*EXP(-(((Inputs!$C$6)-Inputs!$C$30)^2)/(2*Inputs!$C$32^2))+-Inputs!$C$33*EXP(-(((((Scenario_Data!W238)-Inputs!$C$34)^2)+(((Inputs!$C$6)-Inputs!$C$35)^2))/(2*Inputs!$C$36^2)))+Inputs!$C$37*(0.55*SIN(2*PI()*(Scenario_Data!W238)/Inputs!$C$39)+0.35*COS(2*PI()*(Inputs!$C$6)/Inputs!$C$40)+0.2*SIN(2*PI()*((Scenario_Data!W238)+(Inputs!$C$6))/(0.5*(Inputs!$C$39+Inputs!$C$40))))+Inputs!$C$38*SIN(2*PI()*(Scenario_Data!W238)/Inputs!$C$39)*SIN(2*PI()*(Inputs!$C$6)/Inputs!$C$40)+-Inputs!$C$41*EXP(-(((Inputs!$C$6)-Inputs!$C$43)^2)/(2*Inputs!$C$44^2))*EXP(-(((Scenario_Data!W238)-Inputs!$C$42)^2)/(2*Inputs!$C$45^2))+Inputs!$C$48*(0.7*(0.45*SIN(2*PI()*(((Scenario_Data!W238)/Inputs!$C$49)+Inputs!$C$47*0.137))+0.35*COS(2*PI()*(((Inputs!$C$6)/Inputs!$C$50)+Inputs!$C$47*0.173))+0.2*SIN(2*PI()*((((Scenario_Data!W238)+(Inputs!$C$6))/(0.5*(Inputs!$C$49+Inputs!$C$50)))+Inputs!$C$47*0.097)))+0.3*(2*((SIN(((Scenario_Data!W238)*12.9898+(Inputs!$C$6)*78.233+Inputs!$C$47*37.719))*43758.5453)-INT((SIN(((Scenario_Data!W238)*12.9898+(Inputs!$C$6)*78.233+Inputs!$C$47*37.719))*43758.5453)))-1))))/1000))^2-2*(Inputs!$C$52+(Scenario_Data!E238))*(Inputs!$C$52+((IF(OR(Inputs!$C$27=TRUE,Inputs!$C$27="TRUE",Inputs!$C$27=1),1,0)*(Inputs!$C$51*(115*EXP(-(((Inputs!$C$6)-25)^2)/(4.5^2))+70*EXP(-(((Inputs!$C$6)+38)^2)/(7^2))*(0.55+0.45*SIN(2*PI()*(Scenario_Data!W238)/45))+24*SIN(2*PI()*(Inputs!$C$6)/9+(Scenario_Data!W238)/18)*EXP(-(((Inputs!$C$6)+5)^2)/(22^2))+18*SIN(2*PI()*(Scenario_Data!W238)/70))+Inputs!$C$28*EXP(-(((Scenario_Data!W238)-Inputs!$C$29)^2)/(2*Inputs!$C$31^2))*EXP(-(((Inputs!$C$6)-Inputs!$C$30)^2)/(2*Inputs!$C$32^2))+-Inputs!$C$33*EXP(-(((((Scenario_Data!W238)-Inputs!$C$34)^2)+(((Inputs!$C$6)-Inputs!$C$35)^2))/(2*Inputs!$C$36^2)))+Inputs!$C$37*(0.55*SIN(2*PI()*(Scenario_Data!W238)/Inputs!$C$39)+0.35*COS(2*PI()*(Inputs!$C$6)/Inputs!$C$40)+0.2*SIN(2*PI()*((Scenario_Data!W238)+(Inputs!$C$6))/(0.5*(Inputs!$C$39+Inputs!$C$40))))+Inputs!$C$38*SIN(2*PI()*(Scenario_Data!W238)/Inputs!$C$39)*SIN(2*PI()*(Inputs!$C$6)/Inputs!$C$40)+-Inputs!$C$41*EXP(-(((Inputs!$C$6)-Inputs!$C$43)^2)/(2*Inputs!$C$44^2))*EXP(-(((Scenario_Data!W238)-Inputs!$C$42)^2)/(2*Inputs!$C$45^2))+Inputs!$C$48*(0.7*(0.45*SIN(2*PI()*(((Scenario_Data!W238)/Inputs!$C$49)+Inputs!$C$47*0.137))+0.35*COS(2*PI()*(((Inputs!$C$6)/Inputs!$C$50)+Inputs!$C$47*0.173))+0.2*SIN(2*PI()*((((Scenario_Data!W238)+(Inputs!$C$6))/(0.5*(Inputs!$C$49+Inputs!$C$50)))+Inputs!$C$47*0.097)))+0.3*(2*((SIN(((Scenario_Data!W238)*12.9898+(Inputs!$C$6)*78.233+Inputs!$C$47*37.719))*43758.5453)-INT((SIN(((Scenario_Data!W238)*12.9898+(Inputs!$C$6)*78.233+Inputs!$C$47*37.719))*43758.5453)))-1))))/1000))*COS(SQRT((Scenario_Data!W238)^2+Inputs!$C$6^2)/Inputs!$C$52))*1000)/Inputs!$C$21*1000000</f>
        <v/>
      </c>
    </row>
    <row r="239">
      <c r="A239">
        <f>Chart_Data!K239</f>
        <v/>
      </c>
      <c r="B239">
        <f>Chart_Data!N239-Chart_Data!L239</f>
        <v/>
      </c>
      <c r="D239">
        <f>Chart_Data!G239</f>
        <v/>
      </c>
      <c r="E239">
        <f>Chart_Data!H239</f>
        <v/>
      </c>
      <c r="F239">
        <f>Chart_Data!I239</f>
        <v/>
      </c>
      <c r="G239">
        <f>Chart_Data!J239</f>
        <v/>
      </c>
      <c r="I239">
        <f>Scenario_Data!A239</f>
        <v/>
      </c>
      <c r="J239">
        <f>Scenario_Data!H239-(((SQRT((Inputs!$C$52+(Inputs!$H$6))^2+Inputs!$C$52^2-2*(Inputs!$C$52+(Inputs!$H$6))*Inputs!$C$52*COS(SQRT((Scenario_Data!T239)^2+Inputs!$C$6^2)/Inputs!$C$52)))-(Inputs!$H$6))*1000/Inputs!$C$12)</f>
        <v/>
      </c>
      <c r="K239">
        <f>Scenario_Data!I239-(((SQRT((Inputs!$C$52+(Inputs!$H$7))^2+Inputs!$C$52^2-2*(Inputs!$C$52+(Inputs!$H$7))*Inputs!$C$52*COS(SQRT((Scenario_Data!U239)^2+Inputs!$C$6^2)/Inputs!$C$52)))-(Inputs!$H$7))*1000/Inputs!$C$12)</f>
        <v/>
      </c>
      <c r="L239">
        <f>Scenario_Data!J239-(((SQRT((Inputs!$C$52+(Inputs!$H$8))^2+Inputs!$C$52^2-2*(Inputs!$C$52+(Inputs!$H$8))*Inputs!$C$52*COS(SQRT((Scenario_Data!V239)^2+Inputs!$C$6^2)/Inputs!$C$52)))-(Inputs!$H$8))*1000/Inputs!$C$12)</f>
        <v/>
      </c>
      <c r="M239">
        <f>Scenario_Data!K239-(((SQRT((Inputs!$C$52+(Inputs!$H$9))^2+Inputs!$C$52^2-2*(Inputs!$C$52+(Inputs!$H$9))*Inputs!$C$52*COS(SQRT((Scenario_Data!W239)^2+Inputs!$C$6^2)/Inputs!$C$52)))-(Inputs!$H$9))*1000/Inputs!$C$12)</f>
        <v/>
      </c>
      <c r="O239">
        <f>Scenario_Data!T239</f>
        <v/>
      </c>
      <c r="P239">
        <f>2*(Scenario_Data!B239*1000)/Inputs!$C$21*1000000</f>
        <v/>
      </c>
      <c r="Q239">
        <f>Scenario_Data!U239</f>
        <v/>
      </c>
      <c r="R239">
        <f>2*(Scenario_Data!C239*1000)/Inputs!$C$21*1000000</f>
        <v/>
      </c>
      <c r="S239">
        <f>Scenario_Data!V239</f>
        <v/>
      </c>
      <c r="T239">
        <f>2*(Scenario_Data!D239*1000)/Inputs!$C$21*1000000</f>
        <v/>
      </c>
      <c r="U239">
        <f>Scenario_Data!W239</f>
        <v/>
      </c>
      <c r="V239">
        <f>2*(Scenario_Data!E239*1000)/Inputs!$C$21*1000000</f>
        <v/>
      </c>
      <c r="X239">
        <f>Scenario_Data!T239</f>
        <v/>
      </c>
      <c r="Y239">
        <f>2*((Scenario_Data!B239*1000)-(IF(OR(Inputs!$C$27=TRUE,Inputs!$C$27="TRUE",Inputs!$C$27=1),1,0)*(Inputs!$C$51*(115*EXP(-(((0)-25)^2)/(4.5^2))+70*EXP(-(((0)+38)^2)/(7^2))*(0.55+0.45*SIN(2*PI()*(Scenario_Data!T239)/45))+24*SIN(2*PI()*(0)/9+(Scenario_Data!T239)/18)*EXP(-(((0)+5)^2)/(22^2))+18*SIN(2*PI()*(Scenario_Data!T239)/70))+Inputs!$C$28*EXP(-(((Scenario_Data!T239)-Inputs!$C$29)^2)/(2*Inputs!$C$31^2))*EXP(-(((0)-Inputs!$C$30)^2)/(2*Inputs!$C$32^2))+-Inputs!$C$33*EXP(-(((((Scenario_Data!T239)-Inputs!$C$34)^2)+(((0)-Inputs!$C$35)^2))/(2*Inputs!$C$36^2)))+Inputs!$C$37*(0.55*SIN(2*PI()*(Scenario_Data!T239)/Inputs!$C$39)+0.35*COS(2*PI()*(0)/Inputs!$C$40)+0.2*SIN(2*PI()*((Scenario_Data!T239)+(0))/(0.5*(Inputs!$C$39+Inputs!$C$40))))+Inputs!$C$38*SIN(2*PI()*(Scenario_Data!T239)/Inputs!$C$39)*SIN(2*PI()*(0)/Inputs!$C$40)+-Inputs!$C$41*EXP(-(((0)-Inputs!$C$43)^2)/(2*Inputs!$C$44^2))*EXP(-(((Scenario_Data!T239)-Inputs!$C$42)^2)/(2*Inputs!$C$45^2))+Inputs!$C$48*(0.7*(0.45*SIN(2*PI()*(((Scenario_Data!T239)/Inputs!$C$49)+Inputs!$C$47*0.137))+0.35*COS(2*PI()*(((0)/Inputs!$C$50)+Inputs!$C$47*0.173))+0.2*SIN(2*PI()*((((Scenario_Data!T239)+(0))/(0.5*(Inputs!$C$49+Inputs!$C$50)))+Inputs!$C$47*0.097)))+0.3*(2*((SIN(((Scenario_Data!T239)*12.9898+(0)*78.233+Inputs!$C$47*37.719))*43758.5453)-INT((SIN(((Scenario_Data!T239)*12.9898+(0)*78.233+Inputs!$C$47*37.719))*43758.5453)))-1)))))/Inputs!$C$21*1000000</f>
        <v/>
      </c>
      <c r="Z239">
        <f>Scenario_Data!U239</f>
        <v/>
      </c>
      <c r="AA239">
        <f>2*((Scenario_Data!C239*1000)-(IF(OR(Inputs!$C$27=TRUE,Inputs!$C$27="TRUE",Inputs!$C$27=1),1,0)*(Inputs!$C$51*(115*EXP(-(((0)-25)^2)/(4.5^2))+70*EXP(-(((0)+38)^2)/(7^2))*(0.55+0.45*SIN(2*PI()*(Scenario_Data!U239)/45))+24*SIN(2*PI()*(0)/9+(Scenario_Data!U239)/18)*EXP(-(((0)+5)^2)/(22^2))+18*SIN(2*PI()*(Scenario_Data!U239)/70))+Inputs!$C$28*EXP(-(((Scenario_Data!U239)-Inputs!$C$29)^2)/(2*Inputs!$C$31^2))*EXP(-(((0)-Inputs!$C$30)^2)/(2*Inputs!$C$32^2))+-Inputs!$C$33*EXP(-(((((Scenario_Data!U239)-Inputs!$C$34)^2)+(((0)-Inputs!$C$35)^2))/(2*Inputs!$C$36^2)))+Inputs!$C$37*(0.55*SIN(2*PI()*(Scenario_Data!U239)/Inputs!$C$39)+0.35*COS(2*PI()*(0)/Inputs!$C$40)+0.2*SIN(2*PI()*((Scenario_Data!U239)+(0))/(0.5*(Inputs!$C$39+Inputs!$C$40))))+Inputs!$C$38*SIN(2*PI()*(Scenario_Data!U239)/Inputs!$C$39)*SIN(2*PI()*(0)/Inputs!$C$40)+-Inputs!$C$41*EXP(-(((0)-Inputs!$C$43)^2)/(2*Inputs!$C$44^2))*EXP(-(((Scenario_Data!U239)-Inputs!$C$42)^2)/(2*Inputs!$C$45^2))+Inputs!$C$48*(0.7*(0.45*SIN(2*PI()*(((Scenario_Data!U239)/Inputs!$C$49)+Inputs!$C$47*0.137))+0.35*COS(2*PI()*(((0)/Inputs!$C$50)+Inputs!$C$47*0.173))+0.2*SIN(2*PI()*((((Scenario_Data!U239)+(0))/(0.5*(Inputs!$C$49+Inputs!$C$50)))+Inputs!$C$47*0.097)))+0.3*(2*((SIN(((Scenario_Data!U239)*12.9898+(0)*78.233+Inputs!$C$47*37.719))*43758.5453)-INT((SIN(((Scenario_Data!U239)*12.9898+(0)*78.233+Inputs!$C$47*37.719))*43758.5453)))-1)))))/Inputs!$C$21*1000000</f>
        <v/>
      </c>
      <c r="AB239">
        <f>Scenario_Data!V239</f>
        <v/>
      </c>
      <c r="AC239">
        <f>2*((Scenario_Data!D239*1000)-(IF(OR(Inputs!$C$27=TRUE,Inputs!$C$27="TRUE",Inputs!$C$27=1),1,0)*(Inputs!$C$51*(115*EXP(-(((0)-25)^2)/(4.5^2))+70*EXP(-(((0)+38)^2)/(7^2))*(0.55+0.45*SIN(2*PI()*(Scenario_Data!V239)/45))+24*SIN(2*PI()*(0)/9+(Scenario_Data!V239)/18)*EXP(-(((0)+5)^2)/(22^2))+18*SIN(2*PI()*(Scenario_Data!V239)/70))+Inputs!$C$28*EXP(-(((Scenario_Data!V239)-Inputs!$C$29)^2)/(2*Inputs!$C$31^2))*EXP(-(((0)-Inputs!$C$30)^2)/(2*Inputs!$C$32^2))+-Inputs!$C$33*EXP(-(((((Scenario_Data!V239)-Inputs!$C$34)^2)+(((0)-Inputs!$C$35)^2))/(2*Inputs!$C$36^2)))+Inputs!$C$37*(0.55*SIN(2*PI()*(Scenario_Data!V239)/Inputs!$C$39)+0.35*COS(2*PI()*(0)/Inputs!$C$40)+0.2*SIN(2*PI()*((Scenario_Data!V239)+(0))/(0.5*(Inputs!$C$39+Inputs!$C$40))))+Inputs!$C$38*SIN(2*PI()*(Scenario_Data!V239)/Inputs!$C$39)*SIN(2*PI()*(0)/Inputs!$C$40)+-Inputs!$C$41*EXP(-(((0)-Inputs!$C$43)^2)/(2*Inputs!$C$44^2))*EXP(-(((Scenario_Data!V239)-Inputs!$C$42)^2)/(2*Inputs!$C$45^2))+Inputs!$C$48*(0.7*(0.45*SIN(2*PI()*(((Scenario_Data!V239)/Inputs!$C$49)+Inputs!$C$47*0.137))+0.35*COS(2*PI()*(((0)/Inputs!$C$50)+Inputs!$C$47*0.173))+0.2*SIN(2*PI()*((((Scenario_Data!V239)+(0))/(0.5*(Inputs!$C$49+Inputs!$C$50)))+Inputs!$C$47*0.097)))+0.3*(2*((SIN(((Scenario_Data!V239)*12.9898+(0)*78.233+Inputs!$C$47*37.719))*43758.5453)-INT((SIN(((Scenario_Data!V239)*12.9898+(0)*78.233+Inputs!$C$47*37.719))*43758.5453)))-1)))))/Inputs!$C$21*1000000</f>
        <v/>
      </c>
      <c r="AD239">
        <f>Scenario_Data!W239</f>
        <v/>
      </c>
      <c r="AE239">
        <f>2*((Scenario_Data!E239*1000)-(IF(OR(Inputs!$C$27=TRUE,Inputs!$C$27="TRUE",Inputs!$C$27=1),1,0)*(Inputs!$C$51*(115*EXP(-(((0)-25)^2)/(4.5^2))+70*EXP(-(((0)+38)^2)/(7^2))*(0.55+0.45*SIN(2*PI()*(Scenario_Data!W239)/45))+24*SIN(2*PI()*(0)/9+(Scenario_Data!W239)/18)*EXP(-(((0)+5)^2)/(22^2))+18*SIN(2*PI()*(Scenario_Data!W239)/70))+Inputs!$C$28*EXP(-(((Scenario_Data!W239)-Inputs!$C$29)^2)/(2*Inputs!$C$31^2))*EXP(-(((0)-Inputs!$C$30)^2)/(2*Inputs!$C$32^2))+-Inputs!$C$33*EXP(-(((((Scenario_Data!W239)-Inputs!$C$34)^2)+(((0)-Inputs!$C$35)^2))/(2*Inputs!$C$36^2)))+Inputs!$C$37*(0.55*SIN(2*PI()*(Scenario_Data!W239)/Inputs!$C$39)+0.35*COS(2*PI()*(0)/Inputs!$C$40)+0.2*SIN(2*PI()*((Scenario_Data!W239)+(0))/(0.5*(Inputs!$C$39+Inputs!$C$40))))+Inputs!$C$38*SIN(2*PI()*(Scenario_Data!W239)/Inputs!$C$39)*SIN(2*PI()*(0)/Inputs!$C$40)+-Inputs!$C$41*EXP(-(((0)-Inputs!$C$43)^2)/(2*Inputs!$C$44^2))*EXP(-(((Scenario_Data!W239)-Inputs!$C$42)^2)/(2*Inputs!$C$45^2))+Inputs!$C$48*(0.7*(0.45*SIN(2*PI()*(((Scenario_Data!W239)/Inputs!$C$49)+Inputs!$C$47*0.137))+0.35*COS(2*PI()*(((0)/Inputs!$C$50)+Inputs!$C$47*0.173))+0.2*SIN(2*PI()*((((Scenario_Data!W239)+(0))/(0.5*(Inputs!$C$49+Inputs!$C$50)))+Inputs!$C$47*0.097)))+0.3*(2*((SIN(((Scenario_Data!W239)*12.9898+(0)*78.233+Inputs!$C$47*37.719))*43758.5453)-INT((SIN(((Scenario_Data!W239)*12.9898+(0)*78.233+Inputs!$C$47*37.719))*43758.5453)))-1)))))/Inputs!$C$21*1000000</f>
        <v/>
      </c>
      <c r="AG239">
        <f>Scenario_Data!T239</f>
        <v/>
      </c>
      <c r="AH239">
        <f>2*(SQRT((Inputs!$C$52+(Scenario_Data!B239))^2+Inputs!$C$52^2-2*(Inputs!$C$52+(Scenario_Data!B239))*Inputs!$C$52*COS(SQRT((Scenario_Data!T239)^2+Inputs!$C$6^2)/Inputs!$C$52))*1000)/Inputs!$C$21*1000000</f>
        <v/>
      </c>
      <c r="AI239">
        <f>Scenario_Data!U239</f>
        <v/>
      </c>
      <c r="AJ239">
        <f>2*(SQRT((Inputs!$C$52+(Scenario_Data!C239))^2+Inputs!$C$52^2-2*(Inputs!$C$52+(Scenario_Data!C239))*Inputs!$C$52*COS(SQRT((Scenario_Data!U239)^2+Inputs!$C$6^2)/Inputs!$C$52))*1000)/Inputs!$C$21*1000000</f>
        <v/>
      </c>
      <c r="AK239">
        <f>Scenario_Data!V239</f>
        <v/>
      </c>
      <c r="AL239">
        <f>2*(SQRT((Inputs!$C$52+(Scenario_Data!D239))^2+Inputs!$C$52^2-2*(Inputs!$C$52+(Scenario_Data!D239))*Inputs!$C$52*COS(SQRT((Scenario_Data!V239)^2+Inputs!$C$6^2)/Inputs!$C$52))*1000)/Inputs!$C$21*1000000</f>
        <v/>
      </c>
      <c r="AM239">
        <f>Scenario_Data!W239</f>
        <v/>
      </c>
      <c r="AN239">
        <f>2*(SQRT((Inputs!$C$52+(Scenario_Data!E239))^2+Inputs!$C$52^2-2*(Inputs!$C$52+(Scenario_Data!E239))*Inputs!$C$52*COS(SQRT((Scenario_Data!W239)^2+Inputs!$C$6^2)/Inputs!$C$52))*1000)/Inputs!$C$21*1000000</f>
        <v/>
      </c>
      <c r="AP239">
        <f>Scenario_Data!T239</f>
        <v/>
      </c>
      <c r="AQ239">
        <f>2*(SQRT((Inputs!$C$52+(Scenario_Data!B239))^2+(Inputs!$C$52+((IF(OR(Inputs!$C$27=TRUE,Inputs!$C$27="TRUE",Inputs!$C$27=1),1,0)*(Inputs!$C$51*(115*EXP(-(((Inputs!$C$6)-25)^2)/(4.5^2))+70*EXP(-(((Inputs!$C$6)+38)^2)/(7^2))*(0.55+0.45*SIN(2*PI()*(Scenario_Data!T239)/45))+24*SIN(2*PI()*(Inputs!$C$6)/9+(Scenario_Data!T239)/18)*EXP(-(((Inputs!$C$6)+5)^2)/(22^2))+18*SIN(2*PI()*(Scenario_Data!T239)/70))+Inputs!$C$28*EXP(-(((Scenario_Data!T239)-Inputs!$C$29)^2)/(2*Inputs!$C$31^2))*EXP(-(((Inputs!$C$6)-Inputs!$C$30)^2)/(2*Inputs!$C$32^2))+-Inputs!$C$33*EXP(-(((((Scenario_Data!T239)-Inputs!$C$34)^2)+(((Inputs!$C$6)-Inputs!$C$35)^2))/(2*Inputs!$C$36^2)))+Inputs!$C$37*(0.55*SIN(2*PI()*(Scenario_Data!T239)/Inputs!$C$39)+0.35*COS(2*PI()*(Inputs!$C$6)/Inputs!$C$40)+0.2*SIN(2*PI()*((Scenario_Data!T239)+(Inputs!$C$6))/(0.5*(Inputs!$C$39+Inputs!$C$40))))+Inputs!$C$38*SIN(2*PI()*(Scenario_Data!T239)/Inputs!$C$39)*SIN(2*PI()*(Inputs!$C$6)/Inputs!$C$40)+-Inputs!$C$41*EXP(-(((Inputs!$C$6)-Inputs!$C$43)^2)/(2*Inputs!$C$44^2))*EXP(-(((Scenario_Data!T239)-Inputs!$C$42)^2)/(2*Inputs!$C$45^2))+Inputs!$C$48*(0.7*(0.45*SIN(2*PI()*(((Scenario_Data!T239)/Inputs!$C$49)+Inputs!$C$47*0.137))+0.35*COS(2*PI()*(((Inputs!$C$6)/Inputs!$C$50)+Inputs!$C$47*0.173))+0.2*SIN(2*PI()*((((Scenario_Data!T239)+(Inputs!$C$6))/(0.5*(Inputs!$C$49+Inputs!$C$50)))+Inputs!$C$47*0.097)))+0.3*(2*((SIN(((Scenario_Data!T239)*12.9898+(Inputs!$C$6)*78.233+Inputs!$C$47*37.719))*43758.5453)-INT((SIN(((Scenario_Data!T239)*12.9898+(Inputs!$C$6)*78.233+Inputs!$C$47*37.719))*43758.5453)))-1))))/1000))^2-2*(Inputs!$C$52+(Scenario_Data!B239))*(Inputs!$C$52+((IF(OR(Inputs!$C$27=TRUE,Inputs!$C$27="TRUE",Inputs!$C$27=1),1,0)*(Inputs!$C$51*(115*EXP(-(((Inputs!$C$6)-25)^2)/(4.5^2))+70*EXP(-(((Inputs!$C$6)+38)^2)/(7^2))*(0.55+0.45*SIN(2*PI()*(Scenario_Data!T239)/45))+24*SIN(2*PI()*(Inputs!$C$6)/9+(Scenario_Data!T239)/18)*EXP(-(((Inputs!$C$6)+5)^2)/(22^2))+18*SIN(2*PI()*(Scenario_Data!T239)/70))+Inputs!$C$28*EXP(-(((Scenario_Data!T239)-Inputs!$C$29)^2)/(2*Inputs!$C$31^2))*EXP(-(((Inputs!$C$6)-Inputs!$C$30)^2)/(2*Inputs!$C$32^2))+-Inputs!$C$33*EXP(-(((((Scenario_Data!T239)-Inputs!$C$34)^2)+(((Inputs!$C$6)-Inputs!$C$35)^2))/(2*Inputs!$C$36^2)))+Inputs!$C$37*(0.55*SIN(2*PI()*(Scenario_Data!T239)/Inputs!$C$39)+0.35*COS(2*PI()*(Inputs!$C$6)/Inputs!$C$40)+0.2*SIN(2*PI()*((Scenario_Data!T239)+(Inputs!$C$6))/(0.5*(Inputs!$C$39+Inputs!$C$40))))+Inputs!$C$38*SIN(2*PI()*(Scenario_Data!T239)/Inputs!$C$39)*SIN(2*PI()*(Inputs!$C$6)/Inputs!$C$40)+-Inputs!$C$41*EXP(-(((Inputs!$C$6)-Inputs!$C$43)^2)/(2*Inputs!$C$44^2))*EXP(-(((Scenario_Data!T239)-Inputs!$C$42)^2)/(2*Inputs!$C$45^2))+Inputs!$C$48*(0.7*(0.45*SIN(2*PI()*(((Scenario_Data!T239)/Inputs!$C$49)+Inputs!$C$47*0.137))+0.35*COS(2*PI()*(((Inputs!$C$6)/Inputs!$C$50)+Inputs!$C$47*0.173))+0.2*SIN(2*PI()*((((Scenario_Data!T239)+(Inputs!$C$6))/(0.5*(Inputs!$C$49+Inputs!$C$50)))+Inputs!$C$47*0.097)))+0.3*(2*((SIN(((Scenario_Data!T239)*12.9898+(Inputs!$C$6)*78.233+Inputs!$C$47*37.719))*43758.5453)-INT((SIN(((Scenario_Data!T239)*12.9898+(Inputs!$C$6)*78.233+Inputs!$C$47*37.719))*43758.5453)))-1))))/1000))*COS(SQRT((Scenario_Data!T239)^2+Inputs!$C$6^2)/Inputs!$C$52))*1000)/Inputs!$C$21*1000000</f>
        <v/>
      </c>
      <c r="AR239">
        <f>Scenario_Data!U239</f>
        <v/>
      </c>
      <c r="AS239">
        <f>2*(SQRT((Inputs!$C$52+(Scenario_Data!C239))^2+(Inputs!$C$52+((IF(OR(Inputs!$C$27=TRUE,Inputs!$C$27="TRUE",Inputs!$C$27=1),1,0)*(Inputs!$C$51*(115*EXP(-(((Inputs!$C$6)-25)^2)/(4.5^2))+70*EXP(-(((Inputs!$C$6)+38)^2)/(7^2))*(0.55+0.45*SIN(2*PI()*(Scenario_Data!U239)/45))+24*SIN(2*PI()*(Inputs!$C$6)/9+(Scenario_Data!U239)/18)*EXP(-(((Inputs!$C$6)+5)^2)/(22^2))+18*SIN(2*PI()*(Scenario_Data!U239)/70))+Inputs!$C$28*EXP(-(((Scenario_Data!U239)-Inputs!$C$29)^2)/(2*Inputs!$C$31^2))*EXP(-(((Inputs!$C$6)-Inputs!$C$30)^2)/(2*Inputs!$C$32^2))+-Inputs!$C$33*EXP(-(((((Scenario_Data!U239)-Inputs!$C$34)^2)+(((Inputs!$C$6)-Inputs!$C$35)^2))/(2*Inputs!$C$36^2)))+Inputs!$C$37*(0.55*SIN(2*PI()*(Scenario_Data!U239)/Inputs!$C$39)+0.35*COS(2*PI()*(Inputs!$C$6)/Inputs!$C$40)+0.2*SIN(2*PI()*((Scenario_Data!U239)+(Inputs!$C$6))/(0.5*(Inputs!$C$39+Inputs!$C$40))))+Inputs!$C$38*SIN(2*PI()*(Scenario_Data!U239)/Inputs!$C$39)*SIN(2*PI()*(Inputs!$C$6)/Inputs!$C$40)+-Inputs!$C$41*EXP(-(((Inputs!$C$6)-Inputs!$C$43)^2)/(2*Inputs!$C$44^2))*EXP(-(((Scenario_Data!U239)-Inputs!$C$42)^2)/(2*Inputs!$C$45^2))+Inputs!$C$48*(0.7*(0.45*SIN(2*PI()*(((Scenario_Data!U239)/Inputs!$C$49)+Inputs!$C$47*0.137))+0.35*COS(2*PI()*(((Inputs!$C$6)/Inputs!$C$50)+Inputs!$C$47*0.173))+0.2*SIN(2*PI()*((((Scenario_Data!U239)+(Inputs!$C$6))/(0.5*(Inputs!$C$49+Inputs!$C$50)))+Inputs!$C$47*0.097)))+0.3*(2*((SIN(((Scenario_Data!U239)*12.9898+(Inputs!$C$6)*78.233+Inputs!$C$47*37.719))*43758.5453)-INT((SIN(((Scenario_Data!U239)*12.9898+(Inputs!$C$6)*78.233+Inputs!$C$47*37.719))*43758.5453)))-1))))/1000))^2-2*(Inputs!$C$52+(Scenario_Data!C239))*(Inputs!$C$52+((IF(OR(Inputs!$C$27=TRUE,Inputs!$C$27="TRUE",Inputs!$C$27=1),1,0)*(Inputs!$C$51*(115*EXP(-(((Inputs!$C$6)-25)^2)/(4.5^2))+70*EXP(-(((Inputs!$C$6)+38)^2)/(7^2))*(0.55+0.45*SIN(2*PI()*(Scenario_Data!U239)/45))+24*SIN(2*PI()*(Inputs!$C$6)/9+(Scenario_Data!U239)/18)*EXP(-(((Inputs!$C$6)+5)^2)/(22^2))+18*SIN(2*PI()*(Scenario_Data!U239)/70))+Inputs!$C$28*EXP(-(((Scenario_Data!U239)-Inputs!$C$29)^2)/(2*Inputs!$C$31^2))*EXP(-(((Inputs!$C$6)-Inputs!$C$30)^2)/(2*Inputs!$C$32^2))+-Inputs!$C$33*EXP(-(((((Scenario_Data!U239)-Inputs!$C$34)^2)+(((Inputs!$C$6)-Inputs!$C$35)^2))/(2*Inputs!$C$36^2)))+Inputs!$C$37*(0.55*SIN(2*PI()*(Scenario_Data!U239)/Inputs!$C$39)+0.35*COS(2*PI()*(Inputs!$C$6)/Inputs!$C$40)+0.2*SIN(2*PI()*((Scenario_Data!U239)+(Inputs!$C$6))/(0.5*(Inputs!$C$39+Inputs!$C$40))))+Inputs!$C$38*SIN(2*PI()*(Scenario_Data!U239)/Inputs!$C$39)*SIN(2*PI()*(Inputs!$C$6)/Inputs!$C$40)+-Inputs!$C$41*EXP(-(((Inputs!$C$6)-Inputs!$C$43)^2)/(2*Inputs!$C$44^2))*EXP(-(((Scenario_Data!U239)-Inputs!$C$42)^2)/(2*Inputs!$C$45^2))+Inputs!$C$48*(0.7*(0.45*SIN(2*PI()*(((Scenario_Data!U239)/Inputs!$C$49)+Inputs!$C$47*0.137))+0.35*COS(2*PI()*(((Inputs!$C$6)/Inputs!$C$50)+Inputs!$C$47*0.173))+0.2*SIN(2*PI()*((((Scenario_Data!U239)+(Inputs!$C$6))/(0.5*(Inputs!$C$49+Inputs!$C$50)))+Inputs!$C$47*0.097)))+0.3*(2*((SIN(((Scenario_Data!U239)*12.9898+(Inputs!$C$6)*78.233+Inputs!$C$47*37.719))*43758.5453)-INT((SIN(((Scenario_Data!U239)*12.9898+(Inputs!$C$6)*78.233+Inputs!$C$47*37.719))*43758.5453)))-1))))/1000))*COS(SQRT((Scenario_Data!U239)^2+Inputs!$C$6^2)/Inputs!$C$52))*1000)/Inputs!$C$21*1000000</f>
        <v/>
      </c>
      <c r="AT239">
        <f>Scenario_Data!V239</f>
        <v/>
      </c>
      <c r="AU239">
        <f>2*(SQRT((Inputs!$C$52+(Scenario_Data!D239))^2+(Inputs!$C$52+((IF(OR(Inputs!$C$27=TRUE,Inputs!$C$27="TRUE",Inputs!$C$27=1),1,0)*(Inputs!$C$51*(115*EXP(-(((Inputs!$C$6)-25)^2)/(4.5^2))+70*EXP(-(((Inputs!$C$6)+38)^2)/(7^2))*(0.55+0.45*SIN(2*PI()*(Scenario_Data!V239)/45))+24*SIN(2*PI()*(Inputs!$C$6)/9+(Scenario_Data!V239)/18)*EXP(-(((Inputs!$C$6)+5)^2)/(22^2))+18*SIN(2*PI()*(Scenario_Data!V239)/70))+Inputs!$C$28*EXP(-(((Scenario_Data!V239)-Inputs!$C$29)^2)/(2*Inputs!$C$31^2))*EXP(-(((Inputs!$C$6)-Inputs!$C$30)^2)/(2*Inputs!$C$32^2))+-Inputs!$C$33*EXP(-(((((Scenario_Data!V239)-Inputs!$C$34)^2)+(((Inputs!$C$6)-Inputs!$C$35)^2))/(2*Inputs!$C$36^2)))+Inputs!$C$37*(0.55*SIN(2*PI()*(Scenario_Data!V239)/Inputs!$C$39)+0.35*COS(2*PI()*(Inputs!$C$6)/Inputs!$C$40)+0.2*SIN(2*PI()*((Scenario_Data!V239)+(Inputs!$C$6))/(0.5*(Inputs!$C$39+Inputs!$C$40))))+Inputs!$C$38*SIN(2*PI()*(Scenario_Data!V239)/Inputs!$C$39)*SIN(2*PI()*(Inputs!$C$6)/Inputs!$C$40)+-Inputs!$C$41*EXP(-(((Inputs!$C$6)-Inputs!$C$43)^2)/(2*Inputs!$C$44^2))*EXP(-(((Scenario_Data!V239)-Inputs!$C$42)^2)/(2*Inputs!$C$45^2))+Inputs!$C$48*(0.7*(0.45*SIN(2*PI()*(((Scenario_Data!V239)/Inputs!$C$49)+Inputs!$C$47*0.137))+0.35*COS(2*PI()*(((Inputs!$C$6)/Inputs!$C$50)+Inputs!$C$47*0.173))+0.2*SIN(2*PI()*((((Scenario_Data!V239)+(Inputs!$C$6))/(0.5*(Inputs!$C$49+Inputs!$C$50)))+Inputs!$C$47*0.097)))+0.3*(2*((SIN(((Scenario_Data!V239)*12.9898+(Inputs!$C$6)*78.233+Inputs!$C$47*37.719))*43758.5453)-INT((SIN(((Scenario_Data!V239)*12.9898+(Inputs!$C$6)*78.233+Inputs!$C$47*37.719))*43758.5453)))-1))))/1000))^2-2*(Inputs!$C$52+(Scenario_Data!D239))*(Inputs!$C$52+((IF(OR(Inputs!$C$27=TRUE,Inputs!$C$27="TRUE",Inputs!$C$27=1),1,0)*(Inputs!$C$51*(115*EXP(-(((Inputs!$C$6)-25)^2)/(4.5^2))+70*EXP(-(((Inputs!$C$6)+38)^2)/(7^2))*(0.55+0.45*SIN(2*PI()*(Scenario_Data!V239)/45))+24*SIN(2*PI()*(Inputs!$C$6)/9+(Scenario_Data!V239)/18)*EXP(-(((Inputs!$C$6)+5)^2)/(22^2))+18*SIN(2*PI()*(Scenario_Data!V239)/70))+Inputs!$C$28*EXP(-(((Scenario_Data!V239)-Inputs!$C$29)^2)/(2*Inputs!$C$31^2))*EXP(-(((Inputs!$C$6)-Inputs!$C$30)^2)/(2*Inputs!$C$32^2))+-Inputs!$C$33*EXP(-(((((Scenario_Data!V239)-Inputs!$C$34)^2)+(((Inputs!$C$6)-Inputs!$C$35)^2))/(2*Inputs!$C$36^2)))+Inputs!$C$37*(0.55*SIN(2*PI()*(Scenario_Data!V239)/Inputs!$C$39)+0.35*COS(2*PI()*(Inputs!$C$6)/Inputs!$C$40)+0.2*SIN(2*PI()*((Scenario_Data!V239)+(Inputs!$C$6))/(0.5*(Inputs!$C$39+Inputs!$C$40))))+Inputs!$C$38*SIN(2*PI()*(Scenario_Data!V239)/Inputs!$C$39)*SIN(2*PI()*(Inputs!$C$6)/Inputs!$C$40)+-Inputs!$C$41*EXP(-(((Inputs!$C$6)-Inputs!$C$43)^2)/(2*Inputs!$C$44^2))*EXP(-(((Scenario_Data!V239)-Inputs!$C$42)^2)/(2*Inputs!$C$45^2))+Inputs!$C$48*(0.7*(0.45*SIN(2*PI()*(((Scenario_Data!V239)/Inputs!$C$49)+Inputs!$C$47*0.137))+0.35*COS(2*PI()*(((Inputs!$C$6)/Inputs!$C$50)+Inputs!$C$47*0.173))+0.2*SIN(2*PI()*((((Scenario_Data!V239)+(Inputs!$C$6))/(0.5*(Inputs!$C$49+Inputs!$C$50)))+Inputs!$C$47*0.097)))+0.3*(2*((SIN(((Scenario_Data!V239)*12.9898+(Inputs!$C$6)*78.233+Inputs!$C$47*37.719))*43758.5453)-INT((SIN(((Scenario_Data!V239)*12.9898+(Inputs!$C$6)*78.233+Inputs!$C$47*37.719))*43758.5453)))-1))))/1000))*COS(SQRT((Scenario_Data!V239)^2+Inputs!$C$6^2)/Inputs!$C$52))*1000)/Inputs!$C$21*1000000</f>
        <v/>
      </c>
      <c r="AV239">
        <f>Scenario_Data!W239</f>
        <v/>
      </c>
      <c r="AW239">
        <f>2*(SQRT((Inputs!$C$52+(Scenario_Data!E239))^2+(Inputs!$C$52+((IF(OR(Inputs!$C$27=TRUE,Inputs!$C$27="TRUE",Inputs!$C$27=1),1,0)*(Inputs!$C$51*(115*EXP(-(((Inputs!$C$6)-25)^2)/(4.5^2))+70*EXP(-(((Inputs!$C$6)+38)^2)/(7^2))*(0.55+0.45*SIN(2*PI()*(Scenario_Data!W239)/45))+24*SIN(2*PI()*(Inputs!$C$6)/9+(Scenario_Data!W239)/18)*EXP(-(((Inputs!$C$6)+5)^2)/(22^2))+18*SIN(2*PI()*(Scenario_Data!W239)/70))+Inputs!$C$28*EXP(-(((Scenario_Data!W239)-Inputs!$C$29)^2)/(2*Inputs!$C$31^2))*EXP(-(((Inputs!$C$6)-Inputs!$C$30)^2)/(2*Inputs!$C$32^2))+-Inputs!$C$33*EXP(-(((((Scenario_Data!W239)-Inputs!$C$34)^2)+(((Inputs!$C$6)-Inputs!$C$35)^2))/(2*Inputs!$C$36^2)))+Inputs!$C$37*(0.55*SIN(2*PI()*(Scenario_Data!W239)/Inputs!$C$39)+0.35*COS(2*PI()*(Inputs!$C$6)/Inputs!$C$40)+0.2*SIN(2*PI()*((Scenario_Data!W239)+(Inputs!$C$6))/(0.5*(Inputs!$C$39+Inputs!$C$40))))+Inputs!$C$38*SIN(2*PI()*(Scenario_Data!W239)/Inputs!$C$39)*SIN(2*PI()*(Inputs!$C$6)/Inputs!$C$40)+-Inputs!$C$41*EXP(-(((Inputs!$C$6)-Inputs!$C$43)^2)/(2*Inputs!$C$44^2))*EXP(-(((Scenario_Data!W239)-Inputs!$C$42)^2)/(2*Inputs!$C$45^2))+Inputs!$C$48*(0.7*(0.45*SIN(2*PI()*(((Scenario_Data!W239)/Inputs!$C$49)+Inputs!$C$47*0.137))+0.35*COS(2*PI()*(((Inputs!$C$6)/Inputs!$C$50)+Inputs!$C$47*0.173))+0.2*SIN(2*PI()*((((Scenario_Data!W239)+(Inputs!$C$6))/(0.5*(Inputs!$C$49+Inputs!$C$50)))+Inputs!$C$47*0.097)))+0.3*(2*((SIN(((Scenario_Data!W239)*12.9898+(Inputs!$C$6)*78.233+Inputs!$C$47*37.719))*43758.5453)-INT((SIN(((Scenario_Data!W239)*12.9898+(Inputs!$C$6)*78.233+Inputs!$C$47*37.719))*43758.5453)))-1))))/1000))^2-2*(Inputs!$C$52+(Scenario_Data!E239))*(Inputs!$C$52+((IF(OR(Inputs!$C$27=TRUE,Inputs!$C$27="TRUE",Inputs!$C$27=1),1,0)*(Inputs!$C$51*(115*EXP(-(((Inputs!$C$6)-25)^2)/(4.5^2))+70*EXP(-(((Inputs!$C$6)+38)^2)/(7^2))*(0.55+0.45*SIN(2*PI()*(Scenario_Data!W239)/45))+24*SIN(2*PI()*(Inputs!$C$6)/9+(Scenario_Data!W239)/18)*EXP(-(((Inputs!$C$6)+5)^2)/(22^2))+18*SIN(2*PI()*(Scenario_Data!W239)/70))+Inputs!$C$28*EXP(-(((Scenario_Data!W239)-Inputs!$C$29)^2)/(2*Inputs!$C$31^2))*EXP(-(((Inputs!$C$6)-Inputs!$C$30)^2)/(2*Inputs!$C$32^2))+-Inputs!$C$33*EXP(-(((((Scenario_Data!W239)-Inputs!$C$34)^2)+(((Inputs!$C$6)-Inputs!$C$35)^2))/(2*Inputs!$C$36^2)))+Inputs!$C$37*(0.55*SIN(2*PI()*(Scenario_Data!W239)/Inputs!$C$39)+0.35*COS(2*PI()*(Inputs!$C$6)/Inputs!$C$40)+0.2*SIN(2*PI()*((Scenario_Data!W239)+(Inputs!$C$6))/(0.5*(Inputs!$C$39+Inputs!$C$40))))+Inputs!$C$38*SIN(2*PI()*(Scenario_Data!W239)/Inputs!$C$39)*SIN(2*PI()*(Inputs!$C$6)/Inputs!$C$40)+-Inputs!$C$41*EXP(-(((Inputs!$C$6)-Inputs!$C$43)^2)/(2*Inputs!$C$44^2))*EXP(-(((Scenario_Data!W239)-Inputs!$C$42)^2)/(2*Inputs!$C$45^2))+Inputs!$C$48*(0.7*(0.45*SIN(2*PI()*(((Scenario_Data!W239)/Inputs!$C$49)+Inputs!$C$47*0.137))+0.35*COS(2*PI()*(((Inputs!$C$6)/Inputs!$C$50)+Inputs!$C$47*0.173))+0.2*SIN(2*PI()*((((Scenario_Data!W239)+(Inputs!$C$6))/(0.5*(Inputs!$C$49+Inputs!$C$50)))+Inputs!$C$47*0.097)))+0.3*(2*((SIN(((Scenario_Data!W239)*12.9898+(Inputs!$C$6)*78.233+Inputs!$C$47*37.719))*43758.5453)-INT((SIN(((Scenario_Data!W239)*12.9898+(Inputs!$C$6)*78.233+Inputs!$C$47*37.719))*43758.5453)))-1))))/1000))*COS(SQRT((Scenario_Data!W239)^2+Inputs!$C$6^2)/Inputs!$C$52))*1000)/Inputs!$C$21*1000000</f>
        <v/>
      </c>
    </row>
    <row r="240">
      <c r="A240">
        <f>Chart_Data!K240</f>
        <v/>
      </c>
      <c r="B240">
        <f>Chart_Data!N240-Chart_Data!L240</f>
        <v/>
      </c>
      <c r="D240">
        <f>Chart_Data!G240</f>
        <v/>
      </c>
      <c r="E240">
        <f>Chart_Data!H240</f>
        <v/>
      </c>
      <c r="F240">
        <f>Chart_Data!I240</f>
        <v/>
      </c>
      <c r="G240">
        <f>Chart_Data!J240</f>
        <v/>
      </c>
      <c r="I240">
        <f>Scenario_Data!A240</f>
        <v/>
      </c>
      <c r="J240">
        <f>Scenario_Data!H240-(((SQRT((Inputs!$C$52+(Inputs!$H$6))^2+Inputs!$C$52^2-2*(Inputs!$C$52+(Inputs!$H$6))*Inputs!$C$52*COS(SQRT((Scenario_Data!T240)^2+Inputs!$C$6^2)/Inputs!$C$52)))-(Inputs!$H$6))*1000/Inputs!$C$12)</f>
        <v/>
      </c>
      <c r="K240">
        <f>Scenario_Data!I240-(((SQRT((Inputs!$C$52+(Inputs!$H$7))^2+Inputs!$C$52^2-2*(Inputs!$C$52+(Inputs!$H$7))*Inputs!$C$52*COS(SQRT((Scenario_Data!U240)^2+Inputs!$C$6^2)/Inputs!$C$52)))-(Inputs!$H$7))*1000/Inputs!$C$12)</f>
        <v/>
      </c>
      <c r="L240">
        <f>Scenario_Data!J240-(((SQRT((Inputs!$C$52+(Inputs!$H$8))^2+Inputs!$C$52^2-2*(Inputs!$C$52+(Inputs!$H$8))*Inputs!$C$52*COS(SQRT((Scenario_Data!V240)^2+Inputs!$C$6^2)/Inputs!$C$52)))-(Inputs!$H$8))*1000/Inputs!$C$12)</f>
        <v/>
      </c>
      <c r="M240">
        <f>Scenario_Data!K240-(((SQRT((Inputs!$C$52+(Inputs!$H$9))^2+Inputs!$C$52^2-2*(Inputs!$C$52+(Inputs!$H$9))*Inputs!$C$52*COS(SQRT((Scenario_Data!W240)^2+Inputs!$C$6^2)/Inputs!$C$52)))-(Inputs!$H$9))*1000/Inputs!$C$12)</f>
        <v/>
      </c>
      <c r="O240">
        <f>Scenario_Data!T240</f>
        <v/>
      </c>
      <c r="P240">
        <f>2*(Scenario_Data!B240*1000)/Inputs!$C$21*1000000</f>
        <v/>
      </c>
      <c r="Q240">
        <f>Scenario_Data!U240</f>
        <v/>
      </c>
      <c r="R240">
        <f>2*(Scenario_Data!C240*1000)/Inputs!$C$21*1000000</f>
        <v/>
      </c>
      <c r="S240">
        <f>Scenario_Data!V240</f>
        <v/>
      </c>
      <c r="T240">
        <f>2*(Scenario_Data!D240*1000)/Inputs!$C$21*1000000</f>
        <v/>
      </c>
      <c r="U240">
        <f>Scenario_Data!W240</f>
        <v/>
      </c>
      <c r="V240">
        <f>2*(Scenario_Data!E240*1000)/Inputs!$C$21*1000000</f>
        <v/>
      </c>
      <c r="X240">
        <f>Scenario_Data!T240</f>
        <v/>
      </c>
      <c r="Y240">
        <f>2*((Scenario_Data!B240*1000)-(IF(OR(Inputs!$C$27=TRUE,Inputs!$C$27="TRUE",Inputs!$C$27=1),1,0)*(Inputs!$C$51*(115*EXP(-(((0)-25)^2)/(4.5^2))+70*EXP(-(((0)+38)^2)/(7^2))*(0.55+0.45*SIN(2*PI()*(Scenario_Data!T240)/45))+24*SIN(2*PI()*(0)/9+(Scenario_Data!T240)/18)*EXP(-(((0)+5)^2)/(22^2))+18*SIN(2*PI()*(Scenario_Data!T240)/70))+Inputs!$C$28*EXP(-(((Scenario_Data!T240)-Inputs!$C$29)^2)/(2*Inputs!$C$31^2))*EXP(-(((0)-Inputs!$C$30)^2)/(2*Inputs!$C$32^2))+-Inputs!$C$33*EXP(-(((((Scenario_Data!T240)-Inputs!$C$34)^2)+(((0)-Inputs!$C$35)^2))/(2*Inputs!$C$36^2)))+Inputs!$C$37*(0.55*SIN(2*PI()*(Scenario_Data!T240)/Inputs!$C$39)+0.35*COS(2*PI()*(0)/Inputs!$C$40)+0.2*SIN(2*PI()*((Scenario_Data!T240)+(0))/(0.5*(Inputs!$C$39+Inputs!$C$40))))+Inputs!$C$38*SIN(2*PI()*(Scenario_Data!T240)/Inputs!$C$39)*SIN(2*PI()*(0)/Inputs!$C$40)+-Inputs!$C$41*EXP(-(((0)-Inputs!$C$43)^2)/(2*Inputs!$C$44^2))*EXP(-(((Scenario_Data!T240)-Inputs!$C$42)^2)/(2*Inputs!$C$45^2))+Inputs!$C$48*(0.7*(0.45*SIN(2*PI()*(((Scenario_Data!T240)/Inputs!$C$49)+Inputs!$C$47*0.137))+0.35*COS(2*PI()*(((0)/Inputs!$C$50)+Inputs!$C$47*0.173))+0.2*SIN(2*PI()*((((Scenario_Data!T240)+(0))/(0.5*(Inputs!$C$49+Inputs!$C$50)))+Inputs!$C$47*0.097)))+0.3*(2*((SIN(((Scenario_Data!T240)*12.9898+(0)*78.233+Inputs!$C$47*37.719))*43758.5453)-INT((SIN(((Scenario_Data!T240)*12.9898+(0)*78.233+Inputs!$C$47*37.719))*43758.5453)))-1)))))/Inputs!$C$21*1000000</f>
        <v/>
      </c>
      <c r="Z240">
        <f>Scenario_Data!U240</f>
        <v/>
      </c>
      <c r="AA240">
        <f>2*((Scenario_Data!C240*1000)-(IF(OR(Inputs!$C$27=TRUE,Inputs!$C$27="TRUE",Inputs!$C$27=1),1,0)*(Inputs!$C$51*(115*EXP(-(((0)-25)^2)/(4.5^2))+70*EXP(-(((0)+38)^2)/(7^2))*(0.55+0.45*SIN(2*PI()*(Scenario_Data!U240)/45))+24*SIN(2*PI()*(0)/9+(Scenario_Data!U240)/18)*EXP(-(((0)+5)^2)/(22^2))+18*SIN(2*PI()*(Scenario_Data!U240)/70))+Inputs!$C$28*EXP(-(((Scenario_Data!U240)-Inputs!$C$29)^2)/(2*Inputs!$C$31^2))*EXP(-(((0)-Inputs!$C$30)^2)/(2*Inputs!$C$32^2))+-Inputs!$C$33*EXP(-(((((Scenario_Data!U240)-Inputs!$C$34)^2)+(((0)-Inputs!$C$35)^2))/(2*Inputs!$C$36^2)))+Inputs!$C$37*(0.55*SIN(2*PI()*(Scenario_Data!U240)/Inputs!$C$39)+0.35*COS(2*PI()*(0)/Inputs!$C$40)+0.2*SIN(2*PI()*((Scenario_Data!U240)+(0))/(0.5*(Inputs!$C$39+Inputs!$C$40))))+Inputs!$C$38*SIN(2*PI()*(Scenario_Data!U240)/Inputs!$C$39)*SIN(2*PI()*(0)/Inputs!$C$40)+-Inputs!$C$41*EXP(-(((0)-Inputs!$C$43)^2)/(2*Inputs!$C$44^2))*EXP(-(((Scenario_Data!U240)-Inputs!$C$42)^2)/(2*Inputs!$C$45^2))+Inputs!$C$48*(0.7*(0.45*SIN(2*PI()*(((Scenario_Data!U240)/Inputs!$C$49)+Inputs!$C$47*0.137))+0.35*COS(2*PI()*(((0)/Inputs!$C$50)+Inputs!$C$47*0.173))+0.2*SIN(2*PI()*((((Scenario_Data!U240)+(0))/(0.5*(Inputs!$C$49+Inputs!$C$50)))+Inputs!$C$47*0.097)))+0.3*(2*((SIN(((Scenario_Data!U240)*12.9898+(0)*78.233+Inputs!$C$47*37.719))*43758.5453)-INT((SIN(((Scenario_Data!U240)*12.9898+(0)*78.233+Inputs!$C$47*37.719))*43758.5453)))-1)))))/Inputs!$C$21*1000000</f>
        <v/>
      </c>
      <c r="AB240">
        <f>Scenario_Data!V240</f>
        <v/>
      </c>
      <c r="AC240">
        <f>2*((Scenario_Data!D240*1000)-(IF(OR(Inputs!$C$27=TRUE,Inputs!$C$27="TRUE",Inputs!$C$27=1),1,0)*(Inputs!$C$51*(115*EXP(-(((0)-25)^2)/(4.5^2))+70*EXP(-(((0)+38)^2)/(7^2))*(0.55+0.45*SIN(2*PI()*(Scenario_Data!V240)/45))+24*SIN(2*PI()*(0)/9+(Scenario_Data!V240)/18)*EXP(-(((0)+5)^2)/(22^2))+18*SIN(2*PI()*(Scenario_Data!V240)/70))+Inputs!$C$28*EXP(-(((Scenario_Data!V240)-Inputs!$C$29)^2)/(2*Inputs!$C$31^2))*EXP(-(((0)-Inputs!$C$30)^2)/(2*Inputs!$C$32^2))+-Inputs!$C$33*EXP(-(((((Scenario_Data!V240)-Inputs!$C$34)^2)+(((0)-Inputs!$C$35)^2))/(2*Inputs!$C$36^2)))+Inputs!$C$37*(0.55*SIN(2*PI()*(Scenario_Data!V240)/Inputs!$C$39)+0.35*COS(2*PI()*(0)/Inputs!$C$40)+0.2*SIN(2*PI()*((Scenario_Data!V240)+(0))/(0.5*(Inputs!$C$39+Inputs!$C$40))))+Inputs!$C$38*SIN(2*PI()*(Scenario_Data!V240)/Inputs!$C$39)*SIN(2*PI()*(0)/Inputs!$C$40)+-Inputs!$C$41*EXP(-(((0)-Inputs!$C$43)^2)/(2*Inputs!$C$44^2))*EXP(-(((Scenario_Data!V240)-Inputs!$C$42)^2)/(2*Inputs!$C$45^2))+Inputs!$C$48*(0.7*(0.45*SIN(2*PI()*(((Scenario_Data!V240)/Inputs!$C$49)+Inputs!$C$47*0.137))+0.35*COS(2*PI()*(((0)/Inputs!$C$50)+Inputs!$C$47*0.173))+0.2*SIN(2*PI()*((((Scenario_Data!V240)+(0))/(0.5*(Inputs!$C$49+Inputs!$C$50)))+Inputs!$C$47*0.097)))+0.3*(2*((SIN(((Scenario_Data!V240)*12.9898+(0)*78.233+Inputs!$C$47*37.719))*43758.5453)-INT((SIN(((Scenario_Data!V240)*12.9898+(0)*78.233+Inputs!$C$47*37.719))*43758.5453)))-1)))))/Inputs!$C$21*1000000</f>
        <v/>
      </c>
      <c r="AD240">
        <f>Scenario_Data!W240</f>
        <v/>
      </c>
      <c r="AE240">
        <f>2*((Scenario_Data!E240*1000)-(IF(OR(Inputs!$C$27=TRUE,Inputs!$C$27="TRUE",Inputs!$C$27=1),1,0)*(Inputs!$C$51*(115*EXP(-(((0)-25)^2)/(4.5^2))+70*EXP(-(((0)+38)^2)/(7^2))*(0.55+0.45*SIN(2*PI()*(Scenario_Data!W240)/45))+24*SIN(2*PI()*(0)/9+(Scenario_Data!W240)/18)*EXP(-(((0)+5)^2)/(22^2))+18*SIN(2*PI()*(Scenario_Data!W240)/70))+Inputs!$C$28*EXP(-(((Scenario_Data!W240)-Inputs!$C$29)^2)/(2*Inputs!$C$31^2))*EXP(-(((0)-Inputs!$C$30)^2)/(2*Inputs!$C$32^2))+-Inputs!$C$33*EXP(-(((((Scenario_Data!W240)-Inputs!$C$34)^2)+(((0)-Inputs!$C$35)^2))/(2*Inputs!$C$36^2)))+Inputs!$C$37*(0.55*SIN(2*PI()*(Scenario_Data!W240)/Inputs!$C$39)+0.35*COS(2*PI()*(0)/Inputs!$C$40)+0.2*SIN(2*PI()*((Scenario_Data!W240)+(0))/(0.5*(Inputs!$C$39+Inputs!$C$40))))+Inputs!$C$38*SIN(2*PI()*(Scenario_Data!W240)/Inputs!$C$39)*SIN(2*PI()*(0)/Inputs!$C$40)+-Inputs!$C$41*EXP(-(((0)-Inputs!$C$43)^2)/(2*Inputs!$C$44^2))*EXP(-(((Scenario_Data!W240)-Inputs!$C$42)^2)/(2*Inputs!$C$45^2))+Inputs!$C$48*(0.7*(0.45*SIN(2*PI()*(((Scenario_Data!W240)/Inputs!$C$49)+Inputs!$C$47*0.137))+0.35*COS(2*PI()*(((0)/Inputs!$C$50)+Inputs!$C$47*0.173))+0.2*SIN(2*PI()*((((Scenario_Data!W240)+(0))/(0.5*(Inputs!$C$49+Inputs!$C$50)))+Inputs!$C$47*0.097)))+0.3*(2*((SIN(((Scenario_Data!W240)*12.9898+(0)*78.233+Inputs!$C$47*37.719))*43758.5453)-INT((SIN(((Scenario_Data!W240)*12.9898+(0)*78.233+Inputs!$C$47*37.719))*43758.5453)))-1)))))/Inputs!$C$21*1000000</f>
        <v/>
      </c>
      <c r="AG240">
        <f>Scenario_Data!T240</f>
        <v/>
      </c>
      <c r="AH240">
        <f>2*(SQRT((Inputs!$C$52+(Scenario_Data!B240))^2+Inputs!$C$52^2-2*(Inputs!$C$52+(Scenario_Data!B240))*Inputs!$C$52*COS(SQRT((Scenario_Data!T240)^2+Inputs!$C$6^2)/Inputs!$C$52))*1000)/Inputs!$C$21*1000000</f>
        <v/>
      </c>
      <c r="AI240">
        <f>Scenario_Data!U240</f>
        <v/>
      </c>
      <c r="AJ240">
        <f>2*(SQRT((Inputs!$C$52+(Scenario_Data!C240))^2+Inputs!$C$52^2-2*(Inputs!$C$52+(Scenario_Data!C240))*Inputs!$C$52*COS(SQRT((Scenario_Data!U240)^2+Inputs!$C$6^2)/Inputs!$C$52))*1000)/Inputs!$C$21*1000000</f>
        <v/>
      </c>
      <c r="AK240">
        <f>Scenario_Data!V240</f>
        <v/>
      </c>
      <c r="AL240">
        <f>2*(SQRT((Inputs!$C$52+(Scenario_Data!D240))^2+Inputs!$C$52^2-2*(Inputs!$C$52+(Scenario_Data!D240))*Inputs!$C$52*COS(SQRT((Scenario_Data!V240)^2+Inputs!$C$6^2)/Inputs!$C$52))*1000)/Inputs!$C$21*1000000</f>
        <v/>
      </c>
      <c r="AM240">
        <f>Scenario_Data!W240</f>
        <v/>
      </c>
      <c r="AN240">
        <f>2*(SQRT((Inputs!$C$52+(Scenario_Data!E240))^2+Inputs!$C$52^2-2*(Inputs!$C$52+(Scenario_Data!E240))*Inputs!$C$52*COS(SQRT((Scenario_Data!W240)^2+Inputs!$C$6^2)/Inputs!$C$52))*1000)/Inputs!$C$21*1000000</f>
        <v/>
      </c>
      <c r="AP240">
        <f>Scenario_Data!T240</f>
        <v/>
      </c>
      <c r="AQ240">
        <f>2*(SQRT((Inputs!$C$52+(Scenario_Data!B240))^2+(Inputs!$C$52+((IF(OR(Inputs!$C$27=TRUE,Inputs!$C$27="TRUE",Inputs!$C$27=1),1,0)*(Inputs!$C$51*(115*EXP(-(((Inputs!$C$6)-25)^2)/(4.5^2))+70*EXP(-(((Inputs!$C$6)+38)^2)/(7^2))*(0.55+0.45*SIN(2*PI()*(Scenario_Data!T240)/45))+24*SIN(2*PI()*(Inputs!$C$6)/9+(Scenario_Data!T240)/18)*EXP(-(((Inputs!$C$6)+5)^2)/(22^2))+18*SIN(2*PI()*(Scenario_Data!T240)/70))+Inputs!$C$28*EXP(-(((Scenario_Data!T240)-Inputs!$C$29)^2)/(2*Inputs!$C$31^2))*EXP(-(((Inputs!$C$6)-Inputs!$C$30)^2)/(2*Inputs!$C$32^2))+-Inputs!$C$33*EXP(-(((((Scenario_Data!T240)-Inputs!$C$34)^2)+(((Inputs!$C$6)-Inputs!$C$35)^2))/(2*Inputs!$C$36^2)))+Inputs!$C$37*(0.55*SIN(2*PI()*(Scenario_Data!T240)/Inputs!$C$39)+0.35*COS(2*PI()*(Inputs!$C$6)/Inputs!$C$40)+0.2*SIN(2*PI()*((Scenario_Data!T240)+(Inputs!$C$6))/(0.5*(Inputs!$C$39+Inputs!$C$40))))+Inputs!$C$38*SIN(2*PI()*(Scenario_Data!T240)/Inputs!$C$39)*SIN(2*PI()*(Inputs!$C$6)/Inputs!$C$40)+-Inputs!$C$41*EXP(-(((Inputs!$C$6)-Inputs!$C$43)^2)/(2*Inputs!$C$44^2))*EXP(-(((Scenario_Data!T240)-Inputs!$C$42)^2)/(2*Inputs!$C$45^2))+Inputs!$C$48*(0.7*(0.45*SIN(2*PI()*(((Scenario_Data!T240)/Inputs!$C$49)+Inputs!$C$47*0.137))+0.35*COS(2*PI()*(((Inputs!$C$6)/Inputs!$C$50)+Inputs!$C$47*0.173))+0.2*SIN(2*PI()*((((Scenario_Data!T240)+(Inputs!$C$6))/(0.5*(Inputs!$C$49+Inputs!$C$50)))+Inputs!$C$47*0.097)))+0.3*(2*((SIN(((Scenario_Data!T240)*12.9898+(Inputs!$C$6)*78.233+Inputs!$C$47*37.719))*43758.5453)-INT((SIN(((Scenario_Data!T240)*12.9898+(Inputs!$C$6)*78.233+Inputs!$C$47*37.719))*43758.5453)))-1))))/1000))^2-2*(Inputs!$C$52+(Scenario_Data!B240))*(Inputs!$C$52+((IF(OR(Inputs!$C$27=TRUE,Inputs!$C$27="TRUE",Inputs!$C$27=1),1,0)*(Inputs!$C$51*(115*EXP(-(((Inputs!$C$6)-25)^2)/(4.5^2))+70*EXP(-(((Inputs!$C$6)+38)^2)/(7^2))*(0.55+0.45*SIN(2*PI()*(Scenario_Data!T240)/45))+24*SIN(2*PI()*(Inputs!$C$6)/9+(Scenario_Data!T240)/18)*EXP(-(((Inputs!$C$6)+5)^2)/(22^2))+18*SIN(2*PI()*(Scenario_Data!T240)/70))+Inputs!$C$28*EXP(-(((Scenario_Data!T240)-Inputs!$C$29)^2)/(2*Inputs!$C$31^2))*EXP(-(((Inputs!$C$6)-Inputs!$C$30)^2)/(2*Inputs!$C$32^2))+-Inputs!$C$33*EXP(-(((((Scenario_Data!T240)-Inputs!$C$34)^2)+(((Inputs!$C$6)-Inputs!$C$35)^2))/(2*Inputs!$C$36^2)))+Inputs!$C$37*(0.55*SIN(2*PI()*(Scenario_Data!T240)/Inputs!$C$39)+0.35*COS(2*PI()*(Inputs!$C$6)/Inputs!$C$40)+0.2*SIN(2*PI()*((Scenario_Data!T240)+(Inputs!$C$6))/(0.5*(Inputs!$C$39+Inputs!$C$40))))+Inputs!$C$38*SIN(2*PI()*(Scenario_Data!T240)/Inputs!$C$39)*SIN(2*PI()*(Inputs!$C$6)/Inputs!$C$40)+-Inputs!$C$41*EXP(-(((Inputs!$C$6)-Inputs!$C$43)^2)/(2*Inputs!$C$44^2))*EXP(-(((Scenario_Data!T240)-Inputs!$C$42)^2)/(2*Inputs!$C$45^2))+Inputs!$C$48*(0.7*(0.45*SIN(2*PI()*(((Scenario_Data!T240)/Inputs!$C$49)+Inputs!$C$47*0.137))+0.35*COS(2*PI()*(((Inputs!$C$6)/Inputs!$C$50)+Inputs!$C$47*0.173))+0.2*SIN(2*PI()*((((Scenario_Data!T240)+(Inputs!$C$6))/(0.5*(Inputs!$C$49+Inputs!$C$50)))+Inputs!$C$47*0.097)))+0.3*(2*((SIN(((Scenario_Data!T240)*12.9898+(Inputs!$C$6)*78.233+Inputs!$C$47*37.719))*43758.5453)-INT((SIN(((Scenario_Data!T240)*12.9898+(Inputs!$C$6)*78.233+Inputs!$C$47*37.719))*43758.5453)))-1))))/1000))*COS(SQRT((Scenario_Data!T240)^2+Inputs!$C$6^2)/Inputs!$C$52))*1000)/Inputs!$C$21*1000000</f>
        <v/>
      </c>
      <c r="AR240">
        <f>Scenario_Data!U240</f>
        <v/>
      </c>
      <c r="AS240">
        <f>2*(SQRT((Inputs!$C$52+(Scenario_Data!C240))^2+(Inputs!$C$52+((IF(OR(Inputs!$C$27=TRUE,Inputs!$C$27="TRUE",Inputs!$C$27=1),1,0)*(Inputs!$C$51*(115*EXP(-(((Inputs!$C$6)-25)^2)/(4.5^2))+70*EXP(-(((Inputs!$C$6)+38)^2)/(7^2))*(0.55+0.45*SIN(2*PI()*(Scenario_Data!U240)/45))+24*SIN(2*PI()*(Inputs!$C$6)/9+(Scenario_Data!U240)/18)*EXP(-(((Inputs!$C$6)+5)^2)/(22^2))+18*SIN(2*PI()*(Scenario_Data!U240)/70))+Inputs!$C$28*EXP(-(((Scenario_Data!U240)-Inputs!$C$29)^2)/(2*Inputs!$C$31^2))*EXP(-(((Inputs!$C$6)-Inputs!$C$30)^2)/(2*Inputs!$C$32^2))+-Inputs!$C$33*EXP(-(((((Scenario_Data!U240)-Inputs!$C$34)^2)+(((Inputs!$C$6)-Inputs!$C$35)^2))/(2*Inputs!$C$36^2)))+Inputs!$C$37*(0.55*SIN(2*PI()*(Scenario_Data!U240)/Inputs!$C$39)+0.35*COS(2*PI()*(Inputs!$C$6)/Inputs!$C$40)+0.2*SIN(2*PI()*((Scenario_Data!U240)+(Inputs!$C$6))/(0.5*(Inputs!$C$39+Inputs!$C$40))))+Inputs!$C$38*SIN(2*PI()*(Scenario_Data!U240)/Inputs!$C$39)*SIN(2*PI()*(Inputs!$C$6)/Inputs!$C$40)+-Inputs!$C$41*EXP(-(((Inputs!$C$6)-Inputs!$C$43)^2)/(2*Inputs!$C$44^2))*EXP(-(((Scenario_Data!U240)-Inputs!$C$42)^2)/(2*Inputs!$C$45^2))+Inputs!$C$48*(0.7*(0.45*SIN(2*PI()*(((Scenario_Data!U240)/Inputs!$C$49)+Inputs!$C$47*0.137))+0.35*COS(2*PI()*(((Inputs!$C$6)/Inputs!$C$50)+Inputs!$C$47*0.173))+0.2*SIN(2*PI()*((((Scenario_Data!U240)+(Inputs!$C$6))/(0.5*(Inputs!$C$49+Inputs!$C$50)))+Inputs!$C$47*0.097)))+0.3*(2*((SIN(((Scenario_Data!U240)*12.9898+(Inputs!$C$6)*78.233+Inputs!$C$47*37.719))*43758.5453)-INT((SIN(((Scenario_Data!U240)*12.9898+(Inputs!$C$6)*78.233+Inputs!$C$47*37.719))*43758.5453)))-1))))/1000))^2-2*(Inputs!$C$52+(Scenario_Data!C240))*(Inputs!$C$52+((IF(OR(Inputs!$C$27=TRUE,Inputs!$C$27="TRUE",Inputs!$C$27=1),1,0)*(Inputs!$C$51*(115*EXP(-(((Inputs!$C$6)-25)^2)/(4.5^2))+70*EXP(-(((Inputs!$C$6)+38)^2)/(7^2))*(0.55+0.45*SIN(2*PI()*(Scenario_Data!U240)/45))+24*SIN(2*PI()*(Inputs!$C$6)/9+(Scenario_Data!U240)/18)*EXP(-(((Inputs!$C$6)+5)^2)/(22^2))+18*SIN(2*PI()*(Scenario_Data!U240)/70))+Inputs!$C$28*EXP(-(((Scenario_Data!U240)-Inputs!$C$29)^2)/(2*Inputs!$C$31^2))*EXP(-(((Inputs!$C$6)-Inputs!$C$30)^2)/(2*Inputs!$C$32^2))+-Inputs!$C$33*EXP(-(((((Scenario_Data!U240)-Inputs!$C$34)^2)+(((Inputs!$C$6)-Inputs!$C$35)^2))/(2*Inputs!$C$36^2)))+Inputs!$C$37*(0.55*SIN(2*PI()*(Scenario_Data!U240)/Inputs!$C$39)+0.35*COS(2*PI()*(Inputs!$C$6)/Inputs!$C$40)+0.2*SIN(2*PI()*((Scenario_Data!U240)+(Inputs!$C$6))/(0.5*(Inputs!$C$39+Inputs!$C$40))))+Inputs!$C$38*SIN(2*PI()*(Scenario_Data!U240)/Inputs!$C$39)*SIN(2*PI()*(Inputs!$C$6)/Inputs!$C$40)+-Inputs!$C$41*EXP(-(((Inputs!$C$6)-Inputs!$C$43)^2)/(2*Inputs!$C$44^2))*EXP(-(((Scenario_Data!U240)-Inputs!$C$42)^2)/(2*Inputs!$C$45^2))+Inputs!$C$48*(0.7*(0.45*SIN(2*PI()*(((Scenario_Data!U240)/Inputs!$C$49)+Inputs!$C$47*0.137))+0.35*COS(2*PI()*(((Inputs!$C$6)/Inputs!$C$50)+Inputs!$C$47*0.173))+0.2*SIN(2*PI()*((((Scenario_Data!U240)+(Inputs!$C$6))/(0.5*(Inputs!$C$49+Inputs!$C$50)))+Inputs!$C$47*0.097)))+0.3*(2*((SIN(((Scenario_Data!U240)*12.9898+(Inputs!$C$6)*78.233+Inputs!$C$47*37.719))*43758.5453)-INT((SIN(((Scenario_Data!U240)*12.9898+(Inputs!$C$6)*78.233+Inputs!$C$47*37.719))*43758.5453)))-1))))/1000))*COS(SQRT((Scenario_Data!U240)^2+Inputs!$C$6^2)/Inputs!$C$52))*1000)/Inputs!$C$21*1000000</f>
        <v/>
      </c>
      <c r="AT240">
        <f>Scenario_Data!V240</f>
        <v/>
      </c>
      <c r="AU240">
        <f>2*(SQRT((Inputs!$C$52+(Scenario_Data!D240))^2+(Inputs!$C$52+((IF(OR(Inputs!$C$27=TRUE,Inputs!$C$27="TRUE",Inputs!$C$27=1),1,0)*(Inputs!$C$51*(115*EXP(-(((Inputs!$C$6)-25)^2)/(4.5^2))+70*EXP(-(((Inputs!$C$6)+38)^2)/(7^2))*(0.55+0.45*SIN(2*PI()*(Scenario_Data!V240)/45))+24*SIN(2*PI()*(Inputs!$C$6)/9+(Scenario_Data!V240)/18)*EXP(-(((Inputs!$C$6)+5)^2)/(22^2))+18*SIN(2*PI()*(Scenario_Data!V240)/70))+Inputs!$C$28*EXP(-(((Scenario_Data!V240)-Inputs!$C$29)^2)/(2*Inputs!$C$31^2))*EXP(-(((Inputs!$C$6)-Inputs!$C$30)^2)/(2*Inputs!$C$32^2))+-Inputs!$C$33*EXP(-(((((Scenario_Data!V240)-Inputs!$C$34)^2)+(((Inputs!$C$6)-Inputs!$C$35)^2))/(2*Inputs!$C$36^2)))+Inputs!$C$37*(0.55*SIN(2*PI()*(Scenario_Data!V240)/Inputs!$C$39)+0.35*COS(2*PI()*(Inputs!$C$6)/Inputs!$C$40)+0.2*SIN(2*PI()*((Scenario_Data!V240)+(Inputs!$C$6))/(0.5*(Inputs!$C$39+Inputs!$C$40))))+Inputs!$C$38*SIN(2*PI()*(Scenario_Data!V240)/Inputs!$C$39)*SIN(2*PI()*(Inputs!$C$6)/Inputs!$C$40)+-Inputs!$C$41*EXP(-(((Inputs!$C$6)-Inputs!$C$43)^2)/(2*Inputs!$C$44^2))*EXP(-(((Scenario_Data!V240)-Inputs!$C$42)^2)/(2*Inputs!$C$45^2))+Inputs!$C$48*(0.7*(0.45*SIN(2*PI()*(((Scenario_Data!V240)/Inputs!$C$49)+Inputs!$C$47*0.137))+0.35*COS(2*PI()*(((Inputs!$C$6)/Inputs!$C$50)+Inputs!$C$47*0.173))+0.2*SIN(2*PI()*((((Scenario_Data!V240)+(Inputs!$C$6))/(0.5*(Inputs!$C$49+Inputs!$C$50)))+Inputs!$C$47*0.097)))+0.3*(2*((SIN(((Scenario_Data!V240)*12.9898+(Inputs!$C$6)*78.233+Inputs!$C$47*37.719))*43758.5453)-INT((SIN(((Scenario_Data!V240)*12.9898+(Inputs!$C$6)*78.233+Inputs!$C$47*37.719))*43758.5453)))-1))))/1000))^2-2*(Inputs!$C$52+(Scenario_Data!D240))*(Inputs!$C$52+((IF(OR(Inputs!$C$27=TRUE,Inputs!$C$27="TRUE",Inputs!$C$27=1),1,0)*(Inputs!$C$51*(115*EXP(-(((Inputs!$C$6)-25)^2)/(4.5^2))+70*EXP(-(((Inputs!$C$6)+38)^2)/(7^2))*(0.55+0.45*SIN(2*PI()*(Scenario_Data!V240)/45))+24*SIN(2*PI()*(Inputs!$C$6)/9+(Scenario_Data!V240)/18)*EXP(-(((Inputs!$C$6)+5)^2)/(22^2))+18*SIN(2*PI()*(Scenario_Data!V240)/70))+Inputs!$C$28*EXP(-(((Scenario_Data!V240)-Inputs!$C$29)^2)/(2*Inputs!$C$31^2))*EXP(-(((Inputs!$C$6)-Inputs!$C$30)^2)/(2*Inputs!$C$32^2))+-Inputs!$C$33*EXP(-(((((Scenario_Data!V240)-Inputs!$C$34)^2)+(((Inputs!$C$6)-Inputs!$C$35)^2))/(2*Inputs!$C$36^2)))+Inputs!$C$37*(0.55*SIN(2*PI()*(Scenario_Data!V240)/Inputs!$C$39)+0.35*COS(2*PI()*(Inputs!$C$6)/Inputs!$C$40)+0.2*SIN(2*PI()*((Scenario_Data!V240)+(Inputs!$C$6))/(0.5*(Inputs!$C$39+Inputs!$C$40))))+Inputs!$C$38*SIN(2*PI()*(Scenario_Data!V240)/Inputs!$C$39)*SIN(2*PI()*(Inputs!$C$6)/Inputs!$C$40)+-Inputs!$C$41*EXP(-(((Inputs!$C$6)-Inputs!$C$43)^2)/(2*Inputs!$C$44^2))*EXP(-(((Scenario_Data!V240)-Inputs!$C$42)^2)/(2*Inputs!$C$45^2))+Inputs!$C$48*(0.7*(0.45*SIN(2*PI()*(((Scenario_Data!V240)/Inputs!$C$49)+Inputs!$C$47*0.137))+0.35*COS(2*PI()*(((Inputs!$C$6)/Inputs!$C$50)+Inputs!$C$47*0.173))+0.2*SIN(2*PI()*((((Scenario_Data!V240)+(Inputs!$C$6))/(0.5*(Inputs!$C$49+Inputs!$C$50)))+Inputs!$C$47*0.097)))+0.3*(2*((SIN(((Scenario_Data!V240)*12.9898+(Inputs!$C$6)*78.233+Inputs!$C$47*37.719))*43758.5453)-INT((SIN(((Scenario_Data!V240)*12.9898+(Inputs!$C$6)*78.233+Inputs!$C$47*37.719))*43758.5453)))-1))))/1000))*COS(SQRT((Scenario_Data!V240)^2+Inputs!$C$6^2)/Inputs!$C$52))*1000)/Inputs!$C$21*1000000</f>
        <v/>
      </c>
      <c r="AV240">
        <f>Scenario_Data!W240</f>
        <v/>
      </c>
      <c r="AW240">
        <f>2*(SQRT((Inputs!$C$52+(Scenario_Data!E240))^2+(Inputs!$C$52+((IF(OR(Inputs!$C$27=TRUE,Inputs!$C$27="TRUE",Inputs!$C$27=1),1,0)*(Inputs!$C$51*(115*EXP(-(((Inputs!$C$6)-25)^2)/(4.5^2))+70*EXP(-(((Inputs!$C$6)+38)^2)/(7^2))*(0.55+0.45*SIN(2*PI()*(Scenario_Data!W240)/45))+24*SIN(2*PI()*(Inputs!$C$6)/9+(Scenario_Data!W240)/18)*EXP(-(((Inputs!$C$6)+5)^2)/(22^2))+18*SIN(2*PI()*(Scenario_Data!W240)/70))+Inputs!$C$28*EXP(-(((Scenario_Data!W240)-Inputs!$C$29)^2)/(2*Inputs!$C$31^2))*EXP(-(((Inputs!$C$6)-Inputs!$C$30)^2)/(2*Inputs!$C$32^2))+-Inputs!$C$33*EXP(-(((((Scenario_Data!W240)-Inputs!$C$34)^2)+(((Inputs!$C$6)-Inputs!$C$35)^2))/(2*Inputs!$C$36^2)))+Inputs!$C$37*(0.55*SIN(2*PI()*(Scenario_Data!W240)/Inputs!$C$39)+0.35*COS(2*PI()*(Inputs!$C$6)/Inputs!$C$40)+0.2*SIN(2*PI()*((Scenario_Data!W240)+(Inputs!$C$6))/(0.5*(Inputs!$C$39+Inputs!$C$40))))+Inputs!$C$38*SIN(2*PI()*(Scenario_Data!W240)/Inputs!$C$39)*SIN(2*PI()*(Inputs!$C$6)/Inputs!$C$40)+-Inputs!$C$41*EXP(-(((Inputs!$C$6)-Inputs!$C$43)^2)/(2*Inputs!$C$44^2))*EXP(-(((Scenario_Data!W240)-Inputs!$C$42)^2)/(2*Inputs!$C$45^2))+Inputs!$C$48*(0.7*(0.45*SIN(2*PI()*(((Scenario_Data!W240)/Inputs!$C$49)+Inputs!$C$47*0.137))+0.35*COS(2*PI()*(((Inputs!$C$6)/Inputs!$C$50)+Inputs!$C$47*0.173))+0.2*SIN(2*PI()*((((Scenario_Data!W240)+(Inputs!$C$6))/(0.5*(Inputs!$C$49+Inputs!$C$50)))+Inputs!$C$47*0.097)))+0.3*(2*((SIN(((Scenario_Data!W240)*12.9898+(Inputs!$C$6)*78.233+Inputs!$C$47*37.719))*43758.5453)-INT((SIN(((Scenario_Data!W240)*12.9898+(Inputs!$C$6)*78.233+Inputs!$C$47*37.719))*43758.5453)))-1))))/1000))^2-2*(Inputs!$C$52+(Scenario_Data!E240))*(Inputs!$C$52+((IF(OR(Inputs!$C$27=TRUE,Inputs!$C$27="TRUE",Inputs!$C$27=1),1,0)*(Inputs!$C$51*(115*EXP(-(((Inputs!$C$6)-25)^2)/(4.5^2))+70*EXP(-(((Inputs!$C$6)+38)^2)/(7^2))*(0.55+0.45*SIN(2*PI()*(Scenario_Data!W240)/45))+24*SIN(2*PI()*(Inputs!$C$6)/9+(Scenario_Data!W240)/18)*EXP(-(((Inputs!$C$6)+5)^2)/(22^2))+18*SIN(2*PI()*(Scenario_Data!W240)/70))+Inputs!$C$28*EXP(-(((Scenario_Data!W240)-Inputs!$C$29)^2)/(2*Inputs!$C$31^2))*EXP(-(((Inputs!$C$6)-Inputs!$C$30)^2)/(2*Inputs!$C$32^2))+-Inputs!$C$33*EXP(-(((((Scenario_Data!W240)-Inputs!$C$34)^2)+(((Inputs!$C$6)-Inputs!$C$35)^2))/(2*Inputs!$C$36^2)))+Inputs!$C$37*(0.55*SIN(2*PI()*(Scenario_Data!W240)/Inputs!$C$39)+0.35*COS(2*PI()*(Inputs!$C$6)/Inputs!$C$40)+0.2*SIN(2*PI()*((Scenario_Data!W240)+(Inputs!$C$6))/(0.5*(Inputs!$C$39+Inputs!$C$40))))+Inputs!$C$38*SIN(2*PI()*(Scenario_Data!W240)/Inputs!$C$39)*SIN(2*PI()*(Inputs!$C$6)/Inputs!$C$40)+-Inputs!$C$41*EXP(-(((Inputs!$C$6)-Inputs!$C$43)^2)/(2*Inputs!$C$44^2))*EXP(-(((Scenario_Data!W240)-Inputs!$C$42)^2)/(2*Inputs!$C$45^2))+Inputs!$C$48*(0.7*(0.45*SIN(2*PI()*(((Scenario_Data!W240)/Inputs!$C$49)+Inputs!$C$47*0.137))+0.35*COS(2*PI()*(((Inputs!$C$6)/Inputs!$C$50)+Inputs!$C$47*0.173))+0.2*SIN(2*PI()*((((Scenario_Data!W240)+(Inputs!$C$6))/(0.5*(Inputs!$C$49+Inputs!$C$50)))+Inputs!$C$47*0.097)))+0.3*(2*((SIN(((Scenario_Data!W240)*12.9898+(Inputs!$C$6)*78.233+Inputs!$C$47*37.719))*43758.5453)-INT((SIN(((Scenario_Data!W240)*12.9898+(Inputs!$C$6)*78.233+Inputs!$C$47*37.719))*43758.5453)))-1))))/1000))*COS(SQRT((Scenario_Data!W240)^2+Inputs!$C$6^2)/Inputs!$C$52))*1000)/Inputs!$C$21*1000000</f>
        <v/>
      </c>
    </row>
    <row r="241">
      <c r="A241">
        <f>Chart_Data!K241</f>
        <v/>
      </c>
      <c r="B241">
        <f>Chart_Data!N241-Chart_Data!L241</f>
        <v/>
      </c>
      <c r="D241">
        <f>Chart_Data!G241</f>
        <v/>
      </c>
      <c r="E241">
        <f>Chart_Data!H241</f>
        <v/>
      </c>
      <c r="F241">
        <f>Chart_Data!I241</f>
        <v/>
      </c>
      <c r="G241">
        <f>Chart_Data!J241</f>
        <v/>
      </c>
      <c r="I241">
        <f>Scenario_Data!A241</f>
        <v/>
      </c>
      <c r="J241">
        <f>Scenario_Data!H241-(((SQRT((Inputs!$C$52+(Inputs!$H$6))^2+Inputs!$C$52^2-2*(Inputs!$C$52+(Inputs!$H$6))*Inputs!$C$52*COS(SQRT((Scenario_Data!T241)^2+Inputs!$C$6^2)/Inputs!$C$52)))-(Inputs!$H$6))*1000/Inputs!$C$12)</f>
        <v/>
      </c>
      <c r="K241">
        <f>Scenario_Data!I241-(((SQRT((Inputs!$C$52+(Inputs!$H$7))^2+Inputs!$C$52^2-2*(Inputs!$C$52+(Inputs!$H$7))*Inputs!$C$52*COS(SQRT((Scenario_Data!U241)^2+Inputs!$C$6^2)/Inputs!$C$52)))-(Inputs!$H$7))*1000/Inputs!$C$12)</f>
        <v/>
      </c>
      <c r="L241">
        <f>Scenario_Data!J241-(((SQRT((Inputs!$C$52+(Inputs!$H$8))^2+Inputs!$C$52^2-2*(Inputs!$C$52+(Inputs!$H$8))*Inputs!$C$52*COS(SQRT((Scenario_Data!V241)^2+Inputs!$C$6^2)/Inputs!$C$52)))-(Inputs!$H$8))*1000/Inputs!$C$12)</f>
        <v/>
      </c>
      <c r="M241">
        <f>Scenario_Data!K241-(((SQRT((Inputs!$C$52+(Inputs!$H$9))^2+Inputs!$C$52^2-2*(Inputs!$C$52+(Inputs!$H$9))*Inputs!$C$52*COS(SQRT((Scenario_Data!W241)^2+Inputs!$C$6^2)/Inputs!$C$52)))-(Inputs!$H$9))*1000/Inputs!$C$12)</f>
        <v/>
      </c>
      <c r="O241">
        <f>Scenario_Data!T241</f>
        <v/>
      </c>
      <c r="P241">
        <f>2*(Scenario_Data!B241*1000)/Inputs!$C$21*1000000</f>
        <v/>
      </c>
      <c r="Q241">
        <f>Scenario_Data!U241</f>
        <v/>
      </c>
      <c r="R241">
        <f>2*(Scenario_Data!C241*1000)/Inputs!$C$21*1000000</f>
        <v/>
      </c>
      <c r="S241">
        <f>Scenario_Data!V241</f>
        <v/>
      </c>
      <c r="T241">
        <f>2*(Scenario_Data!D241*1000)/Inputs!$C$21*1000000</f>
        <v/>
      </c>
      <c r="U241">
        <f>Scenario_Data!W241</f>
        <v/>
      </c>
      <c r="V241">
        <f>2*(Scenario_Data!E241*1000)/Inputs!$C$21*1000000</f>
        <v/>
      </c>
      <c r="X241">
        <f>Scenario_Data!T241</f>
        <v/>
      </c>
      <c r="Y241">
        <f>2*((Scenario_Data!B241*1000)-(IF(OR(Inputs!$C$27=TRUE,Inputs!$C$27="TRUE",Inputs!$C$27=1),1,0)*(Inputs!$C$51*(115*EXP(-(((0)-25)^2)/(4.5^2))+70*EXP(-(((0)+38)^2)/(7^2))*(0.55+0.45*SIN(2*PI()*(Scenario_Data!T241)/45))+24*SIN(2*PI()*(0)/9+(Scenario_Data!T241)/18)*EXP(-(((0)+5)^2)/(22^2))+18*SIN(2*PI()*(Scenario_Data!T241)/70))+Inputs!$C$28*EXP(-(((Scenario_Data!T241)-Inputs!$C$29)^2)/(2*Inputs!$C$31^2))*EXP(-(((0)-Inputs!$C$30)^2)/(2*Inputs!$C$32^2))+-Inputs!$C$33*EXP(-(((((Scenario_Data!T241)-Inputs!$C$34)^2)+(((0)-Inputs!$C$35)^2))/(2*Inputs!$C$36^2)))+Inputs!$C$37*(0.55*SIN(2*PI()*(Scenario_Data!T241)/Inputs!$C$39)+0.35*COS(2*PI()*(0)/Inputs!$C$40)+0.2*SIN(2*PI()*((Scenario_Data!T241)+(0))/(0.5*(Inputs!$C$39+Inputs!$C$40))))+Inputs!$C$38*SIN(2*PI()*(Scenario_Data!T241)/Inputs!$C$39)*SIN(2*PI()*(0)/Inputs!$C$40)+-Inputs!$C$41*EXP(-(((0)-Inputs!$C$43)^2)/(2*Inputs!$C$44^2))*EXP(-(((Scenario_Data!T241)-Inputs!$C$42)^2)/(2*Inputs!$C$45^2))+Inputs!$C$48*(0.7*(0.45*SIN(2*PI()*(((Scenario_Data!T241)/Inputs!$C$49)+Inputs!$C$47*0.137))+0.35*COS(2*PI()*(((0)/Inputs!$C$50)+Inputs!$C$47*0.173))+0.2*SIN(2*PI()*((((Scenario_Data!T241)+(0))/(0.5*(Inputs!$C$49+Inputs!$C$50)))+Inputs!$C$47*0.097)))+0.3*(2*((SIN(((Scenario_Data!T241)*12.9898+(0)*78.233+Inputs!$C$47*37.719))*43758.5453)-INT((SIN(((Scenario_Data!T241)*12.9898+(0)*78.233+Inputs!$C$47*37.719))*43758.5453)))-1)))))/Inputs!$C$21*1000000</f>
        <v/>
      </c>
      <c r="Z241">
        <f>Scenario_Data!U241</f>
        <v/>
      </c>
      <c r="AA241">
        <f>2*((Scenario_Data!C241*1000)-(IF(OR(Inputs!$C$27=TRUE,Inputs!$C$27="TRUE",Inputs!$C$27=1),1,0)*(Inputs!$C$51*(115*EXP(-(((0)-25)^2)/(4.5^2))+70*EXP(-(((0)+38)^2)/(7^2))*(0.55+0.45*SIN(2*PI()*(Scenario_Data!U241)/45))+24*SIN(2*PI()*(0)/9+(Scenario_Data!U241)/18)*EXP(-(((0)+5)^2)/(22^2))+18*SIN(2*PI()*(Scenario_Data!U241)/70))+Inputs!$C$28*EXP(-(((Scenario_Data!U241)-Inputs!$C$29)^2)/(2*Inputs!$C$31^2))*EXP(-(((0)-Inputs!$C$30)^2)/(2*Inputs!$C$32^2))+-Inputs!$C$33*EXP(-(((((Scenario_Data!U241)-Inputs!$C$34)^2)+(((0)-Inputs!$C$35)^2))/(2*Inputs!$C$36^2)))+Inputs!$C$37*(0.55*SIN(2*PI()*(Scenario_Data!U241)/Inputs!$C$39)+0.35*COS(2*PI()*(0)/Inputs!$C$40)+0.2*SIN(2*PI()*((Scenario_Data!U241)+(0))/(0.5*(Inputs!$C$39+Inputs!$C$40))))+Inputs!$C$38*SIN(2*PI()*(Scenario_Data!U241)/Inputs!$C$39)*SIN(2*PI()*(0)/Inputs!$C$40)+-Inputs!$C$41*EXP(-(((0)-Inputs!$C$43)^2)/(2*Inputs!$C$44^2))*EXP(-(((Scenario_Data!U241)-Inputs!$C$42)^2)/(2*Inputs!$C$45^2))+Inputs!$C$48*(0.7*(0.45*SIN(2*PI()*(((Scenario_Data!U241)/Inputs!$C$49)+Inputs!$C$47*0.137))+0.35*COS(2*PI()*(((0)/Inputs!$C$50)+Inputs!$C$47*0.173))+0.2*SIN(2*PI()*((((Scenario_Data!U241)+(0))/(0.5*(Inputs!$C$49+Inputs!$C$50)))+Inputs!$C$47*0.097)))+0.3*(2*((SIN(((Scenario_Data!U241)*12.9898+(0)*78.233+Inputs!$C$47*37.719))*43758.5453)-INT((SIN(((Scenario_Data!U241)*12.9898+(0)*78.233+Inputs!$C$47*37.719))*43758.5453)))-1)))))/Inputs!$C$21*1000000</f>
        <v/>
      </c>
      <c r="AB241">
        <f>Scenario_Data!V241</f>
        <v/>
      </c>
      <c r="AC241">
        <f>2*((Scenario_Data!D241*1000)-(IF(OR(Inputs!$C$27=TRUE,Inputs!$C$27="TRUE",Inputs!$C$27=1),1,0)*(Inputs!$C$51*(115*EXP(-(((0)-25)^2)/(4.5^2))+70*EXP(-(((0)+38)^2)/(7^2))*(0.55+0.45*SIN(2*PI()*(Scenario_Data!V241)/45))+24*SIN(2*PI()*(0)/9+(Scenario_Data!V241)/18)*EXP(-(((0)+5)^2)/(22^2))+18*SIN(2*PI()*(Scenario_Data!V241)/70))+Inputs!$C$28*EXP(-(((Scenario_Data!V241)-Inputs!$C$29)^2)/(2*Inputs!$C$31^2))*EXP(-(((0)-Inputs!$C$30)^2)/(2*Inputs!$C$32^2))+-Inputs!$C$33*EXP(-(((((Scenario_Data!V241)-Inputs!$C$34)^2)+(((0)-Inputs!$C$35)^2))/(2*Inputs!$C$36^2)))+Inputs!$C$37*(0.55*SIN(2*PI()*(Scenario_Data!V241)/Inputs!$C$39)+0.35*COS(2*PI()*(0)/Inputs!$C$40)+0.2*SIN(2*PI()*((Scenario_Data!V241)+(0))/(0.5*(Inputs!$C$39+Inputs!$C$40))))+Inputs!$C$38*SIN(2*PI()*(Scenario_Data!V241)/Inputs!$C$39)*SIN(2*PI()*(0)/Inputs!$C$40)+-Inputs!$C$41*EXP(-(((0)-Inputs!$C$43)^2)/(2*Inputs!$C$44^2))*EXP(-(((Scenario_Data!V241)-Inputs!$C$42)^2)/(2*Inputs!$C$45^2))+Inputs!$C$48*(0.7*(0.45*SIN(2*PI()*(((Scenario_Data!V241)/Inputs!$C$49)+Inputs!$C$47*0.137))+0.35*COS(2*PI()*(((0)/Inputs!$C$50)+Inputs!$C$47*0.173))+0.2*SIN(2*PI()*((((Scenario_Data!V241)+(0))/(0.5*(Inputs!$C$49+Inputs!$C$50)))+Inputs!$C$47*0.097)))+0.3*(2*((SIN(((Scenario_Data!V241)*12.9898+(0)*78.233+Inputs!$C$47*37.719))*43758.5453)-INT((SIN(((Scenario_Data!V241)*12.9898+(0)*78.233+Inputs!$C$47*37.719))*43758.5453)))-1)))))/Inputs!$C$21*1000000</f>
        <v/>
      </c>
      <c r="AD241">
        <f>Scenario_Data!W241</f>
        <v/>
      </c>
      <c r="AE241">
        <f>2*((Scenario_Data!E241*1000)-(IF(OR(Inputs!$C$27=TRUE,Inputs!$C$27="TRUE",Inputs!$C$27=1),1,0)*(Inputs!$C$51*(115*EXP(-(((0)-25)^2)/(4.5^2))+70*EXP(-(((0)+38)^2)/(7^2))*(0.55+0.45*SIN(2*PI()*(Scenario_Data!W241)/45))+24*SIN(2*PI()*(0)/9+(Scenario_Data!W241)/18)*EXP(-(((0)+5)^2)/(22^2))+18*SIN(2*PI()*(Scenario_Data!W241)/70))+Inputs!$C$28*EXP(-(((Scenario_Data!W241)-Inputs!$C$29)^2)/(2*Inputs!$C$31^2))*EXP(-(((0)-Inputs!$C$30)^2)/(2*Inputs!$C$32^2))+-Inputs!$C$33*EXP(-(((((Scenario_Data!W241)-Inputs!$C$34)^2)+(((0)-Inputs!$C$35)^2))/(2*Inputs!$C$36^2)))+Inputs!$C$37*(0.55*SIN(2*PI()*(Scenario_Data!W241)/Inputs!$C$39)+0.35*COS(2*PI()*(0)/Inputs!$C$40)+0.2*SIN(2*PI()*((Scenario_Data!W241)+(0))/(0.5*(Inputs!$C$39+Inputs!$C$40))))+Inputs!$C$38*SIN(2*PI()*(Scenario_Data!W241)/Inputs!$C$39)*SIN(2*PI()*(0)/Inputs!$C$40)+-Inputs!$C$41*EXP(-(((0)-Inputs!$C$43)^2)/(2*Inputs!$C$44^2))*EXP(-(((Scenario_Data!W241)-Inputs!$C$42)^2)/(2*Inputs!$C$45^2))+Inputs!$C$48*(0.7*(0.45*SIN(2*PI()*(((Scenario_Data!W241)/Inputs!$C$49)+Inputs!$C$47*0.137))+0.35*COS(2*PI()*(((0)/Inputs!$C$50)+Inputs!$C$47*0.173))+0.2*SIN(2*PI()*((((Scenario_Data!W241)+(0))/(0.5*(Inputs!$C$49+Inputs!$C$50)))+Inputs!$C$47*0.097)))+0.3*(2*((SIN(((Scenario_Data!W241)*12.9898+(0)*78.233+Inputs!$C$47*37.719))*43758.5453)-INT((SIN(((Scenario_Data!W241)*12.9898+(0)*78.233+Inputs!$C$47*37.719))*43758.5453)))-1)))))/Inputs!$C$21*1000000</f>
        <v/>
      </c>
      <c r="AG241">
        <f>Scenario_Data!T241</f>
        <v/>
      </c>
      <c r="AH241">
        <f>2*(SQRT((Inputs!$C$52+(Scenario_Data!B241))^2+Inputs!$C$52^2-2*(Inputs!$C$52+(Scenario_Data!B241))*Inputs!$C$52*COS(SQRT((Scenario_Data!T241)^2+Inputs!$C$6^2)/Inputs!$C$52))*1000)/Inputs!$C$21*1000000</f>
        <v/>
      </c>
      <c r="AI241">
        <f>Scenario_Data!U241</f>
        <v/>
      </c>
      <c r="AJ241">
        <f>2*(SQRT((Inputs!$C$52+(Scenario_Data!C241))^2+Inputs!$C$52^2-2*(Inputs!$C$52+(Scenario_Data!C241))*Inputs!$C$52*COS(SQRT((Scenario_Data!U241)^2+Inputs!$C$6^2)/Inputs!$C$52))*1000)/Inputs!$C$21*1000000</f>
        <v/>
      </c>
      <c r="AK241">
        <f>Scenario_Data!V241</f>
        <v/>
      </c>
      <c r="AL241">
        <f>2*(SQRT((Inputs!$C$52+(Scenario_Data!D241))^2+Inputs!$C$52^2-2*(Inputs!$C$52+(Scenario_Data!D241))*Inputs!$C$52*COS(SQRT((Scenario_Data!V241)^2+Inputs!$C$6^2)/Inputs!$C$52))*1000)/Inputs!$C$21*1000000</f>
        <v/>
      </c>
      <c r="AM241">
        <f>Scenario_Data!W241</f>
        <v/>
      </c>
      <c r="AN241">
        <f>2*(SQRT((Inputs!$C$52+(Scenario_Data!E241))^2+Inputs!$C$52^2-2*(Inputs!$C$52+(Scenario_Data!E241))*Inputs!$C$52*COS(SQRT((Scenario_Data!W241)^2+Inputs!$C$6^2)/Inputs!$C$52))*1000)/Inputs!$C$21*1000000</f>
        <v/>
      </c>
      <c r="AP241">
        <f>Scenario_Data!T241</f>
        <v/>
      </c>
      <c r="AQ241">
        <f>2*(SQRT((Inputs!$C$52+(Scenario_Data!B241))^2+(Inputs!$C$52+((IF(OR(Inputs!$C$27=TRUE,Inputs!$C$27="TRUE",Inputs!$C$27=1),1,0)*(Inputs!$C$51*(115*EXP(-(((Inputs!$C$6)-25)^2)/(4.5^2))+70*EXP(-(((Inputs!$C$6)+38)^2)/(7^2))*(0.55+0.45*SIN(2*PI()*(Scenario_Data!T241)/45))+24*SIN(2*PI()*(Inputs!$C$6)/9+(Scenario_Data!T241)/18)*EXP(-(((Inputs!$C$6)+5)^2)/(22^2))+18*SIN(2*PI()*(Scenario_Data!T241)/70))+Inputs!$C$28*EXP(-(((Scenario_Data!T241)-Inputs!$C$29)^2)/(2*Inputs!$C$31^2))*EXP(-(((Inputs!$C$6)-Inputs!$C$30)^2)/(2*Inputs!$C$32^2))+-Inputs!$C$33*EXP(-(((((Scenario_Data!T241)-Inputs!$C$34)^2)+(((Inputs!$C$6)-Inputs!$C$35)^2))/(2*Inputs!$C$36^2)))+Inputs!$C$37*(0.55*SIN(2*PI()*(Scenario_Data!T241)/Inputs!$C$39)+0.35*COS(2*PI()*(Inputs!$C$6)/Inputs!$C$40)+0.2*SIN(2*PI()*((Scenario_Data!T241)+(Inputs!$C$6))/(0.5*(Inputs!$C$39+Inputs!$C$40))))+Inputs!$C$38*SIN(2*PI()*(Scenario_Data!T241)/Inputs!$C$39)*SIN(2*PI()*(Inputs!$C$6)/Inputs!$C$40)+-Inputs!$C$41*EXP(-(((Inputs!$C$6)-Inputs!$C$43)^2)/(2*Inputs!$C$44^2))*EXP(-(((Scenario_Data!T241)-Inputs!$C$42)^2)/(2*Inputs!$C$45^2))+Inputs!$C$48*(0.7*(0.45*SIN(2*PI()*(((Scenario_Data!T241)/Inputs!$C$49)+Inputs!$C$47*0.137))+0.35*COS(2*PI()*(((Inputs!$C$6)/Inputs!$C$50)+Inputs!$C$47*0.173))+0.2*SIN(2*PI()*((((Scenario_Data!T241)+(Inputs!$C$6))/(0.5*(Inputs!$C$49+Inputs!$C$50)))+Inputs!$C$47*0.097)))+0.3*(2*((SIN(((Scenario_Data!T241)*12.9898+(Inputs!$C$6)*78.233+Inputs!$C$47*37.719))*43758.5453)-INT((SIN(((Scenario_Data!T241)*12.9898+(Inputs!$C$6)*78.233+Inputs!$C$47*37.719))*43758.5453)))-1))))/1000))^2-2*(Inputs!$C$52+(Scenario_Data!B241))*(Inputs!$C$52+((IF(OR(Inputs!$C$27=TRUE,Inputs!$C$27="TRUE",Inputs!$C$27=1),1,0)*(Inputs!$C$51*(115*EXP(-(((Inputs!$C$6)-25)^2)/(4.5^2))+70*EXP(-(((Inputs!$C$6)+38)^2)/(7^2))*(0.55+0.45*SIN(2*PI()*(Scenario_Data!T241)/45))+24*SIN(2*PI()*(Inputs!$C$6)/9+(Scenario_Data!T241)/18)*EXP(-(((Inputs!$C$6)+5)^2)/(22^2))+18*SIN(2*PI()*(Scenario_Data!T241)/70))+Inputs!$C$28*EXP(-(((Scenario_Data!T241)-Inputs!$C$29)^2)/(2*Inputs!$C$31^2))*EXP(-(((Inputs!$C$6)-Inputs!$C$30)^2)/(2*Inputs!$C$32^2))+-Inputs!$C$33*EXP(-(((((Scenario_Data!T241)-Inputs!$C$34)^2)+(((Inputs!$C$6)-Inputs!$C$35)^2))/(2*Inputs!$C$36^2)))+Inputs!$C$37*(0.55*SIN(2*PI()*(Scenario_Data!T241)/Inputs!$C$39)+0.35*COS(2*PI()*(Inputs!$C$6)/Inputs!$C$40)+0.2*SIN(2*PI()*((Scenario_Data!T241)+(Inputs!$C$6))/(0.5*(Inputs!$C$39+Inputs!$C$40))))+Inputs!$C$38*SIN(2*PI()*(Scenario_Data!T241)/Inputs!$C$39)*SIN(2*PI()*(Inputs!$C$6)/Inputs!$C$40)+-Inputs!$C$41*EXP(-(((Inputs!$C$6)-Inputs!$C$43)^2)/(2*Inputs!$C$44^2))*EXP(-(((Scenario_Data!T241)-Inputs!$C$42)^2)/(2*Inputs!$C$45^2))+Inputs!$C$48*(0.7*(0.45*SIN(2*PI()*(((Scenario_Data!T241)/Inputs!$C$49)+Inputs!$C$47*0.137))+0.35*COS(2*PI()*(((Inputs!$C$6)/Inputs!$C$50)+Inputs!$C$47*0.173))+0.2*SIN(2*PI()*((((Scenario_Data!T241)+(Inputs!$C$6))/(0.5*(Inputs!$C$49+Inputs!$C$50)))+Inputs!$C$47*0.097)))+0.3*(2*((SIN(((Scenario_Data!T241)*12.9898+(Inputs!$C$6)*78.233+Inputs!$C$47*37.719))*43758.5453)-INT((SIN(((Scenario_Data!T241)*12.9898+(Inputs!$C$6)*78.233+Inputs!$C$47*37.719))*43758.5453)))-1))))/1000))*COS(SQRT((Scenario_Data!T241)^2+Inputs!$C$6^2)/Inputs!$C$52))*1000)/Inputs!$C$21*1000000</f>
        <v/>
      </c>
      <c r="AR241">
        <f>Scenario_Data!U241</f>
        <v/>
      </c>
      <c r="AS241">
        <f>2*(SQRT((Inputs!$C$52+(Scenario_Data!C241))^2+(Inputs!$C$52+((IF(OR(Inputs!$C$27=TRUE,Inputs!$C$27="TRUE",Inputs!$C$27=1),1,0)*(Inputs!$C$51*(115*EXP(-(((Inputs!$C$6)-25)^2)/(4.5^2))+70*EXP(-(((Inputs!$C$6)+38)^2)/(7^2))*(0.55+0.45*SIN(2*PI()*(Scenario_Data!U241)/45))+24*SIN(2*PI()*(Inputs!$C$6)/9+(Scenario_Data!U241)/18)*EXP(-(((Inputs!$C$6)+5)^2)/(22^2))+18*SIN(2*PI()*(Scenario_Data!U241)/70))+Inputs!$C$28*EXP(-(((Scenario_Data!U241)-Inputs!$C$29)^2)/(2*Inputs!$C$31^2))*EXP(-(((Inputs!$C$6)-Inputs!$C$30)^2)/(2*Inputs!$C$32^2))+-Inputs!$C$33*EXP(-(((((Scenario_Data!U241)-Inputs!$C$34)^2)+(((Inputs!$C$6)-Inputs!$C$35)^2))/(2*Inputs!$C$36^2)))+Inputs!$C$37*(0.55*SIN(2*PI()*(Scenario_Data!U241)/Inputs!$C$39)+0.35*COS(2*PI()*(Inputs!$C$6)/Inputs!$C$40)+0.2*SIN(2*PI()*((Scenario_Data!U241)+(Inputs!$C$6))/(0.5*(Inputs!$C$39+Inputs!$C$40))))+Inputs!$C$38*SIN(2*PI()*(Scenario_Data!U241)/Inputs!$C$39)*SIN(2*PI()*(Inputs!$C$6)/Inputs!$C$40)+-Inputs!$C$41*EXP(-(((Inputs!$C$6)-Inputs!$C$43)^2)/(2*Inputs!$C$44^2))*EXP(-(((Scenario_Data!U241)-Inputs!$C$42)^2)/(2*Inputs!$C$45^2))+Inputs!$C$48*(0.7*(0.45*SIN(2*PI()*(((Scenario_Data!U241)/Inputs!$C$49)+Inputs!$C$47*0.137))+0.35*COS(2*PI()*(((Inputs!$C$6)/Inputs!$C$50)+Inputs!$C$47*0.173))+0.2*SIN(2*PI()*((((Scenario_Data!U241)+(Inputs!$C$6))/(0.5*(Inputs!$C$49+Inputs!$C$50)))+Inputs!$C$47*0.097)))+0.3*(2*((SIN(((Scenario_Data!U241)*12.9898+(Inputs!$C$6)*78.233+Inputs!$C$47*37.719))*43758.5453)-INT((SIN(((Scenario_Data!U241)*12.9898+(Inputs!$C$6)*78.233+Inputs!$C$47*37.719))*43758.5453)))-1))))/1000))^2-2*(Inputs!$C$52+(Scenario_Data!C241))*(Inputs!$C$52+((IF(OR(Inputs!$C$27=TRUE,Inputs!$C$27="TRUE",Inputs!$C$27=1),1,0)*(Inputs!$C$51*(115*EXP(-(((Inputs!$C$6)-25)^2)/(4.5^2))+70*EXP(-(((Inputs!$C$6)+38)^2)/(7^2))*(0.55+0.45*SIN(2*PI()*(Scenario_Data!U241)/45))+24*SIN(2*PI()*(Inputs!$C$6)/9+(Scenario_Data!U241)/18)*EXP(-(((Inputs!$C$6)+5)^2)/(22^2))+18*SIN(2*PI()*(Scenario_Data!U241)/70))+Inputs!$C$28*EXP(-(((Scenario_Data!U241)-Inputs!$C$29)^2)/(2*Inputs!$C$31^2))*EXP(-(((Inputs!$C$6)-Inputs!$C$30)^2)/(2*Inputs!$C$32^2))+-Inputs!$C$33*EXP(-(((((Scenario_Data!U241)-Inputs!$C$34)^2)+(((Inputs!$C$6)-Inputs!$C$35)^2))/(2*Inputs!$C$36^2)))+Inputs!$C$37*(0.55*SIN(2*PI()*(Scenario_Data!U241)/Inputs!$C$39)+0.35*COS(2*PI()*(Inputs!$C$6)/Inputs!$C$40)+0.2*SIN(2*PI()*((Scenario_Data!U241)+(Inputs!$C$6))/(0.5*(Inputs!$C$39+Inputs!$C$40))))+Inputs!$C$38*SIN(2*PI()*(Scenario_Data!U241)/Inputs!$C$39)*SIN(2*PI()*(Inputs!$C$6)/Inputs!$C$40)+-Inputs!$C$41*EXP(-(((Inputs!$C$6)-Inputs!$C$43)^2)/(2*Inputs!$C$44^2))*EXP(-(((Scenario_Data!U241)-Inputs!$C$42)^2)/(2*Inputs!$C$45^2))+Inputs!$C$48*(0.7*(0.45*SIN(2*PI()*(((Scenario_Data!U241)/Inputs!$C$49)+Inputs!$C$47*0.137))+0.35*COS(2*PI()*(((Inputs!$C$6)/Inputs!$C$50)+Inputs!$C$47*0.173))+0.2*SIN(2*PI()*((((Scenario_Data!U241)+(Inputs!$C$6))/(0.5*(Inputs!$C$49+Inputs!$C$50)))+Inputs!$C$47*0.097)))+0.3*(2*((SIN(((Scenario_Data!U241)*12.9898+(Inputs!$C$6)*78.233+Inputs!$C$47*37.719))*43758.5453)-INT((SIN(((Scenario_Data!U241)*12.9898+(Inputs!$C$6)*78.233+Inputs!$C$47*37.719))*43758.5453)))-1))))/1000))*COS(SQRT((Scenario_Data!U241)^2+Inputs!$C$6^2)/Inputs!$C$52))*1000)/Inputs!$C$21*1000000</f>
        <v/>
      </c>
      <c r="AT241">
        <f>Scenario_Data!V241</f>
        <v/>
      </c>
      <c r="AU241">
        <f>2*(SQRT((Inputs!$C$52+(Scenario_Data!D241))^2+(Inputs!$C$52+((IF(OR(Inputs!$C$27=TRUE,Inputs!$C$27="TRUE",Inputs!$C$27=1),1,0)*(Inputs!$C$51*(115*EXP(-(((Inputs!$C$6)-25)^2)/(4.5^2))+70*EXP(-(((Inputs!$C$6)+38)^2)/(7^2))*(0.55+0.45*SIN(2*PI()*(Scenario_Data!V241)/45))+24*SIN(2*PI()*(Inputs!$C$6)/9+(Scenario_Data!V241)/18)*EXP(-(((Inputs!$C$6)+5)^2)/(22^2))+18*SIN(2*PI()*(Scenario_Data!V241)/70))+Inputs!$C$28*EXP(-(((Scenario_Data!V241)-Inputs!$C$29)^2)/(2*Inputs!$C$31^2))*EXP(-(((Inputs!$C$6)-Inputs!$C$30)^2)/(2*Inputs!$C$32^2))+-Inputs!$C$33*EXP(-(((((Scenario_Data!V241)-Inputs!$C$34)^2)+(((Inputs!$C$6)-Inputs!$C$35)^2))/(2*Inputs!$C$36^2)))+Inputs!$C$37*(0.55*SIN(2*PI()*(Scenario_Data!V241)/Inputs!$C$39)+0.35*COS(2*PI()*(Inputs!$C$6)/Inputs!$C$40)+0.2*SIN(2*PI()*((Scenario_Data!V241)+(Inputs!$C$6))/(0.5*(Inputs!$C$39+Inputs!$C$40))))+Inputs!$C$38*SIN(2*PI()*(Scenario_Data!V241)/Inputs!$C$39)*SIN(2*PI()*(Inputs!$C$6)/Inputs!$C$40)+-Inputs!$C$41*EXP(-(((Inputs!$C$6)-Inputs!$C$43)^2)/(2*Inputs!$C$44^2))*EXP(-(((Scenario_Data!V241)-Inputs!$C$42)^2)/(2*Inputs!$C$45^2))+Inputs!$C$48*(0.7*(0.45*SIN(2*PI()*(((Scenario_Data!V241)/Inputs!$C$49)+Inputs!$C$47*0.137))+0.35*COS(2*PI()*(((Inputs!$C$6)/Inputs!$C$50)+Inputs!$C$47*0.173))+0.2*SIN(2*PI()*((((Scenario_Data!V241)+(Inputs!$C$6))/(0.5*(Inputs!$C$49+Inputs!$C$50)))+Inputs!$C$47*0.097)))+0.3*(2*((SIN(((Scenario_Data!V241)*12.9898+(Inputs!$C$6)*78.233+Inputs!$C$47*37.719))*43758.5453)-INT((SIN(((Scenario_Data!V241)*12.9898+(Inputs!$C$6)*78.233+Inputs!$C$47*37.719))*43758.5453)))-1))))/1000))^2-2*(Inputs!$C$52+(Scenario_Data!D241))*(Inputs!$C$52+((IF(OR(Inputs!$C$27=TRUE,Inputs!$C$27="TRUE",Inputs!$C$27=1),1,0)*(Inputs!$C$51*(115*EXP(-(((Inputs!$C$6)-25)^2)/(4.5^2))+70*EXP(-(((Inputs!$C$6)+38)^2)/(7^2))*(0.55+0.45*SIN(2*PI()*(Scenario_Data!V241)/45))+24*SIN(2*PI()*(Inputs!$C$6)/9+(Scenario_Data!V241)/18)*EXP(-(((Inputs!$C$6)+5)^2)/(22^2))+18*SIN(2*PI()*(Scenario_Data!V241)/70))+Inputs!$C$28*EXP(-(((Scenario_Data!V241)-Inputs!$C$29)^2)/(2*Inputs!$C$31^2))*EXP(-(((Inputs!$C$6)-Inputs!$C$30)^2)/(2*Inputs!$C$32^2))+-Inputs!$C$33*EXP(-(((((Scenario_Data!V241)-Inputs!$C$34)^2)+(((Inputs!$C$6)-Inputs!$C$35)^2))/(2*Inputs!$C$36^2)))+Inputs!$C$37*(0.55*SIN(2*PI()*(Scenario_Data!V241)/Inputs!$C$39)+0.35*COS(2*PI()*(Inputs!$C$6)/Inputs!$C$40)+0.2*SIN(2*PI()*((Scenario_Data!V241)+(Inputs!$C$6))/(0.5*(Inputs!$C$39+Inputs!$C$40))))+Inputs!$C$38*SIN(2*PI()*(Scenario_Data!V241)/Inputs!$C$39)*SIN(2*PI()*(Inputs!$C$6)/Inputs!$C$40)+-Inputs!$C$41*EXP(-(((Inputs!$C$6)-Inputs!$C$43)^2)/(2*Inputs!$C$44^2))*EXP(-(((Scenario_Data!V241)-Inputs!$C$42)^2)/(2*Inputs!$C$45^2))+Inputs!$C$48*(0.7*(0.45*SIN(2*PI()*(((Scenario_Data!V241)/Inputs!$C$49)+Inputs!$C$47*0.137))+0.35*COS(2*PI()*(((Inputs!$C$6)/Inputs!$C$50)+Inputs!$C$47*0.173))+0.2*SIN(2*PI()*((((Scenario_Data!V241)+(Inputs!$C$6))/(0.5*(Inputs!$C$49+Inputs!$C$50)))+Inputs!$C$47*0.097)))+0.3*(2*((SIN(((Scenario_Data!V241)*12.9898+(Inputs!$C$6)*78.233+Inputs!$C$47*37.719))*43758.5453)-INT((SIN(((Scenario_Data!V241)*12.9898+(Inputs!$C$6)*78.233+Inputs!$C$47*37.719))*43758.5453)))-1))))/1000))*COS(SQRT((Scenario_Data!V241)^2+Inputs!$C$6^2)/Inputs!$C$52))*1000)/Inputs!$C$21*1000000</f>
        <v/>
      </c>
      <c r="AV241">
        <f>Scenario_Data!W241</f>
        <v/>
      </c>
      <c r="AW241">
        <f>2*(SQRT((Inputs!$C$52+(Scenario_Data!E241))^2+(Inputs!$C$52+((IF(OR(Inputs!$C$27=TRUE,Inputs!$C$27="TRUE",Inputs!$C$27=1),1,0)*(Inputs!$C$51*(115*EXP(-(((Inputs!$C$6)-25)^2)/(4.5^2))+70*EXP(-(((Inputs!$C$6)+38)^2)/(7^2))*(0.55+0.45*SIN(2*PI()*(Scenario_Data!W241)/45))+24*SIN(2*PI()*(Inputs!$C$6)/9+(Scenario_Data!W241)/18)*EXP(-(((Inputs!$C$6)+5)^2)/(22^2))+18*SIN(2*PI()*(Scenario_Data!W241)/70))+Inputs!$C$28*EXP(-(((Scenario_Data!W241)-Inputs!$C$29)^2)/(2*Inputs!$C$31^2))*EXP(-(((Inputs!$C$6)-Inputs!$C$30)^2)/(2*Inputs!$C$32^2))+-Inputs!$C$33*EXP(-(((((Scenario_Data!W241)-Inputs!$C$34)^2)+(((Inputs!$C$6)-Inputs!$C$35)^2))/(2*Inputs!$C$36^2)))+Inputs!$C$37*(0.55*SIN(2*PI()*(Scenario_Data!W241)/Inputs!$C$39)+0.35*COS(2*PI()*(Inputs!$C$6)/Inputs!$C$40)+0.2*SIN(2*PI()*((Scenario_Data!W241)+(Inputs!$C$6))/(0.5*(Inputs!$C$39+Inputs!$C$40))))+Inputs!$C$38*SIN(2*PI()*(Scenario_Data!W241)/Inputs!$C$39)*SIN(2*PI()*(Inputs!$C$6)/Inputs!$C$40)+-Inputs!$C$41*EXP(-(((Inputs!$C$6)-Inputs!$C$43)^2)/(2*Inputs!$C$44^2))*EXP(-(((Scenario_Data!W241)-Inputs!$C$42)^2)/(2*Inputs!$C$45^2))+Inputs!$C$48*(0.7*(0.45*SIN(2*PI()*(((Scenario_Data!W241)/Inputs!$C$49)+Inputs!$C$47*0.137))+0.35*COS(2*PI()*(((Inputs!$C$6)/Inputs!$C$50)+Inputs!$C$47*0.173))+0.2*SIN(2*PI()*((((Scenario_Data!W241)+(Inputs!$C$6))/(0.5*(Inputs!$C$49+Inputs!$C$50)))+Inputs!$C$47*0.097)))+0.3*(2*((SIN(((Scenario_Data!W241)*12.9898+(Inputs!$C$6)*78.233+Inputs!$C$47*37.719))*43758.5453)-INT((SIN(((Scenario_Data!W241)*12.9898+(Inputs!$C$6)*78.233+Inputs!$C$47*37.719))*43758.5453)))-1))))/1000))^2-2*(Inputs!$C$52+(Scenario_Data!E241))*(Inputs!$C$52+((IF(OR(Inputs!$C$27=TRUE,Inputs!$C$27="TRUE",Inputs!$C$27=1),1,0)*(Inputs!$C$51*(115*EXP(-(((Inputs!$C$6)-25)^2)/(4.5^2))+70*EXP(-(((Inputs!$C$6)+38)^2)/(7^2))*(0.55+0.45*SIN(2*PI()*(Scenario_Data!W241)/45))+24*SIN(2*PI()*(Inputs!$C$6)/9+(Scenario_Data!W241)/18)*EXP(-(((Inputs!$C$6)+5)^2)/(22^2))+18*SIN(2*PI()*(Scenario_Data!W241)/70))+Inputs!$C$28*EXP(-(((Scenario_Data!W241)-Inputs!$C$29)^2)/(2*Inputs!$C$31^2))*EXP(-(((Inputs!$C$6)-Inputs!$C$30)^2)/(2*Inputs!$C$32^2))+-Inputs!$C$33*EXP(-(((((Scenario_Data!W241)-Inputs!$C$34)^2)+(((Inputs!$C$6)-Inputs!$C$35)^2))/(2*Inputs!$C$36^2)))+Inputs!$C$37*(0.55*SIN(2*PI()*(Scenario_Data!W241)/Inputs!$C$39)+0.35*COS(2*PI()*(Inputs!$C$6)/Inputs!$C$40)+0.2*SIN(2*PI()*((Scenario_Data!W241)+(Inputs!$C$6))/(0.5*(Inputs!$C$39+Inputs!$C$40))))+Inputs!$C$38*SIN(2*PI()*(Scenario_Data!W241)/Inputs!$C$39)*SIN(2*PI()*(Inputs!$C$6)/Inputs!$C$40)+-Inputs!$C$41*EXP(-(((Inputs!$C$6)-Inputs!$C$43)^2)/(2*Inputs!$C$44^2))*EXP(-(((Scenario_Data!W241)-Inputs!$C$42)^2)/(2*Inputs!$C$45^2))+Inputs!$C$48*(0.7*(0.45*SIN(2*PI()*(((Scenario_Data!W241)/Inputs!$C$49)+Inputs!$C$47*0.137))+0.35*COS(2*PI()*(((Inputs!$C$6)/Inputs!$C$50)+Inputs!$C$47*0.173))+0.2*SIN(2*PI()*((((Scenario_Data!W241)+(Inputs!$C$6))/(0.5*(Inputs!$C$49+Inputs!$C$50)))+Inputs!$C$47*0.097)))+0.3*(2*((SIN(((Scenario_Data!W241)*12.9898+(Inputs!$C$6)*78.233+Inputs!$C$47*37.719))*43758.5453)-INT((SIN(((Scenario_Data!W241)*12.9898+(Inputs!$C$6)*78.233+Inputs!$C$47*37.719))*43758.5453)))-1))))/1000))*COS(SQRT((Scenario_Data!W241)^2+Inputs!$C$6^2)/Inputs!$C$52))*1000)/Inputs!$C$21*1000000</f>
        <v/>
      </c>
    </row>
    <row r="242">
      <c r="A242">
        <f>Chart_Data!K242</f>
        <v/>
      </c>
      <c r="B242">
        <f>Chart_Data!N242-Chart_Data!L242</f>
        <v/>
      </c>
      <c r="D242">
        <f>Chart_Data!G242</f>
        <v/>
      </c>
      <c r="E242">
        <f>Chart_Data!H242</f>
        <v/>
      </c>
      <c r="F242">
        <f>Chart_Data!I242</f>
        <v/>
      </c>
      <c r="G242">
        <f>Chart_Data!J242</f>
        <v/>
      </c>
      <c r="I242">
        <f>Scenario_Data!A242</f>
        <v/>
      </c>
      <c r="J242">
        <f>Scenario_Data!H242-(((SQRT((Inputs!$C$52+(Inputs!$H$6))^2+Inputs!$C$52^2-2*(Inputs!$C$52+(Inputs!$H$6))*Inputs!$C$52*COS(SQRT((Scenario_Data!T242)^2+Inputs!$C$6^2)/Inputs!$C$52)))-(Inputs!$H$6))*1000/Inputs!$C$12)</f>
        <v/>
      </c>
      <c r="K242">
        <f>Scenario_Data!I242-(((SQRT((Inputs!$C$52+(Inputs!$H$7))^2+Inputs!$C$52^2-2*(Inputs!$C$52+(Inputs!$H$7))*Inputs!$C$52*COS(SQRT((Scenario_Data!U242)^2+Inputs!$C$6^2)/Inputs!$C$52)))-(Inputs!$H$7))*1000/Inputs!$C$12)</f>
        <v/>
      </c>
      <c r="L242">
        <f>Scenario_Data!J242-(((SQRT((Inputs!$C$52+(Inputs!$H$8))^2+Inputs!$C$52^2-2*(Inputs!$C$52+(Inputs!$H$8))*Inputs!$C$52*COS(SQRT((Scenario_Data!V242)^2+Inputs!$C$6^2)/Inputs!$C$52)))-(Inputs!$H$8))*1000/Inputs!$C$12)</f>
        <v/>
      </c>
      <c r="M242">
        <f>Scenario_Data!K242-(((SQRT((Inputs!$C$52+(Inputs!$H$9))^2+Inputs!$C$52^2-2*(Inputs!$C$52+(Inputs!$H$9))*Inputs!$C$52*COS(SQRT((Scenario_Data!W242)^2+Inputs!$C$6^2)/Inputs!$C$52)))-(Inputs!$H$9))*1000/Inputs!$C$12)</f>
        <v/>
      </c>
      <c r="O242">
        <f>Scenario_Data!T242</f>
        <v/>
      </c>
      <c r="P242">
        <f>2*(Scenario_Data!B242*1000)/Inputs!$C$21*1000000</f>
        <v/>
      </c>
      <c r="Q242">
        <f>Scenario_Data!U242</f>
        <v/>
      </c>
      <c r="R242">
        <f>2*(Scenario_Data!C242*1000)/Inputs!$C$21*1000000</f>
        <v/>
      </c>
      <c r="S242">
        <f>Scenario_Data!V242</f>
        <v/>
      </c>
      <c r="T242">
        <f>2*(Scenario_Data!D242*1000)/Inputs!$C$21*1000000</f>
        <v/>
      </c>
      <c r="U242">
        <f>Scenario_Data!W242</f>
        <v/>
      </c>
      <c r="V242">
        <f>2*(Scenario_Data!E242*1000)/Inputs!$C$21*1000000</f>
        <v/>
      </c>
      <c r="X242">
        <f>Scenario_Data!T242</f>
        <v/>
      </c>
      <c r="Y242">
        <f>2*((Scenario_Data!B242*1000)-(IF(OR(Inputs!$C$27=TRUE,Inputs!$C$27="TRUE",Inputs!$C$27=1),1,0)*(Inputs!$C$51*(115*EXP(-(((0)-25)^2)/(4.5^2))+70*EXP(-(((0)+38)^2)/(7^2))*(0.55+0.45*SIN(2*PI()*(Scenario_Data!T242)/45))+24*SIN(2*PI()*(0)/9+(Scenario_Data!T242)/18)*EXP(-(((0)+5)^2)/(22^2))+18*SIN(2*PI()*(Scenario_Data!T242)/70))+Inputs!$C$28*EXP(-(((Scenario_Data!T242)-Inputs!$C$29)^2)/(2*Inputs!$C$31^2))*EXP(-(((0)-Inputs!$C$30)^2)/(2*Inputs!$C$32^2))+-Inputs!$C$33*EXP(-(((((Scenario_Data!T242)-Inputs!$C$34)^2)+(((0)-Inputs!$C$35)^2))/(2*Inputs!$C$36^2)))+Inputs!$C$37*(0.55*SIN(2*PI()*(Scenario_Data!T242)/Inputs!$C$39)+0.35*COS(2*PI()*(0)/Inputs!$C$40)+0.2*SIN(2*PI()*((Scenario_Data!T242)+(0))/(0.5*(Inputs!$C$39+Inputs!$C$40))))+Inputs!$C$38*SIN(2*PI()*(Scenario_Data!T242)/Inputs!$C$39)*SIN(2*PI()*(0)/Inputs!$C$40)+-Inputs!$C$41*EXP(-(((0)-Inputs!$C$43)^2)/(2*Inputs!$C$44^2))*EXP(-(((Scenario_Data!T242)-Inputs!$C$42)^2)/(2*Inputs!$C$45^2))+Inputs!$C$48*(0.7*(0.45*SIN(2*PI()*(((Scenario_Data!T242)/Inputs!$C$49)+Inputs!$C$47*0.137))+0.35*COS(2*PI()*(((0)/Inputs!$C$50)+Inputs!$C$47*0.173))+0.2*SIN(2*PI()*((((Scenario_Data!T242)+(0))/(0.5*(Inputs!$C$49+Inputs!$C$50)))+Inputs!$C$47*0.097)))+0.3*(2*((SIN(((Scenario_Data!T242)*12.9898+(0)*78.233+Inputs!$C$47*37.719))*43758.5453)-INT((SIN(((Scenario_Data!T242)*12.9898+(0)*78.233+Inputs!$C$47*37.719))*43758.5453)))-1)))))/Inputs!$C$21*1000000</f>
        <v/>
      </c>
      <c r="Z242">
        <f>Scenario_Data!U242</f>
        <v/>
      </c>
      <c r="AA242">
        <f>2*((Scenario_Data!C242*1000)-(IF(OR(Inputs!$C$27=TRUE,Inputs!$C$27="TRUE",Inputs!$C$27=1),1,0)*(Inputs!$C$51*(115*EXP(-(((0)-25)^2)/(4.5^2))+70*EXP(-(((0)+38)^2)/(7^2))*(0.55+0.45*SIN(2*PI()*(Scenario_Data!U242)/45))+24*SIN(2*PI()*(0)/9+(Scenario_Data!U242)/18)*EXP(-(((0)+5)^2)/(22^2))+18*SIN(2*PI()*(Scenario_Data!U242)/70))+Inputs!$C$28*EXP(-(((Scenario_Data!U242)-Inputs!$C$29)^2)/(2*Inputs!$C$31^2))*EXP(-(((0)-Inputs!$C$30)^2)/(2*Inputs!$C$32^2))+-Inputs!$C$33*EXP(-(((((Scenario_Data!U242)-Inputs!$C$34)^2)+(((0)-Inputs!$C$35)^2))/(2*Inputs!$C$36^2)))+Inputs!$C$37*(0.55*SIN(2*PI()*(Scenario_Data!U242)/Inputs!$C$39)+0.35*COS(2*PI()*(0)/Inputs!$C$40)+0.2*SIN(2*PI()*((Scenario_Data!U242)+(0))/(0.5*(Inputs!$C$39+Inputs!$C$40))))+Inputs!$C$38*SIN(2*PI()*(Scenario_Data!U242)/Inputs!$C$39)*SIN(2*PI()*(0)/Inputs!$C$40)+-Inputs!$C$41*EXP(-(((0)-Inputs!$C$43)^2)/(2*Inputs!$C$44^2))*EXP(-(((Scenario_Data!U242)-Inputs!$C$42)^2)/(2*Inputs!$C$45^2))+Inputs!$C$48*(0.7*(0.45*SIN(2*PI()*(((Scenario_Data!U242)/Inputs!$C$49)+Inputs!$C$47*0.137))+0.35*COS(2*PI()*(((0)/Inputs!$C$50)+Inputs!$C$47*0.173))+0.2*SIN(2*PI()*((((Scenario_Data!U242)+(0))/(0.5*(Inputs!$C$49+Inputs!$C$50)))+Inputs!$C$47*0.097)))+0.3*(2*((SIN(((Scenario_Data!U242)*12.9898+(0)*78.233+Inputs!$C$47*37.719))*43758.5453)-INT((SIN(((Scenario_Data!U242)*12.9898+(0)*78.233+Inputs!$C$47*37.719))*43758.5453)))-1)))))/Inputs!$C$21*1000000</f>
        <v/>
      </c>
      <c r="AB242">
        <f>Scenario_Data!V242</f>
        <v/>
      </c>
      <c r="AC242">
        <f>2*((Scenario_Data!D242*1000)-(IF(OR(Inputs!$C$27=TRUE,Inputs!$C$27="TRUE",Inputs!$C$27=1),1,0)*(Inputs!$C$51*(115*EXP(-(((0)-25)^2)/(4.5^2))+70*EXP(-(((0)+38)^2)/(7^2))*(0.55+0.45*SIN(2*PI()*(Scenario_Data!V242)/45))+24*SIN(2*PI()*(0)/9+(Scenario_Data!V242)/18)*EXP(-(((0)+5)^2)/(22^2))+18*SIN(2*PI()*(Scenario_Data!V242)/70))+Inputs!$C$28*EXP(-(((Scenario_Data!V242)-Inputs!$C$29)^2)/(2*Inputs!$C$31^2))*EXP(-(((0)-Inputs!$C$30)^2)/(2*Inputs!$C$32^2))+-Inputs!$C$33*EXP(-(((((Scenario_Data!V242)-Inputs!$C$34)^2)+(((0)-Inputs!$C$35)^2))/(2*Inputs!$C$36^2)))+Inputs!$C$37*(0.55*SIN(2*PI()*(Scenario_Data!V242)/Inputs!$C$39)+0.35*COS(2*PI()*(0)/Inputs!$C$40)+0.2*SIN(2*PI()*((Scenario_Data!V242)+(0))/(0.5*(Inputs!$C$39+Inputs!$C$40))))+Inputs!$C$38*SIN(2*PI()*(Scenario_Data!V242)/Inputs!$C$39)*SIN(2*PI()*(0)/Inputs!$C$40)+-Inputs!$C$41*EXP(-(((0)-Inputs!$C$43)^2)/(2*Inputs!$C$44^2))*EXP(-(((Scenario_Data!V242)-Inputs!$C$42)^2)/(2*Inputs!$C$45^2))+Inputs!$C$48*(0.7*(0.45*SIN(2*PI()*(((Scenario_Data!V242)/Inputs!$C$49)+Inputs!$C$47*0.137))+0.35*COS(2*PI()*(((0)/Inputs!$C$50)+Inputs!$C$47*0.173))+0.2*SIN(2*PI()*((((Scenario_Data!V242)+(0))/(0.5*(Inputs!$C$49+Inputs!$C$50)))+Inputs!$C$47*0.097)))+0.3*(2*((SIN(((Scenario_Data!V242)*12.9898+(0)*78.233+Inputs!$C$47*37.719))*43758.5453)-INT((SIN(((Scenario_Data!V242)*12.9898+(0)*78.233+Inputs!$C$47*37.719))*43758.5453)))-1)))))/Inputs!$C$21*1000000</f>
        <v/>
      </c>
      <c r="AD242">
        <f>Scenario_Data!W242</f>
        <v/>
      </c>
      <c r="AE242">
        <f>2*((Scenario_Data!E242*1000)-(IF(OR(Inputs!$C$27=TRUE,Inputs!$C$27="TRUE",Inputs!$C$27=1),1,0)*(Inputs!$C$51*(115*EXP(-(((0)-25)^2)/(4.5^2))+70*EXP(-(((0)+38)^2)/(7^2))*(0.55+0.45*SIN(2*PI()*(Scenario_Data!W242)/45))+24*SIN(2*PI()*(0)/9+(Scenario_Data!W242)/18)*EXP(-(((0)+5)^2)/(22^2))+18*SIN(2*PI()*(Scenario_Data!W242)/70))+Inputs!$C$28*EXP(-(((Scenario_Data!W242)-Inputs!$C$29)^2)/(2*Inputs!$C$31^2))*EXP(-(((0)-Inputs!$C$30)^2)/(2*Inputs!$C$32^2))+-Inputs!$C$33*EXP(-(((((Scenario_Data!W242)-Inputs!$C$34)^2)+(((0)-Inputs!$C$35)^2))/(2*Inputs!$C$36^2)))+Inputs!$C$37*(0.55*SIN(2*PI()*(Scenario_Data!W242)/Inputs!$C$39)+0.35*COS(2*PI()*(0)/Inputs!$C$40)+0.2*SIN(2*PI()*((Scenario_Data!W242)+(0))/(0.5*(Inputs!$C$39+Inputs!$C$40))))+Inputs!$C$38*SIN(2*PI()*(Scenario_Data!W242)/Inputs!$C$39)*SIN(2*PI()*(0)/Inputs!$C$40)+-Inputs!$C$41*EXP(-(((0)-Inputs!$C$43)^2)/(2*Inputs!$C$44^2))*EXP(-(((Scenario_Data!W242)-Inputs!$C$42)^2)/(2*Inputs!$C$45^2))+Inputs!$C$48*(0.7*(0.45*SIN(2*PI()*(((Scenario_Data!W242)/Inputs!$C$49)+Inputs!$C$47*0.137))+0.35*COS(2*PI()*(((0)/Inputs!$C$50)+Inputs!$C$47*0.173))+0.2*SIN(2*PI()*((((Scenario_Data!W242)+(0))/(0.5*(Inputs!$C$49+Inputs!$C$50)))+Inputs!$C$47*0.097)))+0.3*(2*((SIN(((Scenario_Data!W242)*12.9898+(0)*78.233+Inputs!$C$47*37.719))*43758.5453)-INT((SIN(((Scenario_Data!W242)*12.9898+(0)*78.233+Inputs!$C$47*37.719))*43758.5453)))-1)))))/Inputs!$C$21*1000000</f>
        <v/>
      </c>
      <c r="AG242">
        <f>Scenario_Data!T242</f>
        <v/>
      </c>
      <c r="AH242">
        <f>2*(SQRT((Inputs!$C$52+(Scenario_Data!B242))^2+Inputs!$C$52^2-2*(Inputs!$C$52+(Scenario_Data!B242))*Inputs!$C$52*COS(SQRT((Scenario_Data!T242)^2+Inputs!$C$6^2)/Inputs!$C$52))*1000)/Inputs!$C$21*1000000</f>
        <v/>
      </c>
      <c r="AI242">
        <f>Scenario_Data!U242</f>
        <v/>
      </c>
      <c r="AJ242">
        <f>2*(SQRT((Inputs!$C$52+(Scenario_Data!C242))^2+Inputs!$C$52^2-2*(Inputs!$C$52+(Scenario_Data!C242))*Inputs!$C$52*COS(SQRT((Scenario_Data!U242)^2+Inputs!$C$6^2)/Inputs!$C$52))*1000)/Inputs!$C$21*1000000</f>
        <v/>
      </c>
      <c r="AK242">
        <f>Scenario_Data!V242</f>
        <v/>
      </c>
      <c r="AL242">
        <f>2*(SQRT((Inputs!$C$52+(Scenario_Data!D242))^2+Inputs!$C$52^2-2*(Inputs!$C$52+(Scenario_Data!D242))*Inputs!$C$52*COS(SQRT((Scenario_Data!V242)^2+Inputs!$C$6^2)/Inputs!$C$52))*1000)/Inputs!$C$21*1000000</f>
        <v/>
      </c>
      <c r="AM242">
        <f>Scenario_Data!W242</f>
        <v/>
      </c>
      <c r="AN242">
        <f>2*(SQRT((Inputs!$C$52+(Scenario_Data!E242))^2+Inputs!$C$52^2-2*(Inputs!$C$52+(Scenario_Data!E242))*Inputs!$C$52*COS(SQRT((Scenario_Data!W242)^2+Inputs!$C$6^2)/Inputs!$C$52))*1000)/Inputs!$C$21*1000000</f>
        <v/>
      </c>
      <c r="AP242">
        <f>Scenario_Data!T242</f>
        <v/>
      </c>
      <c r="AQ242">
        <f>2*(SQRT((Inputs!$C$52+(Scenario_Data!B242))^2+(Inputs!$C$52+((IF(OR(Inputs!$C$27=TRUE,Inputs!$C$27="TRUE",Inputs!$C$27=1),1,0)*(Inputs!$C$51*(115*EXP(-(((Inputs!$C$6)-25)^2)/(4.5^2))+70*EXP(-(((Inputs!$C$6)+38)^2)/(7^2))*(0.55+0.45*SIN(2*PI()*(Scenario_Data!T242)/45))+24*SIN(2*PI()*(Inputs!$C$6)/9+(Scenario_Data!T242)/18)*EXP(-(((Inputs!$C$6)+5)^2)/(22^2))+18*SIN(2*PI()*(Scenario_Data!T242)/70))+Inputs!$C$28*EXP(-(((Scenario_Data!T242)-Inputs!$C$29)^2)/(2*Inputs!$C$31^2))*EXP(-(((Inputs!$C$6)-Inputs!$C$30)^2)/(2*Inputs!$C$32^2))+-Inputs!$C$33*EXP(-(((((Scenario_Data!T242)-Inputs!$C$34)^2)+(((Inputs!$C$6)-Inputs!$C$35)^2))/(2*Inputs!$C$36^2)))+Inputs!$C$37*(0.55*SIN(2*PI()*(Scenario_Data!T242)/Inputs!$C$39)+0.35*COS(2*PI()*(Inputs!$C$6)/Inputs!$C$40)+0.2*SIN(2*PI()*((Scenario_Data!T242)+(Inputs!$C$6))/(0.5*(Inputs!$C$39+Inputs!$C$40))))+Inputs!$C$38*SIN(2*PI()*(Scenario_Data!T242)/Inputs!$C$39)*SIN(2*PI()*(Inputs!$C$6)/Inputs!$C$40)+-Inputs!$C$41*EXP(-(((Inputs!$C$6)-Inputs!$C$43)^2)/(2*Inputs!$C$44^2))*EXP(-(((Scenario_Data!T242)-Inputs!$C$42)^2)/(2*Inputs!$C$45^2))+Inputs!$C$48*(0.7*(0.45*SIN(2*PI()*(((Scenario_Data!T242)/Inputs!$C$49)+Inputs!$C$47*0.137))+0.35*COS(2*PI()*(((Inputs!$C$6)/Inputs!$C$50)+Inputs!$C$47*0.173))+0.2*SIN(2*PI()*((((Scenario_Data!T242)+(Inputs!$C$6))/(0.5*(Inputs!$C$49+Inputs!$C$50)))+Inputs!$C$47*0.097)))+0.3*(2*((SIN(((Scenario_Data!T242)*12.9898+(Inputs!$C$6)*78.233+Inputs!$C$47*37.719))*43758.5453)-INT((SIN(((Scenario_Data!T242)*12.9898+(Inputs!$C$6)*78.233+Inputs!$C$47*37.719))*43758.5453)))-1))))/1000))^2-2*(Inputs!$C$52+(Scenario_Data!B242))*(Inputs!$C$52+((IF(OR(Inputs!$C$27=TRUE,Inputs!$C$27="TRUE",Inputs!$C$27=1),1,0)*(Inputs!$C$51*(115*EXP(-(((Inputs!$C$6)-25)^2)/(4.5^2))+70*EXP(-(((Inputs!$C$6)+38)^2)/(7^2))*(0.55+0.45*SIN(2*PI()*(Scenario_Data!T242)/45))+24*SIN(2*PI()*(Inputs!$C$6)/9+(Scenario_Data!T242)/18)*EXP(-(((Inputs!$C$6)+5)^2)/(22^2))+18*SIN(2*PI()*(Scenario_Data!T242)/70))+Inputs!$C$28*EXP(-(((Scenario_Data!T242)-Inputs!$C$29)^2)/(2*Inputs!$C$31^2))*EXP(-(((Inputs!$C$6)-Inputs!$C$30)^2)/(2*Inputs!$C$32^2))+-Inputs!$C$33*EXP(-(((((Scenario_Data!T242)-Inputs!$C$34)^2)+(((Inputs!$C$6)-Inputs!$C$35)^2))/(2*Inputs!$C$36^2)))+Inputs!$C$37*(0.55*SIN(2*PI()*(Scenario_Data!T242)/Inputs!$C$39)+0.35*COS(2*PI()*(Inputs!$C$6)/Inputs!$C$40)+0.2*SIN(2*PI()*((Scenario_Data!T242)+(Inputs!$C$6))/(0.5*(Inputs!$C$39+Inputs!$C$40))))+Inputs!$C$38*SIN(2*PI()*(Scenario_Data!T242)/Inputs!$C$39)*SIN(2*PI()*(Inputs!$C$6)/Inputs!$C$40)+-Inputs!$C$41*EXP(-(((Inputs!$C$6)-Inputs!$C$43)^2)/(2*Inputs!$C$44^2))*EXP(-(((Scenario_Data!T242)-Inputs!$C$42)^2)/(2*Inputs!$C$45^2))+Inputs!$C$48*(0.7*(0.45*SIN(2*PI()*(((Scenario_Data!T242)/Inputs!$C$49)+Inputs!$C$47*0.137))+0.35*COS(2*PI()*(((Inputs!$C$6)/Inputs!$C$50)+Inputs!$C$47*0.173))+0.2*SIN(2*PI()*((((Scenario_Data!T242)+(Inputs!$C$6))/(0.5*(Inputs!$C$49+Inputs!$C$50)))+Inputs!$C$47*0.097)))+0.3*(2*((SIN(((Scenario_Data!T242)*12.9898+(Inputs!$C$6)*78.233+Inputs!$C$47*37.719))*43758.5453)-INT((SIN(((Scenario_Data!T242)*12.9898+(Inputs!$C$6)*78.233+Inputs!$C$47*37.719))*43758.5453)))-1))))/1000))*COS(SQRT((Scenario_Data!T242)^2+Inputs!$C$6^2)/Inputs!$C$52))*1000)/Inputs!$C$21*1000000</f>
        <v/>
      </c>
      <c r="AR242">
        <f>Scenario_Data!U242</f>
        <v/>
      </c>
      <c r="AS242">
        <f>2*(SQRT((Inputs!$C$52+(Scenario_Data!C242))^2+(Inputs!$C$52+((IF(OR(Inputs!$C$27=TRUE,Inputs!$C$27="TRUE",Inputs!$C$27=1),1,0)*(Inputs!$C$51*(115*EXP(-(((Inputs!$C$6)-25)^2)/(4.5^2))+70*EXP(-(((Inputs!$C$6)+38)^2)/(7^2))*(0.55+0.45*SIN(2*PI()*(Scenario_Data!U242)/45))+24*SIN(2*PI()*(Inputs!$C$6)/9+(Scenario_Data!U242)/18)*EXP(-(((Inputs!$C$6)+5)^2)/(22^2))+18*SIN(2*PI()*(Scenario_Data!U242)/70))+Inputs!$C$28*EXP(-(((Scenario_Data!U242)-Inputs!$C$29)^2)/(2*Inputs!$C$31^2))*EXP(-(((Inputs!$C$6)-Inputs!$C$30)^2)/(2*Inputs!$C$32^2))+-Inputs!$C$33*EXP(-(((((Scenario_Data!U242)-Inputs!$C$34)^2)+(((Inputs!$C$6)-Inputs!$C$35)^2))/(2*Inputs!$C$36^2)))+Inputs!$C$37*(0.55*SIN(2*PI()*(Scenario_Data!U242)/Inputs!$C$39)+0.35*COS(2*PI()*(Inputs!$C$6)/Inputs!$C$40)+0.2*SIN(2*PI()*((Scenario_Data!U242)+(Inputs!$C$6))/(0.5*(Inputs!$C$39+Inputs!$C$40))))+Inputs!$C$38*SIN(2*PI()*(Scenario_Data!U242)/Inputs!$C$39)*SIN(2*PI()*(Inputs!$C$6)/Inputs!$C$40)+-Inputs!$C$41*EXP(-(((Inputs!$C$6)-Inputs!$C$43)^2)/(2*Inputs!$C$44^2))*EXP(-(((Scenario_Data!U242)-Inputs!$C$42)^2)/(2*Inputs!$C$45^2))+Inputs!$C$48*(0.7*(0.45*SIN(2*PI()*(((Scenario_Data!U242)/Inputs!$C$49)+Inputs!$C$47*0.137))+0.35*COS(2*PI()*(((Inputs!$C$6)/Inputs!$C$50)+Inputs!$C$47*0.173))+0.2*SIN(2*PI()*((((Scenario_Data!U242)+(Inputs!$C$6))/(0.5*(Inputs!$C$49+Inputs!$C$50)))+Inputs!$C$47*0.097)))+0.3*(2*((SIN(((Scenario_Data!U242)*12.9898+(Inputs!$C$6)*78.233+Inputs!$C$47*37.719))*43758.5453)-INT((SIN(((Scenario_Data!U242)*12.9898+(Inputs!$C$6)*78.233+Inputs!$C$47*37.719))*43758.5453)))-1))))/1000))^2-2*(Inputs!$C$52+(Scenario_Data!C242))*(Inputs!$C$52+((IF(OR(Inputs!$C$27=TRUE,Inputs!$C$27="TRUE",Inputs!$C$27=1),1,0)*(Inputs!$C$51*(115*EXP(-(((Inputs!$C$6)-25)^2)/(4.5^2))+70*EXP(-(((Inputs!$C$6)+38)^2)/(7^2))*(0.55+0.45*SIN(2*PI()*(Scenario_Data!U242)/45))+24*SIN(2*PI()*(Inputs!$C$6)/9+(Scenario_Data!U242)/18)*EXP(-(((Inputs!$C$6)+5)^2)/(22^2))+18*SIN(2*PI()*(Scenario_Data!U242)/70))+Inputs!$C$28*EXP(-(((Scenario_Data!U242)-Inputs!$C$29)^2)/(2*Inputs!$C$31^2))*EXP(-(((Inputs!$C$6)-Inputs!$C$30)^2)/(2*Inputs!$C$32^2))+-Inputs!$C$33*EXP(-(((((Scenario_Data!U242)-Inputs!$C$34)^2)+(((Inputs!$C$6)-Inputs!$C$35)^2))/(2*Inputs!$C$36^2)))+Inputs!$C$37*(0.55*SIN(2*PI()*(Scenario_Data!U242)/Inputs!$C$39)+0.35*COS(2*PI()*(Inputs!$C$6)/Inputs!$C$40)+0.2*SIN(2*PI()*((Scenario_Data!U242)+(Inputs!$C$6))/(0.5*(Inputs!$C$39+Inputs!$C$40))))+Inputs!$C$38*SIN(2*PI()*(Scenario_Data!U242)/Inputs!$C$39)*SIN(2*PI()*(Inputs!$C$6)/Inputs!$C$40)+-Inputs!$C$41*EXP(-(((Inputs!$C$6)-Inputs!$C$43)^2)/(2*Inputs!$C$44^2))*EXP(-(((Scenario_Data!U242)-Inputs!$C$42)^2)/(2*Inputs!$C$45^2))+Inputs!$C$48*(0.7*(0.45*SIN(2*PI()*(((Scenario_Data!U242)/Inputs!$C$49)+Inputs!$C$47*0.137))+0.35*COS(2*PI()*(((Inputs!$C$6)/Inputs!$C$50)+Inputs!$C$47*0.173))+0.2*SIN(2*PI()*((((Scenario_Data!U242)+(Inputs!$C$6))/(0.5*(Inputs!$C$49+Inputs!$C$50)))+Inputs!$C$47*0.097)))+0.3*(2*((SIN(((Scenario_Data!U242)*12.9898+(Inputs!$C$6)*78.233+Inputs!$C$47*37.719))*43758.5453)-INT((SIN(((Scenario_Data!U242)*12.9898+(Inputs!$C$6)*78.233+Inputs!$C$47*37.719))*43758.5453)))-1))))/1000))*COS(SQRT((Scenario_Data!U242)^2+Inputs!$C$6^2)/Inputs!$C$52))*1000)/Inputs!$C$21*1000000</f>
        <v/>
      </c>
      <c r="AT242">
        <f>Scenario_Data!V242</f>
        <v/>
      </c>
      <c r="AU242">
        <f>2*(SQRT((Inputs!$C$52+(Scenario_Data!D242))^2+(Inputs!$C$52+((IF(OR(Inputs!$C$27=TRUE,Inputs!$C$27="TRUE",Inputs!$C$27=1),1,0)*(Inputs!$C$51*(115*EXP(-(((Inputs!$C$6)-25)^2)/(4.5^2))+70*EXP(-(((Inputs!$C$6)+38)^2)/(7^2))*(0.55+0.45*SIN(2*PI()*(Scenario_Data!V242)/45))+24*SIN(2*PI()*(Inputs!$C$6)/9+(Scenario_Data!V242)/18)*EXP(-(((Inputs!$C$6)+5)^2)/(22^2))+18*SIN(2*PI()*(Scenario_Data!V242)/70))+Inputs!$C$28*EXP(-(((Scenario_Data!V242)-Inputs!$C$29)^2)/(2*Inputs!$C$31^2))*EXP(-(((Inputs!$C$6)-Inputs!$C$30)^2)/(2*Inputs!$C$32^2))+-Inputs!$C$33*EXP(-(((((Scenario_Data!V242)-Inputs!$C$34)^2)+(((Inputs!$C$6)-Inputs!$C$35)^2))/(2*Inputs!$C$36^2)))+Inputs!$C$37*(0.55*SIN(2*PI()*(Scenario_Data!V242)/Inputs!$C$39)+0.35*COS(2*PI()*(Inputs!$C$6)/Inputs!$C$40)+0.2*SIN(2*PI()*((Scenario_Data!V242)+(Inputs!$C$6))/(0.5*(Inputs!$C$39+Inputs!$C$40))))+Inputs!$C$38*SIN(2*PI()*(Scenario_Data!V242)/Inputs!$C$39)*SIN(2*PI()*(Inputs!$C$6)/Inputs!$C$40)+-Inputs!$C$41*EXP(-(((Inputs!$C$6)-Inputs!$C$43)^2)/(2*Inputs!$C$44^2))*EXP(-(((Scenario_Data!V242)-Inputs!$C$42)^2)/(2*Inputs!$C$45^2))+Inputs!$C$48*(0.7*(0.45*SIN(2*PI()*(((Scenario_Data!V242)/Inputs!$C$49)+Inputs!$C$47*0.137))+0.35*COS(2*PI()*(((Inputs!$C$6)/Inputs!$C$50)+Inputs!$C$47*0.173))+0.2*SIN(2*PI()*((((Scenario_Data!V242)+(Inputs!$C$6))/(0.5*(Inputs!$C$49+Inputs!$C$50)))+Inputs!$C$47*0.097)))+0.3*(2*((SIN(((Scenario_Data!V242)*12.9898+(Inputs!$C$6)*78.233+Inputs!$C$47*37.719))*43758.5453)-INT((SIN(((Scenario_Data!V242)*12.9898+(Inputs!$C$6)*78.233+Inputs!$C$47*37.719))*43758.5453)))-1))))/1000))^2-2*(Inputs!$C$52+(Scenario_Data!D242))*(Inputs!$C$52+((IF(OR(Inputs!$C$27=TRUE,Inputs!$C$27="TRUE",Inputs!$C$27=1),1,0)*(Inputs!$C$51*(115*EXP(-(((Inputs!$C$6)-25)^2)/(4.5^2))+70*EXP(-(((Inputs!$C$6)+38)^2)/(7^2))*(0.55+0.45*SIN(2*PI()*(Scenario_Data!V242)/45))+24*SIN(2*PI()*(Inputs!$C$6)/9+(Scenario_Data!V242)/18)*EXP(-(((Inputs!$C$6)+5)^2)/(22^2))+18*SIN(2*PI()*(Scenario_Data!V242)/70))+Inputs!$C$28*EXP(-(((Scenario_Data!V242)-Inputs!$C$29)^2)/(2*Inputs!$C$31^2))*EXP(-(((Inputs!$C$6)-Inputs!$C$30)^2)/(2*Inputs!$C$32^2))+-Inputs!$C$33*EXP(-(((((Scenario_Data!V242)-Inputs!$C$34)^2)+(((Inputs!$C$6)-Inputs!$C$35)^2))/(2*Inputs!$C$36^2)))+Inputs!$C$37*(0.55*SIN(2*PI()*(Scenario_Data!V242)/Inputs!$C$39)+0.35*COS(2*PI()*(Inputs!$C$6)/Inputs!$C$40)+0.2*SIN(2*PI()*((Scenario_Data!V242)+(Inputs!$C$6))/(0.5*(Inputs!$C$39+Inputs!$C$40))))+Inputs!$C$38*SIN(2*PI()*(Scenario_Data!V242)/Inputs!$C$39)*SIN(2*PI()*(Inputs!$C$6)/Inputs!$C$40)+-Inputs!$C$41*EXP(-(((Inputs!$C$6)-Inputs!$C$43)^2)/(2*Inputs!$C$44^2))*EXP(-(((Scenario_Data!V242)-Inputs!$C$42)^2)/(2*Inputs!$C$45^2))+Inputs!$C$48*(0.7*(0.45*SIN(2*PI()*(((Scenario_Data!V242)/Inputs!$C$49)+Inputs!$C$47*0.137))+0.35*COS(2*PI()*(((Inputs!$C$6)/Inputs!$C$50)+Inputs!$C$47*0.173))+0.2*SIN(2*PI()*((((Scenario_Data!V242)+(Inputs!$C$6))/(0.5*(Inputs!$C$49+Inputs!$C$50)))+Inputs!$C$47*0.097)))+0.3*(2*((SIN(((Scenario_Data!V242)*12.9898+(Inputs!$C$6)*78.233+Inputs!$C$47*37.719))*43758.5453)-INT((SIN(((Scenario_Data!V242)*12.9898+(Inputs!$C$6)*78.233+Inputs!$C$47*37.719))*43758.5453)))-1))))/1000))*COS(SQRT((Scenario_Data!V242)^2+Inputs!$C$6^2)/Inputs!$C$52))*1000)/Inputs!$C$21*1000000</f>
        <v/>
      </c>
      <c r="AV242">
        <f>Scenario_Data!W242</f>
        <v/>
      </c>
      <c r="AW242">
        <f>2*(SQRT((Inputs!$C$52+(Scenario_Data!E242))^2+(Inputs!$C$52+((IF(OR(Inputs!$C$27=TRUE,Inputs!$C$27="TRUE",Inputs!$C$27=1),1,0)*(Inputs!$C$51*(115*EXP(-(((Inputs!$C$6)-25)^2)/(4.5^2))+70*EXP(-(((Inputs!$C$6)+38)^2)/(7^2))*(0.55+0.45*SIN(2*PI()*(Scenario_Data!W242)/45))+24*SIN(2*PI()*(Inputs!$C$6)/9+(Scenario_Data!W242)/18)*EXP(-(((Inputs!$C$6)+5)^2)/(22^2))+18*SIN(2*PI()*(Scenario_Data!W242)/70))+Inputs!$C$28*EXP(-(((Scenario_Data!W242)-Inputs!$C$29)^2)/(2*Inputs!$C$31^2))*EXP(-(((Inputs!$C$6)-Inputs!$C$30)^2)/(2*Inputs!$C$32^2))+-Inputs!$C$33*EXP(-(((((Scenario_Data!W242)-Inputs!$C$34)^2)+(((Inputs!$C$6)-Inputs!$C$35)^2))/(2*Inputs!$C$36^2)))+Inputs!$C$37*(0.55*SIN(2*PI()*(Scenario_Data!W242)/Inputs!$C$39)+0.35*COS(2*PI()*(Inputs!$C$6)/Inputs!$C$40)+0.2*SIN(2*PI()*((Scenario_Data!W242)+(Inputs!$C$6))/(0.5*(Inputs!$C$39+Inputs!$C$40))))+Inputs!$C$38*SIN(2*PI()*(Scenario_Data!W242)/Inputs!$C$39)*SIN(2*PI()*(Inputs!$C$6)/Inputs!$C$40)+-Inputs!$C$41*EXP(-(((Inputs!$C$6)-Inputs!$C$43)^2)/(2*Inputs!$C$44^2))*EXP(-(((Scenario_Data!W242)-Inputs!$C$42)^2)/(2*Inputs!$C$45^2))+Inputs!$C$48*(0.7*(0.45*SIN(2*PI()*(((Scenario_Data!W242)/Inputs!$C$49)+Inputs!$C$47*0.137))+0.35*COS(2*PI()*(((Inputs!$C$6)/Inputs!$C$50)+Inputs!$C$47*0.173))+0.2*SIN(2*PI()*((((Scenario_Data!W242)+(Inputs!$C$6))/(0.5*(Inputs!$C$49+Inputs!$C$50)))+Inputs!$C$47*0.097)))+0.3*(2*((SIN(((Scenario_Data!W242)*12.9898+(Inputs!$C$6)*78.233+Inputs!$C$47*37.719))*43758.5453)-INT((SIN(((Scenario_Data!W242)*12.9898+(Inputs!$C$6)*78.233+Inputs!$C$47*37.719))*43758.5453)))-1))))/1000))^2-2*(Inputs!$C$52+(Scenario_Data!E242))*(Inputs!$C$52+((IF(OR(Inputs!$C$27=TRUE,Inputs!$C$27="TRUE",Inputs!$C$27=1),1,0)*(Inputs!$C$51*(115*EXP(-(((Inputs!$C$6)-25)^2)/(4.5^2))+70*EXP(-(((Inputs!$C$6)+38)^2)/(7^2))*(0.55+0.45*SIN(2*PI()*(Scenario_Data!W242)/45))+24*SIN(2*PI()*(Inputs!$C$6)/9+(Scenario_Data!W242)/18)*EXP(-(((Inputs!$C$6)+5)^2)/(22^2))+18*SIN(2*PI()*(Scenario_Data!W242)/70))+Inputs!$C$28*EXP(-(((Scenario_Data!W242)-Inputs!$C$29)^2)/(2*Inputs!$C$31^2))*EXP(-(((Inputs!$C$6)-Inputs!$C$30)^2)/(2*Inputs!$C$32^2))+-Inputs!$C$33*EXP(-(((((Scenario_Data!W242)-Inputs!$C$34)^2)+(((Inputs!$C$6)-Inputs!$C$35)^2))/(2*Inputs!$C$36^2)))+Inputs!$C$37*(0.55*SIN(2*PI()*(Scenario_Data!W242)/Inputs!$C$39)+0.35*COS(2*PI()*(Inputs!$C$6)/Inputs!$C$40)+0.2*SIN(2*PI()*((Scenario_Data!W242)+(Inputs!$C$6))/(0.5*(Inputs!$C$39+Inputs!$C$40))))+Inputs!$C$38*SIN(2*PI()*(Scenario_Data!W242)/Inputs!$C$39)*SIN(2*PI()*(Inputs!$C$6)/Inputs!$C$40)+-Inputs!$C$41*EXP(-(((Inputs!$C$6)-Inputs!$C$43)^2)/(2*Inputs!$C$44^2))*EXP(-(((Scenario_Data!W242)-Inputs!$C$42)^2)/(2*Inputs!$C$45^2))+Inputs!$C$48*(0.7*(0.45*SIN(2*PI()*(((Scenario_Data!W242)/Inputs!$C$49)+Inputs!$C$47*0.137))+0.35*COS(2*PI()*(((Inputs!$C$6)/Inputs!$C$50)+Inputs!$C$47*0.173))+0.2*SIN(2*PI()*((((Scenario_Data!W242)+(Inputs!$C$6))/(0.5*(Inputs!$C$49+Inputs!$C$50)))+Inputs!$C$47*0.097)))+0.3*(2*((SIN(((Scenario_Data!W242)*12.9898+(Inputs!$C$6)*78.233+Inputs!$C$47*37.719))*43758.5453)-INT((SIN(((Scenario_Data!W242)*12.9898+(Inputs!$C$6)*78.233+Inputs!$C$47*37.719))*43758.5453)))-1))))/1000))*COS(SQRT((Scenario_Data!W242)^2+Inputs!$C$6^2)/Inputs!$C$52))*1000)/Inputs!$C$21*1000000</f>
        <v/>
      </c>
    </row>
    <row r="245">
      <c r="A245">
        <f>I2</f>
        <v/>
      </c>
      <c r="B245">
        <f>J2</f>
        <v/>
      </c>
      <c r="C245">
        <f>K2</f>
        <v/>
      </c>
      <c r="D245">
        <f>L2</f>
        <v/>
      </c>
      <c r="E245">
        <f>M2</f>
        <v/>
      </c>
    </row>
    <row r="246">
      <c r="A246">
        <f>I3</f>
        <v/>
      </c>
      <c r="B246">
        <f>J3</f>
        <v/>
      </c>
      <c r="C246">
        <f>K3</f>
        <v/>
      </c>
      <c r="D246">
        <f>L3</f>
        <v/>
      </c>
      <c r="E246">
        <f>M3</f>
        <v/>
      </c>
    </row>
    <row r="247">
      <c r="A247">
        <f>I4</f>
        <v/>
      </c>
      <c r="B247">
        <f>J4</f>
        <v/>
      </c>
      <c r="C247">
        <f>K4</f>
        <v/>
      </c>
      <c r="D247">
        <f>L4</f>
        <v/>
      </c>
      <c r="E247">
        <f>M4</f>
        <v/>
      </c>
    </row>
    <row r="248">
      <c r="A248">
        <f>I5</f>
        <v/>
      </c>
      <c r="B248">
        <f>J5</f>
        <v/>
      </c>
      <c r="C248">
        <f>K5</f>
        <v/>
      </c>
      <c r="D248">
        <f>L5</f>
        <v/>
      </c>
      <c r="E248">
        <f>M5</f>
        <v/>
      </c>
    </row>
    <row r="249">
      <c r="A249">
        <f>I6</f>
        <v/>
      </c>
      <c r="B249">
        <f>J6</f>
        <v/>
      </c>
      <c r="C249">
        <f>K6</f>
        <v/>
      </c>
      <c r="D249">
        <f>L6</f>
        <v/>
      </c>
      <c r="E249">
        <f>M6</f>
        <v/>
      </c>
    </row>
    <row r="250">
      <c r="A250">
        <f>I7</f>
        <v/>
      </c>
      <c r="B250">
        <f>J7</f>
        <v/>
      </c>
      <c r="C250">
        <f>K7</f>
        <v/>
      </c>
      <c r="D250">
        <f>L7</f>
        <v/>
      </c>
      <c r="E250">
        <f>M7</f>
        <v/>
      </c>
    </row>
    <row r="251">
      <c r="A251">
        <f>I8</f>
        <v/>
      </c>
      <c r="B251">
        <f>J8</f>
        <v/>
      </c>
      <c r="C251">
        <f>K8</f>
        <v/>
      </c>
      <c r="D251">
        <f>L8</f>
        <v/>
      </c>
      <c r="E251">
        <f>M8</f>
        <v/>
      </c>
    </row>
    <row r="252">
      <c r="A252">
        <f>I9</f>
        <v/>
      </c>
      <c r="B252">
        <f>J9</f>
        <v/>
      </c>
      <c r="C252">
        <f>K9</f>
        <v/>
      </c>
      <c r="D252">
        <f>L9</f>
        <v/>
      </c>
      <c r="E252">
        <f>M9</f>
        <v/>
      </c>
    </row>
    <row r="253">
      <c r="A253">
        <f>I10</f>
        <v/>
      </c>
      <c r="B253">
        <f>J10</f>
        <v/>
      </c>
      <c r="C253">
        <f>K10</f>
        <v/>
      </c>
      <c r="D253">
        <f>L10</f>
        <v/>
      </c>
      <c r="E253">
        <f>M10</f>
        <v/>
      </c>
    </row>
    <row r="254">
      <c r="A254">
        <f>I11</f>
        <v/>
      </c>
      <c r="B254">
        <f>J11</f>
        <v/>
      </c>
      <c r="C254">
        <f>K11</f>
        <v/>
      </c>
      <c r="D254">
        <f>L11</f>
        <v/>
      </c>
      <c r="E254">
        <f>M11</f>
        <v/>
      </c>
    </row>
    <row r="255">
      <c r="A255">
        <f>I12</f>
        <v/>
      </c>
      <c r="B255">
        <f>J12</f>
        <v/>
      </c>
      <c r="C255">
        <f>K12</f>
        <v/>
      </c>
      <c r="D255">
        <f>L12</f>
        <v/>
      </c>
      <c r="E255">
        <f>M12</f>
        <v/>
      </c>
    </row>
    <row r="256">
      <c r="A256">
        <f>I13</f>
        <v/>
      </c>
      <c r="B256">
        <f>J13</f>
        <v/>
      </c>
      <c r="C256">
        <f>K13</f>
        <v/>
      </c>
      <c r="D256">
        <f>L13</f>
        <v/>
      </c>
      <c r="E256">
        <f>M13</f>
        <v/>
      </c>
    </row>
    <row r="257">
      <c r="A257">
        <f>I14</f>
        <v/>
      </c>
      <c r="B257">
        <f>J14</f>
        <v/>
      </c>
      <c r="C257">
        <f>K14</f>
        <v/>
      </c>
      <c r="D257">
        <f>L14</f>
        <v/>
      </c>
      <c r="E257">
        <f>M14</f>
        <v/>
      </c>
    </row>
    <row r="258">
      <c r="A258">
        <f>I15</f>
        <v/>
      </c>
      <c r="B258">
        <f>J15</f>
        <v/>
      </c>
      <c r="C258">
        <f>K15</f>
        <v/>
      </c>
      <c r="D258">
        <f>L15</f>
        <v/>
      </c>
      <c r="E258">
        <f>M15</f>
        <v/>
      </c>
    </row>
    <row r="259">
      <c r="A259">
        <f>I16</f>
        <v/>
      </c>
      <c r="B259">
        <f>J16</f>
        <v/>
      </c>
      <c r="C259">
        <f>K16</f>
        <v/>
      </c>
      <c r="D259">
        <f>L16</f>
        <v/>
      </c>
      <c r="E259">
        <f>M16</f>
        <v/>
      </c>
    </row>
    <row r="260">
      <c r="A260">
        <f>I17</f>
        <v/>
      </c>
      <c r="B260">
        <f>J17</f>
        <v/>
      </c>
      <c r="C260">
        <f>K17</f>
        <v/>
      </c>
      <c r="D260">
        <f>L17</f>
        <v/>
      </c>
      <c r="E260">
        <f>M17</f>
        <v/>
      </c>
    </row>
    <row r="261">
      <c r="A261">
        <f>I18</f>
        <v/>
      </c>
      <c r="B261">
        <f>J18</f>
        <v/>
      </c>
      <c r="C261">
        <f>K18</f>
        <v/>
      </c>
      <c r="D261">
        <f>L18</f>
        <v/>
      </c>
      <c r="E261">
        <f>M18</f>
        <v/>
      </c>
    </row>
    <row r="262">
      <c r="A262">
        <f>I19</f>
        <v/>
      </c>
      <c r="B262">
        <f>J19</f>
        <v/>
      </c>
      <c r="C262">
        <f>K19</f>
        <v/>
      </c>
      <c r="D262">
        <f>L19</f>
        <v/>
      </c>
      <c r="E262">
        <f>M19</f>
        <v/>
      </c>
    </row>
    <row r="263">
      <c r="A263">
        <f>I20</f>
        <v/>
      </c>
      <c r="B263">
        <f>J20</f>
        <v/>
      </c>
      <c r="C263">
        <f>K20</f>
        <v/>
      </c>
      <c r="D263">
        <f>L20</f>
        <v/>
      </c>
      <c r="E263">
        <f>M20</f>
        <v/>
      </c>
    </row>
    <row r="264">
      <c r="A264">
        <f>I21</f>
        <v/>
      </c>
      <c r="B264">
        <f>J21</f>
        <v/>
      </c>
      <c r="C264">
        <f>K21</f>
        <v/>
      </c>
      <c r="D264">
        <f>L21</f>
        <v/>
      </c>
      <c r="E264">
        <f>M21</f>
        <v/>
      </c>
    </row>
    <row r="265">
      <c r="A265">
        <f>I22</f>
        <v/>
      </c>
      <c r="B265">
        <f>J22</f>
        <v/>
      </c>
      <c r="C265">
        <f>K22</f>
        <v/>
      </c>
      <c r="D265">
        <f>L22</f>
        <v/>
      </c>
      <c r="E265">
        <f>M22</f>
        <v/>
      </c>
    </row>
    <row r="266">
      <c r="A266">
        <f>I23</f>
        <v/>
      </c>
      <c r="B266">
        <f>J23</f>
        <v/>
      </c>
      <c r="C266">
        <f>K23</f>
        <v/>
      </c>
      <c r="D266">
        <f>L23</f>
        <v/>
      </c>
      <c r="E266">
        <f>M23</f>
        <v/>
      </c>
    </row>
    <row r="267">
      <c r="A267">
        <f>I24</f>
        <v/>
      </c>
      <c r="B267">
        <f>J24</f>
        <v/>
      </c>
      <c r="C267">
        <f>K24</f>
        <v/>
      </c>
      <c r="D267">
        <f>L24</f>
        <v/>
      </c>
      <c r="E267">
        <f>M24</f>
        <v/>
      </c>
    </row>
    <row r="268">
      <c r="A268">
        <f>I25</f>
        <v/>
      </c>
      <c r="B268">
        <f>J25</f>
        <v/>
      </c>
      <c r="C268">
        <f>K25</f>
        <v/>
      </c>
      <c r="D268">
        <f>L25</f>
        <v/>
      </c>
      <c r="E268">
        <f>M25</f>
        <v/>
      </c>
    </row>
    <row r="269">
      <c r="A269">
        <f>I26</f>
        <v/>
      </c>
      <c r="B269">
        <f>J26</f>
        <v/>
      </c>
      <c r="C269">
        <f>K26</f>
        <v/>
      </c>
      <c r="D269">
        <f>L26</f>
        <v/>
      </c>
      <c r="E269">
        <f>M26</f>
        <v/>
      </c>
    </row>
    <row r="270">
      <c r="A270">
        <f>I27</f>
        <v/>
      </c>
      <c r="B270">
        <f>J27</f>
        <v/>
      </c>
      <c r="C270">
        <f>K27</f>
        <v/>
      </c>
      <c r="D270">
        <f>L27</f>
        <v/>
      </c>
      <c r="E270">
        <f>M27</f>
        <v/>
      </c>
    </row>
    <row r="271">
      <c r="A271">
        <f>I28</f>
        <v/>
      </c>
      <c r="B271">
        <f>J28</f>
        <v/>
      </c>
      <c r="C271">
        <f>K28</f>
        <v/>
      </c>
      <c r="D271">
        <f>L28</f>
        <v/>
      </c>
      <c r="E271">
        <f>M28</f>
        <v/>
      </c>
    </row>
    <row r="272">
      <c r="A272">
        <f>I29</f>
        <v/>
      </c>
      <c r="B272">
        <f>J29</f>
        <v/>
      </c>
      <c r="C272">
        <f>K29</f>
        <v/>
      </c>
      <c r="D272">
        <f>L29</f>
        <v/>
      </c>
      <c r="E272">
        <f>M29</f>
        <v/>
      </c>
    </row>
    <row r="273">
      <c r="A273">
        <f>I30</f>
        <v/>
      </c>
      <c r="B273">
        <f>J30</f>
        <v/>
      </c>
      <c r="C273">
        <f>K30</f>
        <v/>
      </c>
      <c r="D273">
        <f>L30</f>
        <v/>
      </c>
      <c r="E273">
        <f>M30</f>
        <v/>
      </c>
    </row>
    <row r="274">
      <c r="A274">
        <f>I31</f>
        <v/>
      </c>
      <c r="B274">
        <f>J31</f>
        <v/>
      </c>
      <c r="C274">
        <f>K31</f>
        <v/>
      </c>
      <c r="D274">
        <f>L31</f>
        <v/>
      </c>
      <c r="E274">
        <f>M31</f>
        <v/>
      </c>
    </row>
    <row r="275">
      <c r="A275">
        <f>I32</f>
        <v/>
      </c>
      <c r="B275">
        <f>J32</f>
        <v/>
      </c>
      <c r="C275">
        <f>K32</f>
        <v/>
      </c>
      <c r="D275">
        <f>L32</f>
        <v/>
      </c>
      <c r="E275">
        <f>M32</f>
        <v/>
      </c>
    </row>
    <row r="276">
      <c r="A276">
        <f>I33</f>
        <v/>
      </c>
      <c r="B276">
        <f>J33</f>
        <v/>
      </c>
      <c r="C276">
        <f>K33</f>
        <v/>
      </c>
      <c r="D276">
        <f>L33</f>
        <v/>
      </c>
      <c r="E276">
        <f>M33</f>
        <v/>
      </c>
    </row>
    <row r="277">
      <c r="A277">
        <f>I34</f>
        <v/>
      </c>
      <c r="B277">
        <f>J34</f>
        <v/>
      </c>
      <c r="C277">
        <f>K34</f>
        <v/>
      </c>
      <c r="D277">
        <f>L34</f>
        <v/>
      </c>
      <c r="E277">
        <f>M34</f>
        <v/>
      </c>
    </row>
    <row r="278">
      <c r="A278">
        <f>I35</f>
        <v/>
      </c>
      <c r="B278">
        <f>J35</f>
        <v/>
      </c>
      <c r="C278">
        <f>K35</f>
        <v/>
      </c>
      <c r="D278">
        <f>L35</f>
        <v/>
      </c>
      <c r="E278">
        <f>M35</f>
        <v/>
      </c>
    </row>
    <row r="279">
      <c r="A279">
        <f>I36</f>
        <v/>
      </c>
      <c r="B279">
        <f>J36</f>
        <v/>
      </c>
      <c r="C279">
        <f>K36</f>
        <v/>
      </c>
      <c r="D279">
        <f>L36</f>
        <v/>
      </c>
      <c r="E279">
        <f>M36</f>
        <v/>
      </c>
    </row>
    <row r="280">
      <c r="A280">
        <f>I37</f>
        <v/>
      </c>
      <c r="B280">
        <f>J37</f>
        <v/>
      </c>
      <c r="C280">
        <f>K37</f>
        <v/>
      </c>
      <c r="D280">
        <f>L37</f>
        <v/>
      </c>
      <c r="E280">
        <f>M37</f>
        <v/>
      </c>
    </row>
    <row r="281">
      <c r="A281">
        <f>I38</f>
        <v/>
      </c>
      <c r="B281">
        <f>J38</f>
        <v/>
      </c>
      <c r="C281">
        <f>K38</f>
        <v/>
      </c>
      <c r="D281">
        <f>L38</f>
        <v/>
      </c>
      <c r="E281">
        <f>M38</f>
        <v/>
      </c>
    </row>
    <row r="282">
      <c r="A282">
        <f>I39</f>
        <v/>
      </c>
      <c r="B282">
        <f>J39</f>
        <v/>
      </c>
      <c r="C282">
        <f>K39</f>
        <v/>
      </c>
      <c r="D282">
        <f>L39</f>
        <v/>
      </c>
      <c r="E282">
        <f>M39</f>
        <v/>
      </c>
    </row>
    <row r="283">
      <c r="A283">
        <f>I40</f>
        <v/>
      </c>
      <c r="B283">
        <f>J40</f>
        <v/>
      </c>
      <c r="C283">
        <f>K40</f>
        <v/>
      </c>
      <c r="D283">
        <f>L40</f>
        <v/>
      </c>
      <c r="E283">
        <f>M40</f>
        <v/>
      </c>
    </row>
    <row r="284">
      <c r="A284">
        <f>I41</f>
        <v/>
      </c>
      <c r="B284">
        <f>J41</f>
        <v/>
      </c>
      <c r="C284">
        <f>K41</f>
        <v/>
      </c>
      <c r="D284">
        <f>L41</f>
        <v/>
      </c>
      <c r="E284">
        <f>M41</f>
        <v/>
      </c>
    </row>
    <row r="285">
      <c r="A285">
        <f>I42</f>
        <v/>
      </c>
      <c r="B285">
        <f>J42</f>
        <v/>
      </c>
      <c r="C285">
        <f>K42</f>
        <v/>
      </c>
      <c r="D285">
        <f>L42</f>
        <v/>
      </c>
      <c r="E285">
        <f>M42</f>
        <v/>
      </c>
    </row>
    <row r="286">
      <c r="A286">
        <f>I43</f>
        <v/>
      </c>
      <c r="B286">
        <f>J43</f>
        <v/>
      </c>
      <c r="C286">
        <f>K43</f>
        <v/>
      </c>
      <c r="D286">
        <f>L43</f>
        <v/>
      </c>
      <c r="E286">
        <f>M43</f>
        <v/>
      </c>
    </row>
    <row r="287">
      <c r="A287">
        <f>I44</f>
        <v/>
      </c>
      <c r="B287">
        <f>J44</f>
        <v/>
      </c>
      <c r="C287">
        <f>K44</f>
        <v/>
      </c>
      <c r="D287">
        <f>L44</f>
        <v/>
      </c>
      <c r="E287">
        <f>M44</f>
        <v/>
      </c>
    </row>
    <row r="288">
      <c r="A288">
        <f>I45</f>
        <v/>
      </c>
      <c r="B288">
        <f>J45</f>
        <v/>
      </c>
      <c r="C288">
        <f>K45</f>
        <v/>
      </c>
      <c r="D288">
        <f>L45</f>
        <v/>
      </c>
      <c r="E288">
        <f>M45</f>
        <v/>
      </c>
    </row>
    <row r="289">
      <c r="A289">
        <f>I46</f>
        <v/>
      </c>
      <c r="B289">
        <f>J46</f>
        <v/>
      </c>
      <c r="C289">
        <f>K46</f>
        <v/>
      </c>
      <c r="D289">
        <f>L46</f>
        <v/>
      </c>
      <c r="E289">
        <f>M46</f>
        <v/>
      </c>
    </row>
    <row r="290">
      <c r="A290">
        <f>I47</f>
        <v/>
      </c>
      <c r="B290">
        <f>J47</f>
        <v/>
      </c>
      <c r="C290">
        <f>K47</f>
        <v/>
      </c>
      <c r="D290">
        <f>L47</f>
        <v/>
      </c>
      <c r="E290">
        <f>M47</f>
        <v/>
      </c>
    </row>
    <row r="291">
      <c r="A291">
        <f>I48</f>
        <v/>
      </c>
      <c r="B291">
        <f>J48</f>
        <v/>
      </c>
      <c r="C291">
        <f>K48</f>
        <v/>
      </c>
      <c r="D291">
        <f>L48</f>
        <v/>
      </c>
      <c r="E291">
        <f>M48</f>
        <v/>
      </c>
    </row>
    <row r="292">
      <c r="A292">
        <f>I49</f>
        <v/>
      </c>
      <c r="B292">
        <f>J49</f>
        <v/>
      </c>
      <c r="C292">
        <f>K49</f>
        <v/>
      </c>
      <c r="D292">
        <f>L49</f>
        <v/>
      </c>
      <c r="E292">
        <f>M49</f>
        <v/>
      </c>
    </row>
    <row r="293">
      <c r="A293">
        <f>I50</f>
        <v/>
      </c>
      <c r="B293">
        <f>J50</f>
        <v/>
      </c>
      <c r="C293">
        <f>K50</f>
        <v/>
      </c>
      <c r="D293">
        <f>L50</f>
        <v/>
      </c>
      <c r="E293">
        <f>M50</f>
        <v/>
      </c>
    </row>
    <row r="294">
      <c r="A294">
        <f>I51</f>
        <v/>
      </c>
      <c r="B294">
        <f>J51</f>
        <v/>
      </c>
      <c r="C294">
        <f>K51</f>
        <v/>
      </c>
      <c r="D294">
        <f>L51</f>
        <v/>
      </c>
      <c r="E294">
        <f>M51</f>
        <v/>
      </c>
    </row>
    <row r="295">
      <c r="A295">
        <f>I52</f>
        <v/>
      </c>
      <c r="B295">
        <f>J52</f>
        <v/>
      </c>
      <c r="C295">
        <f>K52</f>
        <v/>
      </c>
      <c r="D295">
        <f>L52</f>
        <v/>
      </c>
      <c r="E295">
        <f>M52</f>
        <v/>
      </c>
    </row>
    <row r="296">
      <c r="A296">
        <f>I53</f>
        <v/>
      </c>
      <c r="B296">
        <f>J53</f>
        <v/>
      </c>
      <c r="C296">
        <f>K53</f>
        <v/>
      </c>
      <c r="D296">
        <f>L53</f>
        <v/>
      </c>
      <c r="E296">
        <f>M53</f>
        <v/>
      </c>
    </row>
    <row r="297">
      <c r="A297">
        <f>I54</f>
        <v/>
      </c>
      <c r="B297">
        <f>J54</f>
        <v/>
      </c>
      <c r="C297">
        <f>K54</f>
        <v/>
      </c>
      <c r="D297">
        <f>L54</f>
        <v/>
      </c>
      <c r="E297">
        <f>M54</f>
        <v/>
      </c>
    </row>
    <row r="298">
      <c r="A298">
        <f>I55</f>
        <v/>
      </c>
      <c r="B298">
        <f>J55</f>
        <v/>
      </c>
      <c r="C298">
        <f>K55</f>
        <v/>
      </c>
      <c r="D298">
        <f>L55</f>
        <v/>
      </c>
      <c r="E298">
        <f>M55</f>
        <v/>
      </c>
    </row>
    <row r="299">
      <c r="A299">
        <f>I56</f>
        <v/>
      </c>
      <c r="B299">
        <f>J56</f>
        <v/>
      </c>
      <c r="C299">
        <f>K56</f>
        <v/>
      </c>
      <c r="D299">
        <f>L56</f>
        <v/>
      </c>
      <c r="E299">
        <f>M56</f>
        <v/>
      </c>
    </row>
    <row r="300">
      <c r="A300">
        <f>I57</f>
        <v/>
      </c>
      <c r="B300">
        <f>J57</f>
        <v/>
      </c>
      <c r="C300">
        <f>K57</f>
        <v/>
      </c>
      <c r="D300">
        <f>L57</f>
        <v/>
      </c>
      <c r="E300">
        <f>M57</f>
        <v/>
      </c>
    </row>
    <row r="301">
      <c r="A301">
        <f>I58</f>
        <v/>
      </c>
      <c r="B301">
        <f>J58</f>
        <v/>
      </c>
      <c r="C301">
        <f>K58</f>
        <v/>
      </c>
      <c r="D301">
        <f>L58</f>
        <v/>
      </c>
      <c r="E301">
        <f>M58</f>
        <v/>
      </c>
    </row>
    <row r="302">
      <c r="A302">
        <f>I59</f>
        <v/>
      </c>
      <c r="B302">
        <f>J59</f>
        <v/>
      </c>
      <c r="C302">
        <f>K59</f>
        <v/>
      </c>
      <c r="D302">
        <f>L59</f>
        <v/>
      </c>
      <c r="E302">
        <f>M59</f>
        <v/>
      </c>
    </row>
    <row r="303">
      <c r="A303">
        <f>I60</f>
        <v/>
      </c>
      <c r="B303">
        <f>J60</f>
        <v/>
      </c>
      <c r="C303">
        <f>K60</f>
        <v/>
      </c>
      <c r="D303">
        <f>L60</f>
        <v/>
      </c>
      <c r="E303">
        <f>M60</f>
        <v/>
      </c>
    </row>
    <row r="304">
      <c r="A304">
        <f>I61</f>
        <v/>
      </c>
      <c r="B304">
        <f>J61</f>
        <v/>
      </c>
      <c r="C304">
        <f>K61</f>
        <v/>
      </c>
      <c r="D304">
        <f>L61</f>
        <v/>
      </c>
      <c r="E304">
        <f>M61</f>
        <v/>
      </c>
    </row>
    <row r="305">
      <c r="A305">
        <f>I62</f>
        <v/>
      </c>
      <c r="B305">
        <f>J62</f>
        <v/>
      </c>
      <c r="C305">
        <f>K62</f>
        <v/>
      </c>
      <c r="D305">
        <f>L62</f>
        <v/>
      </c>
      <c r="E305">
        <f>M62</f>
        <v/>
      </c>
    </row>
    <row r="306">
      <c r="A306">
        <f>I63</f>
        <v/>
      </c>
      <c r="B306">
        <f>J63</f>
        <v/>
      </c>
      <c r="C306">
        <f>K63</f>
        <v/>
      </c>
      <c r="D306">
        <f>L63</f>
        <v/>
      </c>
      <c r="E306">
        <f>M63</f>
        <v/>
      </c>
    </row>
    <row r="307">
      <c r="A307">
        <f>I64</f>
        <v/>
      </c>
      <c r="B307">
        <f>J64</f>
        <v/>
      </c>
      <c r="C307">
        <f>K64</f>
        <v/>
      </c>
      <c r="D307">
        <f>L64</f>
        <v/>
      </c>
      <c r="E307">
        <f>M64</f>
        <v/>
      </c>
    </row>
    <row r="308">
      <c r="A308">
        <f>I65</f>
        <v/>
      </c>
      <c r="B308">
        <f>J65</f>
        <v/>
      </c>
      <c r="C308">
        <f>K65</f>
        <v/>
      </c>
      <c r="D308">
        <f>L65</f>
        <v/>
      </c>
      <c r="E308">
        <f>M65</f>
        <v/>
      </c>
    </row>
    <row r="309">
      <c r="A309">
        <f>I66</f>
        <v/>
      </c>
      <c r="B309">
        <f>J66</f>
        <v/>
      </c>
      <c r="C309">
        <f>K66</f>
        <v/>
      </c>
      <c r="D309">
        <f>L66</f>
        <v/>
      </c>
      <c r="E309">
        <f>M66</f>
        <v/>
      </c>
    </row>
    <row r="310">
      <c r="A310">
        <f>I67</f>
        <v/>
      </c>
      <c r="B310">
        <f>J67</f>
        <v/>
      </c>
      <c r="C310">
        <f>K67</f>
        <v/>
      </c>
      <c r="D310">
        <f>L67</f>
        <v/>
      </c>
      <c r="E310">
        <f>M67</f>
        <v/>
      </c>
    </row>
    <row r="311">
      <c r="A311">
        <f>I68</f>
        <v/>
      </c>
      <c r="B311">
        <f>J68</f>
        <v/>
      </c>
      <c r="C311">
        <f>K68</f>
        <v/>
      </c>
      <c r="D311">
        <f>L68</f>
        <v/>
      </c>
      <c r="E311">
        <f>M68</f>
        <v/>
      </c>
    </row>
    <row r="312">
      <c r="A312">
        <f>I69</f>
        <v/>
      </c>
      <c r="B312">
        <f>J69</f>
        <v/>
      </c>
      <c r="C312">
        <f>K69</f>
        <v/>
      </c>
      <c r="D312">
        <f>L69</f>
        <v/>
      </c>
      <c r="E312">
        <f>M69</f>
        <v/>
      </c>
    </row>
    <row r="313">
      <c r="A313">
        <f>I70</f>
        <v/>
      </c>
      <c r="B313">
        <f>J70</f>
        <v/>
      </c>
      <c r="C313">
        <f>K70</f>
        <v/>
      </c>
      <c r="D313">
        <f>L70</f>
        <v/>
      </c>
      <c r="E313">
        <f>M70</f>
        <v/>
      </c>
    </row>
    <row r="314">
      <c r="A314">
        <f>I71</f>
        <v/>
      </c>
      <c r="B314">
        <f>J71</f>
        <v/>
      </c>
      <c r="C314">
        <f>K71</f>
        <v/>
      </c>
      <c r="D314">
        <f>L71</f>
        <v/>
      </c>
      <c r="E314">
        <f>M71</f>
        <v/>
      </c>
    </row>
    <row r="315">
      <c r="A315">
        <f>I72</f>
        <v/>
      </c>
      <c r="B315">
        <f>J72</f>
        <v/>
      </c>
      <c r="C315">
        <f>K72</f>
        <v/>
      </c>
      <c r="D315">
        <f>L72</f>
        <v/>
      </c>
      <c r="E315">
        <f>M72</f>
        <v/>
      </c>
    </row>
    <row r="316">
      <c r="A316">
        <f>I73</f>
        <v/>
      </c>
      <c r="B316">
        <f>J73</f>
        <v/>
      </c>
      <c r="C316">
        <f>K73</f>
        <v/>
      </c>
      <c r="D316">
        <f>L73</f>
        <v/>
      </c>
      <c r="E316">
        <f>M73</f>
        <v/>
      </c>
    </row>
    <row r="317">
      <c r="A317">
        <f>I74</f>
        <v/>
      </c>
      <c r="B317">
        <f>J74</f>
        <v/>
      </c>
      <c r="C317">
        <f>K74</f>
        <v/>
      </c>
      <c r="D317">
        <f>L74</f>
        <v/>
      </c>
      <c r="E317">
        <f>M74</f>
        <v/>
      </c>
    </row>
    <row r="318">
      <c r="A318">
        <f>I75</f>
        <v/>
      </c>
      <c r="B318">
        <f>J75</f>
        <v/>
      </c>
      <c r="C318">
        <f>K75</f>
        <v/>
      </c>
      <c r="D318">
        <f>L75</f>
        <v/>
      </c>
      <c r="E318">
        <f>M75</f>
        <v/>
      </c>
    </row>
    <row r="319">
      <c r="A319">
        <f>I76</f>
        <v/>
      </c>
      <c r="B319">
        <f>J76</f>
        <v/>
      </c>
      <c r="C319">
        <f>K76</f>
        <v/>
      </c>
      <c r="D319">
        <f>L76</f>
        <v/>
      </c>
      <c r="E319">
        <f>M76</f>
        <v/>
      </c>
    </row>
    <row r="320">
      <c r="A320">
        <f>I77</f>
        <v/>
      </c>
      <c r="B320">
        <f>J77</f>
        <v/>
      </c>
      <c r="C320">
        <f>K77</f>
        <v/>
      </c>
      <c r="D320">
        <f>L77</f>
        <v/>
      </c>
      <c r="E320">
        <f>M77</f>
        <v/>
      </c>
    </row>
    <row r="321">
      <c r="A321">
        <f>I78</f>
        <v/>
      </c>
      <c r="B321">
        <f>J78</f>
        <v/>
      </c>
      <c r="C321">
        <f>K78</f>
        <v/>
      </c>
      <c r="D321">
        <f>L78</f>
        <v/>
      </c>
      <c r="E321">
        <f>M78</f>
        <v/>
      </c>
    </row>
    <row r="322">
      <c r="A322">
        <f>I79</f>
        <v/>
      </c>
      <c r="B322">
        <f>J79</f>
        <v/>
      </c>
      <c r="C322">
        <f>K79</f>
        <v/>
      </c>
      <c r="D322">
        <f>L79</f>
        <v/>
      </c>
      <c r="E322">
        <f>M79</f>
        <v/>
      </c>
    </row>
    <row r="323">
      <c r="A323">
        <f>I80</f>
        <v/>
      </c>
      <c r="B323">
        <f>J80</f>
        <v/>
      </c>
      <c r="C323">
        <f>K80</f>
        <v/>
      </c>
      <c r="D323">
        <f>L80</f>
        <v/>
      </c>
      <c r="E323">
        <f>M80</f>
        <v/>
      </c>
    </row>
    <row r="324">
      <c r="A324">
        <f>I81</f>
        <v/>
      </c>
      <c r="B324">
        <f>J81</f>
        <v/>
      </c>
      <c r="C324">
        <f>K81</f>
        <v/>
      </c>
      <c r="D324">
        <f>L81</f>
        <v/>
      </c>
      <c r="E324">
        <f>M81</f>
        <v/>
      </c>
    </row>
    <row r="325">
      <c r="A325">
        <f>I82</f>
        <v/>
      </c>
      <c r="B325">
        <f>J82</f>
        <v/>
      </c>
      <c r="C325">
        <f>K82</f>
        <v/>
      </c>
      <c r="D325">
        <f>L82</f>
        <v/>
      </c>
      <c r="E325">
        <f>M82</f>
        <v/>
      </c>
    </row>
    <row r="326">
      <c r="A326">
        <f>I83</f>
        <v/>
      </c>
      <c r="B326">
        <f>J83</f>
        <v/>
      </c>
      <c r="C326">
        <f>K83</f>
        <v/>
      </c>
      <c r="D326">
        <f>L83</f>
        <v/>
      </c>
      <c r="E326">
        <f>M83</f>
        <v/>
      </c>
    </row>
    <row r="327">
      <c r="A327">
        <f>I84</f>
        <v/>
      </c>
      <c r="B327">
        <f>J84</f>
        <v/>
      </c>
      <c r="C327">
        <f>K84</f>
        <v/>
      </c>
      <c r="D327">
        <f>L84</f>
        <v/>
      </c>
      <c r="E327">
        <f>M84</f>
        <v/>
      </c>
    </row>
    <row r="328">
      <c r="A328">
        <f>I85</f>
        <v/>
      </c>
      <c r="B328">
        <f>J85</f>
        <v/>
      </c>
      <c r="C328">
        <f>K85</f>
        <v/>
      </c>
      <c r="D328">
        <f>L85</f>
        <v/>
      </c>
      <c r="E328">
        <f>M85</f>
        <v/>
      </c>
    </row>
    <row r="329">
      <c r="A329">
        <f>I86</f>
        <v/>
      </c>
      <c r="B329">
        <f>J86</f>
        <v/>
      </c>
      <c r="C329">
        <f>K86</f>
        <v/>
      </c>
      <c r="D329">
        <f>L86</f>
        <v/>
      </c>
      <c r="E329">
        <f>M86</f>
        <v/>
      </c>
    </row>
    <row r="330">
      <c r="A330">
        <f>I87</f>
        <v/>
      </c>
      <c r="B330">
        <f>J87</f>
        <v/>
      </c>
      <c r="C330">
        <f>K87</f>
        <v/>
      </c>
      <c r="D330">
        <f>L87</f>
        <v/>
      </c>
      <c r="E330">
        <f>M87</f>
        <v/>
      </c>
    </row>
    <row r="331">
      <c r="A331">
        <f>I88</f>
        <v/>
      </c>
      <c r="B331">
        <f>J88</f>
        <v/>
      </c>
      <c r="C331">
        <f>K88</f>
        <v/>
      </c>
      <c r="D331">
        <f>L88</f>
        <v/>
      </c>
      <c r="E331">
        <f>M88</f>
        <v/>
      </c>
    </row>
    <row r="332">
      <c r="A332">
        <f>I89</f>
        <v/>
      </c>
      <c r="B332">
        <f>J89</f>
        <v/>
      </c>
      <c r="C332">
        <f>K89</f>
        <v/>
      </c>
      <c r="D332">
        <f>L89</f>
        <v/>
      </c>
      <c r="E332">
        <f>M89</f>
        <v/>
      </c>
    </row>
    <row r="333">
      <c r="A333">
        <f>I90</f>
        <v/>
      </c>
      <c r="B333">
        <f>J90</f>
        <v/>
      </c>
      <c r="C333">
        <f>K90</f>
        <v/>
      </c>
      <c r="D333">
        <f>L90</f>
        <v/>
      </c>
      <c r="E333">
        <f>M90</f>
        <v/>
      </c>
    </row>
    <row r="334">
      <c r="A334">
        <f>I91</f>
        <v/>
      </c>
      <c r="B334">
        <f>J91</f>
        <v/>
      </c>
      <c r="C334">
        <f>K91</f>
        <v/>
      </c>
      <c r="D334">
        <f>L91</f>
        <v/>
      </c>
      <c r="E334">
        <f>M91</f>
        <v/>
      </c>
    </row>
    <row r="335">
      <c r="A335">
        <f>I92</f>
        <v/>
      </c>
      <c r="B335">
        <f>J92</f>
        <v/>
      </c>
      <c r="C335">
        <f>K92</f>
        <v/>
      </c>
      <c r="D335">
        <f>L92</f>
        <v/>
      </c>
      <c r="E335">
        <f>M92</f>
        <v/>
      </c>
    </row>
    <row r="336">
      <c r="A336">
        <f>I93</f>
        <v/>
      </c>
      <c r="B336">
        <f>J93</f>
        <v/>
      </c>
      <c r="C336">
        <f>K93</f>
        <v/>
      </c>
      <c r="D336">
        <f>L93</f>
        <v/>
      </c>
      <c r="E336">
        <f>M93</f>
        <v/>
      </c>
    </row>
    <row r="337">
      <c r="A337">
        <f>I94</f>
        <v/>
      </c>
      <c r="B337">
        <f>J94</f>
        <v/>
      </c>
      <c r="C337">
        <f>K94</f>
        <v/>
      </c>
      <c r="D337">
        <f>L94</f>
        <v/>
      </c>
      <c r="E337">
        <f>M94</f>
        <v/>
      </c>
    </row>
    <row r="338">
      <c r="A338">
        <f>I95</f>
        <v/>
      </c>
      <c r="B338">
        <f>J95</f>
        <v/>
      </c>
      <c r="C338">
        <f>K95</f>
        <v/>
      </c>
      <c r="D338">
        <f>L95</f>
        <v/>
      </c>
      <c r="E338">
        <f>M95</f>
        <v/>
      </c>
    </row>
    <row r="339">
      <c r="A339">
        <f>I96</f>
        <v/>
      </c>
      <c r="B339">
        <f>J96</f>
        <v/>
      </c>
      <c r="C339">
        <f>K96</f>
        <v/>
      </c>
      <c r="D339">
        <f>L96</f>
        <v/>
      </c>
      <c r="E339">
        <f>M96</f>
        <v/>
      </c>
    </row>
    <row r="340">
      <c r="A340">
        <f>I97</f>
        <v/>
      </c>
      <c r="B340">
        <f>J97</f>
        <v/>
      </c>
      <c r="C340">
        <f>K97</f>
        <v/>
      </c>
      <c r="D340">
        <f>L97</f>
        <v/>
      </c>
      <c r="E340">
        <f>M97</f>
        <v/>
      </c>
    </row>
    <row r="341">
      <c r="A341">
        <f>I98</f>
        <v/>
      </c>
      <c r="B341">
        <f>J98</f>
        <v/>
      </c>
      <c r="C341">
        <f>K98</f>
        <v/>
      </c>
      <c r="D341">
        <f>L98</f>
        <v/>
      </c>
      <c r="E341">
        <f>M98</f>
        <v/>
      </c>
    </row>
    <row r="342">
      <c r="A342">
        <f>I99</f>
        <v/>
      </c>
      <c r="B342">
        <f>J99</f>
        <v/>
      </c>
      <c r="C342">
        <f>K99</f>
        <v/>
      </c>
      <c r="D342">
        <f>L99</f>
        <v/>
      </c>
      <c r="E342">
        <f>M99</f>
        <v/>
      </c>
    </row>
    <row r="343">
      <c r="A343">
        <f>I100</f>
        <v/>
      </c>
      <c r="B343">
        <f>J100</f>
        <v/>
      </c>
      <c r="C343">
        <f>K100</f>
        <v/>
      </c>
      <c r="D343">
        <f>L100</f>
        <v/>
      </c>
      <c r="E343">
        <f>M100</f>
        <v/>
      </c>
    </row>
    <row r="344">
      <c r="A344">
        <f>I101</f>
        <v/>
      </c>
      <c r="B344">
        <f>J101</f>
        <v/>
      </c>
      <c r="C344">
        <f>K101</f>
        <v/>
      </c>
      <c r="D344">
        <f>L101</f>
        <v/>
      </c>
      <c r="E344">
        <f>M101</f>
        <v/>
      </c>
    </row>
    <row r="345">
      <c r="A345">
        <f>I102</f>
        <v/>
      </c>
      <c r="B345">
        <f>J102</f>
        <v/>
      </c>
      <c r="C345">
        <f>K102</f>
        <v/>
      </c>
      <c r="D345">
        <f>L102</f>
        <v/>
      </c>
      <c r="E345">
        <f>M102</f>
        <v/>
      </c>
    </row>
    <row r="346">
      <c r="A346">
        <f>I103</f>
        <v/>
      </c>
      <c r="B346">
        <f>J103</f>
        <v/>
      </c>
      <c r="C346">
        <f>K103</f>
        <v/>
      </c>
      <c r="D346">
        <f>L103</f>
        <v/>
      </c>
      <c r="E346">
        <f>M103</f>
        <v/>
      </c>
    </row>
    <row r="347">
      <c r="A347">
        <f>I104</f>
        <v/>
      </c>
      <c r="B347">
        <f>J104</f>
        <v/>
      </c>
      <c r="C347">
        <f>K104</f>
        <v/>
      </c>
      <c r="D347">
        <f>L104</f>
        <v/>
      </c>
      <c r="E347">
        <f>M104</f>
        <v/>
      </c>
    </row>
    <row r="348">
      <c r="A348">
        <f>I105</f>
        <v/>
      </c>
      <c r="B348">
        <f>J105</f>
        <v/>
      </c>
      <c r="C348">
        <f>K105</f>
        <v/>
      </c>
      <c r="D348">
        <f>L105</f>
        <v/>
      </c>
      <c r="E348">
        <f>M105</f>
        <v/>
      </c>
    </row>
    <row r="349">
      <c r="A349">
        <f>I106</f>
        <v/>
      </c>
      <c r="B349">
        <f>J106</f>
        <v/>
      </c>
      <c r="C349">
        <f>K106</f>
        <v/>
      </c>
      <c r="D349">
        <f>L106</f>
        <v/>
      </c>
      <c r="E349">
        <f>M106</f>
        <v/>
      </c>
    </row>
    <row r="350">
      <c r="A350">
        <f>I107</f>
        <v/>
      </c>
      <c r="B350">
        <f>J107</f>
        <v/>
      </c>
      <c r="C350">
        <f>K107</f>
        <v/>
      </c>
      <c r="D350">
        <f>L107</f>
        <v/>
      </c>
      <c r="E350">
        <f>M107</f>
        <v/>
      </c>
    </row>
    <row r="351">
      <c r="A351">
        <f>I108</f>
        <v/>
      </c>
      <c r="B351">
        <f>J108</f>
        <v/>
      </c>
      <c r="C351">
        <f>K108</f>
        <v/>
      </c>
      <c r="D351">
        <f>L108</f>
        <v/>
      </c>
      <c r="E351">
        <f>M108</f>
        <v/>
      </c>
    </row>
    <row r="352">
      <c r="A352">
        <f>I109</f>
        <v/>
      </c>
      <c r="B352">
        <f>J109</f>
        <v/>
      </c>
      <c r="C352">
        <f>K109</f>
        <v/>
      </c>
      <c r="D352">
        <f>L109</f>
        <v/>
      </c>
      <c r="E352">
        <f>M109</f>
        <v/>
      </c>
    </row>
    <row r="353">
      <c r="A353">
        <f>I110</f>
        <v/>
      </c>
      <c r="B353">
        <f>J110</f>
        <v/>
      </c>
      <c r="C353">
        <f>K110</f>
        <v/>
      </c>
      <c r="D353">
        <f>L110</f>
        <v/>
      </c>
      <c r="E353">
        <f>M110</f>
        <v/>
      </c>
    </row>
    <row r="354">
      <c r="A354">
        <f>I111</f>
        <v/>
      </c>
      <c r="B354">
        <f>J111</f>
        <v/>
      </c>
      <c r="C354">
        <f>K111</f>
        <v/>
      </c>
      <c r="D354">
        <f>L111</f>
        <v/>
      </c>
      <c r="E354">
        <f>M111</f>
        <v/>
      </c>
    </row>
    <row r="355">
      <c r="A355">
        <f>I112</f>
        <v/>
      </c>
      <c r="B355">
        <f>J112</f>
        <v/>
      </c>
      <c r="C355">
        <f>K112</f>
        <v/>
      </c>
      <c r="D355">
        <f>L112</f>
        <v/>
      </c>
      <c r="E355">
        <f>M112</f>
        <v/>
      </c>
    </row>
    <row r="356">
      <c r="A356">
        <f>I113</f>
        <v/>
      </c>
      <c r="B356">
        <f>J113</f>
        <v/>
      </c>
      <c r="C356">
        <f>K113</f>
        <v/>
      </c>
      <c r="D356">
        <f>L113</f>
        <v/>
      </c>
      <c r="E356">
        <f>M113</f>
        <v/>
      </c>
    </row>
    <row r="357">
      <c r="A357">
        <f>I114</f>
        <v/>
      </c>
      <c r="B357">
        <f>J114</f>
        <v/>
      </c>
      <c r="C357">
        <f>K114</f>
        <v/>
      </c>
      <c r="D357">
        <f>L114</f>
        <v/>
      </c>
      <c r="E357">
        <f>M114</f>
        <v/>
      </c>
    </row>
    <row r="358">
      <c r="A358">
        <f>I115</f>
        <v/>
      </c>
      <c r="B358">
        <f>J115</f>
        <v/>
      </c>
      <c r="C358">
        <f>K115</f>
        <v/>
      </c>
      <c r="D358">
        <f>L115</f>
        <v/>
      </c>
      <c r="E358">
        <f>M115</f>
        <v/>
      </c>
    </row>
    <row r="359">
      <c r="A359">
        <f>I116</f>
        <v/>
      </c>
      <c r="B359">
        <f>J116</f>
        <v/>
      </c>
      <c r="C359">
        <f>K116</f>
        <v/>
      </c>
      <c r="D359">
        <f>L116</f>
        <v/>
      </c>
      <c r="E359">
        <f>M116</f>
        <v/>
      </c>
    </row>
    <row r="360">
      <c r="A360">
        <f>I117</f>
        <v/>
      </c>
      <c r="B360">
        <f>J117</f>
        <v/>
      </c>
      <c r="C360">
        <f>K117</f>
        <v/>
      </c>
      <c r="D360">
        <f>L117</f>
        <v/>
      </c>
      <c r="E360">
        <f>M117</f>
        <v/>
      </c>
    </row>
    <row r="361">
      <c r="A361">
        <f>I118</f>
        <v/>
      </c>
      <c r="B361">
        <f>J118</f>
        <v/>
      </c>
      <c r="C361">
        <f>K118</f>
        <v/>
      </c>
      <c r="D361">
        <f>L118</f>
        <v/>
      </c>
      <c r="E361">
        <f>M118</f>
        <v/>
      </c>
    </row>
    <row r="362">
      <c r="A362">
        <f>I119</f>
        <v/>
      </c>
      <c r="B362">
        <f>J119</f>
        <v/>
      </c>
      <c r="C362">
        <f>K119</f>
        <v/>
      </c>
      <c r="D362">
        <f>L119</f>
        <v/>
      </c>
      <c r="E362">
        <f>M119</f>
        <v/>
      </c>
    </row>
    <row r="363">
      <c r="A363">
        <f>I120</f>
        <v/>
      </c>
      <c r="B363">
        <f>J120</f>
        <v/>
      </c>
      <c r="C363">
        <f>K120</f>
        <v/>
      </c>
      <c r="D363">
        <f>L120</f>
        <v/>
      </c>
      <c r="E363">
        <f>M120</f>
        <v/>
      </c>
    </row>
    <row r="364">
      <c r="A364">
        <f>I121</f>
        <v/>
      </c>
      <c r="B364">
        <f>J121</f>
        <v/>
      </c>
      <c r="C364">
        <f>K121</f>
        <v/>
      </c>
      <c r="D364">
        <f>L121</f>
        <v/>
      </c>
      <c r="E364">
        <f>M121</f>
        <v/>
      </c>
    </row>
    <row r="365">
      <c r="A365">
        <f>I122</f>
        <v/>
      </c>
      <c r="B365">
        <f>J122</f>
        <v/>
      </c>
      <c r="C365">
        <f>K122</f>
        <v/>
      </c>
      <c r="D365">
        <f>L122</f>
        <v/>
      </c>
      <c r="E365">
        <f>M122</f>
        <v/>
      </c>
    </row>
    <row r="366">
      <c r="A366">
        <f>I123</f>
        <v/>
      </c>
      <c r="B366">
        <f>J123</f>
        <v/>
      </c>
      <c r="C366">
        <f>K123</f>
        <v/>
      </c>
      <c r="D366">
        <f>L123</f>
        <v/>
      </c>
      <c r="E366">
        <f>M123</f>
        <v/>
      </c>
    </row>
    <row r="367">
      <c r="A367">
        <f>I124</f>
        <v/>
      </c>
      <c r="B367">
        <f>J124</f>
        <v/>
      </c>
      <c r="C367">
        <f>K124</f>
        <v/>
      </c>
      <c r="D367">
        <f>L124</f>
        <v/>
      </c>
      <c r="E367">
        <f>M124</f>
        <v/>
      </c>
    </row>
    <row r="368">
      <c r="A368">
        <f>I125</f>
        <v/>
      </c>
      <c r="B368">
        <f>J125</f>
        <v/>
      </c>
      <c r="C368">
        <f>K125</f>
        <v/>
      </c>
      <c r="D368">
        <f>L125</f>
        <v/>
      </c>
      <c r="E368">
        <f>M125</f>
        <v/>
      </c>
    </row>
    <row r="369">
      <c r="A369">
        <f>I126</f>
        <v/>
      </c>
      <c r="B369">
        <f>J126</f>
        <v/>
      </c>
      <c r="C369">
        <f>K126</f>
        <v/>
      </c>
      <c r="D369">
        <f>L126</f>
        <v/>
      </c>
      <c r="E369">
        <f>M126</f>
        <v/>
      </c>
    </row>
    <row r="370">
      <c r="A370">
        <f>I127</f>
        <v/>
      </c>
      <c r="B370">
        <f>J127</f>
        <v/>
      </c>
      <c r="C370">
        <f>K127</f>
        <v/>
      </c>
      <c r="D370">
        <f>L127</f>
        <v/>
      </c>
      <c r="E370">
        <f>M127</f>
        <v/>
      </c>
    </row>
    <row r="371">
      <c r="A371">
        <f>I128</f>
        <v/>
      </c>
      <c r="B371">
        <f>J128</f>
        <v/>
      </c>
      <c r="C371">
        <f>K128</f>
        <v/>
      </c>
      <c r="D371">
        <f>L128</f>
        <v/>
      </c>
      <c r="E371">
        <f>M128</f>
        <v/>
      </c>
    </row>
    <row r="372">
      <c r="A372">
        <f>I129</f>
        <v/>
      </c>
      <c r="B372">
        <f>J129</f>
        <v/>
      </c>
      <c r="C372">
        <f>K129</f>
        <v/>
      </c>
      <c r="D372">
        <f>L129</f>
        <v/>
      </c>
      <c r="E372">
        <f>M129</f>
        <v/>
      </c>
    </row>
    <row r="373">
      <c r="A373">
        <f>I130</f>
        <v/>
      </c>
      <c r="B373">
        <f>J130</f>
        <v/>
      </c>
      <c r="C373">
        <f>K130</f>
        <v/>
      </c>
      <c r="D373">
        <f>L130</f>
        <v/>
      </c>
      <c r="E373">
        <f>M130</f>
        <v/>
      </c>
    </row>
    <row r="374">
      <c r="A374">
        <f>I131</f>
        <v/>
      </c>
      <c r="B374">
        <f>J131</f>
        <v/>
      </c>
      <c r="C374">
        <f>K131</f>
        <v/>
      </c>
      <c r="D374">
        <f>L131</f>
        <v/>
      </c>
      <c r="E374">
        <f>M131</f>
        <v/>
      </c>
    </row>
    <row r="375">
      <c r="A375">
        <f>I132</f>
        <v/>
      </c>
      <c r="B375">
        <f>J132</f>
        <v/>
      </c>
      <c r="C375">
        <f>K132</f>
        <v/>
      </c>
      <c r="D375">
        <f>L132</f>
        <v/>
      </c>
      <c r="E375">
        <f>M132</f>
        <v/>
      </c>
    </row>
    <row r="376">
      <c r="A376">
        <f>I133</f>
        <v/>
      </c>
      <c r="B376">
        <f>J133</f>
        <v/>
      </c>
      <c r="C376">
        <f>K133</f>
        <v/>
      </c>
      <c r="D376">
        <f>L133</f>
        <v/>
      </c>
      <c r="E376">
        <f>M133</f>
        <v/>
      </c>
    </row>
    <row r="377">
      <c r="A377">
        <f>I134</f>
        <v/>
      </c>
      <c r="B377">
        <f>J134</f>
        <v/>
      </c>
      <c r="C377">
        <f>K134</f>
        <v/>
      </c>
      <c r="D377">
        <f>L134</f>
        <v/>
      </c>
      <c r="E377">
        <f>M134</f>
        <v/>
      </c>
    </row>
    <row r="378">
      <c r="A378">
        <f>I135</f>
        <v/>
      </c>
      <c r="B378">
        <f>J135</f>
        <v/>
      </c>
      <c r="C378">
        <f>K135</f>
        <v/>
      </c>
      <c r="D378">
        <f>L135</f>
        <v/>
      </c>
      <c r="E378">
        <f>M135</f>
        <v/>
      </c>
    </row>
    <row r="379">
      <c r="A379">
        <f>I136</f>
        <v/>
      </c>
      <c r="B379">
        <f>J136</f>
        <v/>
      </c>
      <c r="C379">
        <f>K136</f>
        <v/>
      </c>
      <c r="D379">
        <f>L136</f>
        <v/>
      </c>
      <c r="E379">
        <f>M136</f>
        <v/>
      </c>
    </row>
    <row r="380">
      <c r="A380">
        <f>I137</f>
        <v/>
      </c>
      <c r="B380">
        <f>J137</f>
        <v/>
      </c>
      <c r="C380">
        <f>K137</f>
        <v/>
      </c>
      <c r="D380">
        <f>L137</f>
        <v/>
      </c>
      <c r="E380">
        <f>M137</f>
        <v/>
      </c>
    </row>
    <row r="381">
      <c r="A381">
        <f>I138</f>
        <v/>
      </c>
      <c r="B381">
        <f>J138</f>
        <v/>
      </c>
      <c r="C381">
        <f>K138</f>
        <v/>
      </c>
      <c r="D381">
        <f>L138</f>
        <v/>
      </c>
      <c r="E381">
        <f>M138</f>
        <v/>
      </c>
    </row>
    <row r="382">
      <c r="A382">
        <f>I139</f>
        <v/>
      </c>
      <c r="B382">
        <f>J139</f>
        <v/>
      </c>
      <c r="C382">
        <f>K139</f>
        <v/>
      </c>
      <c r="D382">
        <f>L139</f>
        <v/>
      </c>
      <c r="E382">
        <f>M139</f>
        <v/>
      </c>
    </row>
    <row r="383">
      <c r="A383">
        <f>I140</f>
        <v/>
      </c>
      <c r="B383">
        <f>J140</f>
        <v/>
      </c>
      <c r="C383">
        <f>K140</f>
        <v/>
      </c>
      <c r="D383">
        <f>L140</f>
        <v/>
      </c>
      <c r="E383">
        <f>M140</f>
        <v/>
      </c>
    </row>
    <row r="384">
      <c r="A384">
        <f>I141</f>
        <v/>
      </c>
      <c r="B384">
        <f>J141</f>
        <v/>
      </c>
      <c r="C384">
        <f>K141</f>
        <v/>
      </c>
      <c r="D384">
        <f>L141</f>
        <v/>
      </c>
      <c r="E384">
        <f>M141</f>
        <v/>
      </c>
    </row>
    <row r="385">
      <c r="A385">
        <f>I142</f>
        <v/>
      </c>
      <c r="B385">
        <f>J142</f>
        <v/>
      </c>
      <c r="C385">
        <f>K142</f>
        <v/>
      </c>
      <c r="D385">
        <f>L142</f>
        <v/>
      </c>
      <c r="E385">
        <f>M142</f>
        <v/>
      </c>
    </row>
    <row r="386">
      <c r="A386">
        <f>I143</f>
        <v/>
      </c>
      <c r="B386">
        <f>J143</f>
        <v/>
      </c>
      <c r="C386">
        <f>K143</f>
        <v/>
      </c>
      <c r="D386">
        <f>L143</f>
        <v/>
      </c>
      <c r="E386">
        <f>M143</f>
        <v/>
      </c>
    </row>
    <row r="387">
      <c r="A387">
        <f>I144</f>
        <v/>
      </c>
      <c r="B387">
        <f>J144</f>
        <v/>
      </c>
      <c r="C387">
        <f>K144</f>
        <v/>
      </c>
      <c r="D387">
        <f>L144</f>
        <v/>
      </c>
      <c r="E387">
        <f>M144</f>
        <v/>
      </c>
    </row>
    <row r="388">
      <c r="A388">
        <f>I145</f>
        <v/>
      </c>
      <c r="B388">
        <f>J145</f>
        <v/>
      </c>
      <c r="C388">
        <f>K145</f>
        <v/>
      </c>
      <c r="D388">
        <f>L145</f>
        <v/>
      </c>
      <c r="E388">
        <f>M145</f>
        <v/>
      </c>
    </row>
    <row r="389">
      <c r="A389">
        <f>I146</f>
        <v/>
      </c>
      <c r="B389">
        <f>J146</f>
        <v/>
      </c>
      <c r="C389">
        <f>K146</f>
        <v/>
      </c>
      <c r="D389">
        <f>L146</f>
        <v/>
      </c>
      <c r="E389">
        <f>M146</f>
        <v/>
      </c>
    </row>
    <row r="390">
      <c r="A390">
        <f>I147</f>
        <v/>
      </c>
      <c r="B390">
        <f>J147</f>
        <v/>
      </c>
      <c r="C390">
        <f>K147</f>
        <v/>
      </c>
      <c r="D390">
        <f>L147</f>
        <v/>
      </c>
      <c r="E390">
        <f>M147</f>
        <v/>
      </c>
    </row>
    <row r="391">
      <c r="A391">
        <f>I148</f>
        <v/>
      </c>
      <c r="B391">
        <f>J148</f>
        <v/>
      </c>
      <c r="C391">
        <f>K148</f>
        <v/>
      </c>
      <c r="D391">
        <f>L148</f>
        <v/>
      </c>
      <c r="E391">
        <f>M148</f>
        <v/>
      </c>
    </row>
    <row r="392">
      <c r="A392">
        <f>I149</f>
        <v/>
      </c>
      <c r="B392">
        <f>J149</f>
        <v/>
      </c>
      <c r="C392">
        <f>K149</f>
        <v/>
      </c>
      <c r="D392">
        <f>L149</f>
        <v/>
      </c>
      <c r="E392">
        <f>M149</f>
        <v/>
      </c>
    </row>
    <row r="393">
      <c r="A393">
        <f>I150</f>
        <v/>
      </c>
      <c r="B393">
        <f>J150</f>
        <v/>
      </c>
      <c r="C393">
        <f>K150</f>
        <v/>
      </c>
      <c r="D393">
        <f>L150</f>
        <v/>
      </c>
      <c r="E393">
        <f>M150</f>
        <v/>
      </c>
    </row>
    <row r="394">
      <c r="A394">
        <f>I151</f>
        <v/>
      </c>
      <c r="B394">
        <f>J151</f>
        <v/>
      </c>
      <c r="C394">
        <f>K151</f>
        <v/>
      </c>
      <c r="D394">
        <f>L151</f>
        <v/>
      </c>
      <c r="E394">
        <f>M151</f>
        <v/>
      </c>
    </row>
    <row r="395">
      <c r="A395">
        <f>I152</f>
        <v/>
      </c>
      <c r="B395">
        <f>J152</f>
        <v/>
      </c>
      <c r="C395">
        <f>K152</f>
        <v/>
      </c>
      <c r="D395">
        <f>L152</f>
        <v/>
      </c>
      <c r="E395">
        <f>M152</f>
        <v/>
      </c>
    </row>
    <row r="396">
      <c r="A396">
        <f>I153</f>
        <v/>
      </c>
      <c r="B396">
        <f>J153</f>
        <v/>
      </c>
      <c r="C396">
        <f>K153</f>
        <v/>
      </c>
      <c r="D396">
        <f>L153</f>
        <v/>
      </c>
      <c r="E396">
        <f>M153</f>
        <v/>
      </c>
    </row>
    <row r="397">
      <c r="A397">
        <f>I154</f>
        <v/>
      </c>
      <c r="B397">
        <f>J154</f>
        <v/>
      </c>
      <c r="C397">
        <f>K154</f>
        <v/>
      </c>
      <c r="D397">
        <f>L154</f>
        <v/>
      </c>
      <c r="E397">
        <f>M154</f>
        <v/>
      </c>
    </row>
    <row r="398">
      <c r="A398">
        <f>I155</f>
        <v/>
      </c>
      <c r="B398">
        <f>J155</f>
        <v/>
      </c>
      <c r="C398">
        <f>K155</f>
        <v/>
      </c>
      <c r="D398">
        <f>L155</f>
        <v/>
      </c>
      <c r="E398">
        <f>M155</f>
        <v/>
      </c>
    </row>
    <row r="399">
      <c r="A399">
        <f>I156</f>
        <v/>
      </c>
      <c r="B399">
        <f>J156</f>
        <v/>
      </c>
      <c r="C399">
        <f>K156</f>
        <v/>
      </c>
      <c r="D399">
        <f>L156</f>
        <v/>
      </c>
      <c r="E399">
        <f>M156</f>
        <v/>
      </c>
    </row>
    <row r="400">
      <c r="A400">
        <f>I157</f>
        <v/>
      </c>
      <c r="B400">
        <f>J157</f>
        <v/>
      </c>
      <c r="C400">
        <f>K157</f>
        <v/>
      </c>
      <c r="D400">
        <f>L157</f>
        <v/>
      </c>
      <c r="E400">
        <f>M157</f>
        <v/>
      </c>
    </row>
    <row r="401">
      <c r="A401">
        <f>I158</f>
        <v/>
      </c>
      <c r="B401">
        <f>J158</f>
        <v/>
      </c>
      <c r="C401">
        <f>K158</f>
        <v/>
      </c>
      <c r="D401">
        <f>L158</f>
        <v/>
      </c>
      <c r="E401">
        <f>M158</f>
        <v/>
      </c>
    </row>
    <row r="402">
      <c r="A402">
        <f>I159</f>
        <v/>
      </c>
      <c r="B402">
        <f>J159</f>
        <v/>
      </c>
      <c r="C402">
        <f>K159</f>
        <v/>
      </c>
      <c r="D402">
        <f>L159</f>
        <v/>
      </c>
      <c r="E402">
        <f>M159</f>
        <v/>
      </c>
    </row>
    <row r="403">
      <c r="A403">
        <f>I160</f>
        <v/>
      </c>
      <c r="B403">
        <f>J160</f>
        <v/>
      </c>
      <c r="C403">
        <f>K160</f>
        <v/>
      </c>
      <c r="D403">
        <f>L160</f>
        <v/>
      </c>
      <c r="E403">
        <f>M160</f>
        <v/>
      </c>
    </row>
    <row r="404">
      <c r="A404">
        <f>I161</f>
        <v/>
      </c>
      <c r="B404">
        <f>J161</f>
        <v/>
      </c>
      <c r="C404">
        <f>K161</f>
        <v/>
      </c>
      <c r="D404">
        <f>L161</f>
        <v/>
      </c>
      <c r="E404">
        <f>M161</f>
        <v/>
      </c>
    </row>
    <row r="405">
      <c r="A405">
        <f>I162</f>
        <v/>
      </c>
      <c r="B405">
        <f>J162</f>
        <v/>
      </c>
      <c r="C405">
        <f>K162</f>
        <v/>
      </c>
      <c r="D405">
        <f>L162</f>
        <v/>
      </c>
      <c r="E405">
        <f>M162</f>
        <v/>
      </c>
    </row>
    <row r="406">
      <c r="A406">
        <f>I163</f>
        <v/>
      </c>
      <c r="B406">
        <f>J163</f>
        <v/>
      </c>
      <c r="C406">
        <f>K163</f>
        <v/>
      </c>
      <c r="D406">
        <f>L163</f>
        <v/>
      </c>
      <c r="E406">
        <f>M163</f>
        <v/>
      </c>
    </row>
    <row r="407">
      <c r="A407">
        <f>I164</f>
        <v/>
      </c>
      <c r="B407">
        <f>J164</f>
        <v/>
      </c>
      <c r="C407">
        <f>K164</f>
        <v/>
      </c>
      <c r="D407">
        <f>L164</f>
        <v/>
      </c>
      <c r="E407">
        <f>M164</f>
        <v/>
      </c>
    </row>
    <row r="408">
      <c r="A408">
        <f>I165</f>
        <v/>
      </c>
      <c r="B408">
        <f>J165</f>
        <v/>
      </c>
      <c r="C408">
        <f>K165</f>
        <v/>
      </c>
      <c r="D408">
        <f>L165</f>
        <v/>
      </c>
      <c r="E408">
        <f>M165</f>
        <v/>
      </c>
    </row>
    <row r="409">
      <c r="A409">
        <f>I166</f>
        <v/>
      </c>
      <c r="B409">
        <f>J166</f>
        <v/>
      </c>
      <c r="C409">
        <f>K166</f>
        <v/>
      </c>
      <c r="D409">
        <f>L166</f>
        <v/>
      </c>
      <c r="E409">
        <f>M166</f>
        <v/>
      </c>
    </row>
    <row r="410">
      <c r="A410">
        <f>I167</f>
        <v/>
      </c>
      <c r="B410">
        <f>J167</f>
        <v/>
      </c>
      <c r="C410">
        <f>K167</f>
        <v/>
      </c>
      <c r="D410">
        <f>L167</f>
        <v/>
      </c>
      <c r="E410">
        <f>M167</f>
        <v/>
      </c>
    </row>
    <row r="411">
      <c r="A411">
        <f>I168</f>
        <v/>
      </c>
      <c r="B411">
        <f>J168</f>
        <v/>
      </c>
      <c r="C411">
        <f>K168</f>
        <v/>
      </c>
      <c r="D411">
        <f>L168</f>
        <v/>
      </c>
      <c r="E411">
        <f>M168</f>
        <v/>
      </c>
    </row>
    <row r="412">
      <c r="A412">
        <f>I169</f>
        <v/>
      </c>
      <c r="B412">
        <f>J169</f>
        <v/>
      </c>
      <c r="C412">
        <f>K169</f>
        <v/>
      </c>
      <c r="D412">
        <f>L169</f>
        <v/>
      </c>
      <c r="E412">
        <f>M169</f>
        <v/>
      </c>
    </row>
    <row r="413">
      <c r="A413">
        <f>I170</f>
        <v/>
      </c>
      <c r="B413">
        <f>J170</f>
        <v/>
      </c>
      <c r="C413">
        <f>K170</f>
        <v/>
      </c>
      <c r="D413">
        <f>L170</f>
        <v/>
      </c>
      <c r="E413">
        <f>M170</f>
        <v/>
      </c>
    </row>
    <row r="414">
      <c r="A414">
        <f>I171</f>
        <v/>
      </c>
      <c r="B414">
        <f>J171</f>
        <v/>
      </c>
      <c r="C414">
        <f>K171</f>
        <v/>
      </c>
      <c r="D414">
        <f>L171</f>
        <v/>
      </c>
      <c r="E414">
        <f>M171</f>
        <v/>
      </c>
    </row>
    <row r="415">
      <c r="A415">
        <f>I172</f>
        <v/>
      </c>
      <c r="B415">
        <f>J172</f>
        <v/>
      </c>
      <c r="C415">
        <f>K172</f>
        <v/>
      </c>
      <c r="D415">
        <f>L172</f>
        <v/>
      </c>
      <c r="E415">
        <f>M172</f>
        <v/>
      </c>
    </row>
    <row r="416">
      <c r="A416">
        <f>I173</f>
        <v/>
      </c>
      <c r="B416">
        <f>J173</f>
        <v/>
      </c>
      <c r="C416">
        <f>K173</f>
        <v/>
      </c>
      <c r="D416">
        <f>L173</f>
        <v/>
      </c>
      <c r="E416">
        <f>M173</f>
        <v/>
      </c>
    </row>
    <row r="417">
      <c r="A417">
        <f>I174</f>
        <v/>
      </c>
      <c r="B417">
        <f>J174</f>
        <v/>
      </c>
      <c r="C417">
        <f>K174</f>
        <v/>
      </c>
      <c r="D417">
        <f>L174</f>
        <v/>
      </c>
      <c r="E417">
        <f>M174</f>
        <v/>
      </c>
    </row>
    <row r="418">
      <c r="A418">
        <f>I175</f>
        <v/>
      </c>
      <c r="B418">
        <f>J175</f>
        <v/>
      </c>
      <c r="C418">
        <f>K175</f>
        <v/>
      </c>
      <c r="D418">
        <f>L175</f>
        <v/>
      </c>
      <c r="E418">
        <f>M175</f>
        <v/>
      </c>
    </row>
    <row r="419">
      <c r="A419">
        <f>I176</f>
        <v/>
      </c>
      <c r="B419">
        <f>J176</f>
        <v/>
      </c>
      <c r="C419">
        <f>K176</f>
        <v/>
      </c>
      <c r="D419">
        <f>L176</f>
        <v/>
      </c>
      <c r="E419">
        <f>M176</f>
        <v/>
      </c>
    </row>
    <row r="420">
      <c r="A420">
        <f>I177</f>
        <v/>
      </c>
      <c r="B420">
        <f>J177</f>
        <v/>
      </c>
      <c r="C420">
        <f>K177</f>
        <v/>
      </c>
      <c r="D420">
        <f>L177</f>
        <v/>
      </c>
      <c r="E420">
        <f>M177</f>
        <v/>
      </c>
    </row>
    <row r="421">
      <c r="A421">
        <f>I178</f>
        <v/>
      </c>
      <c r="B421">
        <f>J178</f>
        <v/>
      </c>
      <c r="C421">
        <f>K178</f>
        <v/>
      </c>
      <c r="D421">
        <f>L178</f>
        <v/>
      </c>
      <c r="E421">
        <f>M178</f>
        <v/>
      </c>
    </row>
    <row r="422">
      <c r="A422">
        <f>I179</f>
        <v/>
      </c>
      <c r="B422">
        <f>J179</f>
        <v/>
      </c>
      <c r="C422">
        <f>K179</f>
        <v/>
      </c>
      <c r="D422">
        <f>L179</f>
        <v/>
      </c>
      <c r="E422">
        <f>M179</f>
        <v/>
      </c>
    </row>
    <row r="423">
      <c r="A423">
        <f>I180</f>
        <v/>
      </c>
      <c r="B423">
        <f>J180</f>
        <v/>
      </c>
      <c r="C423">
        <f>K180</f>
        <v/>
      </c>
      <c r="D423">
        <f>L180</f>
        <v/>
      </c>
      <c r="E423">
        <f>M180</f>
        <v/>
      </c>
    </row>
    <row r="424">
      <c r="A424">
        <f>I181</f>
        <v/>
      </c>
      <c r="B424">
        <f>J181</f>
        <v/>
      </c>
      <c r="C424">
        <f>K181</f>
        <v/>
      </c>
      <c r="D424">
        <f>L181</f>
        <v/>
      </c>
      <c r="E424">
        <f>M181</f>
        <v/>
      </c>
    </row>
    <row r="425">
      <c r="A425">
        <f>I182</f>
        <v/>
      </c>
      <c r="B425">
        <f>J182</f>
        <v/>
      </c>
      <c r="C425">
        <f>K182</f>
        <v/>
      </c>
      <c r="D425">
        <f>L182</f>
        <v/>
      </c>
      <c r="E425">
        <f>M182</f>
        <v/>
      </c>
    </row>
    <row r="426">
      <c r="A426">
        <f>I183</f>
        <v/>
      </c>
      <c r="B426">
        <f>J183</f>
        <v/>
      </c>
      <c r="C426">
        <f>K183</f>
        <v/>
      </c>
      <c r="D426">
        <f>L183</f>
        <v/>
      </c>
      <c r="E426">
        <f>M183</f>
        <v/>
      </c>
    </row>
    <row r="427">
      <c r="A427">
        <f>I184</f>
        <v/>
      </c>
      <c r="B427">
        <f>J184</f>
        <v/>
      </c>
      <c r="C427">
        <f>K184</f>
        <v/>
      </c>
      <c r="D427">
        <f>L184</f>
        <v/>
      </c>
      <c r="E427">
        <f>M184</f>
        <v/>
      </c>
    </row>
    <row r="428">
      <c r="A428">
        <f>I185</f>
        <v/>
      </c>
      <c r="B428">
        <f>J185</f>
        <v/>
      </c>
      <c r="C428">
        <f>K185</f>
        <v/>
      </c>
      <c r="D428">
        <f>L185</f>
        <v/>
      </c>
      <c r="E428">
        <f>M185</f>
        <v/>
      </c>
    </row>
    <row r="429">
      <c r="A429">
        <f>I186</f>
        <v/>
      </c>
      <c r="B429">
        <f>J186</f>
        <v/>
      </c>
      <c r="C429">
        <f>K186</f>
        <v/>
      </c>
      <c r="D429">
        <f>L186</f>
        <v/>
      </c>
      <c r="E429">
        <f>M186</f>
        <v/>
      </c>
    </row>
    <row r="430">
      <c r="A430">
        <f>I187</f>
        <v/>
      </c>
      <c r="B430">
        <f>J187</f>
        <v/>
      </c>
      <c r="C430">
        <f>K187</f>
        <v/>
      </c>
      <c r="D430">
        <f>L187</f>
        <v/>
      </c>
      <c r="E430">
        <f>M187</f>
        <v/>
      </c>
    </row>
    <row r="431">
      <c r="A431">
        <f>I188</f>
        <v/>
      </c>
      <c r="B431">
        <f>J188</f>
        <v/>
      </c>
      <c r="C431">
        <f>K188</f>
        <v/>
      </c>
      <c r="D431">
        <f>L188</f>
        <v/>
      </c>
      <c r="E431">
        <f>M188</f>
        <v/>
      </c>
    </row>
    <row r="432">
      <c r="A432">
        <f>I189</f>
        <v/>
      </c>
      <c r="B432">
        <f>J189</f>
        <v/>
      </c>
      <c r="C432">
        <f>K189</f>
        <v/>
      </c>
      <c r="D432">
        <f>L189</f>
        <v/>
      </c>
      <c r="E432">
        <f>M189</f>
        <v/>
      </c>
    </row>
    <row r="433">
      <c r="A433">
        <f>I190</f>
        <v/>
      </c>
      <c r="B433">
        <f>J190</f>
        <v/>
      </c>
      <c r="C433">
        <f>K190</f>
        <v/>
      </c>
      <c r="D433">
        <f>L190</f>
        <v/>
      </c>
      <c r="E433">
        <f>M190</f>
        <v/>
      </c>
    </row>
    <row r="434">
      <c r="A434">
        <f>I191</f>
        <v/>
      </c>
      <c r="B434">
        <f>J191</f>
        <v/>
      </c>
      <c r="C434">
        <f>K191</f>
        <v/>
      </c>
      <c r="D434">
        <f>L191</f>
        <v/>
      </c>
      <c r="E434">
        <f>M191</f>
        <v/>
      </c>
    </row>
    <row r="435">
      <c r="A435">
        <f>I192</f>
        <v/>
      </c>
      <c r="B435">
        <f>J192</f>
        <v/>
      </c>
      <c r="C435">
        <f>K192</f>
        <v/>
      </c>
      <c r="D435">
        <f>L192</f>
        <v/>
      </c>
      <c r="E435">
        <f>M192</f>
        <v/>
      </c>
    </row>
    <row r="436">
      <c r="A436">
        <f>I193</f>
        <v/>
      </c>
      <c r="B436">
        <f>J193</f>
        <v/>
      </c>
      <c r="C436">
        <f>K193</f>
        <v/>
      </c>
      <c r="D436">
        <f>L193</f>
        <v/>
      </c>
      <c r="E436">
        <f>M193</f>
        <v/>
      </c>
    </row>
    <row r="437">
      <c r="A437">
        <f>I194</f>
        <v/>
      </c>
      <c r="B437">
        <f>J194</f>
        <v/>
      </c>
      <c r="C437">
        <f>K194</f>
        <v/>
      </c>
      <c r="D437">
        <f>L194</f>
        <v/>
      </c>
      <c r="E437">
        <f>M194</f>
        <v/>
      </c>
    </row>
    <row r="438">
      <c r="A438">
        <f>I195</f>
        <v/>
      </c>
      <c r="B438">
        <f>J195</f>
        <v/>
      </c>
      <c r="C438">
        <f>K195</f>
        <v/>
      </c>
      <c r="D438">
        <f>L195</f>
        <v/>
      </c>
      <c r="E438">
        <f>M195</f>
        <v/>
      </c>
    </row>
    <row r="439">
      <c r="A439">
        <f>I196</f>
        <v/>
      </c>
      <c r="B439">
        <f>J196</f>
        <v/>
      </c>
      <c r="C439">
        <f>K196</f>
        <v/>
      </c>
      <c r="D439">
        <f>L196</f>
        <v/>
      </c>
      <c r="E439">
        <f>M196</f>
        <v/>
      </c>
    </row>
    <row r="440">
      <c r="A440">
        <f>I197</f>
        <v/>
      </c>
      <c r="B440">
        <f>J197</f>
        <v/>
      </c>
      <c r="C440">
        <f>K197</f>
        <v/>
      </c>
      <c r="D440">
        <f>L197</f>
        <v/>
      </c>
      <c r="E440">
        <f>M197</f>
        <v/>
      </c>
    </row>
    <row r="441">
      <c r="A441">
        <f>I198</f>
        <v/>
      </c>
      <c r="B441">
        <f>J198</f>
        <v/>
      </c>
      <c r="C441">
        <f>K198</f>
        <v/>
      </c>
      <c r="D441">
        <f>L198</f>
        <v/>
      </c>
      <c r="E441">
        <f>M198</f>
        <v/>
      </c>
    </row>
    <row r="442">
      <c r="A442">
        <f>I199</f>
        <v/>
      </c>
      <c r="B442">
        <f>J199</f>
        <v/>
      </c>
      <c r="C442">
        <f>K199</f>
        <v/>
      </c>
      <c r="D442">
        <f>L199</f>
        <v/>
      </c>
      <c r="E442">
        <f>M199</f>
        <v/>
      </c>
    </row>
    <row r="443">
      <c r="A443">
        <f>I200</f>
        <v/>
      </c>
      <c r="B443">
        <f>J200</f>
        <v/>
      </c>
      <c r="C443">
        <f>K200</f>
        <v/>
      </c>
      <c r="D443">
        <f>L200</f>
        <v/>
      </c>
      <c r="E443">
        <f>M200</f>
        <v/>
      </c>
    </row>
    <row r="444">
      <c r="A444">
        <f>I201</f>
        <v/>
      </c>
      <c r="B444">
        <f>J201</f>
        <v/>
      </c>
      <c r="C444">
        <f>K201</f>
        <v/>
      </c>
      <c r="D444">
        <f>L201</f>
        <v/>
      </c>
      <c r="E444">
        <f>M201</f>
        <v/>
      </c>
    </row>
    <row r="445">
      <c r="A445">
        <f>I202</f>
        <v/>
      </c>
      <c r="B445">
        <f>J202</f>
        <v/>
      </c>
      <c r="C445">
        <f>K202</f>
        <v/>
      </c>
      <c r="D445">
        <f>L202</f>
        <v/>
      </c>
      <c r="E445">
        <f>M202</f>
        <v/>
      </c>
    </row>
    <row r="446">
      <c r="A446">
        <f>I203</f>
        <v/>
      </c>
      <c r="B446">
        <f>J203</f>
        <v/>
      </c>
      <c r="C446">
        <f>K203</f>
        <v/>
      </c>
      <c r="D446">
        <f>L203</f>
        <v/>
      </c>
      <c r="E446">
        <f>M203</f>
        <v/>
      </c>
    </row>
    <row r="447">
      <c r="A447">
        <f>I204</f>
        <v/>
      </c>
      <c r="B447">
        <f>J204</f>
        <v/>
      </c>
      <c r="C447">
        <f>K204</f>
        <v/>
      </c>
      <c r="D447">
        <f>L204</f>
        <v/>
      </c>
      <c r="E447">
        <f>M204</f>
        <v/>
      </c>
    </row>
    <row r="448">
      <c r="A448">
        <f>I205</f>
        <v/>
      </c>
      <c r="B448">
        <f>J205</f>
        <v/>
      </c>
      <c r="C448">
        <f>K205</f>
        <v/>
      </c>
      <c r="D448">
        <f>L205</f>
        <v/>
      </c>
      <c r="E448">
        <f>M205</f>
        <v/>
      </c>
    </row>
    <row r="449">
      <c r="A449">
        <f>I206</f>
        <v/>
      </c>
      <c r="B449">
        <f>J206</f>
        <v/>
      </c>
      <c r="C449">
        <f>K206</f>
        <v/>
      </c>
      <c r="D449">
        <f>L206</f>
        <v/>
      </c>
      <c r="E449">
        <f>M206</f>
        <v/>
      </c>
    </row>
    <row r="450">
      <c r="A450">
        <f>I207</f>
        <v/>
      </c>
      <c r="B450">
        <f>J207</f>
        <v/>
      </c>
      <c r="C450">
        <f>K207</f>
        <v/>
      </c>
      <c r="D450">
        <f>L207</f>
        <v/>
      </c>
      <c r="E450">
        <f>M207</f>
        <v/>
      </c>
    </row>
    <row r="451">
      <c r="A451">
        <f>I208</f>
        <v/>
      </c>
      <c r="B451">
        <f>J208</f>
        <v/>
      </c>
      <c r="C451">
        <f>K208</f>
        <v/>
      </c>
      <c r="D451">
        <f>L208</f>
        <v/>
      </c>
      <c r="E451">
        <f>M208</f>
        <v/>
      </c>
    </row>
    <row r="452">
      <c r="A452">
        <f>I209</f>
        <v/>
      </c>
      <c r="B452">
        <f>J209</f>
        <v/>
      </c>
      <c r="C452">
        <f>K209</f>
        <v/>
      </c>
      <c r="D452">
        <f>L209</f>
        <v/>
      </c>
      <c r="E452">
        <f>M209</f>
        <v/>
      </c>
    </row>
    <row r="453">
      <c r="A453">
        <f>I210</f>
        <v/>
      </c>
      <c r="B453">
        <f>J210</f>
        <v/>
      </c>
      <c r="C453">
        <f>K210</f>
        <v/>
      </c>
      <c r="D453">
        <f>L210</f>
        <v/>
      </c>
      <c r="E453">
        <f>M210</f>
        <v/>
      </c>
    </row>
    <row r="454">
      <c r="A454">
        <f>I211</f>
        <v/>
      </c>
      <c r="B454">
        <f>J211</f>
        <v/>
      </c>
      <c r="C454">
        <f>K211</f>
        <v/>
      </c>
      <c r="D454">
        <f>L211</f>
        <v/>
      </c>
      <c r="E454">
        <f>M211</f>
        <v/>
      </c>
    </row>
    <row r="455">
      <c r="A455">
        <f>I212</f>
        <v/>
      </c>
      <c r="B455">
        <f>J212</f>
        <v/>
      </c>
      <c r="C455">
        <f>K212</f>
        <v/>
      </c>
      <c r="D455">
        <f>L212</f>
        <v/>
      </c>
      <c r="E455">
        <f>M212</f>
        <v/>
      </c>
    </row>
    <row r="456">
      <c r="A456">
        <f>I213</f>
        <v/>
      </c>
      <c r="B456">
        <f>J213</f>
        <v/>
      </c>
      <c r="C456">
        <f>K213</f>
        <v/>
      </c>
      <c r="D456">
        <f>L213</f>
        <v/>
      </c>
      <c r="E456">
        <f>M213</f>
        <v/>
      </c>
    </row>
    <row r="457">
      <c r="A457">
        <f>I214</f>
        <v/>
      </c>
      <c r="B457">
        <f>J214</f>
        <v/>
      </c>
      <c r="C457">
        <f>K214</f>
        <v/>
      </c>
      <c r="D457">
        <f>L214</f>
        <v/>
      </c>
      <c r="E457">
        <f>M214</f>
        <v/>
      </c>
    </row>
    <row r="458">
      <c r="A458">
        <f>I215</f>
        <v/>
      </c>
      <c r="B458">
        <f>J215</f>
        <v/>
      </c>
      <c r="C458">
        <f>K215</f>
        <v/>
      </c>
      <c r="D458">
        <f>L215</f>
        <v/>
      </c>
      <c r="E458">
        <f>M215</f>
        <v/>
      </c>
    </row>
    <row r="459">
      <c r="A459">
        <f>I216</f>
        <v/>
      </c>
      <c r="B459">
        <f>J216</f>
        <v/>
      </c>
      <c r="C459">
        <f>K216</f>
        <v/>
      </c>
      <c r="D459">
        <f>L216</f>
        <v/>
      </c>
      <c r="E459">
        <f>M216</f>
        <v/>
      </c>
    </row>
    <row r="460">
      <c r="A460">
        <f>I217</f>
        <v/>
      </c>
      <c r="B460">
        <f>J217</f>
        <v/>
      </c>
      <c r="C460">
        <f>K217</f>
        <v/>
      </c>
      <c r="D460">
        <f>L217</f>
        <v/>
      </c>
      <c r="E460">
        <f>M217</f>
        <v/>
      </c>
    </row>
    <row r="461">
      <c r="A461">
        <f>I218</f>
        <v/>
      </c>
      <c r="B461">
        <f>J218</f>
        <v/>
      </c>
      <c r="C461">
        <f>K218</f>
        <v/>
      </c>
      <c r="D461">
        <f>L218</f>
        <v/>
      </c>
      <c r="E461">
        <f>M218</f>
        <v/>
      </c>
    </row>
    <row r="462">
      <c r="A462">
        <f>I219</f>
        <v/>
      </c>
      <c r="B462">
        <f>J219</f>
        <v/>
      </c>
      <c r="C462">
        <f>K219</f>
        <v/>
      </c>
      <c r="D462">
        <f>L219</f>
        <v/>
      </c>
      <c r="E462">
        <f>M219</f>
        <v/>
      </c>
    </row>
    <row r="463">
      <c r="A463">
        <f>I220</f>
        <v/>
      </c>
      <c r="B463">
        <f>J220</f>
        <v/>
      </c>
      <c r="C463">
        <f>K220</f>
        <v/>
      </c>
      <c r="D463">
        <f>L220</f>
        <v/>
      </c>
      <c r="E463">
        <f>M220</f>
        <v/>
      </c>
    </row>
    <row r="464">
      <c r="A464">
        <f>I221</f>
        <v/>
      </c>
      <c r="B464">
        <f>J221</f>
        <v/>
      </c>
      <c r="C464">
        <f>K221</f>
        <v/>
      </c>
      <c r="D464">
        <f>L221</f>
        <v/>
      </c>
      <c r="E464">
        <f>M221</f>
        <v/>
      </c>
    </row>
    <row r="465">
      <c r="A465">
        <f>I222</f>
        <v/>
      </c>
      <c r="B465">
        <f>J222</f>
        <v/>
      </c>
      <c r="C465">
        <f>K222</f>
        <v/>
      </c>
      <c r="D465">
        <f>L222</f>
        <v/>
      </c>
      <c r="E465">
        <f>M222</f>
        <v/>
      </c>
    </row>
    <row r="466">
      <c r="A466">
        <f>I223</f>
        <v/>
      </c>
      <c r="B466">
        <f>J223</f>
        <v/>
      </c>
      <c r="C466">
        <f>K223</f>
        <v/>
      </c>
      <c r="D466">
        <f>L223</f>
        <v/>
      </c>
      <c r="E466">
        <f>M223</f>
        <v/>
      </c>
    </row>
    <row r="467">
      <c r="A467">
        <f>I224</f>
        <v/>
      </c>
      <c r="B467">
        <f>J224</f>
        <v/>
      </c>
      <c r="C467">
        <f>K224</f>
        <v/>
      </c>
      <c r="D467">
        <f>L224</f>
        <v/>
      </c>
      <c r="E467">
        <f>M224</f>
        <v/>
      </c>
    </row>
    <row r="468">
      <c r="A468">
        <f>I225</f>
        <v/>
      </c>
      <c r="B468">
        <f>J225</f>
        <v/>
      </c>
      <c r="C468">
        <f>K225</f>
        <v/>
      </c>
      <c r="D468">
        <f>L225</f>
        <v/>
      </c>
      <c r="E468">
        <f>M225</f>
        <v/>
      </c>
    </row>
    <row r="469">
      <c r="A469">
        <f>I226</f>
        <v/>
      </c>
      <c r="B469">
        <f>J226</f>
        <v/>
      </c>
      <c r="C469">
        <f>K226</f>
        <v/>
      </c>
      <c r="D469">
        <f>L226</f>
        <v/>
      </c>
      <c r="E469">
        <f>M226</f>
        <v/>
      </c>
    </row>
    <row r="470">
      <c r="A470">
        <f>I227</f>
        <v/>
      </c>
      <c r="B470">
        <f>J227</f>
        <v/>
      </c>
      <c r="C470">
        <f>K227</f>
        <v/>
      </c>
      <c r="D470">
        <f>L227</f>
        <v/>
      </c>
      <c r="E470">
        <f>M227</f>
        <v/>
      </c>
    </row>
    <row r="471">
      <c r="A471">
        <f>I228</f>
        <v/>
      </c>
      <c r="B471">
        <f>J228</f>
        <v/>
      </c>
      <c r="C471">
        <f>K228</f>
        <v/>
      </c>
      <c r="D471">
        <f>L228</f>
        <v/>
      </c>
      <c r="E471">
        <f>M228</f>
        <v/>
      </c>
    </row>
    <row r="472">
      <c r="A472">
        <f>I229</f>
        <v/>
      </c>
      <c r="B472">
        <f>J229</f>
        <v/>
      </c>
      <c r="C472">
        <f>K229</f>
        <v/>
      </c>
      <c r="D472">
        <f>L229</f>
        <v/>
      </c>
      <c r="E472">
        <f>M229</f>
        <v/>
      </c>
    </row>
    <row r="473">
      <c r="A473">
        <f>I230</f>
        <v/>
      </c>
      <c r="B473">
        <f>J230</f>
        <v/>
      </c>
      <c r="C473">
        <f>K230</f>
        <v/>
      </c>
      <c r="D473">
        <f>L230</f>
        <v/>
      </c>
      <c r="E473">
        <f>M230</f>
        <v/>
      </c>
    </row>
    <row r="474">
      <c r="A474">
        <f>I231</f>
        <v/>
      </c>
      <c r="B474">
        <f>J231</f>
        <v/>
      </c>
      <c r="C474">
        <f>K231</f>
        <v/>
      </c>
      <c r="D474">
        <f>L231</f>
        <v/>
      </c>
      <c r="E474">
        <f>M231</f>
        <v/>
      </c>
    </row>
    <row r="475">
      <c r="A475">
        <f>I232</f>
        <v/>
      </c>
      <c r="B475">
        <f>J232</f>
        <v/>
      </c>
      <c r="C475">
        <f>K232</f>
        <v/>
      </c>
      <c r="D475">
        <f>L232</f>
        <v/>
      </c>
      <c r="E475">
        <f>M232</f>
        <v/>
      </c>
    </row>
    <row r="476">
      <c r="A476">
        <f>I233</f>
        <v/>
      </c>
      <c r="B476">
        <f>J233</f>
        <v/>
      </c>
      <c r="C476">
        <f>K233</f>
        <v/>
      </c>
      <c r="D476">
        <f>L233</f>
        <v/>
      </c>
      <c r="E476">
        <f>M233</f>
        <v/>
      </c>
    </row>
    <row r="477">
      <c r="A477">
        <f>I234</f>
        <v/>
      </c>
      <c r="B477">
        <f>J234</f>
        <v/>
      </c>
      <c r="C477">
        <f>K234</f>
        <v/>
      </c>
      <c r="D477">
        <f>L234</f>
        <v/>
      </c>
      <c r="E477">
        <f>M234</f>
        <v/>
      </c>
    </row>
    <row r="478">
      <c r="A478">
        <f>I235</f>
        <v/>
      </c>
      <c r="B478">
        <f>J235</f>
        <v/>
      </c>
      <c r="C478">
        <f>K235</f>
        <v/>
      </c>
      <c r="D478">
        <f>L235</f>
        <v/>
      </c>
      <c r="E478">
        <f>M235</f>
        <v/>
      </c>
    </row>
    <row r="479">
      <c r="A479">
        <f>I236</f>
        <v/>
      </c>
      <c r="B479">
        <f>J236</f>
        <v/>
      </c>
      <c r="C479">
        <f>K236</f>
        <v/>
      </c>
      <c r="D479">
        <f>L236</f>
        <v/>
      </c>
      <c r="E479">
        <f>M236</f>
        <v/>
      </c>
    </row>
    <row r="480">
      <c r="A480">
        <f>I237</f>
        <v/>
      </c>
      <c r="B480">
        <f>J237</f>
        <v/>
      </c>
      <c r="C480">
        <f>K237</f>
        <v/>
      </c>
      <c r="D480">
        <f>L237</f>
        <v/>
      </c>
      <c r="E480">
        <f>M237</f>
        <v/>
      </c>
    </row>
    <row r="481">
      <c r="A481">
        <f>I238</f>
        <v/>
      </c>
      <c r="B481">
        <f>J238</f>
        <v/>
      </c>
      <c r="C481">
        <f>K238</f>
        <v/>
      </c>
      <c r="D481">
        <f>L238</f>
        <v/>
      </c>
      <c r="E481">
        <f>M238</f>
        <v/>
      </c>
    </row>
    <row r="482">
      <c r="A482">
        <f>I239</f>
        <v/>
      </c>
      <c r="B482">
        <f>J239</f>
        <v/>
      </c>
      <c r="C482">
        <f>K239</f>
        <v/>
      </c>
      <c r="D482">
        <f>L239</f>
        <v/>
      </c>
      <c r="E482">
        <f>M239</f>
        <v/>
      </c>
    </row>
    <row r="483">
      <c r="A483">
        <f>I240</f>
        <v/>
      </c>
      <c r="B483">
        <f>J240</f>
        <v/>
      </c>
      <c r="C483">
        <f>K240</f>
        <v/>
      </c>
      <c r="D483">
        <f>L240</f>
        <v/>
      </c>
      <c r="E483">
        <f>M240</f>
        <v/>
      </c>
    </row>
    <row r="484">
      <c r="A484">
        <f>I241</f>
        <v/>
      </c>
      <c r="B484">
        <f>J241</f>
        <v/>
      </c>
      <c r="C484">
        <f>K241</f>
        <v/>
      </c>
      <c r="D484">
        <f>L241</f>
        <v/>
      </c>
      <c r="E484">
        <f>M241</f>
        <v/>
      </c>
    </row>
    <row r="485">
      <c r="A485">
        <f>I242</f>
        <v/>
      </c>
      <c r="B485">
        <f>J242</f>
        <v/>
      </c>
      <c r="C485">
        <f>K242</f>
        <v/>
      </c>
      <c r="D485">
        <f>L242</f>
        <v/>
      </c>
      <c r="E485">
        <f>M242</f>
        <v/>
      </c>
    </row>
    <row r="490">
      <c r="A490">
        <f>I2</f>
        <v/>
      </c>
      <c r="B490">
        <f>P2</f>
        <v/>
      </c>
      <c r="C490">
        <f>R2</f>
        <v/>
      </c>
      <c r="D490">
        <f>T2</f>
        <v/>
      </c>
      <c r="E490">
        <f>V2</f>
        <v/>
      </c>
    </row>
    <row r="491">
      <c r="A491">
        <f>I3</f>
        <v/>
      </c>
      <c r="B491">
        <f>P3</f>
        <v/>
      </c>
      <c r="C491">
        <f>R3</f>
        <v/>
      </c>
      <c r="D491">
        <f>T3</f>
        <v/>
      </c>
      <c r="E491">
        <f>V3</f>
        <v/>
      </c>
    </row>
    <row r="492">
      <c r="A492">
        <f>I4</f>
        <v/>
      </c>
      <c r="B492">
        <f>P4</f>
        <v/>
      </c>
      <c r="C492">
        <f>R4</f>
        <v/>
      </c>
      <c r="D492">
        <f>T4</f>
        <v/>
      </c>
      <c r="E492">
        <f>V4</f>
        <v/>
      </c>
    </row>
    <row r="493">
      <c r="A493">
        <f>I5</f>
        <v/>
      </c>
      <c r="B493">
        <f>P5</f>
        <v/>
      </c>
      <c r="C493">
        <f>R5</f>
        <v/>
      </c>
      <c r="D493">
        <f>T5</f>
        <v/>
      </c>
      <c r="E493">
        <f>V5</f>
        <v/>
      </c>
    </row>
    <row r="494">
      <c r="A494">
        <f>I6</f>
        <v/>
      </c>
      <c r="B494">
        <f>P6</f>
        <v/>
      </c>
      <c r="C494">
        <f>R6</f>
        <v/>
      </c>
      <c r="D494">
        <f>T6</f>
        <v/>
      </c>
      <c r="E494">
        <f>V6</f>
        <v/>
      </c>
    </row>
    <row r="495">
      <c r="A495">
        <f>I7</f>
        <v/>
      </c>
      <c r="B495">
        <f>P7</f>
        <v/>
      </c>
      <c r="C495">
        <f>R7</f>
        <v/>
      </c>
      <c r="D495">
        <f>T7</f>
        <v/>
      </c>
      <c r="E495">
        <f>V7</f>
        <v/>
      </c>
    </row>
    <row r="496">
      <c r="A496">
        <f>I8</f>
        <v/>
      </c>
      <c r="B496">
        <f>P8</f>
        <v/>
      </c>
      <c r="C496">
        <f>R8</f>
        <v/>
      </c>
      <c r="D496">
        <f>T8</f>
        <v/>
      </c>
      <c r="E496">
        <f>V8</f>
        <v/>
      </c>
    </row>
    <row r="497">
      <c r="A497">
        <f>I9</f>
        <v/>
      </c>
      <c r="B497">
        <f>P9</f>
        <v/>
      </c>
      <c r="C497">
        <f>R9</f>
        <v/>
      </c>
      <c r="D497">
        <f>T9</f>
        <v/>
      </c>
      <c r="E497">
        <f>V9</f>
        <v/>
      </c>
    </row>
    <row r="498">
      <c r="A498">
        <f>I10</f>
        <v/>
      </c>
      <c r="B498">
        <f>P10</f>
        <v/>
      </c>
      <c r="C498">
        <f>R10</f>
        <v/>
      </c>
      <c r="D498">
        <f>T10</f>
        <v/>
      </c>
      <c r="E498">
        <f>V10</f>
        <v/>
      </c>
    </row>
    <row r="499">
      <c r="A499">
        <f>I11</f>
        <v/>
      </c>
      <c r="B499">
        <f>P11</f>
        <v/>
      </c>
      <c r="C499">
        <f>R11</f>
        <v/>
      </c>
      <c r="D499">
        <f>T11</f>
        <v/>
      </c>
      <c r="E499">
        <f>V11</f>
        <v/>
      </c>
    </row>
    <row r="500">
      <c r="A500">
        <f>I12</f>
        <v/>
      </c>
      <c r="B500">
        <f>P12</f>
        <v/>
      </c>
      <c r="C500">
        <f>R12</f>
        <v/>
      </c>
      <c r="D500">
        <f>T12</f>
        <v/>
      </c>
      <c r="E500">
        <f>V12</f>
        <v/>
      </c>
    </row>
    <row r="501">
      <c r="A501">
        <f>I13</f>
        <v/>
      </c>
      <c r="B501">
        <f>P13</f>
        <v/>
      </c>
      <c r="C501">
        <f>R13</f>
        <v/>
      </c>
      <c r="D501">
        <f>T13</f>
        <v/>
      </c>
      <c r="E501">
        <f>V13</f>
        <v/>
      </c>
    </row>
    <row r="502">
      <c r="A502">
        <f>I14</f>
        <v/>
      </c>
      <c r="B502">
        <f>P14</f>
        <v/>
      </c>
      <c r="C502">
        <f>R14</f>
        <v/>
      </c>
      <c r="D502">
        <f>T14</f>
        <v/>
      </c>
      <c r="E502">
        <f>V14</f>
        <v/>
      </c>
    </row>
    <row r="503">
      <c r="A503">
        <f>I15</f>
        <v/>
      </c>
      <c r="B503">
        <f>P15</f>
        <v/>
      </c>
      <c r="C503">
        <f>R15</f>
        <v/>
      </c>
      <c r="D503">
        <f>T15</f>
        <v/>
      </c>
      <c r="E503">
        <f>V15</f>
        <v/>
      </c>
    </row>
    <row r="504">
      <c r="A504">
        <f>I16</f>
        <v/>
      </c>
      <c r="B504">
        <f>P16</f>
        <v/>
      </c>
      <c r="C504">
        <f>R16</f>
        <v/>
      </c>
      <c r="D504">
        <f>T16</f>
        <v/>
      </c>
      <c r="E504">
        <f>V16</f>
        <v/>
      </c>
    </row>
    <row r="505">
      <c r="A505">
        <f>I17</f>
        <v/>
      </c>
      <c r="B505">
        <f>P17</f>
        <v/>
      </c>
      <c r="C505">
        <f>R17</f>
        <v/>
      </c>
      <c r="D505">
        <f>T17</f>
        <v/>
      </c>
      <c r="E505">
        <f>V17</f>
        <v/>
      </c>
    </row>
    <row r="506">
      <c r="A506">
        <f>I18</f>
        <v/>
      </c>
      <c r="B506">
        <f>P18</f>
        <v/>
      </c>
      <c r="C506">
        <f>R18</f>
        <v/>
      </c>
      <c r="D506">
        <f>T18</f>
        <v/>
      </c>
      <c r="E506">
        <f>V18</f>
        <v/>
      </c>
    </row>
    <row r="507">
      <c r="A507">
        <f>I19</f>
        <v/>
      </c>
      <c r="B507">
        <f>P19</f>
        <v/>
      </c>
      <c r="C507">
        <f>R19</f>
        <v/>
      </c>
      <c r="D507">
        <f>T19</f>
        <v/>
      </c>
      <c r="E507">
        <f>V19</f>
        <v/>
      </c>
    </row>
    <row r="508">
      <c r="A508">
        <f>I20</f>
        <v/>
      </c>
      <c r="B508">
        <f>P20</f>
        <v/>
      </c>
      <c r="C508">
        <f>R20</f>
        <v/>
      </c>
      <c r="D508">
        <f>T20</f>
        <v/>
      </c>
      <c r="E508">
        <f>V20</f>
        <v/>
      </c>
    </row>
    <row r="509">
      <c r="A509">
        <f>I21</f>
        <v/>
      </c>
      <c r="B509">
        <f>P21</f>
        <v/>
      </c>
      <c r="C509">
        <f>R21</f>
        <v/>
      </c>
      <c r="D509">
        <f>T21</f>
        <v/>
      </c>
      <c r="E509">
        <f>V21</f>
        <v/>
      </c>
    </row>
    <row r="510">
      <c r="A510">
        <f>I22</f>
        <v/>
      </c>
      <c r="B510">
        <f>P22</f>
        <v/>
      </c>
      <c r="C510">
        <f>R22</f>
        <v/>
      </c>
      <c r="D510">
        <f>T22</f>
        <v/>
      </c>
      <c r="E510">
        <f>V22</f>
        <v/>
      </c>
    </row>
    <row r="511">
      <c r="A511">
        <f>I23</f>
        <v/>
      </c>
      <c r="B511">
        <f>P23</f>
        <v/>
      </c>
      <c r="C511">
        <f>R23</f>
        <v/>
      </c>
      <c r="D511">
        <f>T23</f>
        <v/>
      </c>
      <c r="E511">
        <f>V23</f>
        <v/>
      </c>
    </row>
    <row r="512">
      <c r="A512">
        <f>I24</f>
        <v/>
      </c>
      <c r="B512">
        <f>P24</f>
        <v/>
      </c>
      <c r="C512">
        <f>R24</f>
        <v/>
      </c>
      <c r="D512">
        <f>T24</f>
        <v/>
      </c>
      <c r="E512">
        <f>V24</f>
        <v/>
      </c>
    </row>
    <row r="513">
      <c r="A513">
        <f>I25</f>
        <v/>
      </c>
      <c r="B513">
        <f>P25</f>
        <v/>
      </c>
      <c r="C513">
        <f>R25</f>
        <v/>
      </c>
      <c r="D513">
        <f>T25</f>
        <v/>
      </c>
      <c r="E513">
        <f>V25</f>
        <v/>
      </c>
    </row>
    <row r="514">
      <c r="A514">
        <f>I26</f>
        <v/>
      </c>
      <c r="B514">
        <f>P26</f>
        <v/>
      </c>
      <c r="C514">
        <f>R26</f>
        <v/>
      </c>
      <c r="D514">
        <f>T26</f>
        <v/>
      </c>
      <c r="E514">
        <f>V26</f>
        <v/>
      </c>
    </row>
    <row r="515">
      <c r="A515">
        <f>I27</f>
        <v/>
      </c>
      <c r="B515">
        <f>P27</f>
        <v/>
      </c>
      <c r="C515">
        <f>R27</f>
        <v/>
      </c>
      <c r="D515">
        <f>T27</f>
        <v/>
      </c>
      <c r="E515">
        <f>V27</f>
        <v/>
      </c>
    </row>
    <row r="516">
      <c r="A516">
        <f>I28</f>
        <v/>
      </c>
      <c r="B516">
        <f>P28</f>
        <v/>
      </c>
      <c r="C516">
        <f>R28</f>
        <v/>
      </c>
      <c r="D516">
        <f>T28</f>
        <v/>
      </c>
      <c r="E516">
        <f>V28</f>
        <v/>
      </c>
    </row>
    <row r="517">
      <c r="A517">
        <f>I29</f>
        <v/>
      </c>
      <c r="B517">
        <f>P29</f>
        <v/>
      </c>
      <c r="C517">
        <f>R29</f>
        <v/>
      </c>
      <c r="D517">
        <f>T29</f>
        <v/>
      </c>
      <c r="E517">
        <f>V29</f>
        <v/>
      </c>
    </row>
    <row r="518">
      <c r="A518">
        <f>I30</f>
        <v/>
      </c>
      <c r="B518">
        <f>P30</f>
        <v/>
      </c>
      <c r="C518">
        <f>R30</f>
        <v/>
      </c>
      <c r="D518">
        <f>T30</f>
        <v/>
      </c>
      <c r="E518">
        <f>V30</f>
        <v/>
      </c>
    </row>
    <row r="519">
      <c r="A519">
        <f>I31</f>
        <v/>
      </c>
      <c r="B519">
        <f>P31</f>
        <v/>
      </c>
      <c r="C519">
        <f>R31</f>
        <v/>
      </c>
      <c r="D519">
        <f>T31</f>
        <v/>
      </c>
      <c r="E519">
        <f>V31</f>
        <v/>
      </c>
    </row>
    <row r="520">
      <c r="A520">
        <f>I32</f>
        <v/>
      </c>
      <c r="B520">
        <f>P32</f>
        <v/>
      </c>
      <c r="C520">
        <f>R32</f>
        <v/>
      </c>
      <c r="D520">
        <f>T32</f>
        <v/>
      </c>
      <c r="E520">
        <f>V32</f>
        <v/>
      </c>
    </row>
    <row r="521">
      <c r="A521">
        <f>I33</f>
        <v/>
      </c>
      <c r="B521">
        <f>P33</f>
        <v/>
      </c>
      <c r="C521">
        <f>R33</f>
        <v/>
      </c>
      <c r="D521">
        <f>T33</f>
        <v/>
      </c>
      <c r="E521">
        <f>V33</f>
        <v/>
      </c>
    </row>
    <row r="522">
      <c r="A522">
        <f>I34</f>
        <v/>
      </c>
      <c r="B522">
        <f>P34</f>
        <v/>
      </c>
      <c r="C522">
        <f>R34</f>
        <v/>
      </c>
      <c r="D522">
        <f>T34</f>
        <v/>
      </c>
      <c r="E522">
        <f>V34</f>
        <v/>
      </c>
    </row>
    <row r="523">
      <c r="A523">
        <f>I35</f>
        <v/>
      </c>
      <c r="B523">
        <f>P35</f>
        <v/>
      </c>
      <c r="C523">
        <f>R35</f>
        <v/>
      </c>
      <c r="D523">
        <f>T35</f>
        <v/>
      </c>
      <c r="E523">
        <f>V35</f>
        <v/>
      </c>
    </row>
    <row r="524">
      <c r="A524">
        <f>I36</f>
        <v/>
      </c>
      <c r="B524">
        <f>P36</f>
        <v/>
      </c>
      <c r="C524">
        <f>R36</f>
        <v/>
      </c>
      <c r="D524">
        <f>T36</f>
        <v/>
      </c>
      <c r="E524">
        <f>V36</f>
        <v/>
      </c>
    </row>
    <row r="525">
      <c r="A525">
        <f>I37</f>
        <v/>
      </c>
      <c r="B525">
        <f>P37</f>
        <v/>
      </c>
      <c r="C525">
        <f>R37</f>
        <v/>
      </c>
      <c r="D525">
        <f>T37</f>
        <v/>
      </c>
      <c r="E525">
        <f>V37</f>
        <v/>
      </c>
    </row>
    <row r="526">
      <c r="A526">
        <f>I38</f>
        <v/>
      </c>
      <c r="B526">
        <f>P38</f>
        <v/>
      </c>
      <c r="C526">
        <f>R38</f>
        <v/>
      </c>
      <c r="D526">
        <f>T38</f>
        <v/>
      </c>
      <c r="E526">
        <f>V38</f>
        <v/>
      </c>
    </row>
    <row r="527">
      <c r="A527">
        <f>I39</f>
        <v/>
      </c>
      <c r="B527">
        <f>P39</f>
        <v/>
      </c>
      <c r="C527">
        <f>R39</f>
        <v/>
      </c>
      <c r="D527">
        <f>T39</f>
        <v/>
      </c>
      <c r="E527">
        <f>V39</f>
        <v/>
      </c>
    </row>
    <row r="528">
      <c r="A528">
        <f>I40</f>
        <v/>
      </c>
      <c r="B528">
        <f>P40</f>
        <v/>
      </c>
      <c r="C528">
        <f>R40</f>
        <v/>
      </c>
      <c r="D528">
        <f>T40</f>
        <v/>
      </c>
      <c r="E528">
        <f>V40</f>
        <v/>
      </c>
    </row>
    <row r="529">
      <c r="A529">
        <f>I41</f>
        <v/>
      </c>
      <c r="B529">
        <f>P41</f>
        <v/>
      </c>
      <c r="C529">
        <f>R41</f>
        <v/>
      </c>
      <c r="D529">
        <f>T41</f>
        <v/>
      </c>
      <c r="E529">
        <f>V41</f>
        <v/>
      </c>
    </row>
    <row r="530">
      <c r="A530">
        <f>I42</f>
        <v/>
      </c>
      <c r="B530">
        <f>P42</f>
        <v/>
      </c>
      <c r="C530">
        <f>R42</f>
        <v/>
      </c>
      <c r="D530">
        <f>T42</f>
        <v/>
      </c>
      <c r="E530">
        <f>V42</f>
        <v/>
      </c>
    </row>
    <row r="531">
      <c r="A531">
        <f>I43</f>
        <v/>
      </c>
      <c r="B531">
        <f>P43</f>
        <v/>
      </c>
      <c r="C531">
        <f>R43</f>
        <v/>
      </c>
      <c r="D531">
        <f>T43</f>
        <v/>
      </c>
      <c r="E531">
        <f>V43</f>
        <v/>
      </c>
    </row>
    <row r="532">
      <c r="A532">
        <f>I44</f>
        <v/>
      </c>
      <c r="B532">
        <f>P44</f>
        <v/>
      </c>
      <c r="C532">
        <f>R44</f>
        <v/>
      </c>
      <c r="D532">
        <f>T44</f>
        <v/>
      </c>
      <c r="E532">
        <f>V44</f>
        <v/>
      </c>
    </row>
    <row r="533">
      <c r="A533">
        <f>I45</f>
        <v/>
      </c>
      <c r="B533">
        <f>P45</f>
        <v/>
      </c>
      <c r="C533">
        <f>R45</f>
        <v/>
      </c>
      <c r="D533">
        <f>T45</f>
        <v/>
      </c>
      <c r="E533">
        <f>V45</f>
        <v/>
      </c>
    </row>
    <row r="534">
      <c r="A534">
        <f>I46</f>
        <v/>
      </c>
      <c r="B534">
        <f>P46</f>
        <v/>
      </c>
      <c r="C534">
        <f>R46</f>
        <v/>
      </c>
      <c r="D534">
        <f>T46</f>
        <v/>
      </c>
      <c r="E534">
        <f>V46</f>
        <v/>
      </c>
    </row>
    <row r="535">
      <c r="A535">
        <f>I47</f>
        <v/>
      </c>
      <c r="B535">
        <f>P47</f>
        <v/>
      </c>
      <c r="C535">
        <f>R47</f>
        <v/>
      </c>
      <c r="D535">
        <f>T47</f>
        <v/>
      </c>
      <c r="E535">
        <f>V47</f>
        <v/>
      </c>
    </row>
    <row r="536">
      <c r="A536">
        <f>I48</f>
        <v/>
      </c>
      <c r="B536">
        <f>P48</f>
        <v/>
      </c>
      <c r="C536">
        <f>R48</f>
        <v/>
      </c>
      <c r="D536">
        <f>T48</f>
        <v/>
      </c>
      <c r="E536">
        <f>V48</f>
        <v/>
      </c>
    </row>
    <row r="537">
      <c r="A537">
        <f>I49</f>
        <v/>
      </c>
      <c r="B537">
        <f>P49</f>
        <v/>
      </c>
      <c r="C537">
        <f>R49</f>
        <v/>
      </c>
      <c r="D537">
        <f>T49</f>
        <v/>
      </c>
      <c r="E537">
        <f>V49</f>
        <v/>
      </c>
    </row>
    <row r="538">
      <c r="A538">
        <f>I50</f>
        <v/>
      </c>
      <c r="B538">
        <f>P50</f>
        <v/>
      </c>
      <c r="C538">
        <f>R50</f>
        <v/>
      </c>
      <c r="D538">
        <f>T50</f>
        <v/>
      </c>
      <c r="E538">
        <f>V50</f>
        <v/>
      </c>
    </row>
    <row r="539">
      <c r="A539">
        <f>I51</f>
        <v/>
      </c>
      <c r="B539">
        <f>P51</f>
        <v/>
      </c>
      <c r="C539">
        <f>R51</f>
        <v/>
      </c>
      <c r="D539">
        <f>T51</f>
        <v/>
      </c>
      <c r="E539">
        <f>V51</f>
        <v/>
      </c>
    </row>
    <row r="540">
      <c r="A540">
        <f>I52</f>
        <v/>
      </c>
      <c r="B540">
        <f>P52</f>
        <v/>
      </c>
      <c r="C540">
        <f>R52</f>
        <v/>
      </c>
      <c r="D540">
        <f>T52</f>
        <v/>
      </c>
      <c r="E540">
        <f>V52</f>
        <v/>
      </c>
    </row>
    <row r="541">
      <c r="A541">
        <f>I53</f>
        <v/>
      </c>
      <c r="B541">
        <f>P53</f>
        <v/>
      </c>
      <c r="C541">
        <f>R53</f>
        <v/>
      </c>
      <c r="D541">
        <f>T53</f>
        <v/>
      </c>
      <c r="E541">
        <f>V53</f>
        <v/>
      </c>
    </row>
    <row r="542">
      <c r="A542">
        <f>I54</f>
        <v/>
      </c>
      <c r="B542">
        <f>P54</f>
        <v/>
      </c>
      <c r="C542">
        <f>R54</f>
        <v/>
      </c>
      <c r="D542">
        <f>T54</f>
        <v/>
      </c>
      <c r="E542">
        <f>V54</f>
        <v/>
      </c>
    </row>
    <row r="543">
      <c r="A543">
        <f>I55</f>
        <v/>
      </c>
      <c r="B543">
        <f>P55</f>
        <v/>
      </c>
      <c r="C543">
        <f>R55</f>
        <v/>
      </c>
      <c r="D543">
        <f>T55</f>
        <v/>
      </c>
      <c r="E543">
        <f>V55</f>
        <v/>
      </c>
    </row>
    <row r="544">
      <c r="A544">
        <f>I56</f>
        <v/>
      </c>
      <c r="B544">
        <f>P56</f>
        <v/>
      </c>
      <c r="C544">
        <f>R56</f>
        <v/>
      </c>
      <c r="D544">
        <f>T56</f>
        <v/>
      </c>
      <c r="E544">
        <f>V56</f>
        <v/>
      </c>
    </row>
    <row r="545">
      <c r="A545">
        <f>I57</f>
        <v/>
      </c>
      <c r="B545">
        <f>P57</f>
        <v/>
      </c>
      <c r="C545">
        <f>R57</f>
        <v/>
      </c>
      <c r="D545">
        <f>T57</f>
        <v/>
      </c>
      <c r="E545">
        <f>V57</f>
        <v/>
      </c>
    </row>
    <row r="546">
      <c r="A546">
        <f>I58</f>
        <v/>
      </c>
      <c r="B546">
        <f>P58</f>
        <v/>
      </c>
      <c r="C546">
        <f>R58</f>
        <v/>
      </c>
      <c r="D546">
        <f>T58</f>
        <v/>
      </c>
      <c r="E546">
        <f>V58</f>
        <v/>
      </c>
    </row>
    <row r="547">
      <c r="A547">
        <f>I59</f>
        <v/>
      </c>
      <c r="B547">
        <f>P59</f>
        <v/>
      </c>
      <c r="C547">
        <f>R59</f>
        <v/>
      </c>
      <c r="D547">
        <f>T59</f>
        <v/>
      </c>
      <c r="E547">
        <f>V59</f>
        <v/>
      </c>
    </row>
    <row r="548">
      <c r="A548">
        <f>I60</f>
        <v/>
      </c>
      <c r="B548">
        <f>P60</f>
        <v/>
      </c>
      <c r="C548">
        <f>R60</f>
        <v/>
      </c>
      <c r="D548">
        <f>T60</f>
        <v/>
      </c>
      <c r="E548">
        <f>V60</f>
        <v/>
      </c>
    </row>
    <row r="549">
      <c r="A549">
        <f>I61</f>
        <v/>
      </c>
      <c r="B549">
        <f>P61</f>
        <v/>
      </c>
      <c r="C549">
        <f>R61</f>
        <v/>
      </c>
      <c r="D549">
        <f>T61</f>
        <v/>
      </c>
      <c r="E549">
        <f>V61</f>
        <v/>
      </c>
    </row>
    <row r="550">
      <c r="A550">
        <f>I62</f>
        <v/>
      </c>
      <c r="B550">
        <f>P62</f>
        <v/>
      </c>
      <c r="C550">
        <f>R62</f>
        <v/>
      </c>
      <c r="D550">
        <f>T62</f>
        <v/>
      </c>
      <c r="E550">
        <f>V62</f>
        <v/>
      </c>
    </row>
    <row r="551">
      <c r="A551">
        <f>I63</f>
        <v/>
      </c>
      <c r="B551">
        <f>P63</f>
        <v/>
      </c>
      <c r="C551">
        <f>R63</f>
        <v/>
      </c>
      <c r="D551">
        <f>T63</f>
        <v/>
      </c>
      <c r="E551">
        <f>V63</f>
        <v/>
      </c>
    </row>
    <row r="552">
      <c r="A552">
        <f>I64</f>
        <v/>
      </c>
      <c r="B552">
        <f>P64</f>
        <v/>
      </c>
      <c r="C552">
        <f>R64</f>
        <v/>
      </c>
      <c r="D552">
        <f>T64</f>
        <v/>
      </c>
      <c r="E552">
        <f>V64</f>
        <v/>
      </c>
    </row>
    <row r="553">
      <c r="A553">
        <f>I65</f>
        <v/>
      </c>
      <c r="B553">
        <f>P65</f>
        <v/>
      </c>
      <c r="C553">
        <f>R65</f>
        <v/>
      </c>
      <c r="D553">
        <f>T65</f>
        <v/>
      </c>
      <c r="E553">
        <f>V65</f>
        <v/>
      </c>
    </row>
    <row r="554">
      <c r="A554">
        <f>I66</f>
        <v/>
      </c>
      <c r="B554">
        <f>P66</f>
        <v/>
      </c>
      <c r="C554">
        <f>R66</f>
        <v/>
      </c>
      <c r="D554">
        <f>T66</f>
        <v/>
      </c>
      <c r="E554">
        <f>V66</f>
        <v/>
      </c>
    </row>
    <row r="555">
      <c r="A555">
        <f>I67</f>
        <v/>
      </c>
      <c r="B555">
        <f>P67</f>
        <v/>
      </c>
      <c r="C555">
        <f>R67</f>
        <v/>
      </c>
      <c r="D555">
        <f>T67</f>
        <v/>
      </c>
      <c r="E555">
        <f>V67</f>
        <v/>
      </c>
    </row>
    <row r="556">
      <c r="A556">
        <f>I68</f>
        <v/>
      </c>
      <c r="B556">
        <f>P68</f>
        <v/>
      </c>
      <c r="C556">
        <f>R68</f>
        <v/>
      </c>
      <c r="D556">
        <f>T68</f>
        <v/>
      </c>
      <c r="E556">
        <f>V68</f>
        <v/>
      </c>
    </row>
    <row r="557">
      <c r="A557">
        <f>I69</f>
        <v/>
      </c>
      <c r="B557">
        <f>P69</f>
        <v/>
      </c>
      <c r="C557">
        <f>R69</f>
        <v/>
      </c>
      <c r="D557">
        <f>T69</f>
        <v/>
      </c>
      <c r="E557">
        <f>V69</f>
        <v/>
      </c>
    </row>
    <row r="558">
      <c r="A558">
        <f>I70</f>
        <v/>
      </c>
      <c r="B558">
        <f>P70</f>
        <v/>
      </c>
      <c r="C558">
        <f>R70</f>
        <v/>
      </c>
      <c r="D558">
        <f>T70</f>
        <v/>
      </c>
      <c r="E558">
        <f>V70</f>
        <v/>
      </c>
    </row>
    <row r="559">
      <c r="A559">
        <f>I71</f>
        <v/>
      </c>
      <c r="B559">
        <f>P71</f>
        <v/>
      </c>
      <c r="C559">
        <f>R71</f>
        <v/>
      </c>
      <c r="D559">
        <f>T71</f>
        <v/>
      </c>
      <c r="E559">
        <f>V71</f>
        <v/>
      </c>
    </row>
    <row r="560">
      <c r="A560">
        <f>I72</f>
        <v/>
      </c>
      <c r="B560">
        <f>P72</f>
        <v/>
      </c>
      <c r="C560">
        <f>R72</f>
        <v/>
      </c>
      <c r="D560">
        <f>T72</f>
        <v/>
      </c>
      <c r="E560">
        <f>V72</f>
        <v/>
      </c>
    </row>
    <row r="561">
      <c r="A561">
        <f>I73</f>
        <v/>
      </c>
      <c r="B561">
        <f>P73</f>
        <v/>
      </c>
      <c r="C561">
        <f>R73</f>
        <v/>
      </c>
      <c r="D561">
        <f>T73</f>
        <v/>
      </c>
      <c r="E561">
        <f>V73</f>
        <v/>
      </c>
    </row>
    <row r="562">
      <c r="A562">
        <f>I74</f>
        <v/>
      </c>
      <c r="B562">
        <f>P74</f>
        <v/>
      </c>
      <c r="C562">
        <f>R74</f>
        <v/>
      </c>
      <c r="D562">
        <f>T74</f>
        <v/>
      </c>
      <c r="E562">
        <f>V74</f>
        <v/>
      </c>
    </row>
    <row r="563">
      <c r="A563">
        <f>I75</f>
        <v/>
      </c>
      <c r="B563">
        <f>P75</f>
        <v/>
      </c>
      <c r="C563">
        <f>R75</f>
        <v/>
      </c>
      <c r="D563">
        <f>T75</f>
        <v/>
      </c>
      <c r="E563">
        <f>V75</f>
        <v/>
      </c>
    </row>
    <row r="564">
      <c r="A564">
        <f>I76</f>
        <v/>
      </c>
      <c r="B564">
        <f>P76</f>
        <v/>
      </c>
      <c r="C564">
        <f>R76</f>
        <v/>
      </c>
      <c r="D564">
        <f>T76</f>
        <v/>
      </c>
      <c r="E564">
        <f>V76</f>
        <v/>
      </c>
    </row>
    <row r="565">
      <c r="A565">
        <f>I77</f>
        <v/>
      </c>
      <c r="B565">
        <f>P77</f>
        <v/>
      </c>
      <c r="C565">
        <f>R77</f>
        <v/>
      </c>
      <c r="D565">
        <f>T77</f>
        <v/>
      </c>
      <c r="E565">
        <f>V77</f>
        <v/>
      </c>
    </row>
    <row r="566">
      <c r="A566">
        <f>I78</f>
        <v/>
      </c>
      <c r="B566">
        <f>P78</f>
        <v/>
      </c>
      <c r="C566">
        <f>R78</f>
        <v/>
      </c>
      <c r="D566">
        <f>T78</f>
        <v/>
      </c>
      <c r="E566">
        <f>V78</f>
        <v/>
      </c>
    </row>
    <row r="567">
      <c r="A567">
        <f>I79</f>
        <v/>
      </c>
      <c r="B567">
        <f>P79</f>
        <v/>
      </c>
      <c r="C567">
        <f>R79</f>
        <v/>
      </c>
      <c r="D567">
        <f>T79</f>
        <v/>
      </c>
      <c r="E567">
        <f>V79</f>
        <v/>
      </c>
    </row>
    <row r="568">
      <c r="A568">
        <f>I80</f>
        <v/>
      </c>
      <c r="B568">
        <f>P80</f>
        <v/>
      </c>
      <c r="C568">
        <f>R80</f>
        <v/>
      </c>
      <c r="D568">
        <f>T80</f>
        <v/>
      </c>
      <c r="E568">
        <f>V80</f>
        <v/>
      </c>
    </row>
    <row r="569">
      <c r="A569">
        <f>I81</f>
        <v/>
      </c>
      <c r="B569">
        <f>P81</f>
        <v/>
      </c>
      <c r="C569">
        <f>R81</f>
        <v/>
      </c>
      <c r="D569">
        <f>T81</f>
        <v/>
      </c>
      <c r="E569">
        <f>V81</f>
        <v/>
      </c>
    </row>
    <row r="570">
      <c r="A570">
        <f>I82</f>
        <v/>
      </c>
      <c r="B570">
        <f>P82</f>
        <v/>
      </c>
      <c r="C570">
        <f>R82</f>
        <v/>
      </c>
      <c r="D570">
        <f>T82</f>
        <v/>
      </c>
      <c r="E570">
        <f>V82</f>
        <v/>
      </c>
    </row>
    <row r="571">
      <c r="A571">
        <f>I83</f>
        <v/>
      </c>
      <c r="B571">
        <f>P83</f>
        <v/>
      </c>
      <c r="C571">
        <f>R83</f>
        <v/>
      </c>
      <c r="D571">
        <f>T83</f>
        <v/>
      </c>
      <c r="E571">
        <f>V83</f>
        <v/>
      </c>
    </row>
    <row r="572">
      <c r="A572">
        <f>I84</f>
        <v/>
      </c>
      <c r="B572">
        <f>P84</f>
        <v/>
      </c>
      <c r="C572">
        <f>R84</f>
        <v/>
      </c>
      <c r="D572">
        <f>T84</f>
        <v/>
      </c>
      <c r="E572">
        <f>V84</f>
        <v/>
      </c>
    </row>
    <row r="573">
      <c r="A573">
        <f>I85</f>
        <v/>
      </c>
      <c r="B573">
        <f>P85</f>
        <v/>
      </c>
      <c r="C573">
        <f>R85</f>
        <v/>
      </c>
      <c r="D573">
        <f>T85</f>
        <v/>
      </c>
      <c r="E573">
        <f>V85</f>
        <v/>
      </c>
    </row>
    <row r="574">
      <c r="A574">
        <f>I86</f>
        <v/>
      </c>
      <c r="B574">
        <f>P86</f>
        <v/>
      </c>
      <c r="C574">
        <f>R86</f>
        <v/>
      </c>
      <c r="D574">
        <f>T86</f>
        <v/>
      </c>
      <c r="E574">
        <f>V86</f>
        <v/>
      </c>
    </row>
    <row r="575">
      <c r="A575">
        <f>I87</f>
        <v/>
      </c>
      <c r="B575">
        <f>P87</f>
        <v/>
      </c>
      <c r="C575">
        <f>R87</f>
        <v/>
      </c>
      <c r="D575">
        <f>T87</f>
        <v/>
      </c>
      <c r="E575">
        <f>V87</f>
        <v/>
      </c>
    </row>
    <row r="576">
      <c r="A576">
        <f>I88</f>
        <v/>
      </c>
      <c r="B576">
        <f>P88</f>
        <v/>
      </c>
      <c r="C576">
        <f>R88</f>
        <v/>
      </c>
      <c r="D576">
        <f>T88</f>
        <v/>
      </c>
      <c r="E576">
        <f>V88</f>
        <v/>
      </c>
    </row>
    <row r="577">
      <c r="A577">
        <f>I89</f>
        <v/>
      </c>
      <c r="B577">
        <f>P89</f>
        <v/>
      </c>
      <c r="C577">
        <f>R89</f>
        <v/>
      </c>
      <c r="D577">
        <f>T89</f>
        <v/>
      </c>
      <c r="E577">
        <f>V89</f>
        <v/>
      </c>
    </row>
    <row r="578">
      <c r="A578">
        <f>I90</f>
        <v/>
      </c>
      <c r="B578">
        <f>P90</f>
        <v/>
      </c>
      <c r="C578">
        <f>R90</f>
        <v/>
      </c>
      <c r="D578">
        <f>T90</f>
        <v/>
      </c>
      <c r="E578">
        <f>V90</f>
        <v/>
      </c>
    </row>
    <row r="579">
      <c r="A579">
        <f>I91</f>
        <v/>
      </c>
      <c r="B579">
        <f>P91</f>
        <v/>
      </c>
      <c r="C579">
        <f>R91</f>
        <v/>
      </c>
      <c r="D579">
        <f>T91</f>
        <v/>
      </c>
      <c r="E579">
        <f>V91</f>
        <v/>
      </c>
    </row>
    <row r="580">
      <c r="A580">
        <f>I92</f>
        <v/>
      </c>
      <c r="B580">
        <f>P92</f>
        <v/>
      </c>
      <c r="C580">
        <f>R92</f>
        <v/>
      </c>
      <c r="D580">
        <f>T92</f>
        <v/>
      </c>
      <c r="E580">
        <f>V92</f>
        <v/>
      </c>
    </row>
    <row r="581">
      <c r="A581">
        <f>I93</f>
        <v/>
      </c>
      <c r="B581">
        <f>P93</f>
        <v/>
      </c>
      <c r="C581">
        <f>R93</f>
        <v/>
      </c>
      <c r="D581">
        <f>T93</f>
        <v/>
      </c>
      <c r="E581">
        <f>V93</f>
        <v/>
      </c>
    </row>
    <row r="582">
      <c r="A582">
        <f>I94</f>
        <v/>
      </c>
      <c r="B582">
        <f>P94</f>
        <v/>
      </c>
      <c r="C582">
        <f>R94</f>
        <v/>
      </c>
      <c r="D582">
        <f>T94</f>
        <v/>
      </c>
      <c r="E582">
        <f>V94</f>
        <v/>
      </c>
    </row>
    <row r="583">
      <c r="A583">
        <f>I95</f>
        <v/>
      </c>
      <c r="B583">
        <f>P95</f>
        <v/>
      </c>
      <c r="C583">
        <f>R95</f>
        <v/>
      </c>
      <c r="D583">
        <f>T95</f>
        <v/>
      </c>
      <c r="E583">
        <f>V95</f>
        <v/>
      </c>
    </row>
    <row r="584">
      <c r="A584">
        <f>I96</f>
        <v/>
      </c>
      <c r="B584">
        <f>P96</f>
        <v/>
      </c>
      <c r="C584">
        <f>R96</f>
        <v/>
      </c>
      <c r="D584">
        <f>T96</f>
        <v/>
      </c>
      <c r="E584">
        <f>V96</f>
        <v/>
      </c>
    </row>
    <row r="585">
      <c r="A585">
        <f>I97</f>
        <v/>
      </c>
      <c r="B585">
        <f>P97</f>
        <v/>
      </c>
      <c r="C585">
        <f>R97</f>
        <v/>
      </c>
      <c r="D585">
        <f>T97</f>
        <v/>
      </c>
      <c r="E585">
        <f>V97</f>
        <v/>
      </c>
    </row>
    <row r="586">
      <c r="A586">
        <f>I98</f>
        <v/>
      </c>
      <c r="B586">
        <f>P98</f>
        <v/>
      </c>
      <c r="C586">
        <f>R98</f>
        <v/>
      </c>
      <c r="D586">
        <f>T98</f>
        <v/>
      </c>
      <c r="E586">
        <f>V98</f>
        <v/>
      </c>
    </row>
    <row r="587">
      <c r="A587">
        <f>I99</f>
        <v/>
      </c>
      <c r="B587">
        <f>P99</f>
        <v/>
      </c>
      <c r="C587">
        <f>R99</f>
        <v/>
      </c>
      <c r="D587">
        <f>T99</f>
        <v/>
      </c>
      <c r="E587">
        <f>V99</f>
        <v/>
      </c>
    </row>
    <row r="588">
      <c r="A588">
        <f>I100</f>
        <v/>
      </c>
      <c r="B588">
        <f>P100</f>
        <v/>
      </c>
      <c r="C588">
        <f>R100</f>
        <v/>
      </c>
      <c r="D588">
        <f>T100</f>
        <v/>
      </c>
      <c r="E588">
        <f>V100</f>
        <v/>
      </c>
    </row>
    <row r="589">
      <c r="A589">
        <f>I101</f>
        <v/>
      </c>
      <c r="B589">
        <f>P101</f>
        <v/>
      </c>
      <c r="C589">
        <f>R101</f>
        <v/>
      </c>
      <c r="D589">
        <f>T101</f>
        <v/>
      </c>
      <c r="E589">
        <f>V101</f>
        <v/>
      </c>
    </row>
    <row r="590">
      <c r="A590">
        <f>I102</f>
        <v/>
      </c>
      <c r="B590">
        <f>P102</f>
        <v/>
      </c>
      <c r="C590">
        <f>R102</f>
        <v/>
      </c>
      <c r="D590">
        <f>T102</f>
        <v/>
      </c>
      <c r="E590">
        <f>V102</f>
        <v/>
      </c>
    </row>
    <row r="591">
      <c r="A591">
        <f>I103</f>
        <v/>
      </c>
      <c r="B591">
        <f>P103</f>
        <v/>
      </c>
      <c r="C591">
        <f>R103</f>
        <v/>
      </c>
      <c r="D591">
        <f>T103</f>
        <v/>
      </c>
      <c r="E591">
        <f>V103</f>
        <v/>
      </c>
    </row>
    <row r="592">
      <c r="A592">
        <f>I104</f>
        <v/>
      </c>
      <c r="B592">
        <f>P104</f>
        <v/>
      </c>
      <c r="C592">
        <f>R104</f>
        <v/>
      </c>
      <c r="D592">
        <f>T104</f>
        <v/>
      </c>
      <c r="E592">
        <f>V104</f>
        <v/>
      </c>
    </row>
    <row r="593">
      <c r="A593">
        <f>I105</f>
        <v/>
      </c>
      <c r="B593">
        <f>P105</f>
        <v/>
      </c>
      <c r="C593">
        <f>R105</f>
        <v/>
      </c>
      <c r="D593">
        <f>T105</f>
        <v/>
      </c>
      <c r="E593">
        <f>V105</f>
        <v/>
      </c>
    </row>
    <row r="594">
      <c r="A594">
        <f>I106</f>
        <v/>
      </c>
      <c r="B594">
        <f>P106</f>
        <v/>
      </c>
      <c r="C594">
        <f>R106</f>
        <v/>
      </c>
      <c r="D594">
        <f>T106</f>
        <v/>
      </c>
      <c r="E594">
        <f>V106</f>
        <v/>
      </c>
    </row>
    <row r="595">
      <c r="A595">
        <f>I107</f>
        <v/>
      </c>
      <c r="B595">
        <f>P107</f>
        <v/>
      </c>
      <c r="C595">
        <f>R107</f>
        <v/>
      </c>
      <c r="D595">
        <f>T107</f>
        <v/>
      </c>
      <c r="E595">
        <f>V107</f>
        <v/>
      </c>
    </row>
    <row r="596">
      <c r="A596">
        <f>I108</f>
        <v/>
      </c>
      <c r="B596">
        <f>P108</f>
        <v/>
      </c>
      <c r="C596">
        <f>R108</f>
        <v/>
      </c>
      <c r="D596">
        <f>T108</f>
        <v/>
      </c>
      <c r="E596">
        <f>V108</f>
        <v/>
      </c>
    </row>
    <row r="597">
      <c r="A597">
        <f>I109</f>
        <v/>
      </c>
      <c r="B597">
        <f>P109</f>
        <v/>
      </c>
      <c r="C597">
        <f>R109</f>
        <v/>
      </c>
      <c r="D597">
        <f>T109</f>
        <v/>
      </c>
      <c r="E597">
        <f>V109</f>
        <v/>
      </c>
    </row>
    <row r="598">
      <c r="A598">
        <f>I110</f>
        <v/>
      </c>
      <c r="B598">
        <f>P110</f>
        <v/>
      </c>
      <c r="C598">
        <f>R110</f>
        <v/>
      </c>
      <c r="D598">
        <f>T110</f>
        <v/>
      </c>
      <c r="E598">
        <f>V110</f>
        <v/>
      </c>
    </row>
    <row r="599">
      <c r="A599">
        <f>I111</f>
        <v/>
      </c>
      <c r="B599">
        <f>P111</f>
        <v/>
      </c>
      <c r="C599">
        <f>R111</f>
        <v/>
      </c>
      <c r="D599">
        <f>T111</f>
        <v/>
      </c>
      <c r="E599">
        <f>V111</f>
        <v/>
      </c>
    </row>
    <row r="600">
      <c r="A600">
        <f>I112</f>
        <v/>
      </c>
      <c r="B600">
        <f>P112</f>
        <v/>
      </c>
      <c r="C600">
        <f>R112</f>
        <v/>
      </c>
      <c r="D600">
        <f>T112</f>
        <v/>
      </c>
      <c r="E600">
        <f>V112</f>
        <v/>
      </c>
    </row>
    <row r="601">
      <c r="A601">
        <f>I113</f>
        <v/>
      </c>
      <c r="B601">
        <f>P113</f>
        <v/>
      </c>
      <c r="C601">
        <f>R113</f>
        <v/>
      </c>
      <c r="D601">
        <f>T113</f>
        <v/>
      </c>
      <c r="E601">
        <f>V113</f>
        <v/>
      </c>
    </row>
    <row r="602">
      <c r="A602">
        <f>I114</f>
        <v/>
      </c>
      <c r="B602">
        <f>P114</f>
        <v/>
      </c>
      <c r="C602">
        <f>R114</f>
        <v/>
      </c>
      <c r="D602">
        <f>T114</f>
        <v/>
      </c>
      <c r="E602">
        <f>V114</f>
        <v/>
      </c>
    </row>
    <row r="603">
      <c r="A603">
        <f>I115</f>
        <v/>
      </c>
      <c r="B603">
        <f>P115</f>
        <v/>
      </c>
      <c r="C603">
        <f>R115</f>
        <v/>
      </c>
      <c r="D603">
        <f>T115</f>
        <v/>
      </c>
      <c r="E603">
        <f>V115</f>
        <v/>
      </c>
    </row>
    <row r="604">
      <c r="A604">
        <f>I116</f>
        <v/>
      </c>
      <c r="B604">
        <f>P116</f>
        <v/>
      </c>
      <c r="C604">
        <f>R116</f>
        <v/>
      </c>
      <c r="D604">
        <f>T116</f>
        <v/>
      </c>
      <c r="E604">
        <f>V116</f>
        <v/>
      </c>
    </row>
    <row r="605">
      <c r="A605">
        <f>I117</f>
        <v/>
      </c>
      <c r="B605">
        <f>P117</f>
        <v/>
      </c>
      <c r="C605">
        <f>R117</f>
        <v/>
      </c>
      <c r="D605">
        <f>T117</f>
        <v/>
      </c>
      <c r="E605">
        <f>V117</f>
        <v/>
      </c>
    </row>
    <row r="606">
      <c r="A606">
        <f>I118</f>
        <v/>
      </c>
      <c r="B606">
        <f>P118</f>
        <v/>
      </c>
      <c r="C606">
        <f>R118</f>
        <v/>
      </c>
      <c r="D606">
        <f>T118</f>
        <v/>
      </c>
      <c r="E606">
        <f>V118</f>
        <v/>
      </c>
    </row>
    <row r="607">
      <c r="A607">
        <f>I119</f>
        <v/>
      </c>
      <c r="B607">
        <f>P119</f>
        <v/>
      </c>
      <c r="C607">
        <f>R119</f>
        <v/>
      </c>
      <c r="D607">
        <f>T119</f>
        <v/>
      </c>
      <c r="E607">
        <f>V119</f>
        <v/>
      </c>
    </row>
    <row r="608">
      <c r="A608">
        <f>I120</f>
        <v/>
      </c>
      <c r="B608">
        <f>P120</f>
        <v/>
      </c>
      <c r="C608">
        <f>R120</f>
        <v/>
      </c>
      <c r="D608">
        <f>T120</f>
        <v/>
      </c>
      <c r="E608">
        <f>V120</f>
        <v/>
      </c>
    </row>
    <row r="609">
      <c r="A609">
        <f>I121</f>
        <v/>
      </c>
      <c r="B609">
        <f>P121</f>
        <v/>
      </c>
      <c r="C609">
        <f>R121</f>
        <v/>
      </c>
      <c r="D609">
        <f>T121</f>
        <v/>
      </c>
      <c r="E609">
        <f>V121</f>
        <v/>
      </c>
    </row>
    <row r="610">
      <c r="A610">
        <f>I122</f>
        <v/>
      </c>
      <c r="B610">
        <f>P122</f>
        <v/>
      </c>
      <c r="C610">
        <f>R122</f>
        <v/>
      </c>
      <c r="D610">
        <f>T122</f>
        <v/>
      </c>
      <c r="E610">
        <f>V122</f>
        <v/>
      </c>
    </row>
    <row r="611">
      <c r="A611">
        <f>I123</f>
        <v/>
      </c>
      <c r="B611">
        <f>P123</f>
        <v/>
      </c>
      <c r="C611">
        <f>R123</f>
        <v/>
      </c>
      <c r="D611">
        <f>T123</f>
        <v/>
      </c>
      <c r="E611">
        <f>V123</f>
        <v/>
      </c>
    </row>
    <row r="612">
      <c r="A612">
        <f>I124</f>
        <v/>
      </c>
      <c r="B612">
        <f>P124</f>
        <v/>
      </c>
      <c r="C612">
        <f>R124</f>
        <v/>
      </c>
      <c r="D612">
        <f>T124</f>
        <v/>
      </c>
      <c r="E612">
        <f>V124</f>
        <v/>
      </c>
    </row>
    <row r="613">
      <c r="A613">
        <f>I125</f>
        <v/>
      </c>
      <c r="B613">
        <f>P125</f>
        <v/>
      </c>
      <c r="C613">
        <f>R125</f>
        <v/>
      </c>
      <c r="D613">
        <f>T125</f>
        <v/>
      </c>
      <c r="E613">
        <f>V125</f>
        <v/>
      </c>
    </row>
    <row r="614">
      <c r="A614">
        <f>I126</f>
        <v/>
      </c>
      <c r="B614">
        <f>P126</f>
        <v/>
      </c>
      <c r="C614">
        <f>R126</f>
        <v/>
      </c>
      <c r="D614">
        <f>T126</f>
        <v/>
      </c>
      <c r="E614">
        <f>V126</f>
        <v/>
      </c>
    </row>
    <row r="615">
      <c r="A615">
        <f>I127</f>
        <v/>
      </c>
      <c r="B615">
        <f>P127</f>
        <v/>
      </c>
      <c r="C615">
        <f>R127</f>
        <v/>
      </c>
      <c r="D615">
        <f>T127</f>
        <v/>
      </c>
      <c r="E615">
        <f>V127</f>
        <v/>
      </c>
    </row>
    <row r="616">
      <c r="A616">
        <f>I128</f>
        <v/>
      </c>
      <c r="B616">
        <f>P128</f>
        <v/>
      </c>
      <c r="C616">
        <f>R128</f>
        <v/>
      </c>
      <c r="D616">
        <f>T128</f>
        <v/>
      </c>
      <c r="E616">
        <f>V128</f>
        <v/>
      </c>
    </row>
    <row r="617">
      <c r="A617">
        <f>I129</f>
        <v/>
      </c>
      <c r="B617">
        <f>P129</f>
        <v/>
      </c>
      <c r="C617">
        <f>R129</f>
        <v/>
      </c>
      <c r="D617">
        <f>T129</f>
        <v/>
      </c>
      <c r="E617">
        <f>V129</f>
        <v/>
      </c>
    </row>
    <row r="618">
      <c r="A618">
        <f>I130</f>
        <v/>
      </c>
      <c r="B618">
        <f>P130</f>
        <v/>
      </c>
      <c r="C618">
        <f>R130</f>
        <v/>
      </c>
      <c r="D618">
        <f>T130</f>
        <v/>
      </c>
      <c r="E618">
        <f>V130</f>
        <v/>
      </c>
    </row>
    <row r="619">
      <c r="A619">
        <f>I131</f>
        <v/>
      </c>
      <c r="B619">
        <f>P131</f>
        <v/>
      </c>
      <c r="C619">
        <f>R131</f>
        <v/>
      </c>
      <c r="D619">
        <f>T131</f>
        <v/>
      </c>
      <c r="E619">
        <f>V131</f>
        <v/>
      </c>
    </row>
    <row r="620">
      <c r="A620">
        <f>I132</f>
        <v/>
      </c>
      <c r="B620">
        <f>P132</f>
        <v/>
      </c>
      <c r="C620">
        <f>R132</f>
        <v/>
      </c>
      <c r="D620">
        <f>T132</f>
        <v/>
      </c>
      <c r="E620">
        <f>V132</f>
        <v/>
      </c>
    </row>
    <row r="621">
      <c r="A621">
        <f>I133</f>
        <v/>
      </c>
      <c r="B621">
        <f>P133</f>
        <v/>
      </c>
      <c r="C621">
        <f>R133</f>
        <v/>
      </c>
      <c r="D621">
        <f>T133</f>
        <v/>
      </c>
      <c r="E621">
        <f>V133</f>
        <v/>
      </c>
    </row>
    <row r="622">
      <c r="A622">
        <f>I134</f>
        <v/>
      </c>
      <c r="B622">
        <f>P134</f>
        <v/>
      </c>
      <c r="C622">
        <f>R134</f>
        <v/>
      </c>
      <c r="D622">
        <f>T134</f>
        <v/>
      </c>
      <c r="E622">
        <f>V134</f>
        <v/>
      </c>
    </row>
    <row r="623">
      <c r="A623">
        <f>I135</f>
        <v/>
      </c>
      <c r="B623">
        <f>P135</f>
        <v/>
      </c>
      <c r="C623">
        <f>R135</f>
        <v/>
      </c>
      <c r="D623">
        <f>T135</f>
        <v/>
      </c>
      <c r="E623">
        <f>V135</f>
        <v/>
      </c>
    </row>
    <row r="624">
      <c r="A624">
        <f>I136</f>
        <v/>
      </c>
      <c r="B624">
        <f>P136</f>
        <v/>
      </c>
      <c r="C624">
        <f>R136</f>
        <v/>
      </c>
      <c r="D624">
        <f>T136</f>
        <v/>
      </c>
      <c r="E624">
        <f>V136</f>
        <v/>
      </c>
    </row>
    <row r="625">
      <c r="A625">
        <f>I137</f>
        <v/>
      </c>
      <c r="B625">
        <f>P137</f>
        <v/>
      </c>
      <c r="C625">
        <f>R137</f>
        <v/>
      </c>
      <c r="D625">
        <f>T137</f>
        <v/>
      </c>
      <c r="E625">
        <f>V137</f>
        <v/>
      </c>
    </row>
    <row r="626">
      <c r="A626">
        <f>I138</f>
        <v/>
      </c>
      <c r="B626">
        <f>P138</f>
        <v/>
      </c>
      <c r="C626">
        <f>R138</f>
        <v/>
      </c>
      <c r="D626">
        <f>T138</f>
        <v/>
      </c>
      <c r="E626">
        <f>V138</f>
        <v/>
      </c>
    </row>
    <row r="627">
      <c r="A627">
        <f>I139</f>
        <v/>
      </c>
      <c r="B627">
        <f>P139</f>
        <v/>
      </c>
      <c r="C627">
        <f>R139</f>
        <v/>
      </c>
      <c r="D627">
        <f>T139</f>
        <v/>
      </c>
      <c r="E627">
        <f>V139</f>
        <v/>
      </c>
    </row>
    <row r="628">
      <c r="A628">
        <f>I140</f>
        <v/>
      </c>
      <c r="B628">
        <f>P140</f>
        <v/>
      </c>
      <c r="C628">
        <f>R140</f>
        <v/>
      </c>
      <c r="D628">
        <f>T140</f>
        <v/>
      </c>
      <c r="E628">
        <f>V140</f>
        <v/>
      </c>
    </row>
    <row r="629">
      <c r="A629">
        <f>I141</f>
        <v/>
      </c>
      <c r="B629">
        <f>P141</f>
        <v/>
      </c>
      <c r="C629">
        <f>R141</f>
        <v/>
      </c>
      <c r="D629">
        <f>T141</f>
        <v/>
      </c>
      <c r="E629">
        <f>V141</f>
        <v/>
      </c>
    </row>
    <row r="630">
      <c r="A630">
        <f>I142</f>
        <v/>
      </c>
      <c r="B630">
        <f>P142</f>
        <v/>
      </c>
      <c r="C630">
        <f>R142</f>
        <v/>
      </c>
      <c r="D630">
        <f>T142</f>
        <v/>
      </c>
      <c r="E630">
        <f>V142</f>
        <v/>
      </c>
    </row>
    <row r="631">
      <c r="A631">
        <f>I143</f>
        <v/>
      </c>
      <c r="B631">
        <f>P143</f>
        <v/>
      </c>
      <c r="C631">
        <f>R143</f>
        <v/>
      </c>
      <c r="D631">
        <f>T143</f>
        <v/>
      </c>
      <c r="E631">
        <f>V143</f>
        <v/>
      </c>
    </row>
    <row r="632">
      <c r="A632">
        <f>I144</f>
        <v/>
      </c>
      <c r="B632">
        <f>P144</f>
        <v/>
      </c>
      <c r="C632">
        <f>R144</f>
        <v/>
      </c>
      <c r="D632">
        <f>T144</f>
        <v/>
      </c>
      <c r="E632">
        <f>V144</f>
        <v/>
      </c>
    </row>
    <row r="633">
      <c r="A633">
        <f>I145</f>
        <v/>
      </c>
      <c r="B633">
        <f>P145</f>
        <v/>
      </c>
      <c r="C633">
        <f>R145</f>
        <v/>
      </c>
      <c r="D633">
        <f>T145</f>
        <v/>
      </c>
      <c r="E633">
        <f>V145</f>
        <v/>
      </c>
    </row>
    <row r="634">
      <c r="A634">
        <f>I146</f>
        <v/>
      </c>
      <c r="B634">
        <f>P146</f>
        <v/>
      </c>
      <c r="C634">
        <f>R146</f>
        <v/>
      </c>
      <c r="D634">
        <f>T146</f>
        <v/>
      </c>
      <c r="E634">
        <f>V146</f>
        <v/>
      </c>
    </row>
    <row r="635">
      <c r="A635">
        <f>I147</f>
        <v/>
      </c>
      <c r="B635">
        <f>P147</f>
        <v/>
      </c>
      <c r="C635">
        <f>R147</f>
        <v/>
      </c>
      <c r="D635">
        <f>T147</f>
        <v/>
      </c>
      <c r="E635">
        <f>V147</f>
        <v/>
      </c>
    </row>
    <row r="636">
      <c r="A636">
        <f>I148</f>
        <v/>
      </c>
      <c r="B636">
        <f>P148</f>
        <v/>
      </c>
      <c r="C636">
        <f>R148</f>
        <v/>
      </c>
      <c r="D636">
        <f>T148</f>
        <v/>
      </c>
      <c r="E636">
        <f>V148</f>
        <v/>
      </c>
    </row>
    <row r="637">
      <c r="A637">
        <f>I149</f>
        <v/>
      </c>
      <c r="B637">
        <f>P149</f>
        <v/>
      </c>
      <c r="C637">
        <f>R149</f>
        <v/>
      </c>
      <c r="D637">
        <f>T149</f>
        <v/>
      </c>
      <c r="E637">
        <f>V149</f>
        <v/>
      </c>
    </row>
    <row r="638">
      <c r="A638">
        <f>I150</f>
        <v/>
      </c>
      <c r="B638">
        <f>P150</f>
        <v/>
      </c>
      <c r="C638">
        <f>R150</f>
        <v/>
      </c>
      <c r="D638">
        <f>T150</f>
        <v/>
      </c>
      <c r="E638">
        <f>V150</f>
        <v/>
      </c>
    </row>
    <row r="639">
      <c r="A639">
        <f>I151</f>
        <v/>
      </c>
      <c r="B639">
        <f>P151</f>
        <v/>
      </c>
      <c r="C639">
        <f>R151</f>
        <v/>
      </c>
      <c r="D639">
        <f>T151</f>
        <v/>
      </c>
      <c r="E639">
        <f>V151</f>
        <v/>
      </c>
    </row>
    <row r="640">
      <c r="A640">
        <f>I152</f>
        <v/>
      </c>
      <c r="B640">
        <f>P152</f>
        <v/>
      </c>
      <c r="C640">
        <f>R152</f>
        <v/>
      </c>
      <c r="D640">
        <f>T152</f>
        <v/>
      </c>
      <c r="E640">
        <f>V152</f>
        <v/>
      </c>
    </row>
    <row r="641">
      <c r="A641">
        <f>I153</f>
        <v/>
      </c>
      <c r="B641">
        <f>P153</f>
        <v/>
      </c>
      <c r="C641">
        <f>R153</f>
        <v/>
      </c>
      <c r="D641">
        <f>T153</f>
        <v/>
      </c>
      <c r="E641">
        <f>V153</f>
        <v/>
      </c>
    </row>
    <row r="642">
      <c r="A642">
        <f>I154</f>
        <v/>
      </c>
      <c r="B642">
        <f>P154</f>
        <v/>
      </c>
      <c r="C642">
        <f>R154</f>
        <v/>
      </c>
      <c r="D642">
        <f>T154</f>
        <v/>
      </c>
      <c r="E642">
        <f>V154</f>
        <v/>
      </c>
    </row>
    <row r="643">
      <c r="A643">
        <f>I155</f>
        <v/>
      </c>
      <c r="B643">
        <f>P155</f>
        <v/>
      </c>
      <c r="C643">
        <f>R155</f>
        <v/>
      </c>
      <c r="D643">
        <f>T155</f>
        <v/>
      </c>
      <c r="E643">
        <f>V155</f>
        <v/>
      </c>
    </row>
    <row r="644">
      <c r="A644">
        <f>I156</f>
        <v/>
      </c>
      <c r="B644">
        <f>P156</f>
        <v/>
      </c>
      <c r="C644">
        <f>R156</f>
        <v/>
      </c>
      <c r="D644">
        <f>T156</f>
        <v/>
      </c>
      <c r="E644">
        <f>V156</f>
        <v/>
      </c>
    </row>
    <row r="645">
      <c r="A645">
        <f>I157</f>
        <v/>
      </c>
      <c r="B645">
        <f>P157</f>
        <v/>
      </c>
      <c r="C645">
        <f>R157</f>
        <v/>
      </c>
      <c r="D645">
        <f>T157</f>
        <v/>
      </c>
      <c r="E645">
        <f>V157</f>
        <v/>
      </c>
    </row>
    <row r="646">
      <c r="A646">
        <f>I158</f>
        <v/>
      </c>
      <c r="B646">
        <f>P158</f>
        <v/>
      </c>
      <c r="C646">
        <f>R158</f>
        <v/>
      </c>
      <c r="D646">
        <f>T158</f>
        <v/>
      </c>
      <c r="E646">
        <f>V158</f>
        <v/>
      </c>
    </row>
    <row r="647">
      <c r="A647">
        <f>I159</f>
        <v/>
      </c>
      <c r="B647">
        <f>P159</f>
        <v/>
      </c>
      <c r="C647">
        <f>R159</f>
        <v/>
      </c>
      <c r="D647">
        <f>T159</f>
        <v/>
      </c>
      <c r="E647">
        <f>V159</f>
        <v/>
      </c>
    </row>
    <row r="648">
      <c r="A648">
        <f>I160</f>
        <v/>
      </c>
      <c r="B648">
        <f>P160</f>
        <v/>
      </c>
      <c r="C648">
        <f>R160</f>
        <v/>
      </c>
      <c r="D648">
        <f>T160</f>
        <v/>
      </c>
      <c r="E648">
        <f>V160</f>
        <v/>
      </c>
    </row>
    <row r="649">
      <c r="A649">
        <f>I161</f>
        <v/>
      </c>
      <c r="B649">
        <f>P161</f>
        <v/>
      </c>
      <c r="C649">
        <f>R161</f>
        <v/>
      </c>
      <c r="D649">
        <f>T161</f>
        <v/>
      </c>
      <c r="E649">
        <f>V161</f>
        <v/>
      </c>
    </row>
    <row r="650">
      <c r="A650">
        <f>I162</f>
        <v/>
      </c>
      <c r="B650">
        <f>P162</f>
        <v/>
      </c>
      <c r="C650">
        <f>R162</f>
        <v/>
      </c>
      <c r="D650">
        <f>T162</f>
        <v/>
      </c>
      <c r="E650">
        <f>V162</f>
        <v/>
      </c>
    </row>
    <row r="651">
      <c r="A651">
        <f>I163</f>
        <v/>
      </c>
      <c r="B651">
        <f>P163</f>
        <v/>
      </c>
      <c r="C651">
        <f>R163</f>
        <v/>
      </c>
      <c r="D651">
        <f>T163</f>
        <v/>
      </c>
      <c r="E651">
        <f>V163</f>
        <v/>
      </c>
    </row>
    <row r="652">
      <c r="A652">
        <f>I164</f>
        <v/>
      </c>
      <c r="B652">
        <f>P164</f>
        <v/>
      </c>
      <c r="C652">
        <f>R164</f>
        <v/>
      </c>
      <c r="D652">
        <f>T164</f>
        <v/>
      </c>
      <c r="E652">
        <f>V164</f>
        <v/>
      </c>
    </row>
    <row r="653">
      <c r="A653">
        <f>I165</f>
        <v/>
      </c>
      <c r="B653">
        <f>P165</f>
        <v/>
      </c>
      <c r="C653">
        <f>R165</f>
        <v/>
      </c>
      <c r="D653">
        <f>T165</f>
        <v/>
      </c>
      <c r="E653">
        <f>V165</f>
        <v/>
      </c>
    </row>
    <row r="654">
      <c r="A654">
        <f>I166</f>
        <v/>
      </c>
      <c r="B654">
        <f>P166</f>
        <v/>
      </c>
      <c r="C654">
        <f>R166</f>
        <v/>
      </c>
      <c r="D654">
        <f>T166</f>
        <v/>
      </c>
      <c r="E654">
        <f>V166</f>
        <v/>
      </c>
    </row>
    <row r="655">
      <c r="A655">
        <f>I167</f>
        <v/>
      </c>
      <c r="B655">
        <f>P167</f>
        <v/>
      </c>
      <c r="C655">
        <f>R167</f>
        <v/>
      </c>
      <c r="D655">
        <f>T167</f>
        <v/>
      </c>
      <c r="E655">
        <f>V167</f>
        <v/>
      </c>
    </row>
    <row r="656">
      <c r="A656">
        <f>I168</f>
        <v/>
      </c>
      <c r="B656">
        <f>P168</f>
        <v/>
      </c>
      <c r="C656">
        <f>R168</f>
        <v/>
      </c>
      <c r="D656">
        <f>T168</f>
        <v/>
      </c>
      <c r="E656">
        <f>V168</f>
        <v/>
      </c>
    </row>
    <row r="657">
      <c r="A657">
        <f>I169</f>
        <v/>
      </c>
      <c r="B657">
        <f>P169</f>
        <v/>
      </c>
      <c r="C657">
        <f>R169</f>
        <v/>
      </c>
      <c r="D657">
        <f>T169</f>
        <v/>
      </c>
      <c r="E657">
        <f>V169</f>
        <v/>
      </c>
    </row>
    <row r="658">
      <c r="A658">
        <f>I170</f>
        <v/>
      </c>
      <c r="B658">
        <f>P170</f>
        <v/>
      </c>
      <c r="C658">
        <f>R170</f>
        <v/>
      </c>
      <c r="D658">
        <f>T170</f>
        <v/>
      </c>
      <c r="E658">
        <f>V170</f>
        <v/>
      </c>
    </row>
    <row r="659">
      <c r="A659">
        <f>I171</f>
        <v/>
      </c>
      <c r="B659">
        <f>P171</f>
        <v/>
      </c>
      <c r="C659">
        <f>R171</f>
        <v/>
      </c>
      <c r="D659">
        <f>T171</f>
        <v/>
      </c>
      <c r="E659">
        <f>V171</f>
        <v/>
      </c>
    </row>
    <row r="660">
      <c r="A660">
        <f>I172</f>
        <v/>
      </c>
      <c r="B660">
        <f>P172</f>
        <v/>
      </c>
      <c r="C660">
        <f>R172</f>
        <v/>
      </c>
      <c r="D660">
        <f>T172</f>
        <v/>
      </c>
      <c r="E660">
        <f>V172</f>
        <v/>
      </c>
    </row>
    <row r="661">
      <c r="A661">
        <f>I173</f>
        <v/>
      </c>
      <c r="B661">
        <f>P173</f>
        <v/>
      </c>
      <c r="C661">
        <f>R173</f>
        <v/>
      </c>
      <c r="D661">
        <f>T173</f>
        <v/>
      </c>
      <c r="E661">
        <f>V173</f>
        <v/>
      </c>
    </row>
    <row r="662">
      <c r="A662">
        <f>I174</f>
        <v/>
      </c>
      <c r="B662">
        <f>P174</f>
        <v/>
      </c>
      <c r="C662">
        <f>R174</f>
        <v/>
      </c>
      <c r="D662">
        <f>T174</f>
        <v/>
      </c>
      <c r="E662">
        <f>V174</f>
        <v/>
      </c>
    </row>
    <row r="663">
      <c r="A663">
        <f>I175</f>
        <v/>
      </c>
      <c r="B663">
        <f>P175</f>
        <v/>
      </c>
      <c r="C663">
        <f>R175</f>
        <v/>
      </c>
      <c r="D663">
        <f>T175</f>
        <v/>
      </c>
      <c r="E663">
        <f>V175</f>
        <v/>
      </c>
    </row>
    <row r="664">
      <c r="A664">
        <f>I176</f>
        <v/>
      </c>
      <c r="B664">
        <f>P176</f>
        <v/>
      </c>
      <c r="C664">
        <f>R176</f>
        <v/>
      </c>
      <c r="D664">
        <f>T176</f>
        <v/>
      </c>
      <c r="E664">
        <f>V176</f>
        <v/>
      </c>
    </row>
    <row r="665">
      <c r="A665">
        <f>I177</f>
        <v/>
      </c>
      <c r="B665">
        <f>P177</f>
        <v/>
      </c>
      <c r="C665">
        <f>R177</f>
        <v/>
      </c>
      <c r="D665">
        <f>T177</f>
        <v/>
      </c>
      <c r="E665">
        <f>V177</f>
        <v/>
      </c>
    </row>
    <row r="666">
      <c r="A666">
        <f>I178</f>
        <v/>
      </c>
      <c r="B666">
        <f>P178</f>
        <v/>
      </c>
      <c r="C666">
        <f>R178</f>
        <v/>
      </c>
      <c r="D666">
        <f>T178</f>
        <v/>
      </c>
      <c r="E666">
        <f>V178</f>
        <v/>
      </c>
    </row>
    <row r="667">
      <c r="A667">
        <f>I179</f>
        <v/>
      </c>
      <c r="B667">
        <f>P179</f>
        <v/>
      </c>
      <c r="C667">
        <f>R179</f>
        <v/>
      </c>
      <c r="D667">
        <f>T179</f>
        <v/>
      </c>
      <c r="E667">
        <f>V179</f>
        <v/>
      </c>
    </row>
    <row r="668">
      <c r="A668">
        <f>I180</f>
        <v/>
      </c>
      <c r="B668">
        <f>P180</f>
        <v/>
      </c>
      <c r="C668">
        <f>R180</f>
        <v/>
      </c>
      <c r="D668">
        <f>T180</f>
        <v/>
      </c>
      <c r="E668">
        <f>V180</f>
        <v/>
      </c>
    </row>
    <row r="669">
      <c r="A669">
        <f>I181</f>
        <v/>
      </c>
      <c r="B669">
        <f>P181</f>
        <v/>
      </c>
      <c r="C669">
        <f>R181</f>
        <v/>
      </c>
      <c r="D669">
        <f>T181</f>
        <v/>
      </c>
      <c r="E669">
        <f>V181</f>
        <v/>
      </c>
    </row>
    <row r="670">
      <c r="A670">
        <f>I182</f>
        <v/>
      </c>
      <c r="B670">
        <f>P182</f>
        <v/>
      </c>
      <c r="C670">
        <f>R182</f>
        <v/>
      </c>
      <c r="D670">
        <f>T182</f>
        <v/>
      </c>
      <c r="E670">
        <f>V182</f>
        <v/>
      </c>
    </row>
    <row r="671">
      <c r="A671">
        <f>I183</f>
        <v/>
      </c>
      <c r="B671">
        <f>P183</f>
        <v/>
      </c>
      <c r="C671">
        <f>R183</f>
        <v/>
      </c>
      <c r="D671">
        <f>T183</f>
        <v/>
      </c>
      <c r="E671">
        <f>V183</f>
        <v/>
      </c>
    </row>
    <row r="672">
      <c r="A672">
        <f>I184</f>
        <v/>
      </c>
      <c r="B672">
        <f>P184</f>
        <v/>
      </c>
      <c r="C672">
        <f>R184</f>
        <v/>
      </c>
      <c r="D672">
        <f>T184</f>
        <v/>
      </c>
      <c r="E672">
        <f>V184</f>
        <v/>
      </c>
    </row>
    <row r="673">
      <c r="A673">
        <f>I185</f>
        <v/>
      </c>
      <c r="B673">
        <f>P185</f>
        <v/>
      </c>
      <c r="C673">
        <f>R185</f>
        <v/>
      </c>
      <c r="D673">
        <f>T185</f>
        <v/>
      </c>
      <c r="E673">
        <f>V185</f>
        <v/>
      </c>
    </row>
    <row r="674">
      <c r="A674">
        <f>I186</f>
        <v/>
      </c>
      <c r="B674">
        <f>P186</f>
        <v/>
      </c>
      <c r="C674">
        <f>R186</f>
        <v/>
      </c>
      <c r="D674">
        <f>T186</f>
        <v/>
      </c>
      <c r="E674">
        <f>V186</f>
        <v/>
      </c>
    </row>
    <row r="675">
      <c r="A675">
        <f>I187</f>
        <v/>
      </c>
      <c r="B675">
        <f>P187</f>
        <v/>
      </c>
      <c r="C675">
        <f>R187</f>
        <v/>
      </c>
      <c r="D675">
        <f>T187</f>
        <v/>
      </c>
      <c r="E675">
        <f>V187</f>
        <v/>
      </c>
    </row>
    <row r="676">
      <c r="A676">
        <f>I188</f>
        <v/>
      </c>
      <c r="B676">
        <f>P188</f>
        <v/>
      </c>
      <c r="C676">
        <f>R188</f>
        <v/>
      </c>
      <c r="D676">
        <f>T188</f>
        <v/>
      </c>
      <c r="E676">
        <f>V188</f>
        <v/>
      </c>
    </row>
    <row r="677">
      <c r="A677">
        <f>I189</f>
        <v/>
      </c>
      <c r="B677">
        <f>P189</f>
        <v/>
      </c>
      <c r="C677">
        <f>R189</f>
        <v/>
      </c>
      <c r="D677">
        <f>T189</f>
        <v/>
      </c>
      <c r="E677">
        <f>V189</f>
        <v/>
      </c>
    </row>
    <row r="678">
      <c r="A678">
        <f>I190</f>
        <v/>
      </c>
      <c r="B678">
        <f>P190</f>
        <v/>
      </c>
      <c r="C678">
        <f>R190</f>
        <v/>
      </c>
      <c r="D678">
        <f>T190</f>
        <v/>
      </c>
      <c r="E678">
        <f>V190</f>
        <v/>
      </c>
    </row>
    <row r="679">
      <c r="A679">
        <f>I191</f>
        <v/>
      </c>
      <c r="B679">
        <f>P191</f>
        <v/>
      </c>
      <c r="C679">
        <f>R191</f>
        <v/>
      </c>
      <c r="D679">
        <f>T191</f>
        <v/>
      </c>
      <c r="E679">
        <f>V191</f>
        <v/>
      </c>
    </row>
    <row r="680">
      <c r="A680">
        <f>I192</f>
        <v/>
      </c>
      <c r="B680">
        <f>P192</f>
        <v/>
      </c>
      <c r="C680">
        <f>R192</f>
        <v/>
      </c>
      <c r="D680">
        <f>T192</f>
        <v/>
      </c>
      <c r="E680">
        <f>V192</f>
        <v/>
      </c>
    </row>
    <row r="681">
      <c r="A681">
        <f>I193</f>
        <v/>
      </c>
      <c r="B681">
        <f>P193</f>
        <v/>
      </c>
      <c r="C681">
        <f>R193</f>
        <v/>
      </c>
      <c r="D681">
        <f>T193</f>
        <v/>
      </c>
      <c r="E681">
        <f>V193</f>
        <v/>
      </c>
    </row>
    <row r="682">
      <c r="A682">
        <f>I194</f>
        <v/>
      </c>
      <c r="B682">
        <f>P194</f>
        <v/>
      </c>
      <c r="C682">
        <f>R194</f>
        <v/>
      </c>
      <c r="D682">
        <f>T194</f>
        <v/>
      </c>
      <c r="E682">
        <f>V194</f>
        <v/>
      </c>
    </row>
    <row r="683">
      <c r="A683">
        <f>I195</f>
        <v/>
      </c>
      <c r="B683">
        <f>P195</f>
        <v/>
      </c>
      <c r="C683">
        <f>R195</f>
        <v/>
      </c>
      <c r="D683">
        <f>T195</f>
        <v/>
      </c>
      <c r="E683">
        <f>V195</f>
        <v/>
      </c>
    </row>
    <row r="684">
      <c r="A684">
        <f>I196</f>
        <v/>
      </c>
      <c r="B684">
        <f>P196</f>
        <v/>
      </c>
      <c r="C684">
        <f>R196</f>
        <v/>
      </c>
      <c r="D684">
        <f>T196</f>
        <v/>
      </c>
      <c r="E684">
        <f>V196</f>
        <v/>
      </c>
    </row>
    <row r="685">
      <c r="A685">
        <f>I197</f>
        <v/>
      </c>
      <c r="B685">
        <f>P197</f>
        <v/>
      </c>
      <c r="C685">
        <f>R197</f>
        <v/>
      </c>
      <c r="D685">
        <f>T197</f>
        <v/>
      </c>
      <c r="E685">
        <f>V197</f>
        <v/>
      </c>
    </row>
    <row r="686">
      <c r="A686">
        <f>I198</f>
        <v/>
      </c>
      <c r="B686">
        <f>P198</f>
        <v/>
      </c>
      <c r="C686">
        <f>R198</f>
        <v/>
      </c>
      <c r="D686">
        <f>T198</f>
        <v/>
      </c>
      <c r="E686">
        <f>V198</f>
        <v/>
      </c>
    </row>
    <row r="687">
      <c r="A687">
        <f>I199</f>
        <v/>
      </c>
      <c r="B687">
        <f>P199</f>
        <v/>
      </c>
      <c r="C687">
        <f>R199</f>
        <v/>
      </c>
      <c r="D687">
        <f>T199</f>
        <v/>
      </c>
      <c r="E687">
        <f>V199</f>
        <v/>
      </c>
    </row>
    <row r="688">
      <c r="A688">
        <f>I200</f>
        <v/>
      </c>
      <c r="B688">
        <f>P200</f>
        <v/>
      </c>
      <c r="C688">
        <f>R200</f>
        <v/>
      </c>
      <c r="D688">
        <f>T200</f>
        <v/>
      </c>
      <c r="E688">
        <f>V200</f>
        <v/>
      </c>
    </row>
    <row r="689">
      <c r="A689">
        <f>I201</f>
        <v/>
      </c>
      <c r="B689">
        <f>P201</f>
        <v/>
      </c>
      <c r="C689">
        <f>R201</f>
        <v/>
      </c>
      <c r="D689">
        <f>T201</f>
        <v/>
      </c>
      <c r="E689">
        <f>V201</f>
        <v/>
      </c>
    </row>
    <row r="690">
      <c r="A690">
        <f>I202</f>
        <v/>
      </c>
      <c r="B690">
        <f>P202</f>
        <v/>
      </c>
      <c r="C690">
        <f>R202</f>
        <v/>
      </c>
      <c r="D690">
        <f>T202</f>
        <v/>
      </c>
      <c r="E690">
        <f>V202</f>
        <v/>
      </c>
    </row>
    <row r="691">
      <c r="A691">
        <f>I203</f>
        <v/>
      </c>
      <c r="B691">
        <f>P203</f>
        <v/>
      </c>
      <c r="C691">
        <f>R203</f>
        <v/>
      </c>
      <c r="D691">
        <f>T203</f>
        <v/>
      </c>
      <c r="E691">
        <f>V203</f>
        <v/>
      </c>
    </row>
    <row r="692">
      <c r="A692">
        <f>I204</f>
        <v/>
      </c>
      <c r="B692">
        <f>P204</f>
        <v/>
      </c>
      <c r="C692">
        <f>R204</f>
        <v/>
      </c>
      <c r="D692">
        <f>T204</f>
        <v/>
      </c>
      <c r="E692">
        <f>V204</f>
        <v/>
      </c>
    </row>
    <row r="693">
      <c r="A693">
        <f>I205</f>
        <v/>
      </c>
      <c r="B693">
        <f>P205</f>
        <v/>
      </c>
      <c r="C693">
        <f>R205</f>
        <v/>
      </c>
      <c r="D693">
        <f>T205</f>
        <v/>
      </c>
      <c r="E693">
        <f>V205</f>
        <v/>
      </c>
    </row>
    <row r="694">
      <c r="A694">
        <f>I206</f>
        <v/>
      </c>
      <c r="B694">
        <f>P206</f>
        <v/>
      </c>
      <c r="C694">
        <f>R206</f>
        <v/>
      </c>
      <c r="D694">
        <f>T206</f>
        <v/>
      </c>
      <c r="E694">
        <f>V206</f>
        <v/>
      </c>
    </row>
    <row r="695">
      <c r="A695">
        <f>I207</f>
        <v/>
      </c>
      <c r="B695">
        <f>P207</f>
        <v/>
      </c>
      <c r="C695">
        <f>R207</f>
        <v/>
      </c>
      <c r="D695">
        <f>T207</f>
        <v/>
      </c>
      <c r="E695">
        <f>V207</f>
        <v/>
      </c>
    </row>
    <row r="696">
      <c r="A696">
        <f>I208</f>
        <v/>
      </c>
      <c r="B696">
        <f>P208</f>
        <v/>
      </c>
      <c r="C696">
        <f>R208</f>
        <v/>
      </c>
      <c r="D696">
        <f>T208</f>
        <v/>
      </c>
      <c r="E696">
        <f>V208</f>
        <v/>
      </c>
    </row>
    <row r="697">
      <c r="A697">
        <f>I209</f>
        <v/>
      </c>
      <c r="B697">
        <f>P209</f>
        <v/>
      </c>
      <c r="C697">
        <f>R209</f>
        <v/>
      </c>
      <c r="D697">
        <f>T209</f>
        <v/>
      </c>
      <c r="E697">
        <f>V209</f>
        <v/>
      </c>
    </row>
    <row r="698">
      <c r="A698">
        <f>I210</f>
        <v/>
      </c>
      <c r="B698">
        <f>P210</f>
        <v/>
      </c>
      <c r="C698">
        <f>R210</f>
        <v/>
      </c>
      <c r="D698">
        <f>T210</f>
        <v/>
      </c>
      <c r="E698">
        <f>V210</f>
        <v/>
      </c>
    </row>
    <row r="699">
      <c r="A699">
        <f>I211</f>
        <v/>
      </c>
      <c r="B699">
        <f>P211</f>
        <v/>
      </c>
      <c r="C699">
        <f>R211</f>
        <v/>
      </c>
      <c r="D699">
        <f>T211</f>
        <v/>
      </c>
      <c r="E699">
        <f>V211</f>
        <v/>
      </c>
    </row>
    <row r="700">
      <c r="A700">
        <f>I212</f>
        <v/>
      </c>
      <c r="B700">
        <f>P212</f>
        <v/>
      </c>
      <c r="C700">
        <f>R212</f>
        <v/>
      </c>
      <c r="D700">
        <f>T212</f>
        <v/>
      </c>
      <c r="E700">
        <f>V212</f>
        <v/>
      </c>
    </row>
    <row r="701">
      <c r="A701">
        <f>I213</f>
        <v/>
      </c>
      <c r="B701">
        <f>P213</f>
        <v/>
      </c>
      <c r="C701">
        <f>R213</f>
        <v/>
      </c>
      <c r="D701">
        <f>T213</f>
        <v/>
      </c>
      <c r="E701">
        <f>V213</f>
        <v/>
      </c>
    </row>
    <row r="702">
      <c r="A702">
        <f>I214</f>
        <v/>
      </c>
      <c r="B702">
        <f>P214</f>
        <v/>
      </c>
      <c r="C702">
        <f>R214</f>
        <v/>
      </c>
      <c r="D702">
        <f>T214</f>
        <v/>
      </c>
      <c r="E702">
        <f>V214</f>
        <v/>
      </c>
    </row>
    <row r="703">
      <c r="A703">
        <f>I215</f>
        <v/>
      </c>
      <c r="B703">
        <f>P215</f>
        <v/>
      </c>
      <c r="C703">
        <f>R215</f>
        <v/>
      </c>
      <c r="D703">
        <f>T215</f>
        <v/>
      </c>
      <c r="E703">
        <f>V215</f>
        <v/>
      </c>
    </row>
    <row r="704">
      <c r="A704">
        <f>I216</f>
        <v/>
      </c>
      <c r="B704">
        <f>P216</f>
        <v/>
      </c>
      <c r="C704">
        <f>R216</f>
        <v/>
      </c>
      <c r="D704">
        <f>T216</f>
        <v/>
      </c>
      <c r="E704">
        <f>V216</f>
        <v/>
      </c>
    </row>
    <row r="705">
      <c r="A705">
        <f>I217</f>
        <v/>
      </c>
      <c r="B705">
        <f>P217</f>
        <v/>
      </c>
      <c r="C705">
        <f>R217</f>
        <v/>
      </c>
      <c r="D705">
        <f>T217</f>
        <v/>
      </c>
      <c r="E705">
        <f>V217</f>
        <v/>
      </c>
    </row>
    <row r="706">
      <c r="A706">
        <f>I218</f>
        <v/>
      </c>
      <c r="B706">
        <f>P218</f>
        <v/>
      </c>
      <c r="C706">
        <f>R218</f>
        <v/>
      </c>
      <c r="D706">
        <f>T218</f>
        <v/>
      </c>
      <c r="E706">
        <f>V218</f>
        <v/>
      </c>
    </row>
    <row r="707">
      <c r="A707">
        <f>I219</f>
        <v/>
      </c>
      <c r="B707">
        <f>P219</f>
        <v/>
      </c>
      <c r="C707">
        <f>R219</f>
        <v/>
      </c>
      <c r="D707">
        <f>T219</f>
        <v/>
      </c>
      <c r="E707">
        <f>V219</f>
        <v/>
      </c>
    </row>
    <row r="708">
      <c r="A708">
        <f>I220</f>
        <v/>
      </c>
      <c r="B708">
        <f>P220</f>
        <v/>
      </c>
      <c r="C708">
        <f>R220</f>
        <v/>
      </c>
      <c r="D708">
        <f>T220</f>
        <v/>
      </c>
      <c r="E708">
        <f>V220</f>
        <v/>
      </c>
    </row>
    <row r="709">
      <c r="A709">
        <f>I221</f>
        <v/>
      </c>
      <c r="B709">
        <f>P221</f>
        <v/>
      </c>
      <c r="C709">
        <f>R221</f>
        <v/>
      </c>
      <c r="D709">
        <f>T221</f>
        <v/>
      </c>
      <c r="E709">
        <f>V221</f>
        <v/>
      </c>
    </row>
    <row r="710">
      <c r="A710">
        <f>I222</f>
        <v/>
      </c>
      <c r="B710">
        <f>P222</f>
        <v/>
      </c>
      <c r="C710">
        <f>R222</f>
        <v/>
      </c>
      <c r="D710">
        <f>T222</f>
        <v/>
      </c>
      <c r="E710">
        <f>V222</f>
        <v/>
      </c>
    </row>
    <row r="711">
      <c r="A711">
        <f>I223</f>
        <v/>
      </c>
      <c r="B711">
        <f>P223</f>
        <v/>
      </c>
      <c r="C711">
        <f>R223</f>
        <v/>
      </c>
      <c r="D711">
        <f>T223</f>
        <v/>
      </c>
      <c r="E711">
        <f>V223</f>
        <v/>
      </c>
    </row>
    <row r="712">
      <c r="A712">
        <f>I224</f>
        <v/>
      </c>
      <c r="B712">
        <f>P224</f>
        <v/>
      </c>
      <c r="C712">
        <f>R224</f>
        <v/>
      </c>
      <c r="D712">
        <f>T224</f>
        <v/>
      </c>
      <c r="E712">
        <f>V224</f>
        <v/>
      </c>
    </row>
    <row r="713">
      <c r="A713">
        <f>I225</f>
        <v/>
      </c>
      <c r="B713">
        <f>P225</f>
        <v/>
      </c>
      <c r="C713">
        <f>R225</f>
        <v/>
      </c>
      <c r="D713">
        <f>T225</f>
        <v/>
      </c>
      <c r="E713">
        <f>V225</f>
        <v/>
      </c>
    </row>
    <row r="714">
      <c r="A714">
        <f>I226</f>
        <v/>
      </c>
      <c r="B714">
        <f>P226</f>
        <v/>
      </c>
      <c r="C714">
        <f>R226</f>
        <v/>
      </c>
      <c r="D714">
        <f>T226</f>
        <v/>
      </c>
      <c r="E714">
        <f>V226</f>
        <v/>
      </c>
    </row>
    <row r="715">
      <c r="A715">
        <f>I227</f>
        <v/>
      </c>
      <c r="B715">
        <f>P227</f>
        <v/>
      </c>
      <c r="C715">
        <f>R227</f>
        <v/>
      </c>
      <c r="D715">
        <f>T227</f>
        <v/>
      </c>
      <c r="E715">
        <f>V227</f>
        <v/>
      </c>
    </row>
    <row r="716">
      <c r="A716">
        <f>I228</f>
        <v/>
      </c>
      <c r="B716">
        <f>P228</f>
        <v/>
      </c>
      <c r="C716">
        <f>R228</f>
        <v/>
      </c>
      <c r="D716">
        <f>T228</f>
        <v/>
      </c>
      <c r="E716">
        <f>V228</f>
        <v/>
      </c>
    </row>
    <row r="717">
      <c r="A717">
        <f>I229</f>
        <v/>
      </c>
      <c r="B717">
        <f>P229</f>
        <v/>
      </c>
      <c r="C717">
        <f>R229</f>
        <v/>
      </c>
      <c r="D717">
        <f>T229</f>
        <v/>
      </c>
      <c r="E717">
        <f>V229</f>
        <v/>
      </c>
    </row>
    <row r="718">
      <c r="A718">
        <f>I230</f>
        <v/>
      </c>
      <c r="B718">
        <f>P230</f>
        <v/>
      </c>
      <c r="C718">
        <f>R230</f>
        <v/>
      </c>
      <c r="D718">
        <f>T230</f>
        <v/>
      </c>
      <c r="E718">
        <f>V230</f>
        <v/>
      </c>
    </row>
    <row r="719">
      <c r="A719">
        <f>I231</f>
        <v/>
      </c>
      <c r="B719">
        <f>P231</f>
        <v/>
      </c>
      <c r="C719">
        <f>R231</f>
        <v/>
      </c>
      <c r="D719">
        <f>T231</f>
        <v/>
      </c>
      <c r="E719">
        <f>V231</f>
        <v/>
      </c>
    </row>
    <row r="720">
      <c r="A720">
        <f>I232</f>
        <v/>
      </c>
      <c r="B720">
        <f>P232</f>
        <v/>
      </c>
      <c r="C720">
        <f>R232</f>
        <v/>
      </c>
      <c r="D720">
        <f>T232</f>
        <v/>
      </c>
      <c r="E720">
        <f>V232</f>
        <v/>
      </c>
    </row>
    <row r="721">
      <c r="A721">
        <f>I233</f>
        <v/>
      </c>
      <c r="B721">
        <f>P233</f>
        <v/>
      </c>
      <c r="C721">
        <f>R233</f>
        <v/>
      </c>
      <c r="D721">
        <f>T233</f>
        <v/>
      </c>
      <c r="E721">
        <f>V233</f>
        <v/>
      </c>
    </row>
    <row r="722">
      <c r="A722">
        <f>I234</f>
        <v/>
      </c>
      <c r="B722">
        <f>P234</f>
        <v/>
      </c>
      <c r="C722">
        <f>R234</f>
        <v/>
      </c>
      <c r="D722">
        <f>T234</f>
        <v/>
      </c>
      <c r="E722">
        <f>V234</f>
        <v/>
      </c>
    </row>
    <row r="723">
      <c r="A723">
        <f>I235</f>
        <v/>
      </c>
      <c r="B723">
        <f>P235</f>
        <v/>
      </c>
      <c r="C723">
        <f>R235</f>
        <v/>
      </c>
      <c r="D723">
        <f>T235</f>
        <v/>
      </c>
      <c r="E723">
        <f>V235</f>
        <v/>
      </c>
    </row>
    <row r="724">
      <c r="A724">
        <f>I236</f>
        <v/>
      </c>
      <c r="B724">
        <f>P236</f>
        <v/>
      </c>
      <c r="C724">
        <f>R236</f>
        <v/>
      </c>
      <c r="D724">
        <f>T236</f>
        <v/>
      </c>
      <c r="E724">
        <f>V236</f>
        <v/>
      </c>
    </row>
    <row r="725">
      <c r="A725">
        <f>I237</f>
        <v/>
      </c>
      <c r="B725">
        <f>P237</f>
        <v/>
      </c>
      <c r="C725">
        <f>R237</f>
        <v/>
      </c>
      <c r="D725">
        <f>T237</f>
        <v/>
      </c>
      <c r="E725">
        <f>V237</f>
        <v/>
      </c>
    </row>
    <row r="726">
      <c r="A726">
        <f>I238</f>
        <v/>
      </c>
      <c r="B726">
        <f>P238</f>
        <v/>
      </c>
      <c r="C726">
        <f>R238</f>
        <v/>
      </c>
      <c r="D726">
        <f>T238</f>
        <v/>
      </c>
      <c r="E726">
        <f>V238</f>
        <v/>
      </c>
    </row>
    <row r="727">
      <c r="A727">
        <f>I239</f>
        <v/>
      </c>
      <c r="B727">
        <f>P239</f>
        <v/>
      </c>
      <c r="C727">
        <f>R239</f>
        <v/>
      </c>
      <c r="D727">
        <f>T239</f>
        <v/>
      </c>
      <c r="E727">
        <f>V239</f>
        <v/>
      </c>
    </row>
    <row r="728">
      <c r="A728">
        <f>I240</f>
        <v/>
      </c>
      <c r="B728">
        <f>P240</f>
        <v/>
      </c>
      <c r="C728">
        <f>R240</f>
        <v/>
      </c>
      <c r="D728">
        <f>T240</f>
        <v/>
      </c>
      <c r="E728">
        <f>V240</f>
        <v/>
      </c>
    </row>
    <row r="729">
      <c r="A729">
        <f>I241</f>
        <v/>
      </c>
      <c r="B729">
        <f>P241</f>
        <v/>
      </c>
      <c r="C729">
        <f>R241</f>
        <v/>
      </c>
      <c r="D729">
        <f>T241</f>
        <v/>
      </c>
      <c r="E729">
        <f>V241</f>
        <v/>
      </c>
    </row>
    <row r="730">
      <c r="A730">
        <f>I242</f>
        <v/>
      </c>
      <c r="B730">
        <f>P242</f>
        <v/>
      </c>
      <c r="C730">
        <f>R242</f>
        <v/>
      </c>
      <c r="D730">
        <f>T242</f>
        <v/>
      </c>
      <c r="E730">
        <f>V242</f>
        <v/>
      </c>
    </row>
    <row r="735">
      <c r="A735">
        <f>I2</f>
        <v/>
      </c>
      <c r="B735">
        <f>Y2</f>
        <v/>
      </c>
      <c r="C735">
        <f>AA2</f>
        <v/>
      </c>
      <c r="D735">
        <f>AC2</f>
        <v/>
      </c>
      <c r="E735">
        <f>AE2</f>
        <v/>
      </c>
    </row>
    <row r="736">
      <c r="A736">
        <f>I3</f>
        <v/>
      </c>
      <c r="B736">
        <f>Y3</f>
        <v/>
      </c>
      <c r="C736">
        <f>AA3</f>
        <v/>
      </c>
      <c r="D736">
        <f>AC3</f>
        <v/>
      </c>
      <c r="E736">
        <f>AE3</f>
        <v/>
      </c>
    </row>
    <row r="737">
      <c r="A737">
        <f>I4</f>
        <v/>
      </c>
      <c r="B737">
        <f>Y4</f>
        <v/>
      </c>
      <c r="C737">
        <f>AA4</f>
        <v/>
      </c>
      <c r="D737">
        <f>AC4</f>
        <v/>
      </c>
      <c r="E737">
        <f>AE4</f>
        <v/>
      </c>
    </row>
    <row r="738">
      <c r="A738">
        <f>I5</f>
        <v/>
      </c>
      <c r="B738">
        <f>Y5</f>
        <v/>
      </c>
      <c r="C738">
        <f>AA5</f>
        <v/>
      </c>
      <c r="D738">
        <f>AC5</f>
        <v/>
      </c>
      <c r="E738">
        <f>AE5</f>
        <v/>
      </c>
    </row>
    <row r="739">
      <c r="A739">
        <f>I6</f>
        <v/>
      </c>
      <c r="B739">
        <f>Y6</f>
        <v/>
      </c>
      <c r="C739">
        <f>AA6</f>
        <v/>
      </c>
      <c r="D739">
        <f>AC6</f>
        <v/>
      </c>
      <c r="E739">
        <f>AE6</f>
        <v/>
      </c>
    </row>
    <row r="740">
      <c r="A740">
        <f>I7</f>
        <v/>
      </c>
      <c r="B740">
        <f>Y7</f>
        <v/>
      </c>
      <c r="C740">
        <f>AA7</f>
        <v/>
      </c>
      <c r="D740">
        <f>AC7</f>
        <v/>
      </c>
      <c r="E740">
        <f>AE7</f>
        <v/>
      </c>
    </row>
    <row r="741">
      <c r="A741">
        <f>I8</f>
        <v/>
      </c>
      <c r="B741">
        <f>Y8</f>
        <v/>
      </c>
      <c r="C741">
        <f>AA8</f>
        <v/>
      </c>
      <c r="D741">
        <f>AC8</f>
        <v/>
      </c>
      <c r="E741">
        <f>AE8</f>
        <v/>
      </c>
    </row>
    <row r="742">
      <c r="A742">
        <f>I9</f>
        <v/>
      </c>
      <c r="B742">
        <f>Y9</f>
        <v/>
      </c>
      <c r="C742">
        <f>AA9</f>
        <v/>
      </c>
      <c r="D742">
        <f>AC9</f>
        <v/>
      </c>
      <c r="E742">
        <f>AE9</f>
        <v/>
      </c>
    </row>
    <row r="743">
      <c r="A743">
        <f>I10</f>
        <v/>
      </c>
      <c r="B743">
        <f>Y10</f>
        <v/>
      </c>
      <c r="C743">
        <f>AA10</f>
        <v/>
      </c>
      <c r="D743">
        <f>AC10</f>
        <v/>
      </c>
      <c r="E743">
        <f>AE10</f>
        <v/>
      </c>
    </row>
    <row r="744">
      <c r="A744">
        <f>I11</f>
        <v/>
      </c>
      <c r="B744">
        <f>Y11</f>
        <v/>
      </c>
      <c r="C744">
        <f>AA11</f>
        <v/>
      </c>
      <c r="D744">
        <f>AC11</f>
        <v/>
      </c>
      <c r="E744">
        <f>AE11</f>
        <v/>
      </c>
    </row>
    <row r="745">
      <c r="A745">
        <f>I12</f>
        <v/>
      </c>
      <c r="B745">
        <f>Y12</f>
        <v/>
      </c>
      <c r="C745">
        <f>AA12</f>
        <v/>
      </c>
      <c r="D745">
        <f>AC12</f>
        <v/>
      </c>
      <c r="E745">
        <f>AE12</f>
        <v/>
      </c>
    </row>
    <row r="746">
      <c r="A746">
        <f>I13</f>
        <v/>
      </c>
      <c r="B746">
        <f>Y13</f>
        <v/>
      </c>
      <c r="C746">
        <f>AA13</f>
        <v/>
      </c>
      <c r="D746">
        <f>AC13</f>
        <v/>
      </c>
      <c r="E746">
        <f>AE13</f>
        <v/>
      </c>
    </row>
    <row r="747">
      <c r="A747">
        <f>I14</f>
        <v/>
      </c>
      <c r="B747">
        <f>Y14</f>
        <v/>
      </c>
      <c r="C747">
        <f>AA14</f>
        <v/>
      </c>
      <c r="D747">
        <f>AC14</f>
        <v/>
      </c>
      <c r="E747">
        <f>AE14</f>
        <v/>
      </c>
    </row>
    <row r="748">
      <c r="A748">
        <f>I15</f>
        <v/>
      </c>
      <c r="B748">
        <f>Y15</f>
        <v/>
      </c>
      <c r="C748">
        <f>AA15</f>
        <v/>
      </c>
      <c r="D748">
        <f>AC15</f>
        <v/>
      </c>
      <c r="E748">
        <f>AE15</f>
        <v/>
      </c>
    </row>
    <row r="749">
      <c r="A749">
        <f>I16</f>
        <v/>
      </c>
      <c r="B749">
        <f>Y16</f>
        <v/>
      </c>
      <c r="C749">
        <f>AA16</f>
        <v/>
      </c>
      <c r="D749">
        <f>AC16</f>
        <v/>
      </c>
      <c r="E749">
        <f>AE16</f>
        <v/>
      </c>
    </row>
    <row r="750">
      <c r="A750">
        <f>I17</f>
        <v/>
      </c>
      <c r="B750">
        <f>Y17</f>
        <v/>
      </c>
      <c r="C750">
        <f>AA17</f>
        <v/>
      </c>
      <c r="D750">
        <f>AC17</f>
        <v/>
      </c>
      <c r="E750">
        <f>AE17</f>
        <v/>
      </c>
    </row>
    <row r="751">
      <c r="A751">
        <f>I18</f>
        <v/>
      </c>
      <c r="B751">
        <f>Y18</f>
        <v/>
      </c>
      <c r="C751">
        <f>AA18</f>
        <v/>
      </c>
      <c r="D751">
        <f>AC18</f>
        <v/>
      </c>
      <c r="E751">
        <f>AE18</f>
        <v/>
      </c>
    </row>
    <row r="752">
      <c r="A752">
        <f>I19</f>
        <v/>
      </c>
      <c r="B752">
        <f>Y19</f>
        <v/>
      </c>
      <c r="C752">
        <f>AA19</f>
        <v/>
      </c>
      <c r="D752">
        <f>AC19</f>
        <v/>
      </c>
      <c r="E752">
        <f>AE19</f>
        <v/>
      </c>
    </row>
    <row r="753">
      <c r="A753">
        <f>I20</f>
        <v/>
      </c>
      <c r="B753">
        <f>Y20</f>
        <v/>
      </c>
      <c r="C753">
        <f>AA20</f>
        <v/>
      </c>
      <c r="D753">
        <f>AC20</f>
        <v/>
      </c>
      <c r="E753">
        <f>AE20</f>
        <v/>
      </c>
    </row>
    <row r="754">
      <c r="A754">
        <f>I21</f>
        <v/>
      </c>
      <c r="B754">
        <f>Y21</f>
        <v/>
      </c>
      <c r="C754">
        <f>AA21</f>
        <v/>
      </c>
      <c r="D754">
        <f>AC21</f>
        <v/>
      </c>
      <c r="E754">
        <f>AE21</f>
        <v/>
      </c>
    </row>
    <row r="755">
      <c r="A755">
        <f>I22</f>
        <v/>
      </c>
      <c r="B755">
        <f>Y22</f>
        <v/>
      </c>
      <c r="C755">
        <f>AA22</f>
        <v/>
      </c>
      <c r="D755">
        <f>AC22</f>
        <v/>
      </c>
      <c r="E755">
        <f>AE22</f>
        <v/>
      </c>
    </row>
    <row r="756">
      <c r="A756">
        <f>I23</f>
        <v/>
      </c>
      <c r="B756">
        <f>Y23</f>
        <v/>
      </c>
      <c r="C756">
        <f>AA23</f>
        <v/>
      </c>
      <c r="D756">
        <f>AC23</f>
        <v/>
      </c>
      <c r="E756">
        <f>AE23</f>
        <v/>
      </c>
    </row>
    <row r="757">
      <c r="A757">
        <f>I24</f>
        <v/>
      </c>
      <c r="B757">
        <f>Y24</f>
        <v/>
      </c>
      <c r="C757">
        <f>AA24</f>
        <v/>
      </c>
      <c r="D757">
        <f>AC24</f>
        <v/>
      </c>
      <c r="E757">
        <f>AE24</f>
        <v/>
      </c>
    </row>
    <row r="758">
      <c r="A758">
        <f>I25</f>
        <v/>
      </c>
      <c r="B758">
        <f>Y25</f>
        <v/>
      </c>
      <c r="C758">
        <f>AA25</f>
        <v/>
      </c>
      <c r="D758">
        <f>AC25</f>
        <v/>
      </c>
      <c r="E758">
        <f>AE25</f>
        <v/>
      </c>
    </row>
    <row r="759">
      <c r="A759">
        <f>I26</f>
        <v/>
      </c>
      <c r="B759">
        <f>Y26</f>
        <v/>
      </c>
      <c r="C759">
        <f>AA26</f>
        <v/>
      </c>
      <c r="D759">
        <f>AC26</f>
        <v/>
      </c>
      <c r="E759">
        <f>AE26</f>
        <v/>
      </c>
    </row>
    <row r="760">
      <c r="A760">
        <f>I27</f>
        <v/>
      </c>
      <c r="B760">
        <f>Y27</f>
        <v/>
      </c>
      <c r="C760">
        <f>AA27</f>
        <v/>
      </c>
      <c r="D760">
        <f>AC27</f>
        <v/>
      </c>
      <c r="E760">
        <f>AE27</f>
        <v/>
      </c>
    </row>
    <row r="761">
      <c r="A761">
        <f>I28</f>
        <v/>
      </c>
      <c r="B761">
        <f>Y28</f>
        <v/>
      </c>
      <c r="C761">
        <f>AA28</f>
        <v/>
      </c>
      <c r="D761">
        <f>AC28</f>
        <v/>
      </c>
      <c r="E761">
        <f>AE28</f>
        <v/>
      </c>
    </row>
    <row r="762">
      <c r="A762">
        <f>I29</f>
        <v/>
      </c>
      <c r="B762">
        <f>Y29</f>
        <v/>
      </c>
      <c r="C762">
        <f>AA29</f>
        <v/>
      </c>
      <c r="D762">
        <f>AC29</f>
        <v/>
      </c>
      <c r="E762">
        <f>AE29</f>
        <v/>
      </c>
    </row>
    <row r="763">
      <c r="A763">
        <f>I30</f>
        <v/>
      </c>
      <c r="B763">
        <f>Y30</f>
        <v/>
      </c>
      <c r="C763">
        <f>AA30</f>
        <v/>
      </c>
      <c r="D763">
        <f>AC30</f>
        <v/>
      </c>
      <c r="E763">
        <f>AE30</f>
        <v/>
      </c>
    </row>
    <row r="764">
      <c r="A764">
        <f>I31</f>
        <v/>
      </c>
      <c r="B764">
        <f>Y31</f>
        <v/>
      </c>
      <c r="C764">
        <f>AA31</f>
        <v/>
      </c>
      <c r="D764">
        <f>AC31</f>
        <v/>
      </c>
      <c r="E764">
        <f>AE31</f>
        <v/>
      </c>
    </row>
    <row r="765">
      <c r="A765">
        <f>I32</f>
        <v/>
      </c>
      <c r="B765">
        <f>Y32</f>
        <v/>
      </c>
      <c r="C765">
        <f>AA32</f>
        <v/>
      </c>
      <c r="D765">
        <f>AC32</f>
        <v/>
      </c>
      <c r="E765">
        <f>AE32</f>
        <v/>
      </c>
    </row>
    <row r="766">
      <c r="A766">
        <f>I33</f>
        <v/>
      </c>
      <c r="B766">
        <f>Y33</f>
        <v/>
      </c>
      <c r="C766">
        <f>AA33</f>
        <v/>
      </c>
      <c r="D766">
        <f>AC33</f>
        <v/>
      </c>
      <c r="E766">
        <f>AE33</f>
        <v/>
      </c>
    </row>
    <row r="767">
      <c r="A767">
        <f>I34</f>
        <v/>
      </c>
      <c r="B767">
        <f>Y34</f>
        <v/>
      </c>
      <c r="C767">
        <f>AA34</f>
        <v/>
      </c>
      <c r="D767">
        <f>AC34</f>
        <v/>
      </c>
      <c r="E767">
        <f>AE34</f>
        <v/>
      </c>
    </row>
    <row r="768">
      <c r="A768">
        <f>I35</f>
        <v/>
      </c>
      <c r="B768">
        <f>Y35</f>
        <v/>
      </c>
      <c r="C768">
        <f>AA35</f>
        <v/>
      </c>
      <c r="D768">
        <f>AC35</f>
        <v/>
      </c>
      <c r="E768">
        <f>AE35</f>
        <v/>
      </c>
    </row>
    <row r="769">
      <c r="A769">
        <f>I36</f>
        <v/>
      </c>
      <c r="B769">
        <f>Y36</f>
        <v/>
      </c>
      <c r="C769">
        <f>AA36</f>
        <v/>
      </c>
      <c r="D769">
        <f>AC36</f>
        <v/>
      </c>
      <c r="E769">
        <f>AE36</f>
        <v/>
      </c>
    </row>
    <row r="770">
      <c r="A770">
        <f>I37</f>
        <v/>
      </c>
      <c r="B770">
        <f>Y37</f>
        <v/>
      </c>
      <c r="C770">
        <f>AA37</f>
        <v/>
      </c>
      <c r="D770">
        <f>AC37</f>
        <v/>
      </c>
      <c r="E770">
        <f>AE37</f>
        <v/>
      </c>
    </row>
    <row r="771">
      <c r="A771">
        <f>I38</f>
        <v/>
      </c>
      <c r="B771">
        <f>Y38</f>
        <v/>
      </c>
      <c r="C771">
        <f>AA38</f>
        <v/>
      </c>
      <c r="D771">
        <f>AC38</f>
        <v/>
      </c>
      <c r="E771">
        <f>AE38</f>
        <v/>
      </c>
    </row>
    <row r="772">
      <c r="A772">
        <f>I39</f>
        <v/>
      </c>
      <c r="B772">
        <f>Y39</f>
        <v/>
      </c>
      <c r="C772">
        <f>AA39</f>
        <v/>
      </c>
      <c r="D772">
        <f>AC39</f>
        <v/>
      </c>
      <c r="E772">
        <f>AE39</f>
        <v/>
      </c>
    </row>
    <row r="773">
      <c r="A773">
        <f>I40</f>
        <v/>
      </c>
      <c r="B773">
        <f>Y40</f>
        <v/>
      </c>
      <c r="C773">
        <f>AA40</f>
        <v/>
      </c>
      <c r="D773">
        <f>AC40</f>
        <v/>
      </c>
      <c r="E773">
        <f>AE40</f>
        <v/>
      </c>
    </row>
    <row r="774">
      <c r="A774">
        <f>I41</f>
        <v/>
      </c>
      <c r="B774">
        <f>Y41</f>
        <v/>
      </c>
      <c r="C774">
        <f>AA41</f>
        <v/>
      </c>
      <c r="D774">
        <f>AC41</f>
        <v/>
      </c>
      <c r="E774">
        <f>AE41</f>
        <v/>
      </c>
    </row>
    <row r="775">
      <c r="A775">
        <f>I42</f>
        <v/>
      </c>
      <c r="B775">
        <f>Y42</f>
        <v/>
      </c>
      <c r="C775">
        <f>AA42</f>
        <v/>
      </c>
      <c r="D775">
        <f>AC42</f>
        <v/>
      </c>
      <c r="E775">
        <f>AE42</f>
        <v/>
      </c>
    </row>
    <row r="776">
      <c r="A776">
        <f>I43</f>
        <v/>
      </c>
      <c r="B776">
        <f>Y43</f>
        <v/>
      </c>
      <c r="C776">
        <f>AA43</f>
        <v/>
      </c>
      <c r="D776">
        <f>AC43</f>
        <v/>
      </c>
      <c r="E776">
        <f>AE43</f>
        <v/>
      </c>
    </row>
    <row r="777">
      <c r="A777">
        <f>I44</f>
        <v/>
      </c>
      <c r="B777">
        <f>Y44</f>
        <v/>
      </c>
      <c r="C777">
        <f>AA44</f>
        <v/>
      </c>
      <c r="D777">
        <f>AC44</f>
        <v/>
      </c>
      <c r="E777">
        <f>AE44</f>
        <v/>
      </c>
    </row>
    <row r="778">
      <c r="A778">
        <f>I45</f>
        <v/>
      </c>
      <c r="B778">
        <f>Y45</f>
        <v/>
      </c>
      <c r="C778">
        <f>AA45</f>
        <v/>
      </c>
      <c r="D778">
        <f>AC45</f>
        <v/>
      </c>
      <c r="E778">
        <f>AE45</f>
        <v/>
      </c>
    </row>
    <row r="779">
      <c r="A779">
        <f>I46</f>
        <v/>
      </c>
      <c r="B779">
        <f>Y46</f>
        <v/>
      </c>
      <c r="C779">
        <f>AA46</f>
        <v/>
      </c>
      <c r="D779">
        <f>AC46</f>
        <v/>
      </c>
      <c r="E779">
        <f>AE46</f>
        <v/>
      </c>
    </row>
    <row r="780">
      <c r="A780">
        <f>I47</f>
        <v/>
      </c>
      <c r="B780">
        <f>Y47</f>
        <v/>
      </c>
      <c r="C780">
        <f>AA47</f>
        <v/>
      </c>
      <c r="D780">
        <f>AC47</f>
        <v/>
      </c>
      <c r="E780">
        <f>AE47</f>
        <v/>
      </c>
    </row>
    <row r="781">
      <c r="A781">
        <f>I48</f>
        <v/>
      </c>
      <c r="B781">
        <f>Y48</f>
        <v/>
      </c>
      <c r="C781">
        <f>AA48</f>
        <v/>
      </c>
      <c r="D781">
        <f>AC48</f>
        <v/>
      </c>
      <c r="E781">
        <f>AE48</f>
        <v/>
      </c>
    </row>
    <row r="782">
      <c r="A782">
        <f>I49</f>
        <v/>
      </c>
      <c r="B782">
        <f>Y49</f>
        <v/>
      </c>
      <c r="C782">
        <f>AA49</f>
        <v/>
      </c>
      <c r="D782">
        <f>AC49</f>
        <v/>
      </c>
      <c r="E782">
        <f>AE49</f>
        <v/>
      </c>
    </row>
    <row r="783">
      <c r="A783">
        <f>I50</f>
        <v/>
      </c>
      <c r="B783">
        <f>Y50</f>
        <v/>
      </c>
      <c r="C783">
        <f>AA50</f>
        <v/>
      </c>
      <c r="D783">
        <f>AC50</f>
        <v/>
      </c>
      <c r="E783">
        <f>AE50</f>
        <v/>
      </c>
    </row>
    <row r="784">
      <c r="A784">
        <f>I51</f>
        <v/>
      </c>
      <c r="B784">
        <f>Y51</f>
        <v/>
      </c>
      <c r="C784">
        <f>AA51</f>
        <v/>
      </c>
      <c r="D784">
        <f>AC51</f>
        <v/>
      </c>
      <c r="E784">
        <f>AE51</f>
        <v/>
      </c>
    </row>
    <row r="785">
      <c r="A785">
        <f>I52</f>
        <v/>
      </c>
      <c r="B785">
        <f>Y52</f>
        <v/>
      </c>
      <c r="C785">
        <f>AA52</f>
        <v/>
      </c>
      <c r="D785">
        <f>AC52</f>
        <v/>
      </c>
      <c r="E785">
        <f>AE52</f>
        <v/>
      </c>
    </row>
    <row r="786">
      <c r="A786">
        <f>I53</f>
        <v/>
      </c>
      <c r="B786">
        <f>Y53</f>
        <v/>
      </c>
      <c r="C786">
        <f>AA53</f>
        <v/>
      </c>
      <c r="D786">
        <f>AC53</f>
        <v/>
      </c>
      <c r="E786">
        <f>AE53</f>
        <v/>
      </c>
    </row>
    <row r="787">
      <c r="A787">
        <f>I54</f>
        <v/>
      </c>
      <c r="B787">
        <f>Y54</f>
        <v/>
      </c>
      <c r="C787">
        <f>AA54</f>
        <v/>
      </c>
      <c r="D787">
        <f>AC54</f>
        <v/>
      </c>
      <c r="E787">
        <f>AE54</f>
        <v/>
      </c>
    </row>
    <row r="788">
      <c r="A788">
        <f>I55</f>
        <v/>
      </c>
      <c r="B788">
        <f>Y55</f>
        <v/>
      </c>
      <c r="C788">
        <f>AA55</f>
        <v/>
      </c>
      <c r="D788">
        <f>AC55</f>
        <v/>
      </c>
      <c r="E788">
        <f>AE55</f>
        <v/>
      </c>
    </row>
    <row r="789">
      <c r="A789">
        <f>I56</f>
        <v/>
      </c>
      <c r="B789">
        <f>Y56</f>
        <v/>
      </c>
      <c r="C789">
        <f>AA56</f>
        <v/>
      </c>
      <c r="D789">
        <f>AC56</f>
        <v/>
      </c>
      <c r="E789">
        <f>AE56</f>
        <v/>
      </c>
    </row>
    <row r="790">
      <c r="A790">
        <f>I57</f>
        <v/>
      </c>
      <c r="B790">
        <f>Y57</f>
        <v/>
      </c>
      <c r="C790">
        <f>AA57</f>
        <v/>
      </c>
      <c r="D790">
        <f>AC57</f>
        <v/>
      </c>
      <c r="E790">
        <f>AE57</f>
        <v/>
      </c>
    </row>
    <row r="791">
      <c r="A791">
        <f>I58</f>
        <v/>
      </c>
      <c r="B791">
        <f>Y58</f>
        <v/>
      </c>
      <c r="C791">
        <f>AA58</f>
        <v/>
      </c>
      <c r="D791">
        <f>AC58</f>
        <v/>
      </c>
      <c r="E791">
        <f>AE58</f>
        <v/>
      </c>
    </row>
    <row r="792">
      <c r="A792">
        <f>I59</f>
        <v/>
      </c>
      <c r="B792">
        <f>Y59</f>
        <v/>
      </c>
      <c r="C792">
        <f>AA59</f>
        <v/>
      </c>
      <c r="D792">
        <f>AC59</f>
        <v/>
      </c>
      <c r="E792">
        <f>AE59</f>
        <v/>
      </c>
    </row>
    <row r="793">
      <c r="A793">
        <f>I60</f>
        <v/>
      </c>
      <c r="B793">
        <f>Y60</f>
        <v/>
      </c>
      <c r="C793">
        <f>AA60</f>
        <v/>
      </c>
      <c r="D793">
        <f>AC60</f>
        <v/>
      </c>
      <c r="E793">
        <f>AE60</f>
        <v/>
      </c>
    </row>
    <row r="794">
      <c r="A794">
        <f>I61</f>
        <v/>
      </c>
      <c r="B794">
        <f>Y61</f>
        <v/>
      </c>
      <c r="C794">
        <f>AA61</f>
        <v/>
      </c>
      <c r="D794">
        <f>AC61</f>
        <v/>
      </c>
      <c r="E794">
        <f>AE61</f>
        <v/>
      </c>
    </row>
    <row r="795">
      <c r="A795">
        <f>I62</f>
        <v/>
      </c>
      <c r="B795">
        <f>Y62</f>
        <v/>
      </c>
      <c r="C795">
        <f>AA62</f>
        <v/>
      </c>
      <c r="D795">
        <f>AC62</f>
        <v/>
      </c>
      <c r="E795">
        <f>AE62</f>
        <v/>
      </c>
    </row>
    <row r="796">
      <c r="A796">
        <f>I63</f>
        <v/>
      </c>
      <c r="B796">
        <f>Y63</f>
        <v/>
      </c>
      <c r="C796">
        <f>AA63</f>
        <v/>
      </c>
      <c r="D796">
        <f>AC63</f>
        <v/>
      </c>
      <c r="E796">
        <f>AE63</f>
        <v/>
      </c>
    </row>
    <row r="797">
      <c r="A797">
        <f>I64</f>
        <v/>
      </c>
      <c r="B797">
        <f>Y64</f>
        <v/>
      </c>
      <c r="C797">
        <f>AA64</f>
        <v/>
      </c>
      <c r="D797">
        <f>AC64</f>
        <v/>
      </c>
      <c r="E797">
        <f>AE64</f>
        <v/>
      </c>
    </row>
    <row r="798">
      <c r="A798">
        <f>I65</f>
        <v/>
      </c>
      <c r="B798">
        <f>Y65</f>
        <v/>
      </c>
      <c r="C798">
        <f>AA65</f>
        <v/>
      </c>
      <c r="D798">
        <f>AC65</f>
        <v/>
      </c>
      <c r="E798">
        <f>AE65</f>
        <v/>
      </c>
    </row>
    <row r="799">
      <c r="A799">
        <f>I66</f>
        <v/>
      </c>
      <c r="B799">
        <f>Y66</f>
        <v/>
      </c>
      <c r="C799">
        <f>AA66</f>
        <v/>
      </c>
      <c r="D799">
        <f>AC66</f>
        <v/>
      </c>
      <c r="E799">
        <f>AE66</f>
        <v/>
      </c>
    </row>
    <row r="800">
      <c r="A800">
        <f>I67</f>
        <v/>
      </c>
      <c r="B800">
        <f>Y67</f>
        <v/>
      </c>
      <c r="C800">
        <f>AA67</f>
        <v/>
      </c>
      <c r="D800">
        <f>AC67</f>
        <v/>
      </c>
      <c r="E800">
        <f>AE67</f>
        <v/>
      </c>
    </row>
    <row r="801">
      <c r="A801">
        <f>I68</f>
        <v/>
      </c>
      <c r="B801">
        <f>Y68</f>
        <v/>
      </c>
      <c r="C801">
        <f>AA68</f>
        <v/>
      </c>
      <c r="D801">
        <f>AC68</f>
        <v/>
      </c>
      <c r="E801">
        <f>AE68</f>
        <v/>
      </c>
    </row>
    <row r="802">
      <c r="A802">
        <f>I69</f>
        <v/>
      </c>
      <c r="B802">
        <f>Y69</f>
        <v/>
      </c>
      <c r="C802">
        <f>AA69</f>
        <v/>
      </c>
      <c r="D802">
        <f>AC69</f>
        <v/>
      </c>
      <c r="E802">
        <f>AE69</f>
        <v/>
      </c>
    </row>
    <row r="803">
      <c r="A803">
        <f>I70</f>
        <v/>
      </c>
      <c r="B803">
        <f>Y70</f>
        <v/>
      </c>
      <c r="C803">
        <f>AA70</f>
        <v/>
      </c>
      <c r="D803">
        <f>AC70</f>
        <v/>
      </c>
      <c r="E803">
        <f>AE70</f>
        <v/>
      </c>
    </row>
    <row r="804">
      <c r="A804">
        <f>I71</f>
        <v/>
      </c>
      <c r="B804">
        <f>Y71</f>
        <v/>
      </c>
      <c r="C804">
        <f>AA71</f>
        <v/>
      </c>
      <c r="D804">
        <f>AC71</f>
        <v/>
      </c>
      <c r="E804">
        <f>AE71</f>
        <v/>
      </c>
    </row>
    <row r="805">
      <c r="A805">
        <f>I72</f>
        <v/>
      </c>
      <c r="B805">
        <f>Y72</f>
        <v/>
      </c>
      <c r="C805">
        <f>AA72</f>
        <v/>
      </c>
      <c r="D805">
        <f>AC72</f>
        <v/>
      </c>
      <c r="E805">
        <f>AE72</f>
        <v/>
      </c>
    </row>
    <row r="806">
      <c r="A806">
        <f>I73</f>
        <v/>
      </c>
      <c r="B806">
        <f>Y73</f>
        <v/>
      </c>
      <c r="C806">
        <f>AA73</f>
        <v/>
      </c>
      <c r="D806">
        <f>AC73</f>
        <v/>
      </c>
      <c r="E806">
        <f>AE73</f>
        <v/>
      </c>
    </row>
    <row r="807">
      <c r="A807">
        <f>I74</f>
        <v/>
      </c>
      <c r="B807">
        <f>Y74</f>
        <v/>
      </c>
      <c r="C807">
        <f>AA74</f>
        <v/>
      </c>
      <c r="D807">
        <f>AC74</f>
        <v/>
      </c>
      <c r="E807">
        <f>AE74</f>
        <v/>
      </c>
    </row>
    <row r="808">
      <c r="A808">
        <f>I75</f>
        <v/>
      </c>
      <c r="B808">
        <f>Y75</f>
        <v/>
      </c>
      <c r="C808">
        <f>AA75</f>
        <v/>
      </c>
      <c r="D808">
        <f>AC75</f>
        <v/>
      </c>
      <c r="E808">
        <f>AE75</f>
        <v/>
      </c>
    </row>
    <row r="809">
      <c r="A809">
        <f>I76</f>
        <v/>
      </c>
      <c r="B809">
        <f>Y76</f>
        <v/>
      </c>
      <c r="C809">
        <f>AA76</f>
        <v/>
      </c>
      <c r="D809">
        <f>AC76</f>
        <v/>
      </c>
      <c r="E809">
        <f>AE76</f>
        <v/>
      </c>
    </row>
    <row r="810">
      <c r="A810">
        <f>I77</f>
        <v/>
      </c>
      <c r="B810">
        <f>Y77</f>
        <v/>
      </c>
      <c r="C810">
        <f>AA77</f>
        <v/>
      </c>
      <c r="D810">
        <f>AC77</f>
        <v/>
      </c>
      <c r="E810">
        <f>AE77</f>
        <v/>
      </c>
    </row>
    <row r="811">
      <c r="A811">
        <f>I78</f>
        <v/>
      </c>
      <c r="B811">
        <f>Y78</f>
        <v/>
      </c>
      <c r="C811">
        <f>AA78</f>
        <v/>
      </c>
      <c r="D811">
        <f>AC78</f>
        <v/>
      </c>
      <c r="E811">
        <f>AE78</f>
        <v/>
      </c>
    </row>
    <row r="812">
      <c r="A812">
        <f>I79</f>
        <v/>
      </c>
      <c r="B812">
        <f>Y79</f>
        <v/>
      </c>
      <c r="C812">
        <f>AA79</f>
        <v/>
      </c>
      <c r="D812">
        <f>AC79</f>
        <v/>
      </c>
      <c r="E812">
        <f>AE79</f>
        <v/>
      </c>
    </row>
    <row r="813">
      <c r="A813">
        <f>I80</f>
        <v/>
      </c>
      <c r="B813">
        <f>Y80</f>
        <v/>
      </c>
      <c r="C813">
        <f>AA80</f>
        <v/>
      </c>
      <c r="D813">
        <f>AC80</f>
        <v/>
      </c>
      <c r="E813">
        <f>AE80</f>
        <v/>
      </c>
    </row>
    <row r="814">
      <c r="A814">
        <f>I81</f>
        <v/>
      </c>
      <c r="B814">
        <f>Y81</f>
        <v/>
      </c>
      <c r="C814">
        <f>AA81</f>
        <v/>
      </c>
      <c r="D814">
        <f>AC81</f>
        <v/>
      </c>
      <c r="E814">
        <f>AE81</f>
        <v/>
      </c>
    </row>
    <row r="815">
      <c r="A815">
        <f>I82</f>
        <v/>
      </c>
      <c r="B815">
        <f>Y82</f>
        <v/>
      </c>
      <c r="C815">
        <f>AA82</f>
        <v/>
      </c>
      <c r="D815">
        <f>AC82</f>
        <v/>
      </c>
      <c r="E815">
        <f>AE82</f>
        <v/>
      </c>
    </row>
    <row r="816">
      <c r="A816">
        <f>I83</f>
        <v/>
      </c>
      <c r="B816">
        <f>Y83</f>
        <v/>
      </c>
      <c r="C816">
        <f>AA83</f>
        <v/>
      </c>
      <c r="D816">
        <f>AC83</f>
        <v/>
      </c>
      <c r="E816">
        <f>AE83</f>
        <v/>
      </c>
    </row>
    <row r="817">
      <c r="A817">
        <f>I84</f>
        <v/>
      </c>
      <c r="B817">
        <f>Y84</f>
        <v/>
      </c>
      <c r="C817">
        <f>AA84</f>
        <v/>
      </c>
      <c r="D817">
        <f>AC84</f>
        <v/>
      </c>
      <c r="E817">
        <f>AE84</f>
        <v/>
      </c>
    </row>
    <row r="818">
      <c r="A818">
        <f>I85</f>
        <v/>
      </c>
      <c r="B818">
        <f>Y85</f>
        <v/>
      </c>
      <c r="C818">
        <f>AA85</f>
        <v/>
      </c>
      <c r="D818">
        <f>AC85</f>
        <v/>
      </c>
      <c r="E818">
        <f>AE85</f>
        <v/>
      </c>
    </row>
    <row r="819">
      <c r="A819">
        <f>I86</f>
        <v/>
      </c>
      <c r="B819">
        <f>Y86</f>
        <v/>
      </c>
      <c r="C819">
        <f>AA86</f>
        <v/>
      </c>
      <c r="D819">
        <f>AC86</f>
        <v/>
      </c>
      <c r="E819">
        <f>AE86</f>
        <v/>
      </c>
    </row>
    <row r="820">
      <c r="A820">
        <f>I87</f>
        <v/>
      </c>
      <c r="B820">
        <f>Y87</f>
        <v/>
      </c>
      <c r="C820">
        <f>AA87</f>
        <v/>
      </c>
      <c r="D820">
        <f>AC87</f>
        <v/>
      </c>
      <c r="E820">
        <f>AE87</f>
        <v/>
      </c>
    </row>
    <row r="821">
      <c r="A821">
        <f>I88</f>
        <v/>
      </c>
      <c r="B821">
        <f>Y88</f>
        <v/>
      </c>
      <c r="C821">
        <f>AA88</f>
        <v/>
      </c>
      <c r="D821">
        <f>AC88</f>
        <v/>
      </c>
      <c r="E821">
        <f>AE88</f>
        <v/>
      </c>
    </row>
    <row r="822">
      <c r="A822">
        <f>I89</f>
        <v/>
      </c>
      <c r="B822">
        <f>Y89</f>
        <v/>
      </c>
      <c r="C822">
        <f>AA89</f>
        <v/>
      </c>
      <c r="D822">
        <f>AC89</f>
        <v/>
      </c>
      <c r="E822">
        <f>AE89</f>
        <v/>
      </c>
    </row>
    <row r="823">
      <c r="A823">
        <f>I90</f>
        <v/>
      </c>
      <c r="B823">
        <f>Y90</f>
        <v/>
      </c>
      <c r="C823">
        <f>AA90</f>
        <v/>
      </c>
      <c r="D823">
        <f>AC90</f>
        <v/>
      </c>
      <c r="E823">
        <f>AE90</f>
        <v/>
      </c>
    </row>
    <row r="824">
      <c r="A824">
        <f>I91</f>
        <v/>
      </c>
      <c r="B824">
        <f>Y91</f>
        <v/>
      </c>
      <c r="C824">
        <f>AA91</f>
        <v/>
      </c>
      <c r="D824">
        <f>AC91</f>
        <v/>
      </c>
      <c r="E824">
        <f>AE91</f>
        <v/>
      </c>
    </row>
    <row r="825">
      <c r="A825">
        <f>I92</f>
        <v/>
      </c>
      <c r="B825">
        <f>Y92</f>
        <v/>
      </c>
      <c r="C825">
        <f>AA92</f>
        <v/>
      </c>
      <c r="D825">
        <f>AC92</f>
        <v/>
      </c>
      <c r="E825">
        <f>AE92</f>
        <v/>
      </c>
    </row>
    <row r="826">
      <c r="A826">
        <f>I93</f>
        <v/>
      </c>
      <c r="B826">
        <f>Y93</f>
        <v/>
      </c>
      <c r="C826">
        <f>AA93</f>
        <v/>
      </c>
      <c r="D826">
        <f>AC93</f>
        <v/>
      </c>
      <c r="E826">
        <f>AE93</f>
        <v/>
      </c>
    </row>
    <row r="827">
      <c r="A827">
        <f>I94</f>
        <v/>
      </c>
      <c r="B827">
        <f>Y94</f>
        <v/>
      </c>
      <c r="C827">
        <f>AA94</f>
        <v/>
      </c>
      <c r="D827">
        <f>AC94</f>
        <v/>
      </c>
      <c r="E827">
        <f>AE94</f>
        <v/>
      </c>
    </row>
    <row r="828">
      <c r="A828">
        <f>I95</f>
        <v/>
      </c>
      <c r="B828">
        <f>Y95</f>
        <v/>
      </c>
      <c r="C828">
        <f>AA95</f>
        <v/>
      </c>
      <c r="D828">
        <f>AC95</f>
        <v/>
      </c>
      <c r="E828">
        <f>AE95</f>
        <v/>
      </c>
    </row>
    <row r="829">
      <c r="A829">
        <f>I96</f>
        <v/>
      </c>
      <c r="B829">
        <f>Y96</f>
        <v/>
      </c>
      <c r="C829">
        <f>AA96</f>
        <v/>
      </c>
      <c r="D829">
        <f>AC96</f>
        <v/>
      </c>
      <c r="E829">
        <f>AE96</f>
        <v/>
      </c>
    </row>
    <row r="830">
      <c r="A830">
        <f>I97</f>
        <v/>
      </c>
      <c r="B830">
        <f>Y97</f>
        <v/>
      </c>
      <c r="C830">
        <f>AA97</f>
        <v/>
      </c>
      <c r="D830">
        <f>AC97</f>
        <v/>
      </c>
      <c r="E830">
        <f>AE97</f>
        <v/>
      </c>
    </row>
    <row r="831">
      <c r="A831">
        <f>I98</f>
        <v/>
      </c>
      <c r="B831">
        <f>Y98</f>
        <v/>
      </c>
      <c r="C831">
        <f>AA98</f>
        <v/>
      </c>
      <c r="D831">
        <f>AC98</f>
        <v/>
      </c>
      <c r="E831">
        <f>AE98</f>
        <v/>
      </c>
    </row>
    <row r="832">
      <c r="A832">
        <f>I99</f>
        <v/>
      </c>
      <c r="B832">
        <f>Y99</f>
        <v/>
      </c>
      <c r="C832">
        <f>AA99</f>
        <v/>
      </c>
      <c r="D832">
        <f>AC99</f>
        <v/>
      </c>
      <c r="E832">
        <f>AE99</f>
        <v/>
      </c>
    </row>
    <row r="833">
      <c r="A833">
        <f>I100</f>
        <v/>
      </c>
      <c r="B833">
        <f>Y100</f>
        <v/>
      </c>
      <c r="C833">
        <f>AA100</f>
        <v/>
      </c>
      <c r="D833">
        <f>AC100</f>
        <v/>
      </c>
      <c r="E833">
        <f>AE100</f>
        <v/>
      </c>
    </row>
    <row r="834">
      <c r="A834">
        <f>I101</f>
        <v/>
      </c>
      <c r="B834">
        <f>Y101</f>
        <v/>
      </c>
      <c r="C834">
        <f>AA101</f>
        <v/>
      </c>
      <c r="D834">
        <f>AC101</f>
        <v/>
      </c>
      <c r="E834">
        <f>AE101</f>
        <v/>
      </c>
    </row>
    <row r="835">
      <c r="A835">
        <f>I102</f>
        <v/>
      </c>
      <c r="B835">
        <f>Y102</f>
        <v/>
      </c>
      <c r="C835">
        <f>AA102</f>
        <v/>
      </c>
      <c r="D835">
        <f>AC102</f>
        <v/>
      </c>
      <c r="E835">
        <f>AE102</f>
        <v/>
      </c>
    </row>
    <row r="836">
      <c r="A836">
        <f>I103</f>
        <v/>
      </c>
      <c r="B836">
        <f>Y103</f>
        <v/>
      </c>
      <c r="C836">
        <f>AA103</f>
        <v/>
      </c>
      <c r="D836">
        <f>AC103</f>
        <v/>
      </c>
      <c r="E836">
        <f>AE103</f>
        <v/>
      </c>
    </row>
    <row r="837">
      <c r="A837">
        <f>I104</f>
        <v/>
      </c>
      <c r="B837">
        <f>Y104</f>
        <v/>
      </c>
      <c r="C837">
        <f>AA104</f>
        <v/>
      </c>
      <c r="D837">
        <f>AC104</f>
        <v/>
      </c>
      <c r="E837">
        <f>AE104</f>
        <v/>
      </c>
    </row>
    <row r="838">
      <c r="A838">
        <f>I105</f>
        <v/>
      </c>
      <c r="B838">
        <f>Y105</f>
        <v/>
      </c>
      <c r="C838">
        <f>AA105</f>
        <v/>
      </c>
      <c r="D838">
        <f>AC105</f>
        <v/>
      </c>
      <c r="E838">
        <f>AE105</f>
        <v/>
      </c>
    </row>
    <row r="839">
      <c r="A839">
        <f>I106</f>
        <v/>
      </c>
      <c r="B839">
        <f>Y106</f>
        <v/>
      </c>
      <c r="C839">
        <f>AA106</f>
        <v/>
      </c>
      <c r="D839">
        <f>AC106</f>
        <v/>
      </c>
      <c r="E839">
        <f>AE106</f>
        <v/>
      </c>
    </row>
    <row r="840">
      <c r="A840">
        <f>I107</f>
        <v/>
      </c>
      <c r="B840">
        <f>Y107</f>
        <v/>
      </c>
      <c r="C840">
        <f>AA107</f>
        <v/>
      </c>
      <c r="D840">
        <f>AC107</f>
        <v/>
      </c>
      <c r="E840">
        <f>AE107</f>
        <v/>
      </c>
    </row>
    <row r="841">
      <c r="A841">
        <f>I108</f>
        <v/>
      </c>
      <c r="B841">
        <f>Y108</f>
        <v/>
      </c>
      <c r="C841">
        <f>AA108</f>
        <v/>
      </c>
      <c r="D841">
        <f>AC108</f>
        <v/>
      </c>
      <c r="E841">
        <f>AE108</f>
        <v/>
      </c>
    </row>
    <row r="842">
      <c r="A842">
        <f>I109</f>
        <v/>
      </c>
      <c r="B842">
        <f>Y109</f>
        <v/>
      </c>
      <c r="C842">
        <f>AA109</f>
        <v/>
      </c>
      <c r="D842">
        <f>AC109</f>
        <v/>
      </c>
      <c r="E842">
        <f>AE109</f>
        <v/>
      </c>
    </row>
    <row r="843">
      <c r="A843">
        <f>I110</f>
        <v/>
      </c>
      <c r="B843">
        <f>Y110</f>
        <v/>
      </c>
      <c r="C843">
        <f>AA110</f>
        <v/>
      </c>
      <c r="D843">
        <f>AC110</f>
        <v/>
      </c>
      <c r="E843">
        <f>AE110</f>
        <v/>
      </c>
    </row>
    <row r="844">
      <c r="A844">
        <f>I111</f>
        <v/>
      </c>
      <c r="B844">
        <f>Y111</f>
        <v/>
      </c>
      <c r="C844">
        <f>AA111</f>
        <v/>
      </c>
      <c r="D844">
        <f>AC111</f>
        <v/>
      </c>
      <c r="E844">
        <f>AE111</f>
        <v/>
      </c>
    </row>
    <row r="845">
      <c r="A845">
        <f>I112</f>
        <v/>
      </c>
      <c r="B845">
        <f>Y112</f>
        <v/>
      </c>
      <c r="C845">
        <f>AA112</f>
        <v/>
      </c>
      <c r="D845">
        <f>AC112</f>
        <v/>
      </c>
      <c r="E845">
        <f>AE112</f>
        <v/>
      </c>
    </row>
    <row r="846">
      <c r="A846">
        <f>I113</f>
        <v/>
      </c>
      <c r="B846">
        <f>Y113</f>
        <v/>
      </c>
      <c r="C846">
        <f>AA113</f>
        <v/>
      </c>
      <c r="D846">
        <f>AC113</f>
        <v/>
      </c>
      <c r="E846">
        <f>AE113</f>
        <v/>
      </c>
    </row>
    <row r="847">
      <c r="A847">
        <f>I114</f>
        <v/>
      </c>
      <c r="B847">
        <f>Y114</f>
        <v/>
      </c>
      <c r="C847">
        <f>AA114</f>
        <v/>
      </c>
      <c r="D847">
        <f>AC114</f>
        <v/>
      </c>
      <c r="E847">
        <f>AE114</f>
        <v/>
      </c>
    </row>
    <row r="848">
      <c r="A848">
        <f>I115</f>
        <v/>
      </c>
      <c r="B848">
        <f>Y115</f>
        <v/>
      </c>
      <c r="C848">
        <f>AA115</f>
        <v/>
      </c>
      <c r="D848">
        <f>AC115</f>
        <v/>
      </c>
      <c r="E848">
        <f>AE115</f>
        <v/>
      </c>
    </row>
    <row r="849">
      <c r="A849">
        <f>I116</f>
        <v/>
      </c>
      <c r="B849">
        <f>Y116</f>
        <v/>
      </c>
      <c r="C849">
        <f>AA116</f>
        <v/>
      </c>
      <c r="D849">
        <f>AC116</f>
        <v/>
      </c>
      <c r="E849">
        <f>AE116</f>
        <v/>
      </c>
    </row>
    <row r="850">
      <c r="A850">
        <f>I117</f>
        <v/>
      </c>
      <c r="B850">
        <f>Y117</f>
        <v/>
      </c>
      <c r="C850">
        <f>AA117</f>
        <v/>
      </c>
      <c r="D850">
        <f>AC117</f>
        <v/>
      </c>
      <c r="E850">
        <f>AE117</f>
        <v/>
      </c>
    </row>
    <row r="851">
      <c r="A851">
        <f>I118</f>
        <v/>
      </c>
      <c r="B851">
        <f>Y118</f>
        <v/>
      </c>
      <c r="C851">
        <f>AA118</f>
        <v/>
      </c>
      <c r="D851">
        <f>AC118</f>
        <v/>
      </c>
      <c r="E851">
        <f>AE118</f>
        <v/>
      </c>
    </row>
    <row r="852">
      <c r="A852">
        <f>I119</f>
        <v/>
      </c>
      <c r="B852">
        <f>Y119</f>
        <v/>
      </c>
      <c r="C852">
        <f>AA119</f>
        <v/>
      </c>
      <c r="D852">
        <f>AC119</f>
        <v/>
      </c>
      <c r="E852">
        <f>AE119</f>
        <v/>
      </c>
    </row>
    <row r="853">
      <c r="A853">
        <f>I120</f>
        <v/>
      </c>
      <c r="B853">
        <f>Y120</f>
        <v/>
      </c>
      <c r="C853">
        <f>AA120</f>
        <v/>
      </c>
      <c r="D853">
        <f>AC120</f>
        <v/>
      </c>
      <c r="E853">
        <f>AE120</f>
        <v/>
      </c>
    </row>
    <row r="854">
      <c r="A854">
        <f>I121</f>
        <v/>
      </c>
      <c r="B854">
        <f>Y121</f>
        <v/>
      </c>
      <c r="C854">
        <f>AA121</f>
        <v/>
      </c>
      <c r="D854">
        <f>AC121</f>
        <v/>
      </c>
      <c r="E854">
        <f>AE121</f>
        <v/>
      </c>
    </row>
    <row r="855">
      <c r="A855">
        <f>I122</f>
        <v/>
      </c>
      <c r="B855">
        <f>Y122</f>
        <v/>
      </c>
      <c r="C855">
        <f>AA122</f>
        <v/>
      </c>
      <c r="D855">
        <f>AC122</f>
        <v/>
      </c>
      <c r="E855">
        <f>AE122</f>
        <v/>
      </c>
    </row>
    <row r="856">
      <c r="A856">
        <f>I123</f>
        <v/>
      </c>
      <c r="B856">
        <f>Y123</f>
        <v/>
      </c>
      <c r="C856">
        <f>AA123</f>
        <v/>
      </c>
      <c r="D856">
        <f>AC123</f>
        <v/>
      </c>
      <c r="E856">
        <f>AE123</f>
        <v/>
      </c>
    </row>
    <row r="857">
      <c r="A857">
        <f>I124</f>
        <v/>
      </c>
      <c r="B857">
        <f>Y124</f>
        <v/>
      </c>
      <c r="C857">
        <f>AA124</f>
        <v/>
      </c>
      <c r="D857">
        <f>AC124</f>
        <v/>
      </c>
      <c r="E857">
        <f>AE124</f>
        <v/>
      </c>
    </row>
    <row r="858">
      <c r="A858">
        <f>I125</f>
        <v/>
      </c>
      <c r="B858">
        <f>Y125</f>
        <v/>
      </c>
      <c r="C858">
        <f>AA125</f>
        <v/>
      </c>
      <c r="D858">
        <f>AC125</f>
        <v/>
      </c>
      <c r="E858">
        <f>AE125</f>
        <v/>
      </c>
    </row>
    <row r="859">
      <c r="A859">
        <f>I126</f>
        <v/>
      </c>
      <c r="B859">
        <f>Y126</f>
        <v/>
      </c>
      <c r="C859">
        <f>AA126</f>
        <v/>
      </c>
      <c r="D859">
        <f>AC126</f>
        <v/>
      </c>
      <c r="E859">
        <f>AE126</f>
        <v/>
      </c>
    </row>
    <row r="860">
      <c r="A860">
        <f>I127</f>
        <v/>
      </c>
      <c r="B860">
        <f>Y127</f>
        <v/>
      </c>
      <c r="C860">
        <f>AA127</f>
        <v/>
      </c>
      <c r="D860">
        <f>AC127</f>
        <v/>
      </c>
      <c r="E860">
        <f>AE127</f>
        <v/>
      </c>
    </row>
    <row r="861">
      <c r="A861">
        <f>I128</f>
        <v/>
      </c>
      <c r="B861">
        <f>Y128</f>
        <v/>
      </c>
      <c r="C861">
        <f>AA128</f>
        <v/>
      </c>
      <c r="D861">
        <f>AC128</f>
        <v/>
      </c>
      <c r="E861">
        <f>AE128</f>
        <v/>
      </c>
    </row>
    <row r="862">
      <c r="A862">
        <f>I129</f>
        <v/>
      </c>
      <c r="B862">
        <f>Y129</f>
        <v/>
      </c>
      <c r="C862">
        <f>AA129</f>
        <v/>
      </c>
      <c r="D862">
        <f>AC129</f>
        <v/>
      </c>
      <c r="E862">
        <f>AE129</f>
        <v/>
      </c>
    </row>
    <row r="863">
      <c r="A863">
        <f>I130</f>
        <v/>
      </c>
      <c r="B863">
        <f>Y130</f>
        <v/>
      </c>
      <c r="C863">
        <f>AA130</f>
        <v/>
      </c>
      <c r="D863">
        <f>AC130</f>
        <v/>
      </c>
      <c r="E863">
        <f>AE130</f>
        <v/>
      </c>
    </row>
    <row r="864">
      <c r="A864">
        <f>I131</f>
        <v/>
      </c>
      <c r="B864">
        <f>Y131</f>
        <v/>
      </c>
      <c r="C864">
        <f>AA131</f>
        <v/>
      </c>
      <c r="D864">
        <f>AC131</f>
        <v/>
      </c>
      <c r="E864">
        <f>AE131</f>
        <v/>
      </c>
    </row>
    <row r="865">
      <c r="A865">
        <f>I132</f>
        <v/>
      </c>
      <c r="B865">
        <f>Y132</f>
        <v/>
      </c>
      <c r="C865">
        <f>AA132</f>
        <v/>
      </c>
      <c r="D865">
        <f>AC132</f>
        <v/>
      </c>
      <c r="E865">
        <f>AE132</f>
        <v/>
      </c>
    </row>
    <row r="866">
      <c r="A866">
        <f>I133</f>
        <v/>
      </c>
      <c r="B866">
        <f>Y133</f>
        <v/>
      </c>
      <c r="C866">
        <f>AA133</f>
        <v/>
      </c>
      <c r="D866">
        <f>AC133</f>
        <v/>
      </c>
      <c r="E866">
        <f>AE133</f>
        <v/>
      </c>
    </row>
    <row r="867">
      <c r="A867">
        <f>I134</f>
        <v/>
      </c>
      <c r="B867">
        <f>Y134</f>
        <v/>
      </c>
      <c r="C867">
        <f>AA134</f>
        <v/>
      </c>
      <c r="D867">
        <f>AC134</f>
        <v/>
      </c>
      <c r="E867">
        <f>AE134</f>
        <v/>
      </c>
    </row>
    <row r="868">
      <c r="A868">
        <f>I135</f>
        <v/>
      </c>
      <c r="B868">
        <f>Y135</f>
        <v/>
      </c>
      <c r="C868">
        <f>AA135</f>
        <v/>
      </c>
      <c r="D868">
        <f>AC135</f>
        <v/>
      </c>
      <c r="E868">
        <f>AE135</f>
        <v/>
      </c>
    </row>
    <row r="869">
      <c r="A869">
        <f>I136</f>
        <v/>
      </c>
      <c r="B869">
        <f>Y136</f>
        <v/>
      </c>
      <c r="C869">
        <f>AA136</f>
        <v/>
      </c>
      <c r="D869">
        <f>AC136</f>
        <v/>
      </c>
      <c r="E869">
        <f>AE136</f>
        <v/>
      </c>
    </row>
    <row r="870">
      <c r="A870">
        <f>I137</f>
        <v/>
      </c>
      <c r="B870">
        <f>Y137</f>
        <v/>
      </c>
      <c r="C870">
        <f>AA137</f>
        <v/>
      </c>
      <c r="D870">
        <f>AC137</f>
        <v/>
      </c>
      <c r="E870">
        <f>AE137</f>
        <v/>
      </c>
    </row>
    <row r="871">
      <c r="A871">
        <f>I138</f>
        <v/>
      </c>
      <c r="B871">
        <f>Y138</f>
        <v/>
      </c>
      <c r="C871">
        <f>AA138</f>
        <v/>
      </c>
      <c r="D871">
        <f>AC138</f>
        <v/>
      </c>
      <c r="E871">
        <f>AE138</f>
        <v/>
      </c>
    </row>
    <row r="872">
      <c r="A872">
        <f>I139</f>
        <v/>
      </c>
      <c r="B872">
        <f>Y139</f>
        <v/>
      </c>
      <c r="C872">
        <f>AA139</f>
        <v/>
      </c>
      <c r="D872">
        <f>AC139</f>
        <v/>
      </c>
      <c r="E872">
        <f>AE139</f>
        <v/>
      </c>
    </row>
    <row r="873">
      <c r="A873">
        <f>I140</f>
        <v/>
      </c>
      <c r="B873">
        <f>Y140</f>
        <v/>
      </c>
      <c r="C873">
        <f>AA140</f>
        <v/>
      </c>
      <c r="D873">
        <f>AC140</f>
        <v/>
      </c>
      <c r="E873">
        <f>AE140</f>
        <v/>
      </c>
    </row>
    <row r="874">
      <c r="A874">
        <f>I141</f>
        <v/>
      </c>
      <c r="B874">
        <f>Y141</f>
        <v/>
      </c>
      <c r="C874">
        <f>AA141</f>
        <v/>
      </c>
      <c r="D874">
        <f>AC141</f>
        <v/>
      </c>
      <c r="E874">
        <f>AE141</f>
        <v/>
      </c>
    </row>
    <row r="875">
      <c r="A875">
        <f>I142</f>
        <v/>
      </c>
      <c r="B875">
        <f>Y142</f>
        <v/>
      </c>
      <c r="C875">
        <f>AA142</f>
        <v/>
      </c>
      <c r="D875">
        <f>AC142</f>
        <v/>
      </c>
      <c r="E875">
        <f>AE142</f>
        <v/>
      </c>
    </row>
    <row r="876">
      <c r="A876">
        <f>I143</f>
        <v/>
      </c>
      <c r="B876">
        <f>Y143</f>
        <v/>
      </c>
      <c r="C876">
        <f>AA143</f>
        <v/>
      </c>
      <c r="D876">
        <f>AC143</f>
        <v/>
      </c>
      <c r="E876">
        <f>AE143</f>
        <v/>
      </c>
    </row>
    <row r="877">
      <c r="A877">
        <f>I144</f>
        <v/>
      </c>
      <c r="B877">
        <f>Y144</f>
        <v/>
      </c>
      <c r="C877">
        <f>AA144</f>
        <v/>
      </c>
      <c r="D877">
        <f>AC144</f>
        <v/>
      </c>
      <c r="E877">
        <f>AE144</f>
        <v/>
      </c>
    </row>
    <row r="878">
      <c r="A878">
        <f>I145</f>
        <v/>
      </c>
      <c r="B878">
        <f>Y145</f>
        <v/>
      </c>
      <c r="C878">
        <f>AA145</f>
        <v/>
      </c>
      <c r="D878">
        <f>AC145</f>
        <v/>
      </c>
      <c r="E878">
        <f>AE145</f>
        <v/>
      </c>
    </row>
    <row r="879">
      <c r="A879">
        <f>I146</f>
        <v/>
      </c>
      <c r="B879">
        <f>Y146</f>
        <v/>
      </c>
      <c r="C879">
        <f>AA146</f>
        <v/>
      </c>
      <c r="D879">
        <f>AC146</f>
        <v/>
      </c>
      <c r="E879">
        <f>AE146</f>
        <v/>
      </c>
    </row>
    <row r="880">
      <c r="A880">
        <f>I147</f>
        <v/>
      </c>
      <c r="B880">
        <f>Y147</f>
        <v/>
      </c>
      <c r="C880">
        <f>AA147</f>
        <v/>
      </c>
      <c r="D880">
        <f>AC147</f>
        <v/>
      </c>
      <c r="E880">
        <f>AE147</f>
        <v/>
      </c>
    </row>
    <row r="881">
      <c r="A881">
        <f>I148</f>
        <v/>
      </c>
      <c r="B881">
        <f>Y148</f>
        <v/>
      </c>
      <c r="C881">
        <f>AA148</f>
        <v/>
      </c>
      <c r="D881">
        <f>AC148</f>
        <v/>
      </c>
      <c r="E881">
        <f>AE148</f>
        <v/>
      </c>
    </row>
    <row r="882">
      <c r="A882">
        <f>I149</f>
        <v/>
      </c>
      <c r="B882">
        <f>Y149</f>
        <v/>
      </c>
      <c r="C882">
        <f>AA149</f>
        <v/>
      </c>
      <c r="D882">
        <f>AC149</f>
        <v/>
      </c>
      <c r="E882">
        <f>AE149</f>
        <v/>
      </c>
    </row>
    <row r="883">
      <c r="A883">
        <f>I150</f>
        <v/>
      </c>
      <c r="B883">
        <f>Y150</f>
        <v/>
      </c>
      <c r="C883">
        <f>AA150</f>
        <v/>
      </c>
      <c r="D883">
        <f>AC150</f>
        <v/>
      </c>
      <c r="E883">
        <f>AE150</f>
        <v/>
      </c>
    </row>
    <row r="884">
      <c r="A884">
        <f>I151</f>
        <v/>
      </c>
      <c r="B884">
        <f>Y151</f>
        <v/>
      </c>
      <c r="C884">
        <f>AA151</f>
        <v/>
      </c>
      <c r="D884">
        <f>AC151</f>
        <v/>
      </c>
      <c r="E884">
        <f>AE151</f>
        <v/>
      </c>
    </row>
    <row r="885">
      <c r="A885">
        <f>I152</f>
        <v/>
      </c>
      <c r="B885">
        <f>Y152</f>
        <v/>
      </c>
      <c r="C885">
        <f>AA152</f>
        <v/>
      </c>
      <c r="D885">
        <f>AC152</f>
        <v/>
      </c>
      <c r="E885">
        <f>AE152</f>
        <v/>
      </c>
    </row>
    <row r="886">
      <c r="A886">
        <f>I153</f>
        <v/>
      </c>
      <c r="B886">
        <f>Y153</f>
        <v/>
      </c>
      <c r="C886">
        <f>AA153</f>
        <v/>
      </c>
      <c r="D886">
        <f>AC153</f>
        <v/>
      </c>
      <c r="E886">
        <f>AE153</f>
        <v/>
      </c>
    </row>
    <row r="887">
      <c r="A887">
        <f>I154</f>
        <v/>
      </c>
      <c r="B887">
        <f>Y154</f>
        <v/>
      </c>
      <c r="C887">
        <f>AA154</f>
        <v/>
      </c>
      <c r="D887">
        <f>AC154</f>
        <v/>
      </c>
      <c r="E887">
        <f>AE154</f>
        <v/>
      </c>
    </row>
    <row r="888">
      <c r="A888">
        <f>I155</f>
        <v/>
      </c>
      <c r="B888">
        <f>Y155</f>
        <v/>
      </c>
      <c r="C888">
        <f>AA155</f>
        <v/>
      </c>
      <c r="D888">
        <f>AC155</f>
        <v/>
      </c>
      <c r="E888">
        <f>AE155</f>
        <v/>
      </c>
    </row>
    <row r="889">
      <c r="A889">
        <f>I156</f>
        <v/>
      </c>
      <c r="B889">
        <f>Y156</f>
        <v/>
      </c>
      <c r="C889">
        <f>AA156</f>
        <v/>
      </c>
      <c r="D889">
        <f>AC156</f>
        <v/>
      </c>
      <c r="E889">
        <f>AE156</f>
        <v/>
      </c>
    </row>
    <row r="890">
      <c r="A890">
        <f>I157</f>
        <v/>
      </c>
      <c r="B890">
        <f>Y157</f>
        <v/>
      </c>
      <c r="C890">
        <f>AA157</f>
        <v/>
      </c>
      <c r="D890">
        <f>AC157</f>
        <v/>
      </c>
      <c r="E890">
        <f>AE157</f>
        <v/>
      </c>
    </row>
    <row r="891">
      <c r="A891">
        <f>I158</f>
        <v/>
      </c>
      <c r="B891">
        <f>Y158</f>
        <v/>
      </c>
      <c r="C891">
        <f>AA158</f>
        <v/>
      </c>
      <c r="D891">
        <f>AC158</f>
        <v/>
      </c>
      <c r="E891">
        <f>AE158</f>
        <v/>
      </c>
    </row>
    <row r="892">
      <c r="A892">
        <f>I159</f>
        <v/>
      </c>
      <c r="B892">
        <f>Y159</f>
        <v/>
      </c>
      <c r="C892">
        <f>AA159</f>
        <v/>
      </c>
      <c r="D892">
        <f>AC159</f>
        <v/>
      </c>
      <c r="E892">
        <f>AE159</f>
        <v/>
      </c>
    </row>
    <row r="893">
      <c r="A893">
        <f>I160</f>
        <v/>
      </c>
      <c r="B893">
        <f>Y160</f>
        <v/>
      </c>
      <c r="C893">
        <f>AA160</f>
        <v/>
      </c>
      <c r="D893">
        <f>AC160</f>
        <v/>
      </c>
      <c r="E893">
        <f>AE160</f>
        <v/>
      </c>
    </row>
    <row r="894">
      <c r="A894">
        <f>I161</f>
        <v/>
      </c>
      <c r="B894">
        <f>Y161</f>
        <v/>
      </c>
      <c r="C894">
        <f>AA161</f>
        <v/>
      </c>
      <c r="D894">
        <f>AC161</f>
        <v/>
      </c>
      <c r="E894">
        <f>AE161</f>
        <v/>
      </c>
    </row>
    <row r="895">
      <c r="A895">
        <f>I162</f>
        <v/>
      </c>
      <c r="B895">
        <f>Y162</f>
        <v/>
      </c>
      <c r="C895">
        <f>AA162</f>
        <v/>
      </c>
      <c r="D895">
        <f>AC162</f>
        <v/>
      </c>
      <c r="E895">
        <f>AE162</f>
        <v/>
      </c>
    </row>
    <row r="896">
      <c r="A896">
        <f>I163</f>
        <v/>
      </c>
      <c r="B896">
        <f>Y163</f>
        <v/>
      </c>
      <c r="C896">
        <f>AA163</f>
        <v/>
      </c>
      <c r="D896">
        <f>AC163</f>
        <v/>
      </c>
      <c r="E896">
        <f>AE163</f>
        <v/>
      </c>
    </row>
    <row r="897">
      <c r="A897">
        <f>I164</f>
        <v/>
      </c>
      <c r="B897">
        <f>Y164</f>
        <v/>
      </c>
      <c r="C897">
        <f>AA164</f>
        <v/>
      </c>
      <c r="D897">
        <f>AC164</f>
        <v/>
      </c>
      <c r="E897">
        <f>AE164</f>
        <v/>
      </c>
    </row>
    <row r="898">
      <c r="A898">
        <f>I165</f>
        <v/>
      </c>
      <c r="B898">
        <f>Y165</f>
        <v/>
      </c>
      <c r="C898">
        <f>AA165</f>
        <v/>
      </c>
      <c r="D898">
        <f>AC165</f>
        <v/>
      </c>
      <c r="E898">
        <f>AE165</f>
        <v/>
      </c>
    </row>
    <row r="899">
      <c r="A899">
        <f>I166</f>
        <v/>
      </c>
      <c r="B899">
        <f>Y166</f>
        <v/>
      </c>
      <c r="C899">
        <f>AA166</f>
        <v/>
      </c>
      <c r="D899">
        <f>AC166</f>
        <v/>
      </c>
      <c r="E899">
        <f>AE166</f>
        <v/>
      </c>
    </row>
    <row r="900">
      <c r="A900">
        <f>I167</f>
        <v/>
      </c>
      <c r="B900">
        <f>Y167</f>
        <v/>
      </c>
      <c r="C900">
        <f>AA167</f>
        <v/>
      </c>
      <c r="D900">
        <f>AC167</f>
        <v/>
      </c>
      <c r="E900">
        <f>AE167</f>
        <v/>
      </c>
    </row>
    <row r="901">
      <c r="A901">
        <f>I168</f>
        <v/>
      </c>
      <c r="B901">
        <f>Y168</f>
        <v/>
      </c>
      <c r="C901">
        <f>AA168</f>
        <v/>
      </c>
      <c r="D901">
        <f>AC168</f>
        <v/>
      </c>
      <c r="E901">
        <f>AE168</f>
        <v/>
      </c>
    </row>
    <row r="902">
      <c r="A902">
        <f>I169</f>
        <v/>
      </c>
      <c r="B902">
        <f>Y169</f>
        <v/>
      </c>
      <c r="C902">
        <f>AA169</f>
        <v/>
      </c>
      <c r="D902">
        <f>AC169</f>
        <v/>
      </c>
      <c r="E902">
        <f>AE169</f>
        <v/>
      </c>
    </row>
    <row r="903">
      <c r="A903">
        <f>I170</f>
        <v/>
      </c>
      <c r="B903">
        <f>Y170</f>
        <v/>
      </c>
      <c r="C903">
        <f>AA170</f>
        <v/>
      </c>
      <c r="D903">
        <f>AC170</f>
        <v/>
      </c>
      <c r="E903">
        <f>AE170</f>
        <v/>
      </c>
    </row>
    <row r="904">
      <c r="A904">
        <f>I171</f>
        <v/>
      </c>
      <c r="B904">
        <f>Y171</f>
        <v/>
      </c>
      <c r="C904">
        <f>AA171</f>
        <v/>
      </c>
      <c r="D904">
        <f>AC171</f>
        <v/>
      </c>
      <c r="E904">
        <f>AE171</f>
        <v/>
      </c>
    </row>
    <row r="905">
      <c r="A905">
        <f>I172</f>
        <v/>
      </c>
      <c r="B905">
        <f>Y172</f>
        <v/>
      </c>
      <c r="C905">
        <f>AA172</f>
        <v/>
      </c>
      <c r="D905">
        <f>AC172</f>
        <v/>
      </c>
      <c r="E905">
        <f>AE172</f>
        <v/>
      </c>
    </row>
    <row r="906">
      <c r="A906">
        <f>I173</f>
        <v/>
      </c>
      <c r="B906">
        <f>Y173</f>
        <v/>
      </c>
      <c r="C906">
        <f>AA173</f>
        <v/>
      </c>
      <c r="D906">
        <f>AC173</f>
        <v/>
      </c>
      <c r="E906">
        <f>AE173</f>
        <v/>
      </c>
    </row>
    <row r="907">
      <c r="A907">
        <f>I174</f>
        <v/>
      </c>
      <c r="B907">
        <f>Y174</f>
        <v/>
      </c>
      <c r="C907">
        <f>AA174</f>
        <v/>
      </c>
      <c r="D907">
        <f>AC174</f>
        <v/>
      </c>
      <c r="E907">
        <f>AE174</f>
        <v/>
      </c>
    </row>
    <row r="908">
      <c r="A908">
        <f>I175</f>
        <v/>
      </c>
      <c r="B908">
        <f>Y175</f>
        <v/>
      </c>
      <c r="C908">
        <f>AA175</f>
        <v/>
      </c>
      <c r="D908">
        <f>AC175</f>
        <v/>
      </c>
      <c r="E908">
        <f>AE175</f>
        <v/>
      </c>
    </row>
    <row r="909">
      <c r="A909">
        <f>I176</f>
        <v/>
      </c>
      <c r="B909">
        <f>Y176</f>
        <v/>
      </c>
      <c r="C909">
        <f>AA176</f>
        <v/>
      </c>
      <c r="D909">
        <f>AC176</f>
        <v/>
      </c>
      <c r="E909">
        <f>AE176</f>
        <v/>
      </c>
    </row>
    <row r="910">
      <c r="A910">
        <f>I177</f>
        <v/>
      </c>
      <c r="B910">
        <f>Y177</f>
        <v/>
      </c>
      <c r="C910">
        <f>AA177</f>
        <v/>
      </c>
      <c r="D910">
        <f>AC177</f>
        <v/>
      </c>
      <c r="E910">
        <f>AE177</f>
        <v/>
      </c>
    </row>
    <row r="911">
      <c r="A911">
        <f>I178</f>
        <v/>
      </c>
      <c r="B911">
        <f>Y178</f>
        <v/>
      </c>
      <c r="C911">
        <f>AA178</f>
        <v/>
      </c>
      <c r="D911">
        <f>AC178</f>
        <v/>
      </c>
      <c r="E911">
        <f>AE178</f>
        <v/>
      </c>
    </row>
    <row r="912">
      <c r="A912">
        <f>I179</f>
        <v/>
      </c>
      <c r="B912">
        <f>Y179</f>
        <v/>
      </c>
      <c r="C912">
        <f>AA179</f>
        <v/>
      </c>
      <c r="D912">
        <f>AC179</f>
        <v/>
      </c>
      <c r="E912">
        <f>AE179</f>
        <v/>
      </c>
    </row>
    <row r="913">
      <c r="A913">
        <f>I180</f>
        <v/>
      </c>
      <c r="B913">
        <f>Y180</f>
        <v/>
      </c>
      <c r="C913">
        <f>AA180</f>
        <v/>
      </c>
      <c r="D913">
        <f>AC180</f>
        <v/>
      </c>
      <c r="E913">
        <f>AE180</f>
        <v/>
      </c>
    </row>
    <row r="914">
      <c r="A914">
        <f>I181</f>
        <v/>
      </c>
      <c r="B914">
        <f>Y181</f>
        <v/>
      </c>
      <c r="C914">
        <f>AA181</f>
        <v/>
      </c>
      <c r="D914">
        <f>AC181</f>
        <v/>
      </c>
      <c r="E914">
        <f>AE181</f>
        <v/>
      </c>
    </row>
    <row r="915">
      <c r="A915">
        <f>I182</f>
        <v/>
      </c>
      <c r="B915">
        <f>Y182</f>
        <v/>
      </c>
      <c r="C915">
        <f>AA182</f>
        <v/>
      </c>
      <c r="D915">
        <f>AC182</f>
        <v/>
      </c>
      <c r="E915">
        <f>AE182</f>
        <v/>
      </c>
    </row>
    <row r="916">
      <c r="A916">
        <f>I183</f>
        <v/>
      </c>
      <c r="B916">
        <f>Y183</f>
        <v/>
      </c>
      <c r="C916">
        <f>AA183</f>
        <v/>
      </c>
      <c r="D916">
        <f>AC183</f>
        <v/>
      </c>
      <c r="E916">
        <f>AE183</f>
        <v/>
      </c>
    </row>
    <row r="917">
      <c r="A917">
        <f>I184</f>
        <v/>
      </c>
      <c r="B917">
        <f>Y184</f>
        <v/>
      </c>
      <c r="C917">
        <f>AA184</f>
        <v/>
      </c>
      <c r="D917">
        <f>AC184</f>
        <v/>
      </c>
      <c r="E917">
        <f>AE184</f>
        <v/>
      </c>
    </row>
    <row r="918">
      <c r="A918">
        <f>I185</f>
        <v/>
      </c>
      <c r="B918">
        <f>Y185</f>
        <v/>
      </c>
      <c r="C918">
        <f>AA185</f>
        <v/>
      </c>
      <c r="D918">
        <f>AC185</f>
        <v/>
      </c>
      <c r="E918">
        <f>AE185</f>
        <v/>
      </c>
    </row>
    <row r="919">
      <c r="A919">
        <f>I186</f>
        <v/>
      </c>
      <c r="B919">
        <f>Y186</f>
        <v/>
      </c>
      <c r="C919">
        <f>AA186</f>
        <v/>
      </c>
      <c r="D919">
        <f>AC186</f>
        <v/>
      </c>
      <c r="E919">
        <f>AE186</f>
        <v/>
      </c>
    </row>
    <row r="920">
      <c r="A920">
        <f>I187</f>
        <v/>
      </c>
      <c r="B920">
        <f>Y187</f>
        <v/>
      </c>
      <c r="C920">
        <f>AA187</f>
        <v/>
      </c>
      <c r="D920">
        <f>AC187</f>
        <v/>
      </c>
      <c r="E920">
        <f>AE187</f>
        <v/>
      </c>
    </row>
    <row r="921">
      <c r="A921">
        <f>I188</f>
        <v/>
      </c>
      <c r="B921">
        <f>Y188</f>
        <v/>
      </c>
      <c r="C921">
        <f>AA188</f>
        <v/>
      </c>
      <c r="D921">
        <f>AC188</f>
        <v/>
      </c>
      <c r="E921">
        <f>AE188</f>
        <v/>
      </c>
    </row>
    <row r="922">
      <c r="A922">
        <f>I189</f>
        <v/>
      </c>
      <c r="B922">
        <f>Y189</f>
        <v/>
      </c>
      <c r="C922">
        <f>AA189</f>
        <v/>
      </c>
      <c r="D922">
        <f>AC189</f>
        <v/>
      </c>
      <c r="E922">
        <f>AE189</f>
        <v/>
      </c>
    </row>
    <row r="923">
      <c r="A923">
        <f>I190</f>
        <v/>
      </c>
      <c r="B923">
        <f>Y190</f>
        <v/>
      </c>
      <c r="C923">
        <f>AA190</f>
        <v/>
      </c>
      <c r="D923">
        <f>AC190</f>
        <v/>
      </c>
      <c r="E923">
        <f>AE190</f>
        <v/>
      </c>
    </row>
    <row r="924">
      <c r="A924">
        <f>I191</f>
        <v/>
      </c>
      <c r="B924">
        <f>Y191</f>
        <v/>
      </c>
      <c r="C924">
        <f>AA191</f>
        <v/>
      </c>
      <c r="D924">
        <f>AC191</f>
        <v/>
      </c>
      <c r="E924">
        <f>AE191</f>
        <v/>
      </c>
    </row>
    <row r="925">
      <c r="A925">
        <f>I192</f>
        <v/>
      </c>
      <c r="B925">
        <f>Y192</f>
        <v/>
      </c>
      <c r="C925">
        <f>AA192</f>
        <v/>
      </c>
      <c r="D925">
        <f>AC192</f>
        <v/>
      </c>
      <c r="E925">
        <f>AE192</f>
        <v/>
      </c>
    </row>
    <row r="926">
      <c r="A926">
        <f>I193</f>
        <v/>
      </c>
      <c r="B926">
        <f>Y193</f>
        <v/>
      </c>
      <c r="C926">
        <f>AA193</f>
        <v/>
      </c>
      <c r="D926">
        <f>AC193</f>
        <v/>
      </c>
      <c r="E926">
        <f>AE193</f>
        <v/>
      </c>
    </row>
    <row r="927">
      <c r="A927">
        <f>I194</f>
        <v/>
      </c>
      <c r="B927">
        <f>Y194</f>
        <v/>
      </c>
      <c r="C927">
        <f>AA194</f>
        <v/>
      </c>
      <c r="D927">
        <f>AC194</f>
        <v/>
      </c>
      <c r="E927">
        <f>AE194</f>
        <v/>
      </c>
    </row>
    <row r="928">
      <c r="A928">
        <f>I195</f>
        <v/>
      </c>
      <c r="B928">
        <f>Y195</f>
        <v/>
      </c>
      <c r="C928">
        <f>AA195</f>
        <v/>
      </c>
      <c r="D928">
        <f>AC195</f>
        <v/>
      </c>
      <c r="E928">
        <f>AE195</f>
        <v/>
      </c>
    </row>
    <row r="929">
      <c r="A929">
        <f>I196</f>
        <v/>
      </c>
      <c r="B929">
        <f>Y196</f>
        <v/>
      </c>
      <c r="C929">
        <f>AA196</f>
        <v/>
      </c>
      <c r="D929">
        <f>AC196</f>
        <v/>
      </c>
      <c r="E929">
        <f>AE196</f>
        <v/>
      </c>
    </row>
    <row r="930">
      <c r="A930">
        <f>I197</f>
        <v/>
      </c>
      <c r="B930">
        <f>Y197</f>
        <v/>
      </c>
      <c r="C930">
        <f>AA197</f>
        <v/>
      </c>
      <c r="D930">
        <f>AC197</f>
        <v/>
      </c>
      <c r="E930">
        <f>AE197</f>
        <v/>
      </c>
    </row>
    <row r="931">
      <c r="A931">
        <f>I198</f>
        <v/>
      </c>
      <c r="B931">
        <f>Y198</f>
        <v/>
      </c>
      <c r="C931">
        <f>AA198</f>
        <v/>
      </c>
      <c r="D931">
        <f>AC198</f>
        <v/>
      </c>
      <c r="E931">
        <f>AE198</f>
        <v/>
      </c>
    </row>
    <row r="932">
      <c r="A932">
        <f>I199</f>
        <v/>
      </c>
      <c r="B932">
        <f>Y199</f>
        <v/>
      </c>
      <c r="C932">
        <f>AA199</f>
        <v/>
      </c>
      <c r="D932">
        <f>AC199</f>
        <v/>
      </c>
      <c r="E932">
        <f>AE199</f>
        <v/>
      </c>
    </row>
    <row r="933">
      <c r="A933">
        <f>I200</f>
        <v/>
      </c>
      <c r="B933">
        <f>Y200</f>
        <v/>
      </c>
      <c r="C933">
        <f>AA200</f>
        <v/>
      </c>
      <c r="D933">
        <f>AC200</f>
        <v/>
      </c>
      <c r="E933">
        <f>AE200</f>
        <v/>
      </c>
    </row>
    <row r="934">
      <c r="A934">
        <f>I201</f>
        <v/>
      </c>
      <c r="B934">
        <f>Y201</f>
        <v/>
      </c>
      <c r="C934">
        <f>AA201</f>
        <v/>
      </c>
      <c r="D934">
        <f>AC201</f>
        <v/>
      </c>
      <c r="E934">
        <f>AE201</f>
        <v/>
      </c>
    </row>
    <row r="935">
      <c r="A935">
        <f>I202</f>
        <v/>
      </c>
      <c r="B935">
        <f>Y202</f>
        <v/>
      </c>
      <c r="C935">
        <f>AA202</f>
        <v/>
      </c>
      <c r="D935">
        <f>AC202</f>
        <v/>
      </c>
      <c r="E935">
        <f>AE202</f>
        <v/>
      </c>
    </row>
    <row r="936">
      <c r="A936">
        <f>I203</f>
        <v/>
      </c>
      <c r="B936">
        <f>Y203</f>
        <v/>
      </c>
      <c r="C936">
        <f>AA203</f>
        <v/>
      </c>
      <c r="D936">
        <f>AC203</f>
        <v/>
      </c>
      <c r="E936">
        <f>AE203</f>
        <v/>
      </c>
    </row>
    <row r="937">
      <c r="A937">
        <f>I204</f>
        <v/>
      </c>
      <c r="B937">
        <f>Y204</f>
        <v/>
      </c>
      <c r="C937">
        <f>AA204</f>
        <v/>
      </c>
      <c r="D937">
        <f>AC204</f>
        <v/>
      </c>
      <c r="E937">
        <f>AE204</f>
        <v/>
      </c>
    </row>
    <row r="938">
      <c r="A938">
        <f>I205</f>
        <v/>
      </c>
      <c r="B938">
        <f>Y205</f>
        <v/>
      </c>
      <c r="C938">
        <f>AA205</f>
        <v/>
      </c>
      <c r="D938">
        <f>AC205</f>
        <v/>
      </c>
      <c r="E938">
        <f>AE205</f>
        <v/>
      </c>
    </row>
    <row r="939">
      <c r="A939">
        <f>I206</f>
        <v/>
      </c>
      <c r="B939">
        <f>Y206</f>
        <v/>
      </c>
      <c r="C939">
        <f>AA206</f>
        <v/>
      </c>
      <c r="D939">
        <f>AC206</f>
        <v/>
      </c>
      <c r="E939">
        <f>AE206</f>
        <v/>
      </c>
    </row>
    <row r="940">
      <c r="A940">
        <f>I207</f>
        <v/>
      </c>
      <c r="B940">
        <f>Y207</f>
        <v/>
      </c>
      <c r="C940">
        <f>AA207</f>
        <v/>
      </c>
      <c r="D940">
        <f>AC207</f>
        <v/>
      </c>
      <c r="E940">
        <f>AE207</f>
        <v/>
      </c>
    </row>
    <row r="941">
      <c r="A941">
        <f>I208</f>
        <v/>
      </c>
      <c r="B941">
        <f>Y208</f>
        <v/>
      </c>
      <c r="C941">
        <f>AA208</f>
        <v/>
      </c>
      <c r="D941">
        <f>AC208</f>
        <v/>
      </c>
      <c r="E941">
        <f>AE208</f>
        <v/>
      </c>
    </row>
    <row r="942">
      <c r="A942">
        <f>I209</f>
        <v/>
      </c>
      <c r="B942">
        <f>Y209</f>
        <v/>
      </c>
      <c r="C942">
        <f>AA209</f>
        <v/>
      </c>
      <c r="D942">
        <f>AC209</f>
        <v/>
      </c>
      <c r="E942">
        <f>AE209</f>
        <v/>
      </c>
    </row>
    <row r="943">
      <c r="A943">
        <f>I210</f>
        <v/>
      </c>
      <c r="B943">
        <f>Y210</f>
        <v/>
      </c>
      <c r="C943">
        <f>AA210</f>
        <v/>
      </c>
      <c r="D943">
        <f>AC210</f>
        <v/>
      </c>
      <c r="E943">
        <f>AE210</f>
        <v/>
      </c>
    </row>
    <row r="944">
      <c r="A944">
        <f>I211</f>
        <v/>
      </c>
      <c r="B944">
        <f>Y211</f>
        <v/>
      </c>
      <c r="C944">
        <f>AA211</f>
        <v/>
      </c>
      <c r="D944">
        <f>AC211</f>
        <v/>
      </c>
      <c r="E944">
        <f>AE211</f>
        <v/>
      </c>
    </row>
    <row r="945">
      <c r="A945">
        <f>I212</f>
        <v/>
      </c>
      <c r="B945">
        <f>Y212</f>
        <v/>
      </c>
      <c r="C945">
        <f>AA212</f>
        <v/>
      </c>
      <c r="D945">
        <f>AC212</f>
        <v/>
      </c>
      <c r="E945">
        <f>AE212</f>
        <v/>
      </c>
    </row>
    <row r="946">
      <c r="A946">
        <f>I213</f>
        <v/>
      </c>
      <c r="B946">
        <f>Y213</f>
        <v/>
      </c>
      <c r="C946">
        <f>AA213</f>
        <v/>
      </c>
      <c r="D946">
        <f>AC213</f>
        <v/>
      </c>
      <c r="E946">
        <f>AE213</f>
        <v/>
      </c>
    </row>
    <row r="947">
      <c r="A947">
        <f>I214</f>
        <v/>
      </c>
      <c r="B947">
        <f>Y214</f>
        <v/>
      </c>
      <c r="C947">
        <f>AA214</f>
        <v/>
      </c>
      <c r="D947">
        <f>AC214</f>
        <v/>
      </c>
      <c r="E947">
        <f>AE214</f>
        <v/>
      </c>
    </row>
    <row r="948">
      <c r="A948">
        <f>I215</f>
        <v/>
      </c>
      <c r="B948">
        <f>Y215</f>
        <v/>
      </c>
      <c r="C948">
        <f>AA215</f>
        <v/>
      </c>
      <c r="D948">
        <f>AC215</f>
        <v/>
      </c>
      <c r="E948">
        <f>AE215</f>
        <v/>
      </c>
    </row>
    <row r="949">
      <c r="A949">
        <f>I216</f>
        <v/>
      </c>
      <c r="B949">
        <f>Y216</f>
        <v/>
      </c>
      <c r="C949">
        <f>AA216</f>
        <v/>
      </c>
      <c r="D949">
        <f>AC216</f>
        <v/>
      </c>
      <c r="E949">
        <f>AE216</f>
        <v/>
      </c>
    </row>
    <row r="950">
      <c r="A950">
        <f>I217</f>
        <v/>
      </c>
      <c r="B950">
        <f>Y217</f>
        <v/>
      </c>
      <c r="C950">
        <f>AA217</f>
        <v/>
      </c>
      <c r="D950">
        <f>AC217</f>
        <v/>
      </c>
      <c r="E950">
        <f>AE217</f>
        <v/>
      </c>
    </row>
    <row r="951">
      <c r="A951">
        <f>I218</f>
        <v/>
      </c>
      <c r="B951">
        <f>Y218</f>
        <v/>
      </c>
      <c r="C951">
        <f>AA218</f>
        <v/>
      </c>
      <c r="D951">
        <f>AC218</f>
        <v/>
      </c>
      <c r="E951">
        <f>AE218</f>
        <v/>
      </c>
    </row>
    <row r="952">
      <c r="A952">
        <f>I219</f>
        <v/>
      </c>
      <c r="B952">
        <f>Y219</f>
        <v/>
      </c>
      <c r="C952">
        <f>AA219</f>
        <v/>
      </c>
      <c r="D952">
        <f>AC219</f>
        <v/>
      </c>
      <c r="E952">
        <f>AE219</f>
        <v/>
      </c>
    </row>
    <row r="953">
      <c r="A953">
        <f>I220</f>
        <v/>
      </c>
      <c r="B953">
        <f>Y220</f>
        <v/>
      </c>
      <c r="C953">
        <f>AA220</f>
        <v/>
      </c>
      <c r="D953">
        <f>AC220</f>
        <v/>
      </c>
      <c r="E953">
        <f>AE220</f>
        <v/>
      </c>
    </row>
    <row r="954">
      <c r="A954">
        <f>I221</f>
        <v/>
      </c>
      <c r="B954">
        <f>Y221</f>
        <v/>
      </c>
      <c r="C954">
        <f>AA221</f>
        <v/>
      </c>
      <c r="D954">
        <f>AC221</f>
        <v/>
      </c>
      <c r="E954">
        <f>AE221</f>
        <v/>
      </c>
    </row>
    <row r="955">
      <c r="A955">
        <f>I222</f>
        <v/>
      </c>
      <c r="B955">
        <f>Y222</f>
        <v/>
      </c>
      <c r="C955">
        <f>AA222</f>
        <v/>
      </c>
      <c r="D955">
        <f>AC222</f>
        <v/>
      </c>
      <c r="E955">
        <f>AE222</f>
        <v/>
      </c>
    </row>
    <row r="956">
      <c r="A956">
        <f>I223</f>
        <v/>
      </c>
      <c r="B956">
        <f>Y223</f>
        <v/>
      </c>
      <c r="C956">
        <f>AA223</f>
        <v/>
      </c>
      <c r="D956">
        <f>AC223</f>
        <v/>
      </c>
      <c r="E956">
        <f>AE223</f>
        <v/>
      </c>
    </row>
    <row r="957">
      <c r="A957">
        <f>I224</f>
        <v/>
      </c>
      <c r="B957">
        <f>Y224</f>
        <v/>
      </c>
      <c r="C957">
        <f>AA224</f>
        <v/>
      </c>
      <c r="D957">
        <f>AC224</f>
        <v/>
      </c>
      <c r="E957">
        <f>AE224</f>
        <v/>
      </c>
    </row>
    <row r="958">
      <c r="A958">
        <f>I225</f>
        <v/>
      </c>
      <c r="B958">
        <f>Y225</f>
        <v/>
      </c>
      <c r="C958">
        <f>AA225</f>
        <v/>
      </c>
      <c r="D958">
        <f>AC225</f>
        <v/>
      </c>
      <c r="E958">
        <f>AE225</f>
        <v/>
      </c>
    </row>
    <row r="959">
      <c r="A959">
        <f>I226</f>
        <v/>
      </c>
      <c r="B959">
        <f>Y226</f>
        <v/>
      </c>
      <c r="C959">
        <f>AA226</f>
        <v/>
      </c>
      <c r="D959">
        <f>AC226</f>
        <v/>
      </c>
      <c r="E959">
        <f>AE226</f>
        <v/>
      </c>
    </row>
    <row r="960">
      <c r="A960">
        <f>I227</f>
        <v/>
      </c>
      <c r="B960">
        <f>Y227</f>
        <v/>
      </c>
      <c r="C960">
        <f>AA227</f>
        <v/>
      </c>
      <c r="D960">
        <f>AC227</f>
        <v/>
      </c>
      <c r="E960">
        <f>AE227</f>
        <v/>
      </c>
    </row>
    <row r="961">
      <c r="A961">
        <f>I228</f>
        <v/>
      </c>
      <c r="B961">
        <f>Y228</f>
        <v/>
      </c>
      <c r="C961">
        <f>AA228</f>
        <v/>
      </c>
      <c r="D961">
        <f>AC228</f>
        <v/>
      </c>
      <c r="E961">
        <f>AE228</f>
        <v/>
      </c>
    </row>
    <row r="962">
      <c r="A962">
        <f>I229</f>
        <v/>
      </c>
      <c r="B962">
        <f>Y229</f>
        <v/>
      </c>
      <c r="C962">
        <f>AA229</f>
        <v/>
      </c>
      <c r="D962">
        <f>AC229</f>
        <v/>
      </c>
      <c r="E962">
        <f>AE229</f>
        <v/>
      </c>
    </row>
    <row r="963">
      <c r="A963">
        <f>I230</f>
        <v/>
      </c>
      <c r="B963">
        <f>Y230</f>
        <v/>
      </c>
      <c r="C963">
        <f>AA230</f>
        <v/>
      </c>
      <c r="D963">
        <f>AC230</f>
        <v/>
      </c>
      <c r="E963">
        <f>AE230</f>
        <v/>
      </c>
    </row>
    <row r="964">
      <c r="A964">
        <f>I231</f>
        <v/>
      </c>
      <c r="B964">
        <f>Y231</f>
        <v/>
      </c>
      <c r="C964">
        <f>AA231</f>
        <v/>
      </c>
      <c r="D964">
        <f>AC231</f>
        <v/>
      </c>
      <c r="E964">
        <f>AE231</f>
        <v/>
      </c>
    </row>
    <row r="965">
      <c r="A965">
        <f>I232</f>
        <v/>
      </c>
      <c r="B965">
        <f>Y232</f>
        <v/>
      </c>
      <c r="C965">
        <f>AA232</f>
        <v/>
      </c>
      <c r="D965">
        <f>AC232</f>
        <v/>
      </c>
      <c r="E965">
        <f>AE232</f>
        <v/>
      </c>
    </row>
    <row r="966">
      <c r="A966">
        <f>I233</f>
        <v/>
      </c>
      <c r="B966">
        <f>Y233</f>
        <v/>
      </c>
      <c r="C966">
        <f>AA233</f>
        <v/>
      </c>
      <c r="D966">
        <f>AC233</f>
        <v/>
      </c>
      <c r="E966">
        <f>AE233</f>
        <v/>
      </c>
    </row>
    <row r="967">
      <c r="A967">
        <f>I234</f>
        <v/>
      </c>
      <c r="B967">
        <f>Y234</f>
        <v/>
      </c>
      <c r="C967">
        <f>AA234</f>
        <v/>
      </c>
      <c r="D967">
        <f>AC234</f>
        <v/>
      </c>
      <c r="E967">
        <f>AE234</f>
        <v/>
      </c>
    </row>
    <row r="968">
      <c r="A968">
        <f>I235</f>
        <v/>
      </c>
      <c r="B968">
        <f>Y235</f>
        <v/>
      </c>
      <c r="C968">
        <f>AA235</f>
        <v/>
      </c>
      <c r="D968">
        <f>AC235</f>
        <v/>
      </c>
      <c r="E968">
        <f>AE235</f>
        <v/>
      </c>
    </row>
    <row r="969">
      <c r="A969">
        <f>I236</f>
        <v/>
      </c>
      <c r="B969">
        <f>Y236</f>
        <v/>
      </c>
      <c r="C969">
        <f>AA236</f>
        <v/>
      </c>
      <c r="D969">
        <f>AC236</f>
        <v/>
      </c>
      <c r="E969">
        <f>AE236</f>
        <v/>
      </c>
    </row>
    <row r="970">
      <c r="A970">
        <f>I237</f>
        <v/>
      </c>
      <c r="B970">
        <f>Y237</f>
        <v/>
      </c>
      <c r="C970">
        <f>AA237</f>
        <v/>
      </c>
      <c r="D970">
        <f>AC237</f>
        <v/>
      </c>
      <c r="E970">
        <f>AE237</f>
        <v/>
      </c>
    </row>
    <row r="971">
      <c r="A971">
        <f>I238</f>
        <v/>
      </c>
      <c r="B971">
        <f>Y238</f>
        <v/>
      </c>
      <c r="C971">
        <f>AA238</f>
        <v/>
      </c>
      <c r="D971">
        <f>AC238</f>
        <v/>
      </c>
      <c r="E971">
        <f>AE238</f>
        <v/>
      </c>
    </row>
    <row r="972">
      <c r="A972">
        <f>I239</f>
        <v/>
      </c>
      <c r="B972">
        <f>Y239</f>
        <v/>
      </c>
      <c r="C972">
        <f>AA239</f>
        <v/>
      </c>
      <c r="D972">
        <f>AC239</f>
        <v/>
      </c>
      <c r="E972">
        <f>AE239</f>
        <v/>
      </c>
    </row>
    <row r="973">
      <c r="A973">
        <f>I240</f>
        <v/>
      </c>
      <c r="B973">
        <f>Y240</f>
        <v/>
      </c>
      <c r="C973">
        <f>AA240</f>
        <v/>
      </c>
      <c r="D973">
        <f>AC240</f>
        <v/>
      </c>
      <c r="E973">
        <f>AE240</f>
        <v/>
      </c>
    </row>
    <row r="974">
      <c r="A974">
        <f>I241</f>
        <v/>
      </c>
      <c r="B974">
        <f>Y241</f>
        <v/>
      </c>
      <c r="C974">
        <f>AA241</f>
        <v/>
      </c>
      <c r="D974">
        <f>AC241</f>
        <v/>
      </c>
      <c r="E974">
        <f>AE241</f>
        <v/>
      </c>
    </row>
    <row r="975">
      <c r="A975">
        <f>I242</f>
        <v/>
      </c>
      <c r="B975">
        <f>Y242</f>
        <v/>
      </c>
      <c r="C975">
        <f>AA242</f>
        <v/>
      </c>
      <c r="D975">
        <f>AC242</f>
        <v/>
      </c>
      <c r="E975">
        <f>AE242</f>
        <v/>
      </c>
    </row>
    <row r="980">
      <c r="A980">
        <f>I2</f>
        <v/>
      </c>
      <c r="B980">
        <f>AH2</f>
        <v/>
      </c>
      <c r="C980">
        <f>AJ2</f>
        <v/>
      </c>
      <c r="D980">
        <f>AL2</f>
        <v/>
      </c>
      <c r="E980">
        <f>AN2</f>
        <v/>
      </c>
    </row>
    <row r="981">
      <c r="A981">
        <f>I3</f>
        <v/>
      </c>
      <c r="B981">
        <f>AH3</f>
        <v/>
      </c>
      <c r="C981">
        <f>AJ3</f>
        <v/>
      </c>
      <c r="D981">
        <f>AL3</f>
        <v/>
      </c>
      <c r="E981">
        <f>AN3</f>
        <v/>
      </c>
    </row>
    <row r="982">
      <c r="A982">
        <f>I4</f>
        <v/>
      </c>
      <c r="B982">
        <f>AH4</f>
        <v/>
      </c>
      <c r="C982">
        <f>AJ4</f>
        <v/>
      </c>
      <c r="D982">
        <f>AL4</f>
        <v/>
      </c>
      <c r="E982">
        <f>AN4</f>
        <v/>
      </c>
    </row>
    <row r="983">
      <c r="A983">
        <f>I5</f>
        <v/>
      </c>
      <c r="B983">
        <f>AH5</f>
        <v/>
      </c>
      <c r="C983">
        <f>AJ5</f>
        <v/>
      </c>
      <c r="D983">
        <f>AL5</f>
        <v/>
      </c>
      <c r="E983">
        <f>AN5</f>
        <v/>
      </c>
    </row>
    <row r="984">
      <c r="A984">
        <f>I6</f>
        <v/>
      </c>
      <c r="B984">
        <f>AH6</f>
        <v/>
      </c>
      <c r="C984">
        <f>AJ6</f>
        <v/>
      </c>
      <c r="D984">
        <f>AL6</f>
        <v/>
      </c>
      <c r="E984">
        <f>AN6</f>
        <v/>
      </c>
    </row>
    <row r="985">
      <c r="A985">
        <f>I7</f>
        <v/>
      </c>
      <c r="B985">
        <f>AH7</f>
        <v/>
      </c>
      <c r="C985">
        <f>AJ7</f>
        <v/>
      </c>
      <c r="D985">
        <f>AL7</f>
        <v/>
      </c>
      <c r="E985">
        <f>AN7</f>
        <v/>
      </c>
    </row>
    <row r="986">
      <c r="A986">
        <f>I8</f>
        <v/>
      </c>
      <c r="B986">
        <f>AH8</f>
        <v/>
      </c>
      <c r="C986">
        <f>AJ8</f>
        <v/>
      </c>
      <c r="D986">
        <f>AL8</f>
        <v/>
      </c>
      <c r="E986">
        <f>AN8</f>
        <v/>
      </c>
    </row>
    <row r="987">
      <c r="A987">
        <f>I9</f>
        <v/>
      </c>
      <c r="B987">
        <f>AH9</f>
        <v/>
      </c>
      <c r="C987">
        <f>AJ9</f>
        <v/>
      </c>
      <c r="D987">
        <f>AL9</f>
        <v/>
      </c>
      <c r="E987">
        <f>AN9</f>
        <v/>
      </c>
    </row>
    <row r="988">
      <c r="A988">
        <f>I10</f>
        <v/>
      </c>
      <c r="B988">
        <f>AH10</f>
        <v/>
      </c>
      <c r="C988">
        <f>AJ10</f>
        <v/>
      </c>
      <c r="D988">
        <f>AL10</f>
        <v/>
      </c>
      <c r="E988">
        <f>AN10</f>
        <v/>
      </c>
    </row>
    <row r="989">
      <c r="A989">
        <f>I11</f>
        <v/>
      </c>
      <c r="B989">
        <f>AH11</f>
        <v/>
      </c>
      <c r="C989">
        <f>AJ11</f>
        <v/>
      </c>
      <c r="D989">
        <f>AL11</f>
        <v/>
      </c>
      <c r="E989">
        <f>AN11</f>
        <v/>
      </c>
    </row>
    <row r="990">
      <c r="A990">
        <f>I12</f>
        <v/>
      </c>
      <c r="B990">
        <f>AH12</f>
        <v/>
      </c>
      <c r="C990">
        <f>AJ12</f>
        <v/>
      </c>
      <c r="D990">
        <f>AL12</f>
        <v/>
      </c>
      <c r="E990">
        <f>AN12</f>
        <v/>
      </c>
    </row>
    <row r="991">
      <c r="A991">
        <f>I13</f>
        <v/>
      </c>
      <c r="B991">
        <f>AH13</f>
        <v/>
      </c>
      <c r="C991">
        <f>AJ13</f>
        <v/>
      </c>
      <c r="D991">
        <f>AL13</f>
        <v/>
      </c>
      <c r="E991">
        <f>AN13</f>
        <v/>
      </c>
    </row>
    <row r="992">
      <c r="A992">
        <f>I14</f>
        <v/>
      </c>
      <c r="B992">
        <f>AH14</f>
        <v/>
      </c>
      <c r="C992">
        <f>AJ14</f>
        <v/>
      </c>
      <c r="D992">
        <f>AL14</f>
        <v/>
      </c>
      <c r="E992">
        <f>AN14</f>
        <v/>
      </c>
    </row>
    <row r="993">
      <c r="A993">
        <f>I15</f>
        <v/>
      </c>
      <c r="B993">
        <f>AH15</f>
        <v/>
      </c>
      <c r="C993">
        <f>AJ15</f>
        <v/>
      </c>
      <c r="D993">
        <f>AL15</f>
        <v/>
      </c>
      <c r="E993">
        <f>AN15</f>
        <v/>
      </c>
    </row>
    <row r="994">
      <c r="A994">
        <f>I16</f>
        <v/>
      </c>
      <c r="B994">
        <f>AH16</f>
        <v/>
      </c>
      <c r="C994">
        <f>AJ16</f>
        <v/>
      </c>
      <c r="D994">
        <f>AL16</f>
        <v/>
      </c>
      <c r="E994">
        <f>AN16</f>
        <v/>
      </c>
    </row>
    <row r="995">
      <c r="A995">
        <f>I17</f>
        <v/>
      </c>
      <c r="B995">
        <f>AH17</f>
        <v/>
      </c>
      <c r="C995">
        <f>AJ17</f>
        <v/>
      </c>
      <c r="D995">
        <f>AL17</f>
        <v/>
      </c>
      <c r="E995">
        <f>AN17</f>
        <v/>
      </c>
    </row>
    <row r="996">
      <c r="A996">
        <f>I18</f>
        <v/>
      </c>
      <c r="B996">
        <f>AH18</f>
        <v/>
      </c>
      <c r="C996">
        <f>AJ18</f>
        <v/>
      </c>
      <c r="D996">
        <f>AL18</f>
        <v/>
      </c>
      <c r="E996">
        <f>AN18</f>
        <v/>
      </c>
    </row>
    <row r="997">
      <c r="A997">
        <f>I19</f>
        <v/>
      </c>
      <c r="B997">
        <f>AH19</f>
        <v/>
      </c>
      <c r="C997">
        <f>AJ19</f>
        <v/>
      </c>
      <c r="D997">
        <f>AL19</f>
        <v/>
      </c>
      <c r="E997">
        <f>AN19</f>
        <v/>
      </c>
    </row>
    <row r="998">
      <c r="A998">
        <f>I20</f>
        <v/>
      </c>
      <c r="B998">
        <f>AH20</f>
        <v/>
      </c>
      <c r="C998">
        <f>AJ20</f>
        <v/>
      </c>
      <c r="D998">
        <f>AL20</f>
        <v/>
      </c>
      <c r="E998">
        <f>AN20</f>
        <v/>
      </c>
    </row>
    <row r="999">
      <c r="A999">
        <f>I21</f>
        <v/>
      </c>
      <c r="B999">
        <f>AH21</f>
        <v/>
      </c>
      <c r="C999">
        <f>AJ21</f>
        <v/>
      </c>
      <c r="D999">
        <f>AL21</f>
        <v/>
      </c>
      <c r="E999">
        <f>AN21</f>
        <v/>
      </c>
    </row>
    <row r="1000">
      <c r="A1000">
        <f>I22</f>
        <v/>
      </c>
      <c r="B1000">
        <f>AH22</f>
        <v/>
      </c>
      <c r="C1000">
        <f>AJ22</f>
        <v/>
      </c>
      <c r="D1000">
        <f>AL22</f>
        <v/>
      </c>
      <c r="E1000">
        <f>AN22</f>
        <v/>
      </c>
    </row>
    <row r="1001">
      <c r="A1001">
        <f>I23</f>
        <v/>
      </c>
      <c r="B1001">
        <f>AH23</f>
        <v/>
      </c>
      <c r="C1001">
        <f>AJ23</f>
        <v/>
      </c>
      <c r="D1001">
        <f>AL23</f>
        <v/>
      </c>
      <c r="E1001">
        <f>AN23</f>
        <v/>
      </c>
    </row>
    <row r="1002">
      <c r="A1002">
        <f>I24</f>
        <v/>
      </c>
      <c r="B1002">
        <f>AH24</f>
        <v/>
      </c>
      <c r="C1002">
        <f>AJ24</f>
        <v/>
      </c>
      <c r="D1002">
        <f>AL24</f>
        <v/>
      </c>
      <c r="E1002">
        <f>AN24</f>
        <v/>
      </c>
    </row>
    <row r="1003">
      <c r="A1003">
        <f>I25</f>
        <v/>
      </c>
      <c r="B1003">
        <f>AH25</f>
        <v/>
      </c>
      <c r="C1003">
        <f>AJ25</f>
        <v/>
      </c>
      <c r="D1003">
        <f>AL25</f>
        <v/>
      </c>
      <c r="E1003">
        <f>AN25</f>
        <v/>
      </c>
    </row>
    <row r="1004">
      <c r="A1004">
        <f>I26</f>
        <v/>
      </c>
      <c r="B1004">
        <f>AH26</f>
        <v/>
      </c>
      <c r="C1004">
        <f>AJ26</f>
        <v/>
      </c>
      <c r="D1004">
        <f>AL26</f>
        <v/>
      </c>
      <c r="E1004">
        <f>AN26</f>
        <v/>
      </c>
    </row>
    <row r="1005">
      <c r="A1005">
        <f>I27</f>
        <v/>
      </c>
      <c r="B1005">
        <f>AH27</f>
        <v/>
      </c>
      <c r="C1005">
        <f>AJ27</f>
        <v/>
      </c>
      <c r="D1005">
        <f>AL27</f>
        <v/>
      </c>
      <c r="E1005">
        <f>AN27</f>
        <v/>
      </c>
    </row>
    <row r="1006">
      <c r="A1006">
        <f>I28</f>
        <v/>
      </c>
      <c r="B1006">
        <f>AH28</f>
        <v/>
      </c>
      <c r="C1006">
        <f>AJ28</f>
        <v/>
      </c>
      <c r="D1006">
        <f>AL28</f>
        <v/>
      </c>
      <c r="E1006">
        <f>AN28</f>
        <v/>
      </c>
    </row>
    <row r="1007">
      <c r="A1007">
        <f>I29</f>
        <v/>
      </c>
      <c r="B1007">
        <f>AH29</f>
        <v/>
      </c>
      <c r="C1007">
        <f>AJ29</f>
        <v/>
      </c>
      <c r="D1007">
        <f>AL29</f>
        <v/>
      </c>
      <c r="E1007">
        <f>AN29</f>
        <v/>
      </c>
    </row>
    <row r="1008">
      <c r="A1008">
        <f>I30</f>
        <v/>
      </c>
      <c r="B1008">
        <f>AH30</f>
        <v/>
      </c>
      <c r="C1008">
        <f>AJ30</f>
        <v/>
      </c>
      <c r="D1008">
        <f>AL30</f>
        <v/>
      </c>
      <c r="E1008">
        <f>AN30</f>
        <v/>
      </c>
    </row>
    <row r="1009">
      <c r="A1009">
        <f>I31</f>
        <v/>
      </c>
      <c r="B1009">
        <f>AH31</f>
        <v/>
      </c>
      <c r="C1009">
        <f>AJ31</f>
        <v/>
      </c>
      <c r="D1009">
        <f>AL31</f>
        <v/>
      </c>
      <c r="E1009">
        <f>AN31</f>
        <v/>
      </c>
    </row>
    <row r="1010">
      <c r="A1010">
        <f>I32</f>
        <v/>
      </c>
      <c r="B1010">
        <f>AH32</f>
        <v/>
      </c>
      <c r="C1010">
        <f>AJ32</f>
        <v/>
      </c>
      <c r="D1010">
        <f>AL32</f>
        <v/>
      </c>
      <c r="E1010">
        <f>AN32</f>
        <v/>
      </c>
    </row>
    <row r="1011">
      <c r="A1011">
        <f>I33</f>
        <v/>
      </c>
      <c r="B1011">
        <f>AH33</f>
        <v/>
      </c>
      <c r="C1011">
        <f>AJ33</f>
        <v/>
      </c>
      <c r="D1011">
        <f>AL33</f>
        <v/>
      </c>
      <c r="E1011">
        <f>AN33</f>
        <v/>
      </c>
    </row>
    <row r="1012">
      <c r="A1012">
        <f>I34</f>
        <v/>
      </c>
      <c r="B1012">
        <f>AH34</f>
        <v/>
      </c>
      <c r="C1012">
        <f>AJ34</f>
        <v/>
      </c>
      <c r="D1012">
        <f>AL34</f>
        <v/>
      </c>
      <c r="E1012">
        <f>AN34</f>
        <v/>
      </c>
    </row>
    <row r="1013">
      <c r="A1013">
        <f>I35</f>
        <v/>
      </c>
      <c r="B1013">
        <f>AH35</f>
        <v/>
      </c>
      <c r="C1013">
        <f>AJ35</f>
        <v/>
      </c>
      <c r="D1013">
        <f>AL35</f>
        <v/>
      </c>
      <c r="E1013">
        <f>AN35</f>
        <v/>
      </c>
    </row>
    <row r="1014">
      <c r="A1014">
        <f>I36</f>
        <v/>
      </c>
      <c r="B1014">
        <f>AH36</f>
        <v/>
      </c>
      <c r="C1014">
        <f>AJ36</f>
        <v/>
      </c>
      <c r="D1014">
        <f>AL36</f>
        <v/>
      </c>
      <c r="E1014">
        <f>AN36</f>
        <v/>
      </c>
    </row>
    <row r="1015">
      <c r="A1015">
        <f>I37</f>
        <v/>
      </c>
      <c r="B1015">
        <f>AH37</f>
        <v/>
      </c>
      <c r="C1015">
        <f>AJ37</f>
        <v/>
      </c>
      <c r="D1015">
        <f>AL37</f>
        <v/>
      </c>
      <c r="E1015">
        <f>AN37</f>
        <v/>
      </c>
    </row>
    <row r="1016">
      <c r="A1016">
        <f>I38</f>
        <v/>
      </c>
      <c r="B1016">
        <f>AH38</f>
        <v/>
      </c>
      <c r="C1016">
        <f>AJ38</f>
        <v/>
      </c>
      <c r="D1016">
        <f>AL38</f>
        <v/>
      </c>
      <c r="E1016">
        <f>AN38</f>
        <v/>
      </c>
    </row>
    <row r="1017">
      <c r="A1017">
        <f>I39</f>
        <v/>
      </c>
      <c r="B1017">
        <f>AH39</f>
        <v/>
      </c>
      <c r="C1017">
        <f>AJ39</f>
        <v/>
      </c>
      <c r="D1017">
        <f>AL39</f>
        <v/>
      </c>
      <c r="E1017">
        <f>AN39</f>
        <v/>
      </c>
    </row>
    <row r="1018">
      <c r="A1018">
        <f>I40</f>
        <v/>
      </c>
      <c r="B1018">
        <f>AH40</f>
        <v/>
      </c>
      <c r="C1018">
        <f>AJ40</f>
        <v/>
      </c>
      <c r="D1018">
        <f>AL40</f>
        <v/>
      </c>
      <c r="E1018">
        <f>AN40</f>
        <v/>
      </c>
    </row>
    <row r="1019">
      <c r="A1019">
        <f>I41</f>
        <v/>
      </c>
      <c r="B1019">
        <f>AH41</f>
        <v/>
      </c>
      <c r="C1019">
        <f>AJ41</f>
        <v/>
      </c>
      <c r="D1019">
        <f>AL41</f>
        <v/>
      </c>
      <c r="E1019">
        <f>AN41</f>
        <v/>
      </c>
    </row>
    <row r="1020">
      <c r="A1020">
        <f>I42</f>
        <v/>
      </c>
      <c r="B1020">
        <f>AH42</f>
        <v/>
      </c>
      <c r="C1020">
        <f>AJ42</f>
        <v/>
      </c>
      <c r="D1020">
        <f>AL42</f>
        <v/>
      </c>
      <c r="E1020">
        <f>AN42</f>
        <v/>
      </c>
    </row>
    <row r="1021">
      <c r="A1021">
        <f>I43</f>
        <v/>
      </c>
      <c r="B1021">
        <f>AH43</f>
        <v/>
      </c>
      <c r="C1021">
        <f>AJ43</f>
        <v/>
      </c>
      <c r="D1021">
        <f>AL43</f>
        <v/>
      </c>
      <c r="E1021">
        <f>AN43</f>
        <v/>
      </c>
    </row>
    <row r="1022">
      <c r="A1022">
        <f>I44</f>
        <v/>
      </c>
      <c r="B1022">
        <f>AH44</f>
        <v/>
      </c>
      <c r="C1022">
        <f>AJ44</f>
        <v/>
      </c>
      <c r="D1022">
        <f>AL44</f>
        <v/>
      </c>
      <c r="E1022">
        <f>AN44</f>
        <v/>
      </c>
    </row>
    <row r="1023">
      <c r="A1023">
        <f>I45</f>
        <v/>
      </c>
      <c r="B1023">
        <f>AH45</f>
        <v/>
      </c>
      <c r="C1023">
        <f>AJ45</f>
        <v/>
      </c>
      <c r="D1023">
        <f>AL45</f>
        <v/>
      </c>
      <c r="E1023">
        <f>AN45</f>
        <v/>
      </c>
    </row>
    <row r="1024">
      <c r="A1024">
        <f>I46</f>
        <v/>
      </c>
      <c r="B1024">
        <f>AH46</f>
        <v/>
      </c>
      <c r="C1024">
        <f>AJ46</f>
        <v/>
      </c>
      <c r="D1024">
        <f>AL46</f>
        <v/>
      </c>
      <c r="E1024">
        <f>AN46</f>
        <v/>
      </c>
    </row>
    <row r="1025">
      <c r="A1025">
        <f>I47</f>
        <v/>
      </c>
      <c r="B1025">
        <f>AH47</f>
        <v/>
      </c>
      <c r="C1025">
        <f>AJ47</f>
        <v/>
      </c>
      <c r="D1025">
        <f>AL47</f>
        <v/>
      </c>
      <c r="E1025">
        <f>AN47</f>
        <v/>
      </c>
    </row>
    <row r="1026">
      <c r="A1026">
        <f>I48</f>
        <v/>
      </c>
      <c r="B1026">
        <f>AH48</f>
        <v/>
      </c>
      <c r="C1026">
        <f>AJ48</f>
        <v/>
      </c>
      <c r="D1026">
        <f>AL48</f>
        <v/>
      </c>
      <c r="E1026">
        <f>AN48</f>
        <v/>
      </c>
    </row>
    <row r="1027">
      <c r="A1027">
        <f>I49</f>
        <v/>
      </c>
      <c r="B1027">
        <f>AH49</f>
        <v/>
      </c>
      <c r="C1027">
        <f>AJ49</f>
        <v/>
      </c>
      <c r="D1027">
        <f>AL49</f>
        <v/>
      </c>
      <c r="E1027">
        <f>AN49</f>
        <v/>
      </c>
    </row>
    <row r="1028">
      <c r="A1028">
        <f>I50</f>
        <v/>
      </c>
      <c r="B1028">
        <f>AH50</f>
        <v/>
      </c>
      <c r="C1028">
        <f>AJ50</f>
        <v/>
      </c>
      <c r="D1028">
        <f>AL50</f>
        <v/>
      </c>
      <c r="E1028">
        <f>AN50</f>
        <v/>
      </c>
    </row>
    <row r="1029">
      <c r="A1029">
        <f>I51</f>
        <v/>
      </c>
      <c r="B1029">
        <f>AH51</f>
        <v/>
      </c>
      <c r="C1029">
        <f>AJ51</f>
        <v/>
      </c>
      <c r="D1029">
        <f>AL51</f>
        <v/>
      </c>
      <c r="E1029">
        <f>AN51</f>
        <v/>
      </c>
    </row>
    <row r="1030">
      <c r="A1030">
        <f>I52</f>
        <v/>
      </c>
      <c r="B1030">
        <f>AH52</f>
        <v/>
      </c>
      <c r="C1030">
        <f>AJ52</f>
        <v/>
      </c>
      <c r="D1030">
        <f>AL52</f>
        <v/>
      </c>
      <c r="E1030">
        <f>AN52</f>
        <v/>
      </c>
    </row>
    <row r="1031">
      <c r="A1031">
        <f>I53</f>
        <v/>
      </c>
      <c r="B1031">
        <f>AH53</f>
        <v/>
      </c>
      <c r="C1031">
        <f>AJ53</f>
        <v/>
      </c>
      <c r="D1031">
        <f>AL53</f>
        <v/>
      </c>
      <c r="E1031">
        <f>AN53</f>
        <v/>
      </c>
    </row>
    <row r="1032">
      <c r="A1032">
        <f>I54</f>
        <v/>
      </c>
      <c r="B1032">
        <f>AH54</f>
        <v/>
      </c>
      <c r="C1032">
        <f>AJ54</f>
        <v/>
      </c>
      <c r="D1032">
        <f>AL54</f>
        <v/>
      </c>
      <c r="E1032">
        <f>AN54</f>
        <v/>
      </c>
    </row>
    <row r="1033">
      <c r="A1033">
        <f>I55</f>
        <v/>
      </c>
      <c r="B1033">
        <f>AH55</f>
        <v/>
      </c>
      <c r="C1033">
        <f>AJ55</f>
        <v/>
      </c>
      <c r="D1033">
        <f>AL55</f>
        <v/>
      </c>
      <c r="E1033">
        <f>AN55</f>
        <v/>
      </c>
    </row>
    <row r="1034">
      <c r="A1034">
        <f>I56</f>
        <v/>
      </c>
      <c r="B1034">
        <f>AH56</f>
        <v/>
      </c>
      <c r="C1034">
        <f>AJ56</f>
        <v/>
      </c>
      <c r="D1034">
        <f>AL56</f>
        <v/>
      </c>
      <c r="E1034">
        <f>AN56</f>
        <v/>
      </c>
    </row>
    <row r="1035">
      <c r="A1035">
        <f>I57</f>
        <v/>
      </c>
      <c r="B1035">
        <f>AH57</f>
        <v/>
      </c>
      <c r="C1035">
        <f>AJ57</f>
        <v/>
      </c>
      <c r="D1035">
        <f>AL57</f>
        <v/>
      </c>
      <c r="E1035">
        <f>AN57</f>
        <v/>
      </c>
    </row>
    <row r="1036">
      <c r="A1036">
        <f>I58</f>
        <v/>
      </c>
      <c r="B1036">
        <f>AH58</f>
        <v/>
      </c>
      <c r="C1036">
        <f>AJ58</f>
        <v/>
      </c>
      <c r="D1036">
        <f>AL58</f>
        <v/>
      </c>
      <c r="E1036">
        <f>AN58</f>
        <v/>
      </c>
    </row>
    <row r="1037">
      <c r="A1037">
        <f>I59</f>
        <v/>
      </c>
      <c r="B1037">
        <f>AH59</f>
        <v/>
      </c>
      <c r="C1037">
        <f>AJ59</f>
        <v/>
      </c>
      <c r="D1037">
        <f>AL59</f>
        <v/>
      </c>
      <c r="E1037">
        <f>AN59</f>
        <v/>
      </c>
    </row>
    <row r="1038">
      <c r="A1038">
        <f>I60</f>
        <v/>
      </c>
      <c r="B1038">
        <f>AH60</f>
        <v/>
      </c>
      <c r="C1038">
        <f>AJ60</f>
        <v/>
      </c>
      <c r="D1038">
        <f>AL60</f>
        <v/>
      </c>
      <c r="E1038">
        <f>AN60</f>
        <v/>
      </c>
    </row>
    <row r="1039">
      <c r="A1039">
        <f>I61</f>
        <v/>
      </c>
      <c r="B1039">
        <f>AH61</f>
        <v/>
      </c>
      <c r="C1039">
        <f>AJ61</f>
        <v/>
      </c>
      <c r="D1039">
        <f>AL61</f>
        <v/>
      </c>
      <c r="E1039">
        <f>AN61</f>
        <v/>
      </c>
    </row>
    <row r="1040">
      <c r="A1040">
        <f>I62</f>
        <v/>
      </c>
      <c r="B1040">
        <f>AH62</f>
        <v/>
      </c>
      <c r="C1040">
        <f>AJ62</f>
        <v/>
      </c>
      <c r="D1040">
        <f>AL62</f>
        <v/>
      </c>
      <c r="E1040">
        <f>AN62</f>
        <v/>
      </c>
    </row>
    <row r="1041">
      <c r="A1041">
        <f>I63</f>
        <v/>
      </c>
      <c r="B1041">
        <f>AH63</f>
        <v/>
      </c>
      <c r="C1041">
        <f>AJ63</f>
        <v/>
      </c>
      <c r="D1041">
        <f>AL63</f>
        <v/>
      </c>
      <c r="E1041">
        <f>AN63</f>
        <v/>
      </c>
    </row>
    <row r="1042">
      <c r="A1042">
        <f>I64</f>
        <v/>
      </c>
      <c r="B1042">
        <f>AH64</f>
        <v/>
      </c>
      <c r="C1042">
        <f>AJ64</f>
        <v/>
      </c>
      <c r="D1042">
        <f>AL64</f>
        <v/>
      </c>
      <c r="E1042">
        <f>AN64</f>
        <v/>
      </c>
    </row>
    <row r="1043">
      <c r="A1043">
        <f>I65</f>
        <v/>
      </c>
      <c r="B1043">
        <f>AH65</f>
        <v/>
      </c>
      <c r="C1043">
        <f>AJ65</f>
        <v/>
      </c>
      <c r="D1043">
        <f>AL65</f>
        <v/>
      </c>
      <c r="E1043">
        <f>AN65</f>
        <v/>
      </c>
    </row>
    <row r="1044">
      <c r="A1044">
        <f>I66</f>
        <v/>
      </c>
      <c r="B1044">
        <f>AH66</f>
        <v/>
      </c>
      <c r="C1044">
        <f>AJ66</f>
        <v/>
      </c>
      <c r="D1044">
        <f>AL66</f>
        <v/>
      </c>
      <c r="E1044">
        <f>AN66</f>
        <v/>
      </c>
    </row>
    <row r="1045">
      <c r="A1045">
        <f>I67</f>
        <v/>
      </c>
      <c r="B1045">
        <f>AH67</f>
        <v/>
      </c>
      <c r="C1045">
        <f>AJ67</f>
        <v/>
      </c>
      <c r="D1045">
        <f>AL67</f>
        <v/>
      </c>
      <c r="E1045">
        <f>AN67</f>
        <v/>
      </c>
    </row>
    <row r="1046">
      <c r="A1046">
        <f>I68</f>
        <v/>
      </c>
      <c r="B1046">
        <f>AH68</f>
        <v/>
      </c>
      <c r="C1046">
        <f>AJ68</f>
        <v/>
      </c>
      <c r="D1046">
        <f>AL68</f>
        <v/>
      </c>
      <c r="E1046">
        <f>AN68</f>
        <v/>
      </c>
    </row>
    <row r="1047">
      <c r="A1047">
        <f>I69</f>
        <v/>
      </c>
      <c r="B1047">
        <f>AH69</f>
        <v/>
      </c>
      <c r="C1047">
        <f>AJ69</f>
        <v/>
      </c>
      <c r="D1047">
        <f>AL69</f>
        <v/>
      </c>
      <c r="E1047">
        <f>AN69</f>
        <v/>
      </c>
    </row>
    <row r="1048">
      <c r="A1048">
        <f>I70</f>
        <v/>
      </c>
      <c r="B1048">
        <f>AH70</f>
        <v/>
      </c>
      <c r="C1048">
        <f>AJ70</f>
        <v/>
      </c>
      <c r="D1048">
        <f>AL70</f>
        <v/>
      </c>
      <c r="E1048">
        <f>AN70</f>
        <v/>
      </c>
    </row>
    <row r="1049">
      <c r="A1049">
        <f>I71</f>
        <v/>
      </c>
      <c r="B1049">
        <f>AH71</f>
        <v/>
      </c>
      <c r="C1049">
        <f>AJ71</f>
        <v/>
      </c>
      <c r="D1049">
        <f>AL71</f>
        <v/>
      </c>
      <c r="E1049">
        <f>AN71</f>
        <v/>
      </c>
    </row>
    <row r="1050">
      <c r="A1050">
        <f>I72</f>
        <v/>
      </c>
      <c r="B1050">
        <f>AH72</f>
        <v/>
      </c>
      <c r="C1050">
        <f>AJ72</f>
        <v/>
      </c>
      <c r="D1050">
        <f>AL72</f>
        <v/>
      </c>
      <c r="E1050">
        <f>AN72</f>
        <v/>
      </c>
    </row>
    <row r="1051">
      <c r="A1051">
        <f>I73</f>
        <v/>
      </c>
      <c r="B1051">
        <f>AH73</f>
        <v/>
      </c>
      <c r="C1051">
        <f>AJ73</f>
        <v/>
      </c>
      <c r="D1051">
        <f>AL73</f>
        <v/>
      </c>
      <c r="E1051">
        <f>AN73</f>
        <v/>
      </c>
    </row>
    <row r="1052">
      <c r="A1052">
        <f>I74</f>
        <v/>
      </c>
      <c r="B1052">
        <f>AH74</f>
        <v/>
      </c>
      <c r="C1052">
        <f>AJ74</f>
        <v/>
      </c>
      <c r="D1052">
        <f>AL74</f>
        <v/>
      </c>
      <c r="E1052">
        <f>AN74</f>
        <v/>
      </c>
    </row>
    <row r="1053">
      <c r="A1053">
        <f>I75</f>
        <v/>
      </c>
      <c r="B1053">
        <f>AH75</f>
        <v/>
      </c>
      <c r="C1053">
        <f>AJ75</f>
        <v/>
      </c>
      <c r="D1053">
        <f>AL75</f>
        <v/>
      </c>
      <c r="E1053">
        <f>AN75</f>
        <v/>
      </c>
    </row>
    <row r="1054">
      <c r="A1054">
        <f>I76</f>
        <v/>
      </c>
      <c r="B1054">
        <f>AH76</f>
        <v/>
      </c>
      <c r="C1054">
        <f>AJ76</f>
        <v/>
      </c>
      <c r="D1054">
        <f>AL76</f>
        <v/>
      </c>
      <c r="E1054">
        <f>AN76</f>
        <v/>
      </c>
    </row>
    <row r="1055">
      <c r="A1055">
        <f>I77</f>
        <v/>
      </c>
      <c r="B1055">
        <f>AH77</f>
        <v/>
      </c>
      <c r="C1055">
        <f>AJ77</f>
        <v/>
      </c>
      <c r="D1055">
        <f>AL77</f>
        <v/>
      </c>
      <c r="E1055">
        <f>AN77</f>
        <v/>
      </c>
    </row>
    <row r="1056">
      <c r="A1056">
        <f>I78</f>
        <v/>
      </c>
      <c r="B1056">
        <f>AH78</f>
        <v/>
      </c>
      <c r="C1056">
        <f>AJ78</f>
        <v/>
      </c>
      <c r="D1056">
        <f>AL78</f>
        <v/>
      </c>
      <c r="E1056">
        <f>AN78</f>
        <v/>
      </c>
    </row>
    <row r="1057">
      <c r="A1057">
        <f>I79</f>
        <v/>
      </c>
      <c r="B1057">
        <f>AH79</f>
        <v/>
      </c>
      <c r="C1057">
        <f>AJ79</f>
        <v/>
      </c>
      <c r="D1057">
        <f>AL79</f>
        <v/>
      </c>
      <c r="E1057">
        <f>AN79</f>
        <v/>
      </c>
    </row>
    <row r="1058">
      <c r="A1058">
        <f>I80</f>
        <v/>
      </c>
      <c r="B1058">
        <f>AH80</f>
        <v/>
      </c>
      <c r="C1058">
        <f>AJ80</f>
        <v/>
      </c>
      <c r="D1058">
        <f>AL80</f>
        <v/>
      </c>
      <c r="E1058">
        <f>AN80</f>
        <v/>
      </c>
    </row>
    <row r="1059">
      <c r="A1059">
        <f>I81</f>
        <v/>
      </c>
      <c r="B1059">
        <f>AH81</f>
        <v/>
      </c>
      <c r="C1059">
        <f>AJ81</f>
        <v/>
      </c>
      <c r="D1059">
        <f>AL81</f>
        <v/>
      </c>
      <c r="E1059">
        <f>AN81</f>
        <v/>
      </c>
    </row>
    <row r="1060">
      <c r="A1060">
        <f>I82</f>
        <v/>
      </c>
      <c r="B1060">
        <f>AH82</f>
        <v/>
      </c>
      <c r="C1060">
        <f>AJ82</f>
        <v/>
      </c>
      <c r="D1060">
        <f>AL82</f>
        <v/>
      </c>
      <c r="E1060">
        <f>AN82</f>
        <v/>
      </c>
    </row>
    <row r="1061">
      <c r="A1061">
        <f>I83</f>
        <v/>
      </c>
      <c r="B1061">
        <f>AH83</f>
        <v/>
      </c>
      <c r="C1061">
        <f>AJ83</f>
        <v/>
      </c>
      <c r="D1061">
        <f>AL83</f>
        <v/>
      </c>
      <c r="E1061">
        <f>AN83</f>
        <v/>
      </c>
    </row>
    <row r="1062">
      <c r="A1062">
        <f>I84</f>
        <v/>
      </c>
      <c r="B1062">
        <f>AH84</f>
        <v/>
      </c>
      <c r="C1062">
        <f>AJ84</f>
        <v/>
      </c>
      <c r="D1062">
        <f>AL84</f>
        <v/>
      </c>
      <c r="E1062">
        <f>AN84</f>
        <v/>
      </c>
    </row>
    <row r="1063">
      <c r="A1063">
        <f>I85</f>
        <v/>
      </c>
      <c r="B1063">
        <f>AH85</f>
        <v/>
      </c>
      <c r="C1063">
        <f>AJ85</f>
        <v/>
      </c>
      <c r="D1063">
        <f>AL85</f>
        <v/>
      </c>
      <c r="E1063">
        <f>AN85</f>
        <v/>
      </c>
    </row>
    <row r="1064">
      <c r="A1064">
        <f>I86</f>
        <v/>
      </c>
      <c r="B1064">
        <f>AH86</f>
        <v/>
      </c>
      <c r="C1064">
        <f>AJ86</f>
        <v/>
      </c>
      <c r="D1064">
        <f>AL86</f>
        <v/>
      </c>
      <c r="E1064">
        <f>AN86</f>
        <v/>
      </c>
    </row>
    <row r="1065">
      <c r="A1065">
        <f>I87</f>
        <v/>
      </c>
      <c r="B1065">
        <f>AH87</f>
        <v/>
      </c>
      <c r="C1065">
        <f>AJ87</f>
        <v/>
      </c>
      <c r="D1065">
        <f>AL87</f>
        <v/>
      </c>
      <c r="E1065">
        <f>AN87</f>
        <v/>
      </c>
    </row>
    <row r="1066">
      <c r="A1066">
        <f>I88</f>
        <v/>
      </c>
      <c r="B1066">
        <f>AH88</f>
        <v/>
      </c>
      <c r="C1066">
        <f>AJ88</f>
        <v/>
      </c>
      <c r="D1066">
        <f>AL88</f>
        <v/>
      </c>
      <c r="E1066">
        <f>AN88</f>
        <v/>
      </c>
    </row>
    <row r="1067">
      <c r="A1067">
        <f>I89</f>
        <v/>
      </c>
      <c r="B1067">
        <f>AH89</f>
        <v/>
      </c>
      <c r="C1067">
        <f>AJ89</f>
        <v/>
      </c>
      <c r="D1067">
        <f>AL89</f>
        <v/>
      </c>
      <c r="E1067">
        <f>AN89</f>
        <v/>
      </c>
    </row>
    <row r="1068">
      <c r="A1068">
        <f>I90</f>
        <v/>
      </c>
      <c r="B1068">
        <f>AH90</f>
        <v/>
      </c>
      <c r="C1068">
        <f>AJ90</f>
        <v/>
      </c>
      <c r="D1068">
        <f>AL90</f>
        <v/>
      </c>
      <c r="E1068">
        <f>AN90</f>
        <v/>
      </c>
    </row>
    <row r="1069">
      <c r="A1069">
        <f>I91</f>
        <v/>
      </c>
      <c r="B1069">
        <f>AH91</f>
        <v/>
      </c>
      <c r="C1069">
        <f>AJ91</f>
        <v/>
      </c>
      <c r="D1069">
        <f>AL91</f>
        <v/>
      </c>
      <c r="E1069">
        <f>AN91</f>
        <v/>
      </c>
    </row>
    <row r="1070">
      <c r="A1070">
        <f>I92</f>
        <v/>
      </c>
      <c r="B1070">
        <f>AH92</f>
        <v/>
      </c>
      <c r="C1070">
        <f>AJ92</f>
        <v/>
      </c>
      <c r="D1070">
        <f>AL92</f>
        <v/>
      </c>
      <c r="E1070">
        <f>AN92</f>
        <v/>
      </c>
    </row>
    <row r="1071">
      <c r="A1071">
        <f>I93</f>
        <v/>
      </c>
      <c r="B1071">
        <f>AH93</f>
        <v/>
      </c>
      <c r="C1071">
        <f>AJ93</f>
        <v/>
      </c>
      <c r="D1071">
        <f>AL93</f>
        <v/>
      </c>
      <c r="E1071">
        <f>AN93</f>
        <v/>
      </c>
    </row>
    <row r="1072">
      <c r="A1072">
        <f>I94</f>
        <v/>
      </c>
      <c r="B1072">
        <f>AH94</f>
        <v/>
      </c>
      <c r="C1072">
        <f>AJ94</f>
        <v/>
      </c>
      <c r="D1072">
        <f>AL94</f>
        <v/>
      </c>
      <c r="E1072">
        <f>AN94</f>
        <v/>
      </c>
    </row>
    <row r="1073">
      <c r="A1073">
        <f>I95</f>
        <v/>
      </c>
      <c r="B1073">
        <f>AH95</f>
        <v/>
      </c>
      <c r="C1073">
        <f>AJ95</f>
        <v/>
      </c>
      <c r="D1073">
        <f>AL95</f>
        <v/>
      </c>
      <c r="E1073">
        <f>AN95</f>
        <v/>
      </c>
    </row>
    <row r="1074">
      <c r="A1074">
        <f>I96</f>
        <v/>
      </c>
      <c r="B1074">
        <f>AH96</f>
        <v/>
      </c>
      <c r="C1074">
        <f>AJ96</f>
        <v/>
      </c>
      <c r="D1074">
        <f>AL96</f>
        <v/>
      </c>
      <c r="E1074">
        <f>AN96</f>
        <v/>
      </c>
    </row>
    <row r="1075">
      <c r="A1075">
        <f>I97</f>
        <v/>
      </c>
      <c r="B1075">
        <f>AH97</f>
        <v/>
      </c>
      <c r="C1075">
        <f>AJ97</f>
        <v/>
      </c>
      <c r="D1075">
        <f>AL97</f>
        <v/>
      </c>
      <c r="E1075">
        <f>AN97</f>
        <v/>
      </c>
    </row>
    <row r="1076">
      <c r="A1076">
        <f>I98</f>
        <v/>
      </c>
      <c r="B1076">
        <f>AH98</f>
        <v/>
      </c>
      <c r="C1076">
        <f>AJ98</f>
        <v/>
      </c>
      <c r="D1076">
        <f>AL98</f>
        <v/>
      </c>
      <c r="E1076">
        <f>AN98</f>
        <v/>
      </c>
    </row>
    <row r="1077">
      <c r="A1077">
        <f>I99</f>
        <v/>
      </c>
      <c r="B1077">
        <f>AH99</f>
        <v/>
      </c>
      <c r="C1077">
        <f>AJ99</f>
        <v/>
      </c>
      <c r="D1077">
        <f>AL99</f>
        <v/>
      </c>
      <c r="E1077">
        <f>AN99</f>
        <v/>
      </c>
    </row>
    <row r="1078">
      <c r="A1078">
        <f>I100</f>
        <v/>
      </c>
      <c r="B1078">
        <f>AH100</f>
        <v/>
      </c>
      <c r="C1078">
        <f>AJ100</f>
        <v/>
      </c>
      <c r="D1078">
        <f>AL100</f>
        <v/>
      </c>
      <c r="E1078">
        <f>AN100</f>
        <v/>
      </c>
    </row>
    <row r="1079">
      <c r="A1079">
        <f>I101</f>
        <v/>
      </c>
      <c r="B1079">
        <f>AH101</f>
        <v/>
      </c>
      <c r="C1079">
        <f>AJ101</f>
        <v/>
      </c>
      <c r="D1079">
        <f>AL101</f>
        <v/>
      </c>
      <c r="E1079">
        <f>AN101</f>
        <v/>
      </c>
    </row>
    <row r="1080">
      <c r="A1080">
        <f>I102</f>
        <v/>
      </c>
      <c r="B1080">
        <f>AH102</f>
        <v/>
      </c>
      <c r="C1080">
        <f>AJ102</f>
        <v/>
      </c>
      <c r="D1080">
        <f>AL102</f>
        <v/>
      </c>
      <c r="E1080">
        <f>AN102</f>
        <v/>
      </c>
    </row>
    <row r="1081">
      <c r="A1081">
        <f>I103</f>
        <v/>
      </c>
      <c r="B1081">
        <f>AH103</f>
        <v/>
      </c>
      <c r="C1081">
        <f>AJ103</f>
        <v/>
      </c>
      <c r="D1081">
        <f>AL103</f>
        <v/>
      </c>
      <c r="E1081">
        <f>AN103</f>
        <v/>
      </c>
    </row>
    <row r="1082">
      <c r="A1082">
        <f>I104</f>
        <v/>
      </c>
      <c r="B1082">
        <f>AH104</f>
        <v/>
      </c>
      <c r="C1082">
        <f>AJ104</f>
        <v/>
      </c>
      <c r="D1082">
        <f>AL104</f>
        <v/>
      </c>
      <c r="E1082">
        <f>AN104</f>
        <v/>
      </c>
    </row>
    <row r="1083">
      <c r="A1083">
        <f>I105</f>
        <v/>
      </c>
      <c r="B1083">
        <f>AH105</f>
        <v/>
      </c>
      <c r="C1083">
        <f>AJ105</f>
        <v/>
      </c>
      <c r="D1083">
        <f>AL105</f>
        <v/>
      </c>
      <c r="E1083">
        <f>AN105</f>
        <v/>
      </c>
    </row>
    <row r="1084">
      <c r="A1084">
        <f>I106</f>
        <v/>
      </c>
      <c r="B1084">
        <f>AH106</f>
        <v/>
      </c>
      <c r="C1084">
        <f>AJ106</f>
        <v/>
      </c>
      <c r="D1084">
        <f>AL106</f>
        <v/>
      </c>
      <c r="E1084">
        <f>AN106</f>
        <v/>
      </c>
    </row>
    <row r="1085">
      <c r="A1085">
        <f>I107</f>
        <v/>
      </c>
      <c r="B1085">
        <f>AH107</f>
        <v/>
      </c>
      <c r="C1085">
        <f>AJ107</f>
        <v/>
      </c>
      <c r="D1085">
        <f>AL107</f>
        <v/>
      </c>
      <c r="E1085">
        <f>AN107</f>
        <v/>
      </c>
    </row>
    <row r="1086">
      <c r="A1086">
        <f>I108</f>
        <v/>
      </c>
      <c r="B1086">
        <f>AH108</f>
        <v/>
      </c>
      <c r="C1086">
        <f>AJ108</f>
        <v/>
      </c>
      <c r="D1086">
        <f>AL108</f>
        <v/>
      </c>
      <c r="E1086">
        <f>AN108</f>
        <v/>
      </c>
    </row>
    <row r="1087">
      <c r="A1087">
        <f>I109</f>
        <v/>
      </c>
      <c r="B1087">
        <f>AH109</f>
        <v/>
      </c>
      <c r="C1087">
        <f>AJ109</f>
        <v/>
      </c>
      <c r="D1087">
        <f>AL109</f>
        <v/>
      </c>
      <c r="E1087">
        <f>AN109</f>
        <v/>
      </c>
    </row>
    <row r="1088">
      <c r="A1088">
        <f>I110</f>
        <v/>
      </c>
      <c r="B1088">
        <f>AH110</f>
        <v/>
      </c>
      <c r="C1088">
        <f>AJ110</f>
        <v/>
      </c>
      <c r="D1088">
        <f>AL110</f>
        <v/>
      </c>
      <c r="E1088">
        <f>AN110</f>
        <v/>
      </c>
    </row>
    <row r="1089">
      <c r="A1089">
        <f>I111</f>
        <v/>
      </c>
      <c r="B1089">
        <f>AH111</f>
        <v/>
      </c>
      <c r="C1089">
        <f>AJ111</f>
        <v/>
      </c>
      <c r="D1089">
        <f>AL111</f>
        <v/>
      </c>
      <c r="E1089">
        <f>AN111</f>
        <v/>
      </c>
    </row>
    <row r="1090">
      <c r="A1090">
        <f>I112</f>
        <v/>
      </c>
      <c r="B1090">
        <f>AH112</f>
        <v/>
      </c>
      <c r="C1090">
        <f>AJ112</f>
        <v/>
      </c>
      <c r="D1090">
        <f>AL112</f>
        <v/>
      </c>
      <c r="E1090">
        <f>AN112</f>
        <v/>
      </c>
    </row>
    <row r="1091">
      <c r="A1091">
        <f>I113</f>
        <v/>
      </c>
      <c r="B1091">
        <f>AH113</f>
        <v/>
      </c>
      <c r="C1091">
        <f>AJ113</f>
        <v/>
      </c>
      <c r="D1091">
        <f>AL113</f>
        <v/>
      </c>
      <c r="E1091">
        <f>AN113</f>
        <v/>
      </c>
    </row>
    <row r="1092">
      <c r="A1092">
        <f>I114</f>
        <v/>
      </c>
      <c r="B1092">
        <f>AH114</f>
        <v/>
      </c>
      <c r="C1092">
        <f>AJ114</f>
        <v/>
      </c>
      <c r="D1092">
        <f>AL114</f>
        <v/>
      </c>
      <c r="E1092">
        <f>AN114</f>
        <v/>
      </c>
    </row>
    <row r="1093">
      <c r="A1093">
        <f>I115</f>
        <v/>
      </c>
      <c r="B1093">
        <f>AH115</f>
        <v/>
      </c>
      <c r="C1093">
        <f>AJ115</f>
        <v/>
      </c>
      <c r="D1093">
        <f>AL115</f>
        <v/>
      </c>
      <c r="E1093">
        <f>AN115</f>
        <v/>
      </c>
    </row>
    <row r="1094">
      <c r="A1094">
        <f>I116</f>
        <v/>
      </c>
      <c r="B1094">
        <f>AH116</f>
        <v/>
      </c>
      <c r="C1094">
        <f>AJ116</f>
        <v/>
      </c>
      <c r="D1094">
        <f>AL116</f>
        <v/>
      </c>
      <c r="E1094">
        <f>AN116</f>
        <v/>
      </c>
    </row>
    <row r="1095">
      <c r="A1095">
        <f>I117</f>
        <v/>
      </c>
      <c r="B1095">
        <f>AH117</f>
        <v/>
      </c>
      <c r="C1095">
        <f>AJ117</f>
        <v/>
      </c>
      <c r="D1095">
        <f>AL117</f>
        <v/>
      </c>
      <c r="E1095">
        <f>AN117</f>
        <v/>
      </c>
    </row>
    <row r="1096">
      <c r="A1096">
        <f>I118</f>
        <v/>
      </c>
      <c r="B1096">
        <f>AH118</f>
        <v/>
      </c>
      <c r="C1096">
        <f>AJ118</f>
        <v/>
      </c>
      <c r="D1096">
        <f>AL118</f>
        <v/>
      </c>
      <c r="E1096">
        <f>AN118</f>
        <v/>
      </c>
    </row>
    <row r="1097">
      <c r="A1097">
        <f>I119</f>
        <v/>
      </c>
      <c r="B1097">
        <f>AH119</f>
        <v/>
      </c>
      <c r="C1097">
        <f>AJ119</f>
        <v/>
      </c>
      <c r="D1097">
        <f>AL119</f>
        <v/>
      </c>
      <c r="E1097">
        <f>AN119</f>
        <v/>
      </c>
    </row>
    <row r="1098">
      <c r="A1098">
        <f>I120</f>
        <v/>
      </c>
      <c r="B1098">
        <f>AH120</f>
        <v/>
      </c>
      <c r="C1098">
        <f>AJ120</f>
        <v/>
      </c>
      <c r="D1098">
        <f>AL120</f>
        <v/>
      </c>
      <c r="E1098">
        <f>AN120</f>
        <v/>
      </c>
    </row>
    <row r="1099">
      <c r="A1099">
        <f>I121</f>
        <v/>
      </c>
      <c r="B1099">
        <f>AH121</f>
        <v/>
      </c>
      <c r="C1099">
        <f>AJ121</f>
        <v/>
      </c>
      <c r="D1099">
        <f>AL121</f>
        <v/>
      </c>
      <c r="E1099">
        <f>AN121</f>
        <v/>
      </c>
    </row>
    <row r="1100">
      <c r="A1100">
        <f>I122</f>
        <v/>
      </c>
      <c r="B1100">
        <f>AH122</f>
        <v/>
      </c>
      <c r="C1100">
        <f>AJ122</f>
        <v/>
      </c>
      <c r="D1100">
        <f>AL122</f>
        <v/>
      </c>
      <c r="E1100">
        <f>AN122</f>
        <v/>
      </c>
    </row>
    <row r="1101">
      <c r="A1101">
        <f>I123</f>
        <v/>
      </c>
      <c r="B1101">
        <f>AH123</f>
        <v/>
      </c>
      <c r="C1101">
        <f>AJ123</f>
        <v/>
      </c>
      <c r="D1101">
        <f>AL123</f>
        <v/>
      </c>
      <c r="E1101">
        <f>AN123</f>
        <v/>
      </c>
    </row>
    <row r="1102">
      <c r="A1102">
        <f>I124</f>
        <v/>
      </c>
      <c r="B1102">
        <f>AH124</f>
        <v/>
      </c>
      <c r="C1102">
        <f>AJ124</f>
        <v/>
      </c>
      <c r="D1102">
        <f>AL124</f>
        <v/>
      </c>
      <c r="E1102">
        <f>AN124</f>
        <v/>
      </c>
    </row>
    <row r="1103">
      <c r="A1103">
        <f>I125</f>
        <v/>
      </c>
      <c r="B1103">
        <f>AH125</f>
        <v/>
      </c>
      <c r="C1103">
        <f>AJ125</f>
        <v/>
      </c>
      <c r="D1103">
        <f>AL125</f>
        <v/>
      </c>
      <c r="E1103">
        <f>AN125</f>
        <v/>
      </c>
    </row>
    <row r="1104">
      <c r="A1104">
        <f>I126</f>
        <v/>
      </c>
      <c r="B1104">
        <f>AH126</f>
        <v/>
      </c>
      <c r="C1104">
        <f>AJ126</f>
        <v/>
      </c>
      <c r="D1104">
        <f>AL126</f>
        <v/>
      </c>
      <c r="E1104">
        <f>AN126</f>
        <v/>
      </c>
    </row>
    <row r="1105">
      <c r="A1105">
        <f>I127</f>
        <v/>
      </c>
      <c r="B1105">
        <f>AH127</f>
        <v/>
      </c>
      <c r="C1105">
        <f>AJ127</f>
        <v/>
      </c>
      <c r="D1105">
        <f>AL127</f>
        <v/>
      </c>
      <c r="E1105">
        <f>AN127</f>
        <v/>
      </c>
    </row>
    <row r="1106">
      <c r="A1106">
        <f>I128</f>
        <v/>
      </c>
      <c r="B1106">
        <f>AH128</f>
        <v/>
      </c>
      <c r="C1106">
        <f>AJ128</f>
        <v/>
      </c>
      <c r="D1106">
        <f>AL128</f>
        <v/>
      </c>
      <c r="E1106">
        <f>AN128</f>
        <v/>
      </c>
    </row>
    <row r="1107">
      <c r="A1107">
        <f>I129</f>
        <v/>
      </c>
      <c r="B1107">
        <f>AH129</f>
        <v/>
      </c>
      <c r="C1107">
        <f>AJ129</f>
        <v/>
      </c>
      <c r="D1107">
        <f>AL129</f>
        <v/>
      </c>
      <c r="E1107">
        <f>AN129</f>
        <v/>
      </c>
    </row>
    <row r="1108">
      <c r="A1108">
        <f>I130</f>
        <v/>
      </c>
      <c r="B1108">
        <f>AH130</f>
        <v/>
      </c>
      <c r="C1108">
        <f>AJ130</f>
        <v/>
      </c>
      <c r="D1108">
        <f>AL130</f>
        <v/>
      </c>
      <c r="E1108">
        <f>AN130</f>
        <v/>
      </c>
    </row>
    <row r="1109">
      <c r="A1109">
        <f>I131</f>
        <v/>
      </c>
      <c r="B1109">
        <f>AH131</f>
        <v/>
      </c>
      <c r="C1109">
        <f>AJ131</f>
        <v/>
      </c>
      <c r="D1109">
        <f>AL131</f>
        <v/>
      </c>
      <c r="E1109">
        <f>AN131</f>
        <v/>
      </c>
    </row>
    <row r="1110">
      <c r="A1110">
        <f>I132</f>
        <v/>
      </c>
      <c r="B1110">
        <f>AH132</f>
        <v/>
      </c>
      <c r="C1110">
        <f>AJ132</f>
        <v/>
      </c>
      <c r="D1110">
        <f>AL132</f>
        <v/>
      </c>
      <c r="E1110">
        <f>AN132</f>
        <v/>
      </c>
    </row>
    <row r="1111">
      <c r="A1111">
        <f>I133</f>
        <v/>
      </c>
      <c r="B1111">
        <f>AH133</f>
        <v/>
      </c>
      <c r="C1111">
        <f>AJ133</f>
        <v/>
      </c>
      <c r="D1111">
        <f>AL133</f>
        <v/>
      </c>
      <c r="E1111">
        <f>AN133</f>
        <v/>
      </c>
    </row>
    <row r="1112">
      <c r="A1112">
        <f>I134</f>
        <v/>
      </c>
      <c r="B1112">
        <f>AH134</f>
        <v/>
      </c>
      <c r="C1112">
        <f>AJ134</f>
        <v/>
      </c>
      <c r="D1112">
        <f>AL134</f>
        <v/>
      </c>
      <c r="E1112">
        <f>AN134</f>
        <v/>
      </c>
    </row>
    <row r="1113">
      <c r="A1113">
        <f>I135</f>
        <v/>
      </c>
      <c r="B1113">
        <f>AH135</f>
        <v/>
      </c>
      <c r="C1113">
        <f>AJ135</f>
        <v/>
      </c>
      <c r="D1113">
        <f>AL135</f>
        <v/>
      </c>
      <c r="E1113">
        <f>AN135</f>
        <v/>
      </c>
    </row>
    <row r="1114">
      <c r="A1114">
        <f>I136</f>
        <v/>
      </c>
      <c r="B1114">
        <f>AH136</f>
        <v/>
      </c>
      <c r="C1114">
        <f>AJ136</f>
        <v/>
      </c>
      <c r="D1114">
        <f>AL136</f>
        <v/>
      </c>
      <c r="E1114">
        <f>AN136</f>
        <v/>
      </c>
    </row>
    <row r="1115">
      <c r="A1115">
        <f>I137</f>
        <v/>
      </c>
      <c r="B1115">
        <f>AH137</f>
        <v/>
      </c>
      <c r="C1115">
        <f>AJ137</f>
        <v/>
      </c>
      <c r="D1115">
        <f>AL137</f>
        <v/>
      </c>
      <c r="E1115">
        <f>AN137</f>
        <v/>
      </c>
    </row>
    <row r="1116">
      <c r="A1116">
        <f>I138</f>
        <v/>
      </c>
      <c r="B1116">
        <f>AH138</f>
        <v/>
      </c>
      <c r="C1116">
        <f>AJ138</f>
        <v/>
      </c>
      <c r="D1116">
        <f>AL138</f>
        <v/>
      </c>
      <c r="E1116">
        <f>AN138</f>
        <v/>
      </c>
    </row>
    <row r="1117">
      <c r="A1117">
        <f>I139</f>
        <v/>
      </c>
      <c r="B1117">
        <f>AH139</f>
        <v/>
      </c>
      <c r="C1117">
        <f>AJ139</f>
        <v/>
      </c>
      <c r="D1117">
        <f>AL139</f>
        <v/>
      </c>
      <c r="E1117">
        <f>AN139</f>
        <v/>
      </c>
    </row>
    <row r="1118">
      <c r="A1118">
        <f>I140</f>
        <v/>
      </c>
      <c r="B1118">
        <f>AH140</f>
        <v/>
      </c>
      <c r="C1118">
        <f>AJ140</f>
        <v/>
      </c>
      <c r="D1118">
        <f>AL140</f>
        <v/>
      </c>
      <c r="E1118">
        <f>AN140</f>
        <v/>
      </c>
    </row>
    <row r="1119">
      <c r="A1119">
        <f>I141</f>
        <v/>
      </c>
      <c r="B1119">
        <f>AH141</f>
        <v/>
      </c>
      <c r="C1119">
        <f>AJ141</f>
        <v/>
      </c>
      <c r="D1119">
        <f>AL141</f>
        <v/>
      </c>
      <c r="E1119">
        <f>AN141</f>
        <v/>
      </c>
    </row>
    <row r="1120">
      <c r="A1120">
        <f>I142</f>
        <v/>
      </c>
      <c r="B1120">
        <f>AH142</f>
        <v/>
      </c>
      <c r="C1120">
        <f>AJ142</f>
        <v/>
      </c>
      <c r="D1120">
        <f>AL142</f>
        <v/>
      </c>
      <c r="E1120">
        <f>AN142</f>
        <v/>
      </c>
    </row>
    <row r="1121">
      <c r="A1121">
        <f>I143</f>
        <v/>
      </c>
      <c r="B1121">
        <f>AH143</f>
        <v/>
      </c>
      <c r="C1121">
        <f>AJ143</f>
        <v/>
      </c>
      <c r="D1121">
        <f>AL143</f>
        <v/>
      </c>
      <c r="E1121">
        <f>AN143</f>
        <v/>
      </c>
    </row>
    <row r="1122">
      <c r="A1122">
        <f>I144</f>
        <v/>
      </c>
      <c r="B1122">
        <f>AH144</f>
        <v/>
      </c>
      <c r="C1122">
        <f>AJ144</f>
        <v/>
      </c>
      <c r="D1122">
        <f>AL144</f>
        <v/>
      </c>
      <c r="E1122">
        <f>AN144</f>
        <v/>
      </c>
    </row>
    <row r="1123">
      <c r="A1123">
        <f>I145</f>
        <v/>
      </c>
      <c r="B1123">
        <f>AH145</f>
        <v/>
      </c>
      <c r="C1123">
        <f>AJ145</f>
        <v/>
      </c>
      <c r="D1123">
        <f>AL145</f>
        <v/>
      </c>
      <c r="E1123">
        <f>AN145</f>
        <v/>
      </c>
    </row>
    <row r="1124">
      <c r="A1124">
        <f>I146</f>
        <v/>
      </c>
      <c r="B1124">
        <f>AH146</f>
        <v/>
      </c>
      <c r="C1124">
        <f>AJ146</f>
        <v/>
      </c>
      <c r="D1124">
        <f>AL146</f>
        <v/>
      </c>
      <c r="E1124">
        <f>AN146</f>
        <v/>
      </c>
    </row>
    <row r="1125">
      <c r="A1125">
        <f>I147</f>
        <v/>
      </c>
      <c r="B1125">
        <f>AH147</f>
        <v/>
      </c>
      <c r="C1125">
        <f>AJ147</f>
        <v/>
      </c>
      <c r="D1125">
        <f>AL147</f>
        <v/>
      </c>
      <c r="E1125">
        <f>AN147</f>
        <v/>
      </c>
    </row>
    <row r="1126">
      <c r="A1126">
        <f>I148</f>
        <v/>
      </c>
      <c r="B1126">
        <f>AH148</f>
        <v/>
      </c>
      <c r="C1126">
        <f>AJ148</f>
        <v/>
      </c>
      <c r="D1126">
        <f>AL148</f>
        <v/>
      </c>
      <c r="E1126">
        <f>AN148</f>
        <v/>
      </c>
    </row>
    <row r="1127">
      <c r="A1127">
        <f>I149</f>
        <v/>
      </c>
      <c r="B1127">
        <f>AH149</f>
        <v/>
      </c>
      <c r="C1127">
        <f>AJ149</f>
        <v/>
      </c>
      <c r="D1127">
        <f>AL149</f>
        <v/>
      </c>
      <c r="E1127">
        <f>AN149</f>
        <v/>
      </c>
    </row>
    <row r="1128">
      <c r="A1128">
        <f>I150</f>
        <v/>
      </c>
      <c r="B1128">
        <f>AH150</f>
        <v/>
      </c>
      <c r="C1128">
        <f>AJ150</f>
        <v/>
      </c>
      <c r="D1128">
        <f>AL150</f>
        <v/>
      </c>
      <c r="E1128">
        <f>AN150</f>
        <v/>
      </c>
    </row>
    <row r="1129">
      <c r="A1129">
        <f>I151</f>
        <v/>
      </c>
      <c r="B1129">
        <f>AH151</f>
        <v/>
      </c>
      <c r="C1129">
        <f>AJ151</f>
        <v/>
      </c>
      <c r="D1129">
        <f>AL151</f>
        <v/>
      </c>
      <c r="E1129">
        <f>AN151</f>
        <v/>
      </c>
    </row>
    <row r="1130">
      <c r="A1130">
        <f>I152</f>
        <v/>
      </c>
      <c r="B1130">
        <f>AH152</f>
        <v/>
      </c>
      <c r="C1130">
        <f>AJ152</f>
        <v/>
      </c>
      <c r="D1130">
        <f>AL152</f>
        <v/>
      </c>
      <c r="E1130">
        <f>AN152</f>
        <v/>
      </c>
    </row>
    <row r="1131">
      <c r="A1131">
        <f>I153</f>
        <v/>
      </c>
      <c r="B1131">
        <f>AH153</f>
        <v/>
      </c>
      <c r="C1131">
        <f>AJ153</f>
        <v/>
      </c>
      <c r="D1131">
        <f>AL153</f>
        <v/>
      </c>
      <c r="E1131">
        <f>AN153</f>
        <v/>
      </c>
    </row>
    <row r="1132">
      <c r="A1132">
        <f>I154</f>
        <v/>
      </c>
      <c r="B1132">
        <f>AH154</f>
        <v/>
      </c>
      <c r="C1132">
        <f>AJ154</f>
        <v/>
      </c>
      <c r="D1132">
        <f>AL154</f>
        <v/>
      </c>
      <c r="E1132">
        <f>AN154</f>
        <v/>
      </c>
    </row>
    <row r="1133">
      <c r="A1133">
        <f>I155</f>
        <v/>
      </c>
      <c r="B1133">
        <f>AH155</f>
        <v/>
      </c>
      <c r="C1133">
        <f>AJ155</f>
        <v/>
      </c>
      <c r="D1133">
        <f>AL155</f>
        <v/>
      </c>
      <c r="E1133">
        <f>AN155</f>
        <v/>
      </c>
    </row>
    <row r="1134">
      <c r="A1134">
        <f>I156</f>
        <v/>
      </c>
      <c r="B1134">
        <f>AH156</f>
        <v/>
      </c>
      <c r="C1134">
        <f>AJ156</f>
        <v/>
      </c>
      <c r="D1134">
        <f>AL156</f>
        <v/>
      </c>
      <c r="E1134">
        <f>AN156</f>
        <v/>
      </c>
    </row>
    <row r="1135">
      <c r="A1135">
        <f>I157</f>
        <v/>
      </c>
      <c r="B1135">
        <f>AH157</f>
        <v/>
      </c>
      <c r="C1135">
        <f>AJ157</f>
        <v/>
      </c>
      <c r="D1135">
        <f>AL157</f>
        <v/>
      </c>
      <c r="E1135">
        <f>AN157</f>
        <v/>
      </c>
    </row>
    <row r="1136">
      <c r="A1136">
        <f>I158</f>
        <v/>
      </c>
      <c r="B1136">
        <f>AH158</f>
        <v/>
      </c>
      <c r="C1136">
        <f>AJ158</f>
        <v/>
      </c>
      <c r="D1136">
        <f>AL158</f>
        <v/>
      </c>
      <c r="E1136">
        <f>AN158</f>
        <v/>
      </c>
    </row>
    <row r="1137">
      <c r="A1137">
        <f>I159</f>
        <v/>
      </c>
      <c r="B1137">
        <f>AH159</f>
        <v/>
      </c>
      <c r="C1137">
        <f>AJ159</f>
        <v/>
      </c>
      <c r="D1137">
        <f>AL159</f>
        <v/>
      </c>
      <c r="E1137">
        <f>AN159</f>
        <v/>
      </c>
    </row>
    <row r="1138">
      <c r="A1138">
        <f>I160</f>
        <v/>
      </c>
      <c r="B1138">
        <f>AH160</f>
        <v/>
      </c>
      <c r="C1138">
        <f>AJ160</f>
        <v/>
      </c>
      <c r="D1138">
        <f>AL160</f>
        <v/>
      </c>
      <c r="E1138">
        <f>AN160</f>
        <v/>
      </c>
    </row>
    <row r="1139">
      <c r="A1139">
        <f>I161</f>
        <v/>
      </c>
      <c r="B1139">
        <f>AH161</f>
        <v/>
      </c>
      <c r="C1139">
        <f>AJ161</f>
        <v/>
      </c>
      <c r="D1139">
        <f>AL161</f>
        <v/>
      </c>
      <c r="E1139">
        <f>AN161</f>
        <v/>
      </c>
    </row>
    <row r="1140">
      <c r="A1140">
        <f>I162</f>
        <v/>
      </c>
      <c r="B1140">
        <f>AH162</f>
        <v/>
      </c>
      <c r="C1140">
        <f>AJ162</f>
        <v/>
      </c>
      <c r="D1140">
        <f>AL162</f>
        <v/>
      </c>
      <c r="E1140">
        <f>AN162</f>
        <v/>
      </c>
    </row>
    <row r="1141">
      <c r="A1141">
        <f>I163</f>
        <v/>
      </c>
      <c r="B1141">
        <f>AH163</f>
        <v/>
      </c>
      <c r="C1141">
        <f>AJ163</f>
        <v/>
      </c>
      <c r="D1141">
        <f>AL163</f>
        <v/>
      </c>
      <c r="E1141">
        <f>AN163</f>
        <v/>
      </c>
    </row>
    <row r="1142">
      <c r="A1142">
        <f>I164</f>
        <v/>
      </c>
      <c r="B1142">
        <f>AH164</f>
        <v/>
      </c>
      <c r="C1142">
        <f>AJ164</f>
        <v/>
      </c>
      <c r="D1142">
        <f>AL164</f>
        <v/>
      </c>
      <c r="E1142">
        <f>AN164</f>
        <v/>
      </c>
    </row>
    <row r="1143">
      <c r="A1143">
        <f>I165</f>
        <v/>
      </c>
      <c r="B1143">
        <f>AH165</f>
        <v/>
      </c>
      <c r="C1143">
        <f>AJ165</f>
        <v/>
      </c>
      <c r="D1143">
        <f>AL165</f>
        <v/>
      </c>
      <c r="E1143">
        <f>AN165</f>
        <v/>
      </c>
    </row>
    <row r="1144">
      <c r="A1144">
        <f>I166</f>
        <v/>
      </c>
      <c r="B1144">
        <f>AH166</f>
        <v/>
      </c>
      <c r="C1144">
        <f>AJ166</f>
        <v/>
      </c>
      <c r="D1144">
        <f>AL166</f>
        <v/>
      </c>
      <c r="E1144">
        <f>AN166</f>
        <v/>
      </c>
    </row>
    <row r="1145">
      <c r="A1145">
        <f>I167</f>
        <v/>
      </c>
      <c r="B1145">
        <f>AH167</f>
        <v/>
      </c>
      <c r="C1145">
        <f>AJ167</f>
        <v/>
      </c>
      <c r="D1145">
        <f>AL167</f>
        <v/>
      </c>
      <c r="E1145">
        <f>AN167</f>
        <v/>
      </c>
    </row>
    <row r="1146">
      <c r="A1146">
        <f>I168</f>
        <v/>
      </c>
      <c r="B1146">
        <f>AH168</f>
        <v/>
      </c>
      <c r="C1146">
        <f>AJ168</f>
        <v/>
      </c>
      <c r="D1146">
        <f>AL168</f>
        <v/>
      </c>
      <c r="E1146">
        <f>AN168</f>
        <v/>
      </c>
    </row>
    <row r="1147">
      <c r="A1147">
        <f>I169</f>
        <v/>
      </c>
      <c r="B1147">
        <f>AH169</f>
        <v/>
      </c>
      <c r="C1147">
        <f>AJ169</f>
        <v/>
      </c>
      <c r="D1147">
        <f>AL169</f>
        <v/>
      </c>
      <c r="E1147">
        <f>AN169</f>
        <v/>
      </c>
    </row>
    <row r="1148">
      <c r="A1148">
        <f>I170</f>
        <v/>
      </c>
      <c r="B1148">
        <f>AH170</f>
        <v/>
      </c>
      <c r="C1148">
        <f>AJ170</f>
        <v/>
      </c>
      <c r="D1148">
        <f>AL170</f>
        <v/>
      </c>
      <c r="E1148">
        <f>AN170</f>
        <v/>
      </c>
    </row>
    <row r="1149">
      <c r="A1149">
        <f>I171</f>
        <v/>
      </c>
      <c r="B1149">
        <f>AH171</f>
        <v/>
      </c>
      <c r="C1149">
        <f>AJ171</f>
        <v/>
      </c>
      <c r="D1149">
        <f>AL171</f>
        <v/>
      </c>
      <c r="E1149">
        <f>AN171</f>
        <v/>
      </c>
    </row>
    <row r="1150">
      <c r="A1150">
        <f>I172</f>
        <v/>
      </c>
      <c r="B1150">
        <f>AH172</f>
        <v/>
      </c>
      <c r="C1150">
        <f>AJ172</f>
        <v/>
      </c>
      <c r="D1150">
        <f>AL172</f>
        <v/>
      </c>
      <c r="E1150">
        <f>AN172</f>
        <v/>
      </c>
    </row>
    <row r="1151">
      <c r="A1151">
        <f>I173</f>
        <v/>
      </c>
      <c r="B1151">
        <f>AH173</f>
        <v/>
      </c>
      <c r="C1151">
        <f>AJ173</f>
        <v/>
      </c>
      <c r="D1151">
        <f>AL173</f>
        <v/>
      </c>
      <c r="E1151">
        <f>AN173</f>
        <v/>
      </c>
    </row>
    <row r="1152">
      <c r="A1152">
        <f>I174</f>
        <v/>
      </c>
      <c r="B1152">
        <f>AH174</f>
        <v/>
      </c>
      <c r="C1152">
        <f>AJ174</f>
        <v/>
      </c>
      <c r="D1152">
        <f>AL174</f>
        <v/>
      </c>
      <c r="E1152">
        <f>AN174</f>
        <v/>
      </c>
    </row>
    <row r="1153">
      <c r="A1153">
        <f>I175</f>
        <v/>
      </c>
      <c r="B1153">
        <f>AH175</f>
        <v/>
      </c>
      <c r="C1153">
        <f>AJ175</f>
        <v/>
      </c>
      <c r="D1153">
        <f>AL175</f>
        <v/>
      </c>
      <c r="E1153">
        <f>AN175</f>
        <v/>
      </c>
    </row>
    <row r="1154">
      <c r="A1154">
        <f>I176</f>
        <v/>
      </c>
      <c r="B1154">
        <f>AH176</f>
        <v/>
      </c>
      <c r="C1154">
        <f>AJ176</f>
        <v/>
      </c>
      <c r="D1154">
        <f>AL176</f>
        <v/>
      </c>
      <c r="E1154">
        <f>AN176</f>
        <v/>
      </c>
    </row>
    <row r="1155">
      <c r="A1155">
        <f>I177</f>
        <v/>
      </c>
      <c r="B1155">
        <f>AH177</f>
        <v/>
      </c>
      <c r="C1155">
        <f>AJ177</f>
        <v/>
      </c>
      <c r="D1155">
        <f>AL177</f>
        <v/>
      </c>
      <c r="E1155">
        <f>AN177</f>
        <v/>
      </c>
    </row>
    <row r="1156">
      <c r="A1156">
        <f>I178</f>
        <v/>
      </c>
      <c r="B1156">
        <f>AH178</f>
        <v/>
      </c>
      <c r="C1156">
        <f>AJ178</f>
        <v/>
      </c>
      <c r="D1156">
        <f>AL178</f>
        <v/>
      </c>
      <c r="E1156">
        <f>AN178</f>
        <v/>
      </c>
    </row>
    <row r="1157">
      <c r="A1157">
        <f>I179</f>
        <v/>
      </c>
      <c r="B1157">
        <f>AH179</f>
        <v/>
      </c>
      <c r="C1157">
        <f>AJ179</f>
        <v/>
      </c>
      <c r="D1157">
        <f>AL179</f>
        <v/>
      </c>
      <c r="E1157">
        <f>AN179</f>
        <v/>
      </c>
    </row>
    <row r="1158">
      <c r="A1158">
        <f>I180</f>
        <v/>
      </c>
      <c r="B1158">
        <f>AH180</f>
        <v/>
      </c>
      <c r="C1158">
        <f>AJ180</f>
        <v/>
      </c>
      <c r="D1158">
        <f>AL180</f>
        <v/>
      </c>
      <c r="E1158">
        <f>AN180</f>
        <v/>
      </c>
    </row>
    <row r="1159">
      <c r="A1159">
        <f>I181</f>
        <v/>
      </c>
      <c r="B1159">
        <f>AH181</f>
        <v/>
      </c>
      <c r="C1159">
        <f>AJ181</f>
        <v/>
      </c>
      <c r="D1159">
        <f>AL181</f>
        <v/>
      </c>
      <c r="E1159">
        <f>AN181</f>
        <v/>
      </c>
    </row>
    <row r="1160">
      <c r="A1160">
        <f>I182</f>
        <v/>
      </c>
      <c r="B1160">
        <f>AH182</f>
        <v/>
      </c>
      <c r="C1160">
        <f>AJ182</f>
        <v/>
      </c>
      <c r="D1160">
        <f>AL182</f>
        <v/>
      </c>
      <c r="E1160">
        <f>AN182</f>
        <v/>
      </c>
    </row>
    <row r="1161">
      <c r="A1161">
        <f>I183</f>
        <v/>
      </c>
      <c r="B1161">
        <f>AH183</f>
        <v/>
      </c>
      <c r="C1161">
        <f>AJ183</f>
        <v/>
      </c>
      <c r="D1161">
        <f>AL183</f>
        <v/>
      </c>
      <c r="E1161">
        <f>AN183</f>
        <v/>
      </c>
    </row>
    <row r="1162">
      <c r="A1162">
        <f>I184</f>
        <v/>
      </c>
      <c r="B1162">
        <f>AH184</f>
        <v/>
      </c>
      <c r="C1162">
        <f>AJ184</f>
        <v/>
      </c>
      <c r="D1162">
        <f>AL184</f>
        <v/>
      </c>
      <c r="E1162">
        <f>AN184</f>
        <v/>
      </c>
    </row>
    <row r="1163">
      <c r="A1163">
        <f>I185</f>
        <v/>
      </c>
      <c r="B1163">
        <f>AH185</f>
        <v/>
      </c>
      <c r="C1163">
        <f>AJ185</f>
        <v/>
      </c>
      <c r="D1163">
        <f>AL185</f>
        <v/>
      </c>
      <c r="E1163">
        <f>AN185</f>
        <v/>
      </c>
    </row>
    <row r="1164">
      <c r="A1164">
        <f>I186</f>
        <v/>
      </c>
      <c r="B1164">
        <f>AH186</f>
        <v/>
      </c>
      <c r="C1164">
        <f>AJ186</f>
        <v/>
      </c>
      <c r="D1164">
        <f>AL186</f>
        <v/>
      </c>
      <c r="E1164">
        <f>AN186</f>
        <v/>
      </c>
    </row>
    <row r="1165">
      <c r="A1165">
        <f>I187</f>
        <v/>
      </c>
      <c r="B1165">
        <f>AH187</f>
        <v/>
      </c>
      <c r="C1165">
        <f>AJ187</f>
        <v/>
      </c>
      <c r="D1165">
        <f>AL187</f>
        <v/>
      </c>
      <c r="E1165">
        <f>AN187</f>
        <v/>
      </c>
    </row>
    <row r="1166">
      <c r="A1166">
        <f>I188</f>
        <v/>
      </c>
      <c r="B1166">
        <f>AH188</f>
        <v/>
      </c>
      <c r="C1166">
        <f>AJ188</f>
        <v/>
      </c>
      <c r="D1166">
        <f>AL188</f>
        <v/>
      </c>
      <c r="E1166">
        <f>AN188</f>
        <v/>
      </c>
    </row>
    <row r="1167">
      <c r="A1167">
        <f>I189</f>
        <v/>
      </c>
      <c r="B1167">
        <f>AH189</f>
        <v/>
      </c>
      <c r="C1167">
        <f>AJ189</f>
        <v/>
      </c>
      <c r="D1167">
        <f>AL189</f>
        <v/>
      </c>
      <c r="E1167">
        <f>AN189</f>
        <v/>
      </c>
    </row>
    <row r="1168">
      <c r="A1168">
        <f>I190</f>
        <v/>
      </c>
      <c r="B1168">
        <f>AH190</f>
        <v/>
      </c>
      <c r="C1168">
        <f>AJ190</f>
        <v/>
      </c>
      <c r="D1168">
        <f>AL190</f>
        <v/>
      </c>
      <c r="E1168">
        <f>AN190</f>
        <v/>
      </c>
    </row>
    <row r="1169">
      <c r="A1169">
        <f>I191</f>
        <v/>
      </c>
      <c r="B1169">
        <f>AH191</f>
        <v/>
      </c>
      <c r="C1169">
        <f>AJ191</f>
        <v/>
      </c>
      <c r="D1169">
        <f>AL191</f>
        <v/>
      </c>
      <c r="E1169">
        <f>AN191</f>
        <v/>
      </c>
    </row>
    <row r="1170">
      <c r="A1170">
        <f>I192</f>
        <v/>
      </c>
      <c r="B1170">
        <f>AH192</f>
        <v/>
      </c>
      <c r="C1170">
        <f>AJ192</f>
        <v/>
      </c>
      <c r="D1170">
        <f>AL192</f>
        <v/>
      </c>
      <c r="E1170">
        <f>AN192</f>
        <v/>
      </c>
    </row>
    <row r="1171">
      <c r="A1171">
        <f>I193</f>
        <v/>
      </c>
      <c r="B1171">
        <f>AH193</f>
        <v/>
      </c>
      <c r="C1171">
        <f>AJ193</f>
        <v/>
      </c>
      <c r="D1171">
        <f>AL193</f>
        <v/>
      </c>
      <c r="E1171">
        <f>AN193</f>
        <v/>
      </c>
    </row>
    <row r="1172">
      <c r="A1172">
        <f>I194</f>
        <v/>
      </c>
      <c r="B1172">
        <f>AH194</f>
        <v/>
      </c>
      <c r="C1172">
        <f>AJ194</f>
        <v/>
      </c>
      <c r="D1172">
        <f>AL194</f>
        <v/>
      </c>
      <c r="E1172">
        <f>AN194</f>
        <v/>
      </c>
    </row>
    <row r="1173">
      <c r="A1173">
        <f>I195</f>
        <v/>
      </c>
      <c r="B1173">
        <f>AH195</f>
        <v/>
      </c>
      <c r="C1173">
        <f>AJ195</f>
        <v/>
      </c>
      <c r="D1173">
        <f>AL195</f>
        <v/>
      </c>
      <c r="E1173">
        <f>AN195</f>
        <v/>
      </c>
    </row>
    <row r="1174">
      <c r="A1174">
        <f>I196</f>
        <v/>
      </c>
      <c r="B1174">
        <f>AH196</f>
        <v/>
      </c>
      <c r="C1174">
        <f>AJ196</f>
        <v/>
      </c>
      <c r="D1174">
        <f>AL196</f>
        <v/>
      </c>
      <c r="E1174">
        <f>AN196</f>
        <v/>
      </c>
    </row>
    <row r="1175">
      <c r="A1175">
        <f>I197</f>
        <v/>
      </c>
      <c r="B1175">
        <f>AH197</f>
        <v/>
      </c>
      <c r="C1175">
        <f>AJ197</f>
        <v/>
      </c>
      <c r="D1175">
        <f>AL197</f>
        <v/>
      </c>
      <c r="E1175">
        <f>AN197</f>
        <v/>
      </c>
    </row>
    <row r="1176">
      <c r="A1176">
        <f>I198</f>
        <v/>
      </c>
      <c r="B1176">
        <f>AH198</f>
        <v/>
      </c>
      <c r="C1176">
        <f>AJ198</f>
        <v/>
      </c>
      <c r="D1176">
        <f>AL198</f>
        <v/>
      </c>
      <c r="E1176">
        <f>AN198</f>
        <v/>
      </c>
    </row>
    <row r="1177">
      <c r="A1177">
        <f>I199</f>
        <v/>
      </c>
      <c r="B1177">
        <f>AH199</f>
        <v/>
      </c>
      <c r="C1177">
        <f>AJ199</f>
        <v/>
      </c>
      <c r="D1177">
        <f>AL199</f>
        <v/>
      </c>
      <c r="E1177">
        <f>AN199</f>
        <v/>
      </c>
    </row>
    <row r="1178">
      <c r="A1178">
        <f>I200</f>
        <v/>
      </c>
      <c r="B1178">
        <f>AH200</f>
        <v/>
      </c>
      <c r="C1178">
        <f>AJ200</f>
        <v/>
      </c>
      <c r="D1178">
        <f>AL200</f>
        <v/>
      </c>
      <c r="E1178">
        <f>AN200</f>
        <v/>
      </c>
    </row>
    <row r="1179">
      <c r="A1179">
        <f>I201</f>
        <v/>
      </c>
      <c r="B1179">
        <f>AH201</f>
        <v/>
      </c>
      <c r="C1179">
        <f>AJ201</f>
        <v/>
      </c>
      <c r="D1179">
        <f>AL201</f>
        <v/>
      </c>
      <c r="E1179">
        <f>AN201</f>
        <v/>
      </c>
    </row>
    <row r="1180">
      <c r="A1180">
        <f>I202</f>
        <v/>
      </c>
      <c r="B1180">
        <f>AH202</f>
        <v/>
      </c>
      <c r="C1180">
        <f>AJ202</f>
        <v/>
      </c>
      <c r="D1180">
        <f>AL202</f>
        <v/>
      </c>
      <c r="E1180">
        <f>AN202</f>
        <v/>
      </c>
    </row>
    <row r="1181">
      <c r="A1181">
        <f>I203</f>
        <v/>
      </c>
      <c r="B1181">
        <f>AH203</f>
        <v/>
      </c>
      <c r="C1181">
        <f>AJ203</f>
        <v/>
      </c>
      <c r="D1181">
        <f>AL203</f>
        <v/>
      </c>
      <c r="E1181">
        <f>AN203</f>
        <v/>
      </c>
    </row>
    <row r="1182">
      <c r="A1182">
        <f>I204</f>
        <v/>
      </c>
      <c r="B1182">
        <f>AH204</f>
        <v/>
      </c>
      <c r="C1182">
        <f>AJ204</f>
        <v/>
      </c>
      <c r="D1182">
        <f>AL204</f>
        <v/>
      </c>
      <c r="E1182">
        <f>AN204</f>
        <v/>
      </c>
    </row>
    <row r="1183">
      <c r="A1183">
        <f>I205</f>
        <v/>
      </c>
      <c r="B1183">
        <f>AH205</f>
        <v/>
      </c>
      <c r="C1183">
        <f>AJ205</f>
        <v/>
      </c>
      <c r="D1183">
        <f>AL205</f>
        <v/>
      </c>
      <c r="E1183">
        <f>AN205</f>
        <v/>
      </c>
    </row>
    <row r="1184">
      <c r="A1184">
        <f>I206</f>
        <v/>
      </c>
      <c r="B1184">
        <f>AH206</f>
        <v/>
      </c>
      <c r="C1184">
        <f>AJ206</f>
        <v/>
      </c>
      <c r="D1184">
        <f>AL206</f>
        <v/>
      </c>
      <c r="E1184">
        <f>AN206</f>
        <v/>
      </c>
    </row>
    <row r="1185">
      <c r="A1185">
        <f>I207</f>
        <v/>
      </c>
      <c r="B1185">
        <f>AH207</f>
        <v/>
      </c>
      <c r="C1185">
        <f>AJ207</f>
        <v/>
      </c>
      <c r="D1185">
        <f>AL207</f>
        <v/>
      </c>
      <c r="E1185">
        <f>AN207</f>
        <v/>
      </c>
    </row>
    <row r="1186">
      <c r="A1186">
        <f>I208</f>
        <v/>
      </c>
      <c r="B1186">
        <f>AH208</f>
        <v/>
      </c>
      <c r="C1186">
        <f>AJ208</f>
        <v/>
      </c>
      <c r="D1186">
        <f>AL208</f>
        <v/>
      </c>
      <c r="E1186">
        <f>AN208</f>
        <v/>
      </c>
    </row>
    <row r="1187">
      <c r="A1187">
        <f>I209</f>
        <v/>
      </c>
      <c r="B1187">
        <f>AH209</f>
        <v/>
      </c>
      <c r="C1187">
        <f>AJ209</f>
        <v/>
      </c>
      <c r="D1187">
        <f>AL209</f>
        <v/>
      </c>
      <c r="E1187">
        <f>AN209</f>
        <v/>
      </c>
    </row>
    <row r="1188">
      <c r="A1188">
        <f>I210</f>
        <v/>
      </c>
      <c r="B1188">
        <f>AH210</f>
        <v/>
      </c>
      <c r="C1188">
        <f>AJ210</f>
        <v/>
      </c>
      <c r="D1188">
        <f>AL210</f>
        <v/>
      </c>
      <c r="E1188">
        <f>AN210</f>
        <v/>
      </c>
    </row>
    <row r="1189">
      <c r="A1189">
        <f>I211</f>
        <v/>
      </c>
      <c r="B1189">
        <f>AH211</f>
        <v/>
      </c>
      <c r="C1189">
        <f>AJ211</f>
        <v/>
      </c>
      <c r="D1189">
        <f>AL211</f>
        <v/>
      </c>
      <c r="E1189">
        <f>AN211</f>
        <v/>
      </c>
    </row>
    <row r="1190">
      <c r="A1190">
        <f>I212</f>
        <v/>
      </c>
      <c r="B1190">
        <f>AH212</f>
        <v/>
      </c>
      <c r="C1190">
        <f>AJ212</f>
        <v/>
      </c>
      <c r="D1190">
        <f>AL212</f>
        <v/>
      </c>
      <c r="E1190">
        <f>AN212</f>
        <v/>
      </c>
    </row>
    <row r="1191">
      <c r="A1191">
        <f>I213</f>
        <v/>
      </c>
      <c r="B1191">
        <f>AH213</f>
        <v/>
      </c>
      <c r="C1191">
        <f>AJ213</f>
        <v/>
      </c>
      <c r="D1191">
        <f>AL213</f>
        <v/>
      </c>
      <c r="E1191">
        <f>AN213</f>
        <v/>
      </c>
    </row>
    <row r="1192">
      <c r="A1192">
        <f>I214</f>
        <v/>
      </c>
      <c r="B1192">
        <f>AH214</f>
        <v/>
      </c>
      <c r="C1192">
        <f>AJ214</f>
        <v/>
      </c>
      <c r="D1192">
        <f>AL214</f>
        <v/>
      </c>
      <c r="E1192">
        <f>AN214</f>
        <v/>
      </c>
    </row>
    <row r="1193">
      <c r="A1193">
        <f>I215</f>
        <v/>
      </c>
      <c r="B1193">
        <f>AH215</f>
        <v/>
      </c>
      <c r="C1193">
        <f>AJ215</f>
        <v/>
      </c>
      <c r="D1193">
        <f>AL215</f>
        <v/>
      </c>
      <c r="E1193">
        <f>AN215</f>
        <v/>
      </c>
    </row>
    <row r="1194">
      <c r="A1194">
        <f>I216</f>
        <v/>
      </c>
      <c r="B1194">
        <f>AH216</f>
        <v/>
      </c>
      <c r="C1194">
        <f>AJ216</f>
        <v/>
      </c>
      <c r="D1194">
        <f>AL216</f>
        <v/>
      </c>
      <c r="E1194">
        <f>AN216</f>
        <v/>
      </c>
    </row>
    <row r="1195">
      <c r="A1195">
        <f>I217</f>
        <v/>
      </c>
      <c r="B1195">
        <f>AH217</f>
        <v/>
      </c>
      <c r="C1195">
        <f>AJ217</f>
        <v/>
      </c>
      <c r="D1195">
        <f>AL217</f>
        <v/>
      </c>
      <c r="E1195">
        <f>AN217</f>
        <v/>
      </c>
    </row>
    <row r="1196">
      <c r="A1196">
        <f>I218</f>
        <v/>
      </c>
      <c r="B1196">
        <f>AH218</f>
        <v/>
      </c>
      <c r="C1196">
        <f>AJ218</f>
        <v/>
      </c>
      <c r="D1196">
        <f>AL218</f>
        <v/>
      </c>
      <c r="E1196">
        <f>AN218</f>
        <v/>
      </c>
    </row>
    <row r="1197">
      <c r="A1197">
        <f>I219</f>
        <v/>
      </c>
      <c r="B1197">
        <f>AH219</f>
        <v/>
      </c>
      <c r="C1197">
        <f>AJ219</f>
        <v/>
      </c>
      <c r="D1197">
        <f>AL219</f>
        <v/>
      </c>
      <c r="E1197">
        <f>AN219</f>
        <v/>
      </c>
    </row>
    <row r="1198">
      <c r="A1198">
        <f>I220</f>
        <v/>
      </c>
      <c r="B1198">
        <f>AH220</f>
        <v/>
      </c>
      <c r="C1198">
        <f>AJ220</f>
        <v/>
      </c>
      <c r="D1198">
        <f>AL220</f>
        <v/>
      </c>
      <c r="E1198">
        <f>AN220</f>
        <v/>
      </c>
    </row>
    <row r="1199">
      <c r="A1199">
        <f>I221</f>
        <v/>
      </c>
      <c r="B1199">
        <f>AH221</f>
        <v/>
      </c>
      <c r="C1199">
        <f>AJ221</f>
        <v/>
      </c>
      <c r="D1199">
        <f>AL221</f>
        <v/>
      </c>
      <c r="E1199">
        <f>AN221</f>
        <v/>
      </c>
    </row>
    <row r="1200">
      <c r="A1200">
        <f>I222</f>
        <v/>
      </c>
      <c r="B1200">
        <f>AH222</f>
        <v/>
      </c>
      <c r="C1200">
        <f>AJ222</f>
        <v/>
      </c>
      <c r="D1200">
        <f>AL222</f>
        <v/>
      </c>
      <c r="E1200">
        <f>AN222</f>
        <v/>
      </c>
    </row>
    <row r="1201">
      <c r="A1201">
        <f>I223</f>
        <v/>
      </c>
      <c r="B1201">
        <f>AH223</f>
        <v/>
      </c>
      <c r="C1201">
        <f>AJ223</f>
        <v/>
      </c>
      <c r="D1201">
        <f>AL223</f>
        <v/>
      </c>
      <c r="E1201">
        <f>AN223</f>
        <v/>
      </c>
    </row>
    <row r="1202">
      <c r="A1202">
        <f>I224</f>
        <v/>
      </c>
      <c r="B1202">
        <f>AH224</f>
        <v/>
      </c>
      <c r="C1202">
        <f>AJ224</f>
        <v/>
      </c>
      <c r="D1202">
        <f>AL224</f>
        <v/>
      </c>
      <c r="E1202">
        <f>AN224</f>
        <v/>
      </c>
    </row>
    <row r="1203">
      <c r="A1203">
        <f>I225</f>
        <v/>
      </c>
      <c r="B1203">
        <f>AH225</f>
        <v/>
      </c>
      <c r="C1203">
        <f>AJ225</f>
        <v/>
      </c>
      <c r="D1203">
        <f>AL225</f>
        <v/>
      </c>
      <c r="E1203">
        <f>AN225</f>
        <v/>
      </c>
    </row>
    <row r="1204">
      <c r="A1204">
        <f>I226</f>
        <v/>
      </c>
      <c r="B1204">
        <f>AH226</f>
        <v/>
      </c>
      <c r="C1204">
        <f>AJ226</f>
        <v/>
      </c>
      <c r="D1204">
        <f>AL226</f>
        <v/>
      </c>
      <c r="E1204">
        <f>AN226</f>
        <v/>
      </c>
    </row>
    <row r="1205">
      <c r="A1205">
        <f>I227</f>
        <v/>
      </c>
      <c r="B1205">
        <f>AH227</f>
        <v/>
      </c>
      <c r="C1205">
        <f>AJ227</f>
        <v/>
      </c>
      <c r="D1205">
        <f>AL227</f>
        <v/>
      </c>
      <c r="E1205">
        <f>AN227</f>
        <v/>
      </c>
    </row>
    <row r="1206">
      <c r="A1206">
        <f>I228</f>
        <v/>
      </c>
      <c r="B1206">
        <f>AH228</f>
        <v/>
      </c>
      <c r="C1206">
        <f>AJ228</f>
        <v/>
      </c>
      <c r="D1206">
        <f>AL228</f>
        <v/>
      </c>
      <c r="E1206">
        <f>AN228</f>
        <v/>
      </c>
    </row>
    <row r="1207">
      <c r="A1207">
        <f>I229</f>
        <v/>
      </c>
      <c r="B1207">
        <f>AH229</f>
        <v/>
      </c>
      <c r="C1207">
        <f>AJ229</f>
        <v/>
      </c>
      <c r="D1207">
        <f>AL229</f>
        <v/>
      </c>
      <c r="E1207">
        <f>AN229</f>
        <v/>
      </c>
    </row>
    <row r="1208">
      <c r="A1208">
        <f>I230</f>
        <v/>
      </c>
      <c r="B1208">
        <f>AH230</f>
        <v/>
      </c>
      <c r="C1208">
        <f>AJ230</f>
        <v/>
      </c>
      <c r="D1208">
        <f>AL230</f>
        <v/>
      </c>
      <c r="E1208">
        <f>AN230</f>
        <v/>
      </c>
    </row>
    <row r="1209">
      <c r="A1209">
        <f>I231</f>
        <v/>
      </c>
      <c r="B1209">
        <f>AH231</f>
        <v/>
      </c>
      <c r="C1209">
        <f>AJ231</f>
        <v/>
      </c>
      <c r="D1209">
        <f>AL231</f>
        <v/>
      </c>
      <c r="E1209">
        <f>AN231</f>
        <v/>
      </c>
    </row>
    <row r="1210">
      <c r="A1210">
        <f>I232</f>
        <v/>
      </c>
      <c r="B1210">
        <f>AH232</f>
        <v/>
      </c>
      <c r="C1210">
        <f>AJ232</f>
        <v/>
      </c>
      <c r="D1210">
        <f>AL232</f>
        <v/>
      </c>
      <c r="E1210">
        <f>AN232</f>
        <v/>
      </c>
    </row>
    <row r="1211">
      <c r="A1211">
        <f>I233</f>
        <v/>
      </c>
      <c r="B1211">
        <f>AH233</f>
        <v/>
      </c>
      <c r="C1211">
        <f>AJ233</f>
        <v/>
      </c>
      <c r="D1211">
        <f>AL233</f>
        <v/>
      </c>
      <c r="E1211">
        <f>AN233</f>
        <v/>
      </c>
    </row>
    <row r="1212">
      <c r="A1212">
        <f>I234</f>
        <v/>
      </c>
      <c r="B1212">
        <f>AH234</f>
        <v/>
      </c>
      <c r="C1212">
        <f>AJ234</f>
        <v/>
      </c>
      <c r="D1212">
        <f>AL234</f>
        <v/>
      </c>
      <c r="E1212">
        <f>AN234</f>
        <v/>
      </c>
    </row>
    <row r="1213">
      <c r="A1213">
        <f>I235</f>
        <v/>
      </c>
      <c r="B1213">
        <f>AH235</f>
        <v/>
      </c>
      <c r="C1213">
        <f>AJ235</f>
        <v/>
      </c>
      <c r="D1213">
        <f>AL235</f>
        <v/>
      </c>
      <c r="E1213">
        <f>AN235</f>
        <v/>
      </c>
    </row>
    <row r="1214">
      <c r="A1214">
        <f>I236</f>
        <v/>
      </c>
      <c r="B1214">
        <f>AH236</f>
        <v/>
      </c>
      <c r="C1214">
        <f>AJ236</f>
        <v/>
      </c>
      <c r="D1214">
        <f>AL236</f>
        <v/>
      </c>
      <c r="E1214">
        <f>AN236</f>
        <v/>
      </c>
    </row>
    <row r="1215">
      <c r="A1215">
        <f>I237</f>
        <v/>
      </c>
      <c r="B1215">
        <f>AH237</f>
        <v/>
      </c>
      <c r="C1215">
        <f>AJ237</f>
        <v/>
      </c>
      <c r="D1215">
        <f>AL237</f>
        <v/>
      </c>
      <c r="E1215">
        <f>AN237</f>
        <v/>
      </c>
    </row>
    <row r="1216">
      <c r="A1216">
        <f>I238</f>
        <v/>
      </c>
      <c r="B1216">
        <f>AH238</f>
        <v/>
      </c>
      <c r="C1216">
        <f>AJ238</f>
        <v/>
      </c>
      <c r="D1216">
        <f>AL238</f>
        <v/>
      </c>
      <c r="E1216">
        <f>AN238</f>
        <v/>
      </c>
    </row>
    <row r="1217">
      <c r="A1217">
        <f>I239</f>
        <v/>
      </c>
      <c r="B1217">
        <f>AH239</f>
        <v/>
      </c>
      <c r="C1217">
        <f>AJ239</f>
        <v/>
      </c>
      <c r="D1217">
        <f>AL239</f>
        <v/>
      </c>
      <c r="E1217">
        <f>AN239</f>
        <v/>
      </c>
    </row>
    <row r="1218">
      <c r="A1218">
        <f>I240</f>
        <v/>
      </c>
      <c r="B1218">
        <f>AH240</f>
        <v/>
      </c>
      <c r="C1218">
        <f>AJ240</f>
        <v/>
      </c>
      <c r="D1218">
        <f>AL240</f>
        <v/>
      </c>
      <c r="E1218">
        <f>AN240</f>
        <v/>
      </c>
    </row>
    <row r="1219">
      <c r="A1219">
        <f>I241</f>
        <v/>
      </c>
      <c r="B1219">
        <f>AH241</f>
        <v/>
      </c>
      <c r="C1219">
        <f>AJ241</f>
        <v/>
      </c>
      <c r="D1219">
        <f>AL241</f>
        <v/>
      </c>
      <c r="E1219">
        <f>AN241</f>
        <v/>
      </c>
    </row>
    <row r="1220">
      <c r="A1220">
        <f>I242</f>
        <v/>
      </c>
      <c r="B1220">
        <f>AH242</f>
        <v/>
      </c>
      <c r="C1220">
        <f>AJ242</f>
        <v/>
      </c>
      <c r="D1220">
        <f>AL242</f>
        <v/>
      </c>
      <c r="E1220">
        <f>AN242</f>
        <v/>
      </c>
    </row>
    <row r="1225">
      <c r="A1225">
        <f>I2</f>
        <v/>
      </c>
      <c r="B1225">
        <f>AQ2</f>
        <v/>
      </c>
      <c r="C1225">
        <f>AS2</f>
        <v/>
      </c>
      <c r="D1225">
        <f>AU2</f>
        <v/>
      </c>
      <c r="E1225">
        <f>AW2</f>
        <v/>
      </c>
    </row>
    <row r="1226">
      <c r="A1226">
        <f>I3</f>
        <v/>
      </c>
      <c r="B1226">
        <f>AQ3</f>
        <v/>
      </c>
      <c r="C1226">
        <f>AS3</f>
        <v/>
      </c>
      <c r="D1226">
        <f>AU3</f>
        <v/>
      </c>
      <c r="E1226">
        <f>AW3</f>
        <v/>
      </c>
    </row>
    <row r="1227">
      <c r="A1227">
        <f>I4</f>
        <v/>
      </c>
      <c r="B1227">
        <f>AQ4</f>
        <v/>
      </c>
      <c r="C1227">
        <f>AS4</f>
        <v/>
      </c>
      <c r="D1227">
        <f>AU4</f>
        <v/>
      </c>
      <c r="E1227">
        <f>AW4</f>
        <v/>
      </c>
    </row>
    <row r="1228">
      <c r="A1228">
        <f>I5</f>
        <v/>
      </c>
      <c r="B1228">
        <f>AQ5</f>
        <v/>
      </c>
      <c r="C1228">
        <f>AS5</f>
        <v/>
      </c>
      <c r="D1228">
        <f>AU5</f>
        <v/>
      </c>
      <c r="E1228">
        <f>AW5</f>
        <v/>
      </c>
    </row>
    <row r="1229">
      <c r="A1229">
        <f>I6</f>
        <v/>
      </c>
      <c r="B1229">
        <f>AQ6</f>
        <v/>
      </c>
      <c r="C1229">
        <f>AS6</f>
        <v/>
      </c>
      <c r="D1229">
        <f>AU6</f>
        <v/>
      </c>
      <c r="E1229">
        <f>AW6</f>
        <v/>
      </c>
    </row>
    <row r="1230">
      <c r="A1230">
        <f>I7</f>
        <v/>
      </c>
      <c r="B1230">
        <f>AQ7</f>
        <v/>
      </c>
      <c r="C1230">
        <f>AS7</f>
        <v/>
      </c>
      <c r="D1230">
        <f>AU7</f>
        <v/>
      </c>
      <c r="E1230">
        <f>AW7</f>
        <v/>
      </c>
    </row>
    <row r="1231">
      <c r="A1231">
        <f>I8</f>
        <v/>
      </c>
      <c r="B1231">
        <f>AQ8</f>
        <v/>
      </c>
      <c r="C1231">
        <f>AS8</f>
        <v/>
      </c>
      <c r="D1231">
        <f>AU8</f>
        <v/>
      </c>
      <c r="E1231">
        <f>AW8</f>
        <v/>
      </c>
    </row>
    <row r="1232">
      <c r="A1232">
        <f>I9</f>
        <v/>
      </c>
      <c r="B1232">
        <f>AQ9</f>
        <v/>
      </c>
      <c r="C1232">
        <f>AS9</f>
        <v/>
      </c>
      <c r="D1232">
        <f>AU9</f>
        <v/>
      </c>
      <c r="E1232">
        <f>AW9</f>
        <v/>
      </c>
    </row>
    <row r="1233">
      <c r="A1233">
        <f>I10</f>
        <v/>
      </c>
      <c r="B1233">
        <f>AQ10</f>
        <v/>
      </c>
      <c r="C1233">
        <f>AS10</f>
        <v/>
      </c>
      <c r="D1233">
        <f>AU10</f>
        <v/>
      </c>
      <c r="E1233">
        <f>AW10</f>
        <v/>
      </c>
    </row>
    <row r="1234">
      <c r="A1234">
        <f>I11</f>
        <v/>
      </c>
      <c r="B1234">
        <f>AQ11</f>
        <v/>
      </c>
      <c r="C1234">
        <f>AS11</f>
        <v/>
      </c>
      <c r="D1234">
        <f>AU11</f>
        <v/>
      </c>
      <c r="E1234">
        <f>AW11</f>
        <v/>
      </c>
    </row>
    <row r="1235">
      <c r="A1235">
        <f>I12</f>
        <v/>
      </c>
      <c r="B1235">
        <f>AQ12</f>
        <v/>
      </c>
      <c r="C1235">
        <f>AS12</f>
        <v/>
      </c>
      <c r="D1235">
        <f>AU12</f>
        <v/>
      </c>
      <c r="E1235">
        <f>AW12</f>
        <v/>
      </c>
    </row>
    <row r="1236">
      <c r="A1236">
        <f>I13</f>
        <v/>
      </c>
      <c r="B1236">
        <f>AQ13</f>
        <v/>
      </c>
      <c r="C1236">
        <f>AS13</f>
        <v/>
      </c>
      <c r="D1236">
        <f>AU13</f>
        <v/>
      </c>
      <c r="E1236">
        <f>AW13</f>
        <v/>
      </c>
    </row>
    <row r="1237">
      <c r="A1237">
        <f>I14</f>
        <v/>
      </c>
      <c r="B1237">
        <f>AQ14</f>
        <v/>
      </c>
      <c r="C1237">
        <f>AS14</f>
        <v/>
      </c>
      <c r="D1237">
        <f>AU14</f>
        <v/>
      </c>
      <c r="E1237">
        <f>AW14</f>
        <v/>
      </c>
    </row>
    <row r="1238">
      <c r="A1238">
        <f>I15</f>
        <v/>
      </c>
      <c r="B1238">
        <f>AQ15</f>
        <v/>
      </c>
      <c r="C1238">
        <f>AS15</f>
        <v/>
      </c>
      <c r="D1238">
        <f>AU15</f>
        <v/>
      </c>
      <c r="E1238">
        <f>AW15</f>
        <v/>
      </c>
    </row>
    <row r="1239">
      <c r="A1239">
        <f>I16</f>
        <v/>
      </c>
      <c r="B1239">
        <f>AQ16</f>
        <v/>
      </c>
      <c r="C1239">
        <f>AS16</f>
        <v/>
      </c>
      <c r="D1239">
        <f>AU16</f>
        <v/>
      </c>
      <c r="E1239">
        <f>AW16</f>
        <v/>
      </c>
    </row>
    <row r="1240">
      <c r="A1240">
        <f>I17</f>
        <v/>
      </c>
      <c r="B1240">
        <f>AQ17</f>
        <v/>
      </c>
      <c r="C1240">
        <f>AS17</f>
        <v/>
      </c>
      <c r="D1240">
        <f>AU17</f>
        <v/>
      </c>
      <c r="E1240">
        <f>AW17</f>
        <v/>
      </c>
    </row>
    <row r="1241">
      <c r="A1241">
        <f>I18</f>
        <v/>
      </c>
      <c r="B1241">
        <f>AQ18</f>
        <v/>
      </c>
      <c r="C1241">
        <f>AS18</f>
        <v/>
      </c>
      <c r="D1241">
        <f>AU18</f>
        <v/>
      </c>
      <c r="E1241">
        <f>AW18</f>
        <v/>
      </c>
    </row>
    <row r="1242">
      <c r="A1242">
        <f>I19</f>
        <v/>
      </c>
      <c r="B1242">
        <f>AQ19</f>
        <v/>
      </c>
      <c r="C1242">
        <f>AS19</f>
        <v/>
      </c>
      <c r="D1242">
        <f>AU19</f>
        <v/>
      </c>
      <c r="E1242">
        <f>AW19</f>
        <v/>
      </c>
    </row>
    <row r="1243">
      <c r="A1243">
        <f>I20</f>
        <v/>
      </c>
      <c r="B1243">
        <f>AQ20</f>
        <v/>
      </c>
      <c r="C1243">
        <f>AS20</f>
        <v/>
      </c>
      <c r="D1243">
        <f>AU20</f>
        <v/>
      </c>
      <c r="E1243">
        <f>AW20</f>
        <v/>
      </c>
    </row>
    <row r="1244">
      <c r="A1244">
        <f>I21</f>
        <v/>
      </c>
      <c r="B1244">
        <f>AQ21</f>
        <v/>
      </c>
      <c r="C1244">
        <f>AS21</f>
        <v/>
      </c>
      <c r="D1244">
        <f>AU21</f>
        <v/>
      </c>
      <c r="E1244">
        <f>AW21</f>
        <v/>
      </c>
    </row>
    <row r="1245">
      <c r="A1245">
        <f>I22</f>
        <v/>
      </c>
      <c r="B1245">
        <f>AQ22</f>
        <v/>
      </c>
      <c r="C1245">
        <f>AS22</f>
        <v/>
      </c>
      <c r="D1245">
        <f>AU22</f>
        <v/>
      </c>
      <c r="E1245">
        <f>AW22</f>
        <v/>
      </c>
    </row>
    <row r="1246">
      <c r="A1246">
        <f>I23</f>
        <v/>
      </c>
      <c r="B1246">
        <f>AQ23</f>
        <v/>
      </c>
      <c r="C1246">
        <f>AS23</f>
        <v/>
      </c>
      <c r="D1246">
        <f>AU23</f>
        <v/>
      </c>
      <c r="E1246">
        <f>AW23</f>
        <v/>
      </c>
    </row>
    <row r="1247">
      <c r="A1247">
        <f>I24</f>
        <v/>
      </c>
      <c r="B1247">
        <f>AQ24</f>
        <v/>
      </c>
      <c r="C1247">
        <f>AS24</f>
        <v/>
      </c>
      <c r="D1247">
        <f>AU24</f>
        <v/>
      </c>
      <c r="E1247">
        <f>AW24</f>
        <v/>
      </c>
    </row>
    <row r="1248">
      <c r="A1248">
        <f>I25</f>
        <v/>
      </c>
      <c r="B1248">
        <f>AQ25</f>
        <v/>
      </c>
      <c r="C1248">
        <f>AS25</f>
        <v/>
      </c>
      <c r="D1248">
        <f>AU25</f>
        <v/>
      </c>
      <c r="E1248">
        <f>AW25</f>
        <v/>
      </c>
    </row>
    <row r="1249">
      <c r="A1249">
        <f>I26</f>
        <v/>
      </c>
      <c r="B1249">
        <f>AQ26</f>
        <v/>
      </c>
      <c r="C1249">
        <f>AS26</f>
        <v/>
      </c>
      <c r="D1249">
        <f>AU26</f>
        <v/>
      </c>
      <c r="E1249">
        <f>AW26</f>
        <v/>
      </c>
    </row>
    <row r="1250">
      <c r="A1250">
        <f>I27</f>
        <v/>
      </c>
      <c r="B1250">
        <f>AQ27</f>
        <v/>
      </c>
      <c r="C1250">
        <f>AS27</f>
        <v/>
      </c>
      <c r="D1250">
        <f>AU27</f>
        <v/>
      </c>
      <c r="E1250">
        <f>AW27</f>
        <v/>
      </c>
    </row>
    <row r="1251">
      <c r="A1251">
        <f>I28</f>
        <v/>
      </c>
      <c r="B1251">
        <f>AQ28</f>
        <v/>
      </c>
      <c r="C1251">
        <f>AS28</f>
        <v/>
      </c>
      <c r="D1251">
        <f>AU28</f>
        <v/>
      </c>
      <c r="E1251">
        <f>AW28</f>
        <v/>
      </c>
    </row>
    <row r="1252">
      <c r="A1252">
        <f>I29</f>
        <v/>
      </c>
      <c r="B1252">
        <f>AQ29</f>
        <v/>
      </c>
      <c r="C1252">
        <f>AS29</f>
        <v/>
      </c>
      <c r="D1252">
        <f>AU29</f>
        <v/>
      </c>
      <c r="E1252">
        <f>AW29</f>
        <v/>
      </c>
    </row>
    <row r="1253">
      <c r="A1253">
        <f>I30</f>
        <v/>
      </c>
      <c r="B1253">
        <f>AQ30</f>
        <v/>
      </c>
      <c r="C1253">
        <f>AS30</f>
        <v/>
      </c>
      <c r="D1253">
        <f>AU30</f>
        <v/>
      </c>
      <c r="E1253">
        <f>AW30</f>
        <v/>
      </c>
    </row>
    <row r="1254">
      <c r="A1254">
        <f>I31</f>
        <v/>
      </c>
      <c r="B1254">
        <f>AQ31</f>
        <v/>
      </c>
      <c r="C1254">
        <f>AS31</f>
        <v/>
      </c>
      <c r="D1254">
        <f>AU31</f>
        <v/>
      </c>
      <c r="E1254">
        <f>AW31</f>
        <v/>
      </c>
    </row>
    <row r="1255">
      <c r="A1255">
        <f>I32</f>
        <v/>
      </c>
      <c r="B1255">
        <f>AQ32</f>
        <v/>
      </c>
      <c r="C1255">
        <f>AS32</f>
        <v/>
      </c>
      <c r="D1255">
        <f>AU32</f>
        <v/>
      </c>
      <c r="E1255">
        <f>AW32</f>
        <v/>
      </c>
    </row>
    <row r="1256">
      <c r="A1256">
        <f>I33</f>
        <v/>
      </c>
      <c r="B1256">
        <f>AQ33</f>
        <v/>
      </c>
      <c r="C1256">
        <f>AS33</f>
        <v/>
      </c>
      <c r="D1256">
        <f>AU33</f>
        <v/>
      </c>
      <c r="E1256">
        <f>AW33</f>
        <v/>
      </c>
    </row>
    <row r="1257">
      <c r="A1257">
        <f>I34</f>
        <v/>
      </c>
      <c r="B1257">
        <f>AQ34</f>
        <v/>
      </c>
      <c r="C1257">
        <f>AS34</f>
        <v/>
      </c>
      <c r="D1257">
        <f>AU34</f>
        <v/>
      </c>
      <c r="E1257">
        <f>AW34</f>
        <v/>
      </c>
    </row>
    <row r="1258">
      <c r="A1258">
        <f>I35</f>
        <v/>
      </c>
      <c r="B1258">
        <f>AQ35</f>
        <v/>
      </c>
      <c r="C1258">
        <f>AS35</f>
        <v/>
      </c>
      <c r="D1258">
        <f>AU35</f>
        <v/>
      </c>
      <c r="E1258">
        <f>AW35</f>
        <v/>
      </c>
    </row>
    <row r="1259">
      <c r="A1259">
        <f>I36</f>
        <v/>
      </c>
      <c r="B1259">
        <f>AQ36</f>
        <v/>
      </c>
      <c r="C1259">
        <f>AS36</f>
        <v/>
      </c>
      <c r="D1259">
        <f>AU36</f>
        <v/>
      </c>
      <c r="E1259">
        <f>AW36</f>
        <v/>
      </c>
    </row>
    <row r="1260">
      <c r="A1260">
        <f>I37</f>
        <v/>
      </c>
      <c r="B1260">
        <f>AQ37</f>
        <v/>
      </c>
      <c r="C1260">
        <f>AS37</f>
        <v/>
      </c>
      <c r="D1260">
        <f>AU37</f>
        <v/>
      </c>
      <c r="E1260">
        <f>AW37</f>
        <v/>
      </c>
    </row>
    <row r="1261">
      <c r="A1261">
        <f>I38</f>
        <v/>
      </c>
      <c r="B1261">
        <f>AQ38</f>
        <v/>
      </c>
      <c r="C1261">
        <f>AS38</f>
        <v/>
      </c>
      <c r="D1261">
        <f>AU38</f>
        <v/>
      </c>
      <c r="E1261">
        <f>AW38</f>
        <v/>
      </c>
    </row>
    <row r="1262">
      <c r="A1262">
        <f>I39</f>
        <v/>
      </c>
      <c r="B1262">
        <f>AQ39</f>
        <v/>
      </c>
      <c r="C1262">
        <f>AS39</f>
        <v/>
      </c>
      <c r="D1262">
        <f>AU39</f>
        <v/>
      </c>
      <c r="E1262">
        <f>AW39</f>
        <v/>
      </c>
    </row>
    <row r="1263">
      <c r="A1263">
        <f>I40</f>
        <v/>
      </c>
      <c r="B1263">
        <f>AQ40</f>
        <v/>
      </c>
      <c r="C1263">
        <f>AS40</f>
        <v/>
      </c>
      <c r="D1263">
        <f>AU40</f>
        <v/>
      </c>
      <c r="E1263">
        <f>AW40</f>
        <v/>
      </c>
    </row>
    <row r="1264">
      <c r="A1264">
        <f>I41</f>
        <v/>
      </c>
      <c r="B1264">
        <f>AQ41</f>
        <v/>
      </c>
      <c r="C1264">
        <f>AS41</f>
        <v/>
      </c>
      <c r="D1264">
        <f>AU41</f>
        <v/>
      </c>
      <c r="E1264">
        <f>AW41</f>
        <v/>
      </c>
    </row>
    <row r="1265">
      <c r="A1265">
        <f>I42</f>
        <v/>
      </c>
      <c r="B1265">
        <f>AQ42</f>
        <v/>
      </c>
      <c r="C1265">
        <f>AS42</f>
        <v/>
      </c>
      <c r="D1265">
        <f>AU42</f>
        <v/>
      </c>
      <c r="E1265">
        <f>AW42</f>
        <v/>
      </c>
    </row>
    <row r="1266">
      <c r="A1266">
        <f>I43</f>
        <v/>
      </c>
      <c r="B1266">
        <f>AQ43</f>
        <v/>
      </c>
      <c r="C1266">
        <f>AS43</f>
        <v/>
      </c>
      <c r="D1266">
        <f>AU43</f>
        <v/>
      </c>
      <c r="E1266">
        <f>AW43</f>
        <v/>
      </c>
    </row>
    <row r="1267">
      <c r="A1267">
        <f>I44</f>
        <v/>
      </c>
      <c r="B1267">
        <f>AQ44</f>
        <v/>
      </c>
      <c r="C1267">
        <f>AS44</f>
        <v/>
      </c>
      <c r="D1267">
        <f>AU44</f>
        <v/>
      </c>
      <c r="E1267">
        <f>AW44</f>
        <v/>
      </c>
    </row>
    <row r="1268">
      <c r="A1268">
        <f>I45</f>
        <v/>
      </c>
      <c r="B1268">
        <f>AQ45</f>
        <v/>
      </c>
      <c r="C1268">
        <f>AS45</f>
        <v/>
      </c>
      <c r="D1268">
        <f>AU45</f>
        <v/>
      </c>
      <c r="E1268">
        <f>AW45</f>
        <v/>
      </c>
    </row>
    <row r="1269">
      <c r="A1269">
        <f>I46</f>
        <v/>
      </c>
      <c r="B1269">
        <f>AQ46</f>
        <v/>
      </c>
      <c r="C1269">
        <f>AS46</f>
        <v/>
      </c>
      <c r="D1269">
        <f>AU46</f>
        <v/>
      </c>
      <c r="E1269">
        <f>AW46</f>
        <v/>
      </c>
    </row>
    <row r="1270">
      <c r="A1270">
        <f>I47</f>
        <v/>
      </c>
      <c r="B1270">
        <f>AQ47</f>
        <v/>
      </c>
      <c r="C1270">
        <f>AS47</f>
        <v/>
      </c>
      <c r="D1270">
        <f>AU47</f>
        <v/>
      </c>
      <c r="E1270">
        <f>AW47</f>
        <v/>
      </c>
    </row>
    <row r="1271">
      <c r="A1271">
        <f>I48</f>
        <v/>
      </c>
      <c r="B1271">
        <f>AQ48</f>
        <v/>
      </c>
      <c r="C1271">
        <f>AS48</f>
        <v/>
      </c>
      <c r="D1271">
        <f>AU48</f>
        <v/>
      </c>
      <c r="E1271">
        <f>AW48</f>
        <v/>
      </c>
    </row>
    <row r="1272">
      <c r="A1272">
        <f>I49</f>
        <v/>
      </c>
      <c r="B1272">
        <f>AQ49</f>
        <v/>
      </c>
      <c r="C1272">
        <f>AS49</f>
        <v/>
      </c>
      <c r="D1272">
        <f>AU49</f>
        <v/>
      </c>
      <c r="E1272">
        <f>AW49</f>
        <v/>
      </c>
    </row>
    <row r="1273">
      <c r="A1273">
        <f>I50</f>
        <v/>
      </c>
      <c r="B1273">
        <f>AQ50</f>
        <v/>
      </c>
      <c r="C1273">
        <f>AS50</f>
        <v/>
      </c>
      <c r="D1273">
        <f>AU50</f>
        <v/>
      </c>
      <c r="E1273">
        <f>AW50</f>
        <v/>
      </c>
    </row>
    <row r="1274">
      <c r="A1274">
        <f>I51</f>
        <v/>
      </c>
      <c r="B1274">
        <f>AQ51</f>
        <v/>
      </c>
      <c r="C1274">
        <f>AS51</f>
        <v/>
      </c>
      <c r="D1274">
        <f>AU51</f>
        <v/>
      </c>
      <c r="E1274">
        <f>AW51</f>
        <v/>
      </c>
    </row>
    <row r="1275">
      <c r="A1275">
        <f>I52</f>
        <v/>
      </c>
      <c r="B1275">
        <f>AQ52</f>
        <v/>
      </c>
      <c r="C1275">
        <f>AS52</f>
        <v/>
      </c>
      <c r="D1275">
        <f>AU52</f>
        <v/>
      </c>
      <c r="E1275">
        <f>AW52</f>
        <v/>
      </c>
    </row>
    <row r="1276">
      <c r="A1276">
        <f>I53</f>
        <v/>
      </c>
      <c r="B1276">
        <f>AQ53</f>
        <v/>
      </c>
      <c r="C1276">
        <f>AS53</f>
        <v/>
      </c>
      <c r="D1276">
        <f>AU53</f>
        <v/>
      </c>
      <c r="E1276">
        <f>AW53</f>
        <v/>
      </c>
    </row>
    <row r="1277">
      <c r="A1277">
        <f>I54</f>
        <v/>
      </c>
      <c r="B1277">
        <f>AQ54</f>
        <v/>
      </c>
      <c r="C1277">
        <f>AS54</f>
        <v/>
      </c>
      <c r="D1277">
        <f>AU54</f>
        <v/>
      </c>
      <c r="E1277">
        <f>AW54</f>
        <v/>
      </c>
    </row>
    <row r="1278">
      <c r="A1278">
        <f>I55</f>
        <v/>
      </c>
      <c r="B1278">
        <f>AQ55</f>
        <v/>
      </c>
      <c r="C1278">
        <f>AS55</f>
        <v/>
      </c>
      <c r="D1278">
        <f>AU55</f>
        <v/>
      </c>
      <c r="E1278">
        <f>AW55</f>
        <v/>
      </c>
    </row>
    <row r="1279">
      <c r="A1279">
        <f>I56</f>
        <v/>
      </c>
      <c r="B1279">
        <f>AQ56</f>
        <v/>
      </c>
      <c r="C1279">
        <f>AS56</f>
        <v/>
      </c>
      <c r="D1279">
        <f>AU56</f>
        <v/>
      </c>
      <c r="E1279">
        <f>AW56</f>
        <v/>
      </c>
    </row>
    <row r="1280">
      <c r="A1280">
        <f>I57</f>
        <v/>
      </c>
      <c r="B1280">
        <f>AQ57</f>
        <v/>
      </c>
      <c r="C1280">
        <f>AS57</f>
        <v/>
      </c>
      <c r="D1280">
        <f>AU57</f>
        <v/>
      </c>
      <c r="E1280">
        <f>AW57</f>
        <v/>
      </c>
    </row>
    <row r="1281">
      <c r="A1281">
        <f>I58</f>
        <v/>
      </c>
      <c r="B1281">
        <f>AQ58</f>
        <v/>
      </c>
      <c r="C1281">
        <f>AS58</f>
        <v/>
      </c>
      <c r="D1281">
        <f>AU58</f>
        <v/>
      </c>
      <c r="E1281">
        <f>AW58</f>
        <v/>
      </c>
    </row>
    <row r="1282">
      <c r="A1282">
        <f>I59</f>
        <v/>
      </c>
      <c r="B1282">
        <f>AQ59</f>
        <v/>
      </c>
      <c r="C1282">
        <f>AS59</f>
        <v/>
      </c>
      <c r="D1282">
        <f>AU59</f>
        <v/>
      </c>
      <c r="E1282">
        <f>AW59</f>
        <v/>
      </c>
    </row>
    <row r="1283">
      <c r="A1283">
        <f>I60</f>
        <v/>
      </c>
      <c r="B1283">
        <f>AQ60</f>
        <v/>
      </c>
      <c r="C1283">
        <f>AS60</f>
        <v/>
      </c>
      <c r="D1283">
        <f>AU60</f>
        <v/>
      </c>
      <c r="E1283">
        <f>AW60</f>
        <v/>
      </c>
    </row>
    <row r="1284">
      <c r="A1284">
        <f>I61</f>
        <v/>
      </c>
      <c r="B1284">
        <f>AQ61</f>
        <v/>
      </c>
      <c r="C1284">
        <f>AS61</f>
        <v/>
      </c>
      <c r="D1284">
        <f>AU61</f>
        <v/>
      </c>
      <c r="E1284">
        <f>AW61</f>
        <v/>
      </c>
    </row>
    <row r="1285">
      <c r="A1285">
        <f>I62</f>
        <v/>
      </c>
      <c r="B1285">
        <f>AQ62</f>
        <v/>
      </c>
      <c r="C1285">
        <f>AS62</f>
        <v/>
      </c>
      <c r="D1285">
        <f>AU62</f>
        <v/>
      </c>
      <c r="E1285">
        <f>AW62</f>
        <v/>
      </c>
    </row>
    <row r="1286">
      <c r="A1286">
        <f>I63</f>
        <v/>
      </c>
      <c r="B1286">
        <f>AQ63</f>
        <v/>
      </c>
      <c r="C1286">
        <f>AS63</f>
        <v/>
      </c>
      <c r="D1286">
        <f>AU63</f>
        <v/>
      </c>
      <c r="E1286">
        <f>AW63</f>
        <v/>
      </c>
    </row>
    <row r="1287">
      <c r="A1287">
        <f>I64</f>
        <v/>
      </c>
      <c r="B1287">
        <f>AQ64</f>
        <v/>
      </c>
      <c r="C1287">
        <f>AS64</f>
        <v/>
      </c>
      <c r="D1287">
        <f>AU64</f>
        <v/>
      </c>
      <c r="E1287">
        <f>AW64</f>
        <v/>
      </c>
    </row>
    <row r="1288">
      <c r="A1288">
        <f>I65</f>
        <v/>
      </c>
      <c r="B1288">
        <f>AQ65</f>
        <v/>
      </c>
      <c r="C1288">
        <f>AS65</f>
        <v/>
      </c>
      <c r="D1288">
        <f>AU65</f>
        <v/>
      </c>
      <c r="E1288">
        <f>AW65</f>
        <v/>
      </c>
    </row>
    <row r="1289">
      <c r="A1289">
        <f>I66</f>
        <v/>
      </c>
      <c r="B1289">
        <f>AQ66</f>
        <v/>
      </c>
      <c r="C1289">
        <f>AS66</f>
        <v/>
      </c>
      <c r="D1289">
        <f>AU66</f>
        <v/>
      </c>
      <c r="E1289">
        <f>AW66</f>
        <v/>
      </c>
    </row>
    <row r="1290">
      <c r="A1290">
        <f>I67</f>
        <v/>
      </c>
      <c r="B1290">
        <f>AQ67</f>
        <v/>
      </c>
      <c r="C1290">
        <f>AS67</f>
        <v/>
      </c>
      <c r="D1290">
        <f>AU67</f>
        <v/>
      </c>
      <c r="E1290">
        <f>AW67</f>
        <v/>
      </c>
    </row>
    <row r="1291">
      <c r="A1291">
        <f>I68</f>
        <v/>
      </c>
      <c r="B1291">
        <f>AQ68</f>
        <v/>
      </c>
      <c r="C1291">
        <f>AS68</f>
        <v/>
      </c>
      <c r="D1291">
        <f>AU68</f>
        <v/>
      </c>
      <c r="E1291">
        <f>AW68</f>
        <v/>
      </c>
    </row>
    <row r="1292">
      <c r="A1292">
        <f>I69</f>
        <v/>
      </c>
      <c r="B1292">
        <f>AQ69</f>
        <v/>
      </c>
      <c r="C1292">
        <f>AS69</f>
        <v/>
      </c>
      <c r="D1292">
        <f>AU69</f>
        <v/>
      </c>
      <c r="E1292">
        <f>AW69</f>
        <v/>
      </c>
    </row>
    <row r="1293">
      <c r="A1293">
        <f>I70</f>
        <v/>
      </c>
      <c r="B1293">
        <f>AQ70</f>
        <v/>
      </c>
      <c r="C1293">
        <f>AS70</f>
        <v/>
      </c>
      <c r="D1293">
        <f>AU70</f>
        <v/>
      </c>
      <c r="E1293">
        <f>AW70</f>
        <v/>
      </c>
    </row>
    <row r="1294">
      <c r="A1294">
        <f>I71</f>
        <v/>
      </c>
      <c r="B1294">
        <f>AQ71</f>
        <v/>
      </c>
      <c r="C1294">
        <f>AS71</f>
        <v/>
      </c>
      <c r="D1294">
        <f>AU71</f>
        <v/>
      </c>
      <c r="E1294">
        <f>AW71</f>
        <v/>
      </c>
    </row>
    <row r="1295">
      <c r="A1295">
        <f>I72</f>
        <v/>
      </c>
      <c r="B1295">
        <f>AQ72</f>
        <v/>
      </c>
      <c r="C1295">
        <f>AS72</f>
        <v/>
      </c>
      <c r="D1295">
        <f>AU72</f>
        <v/>
      </c>
      <c r="E1295">
        <f>AW72</f>
        <v/>
      </c>
    </row>
    <row r="1296">
      <c r="A1296">
        <f>I73</f>
        <v/>
      </c>
      <c r="B1296">
        <f>AQ73</f>
        <v/>
      </c>
      <c r="C1296">
        <f>AS73</f>
        <v/>
      </c>
      <c r="D1296">
        <f>AU73</f>
        <v/>
      </c>
      <c r="E1296">
        <f>AW73</f>
        <v/>
      </c>
    </row>
    <row r="1297">
      <c r="A1297">
        <f>I74</f>
        <v/>
      </c>
      <c r="B1297">
        <f>AQ74</f>
        <v/>
      </c>
      <c r="C1297">
        <f>AS74</f>
        <v/>
      </c>
      <c r="D1297">
        <f>AU74</f>
        <v/>
      </c>
      <c r="E1297">
        <f>AW74</f>
        <v/>
      </c>
    </row>
    <row r="1298">
      <c r="A1298">
        <f>I75</f>
        <v/>
      </c>
      <c r="B1298">
        <f>AQ75</f>
        <v/>
      </c>
      <c r="C1298">
        <f>AS75</f>
        <v/>
      </c>
      <c r="D1298">
        <f>AU75</f>
        <v/>
      </c>
      <c r="E1298">
        <f>AW75</f>
        <v/>
      </c>
    </row>
    <row r="1299">
      <c r="A1299">
        <f>I76</f>
        <v/>
      </c>
      <c r="B1299">
        <f>AQ76</f>
        <v/>
      </c>
      <c r="C1299">
        <f>AS76</f>
        <v/>
      </c>
      <c r="D1299">
        <f>AU76</f>
        <v/>
      </c>
      <c r="E1299">
        <f>AW76</f>
        <v/>
      </c>
    </row>
    <row r="1300">
      <c r="A1300">
        <f>I77</f>
        <v/>
      </c>
      <c r="B1300">
        <f>AQ77</f>
        <v/>
      </c>
      <c r="C1300">
        <f>AS77</f>
        <v/>
      </c>
      <c r="D1300">
        <f>AU77</f>
        <v/>
      </c>
      <c r="E1300">
        <f>AW77</f>
        <v/>
      </c>
    </row>
    <row r="1301">
      <c r="A1301">
        <f>I78</f>
        <v/>
      </c>
      <c r="B1301">
        <f>AQ78</f>
        <v/>
      </c>
      <c r="C1301">
        <f>AS78</f>
        <v/>
      </c>
      <c r="D1301">
        <f>AU78</f>
        <v/>
      </c>
      <c r="E1301">
        <f>AW78</f>
        <v/>
      </c>
    </row>
    <row r="1302">
      <c r="A1302">
        <f>I79</f>
        <v/>
      </c>
      <c r="B1302">
        <f>AQ79</f>
        <v/>
      </c>
      <c r="C1302">
        <f>AS79</f>
        <v/>
      </c>
      <c r="D1302">
        <f>AU79</f>
        <v/>
      </c>
      <c r="E1302">
        <f>AW79</f>
        <v/>
      </c>
    </row>
    <row r="1303">
      <c r="A1303">
        <f>I80</f>
        <v/>
      </c>
      <c r="B1303">
        <f>AQ80</f>
        <v/>
      </c>
      <c r="C1303">
        <f>AS80</f>
        <v/>
      </c>
      <c r="D1303">
        <f>AU80</f>
        <v/>
      </c>
      <c r="E1303">
        <f>AW80</f>
        <v/>
      </c>
    </row>
    <row r="1304">
      <c r="A1304">
        <f>I81</f>
        <v/>
      </c>
      <c r="B1304">
        <f>AQ81</f>
        <v/>
      </c>
      <c r="C1304">
        <f>AS81</f>
        <v/>
      </c>
      <c r="D1304">
        <f>AU81</f>
        <v/>
      </c>
      <c r="E1304">
        <f>AW81</f>
        <v/>
      </c>
    </row>
    <row r="1305">
      <c r="A1305">
        <f>I82</f>
        <v/>
      </c>
      <c r="B1305">
        <f>AQ82</f>
        <v/>
      </c>
      <c r="C1305">
        <f>AS82</f>
        <v/>
      </c>
      <c r="D1305">
        <f>AU82</f>
        <v/>
      </c>
      <c r="E1305">
        <f>AW82</f>
        <v/>
      </c>
    </row>
    <row r="1306">
      <c r="A1306">
        <f>I83</f>
        <v/>
      </c>
      <c r="B1306">
        <f>AQ83</f>
        <v/>
      </c>
      <c r="C1306">
        <f>AS83</f>
        <v/>
      </c>
      <c r="D1306">
        <f>AU83</f>
        <v/>
      </c>
      <c r="E1306">
        <f>AW83</f>
        <v/>
      </c>
    </row>
    <row r="1307">
      <c r="A1307">
        <f>I84</f>
        <v/>
      </c>
      <c r="B1307">
        <f>AQ84</f>
        <v/>
      </c>
      <c r="C1307">
        <f>AS84</f>
        <v/>
      </c>
      <c r="D1307">
        <f>AU84</f>
        <v/>
      </c>
      <c r="E1307">
        <f>AW84</f>
        <v/>
      </c>
    </row>
    <row r="1308">
      <c r="A1308">
        <f>I85</f>
        <v/>
      </c>
      <c r="B1308">
        <f>AQ85</f>
        <v/>
      </c>
      <c r="C1308">
        <f>AS85</f>
        <v/>
      </c>
      <c r="D1308">
        <f>AU85</f>
        <v/>
      </c>
      <c r="E1308">
        <f>AW85</f>
        <v/>
      </c>
    </row>
    <row r="1309">
      <c r="A1309">
        <f>I86</f>
        <v/>
      </c>
      <c r="B1309">
        <f>AQ86</f>
        <v/>
      </c>
      <c r="C1309">
        <f>AS86</f>
        <v/>
      </c>
      <c r="D1309">
        <f>AU86</f>
        <v/>
      </c>
      <c r="E1309">
        <f>AW86</f>
        <v/>
      </c>
    </row>
    <row r="1310">
      <c r="A1310">
        <f>I87</f>
        <v/>
      </c>
      <c r="B1310">
        <f>AQ87</f>
        <v/>
      </c>
      <c r="C1310">
        <f>AS87</f>
        <v/>
      </c>
      <c r="D1310">
        <f>AU87</f>
        <v/>
      </c>
      <c r="E1310">
        <f>AW87</f>
        <v/>
      </c>
    </row>
    <row r="1311">
      <c r="A1311">
        <f>I88</f>
        <v/>
      </c>
      <c r="B1311">
        <f>AQ88</f>
        <v/>
      </c>
      <c r="C1311">
        <f>AS88</f>
        <v/>
      </c>
      <c r="D1311">
        <f>AU88</f>
        <v/>
      </c>
      <c r="E1311">
        <f>AW88</f>
        <v/>
      </c>
    </row>
    <row r="1312">
      <c r="A1312">
        <f>I89</f>
        <v/>
      </c>
      <c r="B1312">
        <f>AQ89</f>
        <v/>
      </c>
      <c r="C1312">
        <f>AS89</f>
        <v/>
      </c>
      <c r="D1312">
        <f>AU89</f>
        <v/>
      </c>
      <c r="E1312">
        <f>AW89</f>
        <v/>
      </c>
    </row>
    <row r="1313">
      <c r="A1313">
        <f>I90</f>
        <v/>
      </c>
      <c r="B1313">
        <f>AQ90</f>
        <v/>
      </c>
      <c r="C1313">
        <f>AS90</f>
        <v/>
      </c>
      <c r="D1313">
        <f>AU90</f>
        <v/>
      </c>
      <c r="E1313">
        <f>AW90</f>
        <v/>
      </c>
    </row>
    <row r="1314">
      <c r="A1314">
        <f>I91</f>
        <v/>
      </c>
      <c r="B1314">
        <f>AQ91</f>
        <v/>
      </c>
      <c r="C1314">
        <f>AS91</f>
        <v/>
      </c>
      <c r="D1314">
        <f>AU91</f>
        <v/>
      </c>
      <c r="E1314">
        <f>AW91</f>
        <v/>
      </c>
    </row>
    <row r="1315">
      <c r="A1315">
        <f>I92</f>
        <v/>
      </c>
      <c r="B1315">
        <f>AQ92</f>
        <v/>
      </c>
      <c r="C1315">
        <f>AS92</f>
        <v/>
      </c>
      <c r="D1315">
        <f>AU92</f>
        <v/>
      </c>
      <c r="E1315">
        <f>AW92</f>
        <v/>
      </c>
    </row>
    <row r="1316">
      <c r="A1316">
        <f>I93</f>
        <v/>
      </c>
      <c r="B1316">
        <f>AQ93</f>
        <v/>
      </c>
      <c r="C1316">
        <f>AS93</f>
        <v/>
      </c>
      <c r="D1316">
        <f>AU93</f>
        <v/>
      </c>
      <c r="E1316">
        <f>AW93</f>
        <v/>
      </c>
    </row>
    <row r="1317">
      <c r="A1317">
        <f>I94</f>
        <v/>
      </c>
      <c r="B1317">
        <f>AQ94</f>
        <v/>
      </c>
      <c r="C1317">
        <f>AS94</f>
        <v/>
      </c>
      <c r="D1317">
        <f>AU94</f>
        <v/>
      </c>
      <c r="E1317">
        <f>AW94</f>
        <v/>
      </c>
    </row>
    <row r="1318">
      <c r="A1318">
        <f>I95</f>
        <v/>
      </c>
      <c r="B1318">
        <f>AQ95</f>
        <v/>
      </c>
      <c r="C1318">
        <f>AS95</f>
        <v/>
      </c>
      <c r="D1318">
        <f>AU95</f>
        <v/>
      </c>
      <c r="E1318">
        <f>AW95</f>
        <v/>
      </c>
    </row>
    <row r="1319">
      <c r="A1319">
        <f>I96</f>
        <v/>
      </c>
      <c r="B1319">
        <f>AQ96</f>
        <v/>
      </c>
      <c r="C1319">
        <f>AS96</f>
        <v/>
      </c>
      <c r="D1319">
        <f>AU96</f>
        <v/>
      </c>
      <c r="E1319">
        <f>AW96</f>
        <v/>
      </c>
    </row>
    <row r="1320">
      <c r="A1320">
        <f>I97</f>
        <v/>
      </c>
      <c r="B1320">
        <f>AQ97</f>
        <v/>
      </c>
      <c r="C1320">
        <f>AS97</f>
        <v/>
      </c>
      <c r="D1320">
        <f>AU97</f>
        <v/>
      </c>
      <c r="E1320">
        <f>AW97</f>
        <v/>
      </c>
    </row>
    <row r="1321">
      <c r="A1321">
        <f>I98</f>
        <v/>
      </c>
      <c r="B1321">
        <f>AQ98</f>
        <v/>
      </c>
      <c r="C1321">
        <f>AS98</f>
        <v/>
      </c>
      <c r="D1321">
        <f>AU98</f>
        <v/>
      </c>
      <c r="E1321">
        <f>AW98</f>
        <v/>
      </c>
    </row>
    <row r="1322">
      <c r="A1322">
        <f>I99</f>
        <v/>
      </c>
      <c r="B1322">
        <f>AQ99</f>
        <v/>
      </c>
      <c r="C1322">
        <f>AS99</f>
        <v/>
      </c>
      <c r="D1322">
        <f>AU99</f>
        <v/>
      </c>
      <c r="E1322">
        <f>AW99</f>
        <v/>
      </c>
    </row>
    <row r="1323">
      <c r="A1323">
        <f>I100</f>
        <v/>
      </c>
      <c r="B1323">
        <f>AQ100</f>
        <v/>
      </c>
      <c r="C1323">
        <f>AS100</f>
        <v/>
      </c>
      <c r="D1323">
        <f>AU100</f>
        <v/>
      </c>
      <c r="E1323">
        <f>AW100</f>
        <v/>
      </c>
    </row>
    <row r="1324">
      <c r="A1324">
        <f>I101</f>
        <v/>
      </c>
      <c r="B1324">
        <f>AQ101</f>
        <v/>
      </c>
      <c r="C1324">
        <f>AS101</f>
        <v/>
      </c>
      <c r="D1324">
        <f>AU101</f>
        <v/>
      </c>
      <c r="E1324">
        <f>AW101</f>
        <v/>
      </c>
    </row>
    <row r="1325">
      <c r="A1325">
        <f>I102</f>
        <v/>
      </c>
      <c r="B1325">
        <f>AQ102</f>
        <v/>
      </c>
      <c r="C1325">
        <f>AS102</f>
        <v/>
      </c>
      <c r="D1325">
        <f>AU102</f>
        <v/>
      </c>
      <c r="E1325">
        <f>AW102</f>
        <v/>
      </c>
    </row>
    <row r="1326">
      <c r="A1326">
        <f>I103</f>
        <v/>
      </c>
      <c r="B1326">
        <f>AQ103</f>
        <v/>
      </c>
      <c r="C1326">
        <f>AS103</f>
        <v/>
      </c>
      <c r="D1326">
        <f>AU103</f>
        <v/>
      </c>
      <c r="E1326">
        <f>AW103</f>
        <v/>
      </c>
    </row>
    <row r="1327">
      <c r="A1327">
        <f>I104</f>
        <v/>
      </c>
      <c r="B1327">
        <f>AQ104</f>
        <v/>
      </c>
      <c r="C1327">
        <f>AS104</f>
        <v/>
      </c>
      <c r="D1327">
        <f>AU104</f>
        <v/>
      </c>
      <c r="E1327">
        <f>AW104</f>
        <v/>
      </c>
    </row>
    <row r="1328">
      <c r="A1328">
        <f>I105</f>
        <v/>
      </c>
      <c r="B1328">
        <f>AQ105</f>
        <v/>
      </c>
      <c r="C1328">
        <f>AS105</f>
        <v/>
      </c>
      <c r="D1328">
        <f>AU105</f>
        <v/>
      </c>
      <c r="E1328">
        <f>AW105</f>
        <v/>
      </c>
    </row>
    <row r="1329">
      <c r="A1329">
        <f>I106</f>
        <v/>
      </c>
      <c r="B1329">
        <f>AQ106</f>
        <v/>
      </c>
      <c r="C1329">
        <f>AS106</f>
        <v/>
      </c>
      <c r="D1329">
        <f>AU106</f>
        <v/>
      </c>
      <c r="E1329">
        <f>AW106</f>
        <v/>
      </c>
    </row>
    <row r="1330">
      <c r="A1330">
        <f>I107</f>
        <v/>
      </c>
      <c r="B1330">
        <f>AQ107</f>
        <v/>
      </c>
      <c r="C1330">
        <f>AS107</f>
        <v/>
      </c>
      <c r="D1330">
        <f>AU107</f>
        <v/>
      </c>
      <c r="E1330">
        <f>AW107</f>
        <v/>
      </c>
    </row>
    <row r="1331">
      <c r="A1331">
        <f>I108</f>
        <v/>
      </c>
      <c r="B1331">
        <f>AQ108</f>
        <v/>
      </c>
      <c r="C1331">
        <f>AS108</f>
        <v/>
      </c>
      <c r="D1331">
        <f>AU108</f>
        <v/>
      </c>
      <c r="E1331">
        <f>AW108</f>
        <v/>
      </c>
    </row>
    <row r="1332">
      <c r="A1332">
        <f>I109</f>
        <v/>
      </c>
      <c r="B1332">
        <f>AQ109</f>
        <v/>
      </c>
      <c r="C1332">
        <f>AS109</f>
        <v/>
      </c>
      <c r="D1332">
        <f>AU109</f>
        <v/>
      </c>
      <c r="E1332">
        <f>AW109</f>
        <v/>
      </c>
    </row>
    <row r="1333">
      <c r="A1333">
        <f>I110</f>
        <v/>
      </c>
      <c r="B1333">
        <f>AQ110</f>
        <v/>
      </c>
      <c r="C1333">
        <f>AS110</f>
        <v/>
      </c>
      <c r="D1333">
        <f>AU110</f>
        <v/>
      </c>
      <c r="E1333">
        <f>AW110</f>
        <v/>
      </c>
    </row>
    <row r="1334">
      <c r="A1334">
        <f>I111</f>
        <v/>
      </c>
      <c r="B1334">
        <f>AQ111</f>
        <v/>
      </c>
      <c r="C1334">
        <f>AS111</f>
        <v/>
      </c>
      <c r="D1334">
        <f>AU111</f>
        <v/>
      </c>
      <c r="E1334">
        <f>AW111</f>
        <v/>
      </c>
    </row>
    <row r="1335">
      <c r="A1335">
        <f>I112</f>
        <v/>
      </c>
      <c r="B1335">
        <f>AQ112</f>
        <v/>
      </c>
      <c r="C1335">
        <f>AS112</f>
        <v/>
      </c>
      <c r="D1335">
        <f>AU112</f>
        <v/>
      </c>
      <c r="E1335">
        <f>AW112</f>
        <v/>
      </c>
    </row>
    <row r="1336">
      <c r="A1336">
        <f>I113</f>
        <v/>
      </c>
      <c r="B1336">
        <f>AQ113</f>
        <v/>
      </c>
      <c r="C1336">
        <f>AS113</f>
        <v/>
      </c>
      <c r="D1336">
        <f>AU113</f>
        <v/>
      </c>
      <c r="E1336">
        <f>AW113</f>
        <v/>
      </c>
    </row>
    <row r="1337">
      <c r="A1337">
        <f>I114</f>
        <v/>
      </c>
      <c r="B1337">
        <f>AQ114</f>
        <v/>
      </c>
      <c r="C1337">
        <f>AS114</f>
        <v/>
      </c>
      <c r="D1337">
        <f>AU114</f>
        <v/>
      </c>
      <c r="E1337">
        <f>AW114</f>
        <v/>
      </c>
    </row>
    <row r="1338">
      <c r="A1338">
        <f>I115</f>
        <v/>
      </c>
      <c r="B1338">
        <f>AQ115</f>
        <v/>
      </c>
      <c r="C1338">
        <f>AS115</f>
        <v/>
      </c>
      <c r="D1338">
        <f>AU115</f>
        <v/>
      </c>
      <c r="E1338">
        <f>AW115</f>
        <v/>
      </c>
    </row>
    <row r="1339">
      <c r="A1339">
        <f>I116</f>
        <v/>
      </c>
      <c r="B1339">
        <f>AQ116</f>
        <v/>
      </c>
      <c r="C1339">
        <f>AS116</f>
        <v/>
      </c>
      <c r="D1339">
        <f>AU116</f>
        <v/>
      </c>
      <c r="E1339">
        <f>AW116</f>
        <v/>
      </c>
    </row>
    <row r="1340">
      <c r="A1340">
        <f>I117</f>
        <v/>
      </c>
      <c r="B1340">
        <f>AQ117</f>
        <v/>
      </c>
      <c r="C1340">
        <f>AS117</f>
        <v/>
      </c>
      <c r="D1340">
        <f>AU117</f>
        <v/>
      </c>
      <c r="E1340">
        <f>AW117</f>
        <v/>
      </c>
    </row>
    <row r="1341">
      <c r="A1341">
        <f>I118</f>
        <v/>
      </c>
      <c r="B1341">
        <f>AQ118</f>
        <v/>
      </c>
      <c r="C1341">
        <f>AS118</f>
        <v/>
      </c>
      <c r="D1341">
        <f>AU118</f>
        <v/>
      </c>
      <c r="E1341">
        <f>AW118</f>
        <v/>
      </c>
    </row>
    <row r="1342">
      <c r="A1342">
        <f>I119</f>
        <v/>
      </c>
      <c r="B1342">
        <f>AQ119</f>
        <v/>
      </c>
      <c r="C1342">
        <f>AS119</f>
        <v/>
      </c>
      <c r="D1342">
        <f>AU119</f>
        <v/>
      </c>
      <c r="E1342">
        <f>AW119</f>
        <v/>
      </c>
    </row>
    <row r="1343">
      <c r="A1343">
        <f>I120</f>
        <v/>
      </c>
      <c r="B1343">
        <f>AQ120</f>
        <v/>
      </c>
      <c r="C1343">
        <f>AS120</f>
        <v/>
      </c>
      <c r="D1343">
        <f>AU120</f>
        <v/>
      </c>
      <c r="E1343">
        <f>AW120</f>
        <v/>
      </c>
    </row>
    <row r="1344">
      <c r="A1344">
        <f>I121</f>
        <v/>
      </c>
      <c r="B1344">
        <f>AQ121</f>
        <v/>
      </c>
      <c r="C1344">
        <f>AS121</f>
        <v/>
      </c>
      <c r="D1344">
        <f>AU121</f>
        <v/>
      </c>
      <c r="E1344">
        <f>AW121</f>
        <v/>
      </c>
    </row>
    <row r="1345">
      <c r="A1345">
        <f>I122</f>
        <v/>
      </c>
      <c r="B1345">
        <f>AQ122</f>
        <v/>
      </c>
      <c r="C1345">
        <f>AS122</f>
        <v/>
      </c>
      <c r="D1345">
        <f>AU122</f>
        <v/>
      </c>
      <c r="E1345">
        <f>AW122</f>
        <v/>
      </c>
    </row>
    <row r="1346">
      <c r="A1346">
        <f>I123</f>
        <v/>
      </c>
      <c r="B1346">
        <f>AQ123</f>
        <v/>
      </c>
      <c r="C1346">
        <f>AS123</f>
        <v/>
      </c>
      <c r="D1346">
        <f>AU123</f>
        <v/>
      </c>
      <c r="E1346">
        <f>AW123</f>
        <v/>
      </c>
    </row>
    <row r="1347">
      <c r="A1347">
        <f>I124</f>
        <v/>
      </c>
      <c r="B1347">
        <f>AQ124</f>
        <v/>
      </c>
      <c r="C1347">
        <f>AS124</f>
        <v/>
      </c>
      <c r="D1347">
        <f>AU124</f>
        <v/>
      </c>
      <c r="E1347">
        <f>AW124</f>
        <v/>
      </c>
    </row>
    <row r="1348">
      <c r="A1348">
        <f>I125</f>
        <v/>
      </c>
      <c r="B1348">
        <f>AQ125</f>
        <v/>
      </c>
      <c r="C1348">
        <f>AS125</f>
        <v/>
      </c>
      <c r="D1348">
        <f>AU125</f>
        <v/>
      </c>
      <c r="E1348">
        <f>AW125</f>
        <v/>
      </c>
    </row>
    <row r="1349">
      <c r="A1349">
        <f>I126</f>
        <v/>
      </c>
      <c r="B1349">
        <f>AQ126</f>
        <v/>
      </c>
      <c r="C1349">
        <f>AS126</f>
        <v/>
      </c>
      <c r="D1349">
        <f>AU126</f>
        <v/>
      </c>
      <c r="E1349">
        <f>AW126</f>
        <v/>
      </c>
    </row>
    <row r="1350">
      <c r="A1350">
        <f>I127</f>
        <v/>
      </c>
      <c r="B1350">
        <f>AQ127</f>
        <v/>
      </c>
      <c r="C1350">
        <f>AS127</f>
        <v/>
      </c>
      <c r="D1350">
        <f>AU127</f>
        <v/>
      </c>
      <c r="E1350">
        <f>AW127</f>
        <v/>
      </c>
    </row>
    <row r="1351">
      <c r="A1351">
        <f>I128</f>
        <v/>
      </c>
      <c r="B1351">
        <f>AQ128</f>
        <v/>
      </c>
      <c r="C1351">
        <f>AS128</f>
        <v/>
      </c>
      <c r="D1351">
        <f>AU128</f>
        <v/>
      </c>
      <c r="E1351">
        <f>AW128</f>
        <v/>
      </c>
    </row>
    <row r="1352">
      <c r="A1352">
        <f>I129</f>
        <v/>
      </c>
      <c r="B1352">
        <f>AQ129</f>
        <v/>
      </c>
      <c r="C1352">
        <f>AS129</f>
        <v/>
      </c>
      <c r="D1352">
        <f>AU129</f>
        <v/>
      </c>
      <c r="E1352">
        <f>AW129</f>
        <v/>
      </c>
    </row>
    <row r="1353">
      <c r="A1353">
        <f>I130</f>
        <v/>
      </c>
      <c r="B1353">
        <f>AQ130</f>
        <v/>
      </c>
      <c r="C1353">
        <f>AS130</f>
        <v/>
      </c>
      <c r="D1353">
        <f>AU130</f>
        <v/>
      </c>
      <c r="E1353">
        <f>AW130</f>
        <v/>
      </c>
    </row>
    <row r="1354">
      <c r="A1354">
        <f>I131</f>
        <v/>
      </c>
      <c r="B1354">
        <f>AQ131</f>
        <v/>
      </c>
      <c r="C1354">
        <f>AS131</f>
        <v/>
      </c>
      <c r="D1354">
        <f>AU131</f>
        <v/>
      </c>
      <c r="E1354">
        <f>AW131</f>
        <v/>
      </c>
    </row>
    <row r="1355">
      <c r="A1355">
        <f>I132</f>
        <v/>
      </c>
      <c r="B1355">
        <f>AQ132</f>
        <v/>
      </c>
      <c r="C1355">
        <f>AS132</f>
        <v/>
      </c>
      <c r="D1355">
        <f>AU132</f>
        <v/>
      </c>
      <c r="E1355">
        <f>AW132</f>
        <v/>
      </c>
    </row>
    <row r="1356">
      <c r="A1356">
        <f>I133</f>
        <v/>
      </c>
      <c r="B1356">
        <f>AQ133</f>
        <v/>
      </c>
      <c r="C1356">
        <f>AS133</f>
        <v/>
      </c>
      <c r="D1356">
        <f>AU133</f>
        <v/>
      </c>
      <c r="E1356">
        <f>AW133</f>
        <v/>
      </c>
    </row>
    <row r="1357">
      <c r="A1357">
        <f>I134</f>
        <v/>
      </c>
      <c r="B1357">
        <f>AQ134</f>
        <v/>
      </c>
      <c r="C1357">
        <f>AS134</f>
        <v/>
      </c>
      <c r="D1357">
        <f>AU134</f>
        <v/>
      </c>
      <c r="E1357">
        <f>AW134</f>
        <v/>
      </c>
    </row>
    <row r="1358">
      <c r="A1358">
        <f>I135</f>
        <v/>
      </c>
      <c r="B1358">
        <f>AQ135</f>
        <v/>
      </c>
      <c r="C1358">
        <f>AS135</f>
        <v/>
      </c>
      <c r="D1358">
        <f>AU135</f>
        <v/>
      </c>
      <c r="E1358">
        <f>AW135</f>
        <v/>
      </c>
    </row>
    <row r="1359">
      <c r="A1359">
        <f>I136</f>
        <v/>
      </c>
      <c r="B1359">
        <f>AQ136</f>
        <v/>
      </c>
      <c r="C1359">
        <f>AS136</f>
        <v/>
      </c>
      <c r="D1359">
        <f>AU136</f>
        <v/>
      </c>
      <c r="E1359">
        <f>AW136</f>
        <v/>
      </c>
    </row>
    <row r="1360">
      <c r="A1360">
        <f>I137</f>
        <v/>
      </c>
      <c r="B1360">
        <f>AQ137</f>
        <v/>
      </c>
      <c r="C1360">
        <f>AS137</f>
        <v/>
      </c>
      <c r="D1360">
        <f>AU137</f>
        <v/>
      </c>
      <c r="E1360">
        <f>AW137</f>
        <v/>
      </c>
    </row>
    <row r="1361">
      <c r="A1361">
        <f>I138</f>
        <v/>
      </c>
      <c r="B1361">
        <f>AQ138</f>
        <v/>
      </c>
      <c r="C1361">
        <f>AS138</f>
        <v/>
      </c>
      <c r="D1361">
        <f>AU138</f>
        <v/>
      </c>
      <c r="E1361">
        <f>AW138</f>
        <v/>
      </c>
    </row>
    <row r="1362">
      <c r="A1362">
        <f>I139</f>
        <v/>
      </c>
      <c r="B1362">
        <f>AQ139</f>
        <v/>
      </c>
      <c r="C1362">
        <f>AS139</f>
        <v/>
      </c>
      <c r="D1362">
        <f>AU139</f>
        <v/>
      </c>
      <c r="E1362">
        <f>AW139</f>
        <v/>
      </c>
    </row>
    <row r="1363">
      <c r="A1363">
        <f>I140</f>
        <v/>
      </c>
      <c r="B1363">
        <f>AQ140</f>
        <v/>
      </c>
      <c r="C1363">
        <f>AS140</f>
        <v/>
      </c>
      <c r="D1363">
        <f>AU140</f>
        <v/>
      </c>
      <c r="E1363">
        <f>AW140</f>
        <v/>
      </c>
    </row>
    <row r="1364">
      <c r="A1364">
        <f>I141</f>
        <v/>
      </c>
      <c r="B1364">
        <f>AQ141</f>
        <v/>
      </c>
      <c r="C1364">
        <f>AS141</f>
        <v/>
      </c>
      <c r="D1364">
        <f>AU141</f>
        <v/>
      </c>
      <c r="E1364">
        <f>AW141</f>
        <v/>
      </c>
    </row>
    <row r="1365">
      <c r="A1365">
        <f>I142</f>
        <v/>
      </c>
      <c r="B1365">
        <f>AQ142</f>
        <v/>
      </c>
      <c r="C1365">
        <f>AS142</f>
        <v/>
      </c>
      <c r="D1365">
        <f>AU142</f>
        <v/>
      </c>
      <c r="E1365">
        <f>AW142</f>
        <v/>
      </c>
    </row>
    <row r="1366">
      <c r="A1366">
        <f>I143</f>
        <v/>
      </c>
      <c r="B1366">
        <f>AQ143</f>
        <v/>
      </c>
      <c r="C1366">
        <f>AS143</f>
        <v/>
      </c>
      <c r="D1366">
        <f>AU143</f>
        <v/>
      </c>
      <c r="E1366">
        <f>AW143</f>
        <v/>
      </c>
    </row>
    <row r="1367">
      <c r="A1367">
        <f>I144</f>
        <v/>
      </c>
      <c r="B1367">
        <f>AQ144</f>
        <v/>
      </c>
      <c r="C1367">
        <f>AS144</f>
        <v/>
      </c>
      <c r="D1367">
        <f>AU144</f>
        <v/>
      </c>
      <c r="E1367">
        <f>AW144</f>
        <v/>
      </c>
    </row>
    <row r="1368">
      <c r="A1368">
        <f>I145</f>
        <v/>
      </c>
      <c r="B1368">
        <f>AQ145</f>
        <v/>
      </c>
      <c r="C1368">
        <f>AS145</f>
        <v/>
      </c>
      <c r="D1368">
        <f>AU145</f>
        <v/>
      </c>
      <c r="E1368">
        <f>AW145</f>
        <v/>
      </c>
    </row>
    <row r="1369">
      <c r="A1369">
        <f>I146</f>
        <v/>
      </c>
      <c r="B1369">
        <f>AQ146</f>
        <v/>
      </c>
      <c r="C1369">
        <f>AS146</f>
        <v/>
      </c>
      <c r="D1369">
        <f>AU146</f>
        <v/>
      </c>
      <c r="E1369">
        <f>AW146</f>
        <v/>
      </c>
    </row>
    <row r="1370">
      <c r="A1370">
        <f>I147</f>
        <v/>
      </c>
      <c r="B1370">
        <f>AQ147</f>
        <v/>
      </c>
      <c r="C1370">
        <f>AS147</f>
        <v/>
      </c>
      <c r="D1370">
        <f>AU147</f>
        <v/>
      </c>
      <c r="E1370">
        <f>AW147</f>
        <v/>
      </c>
    </row>
    <row r="1371">
      <c r="A1371">
        <f>I148</f>
        <v/>
      </c>
      <c r="B1371">
        <f>AQ148</f>
        <v/>
      </c>
      <c r="C1371">
        <f>AS148</f>
        <v/>
      </c>
      <c r="D1371">
        <f>AU148</f>
        <v/>
      </c>
      <c r="E1371">
        <f>AW148</f>
        <v/>
      </c>
    </row>
    <row r="1372">
      <c r="A1372">
        <f>I149</f>
        <v/>
      </c>
      <c r="B1372">
        <f>AQ149</f>
        <v/>
      </c>
      <c r="C1372">
        <f>AS149</f>
        <v/>
      </c>
      <c r="D1372">
        <f>AU149</f>
        <v/>
      </c>
      <c r="E1372">
        <f>AW149</f>
        <v/>
      </c>
    </row>
    <row r="1373">
      <c r="A1373">
        <f>I150</f>
        <v/>
      </c>
      <c r="B1373">
        <f>AQ150</f>
        <v/>
      </c>
      <c r="C1373">
        <f>AS150</f>
        <v/>
      </c>
      <c r="D1373">
        <f>AU150</f>
        <v/>
      </c>
      <c r="E1373">
        <f>AW150</f>
        <v/>
      </c>
    </row>
    <row r="1374">
      <c r="A1374">
        <f>I151</f>
        <v/>
      </c>
      <c r="B1374">
        <f>AQ151</f>
        <v/>
      </c>
      <c r="C1374">
        <f>AS151</f>
        <v/>
      </c>
      <c r="D1374">
        <f>AU151</f>
        <v/>
      </c>
      <c r="E1374">
        <f>AW151</f>
        <v/>
      </c>
    </row>
    <row r="1375">
      <c r="A1375">
        <f>I152</f>
        <v/>
      </c>
      <c r="B1375">
        <f>AQ152</f>
        <v/>
      </c>
      <c r="C1375">
        <f>AS152</f>
        <v/>
      </c>
      <c r="D1375">
        <f>AU152</f>
        <v/>
      </c>
      <c r="E1375">
        <f>AW152</f>
        <v/>
      </c>
    </row>
    <row r="1376">
      <c r="A1376">
        <f>I153</f>
        <v/>
      </c>
      <c r="B1376">
        <f>AQ153</f>
        <v/>
      </c>
      <c r="C1376">
        <f>AS153</f>
        <v/>
      </c>
      <c r="D1376">
        <f>AU153</f>
        <v/>
      </c>
      <c r="E1376">
        <f>AW153</f>
        <v/>
      </c>
    </row>
    <row r="1377">
      <c r="A1377">
        <f>I154</f>
        <v/>
      </c>
      <c r="B1377">
        <f>AQ154</f>
        <v/>
      </c>
      <c r="C1377">
        <f>AS154</f>
        <v/>
      </c>
      <c r="D1377">
        <f>AU154</f>
        <v/>
      </c>
      <c r="E1377">
        <f>AW154</f>
        <v/>
      </c>
    </row>
    <row r="1378">
      <c r="A1378">
        <f>I155</f>
        <v/>
      </c>
      <c r="B1378">
        <f>AQ155</f>
        <v/>
      </c>
      <c r="C1378">
        <f>AS155</f>
        <v/>
      </c>
      <c r="D1378">
        <f>AU155</f>
        <v/>
      </c>
      <c r="E1378">
        <f>AW155</f>
        <v/>
      </c>
    </row>
    <row r="1379">
      <c r="A1379">
        <f>I156</f>
        <v/>
      </c>
      <c r="B1379">
        <f>AQ156</f>
        <v/>
      </c>
      <c r="C1379">
        <f>AS156</f>
        <v/>
      </c>
      <c r="D1379">
        <f>AU156</f>
        <v/>
      </c>
      <c r="E1379">
        <f>AW156</f>
        <v/>
      </c>
    </row>
    <row r="1380">
      <c r="A1380">
        <f>I157</f>
        <v/>
      </c>
      <c r="B1380">
        <f>AQ157</f>
        <v/>
      </c>
      <c r="C1380">
        <f>AS157</f>
        <v/>
      </c>
      <c r="D1380">
        <f>AU157</f>
        <v/>
      </c>
      <c r="E1380">
        <f>AW157</f>
        <v/>
      </c>
    </row>
    <row r="1381">
      <c r="A1381">
        <f>I158</f>
        <v/>
      </c>
      <c r="B1381">
        <f>AQ158</f>
        <v/>
      </c>
      <c r="C1381">
        <f>AS158</f>
        <v/>
      </c>
      <c r="D1381">
        <f>AU158</f>
        <v/>
      </c>
      <c r="E1381">
        <f>AW158</f>
        <v/>
      </c>
    </row>
    <row r="1382">
      <c r="A1382">
        <f>I159</f>
        <v/>
      </c>
      <c r="B1382">
        <f>AQ159</f>
        <v/>
      </c>
      <c r="C1382">
        <f>AS159</f>
        <v/>
      </c>
      <c r="D1382">
        <f>AU159</f>
        <v/>
      </c>
      <c r="E1382">
        <f>AW159</f>
        <v/>
      </c>
    </row>
    <row r="1383">
      <c r="A1383">
        <f>I160</f>
        <v/>
      </c>
      <c r="B1383">
        <f>AQ160</f>
        <v/>
      </c>
      <c r="C1383">
        <f>AS160</f>
        <v/>
      </c>
      <c r="D1383">
        <f>AU160</f>
        <v/>
      </c>
      <c r="E1383">
        <f>AW160</f>
        <v/>
      </c>
    </row>
    <row r="1384">
      <c r="A1384">
        <f>I161</f>
        <v/>
      </c>
      <c r="B1384">
        <f>AQ161</f>
        <v/>
      </c>
      <c r="C1384">
        <f>AS161</f>
        <v/>
      </c>
      <c r="D1384">
        <f>AU161</f>
        <v/>
      </c>
      <c r="E1384">
        <f>AW161</f>
        <v/>
      </c>
    </row>
    <row r="1385">
      <c r="A1385">
        <f>I162</f>
        <v/>
      </c>
      <c r="B1385">
        <f>AQ162</f>
        <v/>
      </c>
      <c r="C1385">
        <f>AS162</f>
        <v/>
      </c>
      <c r="D1385">
        <f>AU162</f>
        <v/>
      </c>
      <c r="E1385">
        <f>AW162</f>
        <v/>
      </c>
    </row>
    <row r="1386">
      <c r="A1386">
        <f>I163</f>
        <v/>
      </c>
      <c r="B1386">
        <f>AQ163</f>
        <v/>
      </c>
      <c r="C1386">
        <f>AS163</f>
        <v/>
      </c>
      <c r="D1386">
        <f>AU163</f>
        <v/>
      </c>
      <c r="E1386">
        <f>AW163</f>
        <v/>
      </c>
    </row>
    <row r="1387">
      <c r="A1387">
        <f>I164</f>
        <v/>
      </c>
      <c r="B1387">
        <f>AQ164</f>
        <v/>
      </c>
      <c r="C1387">
        <f>AS164</f>
        <v/>
      </c>
      <c r="D1387">
        <f>AU164</f>
        <v/>
      </c>
      <c r="E1387">
        <f>AW164</f>
        <v/>
      </c>
    </row>
    <row r="1388">
      <c r="A1388">
        <f>I165</f>
        <v/>
      </c>
      <c r="B1388">
        <f>AQ165</f>
        <v/>
      </c>
      <c r="C1388">
        <f>AS165</f>
        <v/>
      </c>
      <c r="D1388">
        <f>AU165</f>
        <v/>
      </c>
      <c r="E1388">
        <f>AW165</f>
        <v/>
      </c>
    </row>
    <row r="1389">
      <c r="A1389">
        <f>I166</f>
        <v/>
      </c>
      <c r="B1389">
        <f>AQ166</f>
        <v/>
      </c>
      <c r="C1389">
        <f>AS166</f>
        <v/>
      </c>
      <c r="D1389">
        <f>AU166</f>
        <v/>
      </c>
      <c r="E1389">
        <f>AW166</f>
        <v/>
      </c>
    </row>
    <row r="1390">
      <c r="A1390">
        <f>I167</f>
        <v/>
      </c>
      <c r="B1390">
        <f>AQ167</f>
        <v/>
      </c>
      <c r="C1390">
        <f>AS167</f>
        <v/>
      </c>
      <c r="D1390">
        <f>AU167</f>
        <v/>
      </c>
      <c r="E1390">
        <f>AW167</f>
        <v/>
      </c>
    </row>
    <row r="1391">
      <c r="A1391">
        <f>I168</f>
        <v/>
      </c>
      <c r="B1391">
        <f>AQ168</f>
        <v/>
      </c>
      <c r="C1391">
        <f>AS168</f>
        <v/>
      </c>
      <c r="D1391">
        <f>AU168</f>
        <v/>
      </c>
      <c r="E1391">
        <f>AW168</f>
        <v/>
      </c>
    </row>
    <row r="1392">
      <c r="A1392">
        <f>I169</f>
        <v/>
      </c>
      <c r="B1392">
        <f>AQ169</f>
        <v/>
      </c>
      <c r="C1392">
        <f>AS169</f>
        <v/>
      </c>
      <c r="D1392">
        <f>AU169</f>
        <v/>
      </c>
      <c r="E1392">
        <f>AW169</f>
        <v/>
      </c>
    </row>
    <row r="1393">
      <c r="A1393">
        <f>I170</f>
        <v/>
      </c>
      <c r="B1393">
        <f>AQ170</f>
        <v/>
      </c>
      <c r="C1393">
        <f>AS170</f>
        <v/>
      </c>
      <c r="D1393">
        <f>AU170</f>
        <v/>
      </c>
      <c r="E1393">
        <f>AW170</f>
        <v/>
      </c>
    </row>
    <row r="1394">
      <c r="A1394">
        <f>I171</f>
        <v/>
      </c>
      <c r="B1394">
        <f>AQ171</f>
        <v/>
      </c>
      <c r="C1394">
        <f>AS171</f>
        <v/>
      </c>
      <c r="D1394">
        <f>AU171</f>
        <v/>
      </c>
      <c r="E1394">
        <f>AW171</f>
        <v/>
      </c>
    </row>
    <row r="1395">
      <c r="A1395">
        <f>I172</f>
        <v/>
      </c>
      <c r="B1395">
        <f>AQ172</f>
        <v/>
      </c>
      <c r="C1395">
        <f>AS172</f>
        <v/>
      </c>
      <c r="D1395">
        <f>AU172</f>
        <v/>
      </c>
      <c r="E1395">
        <f>AW172</f>
        <v/>
      </c>
    </row>
    <row r="1396">
      <c r="A1396">
        <f>I173</f>
        <v/>
      </c>
      <c r="B1396">
        <f>AQ173</f>
        <v/>
      </c>
      <c r="C1396">
        <f>AS173</f>
        <v/>
      </c>
      <c r="D1396">
        <f>AU173</f>
        <v/>
      </c>
      <c r="E1396">
        <f>AW173</f>
        <v/>
      </c>
    </row>
    <row r="1397">
      <c r="A1397">
        <f>I174</f>
        <v/>
      </c>
      <c r="B1397">
        <f>AQ174</f>
        <v/>
      </c>
      <c r="C1397">
        <f>AS174</f>
        <v/>
      </c>
      <c r="D1397">
        <f>AU174</f>
        <v/>
      </c>
      <c r="E1397">
        <f>AW174</f>
        <v/>
      </c>
    </row>
    <row r="1398">
      <c r="A1398">
        <f>I175</f>
        <v/>
      </c>
      <c r="B1398">
        <f>AQ175</f>
        <v/>
      </c>
      <c r="C1398">
        <f>AS175</f>
        <v/>
      </c>
      <c r="D1398">
        <f>AU175</f>
        <v/>
      </c>
      <c r="E1398">
        <f>AW175</f>
        <v/>
      </c>
    </row>
    <row r="1399">
      <c r="A1399">
        <f>I176</f>
        <v/>
      </c>
      <c r="B1399">
        <f>AQ176</f>
        <v/>
      </c>
      <c r="C1399">
        <f>AS176</f>
        <v/>
      </c>
      <c r="D1399">
        <f>AU176</f>
        <v/>
      </c>
      <c r="E1399">
        <f>AW176</f>
        <v/>
      </c>
    </row>
    <row r="1400">
      <c r="A1400">
        <f>I177</f>
        <v/>
      </c>
      <c r="B1400">
        <f>AQ177</f>
        <v/>
      </c>
      <c r="C1400">
        <f>AS177</f>
        <v/>
      </c>
      <c r="D1400">
        <f>AU177</f>
        <v/>
      </c>
      <c r="E1400">
        <f>AW177</f>
        <v/>
      </c>
    </row>
    <row r="1401">
      <c r="A1401">
        <f>I178</f>
        <v/>
      </c>
      <c r="B1401">
        <f>AQ178</f>
        <v/>
      </c>
      <c r="C1401">
        <f>AS178</f>
        <v/>
      </c>
      <c r="D1401">
        <f>AU178</f>
        <v/>
      </c>
      <c r="E1401">
        <f>AW178</f>
        <v/>
      </c>
    </row>
    <row r="1402">
      <c r="A1402">
        <f>I179</f>
        <v/>
      </c>
      <c r="B1402">
        <f>AQ179</f>
        <v/>
      </c>
      <c r="C1402">
        <f>AS179</f>
        <v/>
      </c>
      <c r="D1402">
        <f>AU179</f>
        <v/>
      </c>
      <c r="E1402">
        <f>AW179</f>
        <v/>
      </c>
    </row>
    <row r="1403">
      <c r="A1403">
        <f>I180</f>
        <v/>
      </c>
      <c r="B1403">
        <f>AQ180</f>
        <v/>
      </c>
      <c r="C1403">
        <f>AS180</f>
        <v/>
      </c>
      <c r="D1403">
        <f>AU180</f>
        <v/>
      </c>
      <c r="E1403">
        <f>AW180</f>
        <v/>
      </c>
    </row>
    <row r="1404">
      <c r="A1404">
        <f>I181</f>
        <v/>
      </c>
      <c r="B1404">
        <f>AQ181</f>
        <v/>
      </c>
      <c r="C1404">
        <f>AS181</f>
        <v/>
      </c>
      <c r="D1404">
        <f>AU181</f>
        <v/>
      </c>
      <c r="E1404">
        <f>AW181</f>
        <v/>
      </c>
    </row>
    <row r="1405">
      <c r="A1405">
        <f>I182</f>
        <v/>
      </c>
      <c r="B1405">
        <f>AQ182</f>
        <v/>
      </c>
      <c r="C1405">
        <f>AS182</f>
        <v/>
      </c>
      <c r="D1405">
        <f>AU182</f>
        <v/>
      </c>
      <c r="E1405">
        <f>AW182</f>
        <v/>
      </c>
    </row>
    <row r="1406">
      <c r="A1406">
        <f>I183</f>
        <v/>
      </c>
      <c r="B1406">
        <f>AQ183</f>
        <v/>
      </c>
      <c r="C1406">
        <f>AS183</f>
        <v/>
      </c>
      <c r="D1406">
        <f>AU183</f>
        <v/>
      </c>
      <c r="E1406">
        <f>AW183</f>
        <v/>
      </c>
    </row>
    <row r="1407">
      <c r="A1407">
        <f>I184</f>
        <v/>
      </c>
      <c r="B1407">
        <f>AQ184</f>
        <v/>
      </c>
      <c r="C1407">
        <f>AS184</f>
        <v/>
      </c>
      <c r="D1407">
        <f>AU184</f>
        <v/>
      </c>
      <c r="E1407">
        <f>AW184</f>
        <v/>
      </c>
    </row>
    <row r="1408">
      <c r="A1408">
        <f>I185</f>
        <v/>
      </c>
      <c r="B1408">
        <f>AQ185</f>
        <v/>
      </c>
      <c r="C1408">
        <f>AS185</f>
        <v/>
      </c>
      <c r="D1408">
        <f>AU185</f>
        <v/>
      </c>
      <c r="E1408">
        <f>AW185</f>
        <v/>
      </c>
    </row>
    <row r="1409">
      <c r="A1409">
        <f>I186</f>
        <v/>
      </c>
      <c r="B1409">
        <f>AQ186</f>
        <v/>
      </c>
      <c r="C1409">
        <f>AS186</f>
        <v/>
      </c>
      <c r="D1409">
        <f>AU186</f>
        <v/>
      </c>
      <c r="E1409">
        <f>AW186</f>
        <v/>
      </c>
    </row>
    <row r="1410">
      <c r="A1410">
        <f>I187</f>
        <v/>
      </c>
      <c r="B1410">
        <f>AQ187</f>
        <v/>
      </c>
      <c r="C1410">
        <f>AS187</f>
        <v/>
      </c>
      <c r="D1410">
        <f>AU187</f>
        <v/>
      </c>
      <c r="E1410">
        <f>AW187</f>
        <v/>
      </c>
    </row>
    <row r="1411">
      <c r="A1411">
        <f>I188</f>
        <v/>
      </c>
      <c r="B1411">
        <f>AQ188</f>
        <v/>
      </c>
      <c r="C1411">
        <f>AS188</f>
        <v/>
      </c>
      <c r="D1411">
        <f>AU188</f>
        <v/>
      </c>
      <c r="E1411">
        <f>AW188</f>
        <v/>
      </c>
    </row>
    <row r="1412">
      <c r="A1412">
        <f>I189</f>
        <v/>
      </c>
      <c r="B1412">
        <f>AQ189</f>
        <v/>
      </c>
      <c r="C1412">
        <f>AS189</f>
        <v/>
      </c>
      <c r="D1412">
        <f>AU189</f>
        <v/>
      </c>
      <c r="E1412">
        <f>AW189</f>
        <v/>
      </c>
    </row>
    <row r="1413">
      <c r="A1413">
        <f>I190</f>
        <v/>
      </c>
      <c r="B1413">
        <f>AQ190</f>
        <v/>
      </c>
      <c r="C1413">
        <f>AS190</f>
        <v/>
      </c>
      <c r="D1413">
        <f>AU190</f>
        <v/>
      </c>
      <c r="E1413">
        <f>AW190</f>
        <v/>
      </c>
    </row>
    <row r="1414">
      <c r="A1414">
        <f>I191</f>
        <v/>
      </c>
      <c r="B1414">
        <f>AQ191</f>
        <v/>
      </c>
      <c r="C1414">
        <f>AS191</f>
        <v/>
      </c>
      <c r="D1414">
        <f>AU191</f>
        <v/>
      </c>
      <c r="E1414">
        <f>AW191</f>
        <v/>
      </c>
    </row>
    <row r="1415">
      <c r="A1415">
        <f>I192</f>
        <v/>
      </c>
      <c r="B1415">
        <f>AQ192</f>
        <v/>
      </c>
      <c r="C1415">
        <f>AS192</f>
        <v/>
      </c>
      <c r="D1415">
        <f>AU192</f>
        <v/>
      </c>
      <c r="E1415">
        <f>AW192</f>
        <v/>
      </c>
    </row>
    <row r="1416">
      <c r="A1416">
        <f>I193</f>
        <v/>
      </c>
      <c r="B1416">
        <f>AQ193</f>
        <v/>
      </c>
      <c r="C1416">
        <f>AS193</f>
        <v/>
      </c>
      <c r="D1416">
        <f>AU193</f>
        <v/>
      </c>
      <c r="E1416">
        <f>AW193</f>
        <v/>
      </c>
    </row>
    <row r="1417">
      <c r="A1417">
        <f>I194</f>
        <v/>
      </c>
      <c r="B1417">
        <f>AQ194</f>
        <v/>
      </c>
      <c r="C1417">
        <f>AS194</f>
        <v/>
      </c>
      <c r="D1417">
        <f>AU194</f>
        <v/>
      </c>
      <c r="E1417">
        <f>AW194</f>
        <v/>
      </c>
    </row>
    <row r="1418">
      <c r="A1418">
        <f>I195</f>
        <v/>
      </c>
      <c r="B1418">
        <f>AQ195</f>
        <v/>
      </c>
      <c r="C1418">
        <f>AS195</f>
        <v/>
      </c>
      <c r="D1418">
        <f>AU195</f>
        <v/>
      </c>
      <c r="E1418">
        <f>AW195</f>
        <v/>
      </c>
    </row>
    <row r="1419">
      <c r="A1419">
        <f>I196</f>
        <v/>
      </c>
      <c r="B1419">
        <f>AQ196</f>
        <v/>
      </c>
      <c r="C1419">
        <f>AS196</f>
        <v/>
      </c>
      <c r="D1419">
        <f>AU196</f>
        <v/>
      </c>
      <c r="E1419">
        <f>AW196</f>
        <v/>
      </c>
    </row>
    <row r="1420">
      <c r="A1420">
        <f>I197</f>
        <v/>
      </c>
      <c r="B1420">
        <f>AQ197</f>
        <v/>
      </c>
      <c r="C1420">
        <f>AS197</f>
        <v/>
      </c>
      <c r="D1420">
        <f>AU197</f>
        <v/>
      </c>
      <c r="E1420">
        <f>AW197</f>
        <v/>
      </c>
    </row>
    <row r="1421">
      <c r="A1421">
        <f>I198</f>
        <v/>
      </c>
      <c r="B1421">
        <f>AQ198</f>
        <v/>
      </c>
      <c r="C1421">
        <f>AS198</f>
        <v/>
      </c>
      <c r="D1421">
        <f>AU198</f>
        <v/>
      </c>
      <c r="E1421">
        <f>AW198</f>
        <v/>
      </c>
    </row>
    <row r="1422">
      <c r="A1422">
        <f>I199</f>
        <v/>
      </c>
      <c r="B1422">
        <f>AQ199</f>
        <v/>
      </c>
      <c r="C1422">
        <f>AS199</f>
        <v/>
      </c>
      <c r="D1422">
        <f>AU199</f>
        <v/>
      </c>
      <c r="E1422">
        <f>AW199</f>
        <v/>
      </c>
    </row>
    <row r="1423">
      <c r="A1423">
        <f>I200</f>
        <v/>
      </c>
      <c r="B1423">
        <f>AQ200</f>
        <v/>
      </c>
      <c r="C1423">
        <f>AS200</f>
        <v/>
      </c>
      <c r="D1423">
        <f>AU200</f>
        <v/>
      </c>
      <c r="E1423">
        <f>AW200</f>
        <v/>
      </c>
    </row>
    <row r="1424">
      <c r="A1424">
        <f>I201</f>
        <v/>
      </c>
      <c r="B1424">
        <f>AQ201</f>
        <v/>
      </c>
      <c r="C1424">
        <f>AS201</f>
        <v/>
      </c>
      <c r="D1424">
        <f>AU201</f>
        <v/>
      </c>
      <c r="E1424">
        <f>AW201</f>
        <v/>
      </c>
    </row>
    <row r="1425">
      <c r="A1425">
        <f>I202</f>
        <v/>
      </c>
      <c r="B1425">
        <f>AQ202</f>
        <v/>
      </c>
      <c r="C1425">
        <f>AS202</f>
        <v/>
      </c>
      <c r="D1425">
        <f>AU202</f>
        <v/>
      </c>
      <c r="E1425">
        <f>AW202</f>
        <v/>
      </c>
    </row>
    <row r="1426">
      <c r="A1426">
        <f>I203</f>
        <v/>
      </c>
      <c r="B1426">
        <f>AQ203</f>
        <v/>
      </c>
      <c r="C1426">
        <f>AS203</f>
        <v/>
      </c>
      <c r="D1426">
        <f>AU203</f>
        <v/>
      </c>
      <c r="E1426">
        <f>AW203</f>
        <v/>
      </c>
    </row>
    <row r="1427">
      <c r="A1427">
        <f>I204</f>
        <v/>
      </c>
      <c r="B1427">
        <f>AQ204</f>
        <v/>
      </c>
      <c r="C1427">
        <f>AS204</f>
        <v/>
      </c>
      <c r="D1427">
        <f>AU204</f>
        <v/>
      </c>
      <c r="E1427">
        <f>AW204</f>
        <v/>
      </c>
    </row>
    <row r="1428">
      <c r="A1428">
        <f>I205</f>
        <v/>
      </c>
      <c r="B1428">
        <f>AQ205</f>
        <v/>
      </c>
      <c r="C1428">
        <f>AS205</f>
        <v/>
      </c>
      <c r="D1428">
        <f>AU205</f>
        <v/>
      </c>
      <c r="E1428">
        <f>AW205</f>
        <v/>
      </c>
    </row>
    <row r="1429">
      <c r="A1429">
        <f>I206</f>
        <v/>
      </c>
      <c r="B1429">
        <f>AQ206</f>
        <v/>
      </c>
      <c r="C1429">
        <f>AS206</f>
        <v/>
      </c>
      <c r="D1429">
        <f>AU206</f>
        <v/>
      </c>
      <c r="E1429">
        <f>AW206</f>
        <v/>
      </c>
    </row>
    <row r="1430">
      <c r="A1430">
        <f>I207</f>
        <v/>
      </c>
      <c r="B1430">
        <f>AQ207</f>
        <v/>
      </c>
      <c r="C1430">
        <f>AS207</f>
        <v/>
      </c>
      <c r="D1430">
        <f>AU207</f>
        <v/>
      </c>
      <c r="E1430">
        <f>AW207</f>
        <v/>
      </c>
    </row>
    <row r="1431">
      <c r="A1431">
        <f>I208</f>
        <v/>
      </c>
      <c r="B1431">
        <f>AQ208</f>
        <v/>
      </c>
      <c r="C1431">
        <f>AS208</f>
        <v/>
      </c>
      <c r="D1431">
        <f>AU208</f>
        <v/>
      </c>
      <c r="E1431">
        <f>AW208</f>
        <v/>
      </c>
    </row>
    <row r="1432">
      <c r="A1432">
        <f>I209</f>
        <v/>
      </c>
      <c r="B1432">
        <f>AQ209</f>
        <v/>
      </c>
      <c r="C1432">
        <f>AS209</f>
        <v/>
      </c>
      <c r="D1432">
        <f>AU209</f>
        <v/>
      </c>
      <c r="E1432">
        <f>AW209</f>
        <v/>
      </c>
    </row>
    <row r="1433">
      <c r="A1433">
        <f>I210</f>
        <v/>
      </c>
      <c r="B1433">
        <f>AQ210</f>
        <v/>
      </c>
      <c r="C1433">
        <f>AS210</f>
        <v/>
      </c>
      <c r="D1433">
        <f>AU210</f>
        <v/>
      </c>
      <c r="E1433">
        <f>AW210</f>
        <v/>
      </c>
    </row>
    <row r="1434">
      <c r="A1434">
        <f>I211</f>
        <v/>
      </c>
      <c r="B1434">
        <f>AQ211</f>
        <v/>
      </c>
      <c r="C1434">
        <f>AS211</f>
        <v/>
      </c>
      <c r="D1434">
        <f>AU211</f>
        <v/>
      </c>
      <c r="E1434">
        <f>AW211</f>
        <v/>
      </c>
    </row>
    <row r="1435">
      <c r="A1435">
        <f>I212</f>
        <v/>
      </c>
      <c r="B1435">
        <f>AQ212</f>
        <v/>
      </c>
      <c r="C1435">
        <f>AS212</f>
        <v/>
      </c>
      <c r="D1435">
        <f>AU212</f>
        <v/>
      </c>
      <c r="E1435">
        <f>AW212</f>
        <v/>
      </c>
    </row>
    <row r="1436">
      <c r="A1436">
        <f>I213</f>
        <v/>
      </c>
      <c r="B1436">
        <f>AQ213</f>
        <v/>
      </c>
      <c r="C1436">
        <f>AS213</f>
        <v/>
      </c>
      <c r="D1436">
        <f>AU213</f>
        <v/>
      </c>
      <c r="E1436">
        <f>AW213</f>
        <v/>
      </c>
    </row>
    <row r="1437">
      <c r="A1437">
        <f>I214</f>
        <v/>
      </c>
      <c r="B1437">
        <f>AQ214</f>
        <v/>
      </c>
      <c r="C1437">
        <f>AS214</f>
        <v/>
      </c>
      <c r="D1437">
        <f>AU214</f>
        <v/>
      </c>
      <c r="E1437">
        <f>AW214</f>
        <v/>
      </c>
    </row>
    <row r="1438">
      <c r="A1438">
        <f>I215</f>
        <v/>
      </c>
      <c r="B1438">
        <f>AQ215</f>
        <v/>
      </c>
      <c r="C1438">
        <f>AS215</f>
        <v/>
      </c>
      <c r="D1438">
        <f>AU215</f>
        <v/>
      </c>
      <c r="E1438">
        <f>AW215</f>
        <v/>
      </c>
    </row>
    <row r="1439">
      <c r="A1439">
        <f>I216</f>
        <v/>
      </c>
      <c r="B1439">
        <f>AQ216</f>
        <v/>
      </c>
      <c r="C1439">
        <f>AS216</f>
        <v/>
      </c>
      <c r="D1439">
        <f>AU216</f>
        <v/>
      </c>
      <c r="E1439">
        <f>AW216</f>
        <v/>
      </c>
    </row>
    <row r="1440">
      <c r="A1440">
        <f>I217</f>
        <v/>
      </c>
      <c r="B1440">
        <f>AQ217</f>
        <v/>
      </c>
      <c r="C1440">
        <f>AS217</f>
        <v/>
      </c>
      <c r="D1440">
        <f>AU217</f>
        <v/>
      </c>
      <c r="E1440">
        <f>AW217</f>
        <v/>
      </c>
    </row>
    <row r="1441">
      <c r="A1441">
        <f>I218</f>
        <v/>
      </c>
      <c r="B1441">
        <f>AQ218</f>
        <v/>
      </c>
      <c r="C1441">
        <f>AS218</f>
        <v/>
      </c>
      <c r="D1441">
        <f>AU218</f>
        <v/>
      </c>
      <c r="E1441">
        <f>AW218</f>
        <v/>
      </c>
    </row>
    <row r="1442">
      <c r="A1442">
        <f>I219</f>
        <v/>
      </c>
      <c r="B1442">
        <f>AQ219</f>
        <v/>
      </c>
      <c r="C1442">
        <f>AS219</f>
        <v/>
      </c>
      <c r="D1442">
        <f>AU219</f>
        <v/>
      </c>
      <c r="E1442">
        <f>AW219</f>
        <v/>
      </c>
    </row>
    <row r="1443">
      <c r="A1443">
        <f>I220</f>
        <v/>
      </c>
      <c r="B1443">
        <f>AQ220</f>
        <v/>
      </c>
      <c r="C1443">
        <f>AS220</f>
        <v/>
      </c>
      <c r="D1443">
        <f>AU220</f>
        <v/>
      </c>
      <c r="E1443">
        <f>AW220</f>
        <v/>
      </c>
    </row>
    <row r="1444">
      <c r="A1444">
        <f>I221</f>
        <v/>
      </c>
      <c r="B1444">
        <f>AQ221</f>
        <v/>
      </c>
      <c r="C1444">
        <f>AS221</f>
        <v/>
      </c>
      <c r="D1444">
        <f>AU221</f>
        <v/>
      </c>
      <c r="E1444">
        <f>AW221</f>
        <v/>
      </c>
    </row>
    <row r="1445">
      <c r="A1445">
        <f>I222</f>
        <v/>
      </c>
      <c r="B1445">
        <f>AQ222</f>
        <v/>
      </c>
      <c r="C1445">
        <f>AS222</f>
        <v/>
      </c>
      <c r="D1445">
        <f>AU222</f>
        <v/>
      </c>
      <c r="E1445">
        <f>AW222</f>
        <v/>
      </c>
    </row>
    <row r="1446">
      <c r="A1446">
        <f>I223</f>
        <v/>
      </c>
      <c r="B1446">
        <f>AQ223</f>
        <v/>
      </c>
      <c r="C1446">
        <f>AS223</f>
        <v/>
      </c>
      <c r="D1446">
        <f>AU223</f>
        <v/>
      </c>
      <c r="E1446">
        <f>AW223</f>
        <v/>
      </c>
    </row>
    <row r="1447">
      <c r="A1447">
        <f>I224</f>
        <v/>
      </c>
      <c r="B1447">
        <f>AQ224</f>
        <v/>
      </c>
      <c r="C1447">
        <f>AS224</f>
        <v/>
      </c>
      <c r="D1447">
        <f>AU224</f>
        <v/>
      </c>
      <c r="E1447">
        <f>AW224</f>
        <v/>
      </c>
    </row>
    <row r="1448">
      <c r="A1448">
        <f>I225</f>
        <v/>
      </c>
      <c r="B1448">
        <f>AQ225</f>
        <v/>
      </c>
      <c r="C1448">
        <f>AS225</f>
        <v/>
      </c>
      <c r="D1448">
        <f>AU225</f>
        <v/>
      </c>
      <c r="E1448">
        <f>AW225</f>
        <v/>
      </c>
    </row>
    <row r="1449">
      <c r="A1449">
        <f>I226</f>
        <v/>
      </c>
      <c r="B1449">
        <f>AQ226</f>
        <v/>
      </c>
      <c r="C1449">
        <f>AS226</f>
        <v/>
      </c>
      <c r="D1449">
        <f>AU226</f>
        <v/>
      </c>
      <c r="E1449">
        <f>AW226</f>
        <v/>
      </c>
    </row>
    <row r="1450">
      <c r="A1450">
        <f>I227</f>
        <v/>
      </c>
      <c r="B1450">
        <f>AQ227</f>
        <v/>
      </c>
      <c r="C1450">
        <f>AS227</f>
        <v/>
      </c>
      <c r="D1450">
        <f>AU227</f>
        <v/>
      </c>
      <c r="E1450">
        <f>AW227</f>
        <v/>
      </c>
    </row>
    <row r="1451">
      <c r="A1451">
        <f>I228</f>
        <v/>
      </c>
      <c r="B1451">
        <f>AQ228</f>
        <v/>
      </c>
      <c r="C1451">
        <f>AS228</f>
        <v/>
      </c>
      <c r="D1451">
        <f>AU228</f>
        <v/>
      </c>
      <c r="E1451">
        <f>AW228</f>
        <v/>
      </c>
    </row>
    <row r="1452">
      <c r="A1452">
        <f>I229</f>
        <v/>
      </c>
      <c r="B1452">
        <f>AQ229</f>
        <v/>
      </c>
      <c r="C1452">
        <f>AS229</f>
        <v/>
      </c>
      <c r="D1452">
        <f>AU229</f>
        <v/>
      </c>
      <c r="E1452">
        <f>AW229</f>
        <v/>
      </c>
    </row>
    <row r="1453">
      <c r="A1453">
        <f>I230</f>
        <v/>
      </c>
      <c r="B1453">
        <f>AQ230</f>
        <v/>
      </c>
      <c r="C1453">
        <f>AS230</f>
        <v/>
      </c>
      <c r="D1453">
        <f>AU230</f>
        <v/>
      </c>
      <c r="E1453">
        <f>AW230</f>
        <v/>
      </c>
    </row>
    <row r="1454">
      <c r="A1454">
        <f>I231</f>
        <v/>
      </c>
      <c r="B1454">
        <f>AQ231</f>
        <v/>
      </c>
      <c r="C1454">
        <f>AS231</f>
        <v/>
      </c>
      <c r="D1454">
        <f>AU231</f>
        <v/>
      </c>
      <c r="E1454">
        <f>AW231</f>
        <v/>
      </c>
    </row>
    <row r="1455">
      <c r="A1455">
        <f>I232</f>
        <v/>
      </c>
      <c r="B1455">
        <f>AQ232</f>
        <v/>
      </c>
      <c r="C1455">
        <f>AS232</f>
        <v/>
      </c>
      <c r="D1455">
        <f>AU232</f>
        <v/>
      </c>
      <c r="E1455">
        <f>AW232</f>
        <v/>
      </c>
    </row>
    <row r="1456">
      <c r="A1456">
        <f>I233</f>
        <v/>
      </c>
      <c r="B1456">
        <f>AQ233</f>
        <v/>
      </c>
      <c r="C1456">
        <f>AS233</f>
        <v/>
      </c>
      <c r="D1456">
        <f>AU233</f>
        <v/>
      </c>
      <c r="E1456">
        <f>AW233</f>
        <v/>
      </c>
    </row>
    <row r="1457">
      <c r="A1457">
        <f>I234</f>
        <v/>
      </c>
      <c r="B1457">
        <f>AQ234</f>
        <v/>
      </c>
      <c r="C1457">
        <f>AS234</f>
        <v/>
      </c>
      <c r="D1457">
        <f>AU234</f>
        <v/>
      </c>
      <c r="E1457">
        <f>AW234</f>
        <v/>
      </c>
    </row>
    <row r="1458">
      <c r="A1458">
        <f>I235</f>
        <v/>
      </c>
      <c r="B1458">
        <f>AQ235</f>
        <v/>
      </c>
      <c r="C1458">
        <f>AS235</f>
        <v/>
      </c>
      <c r="D1458">
        <f>AU235</f>
        <v/>
      </c>
      <c r="E1458">
        <f>AW235</f>
        <v/>
      </c>
    </row>
    <row r="1459">
      <c r="A1459">
        <f>I236</f>
        <v/>
      </c>
      <c r="B1459">
        <f>AQ236</f>
        <v/>
      </c>
      <c r="C1459">
        <f>AS236</f>
        <v/>
      </c>
      <c r="D1459">
        <f>AU236</f>
        <v/>
      </c>
      <c r="E1459">
        <f>AW236</f>
        <v/>
      </c>
    </row>
    <row r="1460">
      <c r="A1460">
        <f>I237</f>
        <v/>
      </c>
      <c r="B1460">
        <f>AQ237</f>
        <v/>
      </c>
      <c r="C1460">
        <f>AS237</f>
        <v/>
      </c>
      <c r="D1460">
        <f>AU237</f>
        <v/>
      </c>
      <c r="E1460">
        <f>AW237</f>
        <v/>
      </c>
    </row>
    <row r="1461">
      <c r="A1461">
        <f>I238</f>
        <v/>
      </c>
      <c r="B1461">
        <f>AQ238</f>
        <v/>
      </c>
      <c r="C1461">
        <f>AS238</f>
        <v/>
      </c>
      <c r="D1461">
        <f>AU238</f>
        <v/>
      </c>
      <c r="E1461">
        <f>AW238</f>
        <v/>
      </c>
    </row>
    <row r="1462">
      <c r="A1462">
        <f>I239</f>
        <v/>
      </c>
      <c r="B1462">
        <f>AQ239</f>
        <v/>
      </c>
      <c r="C1462">
        <f>AS239</f>
        <v/>
      </c>
      <c r="D1462">
        <f>AU239</f>
        <v/>
      </c>
      <c r="E1462">
        <f>AW239</f>
        <v/>
      </c>
    </row>
    <row r="1463">
      <c r="A1463">
        <f>I240</f>
        <v/>
      </c>
      <c r="B1463">
        <f>AQ240</f>
        <v/>
      </c>
      <c r="C1463">
        <f>AS240</f>
        <v/>
      </c>
      <c r="D1463">
        <f>AU240</f>
        <v/>
      </c>
      <c r="E1463">
        <f>AW240</f>
        <v/>
      </c>
    </row>
    <row r="1464">
      <c r="A1464">
        <f>I241</f>
        <v/>
      </c>
      <c r="B1464">
        <f>AQ241</f>
        <v/>
      </c>
      <c r="C1464">
        <f>AS241</f>
        <v/>
      </c>
      <c r="D1464">
        <f>AU241</f>
        <v/>
      </c>
      <c r="E1464">
        <f>AW241</f>
        <v/>
      </c>
    </row>
    <row r="1465">
      <c r="A1465">
        <f>I242</f>
        <v/>
      </c>
      <c r="B1465">
        <f>AQ242</f>
        <v/>
      </c>
      <c r="C1465">
        <f>AS242</f>
        <v/>
      </c>
      <c r="D1465">
        <f>AU242</f>
        <v/>
      </c>
      <c r="E1465">
        <f>AW242</f>
        <v/>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H1958"/>
  <sheetViews>
    <sheetView workbookViewId="0">
      <selection activeCell="A1" sqref="A1"/>
    </sheetView>
  </sheetViews>
  <sheetFormatPr baseColWidth="8" defaultRowHeight="13.5"/>
  <cols>
    <col width="18" customWidth="1" min="1" max="8"/>
  </cols>
  <sheetData>
    <row r="1">
      <c r="A1" t="inlineStr">
        <is>
          <t>Surface Height: Generated Topography Reference Floor, Target, and Nadir</t>
        </is>
      </c>
    </row>
    <row r="2">
      <c r="A2" t="inlineStr">
        <is>
          <t>Reference floor = generated topography x</t>
        </is>
      </c>
      <c r="B2" t="inlineStr">
        <is>
          <t>Reference floor = generated topography</t>
        </is>
      </c>
      <c r="C2" t="inlineStr">
        <is>
          <t>Off-nadir target terrain x</t>
        </is>
      </c>
      <c r="D2" t="inlineStr">
        <is>
          <t>Off-nadir target terrain</t>
        </is>
      </c>
      <c r="E2" t="inlineStr">
        <is>
          <t>Nadir terrain x</t>
        </is>
      </c>
      <c r="F2" t="inlineStr">
        <is>
          <t>Nadir terrain</t>
        </is>
      </c>
    </row>
    <row r="3">
      <c r="A3">
        <f>Dashboard_Live_Data!D2</f>
        <v/>
      </c>
      <c r="B3">
        <f>Dashboard_Live_Data!E2</f>
        <v/>
      </c>
      <c r="C3">
        <f>Dashboard_Live_Data!D2</f>
        <v/>
      </c>
      <c r="D3">
        <f>Dashboard_Live_Data!F2</f>
        <v/>
      </c>
      <c r="E3">
        <f>Dashboard_Live_Data!D2</f>
        <v/>
      </c>
      <c r="F3">
        <f>Dashboard_Live_Data!G2</f>
        <v/>
      </c>
    </row>
    <row r="4">
      <c r="A4">
        <f>Dashboard_Live_Data!D3</f>
        <v/>
      </c>
      <c r="B4">
        <f>Dashboard_Live_Data!E3</f>
        <v/>
      </c>
      <c r="C4">
        <f>Dashboard_Live_Data!D3</f>
        <v/>
      </c>
      <c r="D4">
        <f>Dashboard_Live_Data!F3</f>
        <v/>
      </c>
      <c r="E4">
        <f>Dashboard_Live_Data!D3</f>
        <v/>
      </c>
      <c r="F4">
        <f>Dashboard_Live_Data!G3</f>
        <v/>
      </c>
    </row>
    <row r="5">
      <c r="A5">
        <f>Dashboard_Live_Data!D4</f>
        <v/>
      </c>
      <c r="B5">
        <f>Dashboard_Live_Data!E4</f>
        <v/>
      </c>
      <c r="C5">
        <f>Dashboard_Live_Data!D4</f>
        <v/>
      </c>
      <c r="D5">
        <f>Dashboard_Live_Data!F4</f>
        <v/>
      </c>
      <c r="E5">
        <f>Dashboard_Live_Data!D4</f>
        <v/>
      </c>
      <c r="F5">
        <f>Dashboard_Live_Data!G4</f>
        <v/>
      </c>
    </row>
    <row r="6">
      <c r="A6">
        <f>Dashboard_Live_Data!D5</f>
        <v/>
      </c>
      <c r="B6">
        <f>Dashboard_Live_Data!E5</f>
        <v/>
      </c>
      <c r="C6">
        <f>Dashboard_Live_Data!D5</f>
        <v/>
      </c>
      <c r="D6">
        <f>Dashboard_Live_Data!F5</f>
        <v/>
      </c>
      <c r="E6">
        <f>Dashboard_Live_Data!D5</f>
        <v/>
      </c>
      <c r="F6">
        <f>Dashboard_Live_Data!G5</f>
        <v/>
      </c>
    </row>
    <row r="7">
      <c r="A7">
        <f>Dashboard_Live_Data!D6</f>
        <v/>
      </c>
      <c r="B7">
        <f>Dashboard_Live_Data!E6</f>
        <v/>
      </c>
      <c r="C7">
        <f>Dashboard_Live_Data!D6</f>
        <v/>
      </c>
      <c r="D7">
        <f>Dashboard_Live_Data!F6</f>
        <v/>
      </c>
      <c r="E7">
        <f>Dashboard_Live_Data!D6</f>
        <v/>
      </c>
      <c r="F7">
        <f>Dashboard_Live_Data!G6</f>
        <v/>
      </c>
    </row>
    <row r="8">
      <c r="A8">
        <f>Dashboard_Live_Data!D7</f>
        <v/>
      </c>
      <c r="B8">
        <f>Dashboard_Live_Data!E7</f>
        <v/>
      </c>
      <c r="C8">
        <f>Dashboard_Live_Data!D7</f>
        <v/>
      </c>
      <c r="D8">
        <f>Dashboard_Live_Data!F7</f>
        <v/>
      </c>
      <c r="E8">
        <f>Dashboard_Live_Data!D7</f>
        <v/>
      </c>
      <c r="F8">
        <f>Dashboard_Live_Data!G7</f>
        <v/>
      </c>
    </row>
    <row r="9">
      <c r="A9">
        <f>Dashboard_Live_Data!D8</f>
        <v/>
      </c>
      <c r="B9">
        <f>Dashboard_Live_Data!E8</f>
        <v/>
      </c>
      <c r="C9">
        <f>Dashboard_Live_Data!D8</f>
        <v/>
      </c>
      <c r="D9">
        <f>Dashboard_Live_Data!F8</f>
        <v/>
      </c>
      <c r="E9">
        <f>Dashboard_Live_Data!D8</f>
        <v/>
      </c>
      <c r="F9">
        <f>Dashboard_Live_Data!G8</f>
        <v/>
      </c>
    </row>
    <row r="10">
      <c r="A10">
        <f>Dashboard_Live_Data!D9</f>
        <v/>
      </c>
      <c r="B10">
        <f>Dashboard_Live_Data!E9</f>
        <v/>
      </c>
      <c r="C10">
        <f>Dashboard_Live_Data!D9</f>
        <v/>
      </c>
      <c r="D10">
        <f>Dashboard_Live_Data!F9</f>
        <v/>
      </c>
      <c r="E10">
        <f>Dashboard_Live_Data!D9</f>
        <v/>
      </c>
      <c r="F10">
        <f>Dashboard_Live_Data!G9</f>
        <v/>
      </c>
    </row>
    <row r="11">
      <c r="A11">
        <f>Dashboard_Live_Data!D10</f>
        <v/>
      </c>
      <c r="B11">
        <f>Dashboard_Live_Data!E10</f>
        <v/>
      </c>
      <c r="C11">
        <f>Dashboard_Live_Data!D10</f>
        <v/>
      </c>
      <c r="D11">
        <f>Dashboard_Live_Data!F10</f>
        <v/>
      </c>
      <c r="E11">
        <f>Dashboard_Live_Data!D10</f>
        <v/>
      </c>
      <c r="F11">
        <f>Dashboard_Live_Data!G10</f>
        <v/>
      </c>
    </row>
    <row r="12">
      <c r="A12">
        <f>Dashboard_Live_Data!D11</f>
        <v/>
      </c>
      <c r="B12">
        <f>Dashboard_Live_Data!E11</f>
        <v/>
      </c>
      <c r="C12">
        <f>Dashboard_Live_Data!D11</f>
        <v/>
      </c>
      <c r="D12">
        <f>Dashboard_Live_Data!F11</f>
        <v/>
      </c>
      <c r="E12">
        <f>Dashboard_Live_Data!D11</f>
        <v/>
      </c>
      <c r="F12">
        <f>Dashboard_Live_Data!G11</f>
        <v/>
      </c>
    </row>
    <row r="13">
      <c r="A13">
        <f>Dashboard_Live_Data!D12</f>
        <v/>
      </c>
      <c r="B13">
        <f>Dashboard_Live_Data!E12</f>
        <v/>
      </c>
      <c r="C13">
        <f>Dashboard_Live_Data!D12</f>
        <v/>
      </c>
      <c r="D13">
        <f>Dashboard_Live_Data!F12</f>
        <v/>
      </c>
      <c r="E13">
        <f>Dashboard_Live_Data!D12</f>
        <v/>
      </c>
      <c r="F13">
        <f>Dashboard_Live_Data!G12</f>
        <v/>
      </c>
    </row>
    <row r="14">
      <c r="A14">
        <f>Dashboard_Live_Data!D13</f>
        <v/>
      </c>
      <c r="B14">
        <f>Dashboard_Live_Data!E13</f>
        <v/>
      </c>
      <c r="C14">
        <f>Dashboard_Live_Data!D13</f>
        <v/>
      </c>
      <c r="D14">
        <f>Dashboard_Live_Data!F13</f>
        <v/>
      </c>
      <c r="E14">
        <f>Dashboard_Live_Data!D13</f>
        <v/>
      </c>
      <c r="F14">
        <f>Dashboard_Live_Data!G13</f>
        <v/>
      </c>
    </row>
    <row r="15">
      <c r="A15">
        <f>Dashboard_Live_Data!D14</f>
        <v/>
      </c>
      <c r="B15">
        <f>Dashboard_Live_Data!E14</f>
        <v/>
      </c>
      <c r="C15">
        <f>Dashboard_Live_Data!D14</f>
        <v/>
      </c>
      <c r="D15">
        <f>Dashboard_Live_Data!F14</f>
        <v/>
      </c>
      <c r="E15">
        <f>Dashboard_Live_Data!D14</f>
        <v/>
      </c>
      <c r="F15">
        <f>Dashboard_Live_Data!G14</f>
        <v/>
      </c>
    </row>
    <row r="16">
      <c r="A16">
        <f>Dashboard_Live_Data!D15</f>
        <v/>
      </c>
      <c r="B16">
        <f>Dashboard_Live_Data!E15</f>
        <v/>
      </c>
      <c r="C16">
        <f>Dashboard_Live_Data!D15</f>
        <v/>
      </c>
      <c r="D16">
        <f>Dashboard_Live_Data!F15</f>
        <v/>
      </c>
      <c r="E16">
        <f>Dashboard_Live_Data!D15</f>
        <v/>
      </c>
      <c r="F16">
        <f>Dashboard_Live_Data!G15</f>
        <v/>
      </c>
    </row>
    <row r="17">
      <c r="A17">
        <f>Dashboard_Live_Data!D16</f>
        <v/>
      </c>
      <c r="B17">
        <f>Dashboard_Live_Data!E16</f>
        <v/>
      </c>
      <c r="C17">
        <f>Dashboard_Live_Data!D16</f>
        <v/>
      </c>
      <c r="D17">
        <f>Dashboard_Live_Data!F16</f>
        <v/>
      </c>
      <c r="E17">
        <f>Dashboard_Live_Data!D16</f>
        <v/>
      </c>
      <c r="F17">
        <f>Dashboard_Live_Data!G16</f>
        <v/>
      </c>
    </row>
    <row r="18">
      <c r="A18">
        <f>Dashboard_Live_Data!D17</f>
        <v/>
      </c>
      <c r="B18">
        <f>Dashboard_Live_Data!E17</f>
        <v/>
      </c>
      <c r="C18">
        <f>Dashboard_Live_Data!D17</f>
        <v/>
      </c>
      <c r="D18">
        <f>Dashboard_Live_Data!F17</f>
        <v/>
      </c>
      <c r="E18">
        <f>Dashboard_Live_Data!D17</f>
        <v/>
      </c>
      <c r="F18">
        <f>Dashboard_Live_Data!G17</f>
        <v/>
      </c>
    </row>
    <row r="19">
      <c r="A19">
        <f>Dashboard_Live_Data!D18</f>
        <v/>
      </c>
      <c r="B19">
        <f>Dashboard_Live_Data!E18</f>
        <v/>
      </c>
      <c r="C19">
        <f>Dashboard_Live_Data!D18</f>
        <v/>
      </c>
      <c r="D19">
        <f>Dashboard_Live_Data!F18</f>
        <v/>
      </c>
      <c r="E19">
        <f>Dashboard_Live_Data!D18</f>
        <v/>
      </c>
      <c r="F19">
        <f>Dashboard_Live_Data!G18</f>
        <v/>
      </c>
    </row>
    <row r="20">
      <c r="A20">
        <f>Dashboard_Live_Data!D19</f>
        <v/>
      </c>
      <c r="B20">
        <f>Dashboard_Live_Data!E19</f>
        <v/>
      </c>
      <c r="C20">
        <f>Dashboard_Live_Data!D19</f>
        <v/>
      </c>
      <c r="D20">
        <f>Dashboard_Live_Data!F19</f>
        <v/>
      </c>
      <c r="E20">
        <f>Dashboard_Live_Data!D19</f>
        <v/>
      </c>
      <c r="F20">
        <f>Dashboard_Live_Data!G19</f>
        <v/>
      </c>
    </row>
    <row r="21">
      <c r="A21">
        <f>Dashboard_Live_Data!D20</f>
        <v/>
      </c>
      <c r="B21">
        <f>Dashboard_Live_Data!E20</f>
        <v/>
      </c>
      <c r="C21">
        <f>Dashboard_Live_Data!D20</f>
        <v/>
      </c>
      <c r="D21">
        <f>Dashboard_Live_Data!F20</f>
        <v/>
      </c>
      <c r="E21">
        <f>Dashboard_Live_Data!D20</f>
        <v/>
      </c>
      <c r="F21">
        <f>Dashboard_Live_Data!G20</f>
        <v/>
      </c>
    </row>
    <row r="22">
      <c r="A22">
        <f>Dashboard_Live_Data!D21</f>
        <v/>
      </c>
      <c r="B22">
        <f>Dashboard_Live_Data!E21</f>
        <v/>
      </c>
      <c r="C22">
        <f>Dashboard_Live_Data!D21</f>
        <v/>
      </c>
      <c r="D22">
        <f>Dashboard_Live_Data!F21</f>
        <v/>
      </c>
      <c r="E22">
        <f>Dashboard_Live_Data!D21</f>
        <v/>
      </c>
      <c r="F22">
        <f>Dashboard_Live_Data!G21</f>
        <v/>
      </c>
    </row>
    <row r="23">
      <c r="A23">
        <f>Dashboard_Live_Data!D22</f>
        <v/>
      </c>
      <c r="B23">
        <f>Dashboard_Live_Data!E22</f>
        <v/>
      </c>
      <c r="C23">
        <f>Dashboard_Live_Data!D22</f>
        <v/>
      </c>
      <c r="D23">
        <f>Dashboard_Live_Data!F22</f>
        <v/>
      </c>
      <c r="E23">
        <f>Dashboard_Live_Data!D22</f>
        <v/>
      </c>
      <c r="F23">
        <f>Dashboard_Live_Data!G22</f>
        <v/>
      </c>
    </row>
    <row r="24">
      <c r="A24">
        <f>Dashboard_Live_Data!D23</f>
        <v/>
      </c>
      <c r="B24">
        <f>Dashboard_Live_Data!E23</f>
        <v/>
      </c>
      <c r="C24">
        <f>Dashboard_Live_Data!D23</f>
        <v/>
      </c>
      <c r="D24">
        <f>Dashboard_Live_Data!F23</f>
        <v/>
      </c>
      <c r="E24">
        <f>Dashboard_Live_Data!D23</f>
        <v/>
      </c>
      <c r="F24">
        <f>Dashboard_Live_Data!G23</f>
        <v/>
      </c>
    </row>
    <row r="25">
      <c r="A25">
        <f>Dashboard_Live_Data!D24</f>
        <v/>
      </c>
      <c r="B25">
        <f>Dashboard_Live_Data!E24</f>
        <v/>
      </c>
      <c r="C25">
        <f>Dashboard_Live_Data!D24</f>
        <v/>
      </c>
      <c r="D25">
        <f>Dashboard_Live_Data!F24</f>
        <v/>
      </c>
      <c r="E25">
        <f>Dashboard_Live_Data!D24</f>
        <v/>
      </c>
      <c r="F25">
        <f>Dashboard_Live_Data!G24</f>
        <v/>
      </c>
    </row>
    <row r="26">
      <c r="A26">
        <f>Dashboard_Live_Data!D25</f>
        <v/>
      </c>
      <c r="B26">
        <f>Dashboard_Live_Data!E25</f>
        <v/>
      </c>
      <c r="C26">
        <f>Dashboard_Live_Data!D25</f>
        <v/>
      </c>
      <c r="D26">
        <f>Dashboard_Live_Data!F25</f>
        <v/>
      </c>
      <c r="E26">
        <f>Dashboard_Live_Data!D25</f>
        <v/>
      </c>
      <c r="F26">
        <f>Dashboard_Live_Data!G25</f>
        <v/>
      </c>
    </row>
    <row r="27">
      <c r="A27">
        <f>Dashboard_Live_Data!D26</f>
        <v/>
      </c>
      <c r="B27">
        <f>Dashboard_Live_Data!E26</f>
        <v/>
      </c>
      <c r="C27">
        <f>Dashboard_Live_Data!D26</f>
        <v/>
      </c>
      <c r="D27">
        <f>Dashboard_Live_Data!F26</f>
        <v/>
      </c>
      <c r="E27">
        <f>Dashboard_Live_Data!D26</f>
        <v/>
      </c>
      <c r="F27">
        <f>Dashboard_Live_Data!G26</f>
        <v/>
      </c>
    </row>
    <row r="28">
      <c r="A28">
        <f>Dashboard_Live_Data!D27</f>
        <v/>
      </c>
      <c r="B28">
        <f>Dashboard_Live_Data!E27</f>
        <v/>
      </c>
      <c r="C28">
        <f>Dashboard_Live_Data!D27</f>
        <v/>
      </c>
      <c r="D28">
        <f>Dashboard_Live_Data!F27</f>
        <v/>
      </c>
      <c r="E28">
        <f>Dashboard_Live_Data!D27</f>
        <v/>
      </c>
      <c r="F28">
        <f>Dashboard_Live_Data!G27</f>
        <v/>
      </c>
    </row>
    <row r="29">
      <c r="A29">
        <f>Dashboard_Live_Data!D28</f>
        <v/>
      </c>
      <c r="B29">
        <f>Dashboard_Live_Data!E28</f>
        <v/>
      </c>
      <c r="C29">
        <f>Dashboard_Live_Data!D28</f>
        <v/>
      </c>
      <c r="D29">
        <f>Dashboard_Live_Data!F28</f>
        <v/>
      </c>
      <c r="E29">
        <f>Dashboard_Live_Data!D28</f>
        <v/>
      </c>
      <c r="F29">
        <f>Dashboard_Live_Data!G28</f>
        <v/>
      </c>
    </row>
    <row r="30">
      <c r="A30">
        <f>Dashboard_Live_Data!D29</f>
        <v/>
      </c>
      <c r="B30">
        <f>Dashboard_Live_Data!E29</f>
        <v/>
      </c>
      <c r="C30">
        <f>Dashboard_Live_Data!D29</f>
        <v/>
      </c>
      <c r="D30">
        <f>Dashboard_Live_Data!F29</f>
        <v/>
      </c>
      <c r="E30">
        <f>Dashboard_Live_Data!D29</f>
        <v/>
      </c>
      <c r="F30">
        <f>Dashboard_Live_Data!G29</f>
        <v/>
      </c>
    </row>
    <row r="31">
      <c r="A31">
        <f>Dashboard_Live_Data!D30</f>
        <v/>
      </c>
      <c r="B31">
        <f>Dashboard_Live_Data!E30</f>
        <v/>
      </c>
      <c r="C31">
        <f>Dashboard_Live_Data!D30</f>
        <v/>
      </c>
      <c r="D31">
        <f>Dashboard_Live_Data!F30</f>
        <v/>
      </c>
      <c r="E31">
        <f>Dashboard_Live_Data!D30</f>
        <v/>
      </c>
      <c r="F31">
        <f>Dashboard_Live_Data!G30</f>
        <v/>
      </c>
    </row>
    <row r="32">
      <c r="A32">
        <f>Dashboard_Live_Data!D31</f>
        <v/>
      </c>
      <c r="B32">
        <f>Dashboard_Live_Data!E31</f>
        <v/>
      </c>
      <c r="C32">
        <f>Dashboard_Live_Data!D31</f>
        <v/>
      </c>
      <c r="D32">
        <f>Dashboard_Live_Data!F31</f>
        <v/>
      </c>
      <c r="E32">
        <f>Dashboard_Live_Data!D31</f>
        <v/>
      </c>
      <c r="F32">
        <f>Dashboard_Live_Data!G31</f>
        <v/>
      </c>
    </row>
    <row r="33">
      <c r="A33">
        <f>Dashboard_Live_Data!D32</f>
        <v/>
      </c>
      <c r="B33">
        <f>Dashboard_Live_Data!E32</f>
        <v/>
      </c>
      <c r="C33">
        <f>Dashboard_Live_Data!D32</f>
        <v/>
      </c>
      <c r="D33">
        <f>Dashboard_Live_Data!F32</f>
        <v/>
      </c>
      <c r="E33">
        <f>Dashboard_Live_Data!D32</f>
        <v/>
      </c>
      <c r="F33">
        <f>Dashboard_Live_Data!G32</f>
        <v/>
      </c>
    </row>
    <row r="34">
      <c r="A34">
        <f>Dashboard_Live_Data!D33</f>
        <v/>
      </c>
      <c r="B34">
        <f>Dashboard_Live_Data!E33</f>
        <v/>
      </c>
      <c r="C34">
        <f>Dashboard_Live_Data!D33</f>
        <v/>
      </c>
      <c r="D34">
        <f>Dashboard_Live_Data!F33</f>
        <v/>
      </c>
      <c r="E34">
        <f>Dashboard_Live_Data!D33</f>
        <v/>
      </c>
      <c r="F34">
        <f>Dashboard_Live_Data!G33</f>
        <v/>
      </c>
    </row>
    <row r="35">
      <c r="A35">
        <f>Dashboard_Live_Data!D34</f>
        <v/>
      </c>
      <c r="B35">
        <f>Dashboard_Live_Data!E34</f>
        <v/>
      </c>
      <c r="C35">
        <f>Dashboard_Live_Data!D34</f>
        <v/>
      </c>
      <c r="D35">
        <f>Dashboard_Live_Data!F34</f>
        <v/>
      </c>
      <c r="E35">
        <f>Dashboard_Live_Data!D34</f>
        <v/>
      </c>
      <c r="F35">
        <f>Dashboard_Live_Data!G34</f>
        <v/>
      </c>
    </row>
    <row r="36">
      <c r="A36">
        <f>Dashboard_Live_Data!D35</f>
        <v/>
      </c>
      <c r="B36">
        <f>Dashboard_Live_Data!E35</f>
        <v/>
      </c>
      <c r="C36">
        <f>Dashboard_Live_Data!D35</f>
        <v/>
      </c>
      <c r="D36">
        <f>Dashboard_Live_Data!F35</f>
        <v/>
      </c>
      <c r="E36">
        <f>Dashboard_Live_Data!D35</f>
        <v/>
      </c>
      <c r="F36">
        <f>Dashboard_Live_Data!G35</f>
        <v/>
      </c>
    </row>
    <row r="37">
      <c r="A37">
        <f>Dashboard_Live_Data!D36</f>
        <v/>
      </c>
      <c r="B37">
        <f>Dashboard_Live_Data!E36</f>
        <v/>
      </c>
      <c r="C37">
        <f>Dashboard_Live_Data!D36</f>
        <v/>
      </c>
      <c r="D37">
        <f>Dashboard_Live_Data!F36</f>
        <v/>
      </c>
      <c r="E37">
        <f>Dashboard_Live_Data!D36</f>
        <v/>
      </c>
      <c r="F37">
        <f>Dashboard_Live_Data!G36</f>
        <v/>
      </c>
    </row>
    <row r="38">
      <c r="A38">
        <f>Dashboard_Live_Data!D37</f>
        <v/>
      </c>
      <c r="B38">
        <f>Dashboard_Live_Data!E37</f>
        <v/>
      </c>
      <c r="C38">
        <f>Dashboard_Live_Data!D37</f>
        <v/>
      </c>
      <c r="D38">
        <f>Dashboard_Live_Data!F37</f>
        <v/>
      </c>
      <c r="E38">
        <f>Dashboard_Live_Data!D37</f>
        <v/>
      </c>
      <c r="F38">
        <f>Dashboard_Live_Data!G37</f>
        <v/>
      </c>
    </row>
    <row r="39">
      <c r="A39">
        <f>Dashboard_Live_Data!D38</f>
        <v/>
      </c>
      <c r="B39">
        <f>Dashboard_Live_Data!E38</f>
        <v/>
      </c>
      <c r="C39">
        <f>Dashboard_Live_Data!D38</f>
        <v/>
      </c>
      <c r="D39">
        <f>Dashboard_Live_Data!F38</f>
        <v/>
      </c>
      <c r="E39">
        <f>Dashboard_Live_Data!D38</f>
        <v/>
      </c>
      <c r="F39">
        <f>Dashboard_Live_Data!G38</f>
        <v/>
      </c>
    </row>
    <row r="40">
      <c r="A40">
        <f>Dashboard_Live_Data!D39</f>
        <v/>
      </c>
      <c r="B40">
        <f>Dashboard_Live_Data!E39</f>
        <v/>
      </c>
      <c r="C40">
        <f>Dashboard_Live_Data!D39</f>
        <v/>
      </c>
      <c r="D40">
        <f>Dashboard_Live_Data!F39</f>
        <v/>
      </c>
      <c r="E40">
        <f>Dashboard_Live_Data!D39</f>
        <v/>
      </c>
      <c r="F40">
        <f>Dashboard_Live_Data!G39</f>
        <v/>
      </c>
    </row>
    <row r="41">
      <c r="A41">
        <f>Dashboard_Live_Data!D40</f>
        <v/>
      </c>
      <c r="B41">
        <f>Dashboard_Live_Data!E40</f>
        <v/>
      </c>
      <c r="C41">
        <f>Dashboard_Live_Data!D40</f>
        <v/>
      </c>
      <c r="D41">
        <f>Dashboard_Live_Data!F40</f>
        <v/>
      </c>
      <c r="E41">
        <f>Dashboard_Live_Data!D40</f>
        <v/>
      </c>
      <c r="F41">
        <f>Dashboard_Live_Data!G40</f>
        <v/>
      </c>
    </row>
    <row r="42">
      <c r="A42">
        <f>Dashboard_Live_Data!D41</f>
        <v/>
      </c>
      <c r="B42">
        <f>Dashboard_Live_Data!E41</f>
        <v/>
      </c>
      <c r="C42">
        <f>Dashboard_Live_Data!D41</f>
        <v/>
      </c>
      <c r="D42">
        <f>Dashboard_Live_Data!F41</f>
        <v/>
      </c>
      <c r="E42">
        <f>Dashboard_Live_Data!D41</f>
        <v/>
      </c>
      <c r="F42">
        <f>Dashboard_Live_Data!G41</f>
        <v/>
      </c>
    </row>
    <row r="43">
      <c r="A43">
        <f>Dashboard_Live_Data!D42</f>
        <v/>
      </c>
      <c r="B43">
        <f>Dashboard_Live_Data!E42</f>
        <v/>
      </c>
      <c r="C43">
        <f>Dashboard_Live_Data!D42</f>
        <v/>
      </c>
      <c r="D43">
        <f>Dashboard_Live_Data!F42</f>
        <v/>
      </c>
      <c r="E43">
        <f>Dashboard_Live_Data!D42</f>
        <v/>
      </c>
      <c r="F43">
        <f>Dashboard_Live_Data!G42</f>
        <v/>
      </c>
    </row>
    <row r="44">
      <c r="A44">
        <f>Dashboard_Live_Data!D43</f>
        <v/>
      </c>
      <c r="B44">
        <f>Dashboard_Live_Data!E43</f>
        <v/>
      </c>
      <c r="C44">
        <f>Dashboard_Live_Data!D43</f>
        <v/>
      </c>
      <c r="D44">
        <f>Dashboard_Live_Data!F43</f>
        <v/>
      </c>
      <c r="E44">
        <f>Dashboard_Live_Data!D43</f>
        <v/>
      </c>
      <c r="F44">
        <f>Dashboard_Live_Data!G43</f>
        <v/>
      </c>
    </row>
    <row r="45">
      <c r="A45">
        <f>Dashboard_Live_Data!D44</f>
        <v/>
      </c>
      <c r="B45">
        <f>Dashboard_Live_Data!E44</f>
        <v/>
      </c>
      <c r="C45">
        <f>Dashboard_Live_Data!D44</f>
        <v/>
      </c>
      <c r="D45">
        <f>Dashboard_Live_Data!F44</f>
        <v/>
      </c>
      <c r="E45">
        <f>Dashboard_Live_Data!D44</f>
        <v/>
      </c>
      <c r="F45">
        <f>Dashboard_Live_Data!G44</f>
        <v/>
      </c>
    </row>
    <row r="46">
      <c r="A46">
        <f>Dashboard_Live_Data!D45</f>
        <v/>
      </c>
      <c r="B46">
        <f>Dashboard_Live_Data!E45</f>
        <v/>
      </c>
      <c r="C46">
        <f>Dashboard_Live_Data!D45</f>
        <v/>
      </c>
      <c r="D46">
        <f>Dashboard_Live_Data!F45</f>
        <v/>
      </c>
      <c r="E46">
        <f>Dashboard_Live_Data!D45</f>
        <v/>
      </c>
      <c r="F46">
        <f>Dashboard_Live_Data!G45</f>
        <v/>
      </c>
    </row>
    <row r="47">
      <c r="A47">
        <f>Dashboard_Live_Data!D46</f>
        <v/>
      </c>
      <c r="B47">
        <f>Dashboard_Live_Data!E46</f>
        <v/>
      </c>
      <c r="C47">
        <f>Dashboard_Live_Data!D46</f>
        <v/>
      </c>
      <c r="D47">
        <f>Dashboard_Live_Data!F46</f>
        <v/>
      </c>
      <c r="E47">
        <f>Dashboard_Live_Data!D46</f>
        <v/>
      </c>
      <c r="F47">
        <f>Dashboard_Live_Data!G46</f>
        <v/>
      </c>
    </row>
    <row r="48">
      <c r="A48">
        <f>Dashboard_Live_Data!D47</f>
        <v/>
      </c>
      <c r="B48">
        <f>Dashboard_Live_Data!E47</f>
        <v/>
      </c>
      <c r="C48">
        <f>Dashboard_Live_Data!D47</f>
        <v/>
      </c>
      <c r="D48">
        <f>Dashboard_Live_Data!F47</f>
        <v/>
      </c>
      <c r="E48">
        <f>Dashboard_Live_Data!D47</f>
        <v/>
      </c>
      <c r="F48">
        <f>Dashboard_Live_Data!G47</f>
        <v/>
      </c>
    </row>
    <row r="49">
      <c r="A49">
        <f>Dashboard_Live_Data!D48</f>
        <v/>
      </c>
      <c r="B49">
        <f>Dashboard_Live_Data!E48</f>
        <v/>
      </c>
      <c r="C49">
        <f>Dashboard_Live_Data!D48</f>
        <v/>
      </c>
      <c r="D49">
        <f>Dashboard_Live_Data!F48</f>
        <v/>
      </c>
      <c r="E49">
        <f>Dashboard_Live_Data!D48</f>
        <v/>
      </c>
      <c r="F49">
        <f>Dashboard_Live_Data!G48</f>
        <v/>
      </c>
    </row>
    <row r="50">
      <c r="A50">
        <f>Dashboard_Live_Data!D49</f>
        <v/>
      </c>
      <c r="B50">
        <f>Dashboard_Live_Data!E49</f>
        <v/>
      </c>
      <c r="C50">
        <f>Dashboard_Live_Data!D49</f>
        <v/>
      </c>
      <c r="D50">
        <f>Dashboard_Live_Data!F49</f>
        <v/>
      </c>
      <c r="E50">
        <f>Dashboard_Live_Data!D49</f>
        <v/>
      </c>
      <c r="F50">
        <f>Dashboard_Live_Data!G49</f>
        <v/>
      </c>
    </row>
    <row r="51">
      <c r="A51">
        <f>Dashboard_Live_Data!D50</f>
        <v/>
      </c>
      <c r="B51">
        <f>Dashboard_Live_Data!E50</f>
        <v/>
      </c>
      <c r="C51">
        <f>Dashboard_Live_Data!D50</f>
        <v/>
      </c>
      <c r="D51">
        <f>Dashboard_Live_Data!F50</f>
        <v/>
      </c>
      <c r="E51">
        <f>Dashboard_Live_Data!D50</f>
        <v/>
      </c>
      <c r="F51">
        <f>Dashboard_Live_Data!G50</f>
        <v/>
      </c>
    </row>
    <row r="52">
      <c r="A52">
        <f>Dashboard_Live_Data!D51</f>
        <v/>
      </c>
      <c r="B52">
        <f>Dashboard_Live_Data!E51</f>
        <v/>
      </c>
      <c r="C52">
        <f>Dashboard_Live_Data!D51</f>
        <v/>
      </c>
      <c r="D52">
        <f>Dashboard_Live_Data!F51</f>
        <v/>
      </c>
      <c r="E52">
        <f>Dashboard_Live_Data!D51</f>
        <v/>
      </c>
      <c r="F52">
        <f>Dashboard_Live_Data!G51</f>
        <v/>
      </c>
    </row>
    <row r="53">
      <c r="A53">
        <f>Dashboard_Live_Data!D52</f>
        <v/>
      </c>
      <c r="B53">
        <f>Dashboard_Live_Data!E52</f>
        <v/>
      </c>
      <c r="C53">
        <f>Dashboard_Live_Data!D52</f>
        <v/>
      </c>
      <c r="D53">
        <f>Dashboard_Live_Data!F52</f>
        <v/>
      </c>
      <c r="E53">
        <f>Dashboard_Live_Data!D52</f>
        <v/>
      </c>
      <c r="F53">
        <f>Dashboard_Live_Data!G52</f>
        <v/>
      </c>
    </row>
    <row r="54">
      <c r="A54">
        <f>Dashboard_Live_Data!D53</f>
        <v/>
      </c>
      <c r="B54">
        <f>Dashboard_Live_Data!E53</f>
        <v/>
      </c>
      <c r="C54">
        <f>Dashboard_Live_Data!D53</f>
        <v/>
      </c>
      <c r="D54">
        <f>Dashboard_Live_Data!F53</f>
        <v/>
      </c>
      <c r="E54">
        <f>Dashboard_Live_Data!D53</f>
        <v/>
      </c>
      <c r="F54">
        <f>Dashboard_Live_Data!G53</f>
        <v/>
      </c>
    </row>
    <row r="55">
      <c r="A55">
        <f>Dashboard_Live_Data!D54</f>
        <v/>
      </c>
      <c r="B55">
        <f>Dashboard_Live_Data!E54</f>
        <v/>
      </c>
      <c r="C55">
        <f>Dashboard_Live_Data!D54</f>
        <v/>
      </c>
      <c r="D55">
        <f>Dashboard_Live_Data!F54</f>
        <v/>
      </c>
      <c r="E55">
        <f>Dashboard_Live_Data!D54</f>
        <v/>
      </c>
      <c r="F55">
        <f>Dashboard_Live_Data!G54</f>
        <v/>
      </c>
    </row>
    <row r="56">
      <c r="A56">
        <f>Dashboard_Live_Data!D55</f>
        <v/>
      </c>
      <c r="B56">
        <f>Dashboard_Live_Data!E55</f>
        <v/>
      </c>
      <c r="C56">
        <f>Dashboard_Live_Data!D55</f>
        <v/>
      </c>
      <c r="D56">
        <f>Dashboard_Live_Data!F55</f>
        <v/>
      </c>
      <c r="E56">
        <f>Dashboard_Live_Data!D55</f>
        <v/>
      </c>
      <c r="F56">
        <f>Dashboard_Live_Data!G55</f>
        <v/>
      </c>
    </row>
    <row r="57">
      <c r="A57">
        <f>Dashboard_Live_Data!D56</f>
        <v/>
      </c>
      <c r="B57">
        <f>Dashboard_Live_Data!E56</f>
        <v/>
      </c>
      <c r="C57">
        <f>Dashboard_Live_Data!D56</f>
        <v/>
      </c>
      <c r="D57">
        <f>Dashboard_Live_Data!F56</f>
        <v/>
      </c>
      <c r="E57">
        <f>Dashboard_Live_Data!D56</f>
        <v/>
      </c>
      <c r="F57">
        <f>Dashboard_Live_Data!G56</f>
        <v/>
      </c>
    </row>
    <row r="58">
      <c r="A58">
        <f>Dashboard_Live_Data!D57</f>
        <v/>
      </c>
      <c r="B58">
        <f>Dashboard_Live_Data!E57</f>
        <v/>
      </c>
      <c r="C58">
        <f>Dashboard_Live_Data!D57</f>
        <v/>
      </c>
      <c r="D58">
        <f>Dashboard_Live_Data!F57</f>
        <v/>
      </c>
      <c r="E58">
        <f>Dashboard_Live_Data!D57</f>
        <v/>
      </c>
      <c r="F58">
        <f>Dashboard_Live_Data!G57</f>
        <v/>
      </c>
    </row>
    <row r="59">
      <c r="A59">
        <f>Dashboard_Live_Data!D58</f>
        <v/>
      </c>
      <c r="B59">
        <f>Dashboard_Live_Data!E58</f>
        <v/>
      </c>
      <c r="C59">
        <f>Dashboard_Live_Data!D58</f>
        <v/>
      </c>
      <c r="D59">
        <f>Dashboard_Live_Data!F58</f>
        <v/>
      </c>
      <c r="E59">
        <f>Dashboard_Live_Data!D58</f>
        <v/>
      </c>
      <c r="F59">
        <f>Dashboard_Live_Data!G58</f>
        <v/>
      </c>
    </row>
    <row r="60">
      <c r="A60">
        <f>Dashboard_Live_Data!D59</f>
        <v/>
      </c>
      <c r="B60">
        <f>Dashboard_Live_Data!E59</f>
        <v/>
      </c>
      <c r="C60">
        <f>Dashboard_Live_Data!D59</f>
        <v/>
      </c>
      <c r="D60">
        <f>Dashboard_Live_Data!F59</f>
        <v/>
      </c>
      <c r="E60">
        <f>Dashboard_Live_Data!D59</f>
        <v/>
      </c>
      <c r="F60">
        <f>Dashboard_Live_Data!G59</f>
        <v/>
      </c>
    </row>
    <row r="61">
      <c r="A61">
        <f>Dashboard_Live_Data!D60</f>
        <v/>
      </c>
      <c r="B61">
        <f>Dashboard_Live_Data!E60</f>
        <v/>
      </c>
      <c r="C61">
        <f>Dashboard_Live_Data!D60</f>
        <v/>
      </c>
      <c r="D61">
        <f>Dashboard_Live_Data!F60</f>
        <v/>
      </c>
      <c r="E61">
        <f>Dashboard_Live_Data!D60</f>
        <v/>
      </c>
      <c r="F61">
        <f>Dashboard_Live_Data!G60</f>
        <v/>
      </c>
    </row>
    <row r="62">
      <c r="A62">
        <f>Dashboard_Live_Data!D61</f>
        <v/>
      </c>
      <c r="B62">
        <f>Dashboard_Live_Data!E61</f>
        <v/>
      </c>
      <c r="C62">
        <f>Dashboard_Live_Data!D61</f>
        <v/>
      </c>
      <c r="D62">
        <f>Dashboard_Live_Data!F61</f>
        <v/>
      </c>
      <c r="E62">
        <f>Dashboard_Live_Data!D61</f>
        <v/>
      </c>
      <c r="F62">
        <f>Dashboard_Live_Data!G61</f>
        <v/>
      </c>
    </row>
    <row r="63">
      <c r="A63">
        <f>Dashboard_Live_Data!D62</f>
        <v/>
      </c>
      <c r="B63">
        <f>Dashboard_Live_Data!E62</f>
        <v/>
      </c>
      <c r="C63">
        <f>Dashboard_Live_Data!D62</f>
        <v/>
      </c>
      <c r="D63">
        <f>Dashboard_Live_Data!F62</f>
        <v/>
      </c>
      <c r="E63">
        <f>Dashboard_Live_Data!D62</f>
        <v/>
      </c>
      <c r="F63">
        <f>Dashboard_Live_Data!G62</f>
        <v/>
      </c>
    </row>
    <row r="64">
      <c r="A64">
        <f>Dashboard_Live_Data!D63</f>
        <v/>
      </c>
      <c r="B64">
        <f>Dashboard_Live_Data!E63</f>
        <v/>
      </c>
      <c r="C64">
        <f>Dashboard_Live_Data!D63</f>
        <v/>
      </c>
      <c r="D64">
        <f>Dashboard_Live_Data!F63</f>
        <v/>
      </c>
      <c r="E64">
        <f>Dashboard_Live_Data!D63</f>
        <v/>
      </c>
      <c r="F64">
        <f>Dashboard_Live_Data!G63</f>
        <v/>
      </c>
    </row>
    <row r="65">
      <c r="A65">
        <f>Dashboard_Live_Data!D64</f>
        <v/>
      </c>
      <c r="B65">
        <f>Dashboard_Live_Data!E64</f>
        <v/>
      </c>
      <c r="C65">
        <f>Dashboard_Live_Data!D64</f>
        <v/>
      </c>
      <c r="D65">
        <f>Dashboard_Live_Data!F64</f>
        <v/>
      </c>
      <c r="E65">
        <f>Dashboard_Live_Data!D64</f>
        <v/>
      </c>
      <c r="F65">
        <f>Dashboard_Live_Data!G64</f>
        <v/>
      </c>
    </row>
    <row r="66">
      <c r="A66">
        <f>Dashboard_Live_Data!D65</f>
        <v/>
      </c>
      <c r="B66">
        <f>Dashboard_Live_Data!E65</f>
        <v/>
      </c>
      <c r="C66">
        <f>Dashboard_Live_Data!D65</f>
        <v/>
      </c>
      <c r="D66">
        <f>Dashboard_Live_Data!F65</f>
        <v/>
      </c>
      <c r="E66">
        <f>Dashboard_Live_Data!D65</f>
        <v/>
      </c>
      <c r="F66">
        <f>Dashboard_Live_Data!G65</f>
        <v/>
      </c>
    </row>
    <row r="67">
      <c r="A67">
        <f>Dashboard_Live_Data!D66</f>
        <v/>
      </c>
      <c r="B67">
        <f>Dashboard_Live_Data!E66</f>
        <v/>
      </c>
      <c r="C67">
        <f>Dashboard_Live_Data!D66</f>
        <v/>
      </c>
      <c r="D67">
        <f>Dashboard_Live_Data!F66</f>
        <v/>
      </c>
      <c r="E67">
        <f>Dashboard_Live_Data!D66</f>
        <v/>
      </c>
      <c r="F67">
        <f>Dashboard_Live_Data!G66</f>
        <v/>
      </c>
    </row>
    <row r="68">
      <c r="A68">
        <f>Dashboard_Live_Data!D67</f>
        <v/>
      </c>
      <c r="B68">
        <f>Dashboard_Live_Data!E67</f>
        <v/>
      </c>
      <c r="C68">
        <f>Dashboard_Live_Data!D67</f>
        <v/>
      </c>
      <c r="D68">
        <f>Dashboard_Live_Data!F67</f>
        <v/>
      </c>
      <c r="E68">
        <f>Dashboard_Live_Data!D67</f>
        <v/>
      </c>
      <c r="F68">
        <f>Dashboard_Live_Data!G67</f>
        <v/>
      </c>
    </row>
    <row r="69">
      <c r="A69">
        <f>Dashboard_Live_Data!D68</f>
        <v/>
      </c>
      <c r="B69">
        <f>Dashboard_Live_Data!E68</f>
        <v/>
      </c>
      <c r="C69">
        <f>Dashboard_Live_Data!D68</f>
        <v/>
      </c>
      <c r="D69">
        <f>Dashboard_Live_Data!F68</f>
        <v/>
      </c>
      <c r="E69">
        <f>Dashboard_Live_Data!D68</f>
        <v/>
      </c>
      <c r="F69">
        <f>Dashboard_Live_Data!G68</f>
        <v/>
      </c>
    </row>
    <row r="70">
      <c r="A70">
        <f>Dashboard_Live_Data!D69</f>
        <v/>
      </c>
      <c r="B70">
        <f>Dashboard_Live_Data!E69</f>
        <v/>
      </c>
      <c r="C70">
        <f>Dashboard_Live_Data!D69</f>
        <v/>
      </c>
      <c r="D70">
        <f>Dashboard_Live_Data!F69</f>
        <v/>
      </c>
      <c r="E70">
        <f>Dashboard_Live_Data!D69</f>
        <v/>
      </c>
      <c r="F70">
        <f>Dashboard_Live_Data!G69</f>
        <v/>
      </c>
    </row>
    <row r="71">
      <c r="A71">
        <f>Dashboard_Live_Data!D70</f>
        <v/>
      </c>
      <c r="B71">
        <f>Dashboard_Live_Data!E70</f>
        <v/>
      </c>
      <c r="C71">
        <f>Dashboard_Live_Data!D70</f>
        <v/>
      </c>
      <c r="D71">
        <f>Dashboard_Live_Data!F70</f>
        <v/>
      </c>
      <c r="E71">
        <f>Dashboard_Live_Data!D70</f>
        <v/>
      </c>
      <c r="F71">
        <f>Dashboard_Live_Data!G70</f>
        <v/>
      </c>
    </row>
    <row r="72">
      <c r="A72">
        <f>Dashboard_Live_Data!D71</f>
        <v/>
      </c>
      <c r="B72">
        <f>Dashboard_Live_Data!E71</f>
        <v/>
      </c>
      <c r="C72">
        <f>Dashboard_Live_Data!D71</f>
        <v/>
      </c>
      <c r="D72">
        <f>Dashboard_Live_Data!F71</f>
        <v/>
      </c>
      <c r="E72">
        <f>Dashboard_Live_Data!D71</f>
        <v/>
      </c>
      <c r="F72">
        <f>Dashboard_Live_Data!G71</f>
        <v/>
      </c>
    </row>
    <row r="73">
      <c r="A73">
        <f>Dashboard_Live_Data!D72</f>
        <v/>
      </c>
      <c r="B73">
        <f>Dashboard_Live_Data!E72</f>
        <v/>
      </c>
      <c r="C73">
        <f>Dashboard_Live_Data!D72</f>
        <v/>
      </c>
      <c r="D73">
        <f>Dashboard_Live_Data!F72</f>
        <v/>
      </c>
      <c r="E73">
        <f>Dashboard_Live_Data!D72</f>
        <v/>
      </c>
      <c r="F73">
        <f>Dashboard_Live_Data!G72</f>
        <v/>
      </c>
    </row>
    <row r="74">
      <c r="A74">
        <f>Dashboard_Live_Data!D73</f>
        <v/>
      </c>
      <c r="B74">
        <f>Dashboard_Live_Data!E73</f>
        <v/>
      </c>
      <c r="C74">
        <f>Dashboard_Live_Data!D73</f>
        <v/>
      </c>
      <c r="D74">
        <f>Dashboard_Live_Data!F73</f>
        <v/>
      </c>
      <c r="E74">
        <f>Dashboard_Live_Data!D73</f>
        <v/>
      </c>
      <c r="F74">
        <f>Dashboard_Live_Data!G73</f>
        <v/>
      </c>
    </row>
    <row r="75">
      <c r="A75">
        <f>Dashboard_Live_Data!D74</f>
        <v/>
      </c>
      <c r="B75">
        <f>Dashboard_Live_Data!E74</f>
        <v/>
      </c>
      <c r="C75">
        <f>Dashboard_Live_Data!D74</f>
        <v/>
      </c>
      <c r="D75">
        <f>Dashboard_Live_Data!F74</f>
        <v/>
      </c>
      <c r="E75">
        <f>Dashboard_Live_Data!D74</f>
        <v/>
      </c>
      <c r="F75">
        <f>Dashboard_Live_Data!G74</f>
        <v/>
      </c>
    </row>
    <row r="76">
      <c r="A76">
        <f>Dashboard_Live_Data!D75</f>
        <v/>
      </c>
      <c r="B76">
        <f>Dashboard_Live_Data!E75</f>
        <v/>
      </c>
      <c r="C76">
        <f>Dashboard_Live_Data!D75</f>
        <v/>
      </c>
      <c r="D76">
        <f>Dashboard_Live_Data!F75</f>
        <v/>
      </c>
      <c r="E76">
        <f>Dashboard_Live_Data!D75</f>
        <v/>
      </c>
      <c r="F76">
        <f>Dashboard_Live_Data!G75</f>
        <v/>
      </c>
    </row>
    <row r="77">
      <c r="A77">
        <f>Dashboard_Live_Data!D76</f>
        <v/>
      </c>
      <c r="B77">
        <f>Dashboard_Live_Data!E76</f>
        <v/>
      </c>
      <c r="C77">
        <f>Dashboard_Live_Data!D76</f>
        <v/>
      </c>
      <c r="D77">
        <f>Dashboard_Live_Data!F76</f>
        <v/>
      </c>
      <c r="E77">
        <f>Dashboard_Live_Data!D76</f>
        <v/>
      </c>
      <c r="F77">
        <f>Dashboard_Live_Data!G76</f>
        <v/>
      </c>
    </row>
    <row r="78">
      <c r="A78">
        <f>Dashboard_Live_Data!D77</f>
        <v/>
      </c>
      <c r="B78">
        <f>Dashboard_Live_Data!E77</f>
        <v/>
      </c>
      <c r="C78">
        <f>Dashboard_Live_Data!D77</f>
        <v/>
      </c>
      <c r="D78">
        <f>Dashboard_Live_Data!F77</f>
        <v/>
      </c>
      <c r="E78">
        <f>Dashboard_Live_Data!D77</f>
        <v/>
      </c>
      <c r="F78">
        <f>Dashboard_Live_Data!G77</f>
        <v/>
      </c>
    </row>
    <row r="79">
      <c r="A79">
        <f>Dashboard_Live_Data!D78</f>
        <v/>
      </c>
      <c r="B79">
        <f>Dashboard_Live_Data!E78</f>
        <v/>
      </c>
      <c r="C79">
        <f>Dashboard_Live_Data!D78</f>
        <v/>
      </c>
      <c r="D79">
        <f>Dashboard_Live_Data!F78</f>
        <v/>
      </c>
      <c r="E79">
        <f>Dashboard_Live_Data!D78</f>
        <v/>
      </c>
      <c r="F79">
        <f>Dashboard_Live_Data!G78</f>
        <v/>
      </c>
    </row>
    <row r="80">
      <c r="A80">
        <f>Dashboard_Live_Data!D79</f>
        <v/>
      </c>
      <c r="B80">
        <f>Dashboard_Live_Data!E79</f>
        <v/>
      </c>
      <c r="C80">
        <f>Dashboard_Live_Data!D79</f>
        <v/>
      </c>
      <c r="D80">
        <f>Dashboard_Live_Data!F79</f>
        <v/>
      </c>
      <c r="E80">
        <f>Dashboard_Live_Data!D79</f>
        <v/>
      </c>
      <c r="F80">
        <f>Dashboard_Live_Data!G79</f>
        <v/>
      </c>
    </row>
    <row r="81">
      <c r="A81">
        <f>Dashboard_Live_Data!D80</f>
        <v/>
      </c>
      <c r="B81">
        <f>Dashboard_Live_Data!E80</f>
        <v/>
      </c>
      <c r="C81">
        <f>Dashboard_Live_Data!D80</f>
        <v/>
      </c>
      <c r="D81">
        <f>Dashboard_Live_Data!F80</f>
        <v/>
      </c>
      <c r="E81">
        <f>Dashboard_Live_Data!D80</f>
        <v/>
      </c>
      <c r="F81">
        <f>Dashboard_Live_Data!G80</f>
        <v/>
      </c>
    </row>
    <row r="82">
      <c r="A82">
        <f>Dashboard_Live_Data!D81</f>
        <v/>
      </c>
      <c r="B82">
        <f>Dashboard_Live_Data!E81</f>
        <v/>
      </c>
      <c r="C82">
        <f>Dashboard_Live_Data!D81</f>
        <v/>
      </c>
      <c r="D82">
        <f>Dashboard_Live_Data!F81</f>
        <v/>
      </c>
      <c r="E82">
        <f>Dashboard_Live_Data!D81</f>
        <v/>
      </c>
      <c r="F82">
        <f>Dashboard_Live_Data!G81</f>
        <v/>
      </c>
    </row>
    <row r="83">
      <c r="A83">
        <f>Dashboard_Live_Data!D82</f>
        <v/>
      </c>
      <c r="B83">
        <f>Dashboard_Live_Data!E82</f>
        <v/>
      </c>
      <c r="C83">
        <f>Dashboard_Live_Data!D82</f>
        <v/>
      </c>
      <c r="D83">
        <f>Dashboard_Live_Data!F82</f>
        <v/>
      </c>
      <c r="E83">
        <f>Dashboard_Live_Data!D82</f>
        <v/>
      </c>
      <c r="F83">
        <f>Dashboard_Live_Data!G82</f>
        <v/>
      </c>
    </row>
    <row r="84">
      <c r="A84">
        <f>Dashboard_Live_Data!D83</f>
        <v/>
      </c>
      <c r="B84">
        <f>Dashboard_Live_Data!E83</f>
        <v/>
      </c>
      <c r="C84">
        <f>Dashboard_Live_Data!D83</f>
        <v/>
      </c>
      <c r="D84">
        <f>Dashboard_Live_Data!F83</f>
        <v/>
      </c>
      <c r="E84">
        <f>Dashboard_Live_Data!D83</f>
        <v/>
      </c>
      <c r="F84">
        <f>Dashboard_Live_Data!G83</f>
        <v/>
      </c>
    </row>
    <row r="85">
      <c r="A85">
        <f>Dashboard_Live_Data!D84</f>
        <v/>
      </c>
      <c r="B85">
        <f>Dashboard_Live_Data!E84</f>
        <v/>
      </c>
      <c r="C85">
        <f>Dashboard_Live_Data!D84</f>
        <v/>
      </c>
      <c r="D85">
        <f>Dashboard_Live_Data!F84</f>
        <v/>
      </c>
      <c r="E85">
        <f>Dashboard_Live_Data!D84</f>
        <v/>
      </c>
      <c r="F85">
        <f>Dashboard_Live_Data!G84</f>
        <v/>
      </c>
    </row>
    <row r="86">
      <c r="A86">
        <f>Dashboard_Live_Data!D85</f>
        <v/>
      </c>
      <c r="B86">
        <f>Dashboard_Live_Data!E85</f>
        <v/>
      </c>
      <c r="C86">
        <f>Dashboard_Live_Data!D85</f>
        <v/>
      </c>
      <c r="D86">
        <f>Dashboard_Live_Data!F85</f>
        <v/>
      </c>
      <c r="E86">
        <f>Dashboard_Live_Data!D85</f>
        <v/>
      </c>
      <c r="F86">
        <f>Dashboard_Live_Data!G85</f>
        <v/>
      </c>
    </row>
    <row r="87">
      <c r="A87">
        <f>Dashboard_Live_Data!D86</f>
        <v/>
      </c>
      <c r="B87">
        <f>Dashboard_Live_Data!E86</f>
        <v/>
      </c>
      <c r="C87">
        <f>Dashboard_Live_Data!D86</f>
        <v/>
      </c>
      <c r="D87">
        <f>Dashboard_Live_Data!F86</f>
        <v/>
      </c>
      <c r="E87">
        <f>Dashboard_Live_Data!D86</f>
        <v/>
      </c>
      <c r="F87">
        <f>Dashboard_Live_Data!G86</f>
        <v/>
      </c>
    </row>
    <row r="88">
      <c r="A88">
        <f>Dashboard_Live_Data!D87</f>
        <v/>
      </c>
      <c r="B88">
        <f>Dashboard_Live_Data!E87</f>
        <v/>
      </c>
      <c r="C88">
        <f>Dashboard_Live_Data!D87</f>
        <v/>
      </c>
      <c r="D88">
        <f>Dashboard_Live_Data!F87</f>
        <v/>
      </c>
      <c r="E88">
        <f>Dashboard_Live_Data!D87</f>
        <v/>
      </c>
      <c r="F88">
        <f>Dashboard_Live_Data!G87</f>
        <v/>
      </c>
    </row>
    <row r="89">
      <c r="A89">
        <f>Dashboard_Live_Data!D88</f>
        <v/>
      </c>
      <c r="B89">
        <f>Dashboard_Live_Data!E88</f>
        <v/>
      </c>
      <c r="C89">
        <f>Dashboard_Live_Data!D88</f>
        <v/>
      </c>
      <c r="D89">
        <f>Dashboard_Live_Data!F88</f>
        <v/>
      </c>
      <c r="E89">
        <f>Dashboard_Live_Data!D88</f>
        <v/>
      </c>
      <c r="F89">
        <f>Dashboard_Live_Data!G88</f>
        <v/>
      </c>
    </row>
    <row r="90">
      <c r="A90">
        <f>Dashboard_Live_Data!D89</f>
        <v/>
      </c>
      <c r="B90">
        <f>Dashboard_Live_Data!E89</f>
        <v/>
      </c>
      <c r="C90">
        <f>Dashboard_Live_Data!D89</f>
        <v/>
      </c>
      <c r="D90">
        <f>Dashboard_Live_Data!F89</f>
        <v/>
      </c>
      <c r="E90">
        <f>Dashboard_Live_Data!D89</f>
        <v/>
      </c>
      <c r="F90">
        <f>Dashboard_Live_Data!G89</f>
        <v/>
      </c>
    </row>
    <row r="91">
      <c r="A91">
        <f>Dashboard_Live_Data!D90</f>
        <v/>
      </c>
      <c r="B91">
        <f>Dashboard_Live_Data!E90</f>
        <v/>
      </c>
      <c r="C91">
        <f>Dashboard_Live_Data!D90</f>
        <v/>
      </c>
      <c r="D91">
        <f>Dashboard_Live_Data!F90</f>
        <v/>
      </c>
      <c r="E91">
        <f>Dashboard_Live_Data!D90</f>
        <v/>
      </c>
      <c r="F91">
        <f>Dashboard_Live_Data!G90</f>
        <v/>
      </c>
    </row>
    <row r="92">
      <c r="A92">
        <f>Dashboard_Live_Data!D91</f>
        <v/>
      </c>
      <c r="B92">
        <f>Dashboard_Live_Data!E91</f>
        <v/>
      </c>
      <c r="C92">
        <f>Dashboard_Live_Data!D91</f>
        <v/>
      </c>
      <c r="D92">
        <f>Dashboard_Live_Data!F91</f>
        <v/>
      </c>
      <c r="E92">
        <f>Dashboard_Live_Data!D91</f>
        <v/>
      </c>
      <c r="F92">
        <f>Dashboard_Live_Data!G91</f>
        <v/>
      </c>
    </row>
    <row r="93">
      <c r="A93">
        <f>Dashboard_Live_Data!D92</f>
        <v/>
      </c>
      <c r="B93">
        <f>Dashboard_Live_Data!E92</f>
        <v/>
      </c>
      <c r="C93">
        <f>Dashboard_Live_Data!D92</f>
        <v/>
      </c>
      <c r="D93">
        <f>Dashboard_Live_Data!F92</f>
        <v/>
      </c>
      <c r="E93">
        <f>Dashboard_Live_Data!D92</f>
        <v/>
      </c>
      <c r="F93">
        <f>Dashboard_Live_Data!G92</f>
        <v/>
      </c>
    </row>
    <row r="94">
      <c r="A94">
        <f>Dashboard_Live_Data!D93</f>
        <v/>
      </c>
      <c r="B94">
        <f>Dashboard_Live_Data!E93</f>
        <v/>
      </c>
      <c r="C94">
        <f>Dashboard_Live_Data!D93</f>
        <v/>
      </c>
      <c r="D94">
        <f>Dashboard_Live_Data!F93</f>
        <v/>
      </c>
      <c r="E94">
        <f>Dashboard_Live_Data!D93</f>
        <v/>
      </c>
      <c r="F94">
        <f>Dashboard_Live_Data!G93</f>
        <v/>
      </c>
    </row>
    <row r="95">
      <c r="A95">
        <f>Dashboard_Live_Data!D94</f>
        <v/>
      </c>
      <c r="B95">
        <f>Dashboard_Live_Data!E94</f>
        <v/>
      </c>
      <c r="C95">
        <f>Dashboard_Live_Data!D94</f>
        <v/>
      </c>
      <c r="D95">
        <f>Dashboard_Live_Data!F94</f>
        <v/>
      </c>
      <c r="E95">
        <f>Dashboard_Live_Data!D94</f>
        <v/>
      </c>
      <c r="F95">
        <f>Dashboard_Live_Data!G94</f>
        <v/>
      </c>
    </row>
    <row r="96">
      <c r="A96">
        <f>Dashboard_Live_Data!D95</f>
        <v/>
      </c>
      <c r="B96">
        <f>Dashboard_Live_Data!E95</f>
        <v/>
      </c>
      <c r="C96">
        <f>Dashboard_Live_Data!D95</f>
        <v/>
      </c>
      <c r="D96">
        <f>Dashboard_Live_Data!F95</f>
        <v/>
      </c>
      <c r="E96">
        <f>Dashboard_Live_Data!D95</f>
        <v/>
      </c>
      <c r="F96">
        <f>Dashboard_Live_Data!G95</f>
        <v/>
      </c>
    </row>
    <row r="97">
      <c r="A97">
        <f>Dashboard_Live_Data!D96</f>
        <v/>
      </c>
      <c r="B97">
        <f>Dashboard_Live_Data!E96</f>
        <v/>
      </c>
      <c r="C97">
        <f>Dashboard_Live_Data!D96</f>
        <v/>
      </c>
      <c r="D97">
        <f>Dashboard_Live_Data!F96</f>
        <v/>
      </c>
      <c r="E97">
        <f>Dashboard_Live_Data!D96</f>
        <v/>
      </c>
      <c r="F97">
        <f>Dashboard_Live_Data!G96</f>
        <v/>
      </c>
    </row>
    <row r="98">
      <c r="A98">
        <f>Dashboard_Live_Data!D97</f>
        <v/>
      </c>
      <c r="B98">
        <f>Dashboard_Live_Data!E97</f>
        <v/>
      </c>
      <c r="C98">
        <f>Dashboard_Live_Data!D97</f>
        <v/>
      </c>
      <c r="D98">
        <f>Dashboard_Live_Data!F97</f>
        <v/>
      </c>
      <c r="E98">
        <f>Dashboard_Live_Data!D97</f>
        <v/>
      </c>
      <c r="F98">
        <f>Dashboard_Live_Data!G97</f>
        <v/>
      </c>
    </row>
    <row r="99">
      <c r="A99">
        <f>Dashboard_Live_Data!D98</f>
        <v/>
      </c>
      <c r="B99">
        <f>Dashboard_Live_Data!E98</f>
        <v/>
      </c>
      <c r="C99">
        <f>Dashboard_Live_Data!D98</f>
        <v/>
      </c>
      <c r="D99">
        <f>Dashboard_Live_Data!F98</f>
        <v/>
      </c>
      <c r="E99">
        <f>Dashboard_Live_Data!D98</f>
        <v/>
      </c>
      <c r="F99">
        <f>Dashboard_Live_Data!G98</f>
        <v/>
      </c>
    </row>
    <row r="100">
      <c r="A100">
        <f>Dashboard_Live_Data!D99</f>
        <v/>
      </c>
      <c r="B100">
        <f>Dashboard_Live_Data!E99</f>
        <v/>
      </c>
      <c r="C100">
        <f>Dashboard_Live_Data!D99</f>
        <v/>
      </c>
      <c r="D100">
        <f>Dashboard_Live_Data!F99</f>
        <v/>
      </c>
      <c r="E100">
        <f>Dashboard_Live_Data!D99</f>
        <v/>
      </c>
      <c r="F100">
        <f>Dashboard_Live_Data!G99</f>
        <v/>
      </c>
    </row>
    <row r="101">
      <c r="A101">
        <f>Dashboard_Live_Data!D100</f>
        <v/>
      </c>
      <c r="B101">
        <f>Dashboard_Live_Data!E100</f>
        <v/>
      </c>
      <c r="C101">
        <f>Dashboard_Live_Data!D100</f>
        <v/>
      </c>
      <c r="D101">
        <f>Dashboard_Live_Data!F100</f>
        <v/>
      </c>
      <c r="E101">
        <f>Dashboard_Live_Data!D100</f>
        <v/>
      </c>
      <c r="F101">
        <f>Dashboard_Live_Data!G100</f>
        <v/>
      </c>
    </row>
    <row r="102">
      <c r="A102">
        <f>Dashboard_Live_Data!D101</f>
        <v/>
      </c>
      <c r="B102">
        <f>Dashboard_Live_Data!E101</f>
        <v/>
      </c>
      <c r="C102">
        <f>Dashboard_Live_Data!D101</f>
        <v/>
      </c>
      <c r="D102">
        <f>Dashboard_Live_Data!F101</f>
        <v/>
      </c>
      <c r="E102">
        <f>Dashboard_Live_Data!D101</f>
        <v/>
      </c>
      <c r="F102">
        <f>Dashboard_Live_Data!G101</f>
        <v/>
      </c>
    </row>
    <row r="103">
      <c r="A103">
        <f>Dashboard_Live_Data!D102</f>
        <v/>
      </c>
      <c r="B103">
        <f>Dashboard_Live_Data!E102</f>
        <v/>
      </c>
      <c r="C103">
        <f>Dashboard_Live_Data!D102</f>
        <v/>
      </c>
      <c r="D103">
        <f>Dashboard_Live_Data!F102</f>
        <v/>
      </c>
      <c r="E103">
        <f>Dashboard_Live_Data!D102</f>
        <v/>
      </c>
      <c r="F103">
        <f>Dashboard_Live_Data!G102</f>
        <v/>
      </c>
    </row>
    <row r="104">
      <c r="A104">
        <f>Dashboard_Live_Data!D103</f>
        <v/>
      </c>
      <c r="B104">
        <f>Dashboard_Live_Data!E103</f>
        <v/>
      </c>
      <c r="C104">
        <f>Dashboard_Live_Data!D103</f>
        <v/>
      </c>
      <c r="D104">
        <f>Dashboard_Live_Data!F103</f>
        <v/>
      </c>
      <c r="E104">
        <f>Dashboard_Live_Data!D103</f>
        <v/>
      </c>
      <c r="F104">
        <f>Dashboard_Live_Data!G103</f>
        <v/>
      </c>
    </row>
    <row r="105">
      <c r="A105">
        <f>Dashboard_Live_Data!D104</f>
        <v/>
      </c>
      <c r="B105">
        <f>Dashboard_Live_Data!E104</f>
        <v/>
      </c>
      <c r="C105">
        <f>Dashboard_Live_Data!D104</f>
        <v/>
      </c>
      <c r="D105">
        <f>Dashboard_Live_Data!F104</f>
        <v/>
      </c>
      <c r="E105">
        <f>Dashboard_Live_Data!D104</f>
        <v/>
      </c>
      <c r="F105">
        <f>Dashboard_Live_Data!G104</f>
        <v/>
      </c>
    </row>
    <row r="106">
      <c r="A106">
        <f>Dashboard_Live_Data!D105</f>
        <v/>
      </c>
      <c r="B106">
        <f>Dashboard_Live_Data!E105</f>
        <v/>
      </c>
      <c r="C106">
        <f>Dashboard_Live_Data!D105</f>
        <v/>
      </c>
      <c r="D106">
        <f>Dashboard_Live_Data!F105</f>
        <v/>
      </c>
      <c r="E106">
        <f>Dashboard_Live_Data!D105</f>
        <v/>
      </c>
      <c r="F106">
        <f>Dashboard_Live_Data!G105</f>
        <v/>
      </c>
    </row>
    <row r="107">
      <c r="A107">
        <f>Dashboard_Live_Data!D106</f>
        <v/>
      </c>
      <c r="B107">
        <f>Dashboard_Live_Data!E106</f>
        <v/>
      </c>
      <c r="C107">
        <f>Dashboard_Live_Data!D106</f>
        <v/>
      </c>
      <c r="D107">
        <f>Dashboard_Live_Data!F106</f>
        <v/>
      </c>
      <c r="E107">
        <f>Dashboard_Live_Data!D106</f>
        <v/>
      </c>
      <c r="F107">
        <f>Dashboard_Live_Data!G106</f>
        <v/>
      </c>
    </row>
    <row r="108">
      <c r="A108">
        <f>Dashboard_Live_Data!D107</f>
        <v/>
      </c>
      <c r="B108">
        <f>Dashboard_Live_Data!E107</f>
        <v/>
      </c>
      <c r="C108">
        <f>Dashboard_Live_Data!D107</f>
        <v/>
      </c>
      <c r="D108">
        <f>Dashboard_Live_Data!F107</f>
        <v/>
      </c>
      <c r="E108">
        <f>Dashboard_Live_Data!D107</f>
        <v/>
      </c>
      <c r="F108">
        <f>Dashboard_Live_Data!G107</f>
        <v/>
      </c>
    </row>
    <row r="109">
      <c r="A109">
        <f>Dashboard_Live_Data!D108</f>
        <v/>
      </c>
      <c r="B109">
        <f>Dashboard_Live_Data!E108</f>
        <v/>
      </c>
      <c r="C109">
        <f>Dashboard_Live_Data!D108</f>
        <v/>
      </c>
      <c r="D109">
        <f>Dashboard_Live_Data!F108</f>
        <v/>
      </c>
      <c r="E109">
        <f>Dashboard_Live_Data!D108</f>
        <v/>
      </c>
      <c r="F109">
        <f>Dashboard_Live_Data!G108</f>
        <v/>
      </c>
    </row>
    <row r="110">
      <c r="A110">
        <f>Dashboard_Live_Data!D109</f>
        <v/>
      </c>
      <c r="B110">
        <f>Dashboard_Live_Data!E109</f>
        <v/>
      </c>
      <c r="C110">
        <f>Dashboard_Live_Data!D109</f>
        <v/>
      </c>
      <c r="D110">
        <f>Dashboard_Live_Data!F109</f>
        <v/>
      </c>
      <c r="E110">
        <f>Dashboard_Live_Data!D109</f>
        <v/>
      </c>
      <c r="F110">
        <f>Dashboard_Live_Data!G109</f>
        <v/>
      </c>
    </row>
    <row r="111">
      <c r="A111">
        <f>Dashboard_Live_Data!D110</f>
        <v/>
      </c>
      <c r="B111">
        <f>Dashboard_Live_Data!E110</f>
        <v/>
      </c>
      <c r="C111">
        <f>Dashboard_Live_Data!D110</f>
        <v/>
      </c>
      <c r="D111">
        <f>Dashboard_Live_Data!F110</f>
        <v/>
      </c>
      <c r="E111">
        <f>Dashboard_Live_Data!D110</f>
        <v/>
      </c>
      <c r="F111">
        <f>Dashboard_Live_Data!G110</f>
        <v/>
      </c>
    </row>
    <row r="112">
      <c r="A112">
        <f>Dashboard_Live_Data!D111</f>
        <v/>
      </c>
      <c r="B112">
        <f>Dashboard_Live_Data!E111</f>
        <v/>
      </c>
      <c r="C112">
        <f>Dashboard_Live_Data!D111</f>
        <v/>
      </c>
      <c r="D112">
        <f>Dashboard_Live_Data!F111</f>
        <v/>
      </c>
      <c r="E112">
        <f>Dashboard_Live_Data!D111</f>
        <v/>
      </c>
      <c r="F112">
        <f>Dashboard_Live_Data!G111</f>
        <v/>
      </c>
    </row>
    <row r="113">
      <c r="A113">
        <f>Dashboard_Live_Data!D112</f>
        <v/>
      </c>
      <c r="B113">
        <f>Dashboard_Live_Data!E112</f>
        <v/>
      </c>
      <c r="C113">
        <f>Dashboard_Live_Data!D112</f>
        <v/>
      </c>
      <c r="D113">
        <f>Dashboard_Live_Data!F112</f>
        <v/>
      </c>
      <c r="E113">
        <f>Dashboard_Live_Data!D112</f>
        <v/>
      </c>
      <c r="F113">
        <f>Dashboard_Live_Data!G112</f>
        <v/>
      </c>
    </row>
    <row r="114">
      <c r="A114">
        <f>Dashboard_Live_Data!D113</f>
        <v/>
      </c>
      <c r="B114">
        <f>Dashboard_Live_Data!E113</f>
        <v/>
      </c>
      <c r="C114">
        <f>Dashboard_Live_Data!D113</f>
        <v/>
      </c>
      <c r="D114">
        <f>Dashboard_Live_Data!F113</f>
        <v/>
      </c>
      <c r="E114">
        <f>Dashboard_Live_Data!D113</f>
        <v/>
      </c>
      <c r="F114">
        <f>Dashboard_Live_Data!G113</f>
        <v/>
      </c>
    </row>
    <row r="115">
      <c r="A115">
        <f>Dashboard_Live_Data!D114</f>
        <v/>
      </c>
      <c r="B115">
        <f>Dashboard_Live_Data!E114</f>
        <v/>
      </c>
      <c r="C115">
        <f>Dashboard_Live_Data!D114</f>
        <v/>
      </c>
      <c r="D115">
        <f>Dashboard_Live_Data!F114</f>
        <v/>
      </c>
      <c r="E115">
        <f>Dashboard_Live_Data!D114</f>
        <v/>
      </c>
      <c r="F115">
        <f>Dashboard_Live_Data!G114</f>
        <v/>
      </c>
    </row>
    <row r="116">
      <c r="A116">
        <f>Dashboard_Live_Data!D115</f>
        <v/>
      </c>
      <c r="B116">
        <f>Dashboard_Live_Data!E115</f>
        <v/>
      </c>
      <c r="C116">
        <f>Dashboard_Live_Data!D115</f>
        <v/>
      </c>
      <c r="D116">
        <f>Dashboard_Live_Data!F115</f>
        <v/>
      </c>
      <c r="E116">
        <f>Dashboard_Live_Data!D115</f>
        <v/>
      </c>
      <c r="F116">
        <f>Dashboard_Live_Data!G115</f>
        <v/>
      </c>
    </row>
    <row r="117">
      <c r="A117">
        <f>Dashboard_Live_Data!D116</f>
        <v/>
      </c>
      <c r="B117">
        <f>Dashboard_Live_Data!E116</f>
        <v/>
      </c>
      <c r="C117">
        <f>Dashboard_Live_Data!D116</f>
        <v/>
      </c>
      <c r="D117">
        <f>Dashboard_Live_Data!F116</f>
        <v/>
      </c>
      <c r="E117">
        <f>Dashboard_Live_Data!D116</f>
        <v/>
      </c>
      <c r="F117">
        <f>Dashboard_Live_Data!G116</f>
        <v/>
      </c>
    </row>
    <row r="118">
      <c r="A118">
        <f>Dashboard_Live_Data!D117</f>
        <v/>
      </c>
      <c r="B118">
        <f>Dashboard_Live_Data!E117</f>
        <v/>
      </c>
      <c r="C118">
        <f>Dashboard_Live_Data!D117</f>
        <v/>
      </c>
      <c r="D118">
        <f>Dashboard_Live_Data!F117</f>
        <v/>
      </c>
      <c r="E118">
        <f>Dashboard_Live_Data!D117</f>
        <v/>
      </c>
      <c r="F118">
        <f>Dashboard_Live_Data!G117</f>
        <v/>
      </c>
    </row>
    <row r="119">
      <c r="A119">
        <f>Dashboard_Live_Data!D118</f>
        <v/>
      </c>
      <c r="B119">
        <f>Dashboard_Live_Data!E118</f>
        <v/>
      </c>
      <c r="C119">
        <f>Dashboard_Live_Data!D118</f>
        <v/>
      </c>
      <c r="D119">
        <f>Dashboard_Live_Data!F118</f>
        <v/>
      </c>
      <c r="E119">
        <f>Dashboard_Live_Data!D118</f>
        <v/>
      </c>
      <c r="F119">
        <f>Dashboard_Live_Data!G118</f>
        <v/>
      </c>
    </row>
    <row r="120">
      <c r="A120">
        <f>Dashboard_Live_Data!D119</f>
        <v/>
      </c>
      <c r="B120">
        <f>Dashboard_Live_Data!E119</f>
        <v/>
      </c>
      <c r="C120">
        <f>Dashboard_Live_Data!D119</f>
        <v/>
      </c>
      <c r="D120">
        <f>Dashboard_Live_Data!F119</f>
        <v/>
      </c>
      <c r="E120">
        <f>Dashboard_Live_Data!D119</f>
        <v/>
      </c>
      <c r="F120">
        <f>Dashboard_Live_Data!G119</f>
        <v/>
      </c>
    </row>
    <row r="121">
      <c r="A121">
        <f>Dashboard_Live_Data!D120</f>
        <v/>
      </c>
      <c r="B121">
        <f>Dashboard_Live_Data!E120</f>
        <v/>
      </c>
      <c r="C121">
        <f>Dashboard_Live_Data!D120</f>
        <v/>
      </c>
      <c r="D121">
        <f>Dashboard_Live_Data!F120</f>
        <v/>
      </c>
      <c r="E121">
        <f>Dashboard_Live_Data!D120</f>
        <v/>
      </c>
      <c r="F121">
        <f>Dashboard_Live_Data!G120</f>
        <v/>
      </c>
    </row>
    <row r="122">
      <c r="A122">
        <f>Dashboard_Live_Data!D121</f>
        <v/>
      </c>
      <c r="B122">
        <f>Dashboard_Live_Data!E121</f>
        <v/>
      </c>
      <c r="C122">
        <f>Dashboard_Live_Data!D121</f>
        <v/>
      </c>
      <c r="D122">
        <f>Dashboard_Live_Data!F121</f>
        <v/>
      </c>
      <c r="E122">
        <f>Dashboard_Live_Data!D121</f>
        <v/>
      </c>
      <c r="F122">
        <f>Dashboard_Live_Data!G121</f>
        <v/>
      </c>
    </row>
    <row r="123">
      <c r="A123">
        <f>Dashboard_Live_Data!D122</f>
        <v/>
      </c>
      <c r="B123">
        <f>Dashboard_Live_Data!E122</f>
        <v/>
      </c>
      <c r="C123">
        <f>Dashboard_Live_Data!D122</f>
        <v/>
      </c>
      <c r="D123">
        <f>Dashboard_Live_Data!F122</f>
        <v/>
      </c>
      <c r="E123">
        <f>Dashboard_Live_Data!D122</f>
        <v/>
      </c>
      <c r="F123">
        <f>Dashboard_Live_Data!G122</f>
        <v/>
      </c>
    </row>
    <row r="124">
      <c r="A124">
        <f>Dashboard_Live_Data!D123</f>
        <v/>
      </c>
      <c r="B124">
        <f>Dashboard_Live_Data!E123</f>
        <v/>
      </c>
      <c r="C124">
        <f>Dashboard_Live_Data!D123</f>
        <v/>
      </c>
      <c r="D124">
        <f>Dashboard_Live_Data!F123</f>
        <v/>
      </c>
      <c r="E124">
        <f>Dashboard_Live_Data!D123</f>
        <v/>
      </c>
      <c r="F124">
        <f>Dashboard_Live_Data!G123</f>
        <v/>
      </c>
    </row>
    <row r="125">
      <c r="A125">
        <f>Dashboard_Live_Data!D124</f>
        <v/>
      </c>
      <c r="B125">
        <f>Dashboard_Live_Data!E124</f>
        <v/>
      </c>
      <c r="C125">
        <f>Dashboard_Live_Data!D124</f>
        <v/>
      </c>
      <c r="D125">
        <f>Dashboard_Live_Data!F124</f>
        <v/>
      </c>
      <c r="E125">
        <f>Dashboard_Live_Data!D124</f>
        <v/>
      </c>
      <c r="F125">
        <f>Dashboard_Live_Data!G124</f>
        <v/>
      </c>
    </row>
    <row r="126">
      <c r="A126">
        <f>Dashboard_Live_Data!D125</f>
        <v/>
      </c>
      <c r="B126">
        <f>Dashboard_Live_Data!E125</f>
        <v/>
      </c>
      <c r="C126">
        <f>Dashboard_Live_Data!D125</f>
        <v/>
      </c>
      <c r="D126">
        <f>Dashboard_Live_Data!F125</f>
        <v/>
      </c>
      <c r="E126">
        <f>Dashboard_Live_Data!D125</f>
        <v/>
      </c>
      <c r="F126">
        <f>Dashboard_Live_Data!G125</f>
        <v/>
      </c>
    </row>
    <row r="127">
      <c r="A127">
        <f>Dashboard_Live_Data!D126</f>
        <v/>
      </c>
      <c r="B127">
        <f>Dashboard_Live_Data!E126</f>
        <v/>
      </c>
      <c r="C127">
        <f>Dashboard_Live_Data!D126</f>
        <v/>
      </c>
      <c r="D127">
        <f>Dashboard_Live_Data!F126</f>
        <v/>
      </c>
      <c r="E127">
        <f>Dashboard_Live_Data!D126</f>
        <v/>
      </c>
      <c r="F127">
        <f>Dashboard_Live_Data!G126</f>
        <v/>
      </c>
    </row>
    <row r="128">
      <c r="A128">
        <f>Dashboard_Live_Data!D127</f>
        <v/>
      </c>
      <c r="B128">
        <f>Dashboard_Live_Data!E127</f>
        <v/>
      </c>
      <c r="C128">
        <f>Dashboard_Live_Data!D127</f>
        <v/>
      </c>
      <c r="D128">
        <f>Dashboard_Live_Data!F127</f>
        <v/>
      </c>
      <c r="E128">
        <f>Dashboard_Live_Data!D127</f>
        <v/>
      </c>
      <c r="F128">
        <f>Dashboard_Live_Data!G127</f>
        <v/>
      </c>
    </row>
    <row r="129">
      <c r="A129">
        <f>Dashboard_Live_Data!D128</f>
        <v/>
      </c>
      <c r="B129">
        <f>Dashboard_Live_Data!E128</f>
        <v/>
      </c>
      <c r="C129">
        <f>Dashboard_Live_Data!D128</f>
        <v/>
      </c>
      <c r="D129">
        <f>Dashboard_Live_Data!F128</f>
        <v/>
      </c>
      <c r="E129">
        <f>Dashboard_Live_Data!D128</f>
        <v/>
      </c>
      <c r="F129">
        <f>Dashboard_Live_Data!G128</f>
        <v/>
      </c>
    </row>
    <row r="130">
      <c r="A130">
        <f>Dashboard_Live_Data!D129</f>
        <v/>
      </c>
      <c r="B130">
        <f>Dashboard_Live_Data!E129</f>
        <v/>
      </c>
      <c r="C130">
        <f>Dashboard_Live_Data!D129</f>
        <v/>
      </c>
      <c r="D130">
        <f>Dashboard_Live_Data!F129</f>
        <v/>
      </c>
      <c r="E130">
        <f>Dashboard_Live_Data!D129</f>
        <v/>
      </c>
      <c r="F130">
        <f>Dashboard_Live_Data!G129</f>
        <v/>
      </c>
    </row>
    <row r="131">
      <c r="A131">
        <f>Dashboard_Live_Data!D130</f>
        <v/>
      </c>
      <c r="B131">
        <f>Dashboard_Live_Data!E130</f>
        <v/>
      </c>
      <c r="C131">
        <f>Dashboard_Live_Data!D130</f>
        <v/>
      </c>
      <c r="D131">
        <f>Dashboard_Live_Data!F130</f>
        <v/>
      </c>
      <c r="E131">
        <f>Dashboard_Live_Data!D130</f>
        <v/>
      </c>
      <c r="F131">
        <f>Dashboard_Live_Data!G130</f>
        <v/>
      </c>
    </row>
    <row r="132">
      <c r="A132">
        <f>Dashboard_Live_Data!D131</f>
        <v/>
      </c>
      <c r="B132">
        <f>Dashboard_Live_Data!E131</f>
        <v/>
      </c>
      <c r="C132">
        <f>Dashboard_Live_Data!D131</f>
        <v/>
      </c>
      <c r="D132">
        <f>Dashboard_Live_Data!F131</f>
        <v/>
      </c>
      <c r="E132">
        <f>Dashboard_Live_Data!D131</f>
        <v/>
      </c>
      <c r="F132">
        <f>Dashboard_Live_Data!G131</f>
        <v/>
      </c>
    </row>
    <row r="133">
      <c r="A133">
        <f>Dashboard_Live_Data!D132</f>
        <v/>
      </c>
      <c r="B133">
        <f>Dashboard_Live_Data!E132</f>
        <v/>
      </c>
      <c r="C133">
        <f>Dashboard_Live_Data!D132</f>
        <v/>
      </c>
      <c r="D133">
        <f>Dashboard_Live_Data!F132</f>
        <v/>
      </c>
      <c r="E133">
        <f>Dashboard_Live_Data!D132</f>
        <v/>
      </c>
      <c r="F133">
        <f>Dashboard_Live_Data!G132</f>
        <v/>
      </c>
    </row>
    <row r="134">
      <c r="A134">
        <f>Dashboard_Live_Data!D133</f>
        <v/>
      </c>
      <c r="B134">
        <f>Dashboard_Live_Data!E133</f>
        <v/>
      </c>
      <c r="C134">
        <f>Dashboard_Live_Data!D133</f>
        <v/>
      </c>
      <c r="D134">
        <f>Dashboard_Live_Data!F133</f>
        <v/>
      </c>
      <c r="E134">
        <f>Dashboard_Live_Data!D133</f>
        <v/>
      </c>
      <c r="F134">
        <f>Dashboard_Live_Data!G133</f>
        <v/>
      </c>
    </row>
    <row r="135">
      <c r="A135">
        <f>Dashboard_Live_Data!D134</f>
        <v/>
      </c>
      <c r="B135">
        <f>Dashboard_Live_Data!E134</f>
        <v/>
      </c>
      <c r="C135">
        <f>Dashboard_Live_Data!D134</f>
        <v/>
      </c>
      <c r="D135">
        <f>Dashboard_Live_Data!F134</f>
        <v/>
      </c>
      <c r="E135">
        <f>Dashboard_Live_Data!D134</f>
        <v/>
      </c>
      <c r="F135">
        <f>Dashboard_Live_Data!G134</f>
        <v/>
      </c>
    </row>
    <row r="136">
      <c r="A136">
        <f>Dashboard_Live_Data!D135</f>
        <v/>
      </c>
      <c r="B136">
        <f>Dashboard_Live_Data!E135</f>
        <v/>
      </c>
      <c r="C136">
        <f>Dashboard_Live_Data!D135</f>
        <v/>
      </c>
      <c r="D136">
        <f>Dashboard_Live_Data!F135</f>
        <v/>
      </c>
      <c r="E136">
        <f>Dashboard_Live_Data!D135</f>
        <v/>
      </c>
      <c r="F136">
        <f>Dashboard_Live_Data!G135</f>
        <v/>
      </c>
    </row>
    <row r="137">
      <c r="A137">
        <f>Dashboard_Live_Data!D136</f>
        <v/>
      </c>
      <c r="B137">
        <f>Dashboard_Live_Data!E136</f>
        <v/>
      </c>
      <c r="C137">
        <f>Dashboard_Live_Data!D136</f>
        <v/>
      </c>
      <c r="D137">
        <f>Dashboard_Live_Data!F136</f>
        <v/>
      </c>
      <c r="E137">
        <f>Dashboard_Live_Data!D136</f>
        <v/>
      </c>
      <c r="F137">
        <f>Dashboard_Live_Data!G136</f>
        <v/>
      </c>
    </row>
    <row r="138">
      <c r="A138">
        <f>Dashboard_Live_Data!D137</f>
        <v/>
      </c>
      <c r="B138">
        <f>Dashboard_Live_Data!E137</f>
        <v/>
      </c>
      <c r="C138">
        <f>Dashboard_Live_Data!D137</f>
        <v/>
      </c>
      <c r="D138">
        <f>Dashboard_Live_Data!F137</f>
        <v/>
      </c>
      <c r="E138">
        <f>Dashboard_Live_Data!D137</f>
        <v/>
      </c>
      <c r="F138">
        <f>Dashboard_Live_Data!G137</f>
        <v/>
      </c>
    </row>
    <row r="139">
      <c r="A139">
        <f>Dashboard_Live_Data!D138</f>
        <v/>
      </c>
      <c r="B139">
        <f>Dashboard_Live_Data!E138</f>
        <v/>
      </c>
      <c r="C139">
        <f>Dashboard_Live_Data!D138</f>
        <v/>
      </c>
      <c r="D139">
        <f>Dashboard_Live_Data!F138</f>
        <v/>
      </c>
      <c r="E139">
        <f>Dashboard_Live_Data!D138</f>
        <v/>
      </c>
      <c r="F139">
        <f>Dashboard_Live_Data!G138</f>
        <v/>
      </c>
    </row>
    <row r="140">
      <c r="A140">
        <f>Dashboard_Live_Data!D139</f>
        <v/>
      </c>
      <c r="B140">
        <f>Dashboard_Live_Data!E139</f>
        <v/>
      </c>
      <c r="C140">
        <f>Dashboard_Live_Data!D139</f>
        <v/>
      </c>
      <c r="D140">
        <f>Dashboard_Live_Data!F139</f>
        <v/>
      </c>
      <c r="E140">
        <f>Dashboard_Live_Data!D139</f>
        <v/>
      </c>
      <c r="F140">
        <f>Dashboard_Live_Data!G139</f>
        <v/>
      </c>
    </row>
    <row r="141">
      <c r="A141">
        <f>Dashboard_Live_Data!D140</f>
        <v/>
      </c>
      <c r="B141">
        <f>Dashboard_Live_Data!E140</f>
        <v/>
      </c>
      <c r="C141">
        <f>Dashboard_Live_Data!D140</f>
        <v/>
      </c>
      <c r="D141">
        <f>Dashboard_Live_Data!F140</f>
        <v/>
      </c>
      <c r="E141">
        <f>Dashboard_Live_Data!D140</f>
        <v/>
      </c>
      <c r="F141">
        <f>Dashboard_Live_Data!G140</f>
        <v/>
      </c>
    </row>
    <row r="142">
      <c r="A142">
        <f>Dashboard_Live_Data!D141</f>
        <v/>
      </c>
      <c r="B142">
        <f>Dashboard_Live_Data!E141</f>
        <v/>
      </c>
      <c r="C142">
        <f>Dashboard_Live_Data!D141</f>
        <v/>
      </c>
      <c r="D142">
        <f>Dashboard_Live_Data!F141</f>
        <v/>
      </c>
      <c r="E142">
        <f>Dashboard_Live_Data!D141</f>
        <v/>
      </c>
      <c r="F142">
        <f>Dashboard_Live_Data!G141</f>
        <v/>
      </c>
    </row>
    <row r="143">
      <c r="A143">
        <f>Dashboard_Live_Data!D142</f>
        <v/>
      </c>
      <c r="B143">
        <f>Dashboard_Live_Data!E142</f>
        <v/>
      </c>
      <c r="C143">
        <f>Dashboard_Live_Data!D142</f>
        <v/>
      </c>
      <c r="D143">
        <f>Dashboard_Live_Data!F142</f>
        <v/>
      </c>
      <c r="E143">
        <f>Dashboard_Live_Data!D142</f>
        <v/>
      </c>
      <c r="F143">
        <f>Dashboard_Live_Data!G142</f>
        <v/>
      </c>
    </row>
    <row r="144">
      <c r="A144">
        <f>Dashboard_Live_Data!D143</f>
        <v/>
      </c>
      <c r="B144">
        <f>Dashboard_Live_Data!E143</f>
        <v/>
      </c>
      <c r="C144">
        <f>Dashboard_Live_Data!D143</f>
        <v/>
      </c>
      <c r="D144">
        <f>Dashboard_Live_Data!F143</f>
        <v/>
      </c>
      <c r="E144">
        <f>Dashboard_Live_Data!D143</f>
        <v/>
      </c>
      <c r="F144">
        <f>Dashboard_Live_Data!G143</f>
        <v/>
      </c>
    </row>
    <row r="145">
      <c r="A145">
        <f>Dashboard_Live_Data!D144</f>
        <v/>
      </c>
      <c r="B145">
        <f>Dashboard_Live_Data!E144</f>
        <v/>
      </c>
      <c r="C145">
        <f>Dashboard_Live_Data!D144</f>
        <v/>
      </c>
      <c r="D145">
        <f>Dashboard_Live_Data!F144</f>
        <v/>
      </c>
      <c r="E145">
        <f>Dashboard_Live_Data!D144</f>
        <v/>
      </c>
      <c r="F145">
        <f>Dashboard_Live_Data!G144</f>
        <v/>
      </c>
    </row>
    <row r="146">
      <c r="A146">
        <f>Dashboard_Live_Data!D145</f>
        <v/>
      </c>
      <c r="B146">
        <f>Dashboard_Live_Data!E145</f>
        <v/>
      </c>
      <c r="C146">
        <f>Dashboard_Live_Data!D145</f>
        <v/>
      </c>
      <c r="D146">
        <f>Dashboard_Live_Data!F145</f>
        <v/>
      </c>
      <c r="E146">
        <f>Dashboard_Live_Data!D145</f>
        <v/>
      </c>
      <c r="F146">
        <f>Dashboard_Live_Data!G145</f>
        <v/>
      </c>
    </row>
    <row r="147">
      <c r="A147">
        <f>Dashboard_Live_Data!D146</f>
        <v/>
      </c>
      <c r="B147">
        <f>Dashboard_Live_Data!E146</f>
        <v/>
      </c>
      <c r="C147">
        <f>Dashboard_Live_Data!D146</f>
        <v/>
      </c>
      <c r="D147">
        <f>Dashboard_Live_Data!F146</f>
        <v/>
      </c>
      <c r="E147">
        <f>Dashboard_Live_Data!D146</f>
        <v/>
      </c>
      <c r="F147">
        <f>Dashboard_Live_Data!G146</f>
        <v/>
      </c>
    </row>
    <row r="148">
      <c r="A148">
        <f>Dashboard_Live_Data!D147</f>
        <v/>
      </c>
      <c r="B148">
        <f>Dashboard_Live_Data!E147</f>
        <v/>
      </c>
      <c r="C148">
        <f>Dashboard_Live_Data!D147</f>
        <v/>
      </c>
      <c r="D148">
        <f>Dashboard_Live_Data!F147</f>
        <v/>
      </c>
      <c r="E148">
        <f>Dashboard_Live_Data!D147</f>
        <v/>
      </c>
      <c r="F148">
        <f>Dashboard_Live_Data!G147</f>
        <v/>
      </c>
    </row>
    <row r="149">
      <c r="A149">
        <f>Dashboard_Live_Data!D148</f>
        <v/>
      </c>
      <c r="B149">
        <f>Dashboard_Live_Data!E148</f>
        <v/>
      </c>
      <c r="C149">
        <f>Dashboard_Live_Data!D148</f>
        <v/>
      </c>
      <c r="D149">
        <f>Dashboard_Live_Data!F148</f>
        <v/>
      </c>
      <c r="E149">
        <f>Dashboard_Live_Data!D148</f>
        <v/>
      </c>
      <c r="F149">
        <f>Dashboard_Live_Data!G148</f>
        <v/>
      </c>
    </row>
    <row r="150">
      <c r="A150">
        <f>Dashboard_Live_Data!D149</f>
        <v/>
      </c>
      <c r="B150">
        <f>Dashboard_Live_Data!E149</f>
        <v/>
      </c>
      <c r="C150">
        <f>Dashboard_Live_Data!D149</f>
        <v/>
      </c>
      <c r="D150">
        <f>Dashboard_Live_Data!F149</f>
        <v/>
      </c>
      <c r="E150">
        <f>Dashboard_Live_Data!D149</f>
        <v/>
      </c>
      <c r="F150">
        <f>Dashboard_Live_Data!G149</f>
        <v/>
      </c>
    </row>
    <row r="151">
      <c r="A151">
        <f>Dashboard_Live_Data!D150</f>
        <v/>
      </c>
      <c r="B151">
        <f>Dashboard_Live_Data!E150</f>
        <v/>
      </c>
      <c r="C151">
        <f>Dashboard_Live_Data!D150</f>
        <v/>
      </c>
      <c r="D151">
        <f>Dashboard_Live_Data!F150</f>
        <v/>
      </c>
      <c r="E151">
        <f>Dashboard_Live_Data!D150</f>
        <v/>
      </c>
      <c r="F151">
        <f>Dashboard_Live_Data!G150</f>
        <v/>
      </c>
    </row>
    <row r="152">
      <c r="A152">
        <f>Dashboard_Live_Data!D151</f>
        <v/>
      </c>
      <c r="B152">
        <f>Dashboard_Live_Data!E151</f>
        <v/>
      </c>
      <c r="C152">
        <f>Dashboard_Live_Data!D151</f>
        <v/>
      </c>
      <c r="D152">
        <f>Dashboard_Live_Data!F151</f>
        <v/>
      </c>
      <c r="E152">
        <f>Dashboard_Live_Data!D151</f>
        <v/>
      </c>
      <c r="F152">
        <f>Dashboard_Live_Data!G151</f>
        <v/>
      </c>
    </row>
    <row r="153">
      <c r="A153">
        <f>Dashboard_Live_Data!D152</f>
        <v/>
      </c>
      <c r="B153">
        <f>Dashboard_Live_Data!E152</f>
        <v/>
      </c>
      <c r="C153">
        <f>Dashboard_Live_Data!D152</f>
        <v/>
      </c>
      <c r="D153">
        <f>Dashboard_Live_Data!F152</f>
        <v/>
      </c>
      <c r="E153">
        <f>Dashboard_Live_Data!D152</f>
        <v/>
      </c>
      <c r="F153">
        <f>Dashboard_Live_Data!G152</f>
        <v/>
      </c>
    </row>
    <row r="154">
      <c r="A154">
        <f>Dashboard_Live_Data!D153</f>
        <v/>
      </c>
      <c r="B154">
        <f>Dashboard_Live_Data!E153</f>
        <v/>
      </c>
      <c r="C154">
        <f>Dashboard_Live_Data!D153</f>
        <v/>
      </c>
      <c r="D154">
        <f>Dashboard_Live_Data!F153</f>
        <v/>
      </c>
      <c r="E154">
        <f>Dashboard_Live_Data!D153</f>
        <v/>
      </c>
      <c r="F154">
        <f>Dashboard_Live_Data!G153</f>
        <v/>
      </c>
    </row>
    <row r="155">
      <c r="A155">
        <f>Dashboard_Live_Data!D154</f>
        <v/>
      </c>
      <c r="B155">
        <f>Dashboard_Live_Data!E154</f>
        <v/>
      </c>
      <c r="C155">
        <f>Dashboard_Live_Data!D154</f>
        <v/>
      </c>
      <c r="D155">
        <f>Dashboard_Live_Data!F154</f>
        <v/>
      </c>
      <c r="E155">
        <f>Dashboard_Live_Data!D154</f>
        <v/>
      </c>
      <c r="F155">
        <f>Dashboard_Live_Data!G154</f>
        <v/>
      </c>
    </row>
    <row r="156">
      <c r="A156">
        <f>Dashboard_Live_Data!D155</f>
        <v/>
      </c>
      <c r="B156">
        <f>Dashboard_Live_Data!E155</f>
        <v/>
      </c>
      <c r="C156">
        <f>Dashboard_Live_Data!D155</f>
        <v/>
      </c>
      <c r="D156">
        <f>Dashboard_Live_Data!F155</f>
        <v/>
      </c>
      <c r="E156">
        <f>Dashboard_Live_Data!D155</f>
        <v/>
      </c>
      <c r="F156">
        <f>Dashboard_Live_Data!G155</f>
        <v/>
      </c>
    </row>
    <row r="157">
      <c r="A157">
        <f>Dashboard_Live_Data!D156</f>
        <v/>
      </c>
      <c r="B157">
        <f>Dashboard_Live_Data!E156</f>
        <v/>
      </c>
      <c r="C157">
        <f>Dashboard_Live_Data!D156</f>
        <v/>
      </c>
      <c r="D157">
        <f>Dashboard_Live_Data!F156</f>
        <v/>
      </c>
      <c r="E157">
        <f>Dashboard_Live_Data!D156</f>
        <v/>
      </c>
      <c r="F157">
        <f>Dashboard_Live_Data!G156</f>
        <v/>
      </c>
    </row>
    <row r="158">
      <c r="A158">
        <f>Dashboard_Live_Data!D157</f>
        <v/>
      </c>
      <c r="B158">
        <f>Dashboard_Live_Data!E157</f>
        <v/>
      </c>
      <c r="C158">
        <f>Dashboard_Live_Data!D157</f>
        <v/>
      </c>
      <c r="D158">
        <f>Dashboard_Live_Data!F157</f>
        <v/>
      </c>
      <c r="E158">
        <f>Dashboard_Live_Data!D157</f>
        <v/>
      </c>
      <c r="F158">
        <f>Dashboard_Live_Data!G157</f>
        <v/>
      </c>
    </row>
    <row r="159">
      <c r="A159">
        <f>Dashboard_Live_Data!D158</f>
        <v/>
      </c>
      <c r="B159">
        <f>Dashboard_Live_Data!E158</f>
        <v/>
      </c>
      <c r="C159">
        <f>Dashboard_Live_Data!D158</f>
        <v/>
      </c>
      <c r="D159">
        <f>Dashboard_Live_Data!F158</f>
        <v/>
      </c>
      <c r="E159">
        <f>Dashboard_Live_Data!D158</f>
        <v/>
      </c>
      <c r="F159">
        <f>Dashboard_Live_Data!G158</f>
        <v/>
      </c>
    </row>
    <row r="160">
      <c r="A160">
        <f>Dashboard_Live_Data!D159</f>
        <v/>
      </c>
      <c r="B160">
        <f>Dashboard_Live_Data!E159</f>
        <v/>
      </c>
      <c r="C160">
        <f>Dashboard_Live_Data!D159</f>
        <v/>
      </c>
      <c r="D160">
        <f>Dashboard_Live_Data!F159</f>
        <v/>
      </c>
      <c r="E160">
        <f>Dashboard_Live_Data!D159</f>
        <v/>
      </c>
      <c r="F160">
        <f>Dashboard_Live_Data!G159</f>
        <v/>
      </c>
    </row>
    <row r="161">
      <c r="A161">
        <f>Dashboard_Live_Data!D160</f>
        <v/>
      </c>
      <c r="B161">
        <f>Dashboard_Live_Data!E160</f>
        <v/>
      </c>
      <c r="C161">
        <f>Dashboard_Live_Data!D160</f>
        <v/>
      </c>
      <c r="D161">
        <f>Dashboard_Live_Data!F160</f>
        <v/>
      </c>
      <c r="E161">
        <f>Dashboard_Live_Data!D160</f>
        <v/>
      </c>
      <c r="F161">
        <f>Dashboard_Live_Data!G160</f>
        <v/>
      </c>
    </row>
    <row r="162">
      <c r="A162">
        <f>Dashboard_Live_Data!D161</f>
        <v/>
      </c>
      <c r="B162">
        <f>Dashboard_Live_Data!E161</f>
        <v/>
      </c>
      <c r="C162">
        <f>Dashboard_Live_Data!D161</f>
        <v/>
      </c>
      <c r="D162">
        <f>Dashboard_Live_Data!F161</f>
        <v/>
      </c>
      <c r="E162">
        <f>Dashboard_Live_Data!D161</f>
        <v/>
      </c>
      <c r="F162">
        <f>Dashboard_Live_Data!G161</f>
        <v/>
      </c>
    </row>
    <row r="163">
      <c r="A163">
        <f>Dashboard_Live_Data!D162</f>
        <v/>
      </c>
      <c r="B163">
        <f>Dashboard_Live_Data!E162</f>
        <v/>
      </c>
      <c r="C163">
        <f>Dashboard_Live_Data!D162</f>
        <v/>
      </c>
      <c r="D163">
        <f>Dashboard_Live_Data!F162</f>
        <v/>
      </c>
      <c r="E163">
        <f>Dashboard_Live_Data!D162</f>
        <v/>
      </c>
      <c r="F163">
        <f>Dashboard_Live_Data!G162</f>
        <v/>
      </c>
    </row>
    <row r="164">
      <c r="A164">
        <f>Dashboard_Live_Data!D163</f>
        <v/>
      </c>
      <c r="B164">
        <f>Dashboard_Live_Data!E163</f>
        <v/>
      </c>
      <c r="C164">
        <f>Dashboard_Live_Data!D163</f>
        <v/>
      </c>
      <c r="D164">
        <f>Dashboard_Live_Data!F163</f>
        <v/>
      </c>
      <c r="E164">
        <f>Dashboard_Live_Data!D163</f>
        <v/>
      </c>
      <c r="F164">
        <f>Dashboard_Live_Data!G163</f>
        <v/>
      </c>
    </row>
    <row r="165">
      <c r="A165">
        <f>Dashboard_Live_Data!D164</f>
        <v/>
      </c>
      <c r="B165">
        <f>Dashboard_Live_Data!E164</f>
        <v/>
      </c>
      <c r="C165">
        <f>Dashboard_Live_Data!D164</f>
        <v/>
      </c>
      <c r="D165">
        <f>Dashboard_Live_Data!F164</f>
        <v/>
      </c>
      <c r="E165">
        <f>Dashboard_Live_Data!D164</f>
        <v/>
      </c>
      <c r="F165">
        <f>Dashboard_Live_Data!G164</f>
        <v/>
      </c>
    </row>
    <row r="166">
      <c r="A166">
        <f>Dashboard_Live_Data!D165</f>
        <v/>
      </c>
      <c r="B166">
        <f>Dashboard_Live_Data!E165</f>
        <v/>
      </c>
      <c r="C166">
        <f>Dashboard_Live_Data!D165</f>
        <v/>
      </c>
      <c r="D166">
        <f>Dashboard_Live_Data!F165</f>
        <v/>
      </c>
      <c r="E166">
        <f>Dashboard_Live_Data!D165</f>
        <v/>
      </c>
      <c r="F166">
        <f>Dashboard_Live_Data!G165</f>
        <v/>
      </c>
    </row>
    <row r="167">
      <c r="A167">
        <f>Dashboard_Live_Data!D166</f>
        <v/>
      </c>
      <c r="B167">
        <f>Dashboard_Live_Data!E166</f>
        <v/>
      </c>
      <c r="C167">
        <f>Dashboard_Live_Data!D166</f>
        <v/>
      </c>
      <c r="D167">
        <f>Dashboard_Live_Data!F166</f>
        <v/>
      </c>
      <c r="E167">
        <f>Dashboard_Live_Data!D166</f>
        <v/>
      </c>
      <c r="F167">
        <f>Dashboard_Live_Data!G166</f>
        <v/>
      </c>
    </row>
    <row r="168">
      <c r="A168">
        <f>Dashboard_Live_Data!D167</f>
        <v/>
      </c>
      <c r="B168">
        <f>Dashboard_Live_Data!E167</f>
        <v/>
      </c>
      <c r="C168">
        <f>Dashboard_Live_Data!D167</f>
        <v/>
      </c>
      <c r="D168">
        <f>Dashboard_Live_Data!F167</f>
        <v/>
      </c>
      <c r="E168">
        <f>Dashboard_Live_Data!D167</f>
        <v/>
      </c>
      <c r="F168">
        <f>Dashboard_Live_Data!G167</f>
        <v/>
      </c>
    </row>
    <row r="169">
      <c r="A169">
        <f>Dashboard_Live_Data!D168</f>
        <v/>
      </c>
      <c r="B169">
        <f>Dashboard_Live_Data!E168</f>
        <v/>
      </c>
      <c r="C169">
        <f>Dashboard_Live_Data!D168</f>
        <v/>
      </c>
      <c r="D169">
        <f>Dashboard_Live_Data!F168</f>
        <v/>
      </c>
      <c r="E169">
        <f>Dashboard_Live_Data!D168</f>
        <v/>
      </c>
      <c r="F169">
        <f>Dashboard_Live_Data!G168</f>
        <v/>
      </c>
    </row>
    <row r="170">
      <c r="A170">
        <f>Dashboard_Live_Data!D169</f>
        <v/>
      </c>
      <c r="B170">
        <f>Dashboard_Live_Data!E169</f>
        <v/>
      </c>
      <c r="C170">
        <f>Dashboard_Live_Data!D169</f>
        <v/>
      </c>
      <c r="D170">
        <f>Dashboard_Live_Data!F169</f>
        <v/>
      </c>
      <c r="E170">
        <f>Dashboard_Live_Data!D169</f>
        <v/>
      </c>
      <c r="F170">
        <f>Dashboard_Live_Data!G169</f>
        <v/>
      </c>
    </row>
    <row r="171">
      <c r="A171">
        <f>Dashboard_Live_Data!D170</f>
        <v/>
      </c>
      <c r="B171">
        <f>Dashboard_Live_Data!E170</f>
        <v/>
      </c>
      <c r="C171">
        <f>Dashboard_Live_Data!D170</f>
        <v/>
      </c>
      <c r="D171">
        <f>Dashboard_Live_Data!F170</f>
        <v/>
      </c>
      <c r="E171">
        <f>Dashboard_Live_Data!D170</f>
        <v/>
      </c>
      <c r="F171">
        <f>Dashboard_Live_Data!G170</f>
        <v/>
      </c>
    </row>
    <row r="172">
      <c r="A172">
        <f>Dashboard_Live_Data!D171</f>
        <v/>
      </c>
      <c r="B172">
        <f>Dashboard_Live_Data!E171</f>
        <v/>
      </c>
      <c r="C172">
        <f>Dashboard_Live_Data!D171</f>
        <v/>
      </c>
      <c r="D172">
        <f>Dashboard_Live_Data!F171</f>
        <v/>
      </c>
      <c r="E172">
        <f>Dashboard_Live_Data!D171</f>
        <v/>
      </c>
      <c r="F172">
        <f>Dashboard_Live_Data!G171</f>
        <v/>
      </c>
    </row>
    <row r="173">
      <c r="A173">
        <f>Dashboard_Live_Data!D172</f>
        <v/>
      </c>
      <c r="B173">
        <f>Dashboard_Live_Data!E172</f>
        <v/>
      </c>
      <c r="C173">
        <f>Dashboard_Live_Data!D172</f>
        <v/>
      </c>
      <c r="D173">
        <f>Dashboard_Live_Data!F172</f>
        <v/>
      </c>
      <c r="E173">
        <f>Dashboard_Live_Data!D172</f>
        <v/>
      </c>
      <c r="F173">
        <f>Dashboard_Live_Data!G172</f>
        <v/>
      </c>
    </row>
    <row r="174">
      <c r="A174">
        <f>Dashboard_Live_Data!D173</f>
        <v/>
      </c>
      <c r="B174">
        <f>Dashboard_Live_Data!E173</f>
        <v/>
      </c>
      <c r="C174">
        <f>Dashboard_Live_Data!D173</f>
        <v/>
      </c>
      <c r="D174">
        <f>Dashboard_Live_Data!F173</f>
        <v/>
      </c>
      <c r="E174">
        <f>Dashboard_Live_Data!D173</f>
        <v/>
      </c>
      <c r="F174">
        <f>Dashboard_Live_Data!G173</f>
        <v/>
      </c>
    </row>
    <row r="175">
      <c r="A175">
        <f>Dashboard_Live_Data!D174</f>
        <v/>
      </c>
      <c r="B175">
        <f>Dashboard_Live_Data!E174</f>
        <v/>
      </c>
      <c r="C175">
        <f>Dashboard_Live_Data!D174</f>
        <v/>
      </c>
      <c r="D175">
        <f>Dashboard_Live_Data!F174</f>
        <v/>
      </c>
      <c r="E175">
        <f>Dashboard_Live_Data!D174</f>
        <v/>
      </c>
      <c r="F175">
        <f>Dashboard_Live_Data!G174</f>
        <v/>
      </c>
    </row>
    <row r="176">
      <c r="A176">
        <f>Dashboard_Live_Data!D175</f>
        <v/>
      </c>
      <c r="B176">
        <f>Dashboard_Live_Data!E175</f>
        <v/>
      </c>
      <c r="C176">
        <f>Dashboard_Live_Data!D175</f>
        <v/>
      </c>
      <c r="D176">
        <f>Dashboard_Live_Data!F175</f>
        <v/>
      </c>
      <c r="E176">
        <f>Dashboard_Live_Data!D175</f>
        <v/>
      </c>
      <c r="F176">
        <f>Dashboard_Live_Data!G175</f>
        <v/>
      </c>
    </row>
    <row r="177">
      <c r="A177">
        <f>Dashboard_Live_Data!D176</f>
        <v/>
      </c>
      <c r="B177">
        <f>Dashboard_Live_Data!E176</f>
        <v/>
      </c>
      <c r="C177">
        <f>Dashboard_Live_Data!D176</f>
        <v/>
      </c>
      <c r="D177">
        <f>Dashboard_Live_Data!F176</f>
        <v/>
      </c>
      <c r="E177">
        <f>Dashboard_Live_Data!D176</f>
        <v/>
      </c>
      <c r="F177">
        <f>Dashboard_Live_Data!G176</f>
        <v/>
      </c>
    </row>
    <row r="178">
      <c r="A178">
        <f>Dashboard_Live_Data!D177</f>
        <v/>
      </c>
      <c r="B178">
        <f>Dashboard_Live_Data!E177</f>
        <v/>
      </c>
      <c r="C178">
        <f>Dashboard_Live_Data!D177</f>
        <v/>
      </c>
      <c r="D178">
        <f>Dashboard_Live_Data!F177</f>
        <v/>
      </c>
      <c r="E178">
        <f>Dashboard_Live_Data!D177</f>
        <v/>
      </c>
      <c r="F178">
        <f>Dashboard_Live_Data!G177</f>
        <v/>
      </c>
    </row>
    <row r="179">
      <c r="A179">
        <f>Dashboard_Live_Data!D178</f>
        <v/>
      </c>
      <c r="B179">
        <f>Dashboard_Live_Data!E178</f>
        <v/>
      </c>
      <c r="C179">
        <f>Dashboard_Live_Data!D178</f>
        <v/>
      </c>
      <c r="D179">
        <f>Dashboard_Live_Data!F178</f>
        <v/>
      </c>
      <c r="E179">
        <f>Dashboard_Live_Data!D178</f>
        <v/>
      </c>
      <c r="F179">
        <f>Dashboard_Live_Data!G178</f>
        <v/>
      </c>
    </row>
    <row r="180">
      <c r="A180">
        <f>Dashboard_Live_Data!D179</f>
        <v/>
      </c>
      <c r="B180">
        <f>Dashboard_Live_Data!E179</f>
        <v/>
      </c>
      <c r="C180">
        <f>Dashboard_Live_Data!D179</f>
        <v/>
      </c>
      <c r="D180">
        <f>Dashboard_Live_Data!F179</f>
        <v/>
      </c>
      <c r="E180">
        <f>Dashboard_Live_Data!D179</f>
        <v/>
      </c>
      <c r="F180">
        <f>Dashboard_Live_Data!G179</f>
        <v/>
      </c>
    </row>
    <row r="181">
      <c r="A181">
        <f>Dashboard_Live_Data!D180</f>
        <v/>
      </c>
      <c r="B181">
        <f>Dashboard_Live_Data!E180</f>
        <v/>
      </c>
      <c r="C181">
        <f>Dashboard_Live_Data!D180</f>
        <v/>
      </c>
      <c r="D181">
        <f>Dashboard_Live_Data!F180</f>
        <v/>
      </c>
      <c r="E181">
        <f>Dashboard_Live_Data!D180</f>
        <v/>
      </c>
      <c r="F181">
        <f>Dashboard_Live_Data!G180</f>
        <v/>
      </c>
    </row>
    <row r="182">
      <c r="A182">
        <f>Dashboard_Live_Data!D181</f>
        <v/>
      </c>
      <c r="B182">
        <f>Dashboard_Live_Data!E181</f>
        <v/>
      </c>
      <c r="C182">
        <f>Dashboard_Live_Data!D181</f>
        <v/>
      </c>
      <c r="D182">
        <f>Dashboard_Live_Data!F181</f>
        <v/>
      </c>
      <c r="E182">
        <f>Dashboard_Live_Data!D181</f>
        <v/>
      </c>
      <c r="F182">
        <f>Dashboard_Live_Data!G181</f>
        <v/>
      </c>
    </row>
    <row r="183">
      <c r="A183">
        <f>Dashboard_Live_Data!D182</f>
        <v/>
      </c>
      <c r="B183">
        <f>Dashboard_Live_Data!E182</f>
        <v/>
      </c>
      <c r="C183">
        <f>Dashboard_Live_Data!D182</f>
        <v/>
      </c>
      <c r="D183">
        <f>Dashboard_Live_Data!F182</f>
        <v/>
      </c>
      <c r="E183">
        <f>Dashboard_Live_Data!D182</f>
        <v/>
      </c>
      <c r="F183">
        <f>Dashboard_Live_Data!G182</f>
        <v/>
      </c>
    </row>
    <row r="184">
      <c r="A184">
        <f>Dashboard_Live_Data!D183</f>
        <v/>
      </c>
      <c r="B184">
        <f>Dashboard_Live_Data!E183</f>
        <v/>
      </c>
      <c r="C184">
        <f>Dashboard_Live_Data!D183</f>
        <v/>
      </c>
      <c r="D184">
        <f>Dashboard_Live_Data!F183</f>
        <v/>
      </c>
      <c r="E184">
        <f>Dashboard_Live_Data!D183</f>
        <v/>
      </c>
      <c r="F184">
        <f>Dashboard_Live_Data!G183</f>
        <v/>
      </c>
    </row>
    <row r="185">
      <c r="A185">
        <f>Dashboard_Live_Data!D184</f>
        <v/>
      </c>
      <c r="B185">
        <f>Dashboard_Live_Data!E184</f>
        <v/>
      </c>
      <c r="C185">
        <f>Dashboard_Live_Data!D184</f>
        <v/>
      </c>
      <c r="D185">
        <f>Dashboard_Live_Data!F184</f>
        <v/>
      </c>
      <c r="E185">
        <f>Dashboard_Live_Data!D184</f>
        <v/>
      </c>
      <c r="F185">
        <f>Dashboard_Live_Data!G184</f>
        <v/>
      </c>
    </row>
    <row r="186">
      <c r="A186">
        <f>Dashboard_Live_Data!D185</f>
        <v/>
      </c>
      <c r="B186">
        <f>Dashboard_Live_Data!E185</f>
        <v/>
      </c>
      <c r="C186">
        <f>Dashboard_Live_Data!D185</f>
        <v/>
      </c>
      <c r="D186">
        <f>Dashboard_Live_Data!F185</f>
        <v/>
      </c>
      <c r="E186">
        <f>Dashboard_Live_Data!D185</f>
        <v/>
      </c>
      <c r="F186">
        <f>Dashboard_Live_Data!G185</f>
        <v/>
      </c>
    </row>
    <row r="187">
      <c r="A187">
        <f>Dashboard_Live_Data!D186</f>
        <v/>
      </c>
      <c r="B187">
        <f>Dashboard_Live_Data!E186</f>
        <v/>
      </c>
      <c r="C187">
        <f>Dashboard_Live_Data!D186</f>
        <v/>
      </c>
      <c r="D187">
        <f>Dashboard_Live_Data!F186</f>
        <v/>
      </c>
      <c r="E187">
        <f>Dashboard_Live_Data!D186</f>
        <v/>
      </c>
      <c r="F187">
        <f>Dashboard_Live_Data!G186</f>
        <v/>
      </c>
    </row>
    <row r="188">
      <c r="A188">
        <f>Dashboard_Live_Data!D187</f>
        <v/>
      </c>
      <c r="B188">
        <f>Dashboard_Live_Data!E187</f>
        <v/>
      </c>
      <c r="C188">
        <f>Dashboard_Live_Data!D187</f>
        <v/>
      </c>
      <c r="D188">
        <f>Dashboard_Live_Data!F187</f>
        <v/>
      </c>
      <c r="E188">
        <f>Dashboard_Live_Data!D187</f>
        <v/>
      </c>
      <c r="F188">
        <f>Dashboard_Live_Data!G187</f>
        <v/>
      </c>
    </row>
    <row r="189">
      <c r="A189">
        <f>Dashboard_Live_Data!D188</f>
        <v/>
      </c>
      <c r="B189">
        <f>Dashboard_Live_Data!E188</f>
        <v/>
      </c>
      <c r="C189">
        <f>Dashboard_Live_Data!D188</f>
        <v/>
      </c>
      <c r="D189">
        <f>Dashboard_Live_Data!F188</f>
        <v/>
      </c>
      <c r="E189">
        <f>Dashboard_Live_Data!D188</f>
        <v/>
      </c>
      <c r="F189">
        <f>Dashboard_Live_Data!G188</f>
        <v/>
      </c>
    </row>
    <row r="190">
      <c r="A190">
        <f>Dashboard_Live_Data!D189</f>
        <v/>
      </c>
      <c r="B190">
        <f>Dashboard_Live_Data!E189</f>
        <v/>
      </c>
      <c r="C190">
        <f>Dashboard_Live_Data!D189</f>
        <v/>
      </c>
      <c r="D190">
        <f>Dashboard_Live_Data!F189</f>
        <v/>
      </c>
      <c r="E190">
        <f>Dashboard_Live_Data!D189</f>
        <v/>
      </c>
      <c r="F190">
        <f>Dashboard_Live_Data!G189</f>
        <v/>
      </c>
    </row>
    <row r="191">
      <c r="A191">
        <f>Dashboard_Live_Data!D190</f>
        <v/>
      </c>
      <c r="B191">
        <f>Dashboard_Live_Data!E190</f>
        <v/>
      </c>
      <c r="C191">
        <f>Dashboard_Live_Data!D190</f>
        <v/>
      </c>
      <c r="D191">
        <f>Dashboard_Live_Data!F190</f>
        <v/>
      </c>
      <c r="E191">
        <f>Dashboard_Live_Data!D190</f>
        <v/>
      </c>
      <c r="F191">
        <f>Dashboard_Live_Data!G190</f>
        <v/>
      </c>
    </row>
    <row r="192">
      <c r="A192">
        <f>Dashboard_Live_Data!D191</f>
        <v/>
      </c>
      <c r="B192">
        <f>Dashboard_Live_Data!E191</f>
        <v/>
      </c>
      <c r="C192">
        <f>Dashboard_Live_Data!D191</f>
        <v/>
      </c>
      <c r="D192">
        <f>Dashboard_Live_Data!F191</f>
        <v/>
      </c>
      <c r="E192">
        <f>Dashboard_Live_Data!D191</f>
        <v/>
      </c>
      <c r="F192">
        <f>Dashboard_Live_Data!G191</f>
        <v/>
      </c>
    </row>
    <row r="193">
      <c r="A193">
        <f>Dashboard_Live_Data!D192</f>
        <v/>
      </c>
      <c r="B193">
        <f>Dashboard_Live_Data!E192</f>
        <v/>
      </c>
      <c r="C193">
        <f>Dashboard_Live_Data!D192</f>
        <v/>
      </c>
      <c r="D193">
        <f>Dashboard_Live_Data!F192</f>
        <v/>
      </c>
      <c r="E193">
        <f>Dashboard_Live_Data!D192</f>
        <v/>
      </c>
      <c r="F193">
        <f>Dashboard_Live_Data!G192</f>
        <v/>
      </c>
    </row>
    <row r="194">
      <c r="A194">
        <f>Dashboard_Live_Data!D193</f>
        <v/>
      </c>
      <c r="B194">
        <f>Dashboard_Live_Data!E193</f>
        <v/>
      </c>
      <c r="C194">
        <f>Dashboard_Live_Data!D193</f>
        <v/>
      </c>
      <c r="D194">
        <f>Dashboard_Live_Data!F193</f>
        <v/>
      </c>
      <c r="E194">
        <f>Dashboard_Live_Data!D193</f>
        <v/>
      </c>
      <c r="F194">
        <f>Dashboard_Live_Data!G193</f>
        <v/>
      </c>
    </row>
    <row r="195">
      <c r="A195">
        <f>Dashboard_Live_Data!D194</f>
        <v/>
      </c>
      <c r="B195">
        <f>Dashboard_Live_Data!E194</f>
        <v/>
      </c>
      <c r="C195">
        <f>Dashboard_Live_Data!D194</f>
        <v/>
      </c>
      <c r="D195">
        <f>Dashboard_Live_Data!F194</f>
        <v/>
      </c>
      <c r="E195">
        <f>Dashboard_Live_Data!D194</f>
        <v/>
      </c>
      <c r="F195">
        <f>Dashboard_Live_Data!G194</f>
        <v/>
      </c>
    </row>
    <row r="196">
      <c r="A196">
        <f>Dashboard_Live_Data!D195</f>
        <v/>
      </c>
      <c r="B196">
        <f>Dashboard_Live_Data!E195</f>
        <v/>
      </c>
      <c r="C196">
        <f>Dashboard_Live_Data!D195</f>
        <v/>
      </c>
      <c r="D196">
        <f>Dashboard_Live_Data!F195</f>
        <v/>
      </c>
      <c r="E196">
        <f>Dashboard_Live_Data!D195</f>
        <v/>
      </c>
      <c r="F196">
        <f>Dashboard_Live_Data!G195</f>
        <v/>
      </c>
    </row>
    <row r="197">
      <c r="A197">
        <f>Dashboard_Live_Data!D196</f>
        <v/>
      </c>
      <c r="B197">
        <f>Dashboard_Live_Data!E196</f>
        <v/>
      </c>
      <c r="C197">
        <f>Dashboard_Live_Data!D196</f>
        <v/>
      </c>
      <c r="D197">
        <f>Dashboard_Live_Data!F196</f>
        <v/>
      </c>
      <c r="E197">
        <f>Dashboard_Live_Data!D196</f>
        <v/>
      </c>
      <c r="F197">
        <f>Dashboard_Live_Data!G196</f>
        <v/>
      </c>
    </row>
    <row r="198">
      <c r="A198">
        <f>Dashboard_Live_Data!D197</f>
        <v/>
      </c>
      <c r="B198">
        <f>Dashboard_Live_Data!E197</f>
        <v/>
      </c>
      <c r="C198">
        <f>Dashboard_Live_Data!D197</f>
        <v/>
      </c>
      <c r="D198">
        <f>Dashboard_Live_Data!F197</f>
        <v/>
      </c>
      <c r="E198">
        <f>Dashboard_Live_Data!D197</f>
        <v/>
      </c>
      <c r="F198">
        <f>Dashboard_Live_Data!G197</f>
        <v/>
      </c>
    </row>
    <row r="199">
      <c r="A199">
        <f>Dashboard_Live_Data!D198</f>
        <v/>
      </c>
      <c r="B199">
        <f>Dashboard_Live_Data!E198</f>
        <v/>
      </c>
      <c r="C199">
        <f>Dashboard_Live_Data!D198</f>
        <v/>
      </c>
      <c r="D199">
        <f>Dashboard_Live_Data!F198</f>
        <v/>
      </c>
      <c r="E199">
        <f>Dashboard_Live_Data!D198</f>
        <v/>
      </c>
      <c r="F199">
        <f>Dashboard_Live_Data!G198</f>
        <v/>
      </c>
    </row>
    <row r="200">
      <c r="A200">
        <f>Dashboard_Live_Data!D199</f>
        <v/>
      </c>
      <c r="B200">
        <f>Dashboard_Live_Data!E199</f>
        <v/>
      </c>
      <c r="C200">
        <f>Dashboard_Live_Data!D199</f>
        <v/>
      </c>
      <c r="D200">
        <f>Dashboard_Live_Data!F199</f>
        <v/>
      </c>
      <c r="E200">
        <f>Dashboard_Live_Data!D199</f>
        <v/>
      </c>
      <c r="F200">
        <f>Dashboard_Live_Data!G199</f>
        <v/>
      </c>
    </row>
    <row r="201">
      <c r="A201">
        <f>Dashboard_Live_Data!D200</f>
        <v/>
      </c>
      <c r="B201">
        <f>Dashboard_Live_Data!E200</f>
        <v/>
      </c>
      <c r="C201">
        <f>Dashboard_Live_Data!D200</f>
        <v/>
      </c>
      <c r="D201">
        <f>Dashboard_Live_Data!F200</f>
        <v/>
      </c>
      <c r="E201">
        <f>Dashboard_Live_Data!D200</f>
        <v/>
      </c>
      <c r="F201">
        <f>Dashboard_Live_Data!G200</f>
        <v/>
      </c>
    </row>
    <row r="202">
      <c r="A202">
        <f>Dashboard_Live_Data!D201</f>
        <v/>
      </c>
      <c r="B202">
        <f>Dashboard_Live_Data!E201</f>
        <v/>
      </c>
      <c r="C202">
        <f>Dashboard_Live_Data!D201</f>
        <v/>
      </c>
      <c r="D202">
        <f>Dashboard_Live_Data!F201</f>
        <v/>
      </c>
      <c r="E202">
        <f>Dashboard_Live_Data!D201</f>
        <v/>
      </c>
      <c r="F202">
        <f>Dashboard_Live_Data!G201</f>
        <v/>
      </c>
    </row>
    <row r="203">
      <c r="A203">
        <f>Dashboard_Live_Data!D202</f>
        <v/>
      </c>
      <c r="B203">
        <f>Dashboard_Live_Data!E202</f>
        <v/>
      </c>
      <c r="C203">
        <f>Dashboard_Live_Data!D202</f>
        <v/>
      </c>
      <c r="D203">
        <f>Dashboard_Live_Data!F202</f>
        <v/>
      </c>
      <c r="E203">
        <f>Dashboard_Live_Data!D202</f>
        <v/>
      </c>
      <c r="F203">
        <f>Dashboard_Live_Data!G202</f>
        <v/>
      </c>
    </row>
    <row r="204">
      <c r="A204">
        <f>Dashboard_Live_Data!D203</f>
        <v/>
      </c>
      <c r="B204">
        <f>Dashboard_Live_Data!E203</f>
        <v/>
      </c>
      <c r="C204">
        <f>Dashboard_Live_Data!D203</f>
        <v/>
      </c>
      <c r="D204">
        <f>Dashboard_Live_Data!F203</f>
        <v/>
      </c>
      <c r="E204">
        <f>Dashboard_Live_Data!D203</f>
        <v/>
      </c>
      <c r="F204">
        <f>Dashboard_Live_Data!G203</f>
        <v/>
      </c>
    </row>
    <row r="205">
      <c r="A205">
        <f>Dashboard_Live_Data!D204</f>
        <v/>
      </c>
      <c r="B205">
        <f>Dashboard_Live_Data!E204</f>
        <v/>
      </c>
      <c r="C205">
        <f>Dashboard_Live_Data!D204</f>
        <v/>
      </c>
      <c r="D205">
        <f>Dashboard_Live_Data!F204</f>
        <v/>
      </c>
      <c r="E205">
        <f>Dashboard_Live_Data!D204</f>
        <v/>
      </c>
      <c r="F205">
        <f>Dashboard_Live_Data!G204</f>
        <v/>
      </c>
    </row>
    <row r="206">
      <c r="A206">
        <f>Dashboard_Live_Data!D205</f>
        <v/>
      </c>
      <c r="B206">
        <f>Dashboard_Live_Data!E205</f>
        <v/>
      </c>
      <c r="C206">
        <f>Dashboard_Live_Data!D205</f>
        <v/>
      </c>
      <c r="D206">
        <f>Dashboard_Live_Data!F205</f>
        <v/>
      </c>
      <c r="E206">
        <f>Dashboard_Live_Data!D205</f>
        <v/>
      </c>
      <c r="F206">
        <f>Dashboard_Live_Data!G205</f>
        <v/>
      </c>
    </row>
    <row r="207">
      <c r="A207">
        <f>Dashboard_Live_Data!D206</f>
        <v/>
      </c>
      <c r="B207">
        <f>Dashboard_Live_Data!E206</f>
        <v/>
      </c>
      <c r="C207">
        <f>Dashboard_Live_Data!D206</f>
        <v/>
      </c>
      <c r="D207">
        <f>Dashboard_Live_Data!F206</f>
        <v/>
      </c>
      <c r="E207">
        <f>Dashboard_Live_Data!D206</f>
        <v/>
      </c>
      <c r="F207">
        <f>Dashboard_Live_Data!G206</f>
        <v/>
      </c>
    </row>
    <row r="208">
      <c r="A208">
        <f>Dashboard_Live_Data!D207</f>
        <v/>
      </c>
      <c r="B208">
        <f>Dashboard_Live_Data!E207</f>
        <v/>
      </c>
      <c r="C208">
        <f>Dashboard_Live_Data!D207</f>
        <v/>
      </c>
      <c r="D208">
        <f>Dashboard_Live_Data!F207</f>
        <v/>
      </c>
      <c r="E208">
        <f>Dashboard_Live_Data!D207</f>
        <v/>
      </c>
      <c r="F208">
        <f>Dashboard_Live_Data!G207</f>
        <v/>
      </c>
    </row>
    <row r="209">
      <c r="A209">
        <f>Dashboard_Live_Data!D208</f>
        <v/>
      </c>
      <c r="B209">
        <f>Dashboard_Live_Data!E208</f>
        <v/>
      </c>
      <c r="C209">
        <f>Dashboard_Live_Data!D208</f>
        <v/>
      </c>
      <c r="D209">
        <f>Dashboard_Live_Data!F208</f>
        <v/>
      </c>
      <c r="E209">
        <f>Dashboard_Live_Data!D208</f>
        <v/>
      </c>
      <c r="F209">
        <f>Dashboard_Live_Data!G208</f>
        <v/>
      </c>
    </row>
    <row r="210">
      <c r="A210">
        <f>Dashboard_Live_Data!D209</f>
        <v/>
      </c>
      <c r="B210">
        <f>Dashboard_Live_Data!E209</f>
        <v/>
      </c>
      <c r="C210">
        <f>Dashboard_Live_Data!D209</f>
        <v/>
      </c>
      <c r="D210">
        <f>Dashboard_Live_Data!F209</f>
        <v/>
      </c>
      <c r="E210">
        <f>Dashboard_Live_Data!D209</f>
        <v/>
      </c>
      <c r="F210">
        <f>Dashboard_Live_Data!G209</f>
        <v/>
      </c>
    </row>
    <row r="211">
      <c r="A211">
        <f>Dashboard_Live_Data!D210</f>
        <v/>
      </c>
      <c r="B211">
        <f>Dashboard_Live_Data!E210</f>
        <v/>
      </c>
      <c r="C211">
        <f>Dashboard_Live_Data!D210</f>
        <v/>
      </c>
      <c r="D211">
        <f>Dashboard_Live_Data!F210</f>
        <v/>
      </c>
      <c r="E211">
        <f>Dashboard_Live_Data!D210</f>
        <v/>
      </c>
      <c r="F211">
        <f>Dashboard_Live_Data!G210</f>
        <v/>
      </c>
    </row>
    <row r="212">
      <c r="A212">
        <f>Dashboard_Live_Data!D211</f>
        <v/>
      </c>
      <c r="B212">
        <f>Dashboard_Live_Data!E211</f>
        <v/>
      </c>
      <c r="C212">
        <f>Dashboard_Live_Data!D211</f>
        <v/>
      </c>
      <c r="D212">
        <f>Dashboard_Live_Data!F211</f>
        <v/>
      </c>
      <c r="E212">
        <f>Dashboard_Live_Data!D211</f>
        <v/>
      </c>
      <c r="F212">
        <f>Dashboard_Live_Data!G211</f>
        <v/>
      </c>
    </row>
    <row r="213">
      <c r="A213">
        <f>Dashboard_Live_Data!D212</f>
        <v/>
      </c>
      <c r="B213">
        <f>Dashboard_Live_Data!E212</f>
        <v/>
      </c>
      <c r="C213">
        <f>Dashboard_Live_Data!D212</f>
        <v/>
      </c>
      <c r="D213">
        <f>Dashboard_Live_Data!F212</f>
        <v/>
      </c>
      <c r="E213">
        <f>Dashboard_Live_Data!D212</f>
        <v/>
      </c>
      <c r="F213">
        <f>Dashboard_Live_Data!G212</f>
        <v/>
      </c>
    </row>
    <row r="214">
      <c r="A214">
        <f>Dashboard_Live_Data!D213</f>
        <v/>
      </c>
      <c r="B214">
        <f>Dashboard_Live_Data!E213</f>
        <v/>
      </c>
      <c r="C214">
        <f>Dashboard_Live_Data!D213</f>
        <v/>
      </c>
      <c r="D214">
        <f>Dashboard_Live_Data!F213</f>
        <v/>
      </c>
      <c r="E214">
        <f>Dashboard_Live_Data!D213</f>
        <v/>
      </c>
      <c r="F214">
        <f>Dashboard_Live_Data!G213</f>
        <v/>
      </c>
    </row>
    <row r="215">
      <c r="A215">
        <f>Dashboard_Live_Data!D214</f>
        <v/>
      </c>
      <c r="B215">
        <f>Dashboard_Live_Data!E214</f>
        <v/>
      </c>
      <c r="C215">
        <f>Dashboard_Live_Data!D214</f>
        <v/>
      </c>
      <c r="D215">
        <f>Dashboard_Live_Data!F214</f>
        <v/>
      </c>
      <c r="E215">
        <f>Dashboard_Live_Data!D214</f>
        <v/>
      </c>
      <c r="F215">
        <f>Dashboard_Live_Data!G214</f>
        <v/>
      </c>
    </row>
    <row r="216">
      <c r="A216">
        <f>Dashboard_Live_Data!D215</f>
        <v/>
      </c>
      <c r="B216">
        <f>Dashboard_Live_Data!E215</f>
        <v/>
      </c>
      <c r="C216">
        <f>Dashboard_Live_Data!D215</f>
        <v/>
      </c>
      <c r="D216">
        <f>Dashboard_Live_Data!F215</f>
        <v/>
      </c>
      <c r="E216">
        <f>Dashboard_Live_Data!D215</f>
        <v/>
      </c>
      <c r="F216">
        <f>Dashboard_Live_Data!G215</f>
        <v/>
      </c>
    </row>
    <row r="217">
      <c r="A217">
        <f>Dashboard_Live_Data!D216</f>
        <v/>
      </c>
      <c r="B217">
        <f>Dashboard_Live_Data!E216</f>
        <v/>
      </c>
      <c r="C217">
        <f>Dashboard_Live_Data!D216</f>
        <v/>
      </c>
      <c r="D217">
        <f>Dashboard_Live_Data!F216</f>
        <v/>
      </c>
      <c r="E217">
        <f>Dashboard_Live_Data!D216</f>
        <v/>
      </c>
      <c r="F217">
        <f>Dashboard_Live_Data!G216</f>
        <v/>
      </c>
    </row>
    <row r="218">
      <c r="A218">
        <f>Dashboard_Live_Data!D217</f>
        <v/>
      </c>
      <c r="B218">
        <f>Dashboard_Live_Data!E217</f>
        <v/>
      </c>
      <c r="C218">
        <f>Dashboard_Live_Data!D217</f>
        <v/>
      </c>
      <c r="D218">
        <f>Dashboard_Live_Data!F217</f>
        <v/>
      </c>
      <c r="E218">
        <f>Dashboard_Live_Data!D217</f>
        <v/>
      </c>
      <c r="F218">
        <f>Dashboard_Live_Data!G217</f>
        <v/>
      </c>
    </row>
    <row r="219">
      <c r="A219">
        <f>Dashboard_Live_Data!D218</f>
        <v/>
      </c>
      <c r="B219">
        <f>Dashboard_Live_Data!E218</f>
        <v/>
      </c>
      <c r="C219">
        <f>Dashboard_Live_Data!D218</f>
        <v/>
      </c>
      <c r="D219">
        <f>Dashboard_Live_Data!F218</f>
        <v/>
      </c>
      <c r="E219">
        <f>Dashboard_Live_Data!D218</f>
        <v/>
      </c>
      <c r="F219">
        <f>Dashboard_Live_Data!G218</f>
        <v/>
      </c>
    </row>
    <row r="220">
      <c r="A220">
        <f>Dashboard_Live_Data!D219</f>
        <v/>
      </c>
      <c r="B220">
        <f>Dashboard_Live_Data!E219</f>
        <v/>
      </c>
      <c r="C220">
        <f>Dashboard_Live_Data!D219</f>
        <v/>
      </c>
      <c r="D220">
        <f>Dashboard_Live_Data!F219</f>
        <v/>
      </c>
      <c r="E220">
        <f>Dashboard_Live_Data!D219</f>
        <v/>
      </c>
      <c r="F220">
        <f>Dashboard_Live_Data!G219</f>
        <v/>
      </c>
    </row>
    <row r="221">
      <c r="A221">
        <f>Dashboard_Live_Data!D220</f>
        <v/>
      </c>
      <c r="B221">
        <f>Dashboard_Live_Data!E220</f>
        <v/>
      </c>
      <c r="C221">
        <f>Dashboard_Live_Data!D220</f>
        <v/>
      </c>
      <c r="D221">
        <f>Dashboard_Live_Data!F220</f>
        <v/>
      </c>
      <c r="E221">
        <f>Dashboard_Live_Data!D220</f>
        <v/>
      </c>
      <c r="F221">
        <f>Dashboard_Live_Data!G220</f>
        <v/>
      </c>
    </row>
    <row r="222">
      <c r="A222">
        <f>Dashboard_Live_Data!D221</f>
        <v/>
      </c>
      <c r="B222">
        <f>Dashboard_Live_Data!E221</f>
        <v/>
      </c>
      <c r="C222">
        <f>Dashboard_Live_Data!D221</f>
        <v/>
      </c>
      <c r="D222">
        <f>Dashboard_Live_Data!F221</f>
        <v/>
      </c>
      <c r="E222">
        <f>Dashboard_Live_Data!D221</f>
        <v/>
      </c>
      <c r="F222">
        <f>Dashboard_Live_Data!G221</f>
        <v/>
      </c>
    </row>
    <row r="223">
      <c r="A223">
        <f>Dashboard_Live_Data!D222</f>
        <v/>
      </c>
      <c r="B223">
        <f>Dashboard_Live_Data!E222</f>
        <v/>
      </c>
      <c r="C223">
        <f>Dashboard_Live_Data!D222</f>
        <v/>
      </c>
      <c r="D223">
        <f>Dashboard_Live_Data!F222</f>
        <v/>
      </c>
      <c r="E223">
        <f>Dashboard_Live_Data!D222</f>
        <v/>
      </c>
      <c r="F223">
        <f>Dashboard_Live_Data!G222</f>
        <v/>
      </c>
    </row>
    <row r="224">
      <c r="A224">
        <f>Dashboard_Live_Data!D223</f>
        <v/>
      </c>
      <c r="B224">
        <f>Dashboard_Live_Data!E223</f>
        <v/>
      </c>
      <c r="C224">
        <f>Dashboard_Live_Data!D223</f>
        <v/>
      </c>
      <c r="D224">
        <f>Dashboard_Live_Data!F223</f>
        <v/>
      </c>
      <c r="E224">
        <f>Dashboard_Live_Data!D223</f>
        <v/>
      </c>
      <c r="F224">
        <f>Dashboard_Live_Data!G223</f>
        <v/>
      </c>
    </row>
    <row r="225">
      <c r="A225">
        <f>Dashboard_Live_Data!D224</f>
        <v/>
      </c>
      <c r="B225">
        <f>Dashboard_Live_Data!E224</f>
        <v/>
      </c>
      <c r="C225">
        <f>Dashboard_Live_Data!D224</f>
        <v/>
      </c>
      <c r="D225">
        <f>Dashboard_Live_Data!F224</f>
        <v/>
      </c>
      <c r="E225">
        <f>Dashboard_Live_Data!D224</f>
        <v/>
      </c>
      <c r="F225">
        <f>Dashboard_Live_Data!G224</f>
        <v/>
      </c>
    </row>
    <row r="226">
      <c r="A226">
        <f>Dashboard_Live_Data!D225</f>
        <v/>
      </c>
      <c r="B226">
        <f>Dashboard_Live_Data!E225</f>
        <v/>
      </c>
      <c r="C226">
        <f>Dashboard_Live_Data!D225</f>
        <v/>
      </c>
      <c r="D226">
        <f>Dashboard_Live_Data!F225</f>
        <v/>
      </c>
      <c r="E226">
        <f>Dashboard_Live_Data!D225</f>
        <v/>
      </c>
      <c r="F226">
        <f>Dashboard_Live_Data!G225</f>
        <v/>
      </c>
    </row>
    <row r="227">
      <c r="A227">
        <f>Dashboard_Live_Data!D226</f>
        <v/>
      </c>
      <c r="B227">
        <f>Dashboard_Live_Data!E226</f>
        <v/>
      </c>
      <c r="C227">
        <f>Dashboard_Live_Data!D226</f>
        <v/>
      </c>
      <c r="D227">
        <f>Dashboard_Live_Data!F226</f>
        <v/>
      </c>
      <c r="E227">
        <f>Dashboard_Live_Data!D226</f>
        <v/>
      </c>
      <c r="F227">
        <f>Dashboard_Live_Data!G226</f>
        <v/>
      </c>
    </row>
    <row r="228">
      <c r="A228">
        <f>Dashboard_Live_Data!D227</f>
        <v/>
      </c>
      <c r="B228">
        <f>Dashboard_Live_Data!E227</f>
        <v/>
      </c>
      <c r="C228">
        <f>Dashboard_Live_Data!D227</f>
        <v/>
      </c>
      <c r="D228">
        <f>Dashboard_Live_Data!F227</f>
        <v/>
      </c>
      <c r="E228">
        <f>Dashboard_Live_Data!D227</f>
        <v/>
      </c>
      <c r="F228">
        <f>Dashboard_Live_Data!G227</f>
        <v/>
      </c>
    </row>
    <row r="229">
      <c r="A229">
        <f>Dashboard_Live_Data!D228</f>
        <v/>
      </c>
      <c r="B229">
        <f>Dashboard_Live_Data!E228</f>
        <v/>
      </c>
      <c r="C229">
        <f>Dashboard_Live_Data!D228</f>
        <v/>
      </c>
      <c r="D229">
        <f>Dashboard_Live_Data!F228</f>
        <v/>
      </c>
      <c r="E229">
        <f>Dashboard_Live_Data!D228</f>
        <v/>
      </c>
      <c r="F229">
        <f>Dashboard_Live_Data!G228</f>
        <v/>
      </c>
    </row>
    <row r="230">
      <c r="A230">
        <f>Dashboard_Live_Data!D229</f>
        <v/>
      </c>
      <c r="B230">
        <f>Dashboard_Live_Data!E229</f>
        <v/>
      </c>
      <c r="C230">
        <f>Dashboard_Live_Data!D229</f>
        <v/>
      </c>
      <c r="D230">
        <f>Dashboard_Live_Data!F229</f>
        <v/>
      </c>
      <c r="E230">
        <f>Dashboard_Live_Data!D229</f>
        <v/>
      </c>
      <c r="F230">
        <f>Dashboard_Live_Data!G229</f>
        <v/>
      </c>
    </row>
    <row r="231">
      <c r="A231">
        <f>Dashboard_Live_Data!D230</f>
        <v/>
      </c>
      <c r="B231">
        <f>Dashboard_Live_Data!E230</f>
        <v/>
      </c>
      <c r="C231">
        <f>Dashboard_Live_Data!D230</f>
        <v/>
      </c>
      <c r="D231">
        <f>Dashboard_Live_Data!F230</f>
        <v/>
      </c>
      <c r="E231">
        <f>Dashboard_Live_Data!D230</f>
        <v/>
      </c>
      <c r="F231">
        <f>Dashboard_Live_Data!G230</f>
        <v/>
      </c>
    </row>
    <row r="232">
      <c r="A232">
        <f>Dashboard_Live_Data!D231</f>
        <v/>
      </c>
      <c r="B232">
        <f>Dashboard_Live_Data!E231</f>
        <v/>
      </c>
      <c r="C232">
        <f>Dashboard_Live_Data!D231</f>
        <v/>
      </c>
      <c r="D232">
        <f>Dashboard_Live_Data!F231</f>
        <v/>
      </c>
      <c r="E232">
        <f>Dashboard_Live_Data!D231</f>
        <v/>
      </c>
      <c r="F232">
        <f>Dashboard_Live_Data!G231</f>
        <v/>
      </c>
    </row>
    <row r="233">
      <c r="A233">
        <f>Dashboard_Live_Data!D232</f>
        <v/>
      </c>
      <c r="B233">
        <f>Dashboard_Live_Data!E232</f>
        <v/>
      </c>
      <c r="C233">
        <f>Dashboard_Live_Data!D232</f>
        <v/>
      </c>
      <c r="D233">
        <f>Dashboard_Live_Data!F232</f>
        <v/>
      </c>
      <c r="E233">
        <f>Dashboard_Live_Data!D232</f>
        <v/>
      </c>
      <c r="F233">
        <f>Dashboard_Live_Data!G232</f>
        <v/>
      </c>
    </row>
    <row r="234">
      <c r="A234">
        <f>Dashboard_Live_Data!D233</f>
        <v/>
      </c>
      <c r="B234">
        <f>Dashboard_Live_Data!E233</f>
        <v/>
      </c>
      <c r="C234">
        <f>Dashboard_Live_Data!D233</f>
        <v/>
      </c>
      <c r="D234">
        <f>Dashboard_Live_Data!F233</f>
        <v/>
      </c>
      <c r="E234">
        <f>Dashboard_Live_Data!D233</f>
        <v/>
      </c>
      <c r="F234">
        <f>Dashboard_Live_Data!G233</f>
        <v/>
      </c>
    </row>
    <row r="235">
      <c r="A235">
        <f>Dashboard_Live_Data!D234</f>
        <v/>
      </c>
      <c r="B235">
        <f>Dashboard_Live_Data!E234</f>
        <v/>
      </c>
      <c r="C235">
        <f>Dashboard_Live_Data!D234</f>
        <v/>
      </c>
      <c r="D235">
        <f>Dashboard_Live_Data!F234</f>
        <v/>
      </c>
      <c r="E235">
        <f>Dashboard_Live_Data!D234</f>
        <v/>
      </c>
      <c r="F235">
        <f>Dashboard_Live_Data!G234</f>
        <v/>
      </c>
    </row>
    <row r="236">
      <c r="A236">
        <f>Dashboard_Live_Data!D235</f>
        <v/>
      </c>
      <c r="B236">
        <f>Dashboard_Live_Data!E235</f>
        <v/>
      </c>
      <c r="C236">
        <f>Dashboard_Live_Data!D235</f>
        <v/>
      </c>
      <c r="D236">
        <f>Dashboard_Live_Data!F235</f>
        <v/>
      </c>
      <c r="E236">
        <f>Dashboard_Live_Data!D235</f>
        <v/>
      </c>
      <c r="F236">
        <f>Dashboard_Live_Data!G235</f>
        <v/>
      </c>
    </row>
    <row r="237">
      <c r="A237">
        <f>Dashboard_Live_Data!D236</f>
        <v/>
      </c>
      <c r="B237">
        <f>Dashboard_Live_Data!E236</f>
        <v/>
      </c>
      <c r="C237">
        <f>Dashboard_Live_Data!D236</f>
        <v/>
      </c>
      <c r="D237">
        <f>Dashboard_Live_Data!F236</f>
        <v/>
      </c>
      <c r="E237">
        <f>Dashboard_Live_Data!D236</f>
        <v/>
      </c>
      <c r="F237">
        <f>Dashboard_Live_Data!G236</f>
        <v/>
      </c>
    </row>
    <row r="238">
      <c r="A238">
        <f>Dashboard_Live_Data!D237</f>
        <v/>
      </c>
      <c r="B238">
        <f>Dashboard_Live_Data!E237</f>
        <v/>
      </c>
      <c r="C238">
        <f>Dashboard_Live_Data!D237</f>
        <v/>
      </c>
      <c r="D238">
        <f>Dashboard_Live_Data!F237</f>
        <v/>
      </c>
      <c r="E238">
        <f>Dashboard_Live_Data!D237</f>
        <v/>
      </c>
      <c r="F238">
        <f>Dashboard_Live_Data!G237</f>
        <v/>
      </c>
    </row>
    <row r="239">
      <c r="A239">
        <f>Dashboard_Live_Data!D238</f>
        <v/>
      </c>
      <c r="B239">
        <f>Dashboard_Live_Data!E238</f>
        <v/>
      </c>
      <c r="C239">
        <f>Dashboard_Live_Data!D238</f>
        <v/>
      </c>
      <c r="D239">
        <f>Dashboard_Live_Data!F238</f>
        <v/>
      </c>
      <c r="E239">
        <f>Dashboard_Live_Data!D238</f>
        <v/>
      </c>
      <c r="F239">
        <f>Dashboard_Live_Data!G238</f>
        <v/>
      </c>
    </row>
    <row r="240">
      <c r="A240">
        <f>Dashboard_Live_Data!D239</f>
        <v/>
      </c>
      <c r="B240">
        <f>Dashboard_Live_Data!E239</f>
        <v/>
      </c>
      <c r="C240">
        <f>Dashboard_Live_Data!D239</f>
        <v/>
      </c>
      <c r="D240">
        <f>Dashboard_Live_Data!F239</f>
        <v/>
      </c>
      <c r="E240">
        <f>Dashboard_Live_Data!D239</f>
        <v/>
      </c>
      <c r="F240">
        <f>Dashboard_Live_Data!G239</f>
        <v/>
      </c>
    </row>
    <row r="241">
      <c r="A241">
        <f>Dashboard_Live_Data!D240</f>
        <v/>
      </c>
      <c r="B241">
        <f>Dashboard_Live_Data!E240</f>
        <v/>
      </c>
      <c r="C241">
        <f>Dashboard_Live_Data!D240</f>
        <v/>
      </c>
      <c r="D241">
        <f>Dashboard_Live_Data!F240</f>
        <v/>
      </c>
      <c r="E241">
        <f>Dashboard_Live_Data!D240</f>
        <v/>
      </c>
      <c r="F241">
        <f>Dashboard_Live_Data!G240</f>
        <v/>
      </c>
    </row>
    <row r="242">
      <c r="A242">
        <f>Dashboard_Live_Data!D241</f>
        <v/>
      </c>
      <c r="B242">
        <f>Dashboard_Live_Data!E241</f>
        <v/>
      </c>
      <c r="C242">
        <f>Dashboard_Live_Data!D241</f>
        <v/>
      </c>
      <c r="D242">
        <f>Dashboard_Live_Data!F241</f>
        <v/>
      </c>
      <c r="E242">
        <f>Dashboard_Live_Data!D241</f>
        <v/>
      </c>
      <c r="F242">
        <f>Dashboard_Live_Data!G241</f>
        <v/>
      </c>
    </row>
    <row r="243">
      <c r="A243">
        <f>Dashboard_Live_Data!D242</f>
        <v/>
      </c>
      <c r="B243">
        <f>Dashboard_Live_Data!E242</f>
        <v/>
      </c>
      <c r="C243">
        <f>Dashboard_Live_Data!D242</f>
        <v/>
      </c>
      <c r="D243">
        <f>Dashboard_Live_Data!F242</f>
        <v/>
      </c>
      <c r="E243">
        <f>Dashboard_Live_Data!D242</f>
        <v/>
      </c>
      <c r="F243">
        <f>Dashboard_Live_Data!G242</f>
        <v/>
      </c>
    </row>
    <row r="246">
      <c r="A246" t="inlineStr">
        <is>
          <t>Apparent Depth: Spacecraft Motion Distortion by Run</t>
        </is>
      </c>
    </row>
    <row r="247">
      <c r="A247" t="inlineStr">
        <is>
          <t>Custom 400 km / 120 km pass x</t>
        </is>
      </c>
      <c r="B247" t="inlineStr">
        <is>
          <t>Custom 400 km / 120 km pass</t>
        </is>
      </c>
      <c r="C247" t="inlineStr">
        <is>
          <t>Paper low-altitude 35 km / 800 km pass x</t>
        </is>
      </c>
      <c r="D247" t="inlineStr">
        <is>
          <t>Paper low-altitude 35 km / 800 km pass</t>
        </is>
      </c>
      <c r="E247" t="inlineStr">
        <is>
          <t>Paper ice-ocean 35 km / 1600 km pass x</t>
        </is>
      </c>
      <c r="F247" t="inlineStr">
        <is>
          <t>Paper ice-ocean 35 km / 1600 km pass</t>
        </is>
      </c>
      <c r="G247" t="inlineStr">
        <is>
          <t>Operating 25 km / 1600 km pass x</t>
        </is>
      </c>
      <c r="H247" t="inlineStr">
        <is>
          <t>Operating 25 km / 1600 km pass</t>
        </is>
      </c>
    </row>
    <row r="248">
      <c r="A248">
        <f>Dashboard_Live_Data!I2</f>
        <v/>
      </c>
      <c r="B248">
        <f>Dashboard_Live_Data!J2</f>
        <v/>
      </c>
      <c r="C248">
        <f>Dashboard_Live_Data!I2</f>
        <v/>
      </c>
      <c r="D248">
        <f>Dashboard_Live_Data!K2</f>
        <v/>
      </c>
      <c r="E248">
        <f>Dashboard_Live_Data!I2</f>
        <v/>
      </c>
      <c r="F248">
        <f>Dashboard_Live_Data!L2</f>
        <v/>
      </c>
      <c r="G248">
        <f>Dashboard_Live_Data!I2</f>
        <v/>
      </c>
      <c r="H248">
        <f>Dashboard_Live_Data!M2</f>
        <v/>
      </c>
    </row>
    <row r="249">
      <c r="A249">
        <f>Dashboard_Live_Data!I3</f>
        <v/>
      </c>
      <c r="B249">
        <f>Dashboard_Live_Data!J3</f>
        <v/>
      </c>
      <c r="C249">
        <f>Dashboard_Live_Data!I3</f>
        <v/>
      </c>
      <c r="D249">
        <f>Dashboard_Live_Data!K3</f>
        <v/>
      </c>
      <c r="E249">
        <f>Dashboard_Live_Data!I3</f>
        <v/>
      </c>
      <c r="F249">
        <f>Dashboard_Live_Data!L3</f>
        <v/>
      </c>
      <c r="G249">
        <f>Dashboard_Live_Data!I3</f>
        <v/>
      </c>
      <c r="H249">
        <f>Dashboard_Live_Data!M3</f>
        <v/>
      </c>
    </row>
    <row r="250">
      <c r="A250">
        <f>Dashboard_Live_Data!I4</f>
        <v/>
      </c>
      <c r="B250">
        <f>Dashboard_Live_Data!J4</f>
        <v/>
      </c>
      <c r="C250">
        <f>Dashboard_Live_Data!I4</f>
        <v/>
      </c>
      <c r="D250">
        <f>Dashboard_Live_Data!K4</f>
        <v/>
      </c>
      <c r="E250">
        <f>Dashboard_Live_Data!I4</f>
        <v/>
      </c>
      <c r="F250">
        <f>Dashboard_Live_Data!L4</f>
        <v/>
      </c>
      <c r="G250">
        <f>Dashboard_Live_Data!I4</f>
        <v/>
      </c>
      <c r="H250">
        <f>Dashboard_Live_Data!M4</f>
        <v/>
      </c>
    </row>
    <row r="251">
      <c r="A251">
        <f>Dashboard_Live_Data!I5</f>
        <v/>
      </c>
      <c r="B251">
        <f>Dashboard_Live_Data!J5</f>
        <v/>
      </c>
      <c r="C251">
        <f>Dashboard_Live_Data!I5</f>
        <v/>
      </c>
      <c r="D251">
        <f>Dashboard_Live_Data!K5</f>
        <v/>
      </c>
      <c r="E251">
        <f>Dashboard_Live_Data!I5</f>
        <v/>
      </c>
      <c r="F251">
        <f>Dashboard_Live_Data!L5</f>
        <v/>
      </c>
      <c r="G251">
        <f>Dashboard_Live_Data!I5</f>
        <v/>
      </c>
      <c r="H251">
        <f>Dashboard_Live_Data!M5</f>
        <v/>
      </c>
    </row>
    <row r="252">
      <c r="A252">
        <f>Dashboard_Live_Data!I6</f>
        <v/>
      </c>
      <c r="B252">
        <f>Dashboard_Live_Data!J6</f>
        <v/>
      </c>
      <c r="C252">
        <f>Dashboard_Live_Data!I6</f>
        <v/>
      </c>
      <c r="D252">
        <f>Dashboard_Live_Data!K6</f>
        <v/>
      </c>
      <c r="E252">
        <f>Dashboard_Live_Data!I6</f>
        <v/>
      </c>
      <c r="F252">
        <f>Dashboard_Live_Data!L6</f>
        <v/>
      </c>
      <c r="G252">
        <f>Dashboard_Live_Data!I6</f>
        <v/>
      </c>
      <c r="H252">
        <f>Dashboard_Live_Data!M6</f>
        <v/>
      </c>
    </row>
    <row r="253">
      <c r="A253">
        <f>Dashboard_Live_Data!I7</f>
        <v/>
      </c>
      <c r="B253">
        <f>Dashboard_Live_Data!J7</f>
        <v/>
      </c>
      <c r="C253">
        <f>Dashboard_Live_Data!I7</f>
        <v/>
      </c>
      <c r="D253">
        <f>Dashboard_Live_Data!K7</f>
        <v/>
      </c>
      <c r="E253">
        <f>Dashboard_Live_Data!I7</f>
        <v/>
      </c>
      <c r="F253">
        <f>Dashboard_Live_Data!L7</f>
        <v/>
      </c>
      <c r="G253">
        <f>Dashboard_Live_Data!I7</f>
        <v/>
      </c>
      <c r="H253">
        <f>Dashboard_Live_Data!M7</f>
        <v/>
      </c>
    </row>
    <row r="254">
      <c r="A254">
        <f>Dashboard_Live_Data!I8</f>
        <v/>
      </c>
      <c r="B254">
        <f>Dashboard_Live_Data!J8</f>
        <v/>
      </c>
      <c r="C254">
        <f>Dashboard_Live_Data!I8</f>
        <v/>
      </c>
      <c r="D254">
        <f>Dashboard_Live_Data!K8</f>
        <v/>
      </c>
      <c r="E254">
        <f>Dashboard_Live_Data!I8</f>
        <v/>
      </c>
      <c r="F254">
        <f>Dashboard_Live_Data!L8</f>
        <v/>
      </c>
      <c r="G254">
        <f>Dashboard_Live_Data!I8</f>
        <v/>
      </c>
      <c r="H254">
        <f>Dashboard_Live_Data!M8</f>
        <v/>
      </c>
    </row>
    <row r="255">
      <c r="A255">
        <f>Dashboard_Live_Data!I9</f>
        <v/>
      </c>
      <c r="B255">
        <f>Dashboard_Live_Data!J9</f>
        <v/>
      </c>
      <c r="C255">
        <f>Dashboard_Live_Data!I9</f>
        <v/>
      </c>
      <c r="D255">
        <f>Dashboard_Live_Data!K9</f>
        <v/>
      </c>
      <c r="E255">
        <f>Dashboard_Live_Data!I9</f>
        <v/>
      </c>
      <c r="F255">
        <f>Dashboard_Live_Data!L9</f>
        <v/>
      </c>
      <c r="G255">
        <f>Dashboard_Live_Data!I9</f>
        <v/>
      </c>
      <c r="H255">
        <f>Dashboard_Live_Data!M9</f>
        <v/>
      </c>
    </row>
    <row r="256">
      <c r="A256">
        <f>Dashboard_Live_Data!I10</f>
        <v/>
      </c>
      <c r="B256">
        <f>Dashboard_Live_Data!J10</f>
        <v/>
      </c>
      <c r="C256">
        <f>Dashboard_Live_Data!I10</f>
        <v/>
      </c>
      <c r="D256">
        <f>Dashboard_Live_Data!K10</f>
        <v/>
      </c>
      <c r="E256">
        <f>Dashboard_Live_Data!I10</f>
        <v/>
      </c>
      <c r="F256">
        <f>Dashboard_Live_Data!L10</f>
        <v/>
      </c>
      <c r="G256">
        <f>Dashboard_Live_Data!I10</f>
        <v/>
      </c>
      <c r="H256">
        <f>Dashboard_Live_Data!M10</f>
        <v/>
      </c>
    </row>
    <row r="257">
      <c r="A257">
        <f>Dashboard_Live_Data!I11</f>
        <v/>
      </c>
      <c r="B257">
        <f>Dashboard_Live_Data!J11</f>
        <v/>
      </c>
      <c r="C257">
        <f>Dashboard_Live_Data!I11</f>
        <v/>
      </c>
      <c r="D257">
        <f>Dashboard_Live_Data!K11</f>
        <v/>
      </c>
      <c r="E257">
        <f>Dashboard_Live_Data!I11</f>
        <v/>
      </c>
      <c r="F257">
        <f>Dashboard_Live_Data!L11</f>
        <v/>
      </c>
      <c r="G257">
        <f>Dashboard_Live_Data!I11</f>
        <v/>
      </c>
      <c r="H257">
        <f>Dashboard_Live_Data!M11</f>
        <v/>
      </c>
    </row>
    <row r="258">
      <c r="A258">
        <f>Dashboard_Live_Data!I12</f>
        <v/>
      </c>
      <c r="B258">
        <f>Dashboard_Live_Data!J12</f>
        <v/>
      </c>
      <c r="C258">
        <f>Dashboard_Live_Data!I12</f>
        <v/>
      </c>
      <c r="D258">
        <f>Dashboard_Live_Data!K12</f>
        <v/>
      </c>
      <c r="E258">
        <f>Dashboard_Live_Data!I12</f>
        <v/>
      </c>
      <c r="F258">
        <f>Dashboard_Live_Data!L12</f>
        <v/>
      </c>
      <c r="G258">
        <f>Dashboard_Live_Data!I12</f>
        <v/>
      </c>
      <c r="H258">
        <f>Dashboard_Live_Data!M12</f>
        <v/>
      </c>
    </row>
    <row r="259">
      <c r="A259">
        <f>Dashboard_Live_Data!I13</f>
        <v/>
      </c>
      <c r="B259">
        <f>Dashboard_Live_Data!J13</f>
        <v/>
      </c>
      <c r="C259">
        <f>Dashboard_Live_Data!I13</f>
        <v/>
      </c>
      <c r="D259">
        <f>Dashboard_Live_Data!K13</f>
        <v/>
      </c>
      <c r="E259">
        <f>Dashboard_Live_Data!I13</f>
        <v/>
      </c>
      <c r="F259">
        <f>Dashboard_Live_Data!L13</f>
        <v/>
      </c>
      <c r="G259">
        <f>Dashboard_Live_Data!I13</f>
        <v/>
      </c>
      <c r="H259">
        <f>Dashboard_Live_Data!M13</f>
        <v/>
      </c>
    </row>
    <row r="260">
      <c r="A260">
        <f>Dashboard_Live_Data!I14</f>
        <v/>
      </c>
      <c r="B260">
        <f>Dashboard_Live_Data!J14</f>
        <v/>
      </c>
      <c r="C260">
        <f>Dashboard_Live_Data!I14</f>
        <v/>
      </c>
      <c r="D260">
        <f>Dashboard_Live_Data!K14</f>
        <v/>
      </c>
      <c r="E260">
        <f>Dashboard_Live_Data!I14</f>
        <v/>
      </c>
      <c r="F260">
        <f>Dashboard_Live_Data!L14</f>
        <v/>
      </c>
      <c r="G260">
        <f>Dashboard_Live_Data!I14</f>
        <v/>
      </c>
      <c r="H260">
        <f>Dashboard_Live_Data!M14</f>
        <v/>
      </c>
    </row>
    <row r="261">
      <c r="A261">
        <f>Dashboard_Live_Data!I15</f>
        <v/>
      </c>
      <c r="B261">
        <f>Dashboard_Live_Data!J15</f>
        <v/>
      </c>
      <c r="C261">
        <f>Dashboard_Live_Data!I15</f>
        <v/>
      </c>
      <c r="D261">
        <f>Dashboard_Live_Data!K15</f>
        <v/>
      </c>
      <c r="E261">
        <f>Dashboard_Live_Data!I15</f>
        <v/>
      </c>
      <c r="F261">
        <f>Dashboard_Live_Data!L15</f>
        <v/>
      </c>
      <c r="G261">
        <f>Dashboard_Live_Data!I15</f>
        <v/>
      </c>
      <c r="H261">
        <f>Dashboard_Live_Data!M15</f>
        <v/>
      </c>
    </row>
    <row r="262">
      <c r="A262">
        <f>Dashboard_Live_Data!I16</f>
        <v/>
      </c>
      <c r="B262">
        <f>Dashboard_Live_Data!J16</f>
        <v/>
      </c>
      <c r="C262">
        <f>Dashboard_Live_Data!I16</f>
        <v/>
      </c>
      <c r="D262">
        <f>Dashboard_Live_Data!K16</f>
        <v/>
      </c>
      <c r="E262">
        <f>Dashboard_Live_Data!I16</f>
        <v/>
      </c>
      <c r="F262">
        <f>Dashboard_Live_Data!L16</f>
        <v/>
      </c>
      <c r="G262">
        <f>Dashboard_Live_Data!I16</f>
        <v/>
      </c>
      <c r="H262">
        <f>Dashboard_Live_Data!M16</f>
        <v/>
      </c>
    </row>
    <row r="263">
      <c r="A263">
        <f>Dashboard_Live_Data!I17</f>
        <v/>
      </c>
      <c r="B263">
        <f>Dashboard_Live_Data!J17</f>
        <v/>
      </c>
      <c r="C263">
        <f>Dashboard_Live_Data!I17</f>
        <v/>
      </c>
      <c r="D263">
        <f>Dashboard_Live_Data!K17</f>
        <v/>
      </c>
      <c r="E263">
        <f>Dashboard_Live_Data!I17</f>
        <v/>
      </c>
      <c r="F263">
        <f>Dashboard_Live_Data!L17</f>
        <v/>
      </c>
      <c r="G263">
        <f>Dashboard_Live_Data!I17</f>
        <v/>
      </c>
      <c r="H263">
        <f>Dashboard_Live_Data!M17</f>
        <v/>
      </c>
    </row>
    <row r="264">
      <c r="A264">
        <f>Dashboard_Live_Data!I18</f>
        <v/>
      </c>
      <c r="B264">
        <f>Dashboard_Live_Data!J18</f>
        <v/>
      </c>
      <c r="C264">
        <f>Dashboard_Live_Data!I18</f>
        <v/>
      </c>
      <c r="D264">
        <f>Dashboard_Live_Data!K18</f>
        <v/>
      </c>
      <c r="E264">
        <f>Dashboard_Live_Data!I18</f>
        <v/>
      </c>
      <c r="F264">
        <f>Dashboard_Live_Data!L18</f>
        <v/>
      </c>
      <c r="G264">
        <f>Dashboard_Live_Data!I18</f>
        <v/>
      </c>
      <c r="H264">
        <f>Dashboard_Live_Data!M18</f>
        <v/>
      </c>
    </row>
    <row r="265">
      <c r="A265">
        <f>Dashboard_Live_Data!I19</f>
        <v/>
      </c>
      <c r="B265">
        <f>Dashboard_Live_Data!J19</f>
        <v/>
      </c>
      <c r="C265">
        <f>Dashboard_Live_Data!I19</f>
        <v/>
      </c>
      <c r="D265">
        <f>Dashboard_Live_Data!K19</f>
        <v/>
      </c>
      <c r="E265">
        <f>Dashboard_Live_Data!I19</f>
        <v/>
      </c>
      <c r="F265">
        <f>Dashboard_Live_Data!L19</f>
        <v/>
      </c>
      <c r="G265">
        <f>Dashboard_Live_Data!I19</f>
        <v/>
      </c>
      <c r="H265">
        <f>Dashboard_Live_Data!M19</f>
        <v/>
      </c>
    </row>
    <row r="266">
      <c r="A266">
        <f>Dashboard_Live_Data!I20</f>
        <v/>
      </c>
      <c r="B266">
        <f>Dashboard_Live_Data!J20</f>
        <v/>
      </c>
      <c r="C266">
        <f>Dashboard_Live_Data!I20</f>
        <v/>
      </c>
      <c r="D266">
        <f>Dashboard_Live_Data!K20</f>
        <v/>
      </c>
      <c r="E266">
        <f>Dashboard_Live_Data!I20</f>
        <v/>
      </c>
      <c r="F266">
        <f>Dashboard_Live_Data!L20</f>
        <v/>
      </c>
      <c r="G266">
        <f>Dashboard_Live_Data!I20</f>
        <v/>
      </c>
      <c r="H266">
        <f>Dashboard_Live_Data!M20</f>
        <v/>
      </c>
    </row>
    <row r="267">
      <c r="A267">
        <f>Dashboard_Live_Data!I21</f>
        <v/>
      </c>
      <c r="B267">
        <f>Dashboard_Live_Data!J21</f>
        <v/>
      </c>
      <c r="C267">
        <f>Dashboard_Live_Data!I21</f>
        <v/>
      </c>
      <c r="D267">
        <f>Dashboard_Live_Data!K21</f>
        <v/>
      </c>
      <c r="E267">
        <f>Dashboard_Live_Data!I21</f>
        <v/>
      </c>
      <c r="F267">
        <f>Dashboard_Live_Data!L21</f>
        <v/>
      </c>
      <c r="G267">
        <f>Dashboard_Live_Data!I21</f>
        <v/>
      </c>
      <c r="H267">
        <f>Dashboard_Live_Data!M21</f>
        <v/>
      </c>
    </row>
    <row r="268">
      <c r="A268">
        <f>Dashboard_Live_Data!I22</f>
        <v/>
      </c>
      <c r="B268">
        <f>Dashboard_Live_Data!J22</f>
        <v/>
      </c>
      <c r="C268">
        <f>Dashboard_Live_Data!I22</f>
        <v/>
      </c>
      <c r="D268">
        <f>Dashboard_Live_Data!K22</f>
        <v/>
      </c>
      <c r="E268">
        <f>Dashboard_Live_Data!I22</f>
        <v/>
      </c>
      <c r="F268">
        <f>Dashboard_Live_Data!L22</f>
        <v/>
      </c>
      <c r="G268">
        <f>Dashboard_Live_Data!I22</f>
        <v/>
      </c>
      <c r="H268">
        <f>Dashboard_Live_Data!M22</f>
        <v/>
      </c>
    </row>
    <row r="269">
      <c r="A269">
        <f>Dashboard_Live_Data!I23</f>
        <v/>
      </c>
      <c r="B269">
        <f>Dashboard_Live_Data!J23</f>
        <v/>
      </c>
      <c r="C269">
        <f>Dashboard_Live_Data!I23</f>
        <v/>
      </c>
      <c r="D269">
        <f>Dashboard_Live_Data!K23</f>
        <v/>
      </c>
      <c r="E269">
        <f>Dashboard_Live_Data!I23</f>
        <v/>
      </c>
      <c r="F269">
        <f>Dashboard_Live_Data!L23</f>
        <v/>
      </c>
      <c r="G269">
        <f>Dashboard_Live_Data!I23</f>
        <v/>
      </c>
      <c r="H269">
        <f>Dashboard_Live_Data!M23</f>
        <v/>
      </c>
    </row>
    <row r="270">
      <c r="A270">
        <f>Dashboard_Live_Data!I24</f>
        <v/>
      </c>
      <c r="B270">
        <f>Dashboard_Live_Data!J24</f>
        <v/>
      </c>
      <c r="C270">
        <f>Dashboard_Live_Data!I24</f>
        <v/>
      </c>
      <c r="D270">
        <f>Dashboard_Live_Data!K24</f>
        <v/>
      </c>
      <c r="E270">
        <f>Dashboard_Live_Data!I24</f>
        <v/>
      </c>
      <c r="F270">
        <f>Dashboard_Live_Data!L24</f>
        <v/>
      </c>
      <c r="G270">
        <f>Dashboard_Live_Data!I24</f>
        <v/>
      </c>
      <c r="H270">
        <f>Dashboard_Live_Data!M24</f>
        <v/>
      </c>
    </row>
    <row r="271">
      <c r="A271">
        <f>Dashboard_Live_Data!I25</f>
        <v/>
      </c>
      <c r="B271">
        <f>Dashboard_Live_Data!J25</f>
        <v/>
      </c>
      <c r="C271">
        <f>Dashboard_Live_Data!I25</f>
        <v/>
      </c>
      <c r="D271">
        <f>Dashboard_Live_Data!K25</f>
        <v/>
      </c>
      <c r="E271">
        <f>Dashboard_Live_Data!I25</f>
        <v/>
      </c>
      <c r="F271">
        <f>Dashboard_Live_Data!L25</f>
        <v/>
      </c>
      <c r="G271">
        <f>Dashboard_Live_Data!I25</f>
        <v/>
      </c>
      <c r="H271">
        <f>Dashboard_Live_Data!M25</f>
        <v/>
      </c>
    </row>
    <row r="272">
      <c r="A272">
        <f>Dashboard_Live_Data!I26</f>
        <v/>
      </c>
      <c r="B272">
        <f>Dashboard_Live_Data!J26</f>
        <v/>
      </c>
      <c r="C272">
        <f>Dashboard_Live_Data!I26</f>
        <v/>
      </c>
      <c r="D272">
        <f>Dashboard_Live_Data!K26</f>
        <v/>
      </c>
      <c r="E272">
        <f>Dashboard_Live_Data!I26</f>
        <v/>
      </c>
      <c r="F272">
        <f>Dashboard_Live_Data!L26</f>
        <v/>
      </c>
      <c r="G272">
        <f>Dashboard_Live_Data!I26</f>
        <v/>
      </c>
      <c r="H272">
        <f>Dashboard_Live_Data!M26</f>
        <v/>
      </c>
    </row>
    <row r="273">
      <c r="A273">
        <f>Dashboard_Live_Data!I27</f>
        <v/>
      </c>
      <c r="B273">
        <f>Dashboard_Live_Data!J27</f>
        <v/>
      </c>
      <c r="C273">
        <f>Dashboard_Live_Data!I27</f>
        <v/>
      </c>
      <c r="D273">
        <f>Dashboard_Live_Data!K27</f>
        <v/>
      </c>
      <c r="E273">
        <f>Dashboard_Live_Data!I27</f>
        <v/>
      </c>
      <c r="F273">
        <f>Dashboard_Live_Data!L27</f>
        <v/>
      </c>
      <c r="G273">
        <f>Dashboard_Live_Data!I27</f>
        <v/>
      </c>
      <c r="H273">
        <f>Dashboard_Live_Data!M27</f>
        <v/>
      </c>
    </row>
    <row r="274">
      <c r="A274">
        <f>Dashboard_Live_Data!I28</f>
        <v/>
      </c>
      <c r="B274">
        <f>Dashboard_Live_Data!J28</f>
        <v/>
      </c>
      <c r="C274">
        <f>Dashboard_Live_Data!I28</f>
        <v/>
      </c>
      <c r="D274">
        <f>Dashboard_Live_Data!K28</f>
        <v/>
      </c>
      <c r="E274">
        <f>Dashboard_Live_Data!I28</f>
        <v/>
      </c>
      <c r="F274">
        <f>Dashboard_Live_Data!L28</f>
        <v/>
      </c>
      <c r="G274">
        <f>Dashboard_Live_Data!I28</f>
        <v/>
      </c>
      <c r="H274">
        <f>Dashboard_Live_Data!M28</f>
        <v/>
      </c>
    </row>
    <row r="275">
      <c r="A275">
        <f>Dashboard_Live_Data!I29</f>
        <v/>
      </c>
      <c r="B275">
        <f>Dashboard_Live_Data!J29</f>
        <v/>
      </c>
      <c r="C275">
        <f>Dashboard_Live_Data!I29</f>
        <v/>
      </c>
      <c r="D275">
        <f>Dashboard_Live_Data!K29</f>
        <v/>
      </c>
      <c r="E275">
        <f>Dashboard_Live_Data!I29</f>
        <v/>
      </c>
      <c r="F275">
        <f>Dashboard_Live_Data!L29</f>
        <v/>
      </c>
      <c r="G275">
        <f>Dashboard_Live_Data!I29</f>
        <v/>
      </c>
      <c r="H275">
        <f>Dashboard_Live_Data!M29</f>
        <v/>
      </c>
    </row>
    <row r="276">
      <c r="A276">
        <f>Dashboard_Live_Data!I30</f>
        <v/>
      </c>
      <c r="B276">
        <f>Dashboard_Live_Data!J30</f>
        <v/>
      </c>
      <c r="C276">
        <f>Dashboard_Live_Data!I30</f>
        <v/>
      </c>
      <c r="D276">
        <f>Dashboard_Live_Data!K30</f>
        <v/>
      </c>
      <c r="E276">
        <f>Dashboard_Live_Data!I30</f>
        <v/>
      </c>
      <c r="F276">
        <f>Dashboard_Live_Data!L30</f>
        <v/>
      </c>
      <c r="G276">
        <f>Dashboard_Live_Data!I30</f>
        <v/>
      </c>
      <c r="H276">
        <f>Dashboard_Live_Data!M30</f>
        <v/>
      </c>
    </row>
    <row r="277">
      <c r="A277">
        <f>Dashboard_Live_Data!I31</f>
        <v/>
      </c>
      <c r="B277">
        <f>Dashboard_Live_Data!J31</f>
        <v/>
      </c>
      <c r="C277">
        <f>Dashboard_Live_Data!I31</f>
        <v/>
      </c>
      <c r="D277">
        <f>Dashboard_Live_Data!K31</f>
        <v/>
      </c>
      <c r="E277">
        <f>Dashboard_Live_Data!I31</f>
        <v/>
      </c>
      <c r="F277">
        <f>Dashboard_Live_Data!L31</f>
        <v/>
      </c>
      <c r="G277">
        <f>Dashboard_Live_Data!I31</f>
        <v/>
      </c>
      <c r="H277">
        <f>Dashboard_Live_Data!M31</f>
        <v/>
      </c>
    </row>
    <row r="278">
      <c r="A278">
        <f>Dashboard_Live_Data!I32</f>
        <v/>
      </c>
      <c r="B278">
        <f>Dashboard_Live_Data!J32</f>
        <v/>
      </c>
      <c r="C278">
        <f>Dashboard_Live_Data!I32</f>
        <v/>
      </c>
      <c r="D278">
        <f>Dashboard_Live_Data!K32</f>
        <v/>
      </c>
      <c r="E278">
        <f>Dashboard_Live_Data!I32</f>
        <v/>
      </c>
      <c r="F278">
        <f>Dashboard_Live_Data!L32</f>
        <v/>
      </c>
      <c r="G278">
        <f>Dashboard_Live_Data!I32</f>
        <v/>
      </c>
      <c r="H278">
        <f>Dashboard_Live_Data!M32</f>
        <v/>
      </c>
    </row>
    <row r="279">
      <c r="A279">
        <f>Dashboard_Live_Data!I33</f>
        <v/>
      </c>
      <c r="B279">
        <f>Dashboard_Live_Data!J33</f>
        <v/>
      </c>
      <c r="C279">
        <f>Dashboard_Live_Data!I33</f>
        <v/>
      </c>
      <c r="D279">
        <f>Dashboard_Live_Data!K33</f>
        <v/>
      </c>
      <c r="E279">
        <f>Dashboard_Live_Data!I33</f>
        <v/>
      </c>
      <c r="F279">
        <f>Dashboard_Live_Data!L33</f>
        <v/>
      </c>
      <c r="G279">
        <f>Dashboard_Live_Data!I33</f>
        <v/>
      </c>
      <c r="H279">
        <f>Dashboard_Live_Data!M33</f>
        <v/>
      </c>
    </row>
    <row r="280">
      <c r="A280">
        <f>Dashboard_Live_Data!I34</f>
        <v/>
      </c>
      <c r="B280">
        <f>Dashboard_Live_Data!J34</f>
        <v/>
      </c>
      <c r="C280">
        <f>Dashboard_Live_Data!I34</f>
        <v/>
      </c>
      <c r="D280">
        <f>Dashboard_Live_Data!K34</f>
        <v/>
      </c>
      <c r="E280">
        <f>Dashboard_Live_Data!I34</f>
        <v/>
      </c>
      <c r="F280">
        <f>Dashboard_Live_Data!L34</f>
        <v/>
      </c>
      <c r="G280">
        <f>Dashboard_Live_Data!I34</f>
        <v/>
      </c>
      <c r="H280">
        <f>Dashboard_Live_Data!M34</f>
        <v/>
      </c>
    </row>
    <row r="281">
      <c r="A281">
        <f>Dashboard_Live_Data!I35</f>
        <v/>
      </c>
      <c r="B281">
        <f>Dashboard_Live_Data!J35</f>
        <v/>
      </c>
      <c r="C281">
        <f>Dashboard_Live_Data!I35</f>
        <v/>
      </c>
      <c r="D281">
        <f>Dashboard_Live_Data!K35</f>
        <v/>
      </c>
      <c r="E281">
        <f>Dashboard_Live_Data!I35</f>
        <v/>
      </c>
      <c r="F281">
        <f>Dashboard_Live_Data!L35</f>
        <v/>
      </c>
      <c r="G281">
        <f>Dashboard_Live_Data!I35</f>
        <v/>
      </c>
      <c r="H281">
        <f>Dashboard_Live_Data!M35</f>
        <v/>
      </c>
    </row>
    <row r="282">
      <c r="A282">
        <f>Dashboard_Live_Data!I36</f>
        <v/>
      </c>
      <c r="B282">
        <f>Dashboard_Live_Data!J36</f>
        <v/>
      </c>
      <c r="C282">
        <f>Dashboard_Live_Data!I36</f>
        <v/>
      </c>
      <c r="D282">
        <f>Dashboard_Live_Data!K36</f>
        <v/>
      </c>
      <c r="E282">
        <f>Dashboard_Live_Data!I36</f>
        <v/>
      </c>
      <c r="F282">
        <f>Dashboard_Live_Data!L36</f>
        <v/>
      </c>
      <c r="G282">
        <f>Dashboard_Live_Data!I36</f>
        <v/>
      </c>
      <c r="H282">
        <f>Dashboard_Live_Data!M36</f>
        <v/>
      </c>
    </row>
    <row r="283">
      <c r="A283">
        <f>Dashboard_Live_Data!I37</f>
        <v/>
      </c>
      <c r="B283">
        <f>Dashboard_Live_Data!J37</f>
        <v/>
      </c>
      <c r="C283">
        <f>Dashboard_Live_Data!I37</f>
        <v/>
      </c>
      <c r="D283">
        <f>Dashboard_Live_Data!K37</f>
        <v/>
      </c>
      <c r="E283">
        <f>Dashboard_Live_Data!I37</f>
        <v/>
      </c>
      <c r="F283">
        <f>Dashboard_Live_Data!L37</f>
        <v/>
      </c>
      <c r="G283">
        <f>Dashboard_Live_Data!I37</f>
        <v/>
      </c>
      <c r="H283">
        <f>Dashboard_Live_Data!M37</f>
        <v/>
      </c>
    </row>
    <row r="284">
      <c r="A284">
        <f>Dashboard_Live_Data!I38</f>
        <v/>
      </c>
      <c r="B284">
        <f>Dashboard_Live_Data!J38</f>
        <v/>
      </c>
      <c r="C284">
        <f>Dashboard_Live_Data!I38</f>
        <v/>
      </c>
      <c r="D284">
        <f>Dashboard_Live_Data!K38</f>
        <v/>
      </c>
      <c r="E284">
        <f>Dashboard_Live_Data!I38</f>
        <v/>
      </c>
      <c r="F284">
        <f>Dashboard_Live_Data!L38</f>
        <v/>
      </c>
      <c r="G284">
        <f>Dashboard_Live_Data!I38</f>
        <v/>
      </c>
      <c r="H284">
        <f>Dashboard_Live_Data!M38</f>
        <v/>
      </c>
    </row>
    <row r="285">
      <c r="A285">
        <f>Dashboard_Live_Data!I39</f>
        <v/>
      </c>
      <c r="B285">
        <f>Dashboard_Live_Data!J39</f>
        <v/>
      </c>
      <c r="C285">
        <f>Dashboard_Live_Data!I39</f>
        <v/>
      </c>
      <c r="D285">
        <f>Dashboard_Live_Data!K39</f>
        <v/>
      </c>
      <c r="E285">
        <f>Dashboard_Live_Data!I39</f>
        <v/>
      </c>
      <c r="F285">
        <f>Dashboard_Live_Data!L39</f>
        <v/>
      </c>
      <c r="G285">
        <f>Dashboard_Live_Data!I39</f>
        <v/>
      </c>
      <c r="H285">
        <f>Dashboard_Live_Data!M39</f>
        <v/>
      </c>
    </row>
    <row r="286">
      <c r="A286">
        <f>Dashboard_Live_Data!I40</f>
        <v/>
      </c>
      <c r="B286">
        <f>Dashboard_Live_Data!J40</f>
        <v/>
      </c>
      <c r="C286">
        <f>Dashboard_Live_Data!I40</f>
        <v/>
      </c>
      <c r="D286">
        <f>Dashboard_Live_Data!K40</f>
        <v/>
      </c>
      <c r="E286">
        <f>Dashboard_Live_Data!I40</f>
        <v/>
      </c>
      <c r="F286">
        <f>Dashboard_Live_Data!L40</f>
        <v/>
      </c>
      <c r="G286">
        <f>Dashboard_Live_Data!I40</f>
        <v/>
      </c>
      <c r="H286">
        <f>Dashboard_Live_Data!M40</f>
        <v/>
      </c>
    </row>
    <row r="287">
      <c r="A287">
        <f>Dashboard_Live_Data!I41</f>
        <v/>
      </c>
      <c r="B287">
        <f>Dashboard_Live_Data!J41</f>
        <v/>
      </c>
      <c r="C287">
        <f>Dashboard_Live_Data!I41</f>
        <v/>
      </c>
      <c r="D287">
        <f>Dashboard_Live_Data!K41</f>
        <v/>
      </c>
      <c r="E287">
        <f>Dashboard_Live_Data!I41</f>
        <v/>
      </c>
      <c r="F287">
        <f>Dashboard_Live_Data!L41</f>
        <v/>
      </c>
      <c r="G287">
        <f>Dashboard_Live_Data!I41</f>
        <v/>
      </c>
      <c r="H287">
        <f>Dashboard_Live_Data!M41</f>
        <v/>
      </c>
    </row>
    <row r="288">
      <c r="A288">
        <f>Dashboard_Live_Data!I42</f>
        <v/>
      </c>
      <c r="B288">
        <f>Dashboard_Live_Data!J42</f>
        <v/>
      </c>
      <c r="C288">
        <f>Dashboard_Live_Data!I42</f>
        <v/>
      </c>
      <c r="D288">
        <f>Dashboard_Live_Data!K42</f>
        <v/>
      </c>
      <c r="E288">
        <f>Dashboard_Live_Data!I42</f>
        <v/>
      </c>
      <c r="F288">
        <f>Dashboard_Live_Data!L42</f>
        <v/>
      </c>
      <c r="G288">
        <f>Dashboard_Live_Data!I42</f>
        <v/>
      </c>
      <c r="H288">
        <f>Dashboard_Live_Data!M42</f>
        <v/>
      </c>
    </row>
    <row r="289">
      <c r="A289">
        <f>Dashboard_Live_Data!I43</f>
        <v/>
      </c>
      <c r="B289">
        <f>Dashboard_Live_Data!J43</f>
        <v/>
      </c>
      <c r="C289">
        <f>Dashboard_Live_Data!I43</f>
        <v/>
      </c>
      <c r="D289">
        <f>Dashboard_Live_Data!K43</f>
        <v/>
      </c>
      <c r="E289">
        <f>Dashboard_Live_Data!I43</f>
        <v/>
      </c>
      <c r="F289">
        <f>Dashboard_Live_Data!L43</f>
        <v/>
      </c>
      <c r="G289">
        <f>Dashboard_Live_Data!I43</f>
        <v/>
      </c>
      <c r="H289">
        <f>Dashboard_Live_Data!M43</f>
        <v/>
      </c>
    </row>
    <row r="290">
      <c r="A290">
        <f>Dashboard_Live_Data!I44</f>
        <v/>
      </c>
      <c r="B290">
        <f>Dashboard_Live_Data!J44</f>
        <v/>
      </c>
      <c r="C290">
        <f>Dashboard_Live_Data!I44</f>
        <v/>
      </c>
      <c r="D290">
        <f>Dashboard_Live_Data!K44</f>
        <v/>
      </c>
      <c r="E290">
        <f>Dashboard_Live_Data!I44</f>
        <v/>
      </c>
      <c r="F290">
        <f>Dashboard_Live_Data!L44</f>
        <v/>
      </c>
      <c r="G290">
        <f>Dashboard_Live_Data!I44</f>
        <v/>
      </c>
      <c r="H290">
        <f>Dashboard_Live_Data!M44</f>
        <v/>
      </c>
    </row>
    <row r="291">
      <c r="A291">
        <f>Dashboard_Live_Data!I45</f>
        <v/>
      </c>
      <c r="B291">
        <f>Dashboard_Live_Data!J45</f>
        <v/>
      </c>
      <c r="C291">
        <f>Dashboard_Live_Data!I45</f>
        <v/>
      </c>
      <c r="D291">
        <f>Dashboard_Live_Data!K45</f>
        <v/>
      </c>
      <c r="E291">
        <f>Dashboard_Live_Data!I45</f>
        <v/>
      </c>
      <c r="F291">
        <f>Dashboard_Live_Data!L45</f>
        <v/>
      </c>
      <c r="G291">
        <f>Dashboard_Live_Data!I45</f>
        <v/>
      </c>
      <c r="H291">
        <f>Dashboard_Live_Data!M45</f>
        <v/>
      </c>
    </row>
    <row r="292">
      <c r="A292">
        <f>Dashboard_Live_Data!I46</f>
        <v/>
      </c>
      <c r="B292">
        <f>Dashboard_Live_Data!J46</f>
        <v/>
      </c>
      <c r="C292">
        <f>Dashboard_Live_Data!I46</f>
        <v/>
      </c>
      <c r="D292">
        <f>Dashboard_Live_Data!K46</f>
        <v/>
      </c>
      <c r="E292">
        <f>Dashboard_Live_Data!I46</f>
        <v/>
      </c>
      <c r="F292">
        <f>Dashboard_Live_Data!L46</f>
        <v/>
      </c>
      <c r="G292">
        <f>Dashboard_Live_Data!I46</f>
        <v/>
      </c>
      <c r="H292">
        <f>Dashboard_Live_Data!M46</f>
        <v/>
      </c>
    </row>
    <row r="293">
      <c r="A293">
        <f>Dashboard_Live_Data!I47</f>
        <v/>
      </c>
      <c r="B293">
        <f>Dashboard_Live_Data!J47</f>
        <v/>
      </c>
      <c r="C293">
        <f>Dashboard_Live_Data!I47</f>
        <v/>
      </c>
      <c r="D293">
        <f>Dashboard_Live_Data!K47</f>
        <v/>
      </c>
      <c r="E293">
        <f>Dashboard_Live_Data!I47</f>
        <v/>
      </c>
      <c r="F293">
        <f>Dashboard_Live_Data!L47</f>
        <v/>
      </c>
      <c r="G293">
        <f>Dashboard_Live_Data!I47</f>
        <v/>
      </c>
      <c r="H293">
        <f>Dashboard_Live_Data!M47</f>
        <v/>
      </c>
    </row>
    <row r="294">
      <c r="A294">
        <f>Dashboard_Live_Data!I48</f>
        <v/>
      </c>
      <c r="B294">
        <f>Dashboard_Live_Data!J48</f>
        <v/>
      </c>
      <c r="C294">
        <f>Dashboard_Live_Data!I48</f>
        <v/>
      </c>
      <c r="D294">
        <f>Dashboard_Live_Data!K48</f>
        <v/>
      </c>
      <c r="E294">
        <f>Dashboard_Live_Data!I48</f>
        <v/>
      </c>
      <c r="F294">
        <f>Dashboard_Live_Data!L48</f>
        <v/>
      </c>
      <c r="G294">
        <f>Dashboard_Live_Data!I48</f>
        <v/>
      </c>
      <c r="H294">
        <f>Dashboard_Live_Data!M48</f>
        <v/>
      </c>
    </row>
    <row r="295">
      <c r="A295">
        <f>Dashboard_Live_Data!I49</f>
        <v/>
      </c>
      <c r="B295">
        <f>Dashboard_Live_Data!J49</f>
        <v/>
      </c>
      <c r="C295">
        <f>Dashboard_Live_Data!I49</f>
        <v/>
      </c>
      <c r="D295">
        <f>Dashboard_Live_Data!K49</f>
        <v/>
      </c>
      <c r="E295">
        <f>Dashboard_Live_Data!I49</f>
        <v/>
      </c>
      <c r="F295">
        <f>Dashboard_Live_Data!L49</f>
        <v/>
      </c>
      <c r="G295">
        <f>Dashboard_Live_Data!I49</f>
        <v/>
      </c>
      <c r="H295">
        <f>Dashboard_Live_Data!M49</f>
        <v/>
      </c>
    </row>
    <row r="296">
      <c r="A296">
        <f>Dashboard_Live_Data!I50</f>
        <v/>
      </c>
      <c r="B296">
        <f>Dashboard_Live_Data!J50</f>
        <v/>
      </c>
      <c r="C296">
        <f>Dashboard_Live_Data!I50</f>
        <v/>
      </c>
      <c r="D296">
        <f>Dashboard_Live_Data!K50</f>
        <v/>
      </c>
      <c r="E296">
        <f>Dashboard_Live_Data!I50</f>
        <v/>
      </c>
      <c r="F296">
        <f>Dashboard_Live_Data!L50</f>
        <v/>
      </c>
      <c r="G296">
        <f>Dashboard_Live_Data!I50</f>
        <v/>
      </c>
      <c r="H296">
        <f>Dashboard_Live_Data!M50</f>
        <v/>
      </c>
    </row>
    <row r="297">
      <c r="A297">
        <f>Dashboard_Live_Data!I51</f>
        <v/>
      </c>
      <c r="B297">
        <f>Dashboard_Live_Data!J51</f>
        <v/>
      </c>
      <c r="C297">
        <f>Dashboard_Live_Data!I51</f>
        <v/>
      </c>
      <c r="D297">
        <f>Dashboard_Live_Data!K51</f>
        <v/>
      </c>
      <c r="E297">
        <f>Dashboard_Live_Data!I51</f>
        <v/>
      </c>
      <c r="F297">
        <f>Dashboard_Live_Data!L51</f>
        <v/>
      </c>
      <c r="G297">
        <f>Dashboard_Live_Data!I51</f>
        <v/>
      </c>
      <c r="H297">
        <f>Dashboard_Live_Data!M51</f>
        <v/>
      </c>
    </row>
    <row r="298">
      <c r="A298">
        <f>Dashboard_Live_Data!I52</f>
        <v/>
      </c>
      <c r="B298">
        <f>Dashboard_Live_Data!J52</f>
        <v/>
      </c>
      <c r="C298">
        <f>Dashboard_Live_Data!I52</f>
        <v/>
      </c>
      <c r="D298">
        <f>Dashboard_Live_Data!K52</f>
        <v/>
      </c>
      <c r="E298">
        <f>Dashboard_Live_Data!I52</f>
        <v/>
      </c>
      <c r="F298">
        <f>Dashboard_Live_Data!L52</f>
        <v/>
      </c>
      <c r="G298">
        <f>Dashboard_Live_Data!I52</f>
        <v/>
      </c>
      <c r="H298">
        <f>Dashboard_Live_Data!M52</f>
        <v/>
      </c>
    </row>
    <row r="299">
      <c r="A299">
        <f>Dashboard_Live_Data!I53</f>
        <v/>
      </c>
      <c r="B299">
        <f>Dashboard_Live_Data!J53</f>
        <v/>
      </c>
      <c r="C299">
        <f>Dashboard_Live_Data!I53</f>
        <v/>
      </c>
      <c r="D299">
        <f>Dashboard_Live_Data!K53</f>
        <v/>
      </c>
      <c r="E299">
        <f>Dashboard_Live_Data!I53</f>
        <v/>
      </c>
      <c r="F299">
        <f>Dashboard_Live_Data!L53</f>
        <v/>
      </c>
      <c r="G299">
        <f>Dashboard_Live_Data!I53</f>
        <v/>
      </c>
      <c r="H299">
        <f>Dashboard_Live_Data!M53</f>
        <v/>
      </c>
    </row>
    <row r="300">
      <c r="A300">
        <f>Dashboard_Live_Data!I54</f>
        <v/>
      </c>
      <c r="B300">
        <f>Dashboard_Live_Data!J54</f>
        <v/>
      </c>
      <c r="C300">
        <f>Dashboard_Live_Data!I54</f>
        <v/>
      </c>
      <c r="D300">
        <f>Dashboard_Live_Data!K54</f>
        <v/>
      </c>
      <c r="E300">
        <f>Dashboard_Live_Data!I54</f>
        <v/>
      </c>
      <c r="F300">
        <f>Dashboard_Live_Data!L54</f>
        <v/>
      </c>
      <c r="G300">
        <f>Dashboard_Live_Data!I54</f>
        <v/>
      </c>
      <c r="H300">
        <f>Dashboard_Live_Data!M54</f>
        <v/>
      </c>
    </row>
    <row r="301">
      <c r="A301">
        <f>Dashboard_Live_Data!I55</f>
        <v/>
      </c>
      <c r="B301">
        <f>Dashboard_Live_Data!J55</f>
        <v/>
      </c>
      <c r="C301">
        <f>Dashboard_Live_Data!I55</f>
        <v/>
      </c>
      <c r="D301">
        <f>Dashboard_Live_Data!K55</f>
        <v/>
      </c>
      <c r="E301">
        <f>Dashboard_Live_Data!I55</f>
        <v/>
      </c>
      <c r="F301">
        <f>Dashboard_Live_Data!L55</f>
        <v/>
      </c>
      <c r="G301">
        <f>Dashboard_Live_Data!I55</f>
        <v/>
      </c>
      <c r="H301">
        <f>Dashboard_Live_Data!M55</f>
        <v/>
      </c>
    </row>
    <row r="302">
      <c r="A302">
        <f>Dashboard_Live_Data!I56</f>
        <v/>
      </c>
      <c r="B302">
        <f>Dashboard_Live_Data!J56</f>
        <v/>
      </c>
      <c r="C302">
        <f>Dashboard_Live_Data!I56</f>
        <v/>
      </c>
      <c r="D302">
        <f>Dashboard_Live_Data!K56</f>
        <v/>
      </c>
      <c r="E302">
        <f>Dashboard_Live_Data!I56</f>
        <v/>
      </c>
      <c r="F302">
        <f>Dashboard_Live_Data!L56</f>
        <v/>
      </c>
      <c r="G302">
        <f>Dashboard_Live_Data!I56</f>
        <v/>
      </c>
      <c r="H302">
        <f>Dashboard_Live_Data!M56</f>
        <v/>
      </c>
    </row>
    <row r="303">
      <c r="A303">
        <f>Dashboard_Live_Data!I57</f>
        <v/>
      </c>
      <c r="B303">
        <f>Dashboard_Live_Data!J57</f>
        <v/>
      </c>
      <c r="C303">
        <f>Dashboard_Live_Data!I57</f>
        <v/>
      </c>
      <c r="D303">
        <f>Dashboard_Live_Data!K57</f>
        <v/>
      </c>
      <c r="E303">
        <f>Dashboard_Live_Data!I57</f>
        <v/>
      </c>
      <c r="F303">
        <f>Dashboard_Live_Data!L57</f>
        <v/>
      </c>
      <c r="G303">
        <f>Dashboard_Live_Data!I57</f>
        <v/>
      </c>
      <c r="H303">
        <f>Dashboard_Live_Data!M57</f>
        <v/>
      </c>
    </row>
    <row r="304">
      <c r="A304">
        <f>Dashboard_Live_Data!I58</f>
        <v/>
      </c>
      <c r="B304">
        <f>Dashboard_Live_Data!J58</f>
        <v/>
      </c>
      <c r="C304">
        <f>Dashboard_Live_Data!I58</f>
        <v/>
      </c>
      <c r="D304">
        <f>Dashboard_Live_Data!K58</f>
        <v/>
      </c>
      <c r="E304">
        <f>Dashboard_Live_Data!I58</f>
        <v/>
      </c>
      <c r="F304">
        <f>Dashboard_Live_Data!L58</f>
        <v/>
      </c>
      <c r="G304">
        <f>Dashboard_Live_Data!I58</f>
        <v/>
      </c>
      <c r="H304">
        <f>Dashboard_Live_Data!M58</f>
        <v/>
      </c>
    </row>
    <row r="305">
      <c r="A305">
        <f>Dashboard_Live_Data!I59</f>
        <v/>
      </c>
      <c r="B305">
        <f>Dashboard_Live_Data!J59</f>
        <v/>
      </c>
      <c r="C305">
        <f>Dashboard_Live_Data!I59</f>
        <v/>
      </c>
      <c r="D305">
        <f>Dashboard_Live_Data!K59</f>
        <v/>
      </c>
      <c r="E305">
        <f>Dashboard_Live_Data!I59</f>
        <v/>
      </c>
      <c r="F305">
        <f>Dashboard_Live_Data!L59</f>
        <v/>
      </c>
      <c r="G305">
        <f>Dashboard_Live_Data!I59</f>
        <v/>
      </c>
      <c r="H305">
        <f>Dashboard_Live_Data!M59</f>
        <v/>
      </c>
    </row>
    <row r="306">
      <c r="A306">
        <f>Dashboard_Live_Data!I60</f>
        <v/>
      </c>
      <c r="B306">
        <f>Dashboard_Live_Data!J60</f>
        <v/>
      </c>
      <c r="C306">
        <f>Dashboard_Live_Data!I60</f>
        <v/>
      </c>
      <c r="D306">
        <f>Dashboard_Live_Data!K60</f>
        <v/>
      </c>
      <c r="E306">
        <f>Dashboard_Live_Data!I60</f>
        <v/>
      </c>
      <c r="F306">
        <f>Dashboard_Live_Data!L60</f>
        <v/>
      </c>
      <c r="G306">
        <f>Dashboard_Live_Data!I60</f>
        <v/>
      </c>
      <c r="H306">
        <f>Dashboard_Live_Data!M60</f>
        <v/>
      </c>
    </row>
    <row r="307">
      <c r="A307">
        <f>Dashboard_Live_Data!I61</f>
        <v/>
      </c>
      <c r="B307">
        <f>Dashboard_Live_Data!J61</f>
        <v/>
      </c>
      <c r="C307">
        <f>Dashboard_Live_Data!I61</f>
        <v/>
      </c>
      <c r="D307">
        <f>Dashboard_Live_Data!K61</f>
        <v/>
      </c>
      <c r="E307">
        <f>Dashboard_Live_Data!I61</f>
        <v/>
      </c>
      <c r="F307">
        <f>Dashboard_Live_Data!L61</f>
        <v/>
      </c>
      <c r="G307">
        <f>Dashboard_Live_Data!I61</f>
        <v/>
      </c>
      <c r="H307">
        <f>Dashboard_Live_Data!M61</f>
        <v/>
      </c>
    </row>
    <row r="308">
      <c r="A308">
        <f>Dashboard_Live_Data!I62</f>
        <v/>
      </c>
      <c r="B308">
        <f>Dashboard_Live_Data!J62</f>
        <v/>
      </c>
      <c r="C308">
        <f>Dashboard_Live_Data!I62</f>
        <v/>
      </c>
      <c r="D308">
        <f>Dashboard_Live_Data!K62</f>
        <v/>
      </c>
      <c r="E308">
        <f>Dashboard_Live_Data!I62</f>
        <v/>
      </c>
      <c r="F308">
        <f>Dashboard_Live_Data!L62</f>
        <v/>
      </c>
      <c r="G308">
        <f>Dashboard_Live_Data!I62</f>
        <v/>
      </c>
      <c r="H308">
        <f>Dashboard_Live_Data!M62</f>
        <v/>
      </c>
    </row>
    <row r="309">
      <c r="A309">
        <f>Dashboard_Live_Data!I63</f>
        <v/>
      </c>
      <c r="B309">
        <f>Dashboard_Live_Data!J63</f>
        <v/>
      </c>
      <c r="C309">
        <f>Dashboard_Live_Data!I63</f>
        <v/>
      </c>
      <c r="D309">
        <f>Dashboard_Live_Data!K63</f>
        <v/>
      </c>
      <c r="E309">
        <f>Dashboard_Live_Data!I63</f>
        <v/>
      </c>
      <c r="F309">
        <f>Dashboard_Live_Data!L63</f>
        <v/>
      </c>
      <c r="G309">
        <f>Dashboard_Live_Data!I63</f>
        <v/>
      </c>
      <c r="H309">
        <f>Dashboard_Live_Data!M63</f>
        <v/>
      </c>
    </row>
    <row r="310">
      <c r="A310">
        <f>Dashboard_Live_Data!I64</f>
        <v/>
      </c>
      <c r="B310">
        <f>Dashboard_Live_Data!J64</f>
        <v/>
      </c>
      <c r="C310">
        <f>Dashboard_Live_Data!I64</f>
        <v/>
      </c>
      <c r="D310">
        <f>Dashboard_Live_Data!K64</f>
        <v/>
      </c>
      <c r="E310">
        <f>Dashboard_Live_Data!I64</f>
        <v/>
      </c>
      <c r="F310">
        <f>Dashboard_Live_Data!L64</f>
        <v/>
      </c>
      <c r="G310">
        <f>Dashboard_Live_Data!I64</f>
        <v/>
      </c>
      <c r="H310">
        <f>Dashboard_Live_Data!M64</f>
        <v/>
      </c>
    </row>
    <row r="311">
      <c r="A311">
        <f>Dashboard_Live_Data!I65</f>
        <v/>
      </c>
      <c r="B311">
        <f>Dashboard_Live_Data!J65</f>
        <v/>
      </c>
      <c r="C311">
        <f>Dashboard_Live_Data!I65</f>
        <v/>
      </c>
      <c r="D311">
        <f>Dashboard_Live_Data!K65</f>
        <v/>
      </c>
      <c r="E311">
        <f>Dashboard_Live_Data!I65</f>
        <v/>
      </c>
      <c r="F311">
        <f>Dashboard_Live_Data!L65</f>
        <v/>
      </c>
      <c r="G311">
        <f>Dashboard_Live_Data!I65</f>
        <v/>
      </c>
      <c r="H311">
        <f>Dashboard_Live_Data!M65</f>
        <v/>
      </c>
    </row>
    <row r="312">
      <c r="A312">
        <f>Dashboard_Live_Data!I66</f>
        <v/>
      </c>
      <c r="B312">
        <f>Dashboard_Live_Data!J66</f>
        <v/>
      </c>
      <c r="C312">
        <f>Dashboard_Live_Data!I66</f>
        <v/>
      </c>
      <c r="D312">
        <f>Dashboard_Live_Data!K66</f>
        <v/>
      </c>
      <c r="E312">
        <f>Dashboard_Live_Data!I66</f>
        <v/>
      </c>
      <c r="F312">
        <f>Dashboard_Live_Data!L66</f>
        <v/>
      </c>
      <c r="G312">
        <f>Dashboard_Live_Data!I66</f>
        <v/>
      </c>
      <c r="H312">
        <f>Dashboard_Live_Data!M66</f>
        <v/>
      </c>
    </row>
    <row r="313">
      <c r="A313">
        <f>Dashboard_Live_Data!I67</f>
        <v/>
      </c>
      <c r="B313">
        <f>Dashboard_Live_Data!J67</f>
        <v/>
      </c>
      <c r="C313">
        <f>Dashboard_Live_Data!I67</f>
        <v/>
      </c>
      <c r="D313">
        <f>Dashboard_Live_Data!K67</f>
        <v/>
      </c>
      <c r="E313">
        <f>Dashboard_Live_Data!I67</f>
        <v/>
      </c>
      <c r="F313">
        <f>Dashboard_Live_Data!L67</f>
        <v/>
      </c>
      <c r="G313">
        <f>Dashboard_Live_Data!I67</f>
        <v/>
      </c>
      <c r="H313">
        <f>Dashboard_Live_Data!M67</f>
        <v/>
      </c>
    </row>
    <row r="314">
      <c r="A314">
        <f>Dashboard_Live_Data!I68</f>
        <v/>
      </c>
      <c r="B314">
        <f>Dashboard_Live_Data!J68</f>
        <v/>
      </c>
      <c r="C314">
        <f>Dashboard_Live_Data!I68</f>
        <v/>
      </c>
      <c r="D314">
        <f>Dashboard_Live_Data!K68</f>
        <v/>
      </c>
      <c r="E314">
        <f>Dashboard_Live_Data!I68</f>
        <v/>
      </c>
      <c r="F314">
        <f>Dashboard_Live_Data!L68</f>
        <v/>
      </c>
      <c r="G314">
        <f>Dashboard_Live_Data!I68</f>
        <v/>
      </c>
      <c r="H314">
        <f>Dashboard_Live_Data!M68</f>
        <v/>
      </c>
    </row>
    <row r="315">
      <c r="A315">
        <f>Dashboard_Live_Data!I69</f>
        <v/>
      </c>
      <c r="B315">
        <f>Dashboard_Live_Data!J69</f>
        <v/>
      </c>
      <c r="C315">
        <f>Dashboard_Live_Data!I69</f>
        <v/>
      </c>
      <c r="D315">
        <f>Dashboard_Live_Data!K69</f>
        <v/>
      </c>
      <c r="E315">
        <f>Dashboard_Live_Data!I69</f>
        <v/>
      </c>
      <c r="F315">
        <f>Dashboard_Live_Data!L69</f>
        <v/>
      </c>
      <c r="G315">
        <f>Dashboard_Live_Data!I69</f>
        <v/>
      </c>
      <c r="H315">
        <f>Dashboard_Live_Data!M69</f>
        <v/>
      </c>
    </row>
    <row r="316">
      <c r="A316">
        <f>Dashboard_Live_Data!I70</f>
        <v/>
      </c>
      <c r="B316">
        <f>Dashboard_Live_Data!J70</f>
        <v/>
      </c>
      <c r="C316">
        <f>Dashboard_Live_Data!I70</f>
        <v/>
      </c>
      <c r="D316">
        <f>Dashboard_Live_Data!K70</f>
        <v/>
      </c>
      <c r="E316">
        <f>Dashboard_Live_Data!I70</f>
        <v/>
      </c>
      <c r="F316">
        <f>Dashboard_Live_Data!L70</f>
        <v/>
      </c>
      <c r="G316">
        <f>Dashboard_Live_Data!I70</f>
        <v/>
      </c>
      <c r="H316">
        <f>Dashboard_Live_Data!M70</f>
        <v/>
      </c>
    </row>
    <row r="317">
      <c r="A317">
        <f>Dashboard_Live_Data!I71</f>
        <v/>
      </c>
      <c r="B317">
        <f>Dashboard_Live_Data!J71</f>
        <v/>
      </c>
      <c r="C317">
        <f>Dashboard_Live_Data!I71</f>
        <v/>
      </c>
      <c r="D317">
        <f>Dashboard_Live_Data!K71</f>
        <v/>
      </c>
      <c r="E317">
        <f>Dashboard_Live_Data!I71</f>
        <v/>
      </c>
      <c r="F317">
        <f>Dashboard_Live_Data!L71</f>
        <v/>
      </c>
      <c r="G317">
        <f>Dashboard_Live_Data!I71</f>
        <v/>
      </c>
      <c r="H317">
        <f>Dashboard_Live_Data!M71</f>
        <v/>
      </c>
    </row>
    <row r="318">
      <c r="A318">
        <f>Dashboard_Live_Data!I72</f>
        <v/>
      </c>
      <c r="B318">
        <f>Dashboard_Live_Data!J72</f>
        <v/>
      </c>
      <c r="C318">
        <f>Dashboard_Live_Data!I72</f>
        <v/>
      </c>
      <c r="D318">
        <f>Dashboard_Live_Data!K72</f>
        <v/>
      </c>
      <c r="E318">
        <f>Dashboard_Live_Data!I72</f>
        <v/>
      </c>
      <c r="F318">
        <f>Dashboard_Live_Data!L72</f>
        <v/>
      </c>
      <c r="G318">
        <f>Dashboard_Live_Data!I72</f>
        <v/>
      </c>
      <c r="H318">
        <f>Dashboard_Live_Data!M72</f>
        <v/>
      </c>
    </row>
    <row r="319">
      <c r="A319">
        <f>Dashboard_Live_Data!I73</f>
        <v/>
      </c>
      <c r="B319">
        <f>Dashboard_Live_Data!J73</f>
        <v/>
      </c>
      <c r="C319">
        <f>Dashboard_Live_Data!I73</f>
        <v/>
      </c>
      <c r="D319">
        <f>Dashboard_Live_Data!K73</f>
        <v/>
      </c>
      <c r="E319">
        <f>Dashboard_Live_Data!I73</f>
        <v/>
      </c>
      <c r="F319">
        <f>Dashboard_Live_Data!L73</f>
        <v/>
      </c>
      <c r="G319">
        <f>Dashboard_Live_Data!I73</f>
        <v/>
      </c>
      <c r="H319">
        <f>Dashboard_Live_Data!M73</f>
        <v/>
      </c>
    </row>
    <row r="320">
      <c r="A320">
        <f>Dashboard_Live_Data!I74</f>
        <v/>
      </c>
      <c r="B320">
        <f>Dashboard_Live_Data!J74</f>
        <v/>
      </c>
      <c r="C320">
        <f>Dashboard_Live_Data!I74</f>
        <v/>
      </c>
      <c r="D320">
        <f>Dashboard_Live_Data!K74</f>
        <v/>
      </c>
      <c r="E320">
        <f>Dashboard_Live_Data!I74</f>
        <v/>
      </c>
      <c r="F320">
        <f>Dashboard_Live_Data!L74</f>
        <v/>
      </c>
      <c r="G320">
        <f>Dashboard_Live_Data!I74</f>
        <v/>
      </c>
      <c r="H320">
        <f>Dashboard_Live_Data!M74</f>
        <v/>
      </c>
    </row>
    <row r="321">
      <c r="A321">
        <f>Dashboard_Live_Data!I75</f>
        <v/>
      </c>
      <c r="B321">
        <f>Dashboard_Live_Data!J75</f>
        <v/>
      </c>
      <c r="C321">
        <f>Dashboard_Live_Data!I75</f>
        <v/>
      </c>
      <c r="D321">
        <f>Dashboard_Live_Data!K75</f>
        <v/>
      </c>
      <c r="E321">
        <f>Dashboard_Live_Data!I75</f>
        <v/>
      </c>
      <c r="F321">
        <f>Dashboard_Live_Data!L75</f>
        <v/>
      </c>
      <c r="G321">
        <f>Dashboard_Live_Data!I75</f>
        <v/>
      </c>
      <c r="H321">
        <f>Dashboard_Live_Data!M75</f>
        <v/>
      </c>
    </row>
    <row r="322">
      <c r="A322">
        <f>Dashboard_Live_Data!I76</f>
        <v/>
      </c>
      <c r="B322">
        <f>Dashboard_Live_Data!J76</f>
        <v/>
      </c>
      <c r="C322">
        <f>Dashboard_Live_Data!I76</f>
        <v/>
      </c>
      <c r="D322">
        <f>Dashboard_Live_Data!K76</f>
        <v/>
      </c>
      <c r="E322">
        <f>Dashboard_Live_Data!I76</f>
        <v/>
      </c>
      <c r="F322">
        <f>Dashboard_Live_Data!L76</f>
        <v/>
      </c>
      <c r="G322">
        <f>Dashboard_Live_Data!I76</f>
        <v/>
      </c>
      <c r="H322">
        <f>Dashboard_Live_Data!M76</f>
        <v/>
      </c>
    </row>
    <row r="323">
      <c r="A323">
        <f>Dashboard_Live_Data!I77</f>
        <v/>
      </c>
      <c r="B323">
        <f>Dashboard_Live_Data!J77</f>
        <v/>
      </c>
      <c r="C323">
        <f>Dashboard_Live_Data!I77</f>
        <v/>
      </c>
      <c r="D323">
        <f>Dashboard_Live_Data!K77</f>
        <v/>
      </c>
      <c r="E323">
        <f>Dashboard_Live_Data!I77</f>
        <v/>
      </c>
      <c r="F323">
        <f>Dashboard_Live_Data!L77</f>
        <v/>
      </c>
      <c r="G323">
        <f>Dashboard_Live_Data!I77</f>
        <v/>
      </c>
      <c r="H323">
        <f>Dashboard_Live_Data!M77</f>
        <v/>
      </c>
    </row>
    <row r="324">
      <c r="A324">
        <f>Dashboard_Live_Data!I78</f>
        <v/>
      </c>
      <c r="B324">
        <f>Dashboard_Live_Data!J78</f>
        <v/>
      </c>
      <c r="C324">
        <f>Dashboard_Live_Data!I78</f>
        <v/>
      </c>
      <c r="D324">
        <f>Dashboard_Live_Data!K78</f>
        <v/>
      </c>
      <c r="E324">
        <f>Dashboard_Live_Data!I78</f>
        <v/>
      </c>
      <c r="F324">
        <f>Dashboard_Live_Data!L78</f>
        <v/>
      </c>
      <c r="G324">
        <f>Dashboard_Live_Data!I78</f>
        <v/>
      </c>
      <c r="H324">
        <f>Dashboard_Live_Data!M78</f>
        <v/>
      </c>
    </row>
    <row r="325">
      <c r="A325">
        <f>Dashboard_Live_Data!I79</f>
        <v/>
      </c>
      <c r="B325">
        <f>Dashboard_Live_Data!J79</f>
        <v/>
      </c>
      <c r="C325">
        <f>Dashboard_Live_Data!I79</f>
        <v/>
      </c>
      <c r="D325">
        <f>Dashboard_Live_Data!K79</f>
        <v/>
      </c>
      <c r="E325">
        <f>Dashboard_Live_Data!I79</f>
        <v/>
      </c>
      <c r="F325">
        <f>Dashboard_Live_Data!L79</f>
        <v/>
      </c>
      <c r="G325">
        <f>Dashboard_Live_Data!I79</f>
        <v/>
      </c>
      <c r="H325">
        <f>Dashboard_Live_Data!M79</f>
        <v/>
      </c>
    </row>
    <row r="326">
      <c r="A326">
        <f>Dashboard_Live_Data!I80</f>
        <v/>
      </c>
      <c r="B326">
        <f>Dashboard_Live_Data!J80</f>
        <v/>
      </c>
      <c r="C326">
        <f>Dashboard_Live_Data!I80</f>
        <v/>
      </c>
      <c r="D326">
        <f>Dashboard_Live_Data!K80</f>
        <v/>
      </c>
      <c r="E326">
        <f>Dashboard_Live_Data!I80</f>
        <v/>
      </c>
      <c r="F326">
        <f>Dashboard_Live_Data!L80</f>
        <v/>
      </c>
      <c r="G326">
        <f>Dashboard_Live_Data!I80</f>
        <v/>
      </c>
      <c r="H326">
        <f>Dashboard_Live_Data!M80</f>
        <v/>
      </c>
    </row>
    <row r="327">
      <c r="A327">
        <f>Dashboard_Live_Data!I81</f>
        <v/>
      </c>
      <c r="B327">
        <f>Dashboard_Live_Data!J81</f>
        <v/>
      </c>
      <c r="C327">
        <f>Dashboard_Live_Data!I81</f>
        <v/>
      </c>
      <c r="D327">
        <f>Dashboard_Live_Data!K81</f>
        <v/>
      </c>
      <c r="E327">
        <f>Dashboard_Live_Data!I81</f>
        <v/>
      </c>
      <c r="F327">
        <f>Dashboard_Live_Data!L81</f>
        <v/>
      </c>
      <c r="G327">
        <f>Dashboard_Live_Data!I81</f>
        <v/>
      </c>
      <c r="H327">
        <f>Dashboard_Live_Data!M81</f>
        <v/>
      </c>
    </row>
    <row r="328">
      <c r="A328">
        <f>Dashboard_Live_Data!I82</f>
        <v/>
      </c>
      <c r="B328">
        <f>Dashboard_Live_Data!J82</f>
        <v/>
      </c>
      <c r="C328">
        <f>Dashboard_Live_Data!I82</f>
        <v/>
      </c>
      <c r="D328">
        <f>Dashboard_Live_Data!K82</f>
        <v/>
      </c>
      <c r="E328">
        <f>Dashboard_Live_Data!I82</f>
        <v/>
      </c>
      <c r="F328">
        <f>Dashboard_Live_Data!L82</f>
        <v/>
      </c>
      <c r="G328">
        <f>Dashboard_Live_Data!I82</f>
        <v/>
      </c>
      <c r="H328">
        <f>Dashboard_Live_Data!M82</f>
        <v/>
      </c>
    </row>
    <row r="329">
      <c r="A329">
        <f>Dashboard_Live_Data!I83</f>
        <v/>
      </c>
      <c r="B329">
        <f>Dashboard_Live_Data!J83</f>
        <v/>
      </c>
      <c r="C329">
        <f>Dashboard_Live_Data!I83</f>
        <v/>
      </c>
      <c r="D329">
        <f>Dashboard_Live_Data!K83</f>
        <v/>
      </c>
      <c r="E329">
        <f>Dashboard_Live_Data!I83</f>
        <v/>
      </c>
      <c r="F329">
        <f>Dashboard_Live_Data!L83</f>
        <v/>
      </c>
      <c r="G329">
        <f>Dashboard_Live_Data!I83</f>
        <v/>
      </c>
      <c r="H329">
        <f>Dashboard_Live_Data!M83</f>
        <v/>
      </c>
    </row>
    <row r="330">
      <c r="A330">
        <f>Dashboard_Live_Data!I84</f>
        <v/>
      </c>
      <c r="B330">
        <f>Dashboard_Live_Data!J84</f>
        <v/>
      </c>
      <c r="C330">
        <f>Dashboard_Live_Data!I84</f>
        <v/>
      </c>
      <c r="D330">
        <f>Dashboard_Live_Data!K84</f>
        <v/>
      </c>
      <c r="E330">
        <f>Dashboard_Live_Data!I84</f>
        <v/>
      </c>
      <c r="F330">
        <f>Dashboard_Live_Data!L84</f>
        <v/>
      </c>
      <c r="G330">
        <f>Dashboard_Live_Data!I84</f>
        <v/>
      </c>
      <c r="H330">
        <f>Dashboard_Live_Data!M84</f>
        <v/>
      </c>
    </row>
    <row r="331">
      <c r="A331">
        <f>Dashboard_Live_Data!I85</f>
        <v/>
      </c>
      <c r="B331">
        <f>Dashboard_Live_Data!J85</f>
        <v/>
      </c>
      <c r="C331">
        <f>Dashboard_Live_Data!I85</f>
        <v/>
      </c>
      <c r="D331">
        <f>Dashboard_Live_Data!K85</f>
        <v/>
      </c>
      <c r="E331">
        <f>Dashboard_Live_Data!I85</f>
        <v/>
      </c>
      <c r="F331">
        <f>Dashboard_Live_Data!L85</f>
        <v/>
      </c>
      <c r="G331">
        <f>Dashboard_Live_Data!I85</f>
        <v/>
      </c>
      <c r="H331">
        <f>Dashboard_Live_Data!M85</f>
        <v/>
      </c>
    </row>
    <row r="332">
      <c r="A332">
        <f>Dashboard_Live_Data!I86</f>
        <v/>
      </c>
      <c r="B332">
        <f>Dashboard_Live_Data!J86</f>
        <v/>
      </c>
      <c r="C332">
        <f>Dashboard_Live_Data!I86</f>
        <v/>
      </c>
      <c r="D332">
        <f>Dashboard_Live_Data!K86</f>
        <v/>
      </c>
      <c r="E332">
        <f>Dashboard_Live_Data!I86</f>
        <v/>
      </c>
      <c r="F332">
        <f>Dashboard_Live_Data!L86</f>
        <v/>
      </c>
      <c r="G332">
        <f>Dashboard_Live_Data!I86</f>
        <v/>
      </c>
      <c r="H332">
        <f>Dashboard_Live_Data!M86</f>
        <v/>
      </c>
    </row>
    <row r="333">
      <c r="A333">
        <f>Dashboard_Live_Data!I87</f>
        <v/>
      </c>
      <c r="B333">
        <f>Dashboard_Live_Data!J87</f>
        <v/>
      </c>
      <c r="C333">
        <f>Dashboard_Live_Data!I87</f>
        <v/>
      </c>
      <c r="D333">
        <f>Dashboard_Live_Data!K87</f>
        <v/>
      </c>
      <c r="E333">
        <f>Dashboard_Live_Data!I87</f>
        <v/>
      </c>
      <c r="F333">
        <f>Dashboard_Live_Data!L87</f>
        <v/>
      </c>
      <c r="G333">
        <f>Dashboard_Live_Data!I87</f>
        <v/>
      </c>
      <c r="H333">
        <f>Dashboard_Live_Data!M87</f>
        <v/>
      </c>
    </row>
    <row r="334">
      <c r="A334">
        <f>Dashboard_Live_Data!I88</f>
        <v/>
      </c>
      <c r="B334">
        <f>Dashboard_Live_Data!J88</f>
        <v/>
      </c>
      <c r="C334">
        <f>Dashboard_Live_Data!I88</f>
        <v/>
      </c>
      <c r="D334">
        <f>Dashboard_Live_Data!K88</f>
        <v/>
      </c>
      <c r="E334">
        <f>Dashboard_Live_Data!I88</f>
        <v/>
      </c>
      <c r="F334">
        <f>Dashboard_Live_Data!L88</f>
        <v/>
      </c>
      <c r="G334">
        <f>Dashboard_Live_Data!I88</f>
        <v/>
      </c>
      <c r="H334">
        <f>Dashboard_Live_Data!M88</f>
        <v/>
      </c>
    </row>
    <row r="335">
      <c r="A335">
        <f>Dashboard_Live_Data!I89</f>
        <v/>
      </c>
      <c r="B335">
        <f>Dashboard_Live_Data!J89</f>
        <v/>
      </c>
      <c r="C335">
        <f>Dashboard_Live_Data!I89</f>
        <v/>
      </c>
      <c r="D335">
        <f>Dashboard_Live_Data!K89</f>
        <v/>
      </c>
      <c r="E335">
        <f>Dashboard_Live_Data!I89</f>
        <v/>
      </c>
      <c r="F335">
        <f>Dashboard_Live_Data!L89</f>
        <v/>
      </c>
      <c r="G335">
        <f>Dashboard_Live_Data!I89</f>
        <v/>
      </c>
      <c r="H335">
        <f>Dashboard_Live_Data!M89</f>
        <v/>
      </c>
    </row>
    <row r="336">
      <c r="A336">
        <f>Dashboard_Live_Data!I90</f>
        <v/>
      </c>
      <c r="B336">
        <f>Dashboard_Live_Data!J90</f>
        <v/>
      </c>
      <c r="C336">
        <f>Dashboard_Live_Data!I90</f>
        <v/>
      </c>
      <c r="D336">
        <f>Dashboard_Live_Data!K90</f>
        <v/>
      </c>
      <c r="E336">
        <f>Dashboard_Live_Data!I90</f>
        <v/>
      </c>
      <c r="F336">
        <f>Dashboard_Live_Data!L90</f>
        <v/>
      </c>
      <c r="G336">
        <f>Dashboard_Live_Data!I90</f>
        <v/>
      </c>
      <c r="H336">
        <f>Dashboard_Live_Data!M90</f>
        <v/>
      </c>
    </row>
    <row r="337">
      <c r="A337">
        <f>Dashboard_Live_Data!I91</f>
        <v/>
      </c>
      <c r="B337">
        <f>Dashboard_Live_Data!J91</f>
        <v/>
      </c>
      <c r="C337">
        <f>Dashboard_Live_Data!I91</f>
        <v/>
      </c>
      <c r="D337">
        <f>Dashboard_Live_Data!K91</f>
        <v/>
      </c>
      <c r="E337">
        <f>Dashboard_Live_Data!I91</f>
        <v/>
      </c>
      <c r="F337">
        <f>Dashboard_Live_Data!L91</f>
        <v/>
      </c>
      <c r="G337">
        <f>Dashboard_Live_Data!I91</f>
        <v/>
      </c>
      <c r="H337">
        <f>Dashboard_Live_Data!M91</f>
        <v/>
      </c>
    </row>
    <row r="338">
      <c r="A338">
        <f>Dashboard_Live_Data!I92</f>
        <v/>
      </c>
      <c r="B338">
        <f>Dashboard_Live_Data!J92</f>
        <v/>
      </c>
      <c r="C338">
        <f>Dashboard_Live_Data!I92</f>
        <v/>
      </c>
      <c r="D338">
        <f>Dashboard_Live_Data!K92</f>
        <v/>
      </c>
      <c r="E338">
        <f>Dashboard_Live_Data!I92</f>
        <v/>
      </c>
      <c r="F338">
        <f>Dashboard_Live_Data!L92</f>
        <v/>
      </c>
      <c r="G338">
        <f>Dashboard_Live_Data!I92</f>
        <v/>
      </c>
      <c r="H338">
        <f>Dashboard_Live_Data!M92</f>
        <v/>
      </c>
    </row>
    <row r="339">
      <c r="A339">
        <f>Dashboard_Live_Data!I93</f>
        <v/>
      </c>
      <c r="B339">
        <f>Dashboard_Live_Data!J93</f>
        <v/>
      </c>
      <c r="C339">
        <f>Dashboard_Live_Data!I93</f>
        <v/>
      </c>
      <c r="D339">
        <f>Dashboard_Live_Data!K93</f>
        <v/>
      </c>
      <c r="E339">
        <f>Dashboard_Live_Data!I93</f>
        <v/>
      </c>
      <c r="F339">
        <f>Dashboard_Live_Data!L93</f>
        <v/>
      </c>
      <c r="G339">
        <f>Dashboard_Live_Data!I93</f>
        <v/>
      </c>
      <c r="H339">
        <f>Dashboard_Live_Data!M93</f>
        <v/>
      </c>
    </row>
    <row r="340">
      <c r="A340">
        <f>Dashboard_Live_Data!I94</f>
        <v/>
      </c>
      <c r="B340">
        <f>Dashboard_Live_Data!J94</f>
        <v/>
      </c>
      <c r="C340">
        <f>Dashboard_Live_Data!I94</f>
        <v/>
      </c>
      <c r="D340">
        <f>Dashboard_Live_Data!K94</f>
        <v/>
      </c>
      <c r="E340">
        <f>Dashboard_Live_Data!I94</f>
        <v/>
      </c>
      <c r="F340">
        <f>Dashboard_Live_Data!L94</f>
        <v/>
      </c>
      <c r="G340">
        <f>Dashboard_Live_Data!I94</f>
        <v/>
      </c>
      <c r="H340">
        <f>Dashboard_Live_Data!M94</f>
        <v/>
      </c>
    </row>
    <row r="341">
      <c r="A341">
        <f>Dashboard_Live_Data!I95</f>
        <v/>
      </c>
      <c r="B341">
        <f>Dashboard_Live_Data!J95</f>
        <v/>
      </c>
      <c r="C341">
        <f>Dashboard_Live_Data!I95</f>
        <v/>
      </c>
      <c r="D341">
        <f>Dashboard_Live_Data!K95</f>
        <v/>
      </c>
      <c r="E341">
        <f>Dashboard_Live_Data!I95</f>
        <v/>
      </c>
      <c r="F341">
        <f>Dashboard_Live_Data!L95</f>
        <v/>
      </c>
      <c r="G341">
        <f>Dashboard_Live_Data!I95</f>
        <v/>
      </c>
      <c r="H341">
        <f>Dashboard_Live_Data!M95</f>
        <v/>
      </c>
    </row>
    <row r="342">
      <c r="A342">
        <f>Dashboard_Live_Data!I96</f>
        <v/>
      </c>
      <c r="B342">
        <f>Dashboard_Live_Data!J96</f>
        <v/>
      </c>
      <c r="C342">
        <f>Dashboard_Live_Data!I96</f>
        <v/>
      </c>
      <c r="D342">
        <f>Dashboard_Live_Data!K96</f>
        <v/>
      </c>
      <c r="E342">
        <f>Dashboard_Live_Data!I96</f>
        <v/>
      </c>
      <c r="F342">
        <f>Dashboard_Live_Data!L96</f>
        <v/>
      </c>
      <c r="G342">
        <f>Dashboard_Live_Data!I96</f>
        <v/>
      </c>
      <c r="H342">
        <f>Dashboard_Live_Data!M96</f>
        <v/>
      </c>
    </row>
    <row r="343">
      <c r="A343">
        <f>Dashboard_Live_Data!I97</f>
        <v/>
      </c>
      <c r="B343">
        <f>Dashboard_Live_Data!J97</f>
        <v/>
      </c>
      <c r="C343">
        <f>Dashboard_Live_Data!I97</f>
        <v/>
      </c>
      <c r="D343">
        <f>Dashboard_Live_Data!K97</f>
        <v/>
      </c>
      <c r="E343">
        <f>Dashboard_Live_Data!I97</f>
        <v/>
      </c>
      <c r="F343">
        <f>Dashboard_Live_Data!L97</f>
        <v/>
      </c>
      <c r="G343">
        <f>Dashboard_Live_Data!I97</f>
        <v/>
      </c>
      <c r="H343">
        <f>Dashboard_Live_Data!M97</f>
        <v/>
      </c>
    </row>
    <row r="344">
      <c r="A344">
        <f>Dashboard_Live_Data!I98</f>
        <v/>
      </c>
      <c r="B344">
        <f>Dashboard_Live_Data!J98</f>
        <v/>
      </c>
      <c r="C344">
        <f>Dashboard_Live_Data!I98</f>
        <v/>
      </c>
      <c r="D344">
        <f>Dashboard_Live_Data!K98</f>
        <v/>
      </c>
      <c r="E344">
        <f>Dashboard_Live_Data!I98</f>
        <v/>
      </c>
      <c r="F344">
        <f>Dashboard_Live_Data!L98</f>
        <v/>
      </c>
      <c r="G344">
        <f>Dashboard_Live_Data!I98</f>
        <v/>
      </c>
      <c r="H344">
        <f>Dashboard_Live_Data!M98</f>
        <v/>
      </c>
    </row>
    <row r="345">
      <c r="A345">
        <f>Dashboard_Live_Data!I99</f>
        <v/>
      </c>
      <c r="B345">
        <f>Dashboard_Live_Data!J99</f>
        <v/>
      </c>
      <c r="C345">
        <f>Dashboard_Live_Data!I99</f>
        <v/>
      </c>
      <c r="D345">
        <f>Dashboard_Live_Data!K99</f>
        <v/>
      </c>
      <c r="E345">
        <f>Dashboard_Live_Data!I99</f>
        <v/>
      </c>
      <c r="F345">
        <f>Dashboard_Live_Data!L99</f>
        <v/>
      </c>
      <c r="G345">
        <f>Dashboard_Live_Data!I99</f>
        <v/>
      </c>
      <c r="H345">
        <f>Dashboard_Live_Data!M99</f>
        <v/>
      </c>
    </row>
    <row r="346">
      <c r="A346">
        <f>Dashboard_Live_Data!I100</f>
        <v/>
      </c>
      <c r="B346">
        <f>Dashboard_Live_Data!J100</f>
        <v/>
      </c>
      <c r="C346">
        <f>Dashboard_Live_Data!I100</f>
        <v/>
      </c>
      <c r="D346">
        <f>Dashboard_Live_Data!K100</f>
        <v/>
      </c>
      <c r="E346">
        <f>Dashboard_Live_Data!I100</f>
        <v/>
      </c>
      <c r="F346">
        <f>Dashboard_Live_Data!L100</f>
        <v/>
      </c>
      <c r="G346">
        <f>Dashboard_Live_Data!I100</f>
        <v/>
      </c>
      <c r="H346">
        <f>Dashboard_Live_Data!M100</f>
        <v/>
      </c>
    </row>
    <row r="347">
      <c r="A347">
        <f>Dashboard_Live_Data!I101</f>
        <v/>
      </c>
      <c r="B347">
        <f>Dashboard_Live_Data!J101</f>
        <v/>
      </c>
      <c r="C347">
        <f>Dashboard_Live_Data!I101</f>
        <v/>
      </c>
      <c r="D347">
        <f>Dashboard_Live_Data!K101</f>
        <v/>
      </c>
      <c r="E347">
        <f>Dashboard_Live_Data!I101</f>
        <v/>
      </c>
      <c r="F347">
        <f>Dashboard_Live_Data!L101</f>
        <v/>
      </c>
      <c r="G347">
        <f>Dashboard_Live_Data!I101</f>
        <v/>
      </c>
      <c r="H347">
        <f>Dashboard_Live_Data!M101</f>
        <v/>
      </c>
    </row>
    <row r="348">
      <c r="A348">
        <f>Dashboard_Live_Data!I102</f>
        <v/>
      </c>
      <c r="B348">
        <f>Dashboard_Live_Data!J102</f>
        <v/>
      </c>
      <c r="C348">
        <f>Dashboard_Live_Data!I102</f>
        <v/>
      </c>
      <c r="D348">
        <f>Dashboard_Live_Data!K102</f>
        <v/>
      </c>
      <c r="E348">
        <f>Dashboard_Live_Data!I102</f>
        <v/>
      </c>
      <c r="F348">
        <f>Dashboard_Live_Data!L102</f>
        <v/>
      </c>
      <c r="G348">
        <f>Dashboard_Live_Data!I102</f>
        <v/>
      </c>
      <c r="H348">
        <f>Dashboard_Live_Data!M102</f>
        <v/>
      </c>
    </row>
    <row r="349">
      <c r="A349">
        <f>Dashboard_Live_Data!I103</f>
        <v/>
      </c>
      <c r="B349">
        <f>Dashboard_Live_Data!J103</f>
        <v/>
      </c>
      <c r="C349">
        <f>Dashboard_Live_Data!I103</f>
        <v/>
      </c>
      <c r="D349">
        <f>Dashboard_Live_Data!K103</f>
        <v/>
      </c>
      <c r="E349">
        <f>Dashboard_Live_Data!I103</f>
        <v/>
      </c>
      <c r="F349">
        <f>Dashboard_Live_Data!L103</f>
        <v/>
      </c>
      <c r="G349">
        <f>Dashboard_Live_Data!I103</f>
        <v/>
      </c>
      <c r="H349">
        <f>Dashboard_Live_Data!M103</f>
        <v/>
      </c>
    </row>
    <row r="350">
      <c r="A350">
        <f>Dashboard_Live_Data!I104</f>
        <v/>
      </c>
      <c r="B350">
        <f>Dashboard_Live_Data!J104</f>
        <v/>
      </c>
      <c r="C350">
        <f>Dashboard_Live_Data!I104</f>
        <v/>
      </c>
      <c r="D350">
        <f>Dashboard_Live_Data!K104</f>
        <v/>
      </c>
      <c r="E350">
        <f>Dashboard_Live_Data!I104</f>
        <v/>
      </c>
      <c r="F350">
        <f>Dashboard_Live_Data!L104</f>
        <v/>
      </c>
      <c r="G350">
        <f>Dashboard_Live_Data!I104</f>
        <v/>
      </c>
      <c r="H350">
        <f>Dashboard_Live_Data!M104</f>
        <v/>
      </c>
    </row>
    <row r="351">
      <c r="A351">
        <f>Dashboard_Live_Data!I105</f>
        <v/>
      </c>
      <c r="B351">
        <f>Dashboard_Live_Data!J105</f>
        <v/>
      </c>
      <c r="C351">
        <f>Dashboard_Live_Data!I105</f>
        <v/>
      </c>
      <c r="D351">
        <f>Dashboard_Live_Data!K105</f>
        <v/>
      </c>
      <c r="E351">
        <f>Dashboard_Live_Data!I105</f>
        <v/>
      </c>
      <c r="F351">
        <f>Dashboard_Live_Data!L105</f>
        <v/>
      </c>
      <c r="G351">
        <f>Dashboard_Live_Data!I105</f>
        <v/>
      </c>
      <c r="H351">
        <f>Dashboard_Live_Data!M105</f>
        <v/>
      </c>
    </row>
    <row r="352">
      <c r="A352">
        <f>Dashboard_Live_Data!I106</f>
        <v/>
      </c>
      <c r="B352">
        <f>Dashboard_Live_Data!J106</f>
        <v/>
      </c>
      <c r="C352">
        <f>Dashboard_Live_Data!I106</f>
        <v/>
      </c>
      <c r="D352">
        <f>Dashboard_Live_Data!K106</f>
        <v/>
      </c>
      <c r="E352">
        <f>Dashboard_Live_Data!I106</f>
        <v/>
      </c>
      <c r="F352">
        <f>Dashboard_Live_Data!L106</f>
        <v/>
      </c>
      <c r="G352">
        <f>Dashboard_Live_Data!I106</f>
        <v/>
      </c>
      <c r="H352">
        <f>Dashboard_Live_Data!M106</f>
        <v/>
      </c>
    </row>
    <row r="353">
      <c r="A353">
        <f>Dashboard_Live_Data!I107</f>
        <v/>
      </c>
      <c r="B353">
        <f>Dashboard_Live_Data!J107</f>
        <v/>
      </c>
      <c r="C353">
        <f>Dashboard_Live_Data!I107</f>
        <v/>
      </c>
      <c r="D353">
        <f>Dashboard_Live_Data!K107</f>
        <v/>
      </c>
      <c r="E353">
        <f>Dashboard_Live_Data!I107</f>
        <v/>
      </c>
      <c r="F353">
        <f>Dashboard_Live_Data!L107</f>
        <v/>
      </c>
      <c r="G353">
        <f>Dashboard_Live_Data!I107</f>
        <v/>
      </c>
      <c r="H353">
        <f>Dashboard_Live_Data!M107</f>
        <v/>
      </c>
    </row>
    <row r="354">
      <c r="A354">
        <f>Dashboard_Live_Data!I108</f>
        <v/>
      </c>
      <c r="B354">
        <f>Dashboard_Live_Data!J108</f>
        <v/>
      </c>
      <c r="C354">
        <f>Dashboard_Live_Data!I108</f>
        <v/>
      </c>
      <c r="D354">
        <f>Dashboard_Live_Data!K108</f>
        <v/>
      </c>
      <c r="E354">
        <f>Dashboard_Live_Data!I108</f>
        <v/>
      </c>
      <c r="F354">
        <f>Dashboard_Live_Data!L108</f>
        <v/>
      </c>
      <c r="G354">
        <f>Dashboard_Live_Data!I108</f>
        <v/>
      </c>
      <c r="H354">
        <f>Dashboard_Live_Data!M108</f>
        <v/>
      </c>
    </row>
    <row r="355">
      <c r="A355">
        <f>Dashboard_Live_Data!I109</f>
        <v/>
      </c>
      <c r="B355">
        <f>Dashboard_Live_Data!J109</f>
        <v/>
      </c>
      <c r="C355">
        <f>Dashboard_Live_Data!I109</f>
        <v/>
      </c>
      <c r="D355">
        <f>Dashboard_Live_Data!K109</f>
        <v/>
      </c>
      <c r="E355">
        <f>Dashboard_Live_Data!I109</f>
        <v/>
      </c>
      <c r="F355">
        <f>Dashboard_Live_Data!L109</f>
        <v/>
      </c>
      <c r="G355">
        <f>Dashboard_Live_Data!I109</f>
        <v/>
      </c>
      <c r="H355">
        <f>Dashboard_Live_Data!M109</f>
        <v/>
      </c>
    </row>
    <row r="356">
      <c r="A356">
        <f>Dashboard_Live_Data!I110</f>
        <v/>
      </c>
      <c r="B356">
        <f>Dashboard_Live_Data!J110</f>
        <v/>
      </c>
      <c r="C356">
        <f>Dashboard_Live_Data!I110</f>
        <v/>
      </c>
      <c r="D356">
        <f>Dashboard_Live_Data!K110</f>
        <v/>
      </c>
      <c r="E356">
        <f>Dashboard_Live_Data!I110</f>
        <v/>
      </c>
      <c r="F356">
        <f>Dashboard_Live_Data!L110</f>
        <v/>
      </c>
      <c r="G356">
        <f>Dashboard_Live_Data!I110</f>
        <v/>
      </c>
      <c r="H356">
        <f>Dashboard_Live_Data!M110</f>
        <v/>
      </c>
    </row>
    <row r="357">
      <c r="A357">
        <f>Dashboard_Live_Data!I111</f>
        <v/>
      </c>
      <c r="B357">
        <f>Dashboard_Live_Data!J111</f>
        <v/>
      </c>
      <c r="C357">
        <f>Dashboard_Live_Data!I111</f>
        <v/>
      </c>
      <c r="D357">
        <f>Dashboard_Live_Data!K111</f>
        <v/>
      </c>
      <c r="E357">
        <f>Dashboard_Live_Data!I111</f>
        <v/>
      </c>
      <c r="F357">
        <f>Dashboard_Live_Data!L111</f>
        <v/>
      </c>
      <c r="G357">
        <f>Dashboard_Live_Data!I111</f>
        <v/>
      </c>
      <c r="H357">
        <f>Dashboard_Live_Data!M111</f>
        <v/>
      </c>
    </row>
    <row r="358">
      <c r="A358">
        <f>Dashboard_Live_Data!I112</f>
        <v/>
      </c>
      <c r="B358">
        <f>Dashboard_Live_Data!J112</f>
        <v/>
      </c>
      <c r="C358">
        <f>Dashboard_Live_Data!I112</f>
        <v/>
      </c>
      <c r="D358">
        <f>Dashboard_Live_Data!K112</f>
        <v/>
      </c>
      <c r="E358">
        <f>Dashboard_Live_Data!I112</f>
        <v/>
      </c>
      <c r="F358">
        <f>Dashboard_Live_Data!L112</f>
        <v/>
      </c>
      <c r="G358">
        <f>Dashboard_Live_Data!I112</f>
        <v/>
      </c>
      <c r="H358">
        <f>Dashboard_Live_Data!M112</f>
        <v/>
      </c>
    </row>
    <row r="359">
      <c r="A359">
        <f>Dashboard_Live_Data!I113</f>
        <v/>
      </c>
      <c r="B359">
        <f>Dashboard_Live_Data!J113</f>
        <v/>
      </c>
      <c r="C359">
        <f>Dashboard_Live_Data!I113</f>
        <v/>
      </c>
      <c r="D359">
        <f>Dashboard_Live_Data!K113</f>
        <v/>
      </c>
      <c r="E359">
        <f>Dashboard_Live_Data!I113</f>
        <v/>
      </c>
      <c r="F359">
        <f>Dashboard_Live_Data!L113</f>
        <v/>
      </c>
      <c r="G359">
        <f>Dashboard_Live_Data!I113</f>
        <v/>
      </c>
      <c r="H359">
        <f>Dashboard_Live_Data!M113</f>
        <v/>
      </c>
    </row>
    <row r="360">
      <c r="A360">
        <f>Dashboard_Live_Data!I114</f>
        <v/>
      </c>
      <c r="B360">
        <f>Dashboard_Live_Data!J114</f>
        <v/>
      </c>
      <c r="C360">
        <f>Dashboard_Live_Data!I114</f>
        <v/>
      </c>
      <c r="D360">
        <f>Dashboard_Live_Data!K114</f>
        <v/>
      </c>
      <c r="E360">
        <f>Dashboard_Live_Data!I114</f>
        <v/>
      </c>
      <c r="F360">
        <f>Dashboard_Live_Data!L114</f>
        <v/>
      </c>
      <c r="G360">
        <f>Dashboard_Live_Data!I114</f>
        <v/>
      </c>
      <c r="H360">
        <f>Dashboard_Live_Data!M114</f>
        <v/>
      </c>
    </row>
    <row r="361">
      <c r="A361">
        <f>Dashboard_Live_Data!I115</f>
        <v/>
      </c>
      <c r="B361">
        <f>Dashboard_Live_Data!J115</f>
        <v/>
      </c>
      <c r="C361">
        <f>Dashboard_Live_Data!I115</f>
        <v/>
      </c>
      <c r="D361">
        <f>Dashboard_Live_Data!K115</f>
        <v/>
      </c>
      <c r="E361">
        <f>Dashboard_Live_Data!I115</f>
        <v/>
      </c>
      <c r="F361">
        <f>Dashboard_Live_Data!L115</f>
        <v/>
      </c>
      <c r="G361">
        <f>Dashboard_Live_Data!I115</f>
        <v/>
      </c>
      <c r="H361">
        <f>Dashboard_Live_Data!M115</f>
        <v/>
      </c>
    </row>
    <row r="362">
      <c r="A362">
        <f>Dashboard_Live_Data!I116</f>
        <v/>
      </c>
      <c r="B362">
        <f>Dashboard_Live_Data!J116</f>
        <v/>
      </c>
      <c r="C362">
        <f>Dashboard_Live_Data!I116</f>
        <v/>
      </c>
      <c r="D362">
        <f>Dashboard_Live_Data!K116</f>
        <v/>
      </c>
      <c r="E362">
        <f>Dashboard_Live_Data!I116</f>
        <v/>
      </c>
      <c r="F362">
        <f>Dashboard_Live_Data!L116</f>
        <v/>
      </c>
      <c r="G362">
        <f>Dashboard_Live_Data!I116</f>
        <v/>
      </c>
      <c r="H362">
        <f>Dashboard_Live_Data!M116</f>
        <v/>
      </c>
    </row>
    <row r="363">
      <c r="A363">
        <f>Dashboard_Live_Data!I117</f>
        <v/>
      </c>
      <c r="B363">
        <f>Dashboard_Live_Data!J117</f>
        <v/>
      </c>
      <c r="C363">
        <f>Dashboard_Live_Data!I117</f>
        <v/>
      </c>
      <c r="D363">
        <f>Dashboard_Live_Data!K117</f>
        <v/>
      </c>
      <c r="E363">
        <f>Dashboard_Live_Data!I117</f>
        <v/>
      </c>
      <c r="F363">
        <f>Dashboard_Live_Data!L117</f>
        <v/>
      </c>
      <c r="G363">
        <f>Dashboard_Live_Data!I117</f>
        <v/>
      </c>
      <c r="H363">
        <f>Dashboard_Live_Data!M117</f>
        <v/>
      </c>
    </row>
    <row r="364">
      <c r="A364">
        <f>Dashboard_Live_Data!I118</f>
        <v/>
      </c>
      <c r="B364">
        <f>Dashboard_Live_Data!J118</f>
        <v/>
      </c>
      <c r="C364">
        <f>Dashboard_Live_Data!I118</f>
        <v/>
      </c>
      <c r="D364">
        <f>Dashboard_Live_Data!K118</f>
        <v/>
      </c>
      <c r="E364">
        <f>Dashboard_Live_Data!I118</f>
        <v/>
      </c>
      <c r="F364">
        <f>Dashboard_Live_Data!L118</f>
        <v/>
      </c>
      <c r="G364">
        <f>Dashboard_Live_Data!I118</f>
        <v/>
      </c>
      <c r="H364">
        <f>Dashboard_Live_Data!M118</f>
        <v/>
      </c>
    </row>
    <row r="365">
      <c r="A365">
        <f>Dashboard_Live_Data!I119</f>
        <v/>
      </c>
      <c r="B365">
        <f>Dashboard_Live_Data!J119</f>
        <v/>
      </c>
      <c r="C365">
        <f>Dashboard_Live_Data!I119</f>
        <v/>
      </c>
      <c r="D365">
        <f>Dashboard_Live_Data!K119</f>
        <v/>
      </c>
      <c r="E365">
        <f>Dashboard_Live_Data!I119</f>
        <v/>
      </c>
      <c r="F365">
        <f>Dashboard_Live_Data!L119</f>
        <v/>
      </c>
      <c r="G365">
        <f>Dashboard_Live_Data!I119</f>
        <v/>
      </c>
      <c r="H365">
        <f>Dashboard_Live_Data!M119</f>
        <v/>
      </c>
    </row>
    <row r="366">
      <c r="A366">
        <f>Dashboard_Live_Data!I120</f>
        <v/>
      </c>
      <c r="B366">
        <f>Dashboard_Live_Data!J120</f>
        <v/>
      </c>
      <c r="C366">
        <f>Dashboard_Live_Data!I120</f>
        <v/>
      </c>
      <c r="D366">
        <f>Dashboard_Live_Data!K120</f>
        <v/>
      </c>
      <c r="E366">
        <f>Dashboard_Live_Data!I120</f>
        <v/>
      </c>
      <c r="F366">
        <f>Dashboard_Live_Data!L120</f>
        <v/>
      </c>
      <c r="G366">
        <f>Dashboard_Live_Data!I120</f>
        <v/>
      </c>
      <c r="H366">
        <f>Dashboard_Live_Data!M120</f>
        <v/>
      </c>
    </row>
    <row r="367">
      <c r="A367">
        <f>Dashboard_Live_Data!I121</f>
        <v/>
      </c>
      <c r="B367">
        <f>Dashboard_Live_Data!J121</f>
        <v/>
      </c>
      <c r="C367">
        <f>Dashboard_Live_Data!I121</f>
        <v/>
      </c>
      <c r="D367">
        <f>Dashboard_Live_Data!K121</f>
        <v/>
      </c>
      <c r="E367">
        <f>Dashboard_Live_Data!I121</f>
        <v/>
      </c>
      <c r="F367">
        <f>Dashboard_Live_Data!L121</f>
        <v/>
      </c>
      <c r="G367">
        <f>Dashboard_Live_Data!I121</f>
        <v/>
      </c>
      <c r="H367">
        <f>Dashboard_Live_Data!M121</f>
        <v/>
      </c>
    </row>
    <row r="368">
      <c r="A368">
        <f>Dashboard_Live_Data!I122</f>
        <v/>
      </c>
      <c r="B368">
        <f>Dashboard_Live_Data!J122</f>
        <v/>
      </c>
      <c r="C368">
        <f>Dashboard_Live_Data!I122</f>
        <v/>
      </c>
      <c r="D368">
        <f>Dashboard_Live_Data!K122</f>
        <v/>
      </c>
      <c r="E368">
        <f>Dashboard_Live_Data!I122</f>
        <v/>
      </c>
      <c r="F368">
        <f>Dashboard_Live_Data!L122</f>
        <v/>
      </c>
      <c r="G368">
        <f>Dashboard_Live_Data!I122</f>
        <v/>
      </c>
      <c r="H368">
        <f>Dashboard_Live_Data!M122</f>
        <v/>
      </c>
    </row>
    <row r="369">
      <c r="A369">
        <f>Dashboard_Live_Data!I123</f>
        <v/>
      </c>
      <c r="B369">
        <f>Dashboard_Live_Data!J123</f>
        <v/>
      </c>
      <c r="C369">
        <f>Dashboard_Live_Data!I123</f>
        <v/>
      </c>
      <c r="D369">
        <f>Dashboard_Live_Data!K123</f>
        <v/>
      </c>
      <c r="E369">
        <f>Dashboard_Live_Data!I123</f>
        <v/>
      </c>
      <c r="F369">
        <f>Dashboard_Live_Data!L123</f>
        <v/>
      </c>
      <c r="G369">
        <f>Dashboard_Live_Data!I123</f>
        <v/>
      </c>
      <c r="H369">
        <f>Dashboard_Live_Data!M123</f>
        <v/>
      </c>
    </row>
    <row r="370">
      <c r="A370">
        <f>Dashboard_Live_Data!I124</f>
        <v/>
      </c>
      <c r="B370">
        <f>Dashboard_Live_Data!J124</f>
        <v/>
      </c>
      <c r="C370">
        <f>Dashboard_Live_Data!I124</f>
        <v/>
      </c>
      <c r="D370">
        <f>Dashboard_Live_Data!K124</f>
        <v/>
      </c>
      <c r="E370">
        <f>Dashboard_Live_Data!I124</f>
        <v/>
      </c>
      <c r="F370">
        <f>Dashboard_Live_Data!L124</f>
        <v/>
      </c>
      <c r="G370">
        <f>Dashboard_Live_Data!I124</f>
        <v/>
      </c>
      <c r="H370">
        <f>Dashboard_Live_Data!M124</f>
        <v/>
      </c>
    </row>
    <row r="371">
      <c r="A371">
        <f>Dashboard_Live_Data!I125</f>
        <v/>
      </c>
      <c r="B371">
        <f>Dashboard_Live_Data!J125</f>
        <v/>
      </c>
      <c r="C371">
        <f>Dashboard_Live_Data!I125</f>
        <v/>
      </c>
      <c r="D371">
        <f>Dashboard_Live_Data!K125</f>
        <v/>
      </c>
      <c r="E371">
        <f>Dashboard_Live_Data!I125</f>
        <v/>
      </c>
      <c r="F371">
        <f>Dashboard_Live_Data!L125</f>
        <v/>
      </c>
      <c r="G371">
        <f>Dashboard_Live_Data!I125</f>
        <v/>
      </c>
      <c r="H371">
        <f>Dashboard_Live_Data!M125</f>
        <v/>
      </c>
    </row>
    <row r="372">
      <c r="A372">
        <f>Dashboard_Live_Data!I126</f>
        <v/>
      </c>
      <c r="B372">
        <f>Dashboard_Live_Data!J126</f>
        <v/>
      </c>
      <c r="C372">
        <f>Dashboard_Live_Data!I126</f>
        <v/>
      </c>
      <c r="D372">
        <f>Dashboard_Live_Data!K126</f>
        <v/>
      </c>
      <c r="E372">
        <f>Dashboard_Live_Data!I126</f>
        <v/>
      </c>
      <c r="F372">
        <f>Dashboard_Live_Data!L126</f>
        <v/>
      </c>
      <c r="G372">
        <f>Dashboard_Live_Data!I126</f>
        <v/>
      </c>
      <c r="H372">
        <f>Dashboard_Live_Data!M126</f>
        <v/>
      </c>
    </row>
    <row r="373">
      <c r="A373">
        <f>Dashboard_Live_Data!I127</f>
        <v/>
      </c>
      <c r="B373">
        <f>Dashboard_Live_Data!J127</f>
        <v/>
      </c>
      <c r="C373">
        <f>Dashboard_Live_Data!I127</f>
        <v/>
      </c>
      <c r="D373">
        <f>Dashboard_Live_Data!K127</f>
        <v/>
      </c>
      <c r="E373">
        <f>Dashboard_Live_Data!I127</f>
        <v/>
      </c>
      <c r="F373">
        <f>Dashboard_Live_Data!L127</f>
        <v/>
      </c>
      <c r="G373">
        <f>Dashboard_Live_Data!I127</f>
        <v/>
      </c>
      <c r="H373">
        <f>Dashboard_Live_Data!M127</f>
        <v/>
      </c>
    </row>
    <row r="374">
      <c r="A374">
        <f>Dashboard_Live_Data!I128</f>
        <v/>
      </c>
      <c r="B374">
        <f>Dashboard_Live_Data!J128</f>
        <v/>
      </c>
      <c r="C374">
        <f>Dashboard_Live_Data!I128</f>
        <v/>
      </c>
      <c r="D374">
        <f>Dashboard_Live_Data!K128</f>
        <v/>
      </c>
      <c r="E374">
        <f>Dashboard_Live_Data!I128</f>
        <v/>
      </c>
      <c r="F374">
        <f>Dashboard_Live_Data!L128</f>
        <v/>
      </c>
      <c r="G374">
        <f>Dashboard_Live_Data!I128</f>
        <v/>
      </c>
      <c r="H374">
        <f>Dashboard_Live_Data!M128</f>
        <v/>
      </c>
    </row>
    <row r="375">
      <c r="A375">
        <f>Dashboard_Live_Data!I129</f>
        <v/>
      </c>
      <c r="B375">
        <f>Dashboard_Live_Data!J129</f>
        <v/>
      </c>
      <c r="C375">
        <f>Dashboard_Live_Data!I129</f>
        <v/>
      </c>
      <c r="D375">
        <f>Dashboard_Live_Data!K129</f>
        <v/>
      </c>
      <c r="E375">
        <f>Dashboard_Live_Data!I129</f>
        <v/>
      </c>
      <c r="F375">
        <f>Dashboard_Live_Data!L129</f>
        <v/>
      </c>
      <c r="G375">
        <f>Dashboard_Live_Data!I129</f>
        <v/>
      </c>
      <c r="H375">
        <f>Dashboard_Live_Data!M129</f>
        <v/>
      </c>
    </row>
    <row r="376">
      <c r="A376">
        <f>Dashboard_Live_Data!I130</f>
        <v/>
      </c>
      <c r="B376">
        <f>Dashboard_Live_Data!J130</f>
        <v/>
      </c>
      <c r="C376">
        <f>Dashboard_Live_Data!I130</f>
        <v/>
      </c>
      <c r="D376">
        <f>Dashboard_Live_Data!K130</f>
        <v/>
      </c>
      <c r="E376">
        <f>Dashboard_Live_Data!I130</f>
        <v/>
      </c>
      <c r="F376">
        <f>Dashboard_Live_Data!L130</f>
        <v/>
      </c>
      <c r="G376">
        <f>Dashboard_Live_Data!I130</f>
        <v/>
      </c>
      <c r="H376">
        <f>Dashboard_Live_Data!M130</f>
        <v/>
      </c>
    </row>
    <row r="377">
      <c r="A377">
        <f>Dashboard_Live_Data!I131</f>
        <v/>
      </c>
      <c r="B377">
        <f>Dashboard_Live_Data!J131</f>
        <v/>
      </c>
      <c r="C377">
        <f>Dashboard_Live_Data!I131</f>
        <v/>
      </c>
      <c r="D377">
        <f>Dashboard_Live_Data!K131</f>
        <v/>
      </c>
      <c r="E377">
        <f>Dashboard_Live_Data!I131</f>
        <v/>
      </c>
      <c r="F377">
        <f>Dashboard_Live_Data!L131</f>
        <v/>
      </c>
      <c r="G377">
        <f>Dashboard_Live_Data!I131</f>
        <v/>
      </c>
      <c r="H377">
        <f>Dashboard_Live_Data!M131</f>
        <v/>
      </c>
    </row>
    <row r="378">
      <c r="A378">
        <f>Dashboard_Live_Data!I132</f>
        <v/>
      </c>
      <c r="B378">
        <f>Dashboard_Live_Data!J132</f>
        <v/>
      </c>
      <c r="C378">
        <f>Dashboard_Live_Data!I132</f>
        <v/>
      </c>
      <c r="D378">
        <f>Dashboard_Live_Data!K132</f>
        <v/>
      </c>
      <c r="E378">
        <f>Dashboard_Live_Data!I132</f>
        <v/>
      </c>
      <c r="F378">
        <f>Dashboard_Live_Data!L132</f>
        <v/>
      </c>
      <c r="G378">
        <f>Dashboard_Live_Data!I132</f>
        <v/>
      </c>
      <c r="H378">
        <f>Dashboard_Live_Data!M132</f>
        <v/>
      </c>
    </row>
    <row r="379">
      <c r="A379">
        <f>Dashboard_Live_Data!I133</f>
        <v/>
      </c>
      <c r="B379">
        <f>Dashboard_Live_Data!J133</f>
        <v/>
      </c>
      <c r="C379">
        <f>Dashboard_Live_Data!I133</f>
        <v/>
      </c>
      <c r="D379">
        <f>Dashboard_Live_Data!K133</f>
        <v/>
      </c>
      <c r="E379">
        <f>Dashboard_Live_Data!I133</f>
        <v/>
      </c>
      <c r="F379">
        <f>Dashboard_Live_Data!L133</f>
        <v/>
      </c>
      <c r="G379">
        <f>Dashboard_Live_Data!I133</f>
        <v/>
      </c>
      <c r="H379">
        <f>Dashboard_Live_Data!M133</f>
        <v/>
      </c>
    </row>
    <row r="380">
      <c r="A380">
        <f>Dashboard_Live_Data!I134</f>
        <v/>
      </c>
      <c r="B380">
        <f>Dashboard_Live_Data!J134</f>
        <v/>
      </c>
      <c r="C380">
        <f>Dashboard_Live_Data!I134</f>
        <v/>
      </c>
      <c r="D380">
        <f>Dashboard_Live_Data!K134</f>
        <v/>
      </c>
      <c r="E380">
        <f>Dashboard_Live_Data!I134</f>
        <v/>
      </c>
      <c r="F380">
        <f>Dashboard_Live_Data!L134</f>
        <v/>
      </c>
      <c r="G380">
        <f>Dashboard_Live_Data!I134</f>
        <v/>
      </c>
      <c r="H380">
        <f>Dashboard_Live_Data!M134</f>
        <v/>
      </c>
    </row>
    <row r="381">
      <c r="A381">
        <f>Dashboard_Live_Data!I135</f>
        <v/>
      </c>
      <c r="B381">
        <f>Dashboard_Live_Data!J135</f>
        <v/>
      </c>
      <c r="C381">
        <f>Dashboard_Live_Data!I135</f>
        <v/>
      </c>
      <c r="D381">
        <f>Dashboard_Live_Data!K135</f>
        <v/>
      </c>
      <c r="E381">
        <f>Dashboard_Live_Data!I135</f>
        <v/>
      </c>
      <c r="F381">
        <f>Dashboard_Live_Data!L135</f>
        <v/>
      </c>
      <c r="G381">
        <f>Dashboard_Live_Data!I135</f>
        <v/>
      </c>
      <c r="H381">
        <f>Dashboard_Live_Data!M135</f>
        <v/>
      </c>
    </row>
    <row r="382">
      <c r="A382">
        <f>Dashboard_Live_Data!I136</f>
        <v/>
      </c>
      <c r="B382">
        <f>Dashboard_Live_Data!J136</f>
        <v/>
      </c>
      <c r="C382">
        <f>Dashboard_Live_Data!I136</f>
        <v/>
      </c>
      <c r="D382">
        <f>Dashboard_Live_Data!K136</f>
        <v/>
      </c>
      <c r="E382">
        <f>Dashboard_Live_Data!I136</f>
        <v/>
      </c>
      <c r="F382">
        <f>Dashboard_Live_Data!L136</f>
        <v/>
      </c>
      <c r="G382">
        <f>Dashboard_Live_Data!I136</f>
        <v/>
      </c>
      <c r="H382">
        <f>Dashboard_Live_Data!M136</f>
        <v/>
      </c>
    </row>
    <row r="383">
      <c r="A383">
        <f>Dashboard_Live_Data!I137</f>
        <v/>
      </c>
      <c r="B383">
        <f>Dashboard_Live_Data!J137</f>
        <v/>
      </c>
      <c r="C383">
        <f>Dashboard_Live_Data!I137</f>
        <v/>
      </c>
      <c r="D383">
        <f>Dashboard_Live_Data!K137</f>
        <v/>
      </c>
      <c r="E383">
        <f>Dashboard_Live_Data!I137</f>
        <v/>
      </c>
      <c r="F383">
        <f>Dashboard_Live_Data!L137</f>
        <v/>
      </c>
      <c r="G383">
        <f>Dashboard_Live_Data!I137</f>
        <v/>
      </c>
      <c r="H383">
        <f>Dashboard_Live_Data!M137</f>
        <v/>
      </c>
    </row>
    <row r="384">
      <c r="A384">
        <f>Dashboard_Live_Data!I138</f>
        <v/>
      </c>
      <c r="B384">
        <f>Dashboard_Live_Data!J138</f>
        <v/>
      </c>
      <c r="C384">
        <f>Dashboard_Live_Data!I138</f>
        <v/>
      </c>
      <c r="D384">
        <f>Dashboard_Live_Data!K138</f>
        <v/>
      </c>
      <c r="E384">
        <f>Dashboard_Live_Data!I138</f>
        <v/>
      </c>
      <c r="F384">
        <f>Dashboard_Live_Data!L138</f>
        <v/>
      </c>
      <c r="G384">
        <f>Dashboard_Live_Data!I138</f>
        <v/>
      </c>
      <c r="H384">
        <f>Dashboard_Live_Data!M138</f>
        <v/>
      </c>
    </row>
    <row r="385">
      <c r="A385">
        <f>Dashboard_Live_Data!I139</f>
        <v/>
      </c>
      <c r="B385">
        <f>Dashboard_Live_Data!J139</f>
        <v/>
      </c>
      <c r="C385">
        <f>Dashboard_Live_Data!I139</f>
        <v/>
      </c>
      <c r="D385">
        <f>Dashboard_Live_Data!K139</f>
        <v/>
      </c>
      <c r="E385">
        <f>Dashboard_Live_Data!I139</f>
        <v/>
      </c>
      <c r="F385">
        <f>Dashboard_Live_Data!L139</f>
        <v/>
      </c>
      <c r="G385">
        <f>Dashboard_Live_Data!I139</f>
        <v/>
      </c>
      <c r="H385">
        <f>Dashboard_Live_Data!M139</f>
        <v/>
      </c>
    </row>
    <row r="386">
      <c r="A386">
        <f>Dashboard_Live_Data!I140</f>
        <v/>
      </c>
      <c r="B386">
        <f>Dashboard_Live_Data!J140</f>
        <v/>
      </c>
      <c r="C386">
        <f>Dashboard_Live_Data!I140</f>
        <v/>
      </c>
      <c r="D386">
        <f>Dashboard_Live_Data!K140</f>
        <v/>
      </c>
      <c r="E386">
        <f>Dashboard_Live_Data!I140</f>
        <v/>
      </c>
      <c r="F386">
        <f>Dashboard_Live_Data!L140</f>
        <v/>
      </c>
      <c r="G386">
        <f>Dashboard_Live_Data!I140</f>
        <v/>
      </c>
      <c r="H386">
        <f>Dashboard_Live_Data!M140</f>
        <v/>
      </c>
    </row>
    <row r="387">
      <c r="A387">
        <f>Dashboard_Live_Data!I141</f>
        <v/>
      </c>
      <c r="B387">
        <f>Dashboard_Live_Data!J141</f>
        <v/>
      </c>
      <c r="C387">
        <f>Dashboard_Live_Data!I141</f>
        <v/>
      </c>
      <c r="D387">
        <f>Dashboard_Live_Data!K141</f>
        <v/>
      </c>
      <c r="E387">
        <f>Dashboard_Live_Data!I141</f>
        <v/>
      </c>
      <c r="F387">
        <f>Dashboard_Live_Data!L141</f>
        <v/>
      </c>
      <c r="G387">
        <f>Dashboard_Live_Data!I141</f>
        <v/>
      </c>
      <c r="H387">
        <f>Dashboard_Live_Data!M141</f>
        <v/>
      </c>
    </row>
    <row r="388">
      <c r="A388">
        <f>Dashboard_Live_Data!I142</f>
        <v/>
      </c>
      <c r="B388">
        <f>Dashboard_Live_Data!J142</f>
        <v/>
      </c>
      <c r="C388">
        <f>Dashboard_Live_Data!I142</f>
        <v/>
      </c>
      <c r="D388">
        <f>Dashboard_Live_Data!K142</f>
        <v/>
      </c>
      <c r="E388">
        <f>Dashboard_Live_Data!I142</f>
        <v/>
      </c>
      <c r="F388">
        <f>Dashboard_Live_Data!L142</f>
        <v/>
      </c>
      <c r="G388">
        <f>Dashboard_Live_Data!I142</f>
        <v/>
      </c>
      <c r="H388">
        <f>Dashboard_Live_Data!M142</f>
        <v/>
      </c>
    </row>
    <row r="389">
      <c r="A389">
        <f>Dashboard_Live_Data!I143</f>
        <v/>
      </c>
      <c r="B389">
        <f>Dashboard_Live_Data!J143</f>
        <v/>
      </c>
      <c r="C389">
        <f>Dashboard_Live_Data!I143</f>
        <v/>
      </c>
      <c r="D389">
        <f>Dashboard_Live_Data!K143</f>
        <v/>
      </c>
      <c r="E389">
        <f>Dashboard_Live_Data!I143</f>
        <v/>
      </c>
      <c r="F389">
        <f>Dashboard_Live_Data!L143</f>
        <v/>
      </c>
      <c r="G389">
        <f>Dashboard_Live_Data!I143</f>
        <v/>
      </c>
      <c r="H389">
        <f>Dashboard_Live_Data!M143</f>
        <v/>
      </c>
    </row>
    <row r="390">
      <c r="A390">
        <f>Dashboard_Live_Data!I144</f>
        <v/>
      </c>
      <c r="B390">
        <f>Dashboard_Live_Data!J144</f>
        <v/>
      </c>
      <c r="C390">
        <f>Dashboard_Live_Data!I144</f>
        <v/>
      </c>
      <c r="D390">
        <f>Dashboard_Live_Data!K144</f>
        <v/>
      </c>
      <c r="E390">
        <f>Dashboard_Live_Data!I144</f>
        <v/>
      </c>
      <c r="F390">
        <f>Dashboard_Live_Data!L144</f>
        <v/>
      </c>
      <c r="G390">
        <f>Dashboard_Live_Data!I144</f>
        <v/>
      </c>
      <c r="H390">
        <f>Dashboard_Live_Data!M144</f>
        <v/>
      </c>
    </row>
    <row r="391">
      <c r="A391">
        <f>Dashboard_Live_Data!I145</f>
        <v/>
      </c>
      <c r="B391">
        <f>Dashboard_Live_Data!J145</f>
        <v/>
      </c>
      <c r="C391">
        <f>Dashboard_Live_Data!I145</f>
        <v/>
      </c>
      <c r="D391">
        <f>Dashboard_Live_Data!K145</f>
        <v/>
      </c>
      <c r="E391">
        <f>Dashboard_Live_Data!I145</f>
        <v/>
      </c>
      <c r="F391">
        <f>Dashboard_Live_Data!L145</f>
        <v/>
      </c>
      <c r="G391">
        <f>Dashboard_Live_Data!I145</f>
        <v/>
      </c>
      <c r="H391">
        <f>Dashboard_Live_Data!M145</f>
        <v/>
      </c>
    </row>
    <row r="392">
      <c r="A392">
        <f>Dashboard_Live_Data!I146</f>
        <v/>
      </c>
      <c r="B392">
        <f>Dashboard_Live_Data!J146</f>
        <v/>
      </c>
      <c r="C392">
        <f>Dashboard_Live_Data!I146</f>
        <v/>
      </c>
      <c r="D392">
        <f>Dashboard_Live_Data!K146</f>
        <v/>
      </c>
      <c r="E392">
        <f>Dashboard_Live_Data!I146</f>
        <v/>
      </c>
      <c r="F392">
        <f>Dashboard_Live_Data!L146</f>
        <v/>
      </c>
      <c r="G392">
        <f>Dashboard_Live_Data!I146</f>
        <v/>
      </c>
      <c r="H392">
        <f>Dashboard_Live_Data!M146</f>
        <v/>
      </c>
    </row>
    <row r="393">
      <c r="A393">
        <f>Dashboard_Live_Data!I147</f>
        <v/>
      </c>
      <c r="B393">
        <f>Dashboard_Live_Data!J147</f>
        <v/>
      </c>
      <c r="C393">
        <f>Dashboard_Live_Data!I147</f>
        <v/>
      </c>
      <c r="D393">
        <f>Dashboard_Live_Data!K147</f>
        <v/>
      </c>
      <c r="E393">
        <f>Dashboard_Live_Data!I147</f>
        <v/>
      </c>
      <c r="F393">
        <f>Dashboard_Live_Data!L147</f>
        <v/>
      </c>
      <c r="G393">
        <f>Dashboard_Live_Data!I147</f>
        <v/>
      </c>
      <c r="H393">
        <f>Dashboard_Live_Data!M147</f>
        <v/>
      </c>
    </row>
    <row r="394">
      <c r="A394">
        <f>Dashboard_Live_Data!I148</f>
        <v/>
      </c>
      <c r="B394">
        <f>Dashboard_Live_Data!J148</f>
        <v/>
      </c>
      <c r="C394">
        <f>Dashboard_Live_Data!I148</f>
        <v/>
      </c>
      <c r="D394">
        <f>Dashboard_Live_Data!K148</f>
        <v/>
      </c>
      <c r="E394">
        <f>Dashboard_Live_Data!I148</f>
        <v/>
      </c>
      <c r="F394">
        <f>Dashboard_Live_Data!L148</f>
        <v/>
      </c>
      <c r="G394">
        <f>Dashboard_Live_Data!I148</f>
        <v/>
      </c>
      <c r="H394">
        <f>Dashboard_Live_Data!M148</f>
        <v/>
      </c>
    </row>
    <row r="395">
      <c r="A395">
        <f>Dashboard_Live_Data!I149</f>
        <v/>
      </c>
      <c r="B395">
        <f>Dashboard_Live_Data!J149</f>
        <v/>
      </c>
      <c r="C395">
        <f>Dashboard_Live_Data!I149</f>
        <v/>
      </c>
      <c r="D395">
        <f>Dashboard_Live_Data!K149</f>
        <v/>
      </c>
      <c r="E395">
        <f>Dashboard_Live_Data!I149</f>
        <v/>
      </c>
      <c r="F395">
        <f>Dashboard_Live_Data!L149</f>
        <v/>
      </c>
      <c r="G395">
        <f>Dashboard_Live_Data!I149</f>
        <v/>
      </c>
      <c r="H395">
        <f>Dashboard_Live_Data!M149</f>
        <v/>
      </c>
    </row>
    <row r="396">
      <c r="A396">
        <f>Dashboard_Live_Data!I150</f>
        <v/>
      </c>
      <c r="B396">
        <f>Dashboard_Live_Data!J150</f>
        <v/>
      </c>
      <c r="C396">
        <f>Dashboard_Live_Data!I150</f>
        <v/>
      </c>
      <c r="D396">
        <f>Dashboard_Live_Data!K150</f>
        <v/>
      </c>
      <c r="E396">
        <f>Dashboard_Live_Data!I150</f>
        <v/>
      </c>
      <c r="F396">
        <f>Dashboard_Live_Data!L150</f>
        <v/>
      </c>
      <c r="G396">
        <f>Dashboard_Live_Data!I150</f>
        <v/>
      </c>
      <c r="H396">
        <f>Dashboard_Live_Data!M150</f>
        <v/>
      </c>
    </row>
    <row r="397">
      <c r="A397">
        <f>Dashboard_Live_Data!I151</f>
        <v/>
      </c>
      <c r="B397">
        <f>Dashboard_Live_Data!J151</f>
        <v/>
      </c>
      <c r="C397">
        <f>Dashboard_Live_Data!I151</f>
        <v/>
      </c>
      <c r="D397">
        <f>Dashboard_Live_Data!K151</f>
        <v/>
      </c>
      <c r="E397">
        <f>Dashboard_Live_Data!I151</f>
        <v/>
      </c>
      <c r="F397">
        <f>Dashboard_Live_Data!L151</f>
        <v/>
      </c>
      <c r="G397">
        <f>Dashboard_Live_Data!I151</f>
        <v/>
      </c>
      <c r="H397">
        <f>Dashboard_Live_Data!M151</f>
        <v/>
      </c>
    </row>
    <row r="398">
      <c r="A398">
        <f>Dashboard_Live_Data!I152</f>
        <v/>
      </c>
      <c r="B398">
        <f>Dashboard_Live_Data!J152</f>
        <v/>
      </c>
      <c r="C398">
        <f>Dashboard_Live_Data!I152</f>
        <v/>
      </c>
      <c r="D398">
        <f>Dashboard_Live_Data!K152</f>
        <v/>
      </c>
      <c r="E398">
        <f>Dashboard_Live_Data!I152</f>
        <v/>
      </c>
      <c r="F398">
        <f>Dashboard_Live_Data!L152</f>
        <v/>
      </c>
      <c r="G398">
        <f>Dashboard_Live_Data!I152</f>
        <v/>
      </c>
      <c r="H398">
        <f>Dashboard_Live_Data!M152</f>
        <v/>
      </c>
    </row>
    <row r="399">
      <c r="A399">
        <f>Dashboard_Live_Data!I153</f>
        <v/>
      </c>
      <c r="B399">
        <f>Dashboard_Live_Data!J153</f>
        <v/>
      </c>
      <c r="C399">
        <f>Dashboard_Live_Data!I153</f>
        <v/>
      </c>
      <c r="D399">
        <f>Dashboard_Live_Data!K153</f>
        <v/>
      </c>
      <c r="E399">
        <f>Dashboard_Live_Data!I153</f>
        <v/>
      </c>
      <c r="F399">
        <f>Dashboard_Live_Data!L153</f>
        <v/>
      </c>
      <c r="G399">
        <f>Dashboard_Live_Data!I153</f>
        <v/>
      </c>
      <c r="H399">
        <f>Dashboard_Live_Data!M153</f>
        <v/>
      </c>
    </row>
    <row r="400">
      <c r="A400">
        <f>Dashboard_Live_Data!I154</f>
        <v/>
      </c>
      <c r="B400">
        <f>Dashboard_Live_Data!J154</f>
        <v/>
      </c>
      <c r="C400">
        <f>Dashboard_Live_Data!I154</f>
        <v/>
      </c>
      <c r="D400">
        <f>Dashboard_Live_Data!K154</f>
        <v/>
      </c>
      <c r="E400">
        <f>Dashboard_Live_Data!I154</f>
        <v/>
      </c>
      <c r="F400">
        <f>Dashboard_Live_Data!L154</f>
        <v/>
      </c>
      <c r="G400">
        <f>Dashboard_Live_Data!I154</f>
        <v/>
      </c>
      <c r="H400">
        <f>Dashboard_Live_Data!M154</f>
        <v/>
      </c>
    </row>
    <row r="401">
      <c r="A401">
        <f>Dashboard_Live_Data!I155</f>
        <v/>
      </c>
      <c r="B401">
        <f>Dashboard_Live_Data!J155</f>
        <v/>
      </c>
      <c r="C401">
        <f>Dashboard_Live_Data!I155</f>
        <v/>
      </c>
      <c r="D401">
        <f>Dashboard_Live_Data!K155</f>
        <v/>
      </c>
      <c r="E401">
        <f>Dashboard_Live_Data!I155</f>
        <v/>
      </c>
      <c r="F401">
        <f>Dashboard_Live_Data!L155</f>
        <v/>
      </c>
      <c r="G401">
        <f>Dashboard_Live_Data!I155</f>
        <v/>
      </c>
      <c r="H401">
        <f>Dashboard_Live_Data!M155</f>
        <v/>
      </c>
    </row>
    <row r="402">
      <c r="A402">
        <f>Dashboard_Live_Data!I156</f>
        <v/>
      </c>
      <c r="B402">
        <f>Dashboard_Live_Data!J156</f>
        <v/>
      </c>
      <c r="C402">
        <f>Dashboard_Live_Data!I156</f>
        <v/>
      </c>
      <c r="D402">
        <f>Dashboard_Live_Data!K156</f>
        <v/>
      </c>
      <c r="E402">
        <f>Dashboard_Live_Data!I156</f>
        <v/>
      </c>
      <c r="F402">
        <f>Dashboard_Live_Data!L156</f>
        <v/>
      </c>
      <c r="G402">
        <f>Dashboard_Live_Data!I156</f>
        <v/>
      </c>
      <c r="H402">
        <f>Dashboard_Live_Data!M156</f>
        <v/>
      </c>
    </row>
    <row r="403">
      <c r="A403">
        <f>Dashboard_Live_Data!I157</f>
        <v/>
      </c>
      <c r="B403">
        <f>Dashboard_Live_Data!J157</f>
        <v/>
      </c>
      <c r="C403">
        <f>Dashboard_Live_Data!I157</f>
        <v/>
      </c>
      <c r="D403">
        <f>Dashboard_Live_Data!K157</f>
        <v/>
      </c>
      <c r="E403">
        <f>Dashboard_Live_Data!I157</f>
        <v/>
      </c>
      <c r="F403">
        <f>Dashboard_Live_Data!L157</f>
        <v/>
      </c>
      <c r="G403">
        <f>Dashboard_Live_Data!I157</f>
        <v/>
      </c>
      <c r="H403">
        <f>Dashboard_Live_Data!M157</f>
        <v/>
      </c>
    </row>
    <row r="404">
      <c r="A404">
        <f>Dashboard_Live_Data!I158</f>
        <v/>
      </c>
      <c r="B404">
        <f>Dashboard_Live_Data!J158</f>
        <v/>
      </c>
      <c r="C404">
        <f>Dashboard_Live_Data!I158</f>
        <v/>
      </c>
      <c r="D404">
        <f>Dashboard_Live_Data!K158</f>
        <v/>
      </c>
      <c r="E404">
        <f>Dashboard_Live_Data!I158</f>
        <v/>
      </c>
      <c r="F404">
        <f>Dashboard_Live_Data!L158</f>
        <v/>
      </c>
      <c r="G404">
        <f>Dashboard_Live_Data!I158</f>
        <v/>
      </c>
      <c r="H404">
        <f>Dashboard_Live_Data!M158</f>
        <v/>
      </c>
    </row>
    <row r="405">
      <c r="A405">
        <f>Dashboard_Live_Data!I159</f>
        <v/>
      </c>
      <c r="B405">
        <f>Dashboard_Live_Data!J159</f>
        <v/>
      </c>
      <c r="C405">
        <f>Dashboard_Live_Data!I159</f>
        <v/>
      </c>
      <c r="D405">
        <f>Dashboard_Live_Data!K159</f>
        <v/>
      </c>
      <c r="E405">
        <f>Dashboard_Live_Data!I159</f>
        <v/>
      </c>
      <c r="F405">
        <f>Dashboard_Live_Data!L159</f>
        <v/>
      </c>
      <c r="G405">
        <f>Dashboard_Live_Data!I159</f>
        <v/>
      </c>
      <c r="H405">
        <f>Dashboard_Live_Data!M159</f>
        <v/>
      </c>
    </row>
    <row r="406">
      <c r="A406">
        <f>Dashboard_Live_Data!I160</f>
        <v/>
      </c>
      <c r="B406">
        <f>Dashboard_Live_Data!J160</f>
        <v/>
      </c>
      <c r="C406">
        <f>Dashboard_Live_Data!I160</f>
        <v/>
      </c>
      <c r="D406">
        <f>Dashboard_Live_Data!K160</f>
        <v/>
      </c>
      <c r="E406">
        <f>Dashboard_Live_Data!I160</f>
        <v/>
      </c>
      <c r="F406">
        <f>Dashboard_Live_Data!L160</f>
        <v/>
      </c>
      <c r="G406">
        <f>Dashboard_Live_Data!I160</f>
        <v/>
      </c>
      <c r="H406">
        <f>Dashboard_Live_Data!M160</f>
        <v/>
      </c>
    </row>
    <row r="407">
      <c r="A407">
        <f>Dashboard_Live_Data!I161</f>
        <v/>
      </c>
      <c r="B407">
        <f>Dashboard_Live_Data!J161</f>
        <v/>
      </c>
      <c r="C407">
        <f>Dashboard_Live_Data!I161</f>
        <v/>
      </c>
      <c r="D407">
        <f>Dashboard_Live_Data!K161</f>
        <v/>
      </c>
      <c r="E407">
        <f>Dashboard_Live_Data!I161</f>
        <v/>
      </c>
      <c r="F407">
        <f>Dashboard_Live_Data!L161</f>
        <v/>
      </c>
      <c r="G407">
        <f>Dashboard_Live_Data!I161</f>
        <v/>
      </c>
      <c r="H407">
        <f>Dashboard_Live_Data!M161</f>
        <v/>
      </c>
    </row>
    <row r="408">
      <c r="A408">
        <f>Dashboard_Live_Data!I162</f>
        <v/>
      </c>
      <c r="B408">
        <f>Dashboard_Live_Data!J162</f>
        <v/>
      </c>
      <c r="C408">
        <f>Dashboard_Live_Data!I162</f>
        <v/>
      </c>
      <c r="D408">
        <f>Dashboard_Live_Data!K162</f>
        <v/>
      </c>
      <c r="E408">
        <f>Dashboard_Live_Data!I162</f>
        <v/>
      </c>
      <c r="F408">
        <f>Dashboard_Live_Data!L162</f>
        <v/>
      </c>
      <c r="G408">
        <f>Dashboard_Live_Data!I162</f>
        <v/>
      </c>
      <c r="H408">
        <f>Dashboard_Live_Data!M162</f>
        <v/>
      </c>
    </row>
    <row r="409">
      <c r="A409">
        <f>Dashboard_Live_Data!I163</f>
        <v/>
      </c>
      <c r="B409">
        <f>Dashboard_Live_Data!J163</f>
        <v/>
      </c>
      <c r="C409">
        <f>Dashboard_Live_Data!I163</f>
        <v/>
      </c>
      <c r="D409">
        <f>Dashboard_Live_Data!K163</f>
        <v/>
      </c>
      <c r="E409">
        <f>Dashboard_Live_Data!I163</f>
        <v/>
      </c>
      <c r="F409">
        <f>Dashboard_Live_Data!L163</f>
        <v/>
      </c>
      <c r="G409">
        <f>Dashboard_Live_Data!I163</f>
        <v/>
      </c>
      <c r="H409">
        <f>Dashboard_Live_Data!M163</f>
        <v/>
      </c>
    </row>
    <row r="410">
      <c r="A410">
        <f>Dashboard_Live_Data!I164</f>
        <v/>
      </c>
      <c r="B410">
        <f>Dashboard_Live_Data!J164</f>
        <v/>
      </c>
      <c r="C410">
        <f>Dashboard_Live_Data!I164</f>
        <v/>
      </c>
      <c r="D410">
        <f>Dashboard_Live_Data!K164</f>
        <v/>
      </c>
      <c r="E410">
        <f>Dashboard_Live_Data!I164</f>
        <v/>
      </c>
      <c r="F410">
        <f>Dashboard_Live_Data!L164</f>
        <v/>
      </c>
      <c r="G410">
        <f>Dashboard_Live_Data!I164</f>
        <v/>
      </c>
      <c r="H410">
        <f>Dashboard_Live_Data!M164</f>
        <v/>
      </c>
    </row>
    <row r="411">
      <c r="A411">
        <f>Dashboard_Live_Data!I165</f>
        <v/>
      </c>
      <c r="B411">
        <f>Dashboard_Live_Data!J165</f>
        <v/>
      </c>
      <c r="C411">
        <f>Dashboard_Live_Data!I165</f>
        <v/>
      </c>
      <c r="D411">
        <f>Dashboard_Live_Data!K165</f>
        <v/>
      </c>
      <c r="E411">
        <f>Dashboard_Live_Data!I165</f>
        <v/>
      </c>
      <c r="F411">
        <f>Dashboard_Live_Data!L165</f>
        <v/>
      </c>
      <c r="G411">
        <f>Dashboard_Live_Data!I165</f>
        <v/>
      </c>
      <c r="H411">
        <f>Dashboard_Live_Data!M165</f>
        <v/>
      </c>
    </row>
    <row r="412">
      <c r="A412">
        <f>Dashboard_Live_Data!I166</f>
        <v/>
      </c>
      <c r="B412">
        <f>Dashboard_Live_Data!J166</f>
        <v/>
      </c>
      <c r="C412">
        <f>Dashboard_Live_Data!I166</f>
        <v/>
      </c>
      <c r="D412">
        <f>Dashboard_Live_Data!K166</f>
        <v/>
      </c>
      <c r="E412">
        <f>Dashboard_Live_Data!I166</f>
        <v/>
      </c>
      <c r="F412">
        <f>Dashboard_Live_Data!L166</f>
        <v/>
      </c>
      <c r="G412">
        <f>Dashboard_Live_Data!I166</f>
        <v/>
      </c>
      <c r="H412">
        <f>Dashboard_Live_Data!M166</f>
        <v/>
      </c>
    </row>
    <row r="413">
      <c r="A413">
        <f>Dashboard_Live_Data!I167</f>
        <v/>
      </c>
      <c r="B413">
        <f>Dashboard_Live_Data!J167</f>
        <v/>
      </c>
      <c r="C413">
        <f>Dashboard_Live_Data!I167</f>
        <v/>
      </c>
      <c r="D413">
        <f>Dashboard_Live_Data!K167</f>
        <v/>
      </c>
      <c r="E413">
        <f>Dashboard_Live_Data!I167</f>
        <v/>
      </c>
      <c r="F413">
        <f>Dashboard_Live_Data!L167</f>
        <v/>
      </c>
      <c r="G413">
        <f>Dashboard_Live_Data!I167</f>
        <v/>
      </c>
      <c r="H413">
        <f>Dashboard_Live_Data!M167</f>
        <v/>
      </c>
    </row>
    <row r="414">
      <c r="A414">
        <f>Dashboard_Live_Data!I168</f>
        <v/>
      </c>
      <c r="B414">
        <f>Dashboard_Live_Data!J168</f>
        <v/>
      </c>
      <c r="C414">
        <f>Dashboard_Live_Data!I168</f>
        <v/>
      </c>
      <c r="D414">
        <f>Dashboard_Live_Data!K168</f>
        <v/>
      </c>
      <c r="E414">
        <f>Dashboard_Live_Data!I168</f>
        <v/>
      </c>
      <c r="F414">
        <f>Dashboard_Live_Data!L168</f>
        <v/>
      </c>
      <c r="G414">
        <f>Dashboard_Live_Data!I168</f>
        <v/>
      </c>
      <c r="H414">
        <f>Dashboard_Live_Data!M168</f>
        <v/>
      </c>
    </row>
    <row r="415">
      <c r="A415">
        <f>Dashboard_Live_Data!I169</f>
        <v/>
      </c>
      <c r="B415">
        <f>Dashboard_Live_Data!J169</f>
        <v/>
      </c>
      <c r="C415">
        <f>Dashboard_Live_Data!I169</f>
        <v/>
      </c>
      <c r="D415">
        <f>Dashboard_Live_Data!K169</f>
        <v/>
      </c>
      <c r="E415">
        <f>Dashboard_Live_Data!I169</f>
        <v/>
      </c>
      <c r="F415">
        <f>Dashboard_Live_Data!L169</f>
        <v/>
      </c>
      <c r="G415">
        <f>Dashboard_Live_Data!I169</f>
        <v/>
      </c>
      <c r="H415">
        <f>Dashboard_Live_Data!M169</f>
        <v/>
      </c>
    </row>
    <row r="416">
      <c r="A416">
        <f>Dashboard_Live_Data!I170</f>
        <v/>
      </c>
      <c r="B416">
        <f>Dashboard_Live_Data!J170</f>
        <v/>
      </c>
      <c r="C416">
        <f>Dashboard_Live_Data!I170</f>
        <v/>
      </c>
      <c r="D416">
        <f>Dashboard_Live_Data!K170</f>
        <v/>
      </c>
      <c r="E416">
        <f>Dashboard_Live_Data!I170</f>
        <v/>
      </c>
      <c r="F416">
        <f>Dashboard_Live_Data!L170</f>
        <v/>
      </c>
      <c r="G416">
        <f>Dashboard_Live_Data!I170</f>
        <v/>
      </c>
      <c r="H416">
        <f>Dashboard_Live_Data!M170</f>
        <v/>
      </c>
    </row>
    <row r="417">
      <c r="A417">
        <f>Dashboard_Live_Data!I171</f>
        <v/>
      </c>
      <c r="B417">
        <f>Dashboard_Live_Data!J171</f>
        <v/>
      </c>
      <c r="C417">
        <f>Dashboard_Live_Data!I171</f>
        <v/>
      </c>
      <c r="D417">
        <f>Dashboard_Live_Data!K171</f>
        <v/>
      </c>
      <c r="E417">
        <f>Dashboard_Live_Data!I171</f>
        <v/>
      </c>
      <c r="F417">
        <f>Dashboard_Live_Data!L171</f>
        <v/>
      </c>
      <c r="G417">
        <f>Dashboard_Live_Data!I171</f>
        <v/>
      </c>
      <c r="H417">
        <f>Dashboard_Live_Data!M171</f>
        <v/>
      </c>
    </row>
    <row r="418">
      <c r="A418">
        <f>Dashboard_Live_Data!I172</f>
        <v/>
      </c>
      <c r="B418">
        <f>Dashboard_Live_Data!J172</f>
        <v/>
      </c>
      <c r="C418">
        <f>Dashboard_Live_Data!I172</f>
        <v/>
      </c>
      <c r="D418">
        <f>Dashboard_Live_Data!K172</f>
        <v/>
      </c>
      <c r="E418">
        <f>Dashboard_Live_Data!I172</f>
        <v/>
      </c>
      <c r="F418">
        <f>Dashboard_Live_Data!L172</f>
        <v/>
      </c>
      <c r="G418">
        <f>Dashboard_Live_Data!I172</f>
        <v/>
      </c>
      <c r="H418">
        <f>Dashboard_Live_Data!M172</f>
        <v/>
      </c>
    </row>
    <row r="419">
      <c r="A419">
        <f>Dashboard_Live_Data!I173</f>
        <v/>
      </c>
      <c r="B419">
        <f>Dashboard_Live_Data!J173</f>
        <v/>
      </c>
      <c r="C419">
        <f>Dashboard_Live_Data!I173</f>
        <v/>
      </c>
      <c r="D419">
        <f>Dashboard_Live_Data!K173</f>
        <v/>
      </c>
      <c r="E419">
        <f>Dashboard_Live_Data!I173</f>
        <v/>
      </c>
      <c r="F419">
        <f>Dashboard_Live_Data!L173</f>
        <v/>
      </c>
      <c r="G419">
        <f>Dashboard_Live_Data!I173</f>
        <v/>
      </c>
      <c r="H419">
        <f>Dashboard_Live_Data!M173</f>
        <v/>
      </c>
    </row>
    <row r="420">
      <c r="A420">
        <f>Dashboard_Live_Data!I174</f>
        <v/>
      </c>
      <c r="B420">
        <f>Dashboard_Live_Data!J174</f>
        <v/>
      </c>
      <c r="C420">
        <f>Dashboard_Live_Data!I174</f>
        <v/>
      </c>
      <c r="D420">
        <f>Dashboard_Live_Data!K174</f>
        <v/>
      </c>
      <c r="E420">
        <f>Dashboard_Live_Data!I174</f>
        <v/>
      </c>
      <c r="F420">
        <f>Dashboard_Live_Data!L174</f>
        <v/>
      </c>
      <c r="G420">
        <f>Dashboard_Live_Data!I174</f>
        <v/>
      </c>
      <c r="H420">
        <f>Dashboard_Live_Data!M174</f>
        <v/>
      </c>
    </row>
    <row r="421">
      <c r="A421">
        <f>Dashboard_Live_Data!I175</f>
        <v/>
      </c>
      <c r="B421">
        <f>Dashboard_Live_Data!J175</f>
        <v/>
      </c>
      <c r="C421">
        <f>Dashboard_Live_Data!I175</f>
        <v/>
      </c>
      <c r="D421">
        <f>Dashboard_Live_Data!K175</f>
        <v/>
      </c>
      <c r="E421">
        <f>Dashboard_Live_Data!I175</f>
        <v/>
      </c>
      <c r="F421">
        <f>Dashboard_Live_Data!L175</f>
        <v/>
      </c>
      <c r="G421">
        <f>Dashboard_Live_Data!I175</f>
        <v/>
      </c>
      <c r="H421">
        <f>Dashboard_Live_Data!M175</f>
        <v/>
      </c>
    </row>
    <row r="422">
      <c r="A422">
        <f>Dashboard_Live_Data!I176</f>
        <v/>
      </c>
      <c r="B422">
        <f>Dashboard_Live_Data!J176</f>
        <v/>
      </c>
      <c r="C422">
        <f>Dashboard_Live_Data!I176</f>
        <v/>
      </c>
      <c r="D422">
        <f>Dashboard_Live_Data!K176</f>
        <v/>
      </c>
      <c r="E422">
        <f>Dashboard_Live_Data!I176</f>
        <v/>
      </c>
      <c r="F422">
        <f>Dashboard_Live_Data!L176</f>
        <v/>
      </c>
      <c r="G422">
        <f>Dashboard_Live_Data!I176</f>
        <v/>
      </c>
      <c r="H422">
        <f>Dashboard_Live_Data!M176</f>
        <v/>
      </c>
    </row>
    <row r="423">
      <c r="A423">
        <f>Dashboard_Live_Data!I177</f>
        <v/>
      </c>
      <c r="B423">
        <f>Dashboard_Live_Data!J177</f>
        <v/>
      </c>
      <c r="C423">
        <f>Dashboard_Live_Data!I177</f>
        <v/>
      </c>
      <c r="D423">
        <f>Dashboard_Live_Data!K177</f>
        <v/>
      </c>
      <c r="E423">
        <f>Dashboard_Live_Data!I177</f>
        <v/>
      </c>
      <c r="F423">
        <f>Dashboard_Live_Data!L177</f>
        <v/>
      </c>
      <c r="G423">
        <f>Dashboard_Live_Data!I177</f>
        <v/>
      </c>
      <c r="H423">
        <f>Dashboard_Live_Data!M177</f>
        <v/>
      </c>
    </row>
    <row r="424">
      <c r="A424">
        <f>Dashboard_Live_Data!I178</f>
        <v/>
      </c>
      <c r="B424">
        <f>Dashboard_Live_Data!J178</f>
        <v/>
      </c>
      <c r="C424">
        <f>Dashboard_Live_Data!I178</f>
        <v/>
      </c>
      <c r="D424">
        <f>Dashboard_Live_Data!K178</f>
        <v/>
      </c>
      <c r="E424">
        <f>Dashboard_Live_Data!I178</f>
        <v/>
      </c>
      <c r="F424">
        <f>Dashboard_Live_Data!L178</f>
        <v/>
      </c>
      <c r="G424">
        <f>Dashboard_Live_Data!I178</f>
        <v/>
      </c>
      <c r="H424">
        <f>Dashboard_Live_Data!M178</f>
        <v/>
      </c>
    </row>
    <row r="425">
      <c r="A425">
        <f>Dashboard_Live_Data!I179</f>
        <v/>
      </c>
      <c r="B425">
        <f>Dashboard_Live_Data!J179</f>
        <v/>
      </c>
      <c r="C425">
        <f>Dashboard_Live_Data!I179</f>
        <v/>
      </c>
      <c r="D425">
        <f>Dashboard_Live_Data!K179</f>
        <v/>
      </c>
      <c r="E425">
        <f>Dashboard_Live_Data!I179</f>
        <v/>
      </c>
      <c r="F425">
        <f>Dashboard_Live_Data!L179</f>
        <v/>
      </c>
      <c r="G425">
        <f>Dashboard_Live_Data!I179</f>
        <v/>
      </c>
      <c r="H425">
        <f>Dashboard_Live_Data!M179</f>
        <v/>
      </c>
    </row>
    <row r="426">
      <c r="A426">
        <f>Dashboard_Live_Data!I180</f>
        <v/>
      </c>
      <c r="B426">
        <f>Dashboard_Live_Data!J180</f>
        <v/>
      </c>
      <c r="C426">
        <f>Dashboard_Live_Data!I180</f>
        <v/>
      </c>
      <c r="D426">
        <f>Dashboard_Live_Data!K180</f>
        <v/>
      </c>
      <c r="E426">
        <f>Dashboard_Live_Data!I180</f>
        <v/>
      </c>
      <c r="F426">
        <f>Dashboard_Live_Data!L180</f>
        <v/>
      </c>
      <c r="G426">
        <f>Dashboard_Live_Data!I180</f>
        <v/>
      </c>
      <c r="H426">
        <f>Dashboard_Live_Data!M180</f>
        <v/>
      </c>
    </row>
    <row r="427">
      <c r="A427">
        <f>Dashboard_Live_Data!I181</f>
        <v/>
      </c>
      <c r="B427">
        <f>Dashboard_Live_Data!J181</f>
        <v/>
      </c>
      <c r="C427">
        <f>Dashboard_Live_Data!I181</f>
        <v/>
      </c>
      <c r="D427">
        <f>Dashboard_Live_Data!K181</f>
        <v/>
      </c>
      <c r="E427">
        <f>Dashboard_Live_Data!I181</f>
        <v/>
      </c>
      <c r="F427">
        <f>Dashboard_Live_Data!L181</f>
        <v/>
      </c>
      <c r="G427">
        <f>Dashboard_Live_Data!I181</f>
        <v/>
      </c>
      <c r="H427">
        <f>Dashboard_Live_Data!M181</f>
        <v/>
      </c>
    </row>
    <row r="428">
      <c r="A428">
        <f>Dashboard_Live_Data!I182</f>
        <v/>
      </c>
      <c r="B428">
        <f>Dashboard_Live_Data!J182</f>
        <v/>
      </c>
      <c r="C428">
        <f>Dashboard_Live_Data!I182</f>
        <v/>
      </c>
      <c r="D428">
        <f>Dashboard_Live_Data!K182</f>
        <v/>
      </c>
      <c r="E428">
        <f>Dashboard_Live_Data!I182</f>
        <v/>
      </c>
      <c r="F428">
        <f>Dashboard_Live_Data!L182</f>
        <v/>
      </c>
      <c r="G428">
        <f>Dashboard_Live_Data!I182</f>
        <v/>
      </c>
      <c r="H428">
        <f>Dashboard_Live_Data!M182</f>
        <v/>
      </c>
    </row>
    <row r="429">
      <c r="A429">
        <f>Dashboard_Live_Data!I183</f>
        <v/>
      </c>
      <c r="B429">
        <f>Dashboard_Live_Data!J183</f>
        <v/>
      </c>
      <c r="C429">
        <f>Dashboard_Live_Data!I183</f>
        <v/>
      </c>
      <c r="D429">
        <f>Dashboard_Live_Data!K183</f>
        <v/>
      </c>
      <c r="E429">
        <f>Dashboard_Live_Data!I183</f>
        <v/>
      </c>
      <c r="F429">
        <f>Dashboard_Live_Data!L183</f>
        <v/>
      </c>
      <c r="G429">
        <f>Dashboard_Live_Data!I183</f>
        <v/>
      </c>
      <c r="H429">
        <f>Dashboard_Live_Data!M183</f>
        <v/>
      </c>
    </row>
    <row r="430">
      <c r="A430">
        <f>Dashboard_Live_Data!I184</f>
        <v/>
      </c>
      <c r="B430">
        <f>Dashboard_Live_Data!J184</f>
        <v/>
      </c>
      <c r="C430">
        <f>Dashboard_Live_Data!I184</f>
        <v/>
      </c>
      <c r="D430">
        <f>Dashboard_Live_Data!K184</f>
        <v/>
      </c>
      <c r="E430">
        <f>Dashboard_Live_Data!I184</f>
        <v/>
      </c>
      <c r="F430">
        <f>Dashboard_Live_Data!L184</f>
        <v/>
      </c>
      <c r="G430">
        <f>Dashboard_Live_Data!I184</f>
        <v/>
      </c>
      <c r="H430">
        <f>Dashboard_Live_Data!M184</f>
        <v/>
      </c>
    </row>
    <row r="431">
      <c r="A431">
        <f>Dashboard_Live_Data!I185</f>
        <v/>
      </c>
      <c r="B431">
        <f>Dashboard_Live_Data!J185</f>
        <v/>
      </c>
      <c r="C431">
        <f>Dashboard_Live_Data!I185</f>
        <v/>
      </c>
      <c r="D431">
        <f>Dashboard_Live_Data!K185</f>
        <v/>
      </c>
      <c r="E431">
        <f>Dashboard_Live_Data!I185</f>
        <v/>
      </c>
      <c r="F431">
        <f>Dashboard_Live_Data!L185</f>
        <v/>
      </c>
      <c r="G431">
        <f>Dashboard_Live_Data!I185</f>
        <v/>
      </c>
      <c r="H431">
        <f>Dashboard_Live_Data!M185</f>
        <v/>
      </c>
    </row>
    <row r="432">
      <c r="A432">
        <f>Dashboard_Live_Data!I186</f>
        <v/>
      </c>
      <c r="B432">
        <f>Dashboard_Live_Data!J186</f>
        <v/>
      </c>
      <c r="C432">
        <f>Dashboard_Live_Data!I186</f>
        <v/>
      </c>
      <c r="D432">
        <f>Dashboard_Live_Data!K186</f>
        <v/>
      </c>
      <c r="E432">
        <f>Dashboard_Live_Data!I186</f>
        <v/>
      </c>
      <c r="F432">
        <f>Dashboard_Live_Data!L186</f>
        <v/>
      </c>
      <c r="G432">
        <f>Dashboard_Live_Data!I186</f>
        <v/>
      </c>
      <c r="H432">
        <f>Dashboard_Live_Data!M186</f>
        <v/>
      </c>
    </row>
    <row r="433">
      <c r="A433">
        <f>Dashboard_Live_Data!I187</f>
        <v/>
      </c>
      <c r="B433">
        <f>Dashboard_Live_Data!J187</f>
        <v/>
      </c>
      <c r="C433">
        <f>Dashboard_Live_Data!I187</f>
        <v/>
      </c>
      <c r="D433">
        <f>Dashboard_Live_Data!K187</f>
        <v/>
      </c>
      <c r="E433">
        <f>Dashboard_Live_Data!I187</f>
        <v/>
      </c>
      <c r="F433">
        <f>Dashboard_Live_Data!L187</f>
        <v/>
      </c>
      <c r="G433">
        <f>Dashboard_Live_Data!I187</f>
        <v/>
      </c>
      <c r="H433">
        <f>Dashboard_Live_Data!M187</f>
        <v/>
      </c>
    </row>
    <row r="434">
      <c r="A434">
        <f>Dashboard_Live_Data!I188</f>
        <v/>
      </c>
      <c r="B434">
        <f>Dashboard_Live_Data!J188</f>
        <v/>
      </c>
      <c r="C434">
        <f>Dashboard_Live_Data!I188</f>
        <v/>
      </c>
      <c r="D434">
        <f>Dashboard_Live_Data!K188</f>
        <v/>
      </c>
      <c r="E434">
        <f>Dashboard_Live_Data!I188</f>
        <v/>
      </c>
      <c r="F434">
        <f>Dashboard_Live_Data!L188</f>
        <v/>
      </c>
      <c r="G434">
        <f>Dashboard_Live_Data!I188</f>
        <v/>
      </c>
      <c r="H434">
        <f>Dashboard_Live_Data!M188</f>
        <v/>
      </c>
    </row>
    <row r="435">
      <c r="A435">
        <f>Dashboard_Live_Data!I189</f>
        <v/>
      </c>
      <c r="B435">
        <f>Dashboard_Live_Data!J189</f>
        <v/>
      </c>
      <c r="C435">
        <f>Dashboard_Live_Data!I189</f>
        <v/>
      </c>
      <c r="D435">
        <f>Dashboard_Live_Data!K189</f>
        <v/>
      </c>
      <c r="E435">
        <f>Dashboard_Live_Data!I189</f>
        <v/>
      </c>
      <c r="F435">
        <f>Dashboard_Live_Data!L189</f>
        <v/>
      </c>
      <c r="G435">
        <f>Dashboard_Live_Data!I189</f>
        <v/>
      </c>
      <c r="H435">
        <f>Dashboard_Live_Data!M189</f>
        <v/>
      </c>
    </row>
    <row r="436">
      <c r="A436">
        <f>Dashboard_Live_Data!I190</f>
        <v/>
      </c>
      <c r="B436">
        <f>Dashboard_Live_Data!J190</f>
        <v/>
      </c>
      <c r="C436">
        <f>Dashboard_Live_Data!I190</f>
        <v/>
      </c>
      <c r="D436">
        <f>Dashboard_Live_Data!K190</f>
        <v/>
      </c>
      <c r="E436">
        <f>Dashboard_Live_Data!I190</f>
        <v/>
      </c>
      <c r="F436">
        <f>Dashboard_Live_Data!L190</f>
        <v/>
      </c>
      <c r="G436">
        <f>Dashboard_Live_Data!I190</f>
        <v/>
      </c>
      <c r="H436">
        <f>Dashboard_Live_Data!M190</f>
        <v/>
      </c>
    </row>
    <row r="437">
      <c r="A437">
        <f>Dashboard_Live_Data!I191</f>
        <v/>
      </c>
      <c r="B437">
        <f>Dashboard_Live_Data!J191</f>
        <v/>
      </c>
      <c r="C437">
        <f>Dashboard_Live_Data!I191</f>
        <v/>
      </c>
      <c r="D437">
        <f>Dashboard_Live_Data!K191</f>
        <v/>
      </c>
      <c r="E437">
        <f>Dashboard_Live_Data!I191</f>
        <v/>
      </c>
      <c r="F437">
        <f>Dashboard_Live_Data!L191</f>
        <v/>
      </c>
      <c r="G437">
        <f>Dashboard_Live_Data!I191</f>
        <v/>
      </c>
      <c r="H437">
        <f>Dashboard_Live_Data!M191</f>
        <v/>
      </c>
    </row>
    <row r="438">
      <c r="A438">
        <f>Dashboard_Live_Data!I192</f>
        <v/>
      </c>
      <c r="B438">
        <f>Dashboard_Live_Data!J192</f>
        <v/>
      </c>
      <c r="C438">
        <f>Dashboard_Live_Data!I192</f>
        <v/>
      </c>
      <c r="D438">
        <f>Dashboard_Live_Data!K192</f>
        <v/>
      </c>
      <c r="E438">
        <f>Dashboard_Live_Data!I192</f>
        <v/>
      </c>
      <c r="F438">
        <f>Dashboard_Live_Data!L192</f>
        <v/>
      </c>
      <c r="G438">
        <f>Dashboard_Live_Data!I192</f>
        <v/>
      </c>
      <c r="H438">
        <f>Dashboard_Live_Data!M192</f>
        <v/>
      </c>
    </row>
    <row r="439">
      <c r="A439">
        <f>Dashboard_Live_Data!I193</f>
        <v/>
      </c>
      <c r="B439">
        <f>Dashboard_Live_Data!J193</f>
        <v/>
      </c>
      <c r="C439">
        <f>Dashboard_Live_Data!I193</f>
        <v/>
      </c>
      <c r="D439">
        <f>Dashboard_Live_Data!K193</f>
        <v/>
      </c>
      <c r="E439">
        <f>Dashboard_Live_Data!I193</f>
        <v/>
      </c>
      <c r="F439">
        <f>Dashboard_Live_Data!L193</f>
        <v/>
      </c>
      <c r="G439">
        <f>Dashboard_Live_Data!I193</f>
        <v/>
      </c>
      <c r="H439">
        <f>Dashboard_Live_Data!M193</f>
        <v/>
      </c>
    </row>
    <row r="440">
      <c r="A440">
        <f>Dashboard_Live_Data!I194</f>
        <v/>
      </c>
      <c r="B440">
        <f>Dashboard_Live_Data!J194</f>
        <v/>
      </c>
      <c r="C440">
        <f>Dashboard_Live_Data!I194</f>
        <v/>
      </c>
      <c r="D440">
        <f>Dashboard_Live_Data!K194</f>
        <v/>
      </c>
      <c r="E440">
        <f>Dashboard_Live_Data!I194</f>
        <v/>
      </c>
      <c r="F440">
        <f>Dashboard_Live_Data!L194</f>
        <v/>
      </c>
      <c r="G440">
        <f>Dashboard_Live_Data!I194</f>
        <v/>
      </c>
      <c r="H440">
        <f>Dashboard_Live_Data!M194</f>
        <v/>
      </c>
    </row>
    <row r="441">
      <c r="A441">
        <f>Dashboard_Live_Data!I195</f>
        <v/>
      </c>
      <c r="B441">
        <f>Dashboard_Live_Data!J195</f>
        <v/>
      </c>
      <c r="C441">
        <f>Dashboard_Live_Data!I195</f>
        <v/>
      </c>
      <c r="D441">
        <f>Dashboard_Live_Data!K195</f>
        <v/>
      </c>
      <c r="E441">
        <f>Dashboard_Live_Data!I195</f>
        <v/>
      </c>
      <c r="F441">
        <f>Dashboard_Live_Data!L195</f>
        <v/>
      </c>
      <c r="G441">
        <f>Dashboard_Live_Data!I195</f>
        <v/>
      </c>
      <c r="H441">
        <f>Dashboard_Live_Data!M195</f>
        <v/>
      </c>
    </row>
    <row r="442">
      <c r="A442">
        <f>Dashboard_Live_Data!I196</f>
        <v/>
      </c>
      <c r="B442">
        <f>Dashboard_Live_Data!J196</f>
        <v/>
      </c>
      <c r="C442">
        <f>Dashboard_Live_Data!I196</f>
        <v/>
      </c>
      <c r="D442">
        <f>Dashboard_Live_Data!K196</f>
        <v/>
      </c>
      <c r="E442">
        <f>Dashboard_Live_Data!I196</f>
        <v/>
      </c>
      <c r="F442">
        <f>Dashboard_Live_Data!L196</f>
        <v/>
      </c>
      <c r="G442">
        <f>Dashboard_Live_Data!I196</f>
        <v/>
      </c>
      <c r="H442">
        <f>Dashboard_Live_Data!M196</f>
        <v/>
      </c>
    </row>
    <row r="443">
      <c r="A443">
        <f>Dashboard_Live_Data!I197</f>
        <v/>
      </c>
      <c r="B443">
        <f>Dashboard_Live_Data!J197</f>
        <v/>
      </c>
      <c r="C443">
        <f>Dashboard_Live_Data!I197</f>
        <v/>
      </c>
      <c r="D443">
        <f>Dashboard_Live_Data!K197</f>
        <v/>
      </c>
      <c r="E443">
        <f>Dashboard_Live_Data!I197</f>
        <v/>
      </c>
      <c r="F443">
        <f>Dashboard_Live_Data!L197</f>
        <v/>
      </c>
      <c r="G443">
        <f>Dashboard_Live_Data!I197</f>
        <v/>
      </c>
      <c r="H443">
        <f>Dashboard_Live_Data!M197</f>
        <v/>
      </c>
    </row>
    <row r="444">
      <c r="A444">
        <f>Dashboard_Live_Data!I198</f>
        <v/>
      </c>
      <c r="B444">
        <f>Dashboard_Live_Data!J198</f>
        <v/>
      </c>
      <c r="C444">
        <f>Dashboard_Live_Data!I198</f>
        <v/>
      </c>
      <c r="D444">
        <f>Dashboard_Live_Data!K198</f>
        <v/>
      </c>
      <c r="E444">
        <f>Dashboard_Live_Data!I198</f>
        <v/>
      </c>
      <c r="F444">
        <f>Dashboard_Live_Data!L198</f>
        <v/>
      </c>
      <c r="G444">
        <f>Dashboard_Live_Data!I198</f>
        <v/>
      </c>
      <c r="H444">
        <f>Dashboard_Live_Data!M198</f>
        <v/>
      </c>
    </row>
    <row r="445">
      <c r="A445">
        <f>Dashboard_Live_Data!I199</f>
        <v/>
      </c>
      <c r="B445">
        <f>Dashboard_Live_Data!J199</f>
        <v/>
      </c>
      <c r="C445">
        <f>Dashboard_Live_Data!I199</f>
        <v/>
      </c>
      <c r="D445">
        <f>Dashboard_Live_Data!K199</f>
        <v/>
      </c>
      <c r="E445">
        <f>Dashboard_Live_Data!I199</f>
        <v/>
      </c>
      <c r="F445">
        <f>Dashboard_Live_Data!L199</f>
        <v/>
      </c>
      <c r="G445">
        <f>Dashboard_Live_Data!I199</f>
        <v/>
      </c>
      <c r="H445">
        <f>Dashboard_Live_Data!M199</f>
        <v/>
      </c>
    </row>
    <row r="446">
      <c r="A446">
        <f>Dashboard_Live_Data!I200</f>
        <v/>
      </c>
      <c r="B446">
        <f>Dashboard_Live_Data!J200</f>
        <v/>
      </c>
      <c r="C446">
        <f>Dashboard_Live_Data!I200</f>
        <v/>
      </c>
      <c r="D446">
        <f>Dashboard_Live_Data!K200</f>
        <v/>
      </c>
      <c r="E446">
        <f>Dashboard_Live_Data!I200</f>
        <v/>
      </c>
      <c r="F446">
        <f>Dashboard_Live_Data!L200</f>
        <v/>
      </c>
      <c r="G446">
        <f>Dashboard_Live_Data!I200</f>
        <v/>
      </c>
      <c r="H446">
        <f>Dashboard_Live_Data!M200</f>
        <v/>
      </c>
    </row>
    <row r="447">
      <c r="A447">
        <f>Dashboard_Live_Data!I201</f>
        <v/>
      </c>
      <c r="B447">
        <f>Dashboard_Live_Data!J201</f>
        <v/>
      </c>
      <c r="C447">
        <f>Dashboard_Live_Data!I201</f>
        <v/>
      </c>
      <c r="D447">
        <f>Dashboard_Live_Data!K201</f>
        <v/>
      </c>
      <c r="E447">
        <f>Dashboard_Live_Data!I201</f>
        <v/>
      </c>
      <c r="F447">
        <f>Dashboard_Live_Data!L201</f>
        <v/>
      </c>
      <c r="G447">
        <f>Dashboard_Live_Data!I201</f>
        <v/>
      </c>
      <c r="H447">
        <f>Dashboard_Live_Data!M201</f>
        <v/>
      </c>
    </row>
    <row r="448">
      <c r="A448">
        <f>Dashboard_Live_Data!I202</f>
        <v/>
      </c>
      <c r="B448">
        <f>Dashboard_Live_Data!J202</f>
        <v/>
      </c>
      <c r="C448">
        <f>Dashboard_Live_Data!I202</f>
        <v/>
      </c>
      <c r="D448">
        <f>Dashboard_Live_Data!K202</f>
        <v/>
      </c>
      <c r="E448">
        <f>Dashboard_Live_Data!I202</f>
        <v/>
      </c>
      <c r="F448">
        <f>Dashboard_Live_Data!L202</f>
        <v/>
      </c>
      <c r="G448">
        <f>Dashboard_Live_Data!I202</f>
        <v/>
      </c>
      <c r="H448">
        <f>Dashboard_Live_Data!M202</f>
        <v/>
      </c>
    </row>
    <row r="449">
      <c r="A449">
        <f>Dashboard_Live_Data!I203</f>
        <v/>
      </c>
      <c r="B449">
        <f>Dashboard_Live_Data!J203</f>
        <v/>
      </c>
      <c r="C449">
        <f>Dashboard_Live_Data!I203</f>
        <v/>
      </c>
      <c r="D449">
        <f>Dashboard_Live_Data!K203</f>
        <v/>
      </c>
      <c r="E449">
        <f>Dashboard_Live_Data!I203</f>
        <v/>
      </c>
      <c r="F449">
        <f>Dashboard_Live_Data!L203</f>
        <v/>
      </c>
      <c r="G449">
        <f>Dashboard_Live_Data!I203</f>
        <v/>
      </c>
      <c r="H449">
        <f>Dashboard_Live_Data!M203</f>
        <v/>
      </c>
    </row>
    <row r="450">
      <c r="A450">
        <f>Dashboard_Live_Data!I204</f>
        <v/>
      </c>
      <c r="B450">
        <f>Dashboard_Live_Data!J204</f>
        <v/>
      </c>
      <c r="C450">
        <f>Dashboard_Live_Data!I204</f>
        <v/>
      </c>
      <c r="D450">
        <f>Dashboard_Live_Data!K204</f>
        <v/>
      </c>
      <c r="E450">
        <f>Dashboard_Live_Data!I204</f>
        <v/>
      </c>
      <c r="F450">
        <f>Dashboard_Live_Data!L204</f>
        <v/>
      </c>
      <c r="G450">
        <f>Dashboard_Live_Data!I204</f>
        <v/>
      </c>
      <c r="H450">
        <f>Dashboard_Live_Data!M204</f>
        <v/>
      </c>
    </row>
    <row r="451">
      <c r="A451">
        <f>Dashboard_Live_Data!I205</f>
        <v/>
      </c>
      <c r="B451">
        <f>Dashboard_Live_Data!J205</f>
        <v/>
      </c>
      <c r="C451">
        <f>Dashboard_Live_Data!I205</f>
        <v/>
      </c>
      <c r="D451">
        <f>Dashboard_Live_Data!K205</f>
        <v/>
      </c>
      <c r="E451">
        <f>Dashboard_Live_Data!I205</f>
        <v/>
      </c>
      <c r="F451">
        <f>Dashboard_Live_Data!L205</f>
        <v/>
      </c>
      <c r="G451">
        <f>Dashboard_Live_Data!I205</f>
        <v/>
      </c>
      <c r="H451">
        <f>Dashboard_Live_Data!M205</f>
        <v/>
      </c>
    </row>
    <row r="452">
      <c r="A452">
        <f>Dashboard_Live_Data!I206</f>
        <v/>
      </c>
      <c r="B452">
        <f>Dashboard_Live_Data!J206</f>
        <v/>
      </c>
      <c r="C452">
        <f>Dashboard_Live_Data!I206</f>
        <v/>
      </c>
      <c r="D452">
        <f>Dashboard_Live_Data!K206</f>
        <v/>
      </c>
      <c r="E452">
        <f>Dashboard_Live_Data!I206</f>
        <v/>
      </c>
      <c r="F452">
        <f>Dashboard_Live_Data!L206</f>
        <v/>
      </c>
      <c r="G452">
        <f>Dashboard_Live_Data!I206</f>
        <v/>
      </c>
      <c r="H452">
        <f>Dashboard_Live_Data!M206</f>
        <v/>
      </c>
    </row>
    <row r="453">
      <c r="A453">
        <f>Dashboard_Live_Data!I207</f>
        <v/>
      </c>
      <c r="B453">
        <f>Dashboard_Live_Data!J207</f>
        <v/>
      </c>
      <c r="C453">
        <f>Dashboard_Live_Data!I207</f>
        <v/>
      </c>
      <c r="D453">
        <f>Dashboard_Live_Data!K207</f>
        <v/>
      </c>
      <c r="E453">
        <f>Dashboard_Live_Data!I207</f>
        <v/>
      </c>
      <c r="F453">
        <f>Dashboard_Live_Data!L207</f>
        <v/>
      </c>
      <c r="G453">
        <f>Dashboard_Live_Data!I207</f>
        <v/>
      </c>
      <c r="H453">
        <f>Dashboard_Live_Data!M207</f>
        <v/>
      </c>
    </row>
    <row r="454">
      <c r="A454">
        <f>Dashboard_Live_Data!I208</f>
        <v/>
      </c>
      <c r="B454">
        <f>Dashboard_Live_Data!J208</f>
        <v/>
      </c>
      <c r="C454">
        <f>Dashboard_Live_Data!I208</f>
        <v/>
      </c>
      <c r="D454">
        <f>Dashboard_Live_Data!K208</f>
        <v/>
      </c>
      <c r="E454">
        <f>Dashboard_Live_Data!I208</f>
        <v/>
      </c>
      <c r="F454">
        <f>Dashboard_Live_Data!L208</f>
        <v/>
      </c>
      <c r="G454">
        <f>Dashboard_Live_Data!I208</f>
        <v/>
      </c>
      <c r="H454">
        <f>Dashboard_Live_Data!M208</f>
        <v/>
      </c>
    </row>
    <row r="455">
      <c r="A455">
        <f>Dashboard_Live_Data!I209</f>
        <v/>
      </c>
      <c r="B455">
        <f>Dashboard_Live_Data!J209</f>
        <v/>
      </c>
      <c r="C455">
        <f>Dashboard_Live_Data!I209</f>
        <v/>
      </c>
      <c r="D455">
        <f>Dashboard_Live_Data!K209</f>
        <v/>
      </c>
      <c r="E455">
        <f>Dashboard_Live_Data!I209</f>
        <v/>
      </c>
      <c r="F455">
        <f>Dashboard_Live_Data!L209</f>
        <v/>
      </c>
      <c r="G455">
        <f>Dashboard_Live_Data!I209</f>
        <v/>
      </c>
      <c r="H455">
        <f>Dashboard_Live_Data!M209</f>
        <v/>
      </c>
    </row>
    <row r="456">
      <c r="A456">
        <f>Dashboard_Live_Data!I210</f>
        <v/>
      </c>
      <c r="B456">
        <f>Dashboard_Live_Data!J210</f>
        <v/>
      </c>
      <c r="C456">
        <f>Dashboard_Live_Data!I210</f>
        <v/>
      </c>
      <c r="D456">
        <f>Dashboard_Live_Data!K210</f>
        <v/>
      </c>
      <c r="E456">
        <f>Dashboard_Live_Data!I210</f>
        <v/>
      </c>
      <c r="F456">
        <f>Dashboard_Live_Data!L210</f>
        <v/>
      </c>
      <c r="G456">
        <f>Dashboard_Live_Data!I210</f>
        <v/>
      </c>
      <c r="H456">
        <f>Dashboard_Live_Data!M210</f>
        <v/>
      </c>
    </row>
    <row r="457">
      <c r="A457">
        <f>Dashboard_Live_Data!I211</f>
        <v/>
      </c>
      <c r="B457">
        <f>Dashboard_Live_Data!J211</f>
        <v/>
      </c>
      <c r="C457">
        <f>Dashboard_Live_Data!I211</f>
        <v/>
      </c>
      <c r="D457">
        <f>Dashboard_Live_Data!K211</f>
        <v/>
      </c>
      <c r="E457">
        <f>Dashboard_Live_Data!I211</f>
        <v/>
      </c>
      <c r="F457">
        <f>Dashboard_Live_Data!L211</f>
        <v/>
      </c>
      <c r="G457">
        <f>Dashboard_Live_Data!I211</f>
        <v/>
      </c>
      <c r="H457">
        <f>Dashboard_Live_Data!M211</f>
        <v/>
      </c>
    </row>
    <row r="458">
      <c r="A458">
        <f>Dashboard_Live_Data!I212</f>
        <v/>
      </c>
      <c r="B458">
        <f>Dashboard_Live_Data!J212</f>
        <v/>
      </c>
      <c r="C458">
        <f>Dashboard_Live_Data!I212</f>
        <v/>
      </c>
      <c r="D458">
        <f>Dashboard_Live_Data!K212</f>
        <v/>
      </c>
      <c r="E458">
        <f>Dashboard_Live_Data!I212</f>
        <v/>
      </c>
      <c r="F458">
        <f>Dashboard_Live_Data!L212</f>
        <v/>
      </c>
      <c r="G458">
        <f>Dashboard_Live_Data!I212</f>
        <v/>
      </c>
      <c r="H458">
        <f>Dashboard_Live_Data!M212</f>
        <v/>
      </c>
    </row>
    <row r="459">
      <c r="A459">
        <f>Dashboard_Live_Data!I213</f>
        <v/>
      </c>
      <c r="B459">
        <f>Dashboard_Live_Data!J213</f>
        <v/>
      </c>
      <c r="C459">
        <f>Dashboard_Live_Data!I213</f>
        <v/>
      </c>
      <c r="D459">
        <f>Dashboard_Live_Data!K213</f>
        <v/>
      </c>
      <c r="E459">
        <f>Dashboard_Live_Data!I213</f>
        <v/>
      </c>
      <c r="F459">
        <f>Dashboard_Live_Data!L213</f>
        <v/>
      </c>
      <c r="G459">
        <f>Dashboard_Live_Data!I213</f>
        <v/>
      </c>
      <c r="H459">
        <f>Dashboard_Live_Data!M213</f>
        <v/>
      </c>
    </row>
    <row r="460">
      <c r="A460">
        <f>Dashboard_Live_Data!I214</f>
        <v/>
      </c>
      <c r="B460">
        <f>Dashboard_Live_Data!J214</f>
        <v/>
      </c>
      <c r="C460">
        <f>Dashboard_Live_Data!I214</f>
        <v/>
      </c>
      <c r="D460">
        <f>Dashboard_Live_Data!K214</f>
        <v/>
      </c>
      <c r="E460">
        <f>Dashboard_Live_Data!I214</f>
        <v/>
      </c>
      <c r="F460">
        <f>Dashboard_Live_Data!L214</f>
        <v/>
      </c>
      <c r="G460">
        <f>Dashboard_Live_Data!I214</f>
        <v/>
      </c>
      <c r="H460">
        <f>Dashboard_Live_Data!M214</f>
        <v/>
      </c>
    </row>
    <row r="461">
      <c r="A461">
        <f>Dashboard_Live_Data!I215</f>
        <v/>
      </c>
      <c r="B461">
        <f>Dashboard_Live_Data!J215</f>
        <v/>
      </c>
      <c r="C461">
        <f>Dashboard_Live_Data!I215</f>
        <v/>
      </c>
      <c r="D461">
        <f>Dashboard_Live_Data!K215</f>
        <v/>
      </c>
      <c r="E461">
        <f>Dashboard_Live_Data!I215</f>
        <v/>
      </c>
      <c r="F461">
        <f>Dashboard_Live_Data!L215</f>
        <v/>
      </c>
      <c r="G461">
        <f>Dashboard_Live_Data!I215</f>
        <v/>
      </c>
      <c r="H461">
        <f>Dashboard_Live_Data!M215</f>
        <v/>
      </c>
    </row>
    <row r="462">
      <c r="A462">
        <f>Dashboard_Live_Data!I216</f>
        <v/>
      </c>
      <c r="B462">
        <f>Dashboard_Live_Data!J216</f>
        <v/>
      </c>
      <c r="C462">
        <f>Dashboard_Live_Data!I216</f>
        <v/>
      </c>
      <c r="D462">
        <f>Dashboard_Live_Data!K216</f>
        <v/>
      </c>
      <c r="E462">
        <f>Dashboard_Live_Data!I216</f>
        <v/>
      </c>
      <c r="F462">
        <f>Dashboard_Live_Data!L216</f>
        <v/>
      </c>
      <c r="G462">
        <f>Dashboard_Live_Data!I216</f>
        <v/>
      </c>
      <c r="H462">
        <f>Dashboard_Live_Data!M216</f>
        <v/>
      </c>
    </row>
    <row r="463">
      <c r="A463">
        <f>Dashboard_Live_Data!I217</f>
        <v/>
      </c>
      <c r="B463">
        <f>Dashboard_Live_Data!J217</f>
        <v/>
      </c>
      <c r="C463">
        <f>Dashboard_Live_Data!I217</f>
        <v/>
      </c>
      <c r="D463">
        <f>Dashboard_Live_Data!K217</f>
        <v/>
      </c>
      <c r="E463">
        <f>Dashboard_Live_Data!I217</f>
        <v/>
      </c>
      <c r="F463">
        <f>Dashboard_Live_Data!L217</f>
        <v/>
      </c>
      <c r="G463">
        <f>Dashboard_Live_Data!I217</f>
        <v/>
      </c>
      <c r="H463">
        <f>Dashboard_Live_Data!M217</f>
        <v/>
      </c>
    </row>
    <row r="464">
      <c r="A464">
        <f>Dashboard_Live_Data!I218</f>
        <v/>
      </c>
      <c r="B464">
        <f>Dashboard_Live_Data!J218</f>
        <v/>
      </c>
      <c r="C464">
        <f>Dashboard_Live_Data!I218</f>
        <v/>
      </c>
      <c r="D464">
        <f>Dashboard_Live_Data!K218</f>
        <v/>
      </c>
      <c r="E464">
        <f>Dashboard_Live_Data!I218</f>
        <v/>
      </c>
      <c r="F464">
        <f>Dashboard_Live_Data!L218</f>
        <v/>
      </c>
      <c r="G464">
        <f>Dashboard_Live_Data!I218</f>
        <v/>
      </c>
      <c r="H464">
        <f>Dashboard_Live_Data!M218</f>
        <v/>
      </c>
    </row>
    <row r="465">
      <c r="A465">
        <f>Dashboard_Live_Data!I219</f>
        <v/>
      </c>
      <c r="B465">
        <f>Dashboard_Live_Data!J219</f>
        <v/>
      </c>
      <c r="C465">
        <f>Dashboard_Live_Data!I219</f>
        <v/>
      </c>
      <c r="D465">
        <f>Dashboard_Live_Data!K219</f>
        <v/>
      </c>
      <c r="E465">
        <f>Dashboard_Live_Data!I219</f>
        <v/>
      </c>
      <c r="F465">
        <f>Dashboard_Live_Data!L219</f>
        <v/>
      </c>
      <c r="G465">
        <f>Dashboard_Live_Data!I219</f>
        <v/>
      </c>
      <c r="H465">
        <f>Dashboard_Live_Data!M219</f>
        <v/>
      </c>
    </row>
    <row r="466">
      <c r="A466">
        <f>Dashboard_Live_Data!I220</f>
        <v/>
      </c>
      <c r="B466">
        <f>Dashboard_Live_Data!J220</f>
        <v/>
      </c>
      <c r="C466">
        <f>Dashboard_Live_Data!I220</f>
        <v/>
      </c>
      <c r="D466">
        <f>Dashboard_Live_Data!K220</f>
        <v/>
      </c>
      <c r="E466">
        <f>Dashboard_Live_Data!I220</f>
        <v/>
      </c>
      <c r="F466">
        <f>Dashboard_Live_Data!L220</f>
        <v/>
      </c>
      <c r="G466">
        <f>Dashboard_Live_Data!I220</f>
        <v/>
      </c>
      <c r="H466">
        <f>Dashboard_Live_Data!M220</f>
        <v/>
      </c>
    </row>
    <row r="467">
      <c r="A467">
        <f>Dashboard_Live_Data!I221</f>
        <v/>
      </c>
      <c r="B467">
        <f>Dashboard_Live_Data!J221</f>
        <v/>
      </c>
      <c r="C467">
        <f>Dashboard_Live_Data!I221</f>
        <v/>
      </c>
      <c r="D467">
        <f>Dashboard_Live_Data!K221</f>
        <v/>
      </c>
      <c r="E467">
        <f>Dashboard_Live_Data!I221</f>
        <v/>
      </c>
      <c r="F467">
        <f>Dashboard_Live_Data!L221</f>
        <v/>
      </c>
      <c r="G467">
        <f>Dashboard_Live_Data!I221</f>
        <v/>
      </c>
      <c r="H467">
        <f>Dashboard_Live_Data!M221</f>
        <v/>
      </c>
    </row>
    <row r="468">
      <c r="A468">
        <f>Dashboard_Live_Data!I222</f>
        <v/>
      </c>
      <c r="B468">
        <f>Dashboard_Live_Data!J222</f>
        <v/>
      </c>
      <c r="C468">
        <f>Dashboard_Live_Data!I222</f>
        <v/>
      </c>
      <c r="D468">
        <f>Dashboard_Live_Data!K222</f>
        <v/>
      </c>
      <c r="E468">
        <f>Dashboard_Live_Data!I222</f>
        <v/>
      </c>
      <c r="F468">
        <f>Dashboard_Live_Data!L222</f>
        <v/>
      </c>
      <c r="G468">
        <f>Dashboard_Live_Data!I222</f>
        <v/>
      </c>
      <c r="H468">
        <f>Dashboard_Live_Data!M222</f>
        <v/>
      </c>
    </row>
    <row r="469">
      <c r="A469">
        <f>Dashboard_Live_Data!I223</f>
        <v/>
      </c>
      <c r="B469">
        <f>Dashboard_Live_Data!J223</f>
        <v/>
      </c>
      <c r="C469">
        <f>Dashboard_Live_Data!I223</f>
        <v/>
      </c>
      <c r="D469">
        <f>Dashboard_Live_Data!K223</f>
        <v/>
      </c>
      <c r="E469">
        <f>Dashboard_Live_Data!I223</f>
        <v/>
      </c>
      <c r="F469">
        <f>Dashboard_Live_Data!L223</f>
        <v/>
      </c>
      <c r="G469">
        <f>Dashboard_Live_Data!I223</f>
        <v/>
      </c>
      <c r="H469">
        <f>Dashboard_Live_Data!M223</f>
        <v/>
      </c>
    </row>
    <row r="470">
      <c r="A470">
        <f>Dashboard_Live_Data!I224</f>
        <v/>
      </c>
      <c r="B470">
        <f>Dashboard_Live_Data!J224</f>
        <v/>
      </c>
      <c r="C470">
        <f>Dashboard_Live_Data!I224</f>
        <v/>
      </c>
      <c r="D470">
        <f>Dashboard_Live_Data!K224</f>
        <v/>
      </c>
      <c r="E470">
        <f>Dashboard_Live_Data!I224</f>
        <v/>
      </c>
      <c r="F470">
        <f>Dashboard_Live_Data!L224</f>
        <v/>
      </c>
      <c r="G470">
        <f>Dashboard_Live_Data!I224</f>
        <v/>
      </c>
      <c r="H470">
        <f>Dashboard_Live_Data!M224</f>
        <v/>
      </c>
    </row>
    <row r="471">
      <c r="A471">
        <f>Dashboard_Live_Data!I225</f>
        <v/>
      </c>
      <c r="B471">
        <f>Dashboard_Live_Data!J225</f>
        <v/>
      </c>
      <c r="C471">
        <f>Dashboard_Live_Data!I225</f>
        <v/>
      </c>
      <c r="D471">
        <f>Dashboard_Live_Data!K225</f>
        <v/>
      </c>
      <c r="E471">
        <f>Dashboard_Live_Data!I225</f>
        <v/>
      </c>
      <c r="F471">
        <f>Dashboard_Live_Data!L225</f>
        <v/>
      </c>
      <c r="G471">
        <f>Dashboard_Live_Data!I225</f>
        <v/>
      </c>
      <c r="H471">
        <f>Dashboard_Live_Data!M225</f>
        <v/>
      </c>
    </row>
    <row r="472">
      <c r="A472">
        <f>Dashboard_Live_Data!I226</f>
        <v/>
      </c>
      <c r="B472">
        <f>Dashboard_Live_Data!J226</f>
        <v/>
      </c>
      <c r="C472">
        <f>Dashboard_Live_Data!I226</f>
        <v/>
      </c>
      <c r="D472">
        <f>Dashboard_Live_Data!K226</f>
        <v/>
      </c>
      <c r="E472">
        <f>Dashboard_Live_Data!I226</f>
        <v/>
      </c>
      <c r="F472">
        <f>Dashboard_Live_Data!L226</f>
        <v/>
      </c>
      <c r="G472">
        <f>Dashboard_Live_Data!I226</f>
        <v/>
      </c>
      <c r="H472">
        <f>Dashboard_Live_Data!M226</f>
        <v/>
      </c>
    </row>
    <row r="473">
      <c r="A473">
        <f>Dashboard_Live_Data!I227</f>
        <v/>
      </c>
      <c r="B473">
        <f>Dashboard_Live_Data!J227</f>
        <v/>
      </c>
      <c r="C473">
        <f>Dashboard_Live_Data!I227</f>
        <v/>
      </c>
      <c r="D473">
        <f>Dashboard_Live_Data!K227</f>
        <v/>
      </c>
      <c r="E473">
        <f>Dashboard_Live_Data!I227</f>
        <v/>
      </c>
      <c r="F473">
        <f>Dashboard_Live_Data!L227</f>
        <v/>
      </c>
      <c r="G473">
        <f>Dashboard_Live_Data!I227</f>
        <v/>
      </c>
      <c r="H473">
        <f>Dashboard_Live_Data!M227</f>
        <v/>
      </c>
    </row>
    <row r="474">
      <c r="A474">
        <f>Dashboard_Live_Data!I228</f>
        <v/>
      </c>
      <c r="B474">
        <f>Dashboard_Live_Data!J228</f>
        <v/>
      </c>
      <c r="C474">
        <f>Dashboard_Live_Data!I228</f>
        <v/>
      </c>
      <c r="D474">
        <f>Dashboard_Live_Data!K228</f>
        <v/>
      </c>
      <c r="E474">
        <f>Dashboard_Live_Data!I228</f>
        <v/>
      </c>
      <c r="F474">
        <f>Dashboard_Live_Data!L228</f>
        <v/>
      </c>
      <c r="G474">
        <f>Dashboard_Live_Data!I228</f>
        <v/>
      </c>
      <c r="H474">
        <f>Dashboard_Live_Data!M228</f>
        <v/>
      </c>
    </row>
    <row r="475">
      <c r="A475">
        <f>Dashboard_Live_Data!I229</f>
        <v/>
      </c>
      <c r="B475">
        <f>Dashboard_Live_Data!J229</f>
        <v/>
      </c>
      <c r="C475">
        <f>Dashboard_Live_Data!I229</f>
        <v/>
      </c>
      <c r="D475">
        <f>Dashboard_Live_Data!K229</f>
        <v/>
      </c>
      <c r="E475">
        <f>Dashboard_Live_Data!I229</f>
        <v/>
      </c>
      <c r="F475">
        <f>Dashboard_Live_Data!L229</f>
        <v/>
      </c>
      <c r="G475">
        <f>Dashboard_Live_Data!I229</f>
        <v/>
      </c>
      <c r="H475">
        <f>Dashboard_Live_Data!M229</f>
        <v/>
      </c>
    </row>
    <row r="476">
      <c r="A476">
        <f>Dashboard_Live_Data!I230</f>
        <v/>
      </c>
      <c r="B476">
        <f>Dashboard_Live_Data!J230</f>
        <v/>
      </c>
      <c r="C476">
        <f>Dashboard_Live_Data!I230</f>
        <v/>
      </c>
      <c r="D476">
        <f>Dashboard_Live_Data!K230</f>
        <v/>
      </c>
      <c r="E476">
        <f>Dashboard_Live_Data!I230</f>
        <v/>
      </c>
      <c r="F476">
        <f>Dashboard_Live_Data!L230</f>
        <v/>
      </c>
      <c r="G476">
        <f>Dashboard_Live_Data!I230</f>
        <v/>
      </c>
      <c r="H476">
        <f>Dashboard_Live_Data!M230</f>
        <v/>
      </c>
    </row>
    <row r="477">
      <c r="A477">
        <f>Dashboard_Live_Data!I231</f>
        <v/>
      </c>
      <c r="B477">
        <f>Dashboard_Live_Data!J231</f>
        <v/>
      </c>
      <c r="C477">
        <f>Dashboard_Live_Data!I231</f>
        <v/>
      </c>
      <c r="D477">
        <f>Dashboard_Live_Data!K231</f>
        <v/>
      </c>
      <c r="E477">
        <f>Dashboard_Live_Data!I231</f>
        <v/>
      </c>
      <c r="F477">
        <f>Dashboard_Live_Data!L231</f>
        <v/>
      </c>
      <c r="G477">
        <f>Dashboard_Live_Data!I231</f>
        <v/>
      </c>
      <c r="H477">
        <f>Dashboard_Live_Data!M231</f>
        <v/>
      </c>
    </row>
    <row r="478">
      <c r="A478">
        <f>Dashboard_Live_Data!I232</f>
        <v/>
      </c>
      <c r="B478">
        <f>Dashboard_Live_Data!J232</f>
        <v/>
      </c>
      <c r="C478">
        <f>Dashboard_Live_Data!I232</f>
        <v/>
      </c>
      <c r="D478">
        <f>Dashboard_Live_Data!K232</f>
        <v/>
      </c>
      <c r="E478">
        <f>Dashboard_Live_Data!I232</f>
        <v/>
      </c>
      <c r="F478">
        <f>Dashboard_Live_Data!L232</f>
        <v/>
      </c>
      <c r="G478">
        <f>Dashboard_Live_Data!I232</f>
        <v/>
      </c>
      <c r="H478">
        <f>Dashboard_Live_Data!M232</f>
        <v/>
      </c>
    </row>
    <row r="479">
      <c r="A479">
        <f>Dashboard_Live_Data!I233</f>
        <v/>
      </c>
      <c r="B479">
        <f>Dashboard_Live_Data!J233</f>
        <v/>
      </c>
      <c r="C479">
        <f>Dashboard_Live_Data!I233</f>
        <v/>
      </c>
      <c r="D479">
        <f>Dashboard_Live_Data!K233</f>
        <v/>
      </c>
      <c r="E479">
        <f>Dashboard_Live_Data!I233</f>
        <v/>
      </c>
      <c r="F479">
        <f>Dashboard_Live_Data!L233</f>
        <v/>
      </c>
      <c r="G479">
        <f>Dashboard_Live_Data!I233</f>
        <v/>
      </c>
      <c r="H479">
        <f>Dashboard_Live_Data!M233</f>
        <v/>
      </c>
    </row>
    <row r="480">
      <c r="A480">
        <f>Dashboard_Live_Data!I234</f>
        <v/>
      </c>
      <c r="B480">
        <f>Dashboard_Live_Data!J234</f>
        <v/>
      </c>
      <c r="C480">
        <f>Dashboard_Live_Data!I234</f>
        <v/>
      </c>
      <c r="D480">
        <f>Dashboard_Live_Data!K234</f>
        <v/>
      </c>
      <c r="E480">
        <f>Dashboard_Live_Data!I234</f>
        <v/>
      </c>
      <c r="F480">
        <f>Dashboard_Live_Data!L234</f>
        <v/>
      </c>
      <c r="G480">
        <f>Dashboard_Live_Data!I234</f>
        <v/>
      </c>
      <c r="H480">
        <f>Dashboard_Live_Data!M234</f>
        <v/>
      </c>
    </row>
    <row r="481">
      <c r="A481">
        <f>Dashboard_Live_Data!I235</f>
        <v/>
      </c>
      <c r="B481">
        <f>Dashboard_Live_Data!J235</f>
        <v/>
      </c>
      <c r="C481">
        <f>Dashboard_Live_Data!I235</f>
        <v/>
      </c>
      <c r="D481">
        <f>Dashboard_Live_Data!K235</f>
        <v/>
      </c>
      <c r="E481">
        <f>Dashboard_Live_Data!I235</f>
        <v/>
      </c>
      <c r="F481">
        <f>Dashboard_Live_Data!L235</f>
        <v/>
      </c>
      <c r="G481">
        <f>Dashboard_Live_Data!I235</f>
        <v/>
      </c>
      <c r="H481">
        <f>Dashboard_Live_Data!M235</f>
        <v/>
      </c>
    </row>
    <row r="482">
      <c r="A482">
        <f>Dashboard_Live_Data!I236</f>
        <v/>
      </c>
      <c r="B482">
        <f>Dashboard_Live_Data!J236</f>
        <v/>
      </c>
      <c r="C482">
        <f>Dashboard_Live_Data!I236</f>
        <v/>
      </c>
      <c r="D482">
        <f>Dashboard_Live_Data!K236</f>
        <v/>
      </c>
      <c r="E482">
        <f>Dashboard_Live_Data!I236</f>
        <v/>
      </c>
      <c r="F482">
        <f>Dashboard_Live_Data!L236</f>
        <v/>
      </c>
      <c r="G482">
        <f>Dashboard_Live_Data!I236</f>
        <v/>
      </c>
      <c r="H482">
        <f>Dashboard_Live_Data!M236</f>
        <v/>
      </c>
    </row>
    <row r="483">
      <c r="A483">
        <f>Dashboard_Live_Data!I237</f>
        <v/>
      </c>
      <c r="B483">
        <f>Dashboard_Live_Data!J237</f>
        <v/>
      </c>
      <c r="C483">
        <f>Dashboard_Live_Data!I237</f>
        <v/>
      </c>
      <c r="D483">
        <f>Dashboard_Live_Data!K237</f>
        <v/>
      </c>
      <c r="E483">
        <f>Dashboard_Live_Data!I237</f>
        <v/>
      </c>
      <c r="F483">
        <f>Dashboard_Live_Data!L237</f>
        <v/>
      </c>
      <c r="G483">
        <f>Dashboard_Live_Data!I237</f>
        <v/>
      </c>
      <c r="H483">
        <f>Dashboard_Live_Data!M237</f>
        <v/>
      </c>
    </row>
    <row r="484">
      <c r="A484">
        <f>Dashboard_Live_Data!I238</f>
        <v/>
      </c>
      <c r="B484">
        <f>Dashboard_Live_Data!J238</f>
        <v/>
      </c>
      <c r="C484">
        <f>Dashboard_Live_Data!I238</f>
        <v/>
      </c>
      <c r="D484">
        <f>Dashboard_Live_Data!K238</f>
        <v/>
      </c>
      <c r="E484">
        <f>Dashboard_Live_Data!I238</f>
        <v/>
      </c>
      <c r="F484">
        <f>Dashboard_Live_Data!L238</f>
        <v/>
      </c>
      <c r="G484">
        <f>Dashboard_Live_Data!I238</f>
        <v/>
      </c>
      <c r="H484">
        <f>Dashboard_Live_Data!M238</f>
        <v/>
      </c>
    </row>
    <row r="485">
      <c r="A485">
        <f>Dashboard_Live_Data!I239</f>
        <v/>
      </c>
      <c r="B485">
        <f>Dashboard_Live_Data!J239</f>
        <v/>
      </c>
      <c r="C485">
        <f>Dashboard_Live_Data!I239</f>
        <v/>
      </c>
      <c r="D485">
        <f>Dashboard_Live_Data!K239</f>
        <v/>
      </c>
      <c r="E485">
        <f>Dashboard_Live_Data!I239</f>
        <v/>
      </c>
      <c r="F485">
        <f>Dashboard_Live_Data!L239</f>
        <v/>
      </c>
      <c r="G485">
        <f>Dashboard_Live_Data!I239</f>
        <v/>
      </c>
      <c r="H485">
        <f>Dashboard_Live_Data!M239</f>
        <v/>
      </c>
    </row>
    <row r="486">
      <c r="A486">
        <f>Dashboard_Live_Data!I240</f>
        <v/>
      </c>
      <c r="B486">
        <f>Dashboard_Live_Data!J240</f>
        <v/>
      </c>
      <c r="C486">
        <f>Dashboard_Live_Data!I240</f>
        <v/>
      </c>
      <c r="D486">
        <f>Dashboard_Live_Data!K240</f>
        <v/>
      </c>
      <c r="E486">
        <f>Dashboard_Live_Data!I240</f>
        <v/>
      </c>
      <c r="F486">
        <f>Dashboard_Live_Data!L240</f>
        <v/>
      </c>
      <c r="G486">
        <f>Dashboard_Live_Data!I240</f>
        <v/>
      </c>
      <c r="H486">
        <f>Dashboard_Live_Data!M240</f>
        <v/>
      </c>
    </row>
    <row r="487">
      <c r="A487">
        <f>Dashboard_Live_Data!I241</f>
        <v/>
      </c>
      <c r="B487">
        <f>Dashboard_Live_Data!J241</f>
        <v/>
      </c>
      <c r="C487">
        <f>Dashboard_Live_Data!I241</f>
        <v/>
      </c>
      <c r="D487">
        <f>Dashboard_Live_Data!K241</f>
        <v/>
      </c>
      <c r="E487">
        <f>Dashboard_Live_Data!I241</f>
        <v/>
      </c>
      <c r="F487">
        <f>Dashboard_Live_Data!L241</f>
        <v/>
      </c>
      <c r="G487">
        <f>Dashboard_Live_Data!I241</f>
        <v/>
      </c>
      <c r="H487">
        <f>Dashboard_Live_Data!M241</f>
        <v/>
      </c>
    </row>
    <row r="488">
      <c r="A488">
        <f>Dashboard_Live_Data!I242</f>
        <v/>
      </c>
      <c r="B488">
        <f>Dashboard_Live_Data!J242</f>
        <v/>
      </c>
      <c r="C488">
        <f>Dashboard_Live_Data!I242</f>
        <v/>
      </c>
      <c r="D488">
        <f>Dashboard_Live_Data!K242</f>
        <v/>
      </c>
      <c r="E488">
        <f>Dashboard_Live_Data!I242</f>
        <v/>
      </c>
      <c r="F488">
        <f>Dashboard_Live_Data!L242</f>
        <v/>
      </c>
      <c r="G488">
        <f>Dashboard_Live_Data!I242</f>
        <v/>
      </c>
      <c r="H488">
        <f>Dashboard_Live_Data!M242</f>
        <v/>
      </c>
    </row>
    <row r="491">
      <c r="A491" t="inlineStr">
        <is>
          <t>Terrain Baseline: Total Radar Elevation Error</t>
        </is>
      </c>
    </row>
    <row r="492">
      <c r="A492" t="inlineStr">
        <is>
          <t>Total radar elevation error - custom parabolic x</t>
        </is>
      </c>
      <c r="B492" t="inlineStr">
        <is>
          <t>Total radar elevation error - custom parabolic</t>
        </is>
      </c>
    </row>
    <row r="493">
      <c r="A493">
        <f>Dashboard_Live_Data!A2</f>
        <v/>
      </c>
      <c r="B493">
        <f>Dashboard_Live_Data!B2</f>
        <v/>
      </c>
    </row>
    <row r="494">
      <c r="A494">
        <f>Dashboard_Live_Data!A3</f>
        <v/>
      </c>
      <c r="B494">
        <f>Dashboard_Live_Data!B3</f>
        <v/>
      </c>
    </row>
    <row r="495">
      <c r="A495">
        <f>Dashboard_Live_Data!A4</f>
        <v/>
      </c>
      <c r="B495">
        <f>Dashboard_Live_Data!B4</f>
        <v/>
      </c>
    </row>
    <row r="496">
      <c r="A496">
        <f>Dashboard_Live_Data!A5</f>
        <v/>
      </c>
      <c r="B496">
        <f>Dashboard_Live_Data!B5</f>
        <v/>
      </c>
    </row>
    <row r="497">
      <c r="A497">
        <f>Dashboard_Live_Data!A6</f>
        <v/>
      </c>
      <c r="B497">
        <f>Dashboard_Live_Data!B6</f>
        <v/>
      </c>
    </row>
    <row r="498">
      <c r="A498">
        <f>Dashboard_Live_Data!A7</f>
        <v/>
      </c>
      <c r="B498">
        <f>Dashboard_Live_Data!B7</f>
        <v/>
      </c>
    </row>
    <row r="499">
      <c r="A499">
        <f>Dashboard_Live_Data!A8</f>
        <v/>
      </c>
      <c r="B499">
        <f>Dashboard_Live_Data!B8</f>
        <v/>
      </c>
    </row>
    <row r="500">
      <c r="A500">
        <f>Dashboard_Live_Data!A9</f>
        <v/>
      </c>
      <c r="B500">
        <f>Dashboard_Live_Data!B9</f>
        <v/>
      </c>
    </row>
    <row r="501">
      <c r="A501">
        <f>Dashboard_Live_Data!A10</f>
        <v/>
      </c>
      <c r="B501">
        <f>Dashboard_Live_Data!B10</f>
        <v/>
      </c>
    </row>
    <row r="502">
      <c r="A502">
        <f>Dashboard_Live_Data!A11</f>
        <v/>
      </c>
      <c r="B502">
        <f>Dashboard_Live_Data!B11</f>
        <v/>
      </c>
    </row>
    <row r="503">
      <c r="A503">
        <f>Dashboard_Live_Data!A12</f>
        <v/>
      </c>
      <c r="B503">
        <f>Dashboard_Live_Data!B12</f>
        <v/>
      </c>
    </row>
    <row r="504">
      <c r="A504">
        <f>Dashboard_Live_Data!A13</f>
        <v/>
      </c>
      <c r="B504">
        <f>Dashboard_Live_Data!B13</f>
        <v/>
      </c>
    </row>
    <row r="505">
      <c r="A505">
        <f>Dashboard_Live_Data!A14</f>
        <v/>
      </c>
      <c r="B505">
        <f>Dashboard_Live_Data!B14</f>
        <v/>
      </c>
    </row>
    <row r="506">
      <c r="A506">
        <f>Dashboard_Live_Data!A15</f>
        <v/>
      </c>
      <c r="B506">
        <f>Dashboard_Live_Data!B15</f>
        <v/>
      </c>
    </row>
    <row r="507">
      <c r="A507">
        <f>Dashboard_Live_Data!A16</f>
        <v/>
      </c>
      <c r="B507">
        <f>Dashboard_Live_Data!B16</f>
        <v/>
      </c>
    </row>
    <row r="508">
      <c r="A508">
        <f>Dashboard_Live_Data!A17</f>
        <v/>
      </c>
      <c r="B508">
        <f>Dashboard_Live_Data!B17</f>
        <v/>
      </c>
    </row>
    <row r="509">
      <c r="A509">
        <f>Dashboard_Live_Data!A18</f>
        <v/>
      </c>
      <c r="B509">
        <f>Dashboard_Live_Data!B18</f>
        <v/>
      </c>
    </row>
    <row r="510">
      <c r="A510">
        <f>Dashboard_Live_Data!A19</f>
        <v/>
      </c>
      <c r="B510">
        <f>Dashboard_Live_Data!B19</f>
        <v/>
      </c>
    </row>
    <row r="511">
      <c r="A511">
        <f>Dashboard_Live_Data!A20</f>
        <v/>
      </c>
      <c r="B511">
        <f>Dashboard_Live_Data!B20</f>
        <v/>
      </c>
    </row>
    <row r="512">
      <c r="A512">
        <f>Dashboard_Live_Data!A21</f>
        <v/>
      </c>
      <c r="B512">
        <f>Dashboard_Live_Data!B21</f>
        <v/>
      </c>
    </row>
    <row r="513">
      <c r="A513">
        <f>Dashboard_Live_Data!A22</f>
        <v/>
      </c>
      <c r="B513">
        <f>Dashboard_Live_Data!B22</f>
        <v/>
      </c>
    </row>
    <row r="514">
      <c r="A514">
        <f>Dashboard_Live_Data!A23</f>
        <v/>
      </c>
      <c r="B514">
        <f>Dashboard_Live_Data!B23</f>
        <v/>
      </c>
    </row>
    <row r="515">
      <c r="A515">
        <f>Dashboard_Live_Data!A24</f>
        <v/>
      </c>
      <c r="B515">
        <f>Dashboard_Live_Data!B24</f>
        <v/>
      </c>
    </row>
    <row r="516">
      <c r="A516">
        <f>Dashboard_Live_Data!A25</f>
        <v/>
      </c>
      <c r="B516">
        <f>Dashboard_Live_Data!B25</f>
        <v/>
      </c>
    </row>
    <row r="517">
      <c r="A517">
        <f>Dashboard_Live_Data!A26</f>
        <v/>
      </c>
      <c r="B517">
        <f>Dashboard_Live_Data!B26</f>
        <v/>
      </c>
    </row>
    <row r="518">
      <c r="A518">
        <f>Dashboard_Live_Data!A27</f>
        <v/>
      </c>
      <c r="B518">
        <f>Dashboard_Live_Data!B27</f>
        <v/>
      </c>
    </row>
    <row r="519">
      <c r="A519">
        <f>Dashboard_Live_Data!A28</f>
        <v/>
      </c>
      <c r="B519">
        <f>Dashboard_Live_Data!B28</f>
        <v/>
      </c>
    </row>
    <row r="520">
      <c r="A520">
        <f>Dashboard_Live_Data!A29</f>
        <v/>
      </c>
      <c r="B520">
        <f>Dashboard_Live_Data!B29</f>
        <v/>
      </c>
    </row>
    <row r="521">
      <c r="A521">
        <f>Dashboard_Live_Data!A30</f>
        <v/>
      </c>
      <c r="B521">
        <f>Dashboard_Live_Data!B30</f>
        <v/>
      </c>
    </row>
    <row r="522">
      <c r="A522">
        <f>Dashboard_Live_Data!A31</f>
        <v/>
      </c>
      <c r="B522">
        <f>Dashboard_Live_Data!B31</f>
        <v/>
      </c>
    </row>
    <row r="523">
      <c r="A523">
        <f>Dashboard_Live_Data!A32</f>
        <v/>
      </c>
      <c r="B523">
        <f>Dashboard_Live_Data!B32</f>
        <v/>
      </c>
    </row>
    <row r="524">
      <c r="A524">
        <f>Dashboard_Live_Data!A33</f>
        <v/>
      </c>
      <c r="B524">
        <f>Dashboard_Live_Data!B33</f>
        <v/>
      </c>
    </row>
    <row r="525">
      <c r="A525">
        <f>Dashboard_Live_Data!A34</f>
        <v/>
      </c>
      <c r="B525">
        <f>Dashboard_Live_Data!B34</f>
        <v/>
      </c>
    </row>
    <row r="526">
      <c r="A526">
        <f>Dashboard_Live_Data!A35</f>
        <v/>
      </c>
      <c r="B526">
        <f>Dashboard_Live_Data!B35</f>
        <v/>
      </c>
    </row>
    <row r="527">
      <c r="A527">
        <f>Dashboard_Live_Data!A36</f>
        <v/>
      </c>
      <c r="B527">
        <f>Dashboard_Live_Data!B36</f>
        <v/>
      </c>
    </row>
    <row r="528">
      <c r="A528">
        <f>Dashboard_Live_Data!A37</f>
        <v/>
      </c>
      <c r="B528">
        <f>Dashboard_Live_Data!B37</f>
        <v/>
      </c>
    </row>
    <row r="529">
      <c r="A529">
        <f>Dashboard_Live_Data!A38</f>
        <v/>
      </c>
      <c r="B529">
        <f>Dashboard_Live_Data!B38</f>
        <v/>
      </c>
    </row>
    <row r="530">
      <c r="A530">
        <f>Dashboard_Live_Data!A39</f>
        <v/>
      </c>
      <c r="B530">
        <f>Dashboard_Live_Data!B39</f>
        <v/>
      </c>
    </row>
    <row r="531">
      <c r="A531">
        <f>Dashboard_Live_Data!A40</f>
        <v/>
      </c>
      <c r="B531">
        <f>Dashboard_Live_Data!B40</f>
        <v/>
      </c>
    </row>
    <row r="532">
      <c r="A532">
        <f>Dashboard_Live_Data!A41</f>
        <v/>
      </c>
      <c r="B532">
        <f>Dashboard_Live_Data!B41</f>
        <v/>
      </c>
    </row>
    <row r="533">
      <c r="A533">
        <f>Dashboard_Live_Data!A42</f>
        <v/>
      </c>
      <c r="B533">
        <f>Dashboard_Live_Data!B42</f>
        <v/>
      </c>
    </row>
    <row r="534">
      <c r="A534">
        <f>Dashboard_Live_Data!A43</f>
        <v/>
      </c>
      <c r="B534">
        <f>Dashboard_Live_Data!B43</f>
        <v/>
      </c>
    </row>
    <row r="535">
      <c r="A535">
        <f>Dashboard_Live_Data!A44</f>
        <v/>
      </c>
      <c r="B535">
        <f>Dashboard_Live_Data!B44</f>
        <v/>
      </c>
    </row>
    <row r="536">
      <c r="A536">
        <f>Dashboard_Live_Data!A45</f>
        <v/>
      </c>
      <c r="B536">
        <f>Dashboard_Live_Data!B45</f>
        <v/>
      </c>
    </row>
    <row r="537">
      <c r="A537">
        <f>Dashboard_Live_Data!A46</f>
        <v/>
      </c>
      <c r="B537">
        <f>Dashboard_Live_Data!B46</f>
        <v/>
      </c>
    </row>
    <row r="538">
      <c r="A538">
        <f>Dashboard_Live_Data!A47</f>
        <v/>
      </c>
      <c r="B538">
        <f>Dashboard_Live_Data!B47</f>
        <v/>
      </c>
    </row>
    <row r="539">
      <c r="A539">
        <f>Dashboard_Live_Data!A48</f>
        <v/>
      </c>
      <c r="B539">
        <f>Dashboard_Live_Data!B48</f>
        <v/>
      </c>
    </row>
    <row r="540">
      <c r="A540">
        <f>Dashboard_Live_Data!A49</f>
        <v/>
      </c>
      <c r="B540">
        <f>Dashboard_Live_Data!B49</f>
        <v/>
      </c>
    </row>
    <row r="541">
      <c r="A541">
        <f>Dashboard_Live_Data!A50</f>
        <v/>
      </c>
      <c r="B541">
        <f>Dashboard_Live_Data!B50</f>
        <v/>
      </c>
    </row>
    <row r="542">
      <c r="A542">
        <f>Dashboard_Live_Data!A51</f>
        <v/>
      </c>
      <c r="B542">
        <f>Dashboard_Live_Data!B51</f>
        <v/>
      </c>
    </row>
    <row r="543">
      <c r="A543">
        <f>Dashboard_Live_Data!A52</f>
        <v/>
      </c>
      <c r="B543">
        <f>Dashboard_Live_Data!B52</f>
        <v/>
      </c>
    </row>
    <row r="544">
      <c r="A544">
        <f>Dashboard_Live_Data!A53</f>
        <v/>
      </c>
      <c r="B544">
        <f>Dashboard_Live_Data!B53</f>
        <v/>
      </c>
    </row>
    <row r="545">
      <c r="A545">
        <f>Dashboard_Live_Data!A54</f>
        <v/>
      </c>
      <c r="B545">
        <f>Dashboard_Live_Data!B54</f>
        <v/>
      </c>
    </row>
    <row r="546">
      <c r="A546">
        <f>Dashboard_Live_Data!A55</f>
        <v/>
      </c>
      <c r="B546">
        <f>Dashboard_Live_Data!B55</f>
        <v/>
      </c>
    </row>
    <row r="547">
      <c r="A547">
        <f>Dashboard_Live_Data!A56</f>
        <v/>
      </c>
      <c r="B547">
        <f>Dashboard_Live_Data!B56</f>
        <v/>
      </c>
    </row>
    <row r="548">
      <c r="A548">
        <f>Dashboard_Live_Data!A57</f>
        <v/>
      </c>
      <c r="B548">
        <f>Dashboard_Live_Data!B57</f>
        <v/>
      </c>
    </row>
    <row r="549">
      <c r="A549">
        <f>Dashboard_Live_Data!A58</f>
        <v/>
      </c>
      <c r="B549">
        <f>Dashboard_Live_Data!B58</f>
        <v/>
      </c>
    </row>
    <row r="550">
      <c r="A550">
        <f>Dashboard_Live_Data!A59</f>
        <v/>
      </c>
      <c r="B550">
        <f>Dashboard_Live_Data!B59</f>
        <v/>
      </c>
    </row>
    <row r="551">
      <c r="A551">
        <f>Dashboard_Live_Data!A60</f>
        <v/>
      </c>
      <c r="B551">
        <f>Dashboard_Live_Data!B60</f>
        <v/>
      </c>
    </row>
    <row r="552">
      <c r="A552">
        <f>Dashboard_Live_Data!A61</f>
        <v/>
      </c>
      <c r="B552">
        <f>Dashboard_Live_Data!B61</f>
        <v/>
      </c>
    </row>
    <row r="553">
      <c r="A553">
        <f>Dashboard_Live_Data!A62</f>
        <v/>
      </c>
      <c r="B553">
        <f>Dashboard_Live_Data!B62</f>
        <v/>
      </c>
    </row>
    <row r="554">
      <c r="A554">
        <f>Dashboard_Live_Data!A63</f>
        <v/>
      </c>
      <c r="B554">
        <f>Dashboard_Live_Data!B63</f>
        <v/>
      </c>
    </row>
    <row r="555">
      <c r="A555">
        <f>Dashboard_Live_Data!A64</f>
        <v/>
      </c>
      <c r="B555">
        <f>Dashboard_Live_Data!B64</f>
        <v/>
      </c>
    </row>
    <row r="556">
      <c r="A556">
        <f>Dashboard_Live_Data!A65</f>
        <v/>
      </c>
      <c r="B556">
        <f>Dashboard_Live_Data!B65</f>
        <v/>
      </c>
    </row>
    <row r="557">
      <c r="A557">
        <f>Dashboard_Live_Data!A66</f>
        <v/>
      </c>
      <c r="B557">
        <f>Dashboard_Live_Data!B66</f>
        <v/>
      </c>
    </row>
    <row r="558">
      <c r="A558">
        <f>Dashboard_Live_Data!A67</f>
        <v/>
      </c>
      <c r="B558">
        <f>Dashboard_Live_Data!B67</f>
        <v/>
      </c>
    </row>
    <row r="559">
      <c r="A559">
        <f>Dashboard_Live_Data!A68</f>
        <v/>
      </c>
      <c r="B559">
        <f>Dashboard_Live_Data!B68</f>
        <v/>
      </c>
    </row>
    <row r="560">
      <c r="A560">
        <f>Dashboard_Live_Data!A69</f>
        <v/>
      </c>
      <c r="B560">
        <f>Dashboard_Live_Data!B69</f>
        <v/>
      </c>
    </row>
    <row r="561">
      <c r="A561">
        <f>Dashboard_Live_Data!A70</f>
        <v/>
      </c>
      <c r="B561">
        <f>Dashboard_Live_Data!B70</f>
        <v/>
      </c>
    </row>
    <row r="562">
      <c r="A562">
        <f>Dashboard_Live_Data!A71</f>
        <v/>
      </c>
      <c r="B562">
        <f>Dashboard_Live_Data!B71</f>
        <v/>
      </c>
    </row>
    <row r="563">
      <c r="A563">
        <f>Dashboard_Live_Data!A72</f>
        <v/>
      </c>
      <c r="B563">
        <f>Dashboard_Live_Data!B72</f>
        <v/>
      </c>
    </row>
    <row r="564">
      <c r="A564">
        <f>Dashboard_Live_Data!A73</f>
        <v/>
      </c>
      <c r="B564">
        <f>Dashboard_Live_Data!B73</f>
        <v/>
      </c>
    </row>
    <row r="565">
      <c r="A565">
        <f>Dashboard_Live_Data!A74</f>
        <v/>
      </c>
      <c r="B565">
        <f>Dashboard_Live_Data!B74</f>
        <v/>
      </c>
    </row>
    <row r="566">
      <c r="A566">
        <f>Dashboard_Live_Data!A75</f>
        <v/>
      </c>
      <c r="B566">
        <f>Dashboard_Live_Data!B75</f>
        <v/>
      </c>
    </row>
    <row r="567">
      <c r="A567">
        <f>Dashboard_Live_Data!A76</f>
        <v/>
      </c>
      <c r="B567">
        <f>Dashboard_Live_Data!B76</f>
        <v/>
      </c>
    </row>
    <row r="568">
      <c r="A568">
        <f>Dashboard_Live_Data!A77</f>
        <v/>
      </c>
      <c r="B568">
        <f>Dashboard_Live_Data!B77</f>
        <v/>
      </c>
    </row>
    <row r="569">
      <c r="A569">
        <f>Dashboard_Live_Data!A78</f>
        <v/>
      </c>
      <c r="B569">
        <f>Dashboard_Live_Data!B78</f>
        <v/>
      </c>
    </row>
    <row r="570">
      <c r="A570">
        <f>Dashboard_Live_Data!A79</f>
        <v/>
      </c>
      <c r="B570">
        <f>Dashboard_Live_Data!B79</f>
        <v/>
      </c>
    </row>
    <row r="571">
      <c r="A571">
        <f>Dashboard_Live_Data!A80</f>
        <v/>
      </c>
      <c r="B571">
        <f>Dashboard_Live_Data!B80</f>
        <v/>
      </c>
    </row>
    <row r="572">
      <c r="A572">
        <f>Dashboard_Live_Data!A81</f>
        <v/>
      </c>
      <c r="B572">
        <f>Dashboard_Live_Data!B81</f>
        <v/>
      </c>
    </row>
    <row r="573">
      <c r="A573">
        <f>Dashboard_Live_Data!A82</f>
        <v/>
      </c>
      <c r="B573">
        <f>Dashboard_Live_Data!B82</f>
        <v/>
      </c>
    </row>
    <row r="574">
      <c r="A574">
        <f>Dashboard_Live_Data!A83</f>
        <v/>
      </c>
      <c r="B574">
        <f>Dashboard_Live_Data!B83</f>
        <v/>
      </c>
    </row>
    <row r="575">
      <c r="A575">
        <f>Dashboard_Live_Data!A84</f>
        <v/>
      </c>
      <c r="B575">
        <f>Dashboard_Live_Data!B84</f>
        <v/>
      </c>
    </row>
    <row r="576">
      <c r="A576">
        <f>Dashboard_Live_Data!A85</f>
        <v/>
      </c>
      <c r="B576">
        <f>Dashboard_Live_Data!B85</f>
        <v/>
      </c>
    </row>
    <row r="577">
      <c r="A577">
        <f>Dashboard_Live_Data!A86</f>
        <v/>
      </c>
      <c r="B577">
        <f>Dashboard_Live_Data!B86</f>
        <v/>
      </c>
    </row>
    <row r="578">
      <c r="A578">
        <f>Dashboard_Live_Data!A87</f>
        <v/>
      </c>
      <c r="B578">
        <f>Dashboard_Live_Data!B87</f>
        <v/>
      </c>
    </row>
    <row r="579">
      <c r="A579">
        <f>Dashboard_Live_Data!A88</f>
        <v/>
      </c>
      <c r="B579">
        <f>Dashboard_Live_Data!B88</f>
        <v/>
      </c>
    </row>
    <row r="580">
      <c r="A580">
        <f>Dashboard_Live_Data!A89</f>
        <v/>
      </c>
      <c r="B580">
        <f>Dashboard_Live_Data!B89</f>
        <v/>
      </c>
    </row>
    <row r="581">
      <c r="A581">
        <f>Dashboard_Live_Data!A90</f>
        <v/>
      </c>
      <c r="B581">
        <f>Dashboard_Live_Data!B90</f>
        <v/>
      </c>
    </row>
    <row r="582">
      <c r="A582">
        <f>Dashboard_Live_Data!A91</f>
        <v/>
      </c>
      <c r="B582">
        <f>Dashboard_Live_Data!B91</f>
        <v/>
      </c>
    </row>
    <row r="583">
      <c r="A583">
        <f>Dashboard_Live_Data!A92</f>
        <v/>
      </c>
      <c r="B583">
        <f>Dashboard_Live_Data!B92</f>
        <v/>
      </c>
    </row>
    <row r="584">
      <c r="A584">
        <f>Dashboard_Live_Data!A93</f>
        <v/>
      </c>
      <c r="B584">
        <f>Dashboard_Live_Data!B93</f>
        <v/>
      </c>
    </row>
    <row r="585">
      <c r="A585">
        <f>Dashboard_Live_Data!A94</f>
        <v/>
      </c>
      <c r="B585">
        <f>Dashboard_Live_Data!B94</f>
        <v/>
      </c>
    </row>
    <row r="586">
      <c r="A586">
        <f>Dashboard_Live_Data!A95</f>
        <v/>
      </c>
      <c r="B586">
        <f>Dashboard_Live_Data!B95</f>
        <v/>
      </c>
    </row>
    <row r="587">
      <c r="A587">
        <f>Dashboard_Live_Data!A96</f>
        <v/>
      </c>
      <c r="B587">
        <f>Dashboard_Live_Data!B96</f>
        <v/>
      </c>
    </row>
    <row r="588">
      <c r="A588">
        <f>Dashboard_Live_Data!A97</f>
        <v/>
      </c>
      <c r="B588">
        <f>Dashboard_Live_Data!B97</f>
        <v/>
      </c>
    </row>
    <row r="589">
      <c r="A589">
        <f>Dashboard_Live_Data!A98</f>
        <v/>
      </c>
      <c r="B589">
        <f>Dashboard_Live_Data!B98</f>
        <v/>
      </c>
    </row>
    <row r="590">
      <c r="A590">
        <f>Dashboard_Live_Data!A99</f>
        <v/>
      </c>
      <c r="B590">
        <f>Dashboard_Live_Data!B99</f>
        <v/>
      </c>
    </row>
    <row r="591">
      <c r="A591">
        <f>Dashboard_Live_Data!A100</f>
        <v/>
      </c>
      <c r="B591">
        <f>Dashboard_Live_Data!B100</f>
        <v/>
      </c>
    </row>
    <row r="592">
      <c r="A592">
        <f>Dashboard_Live_Data!A101</f>
        <v/>
      </c>
      <c r="B592">
        <f>Dashboard_Live_Data!B101</f>
        <v/>
      </c>
    </row>
    <row r="593">
      <c r="A593">
        <f>Dashboard_Live_Data!A102</f>
        <v/>
      </c>
      <c r="B593">
        <f>Dashboard_Live_Data!B102</f>
        <v/>
      </c>
    </row>
    <row r="594">
      <c r="A594">
        <f>Dashboard_Live_Data!A103</f>
        <v/>
      </c>
      <c r="B594">
        <f>Dashboard_Live_Data!B103</f>
        <v/>
      </c>
    </row>
    <row r="595">
      <c r="A595">
        <f>Dashboard_Live_Data!A104</f>
        <v/>
      </c>
      <c r="B595">
        <f>Dashboard_Live_Data!B104</f>
        <v/>
      </c>
    </row>
    <row r="596">
      <c r="A596">
        <f>Dashboard_Live_Data!A105</f>
        <v/>
      </c>
      <c r="B596">
        <f>Dashboard_Live_Data!B105</f>
        <v/>
      </c>
    </row>
    <row r="597">
      <c r="A597">
        <f>Dashboard_Live_Data!A106</f>
        <v/>
      </c>
      <c r="B597">
        <f>Dashboard_Live_Data!B106</f>
        <v/>
      </c>
    </row>
    <row r="598">
      <c r="A598">
        <f>Dashboard_Live_Data!A107</f>
        <v/>
      </c>
      <c r="B598">
        <f>Dashboard_Live_Data!B107</f>
        <v/>
      </c>
    </row>
    <row r="599">
      <c r="A599">
        <f>Dashboard_Live_Data!A108</f>
        <v/>
      </c>
      <c r="B599">
        <f>Dashboard_Live_Data!B108</f>
        <v/>
      </c>
    </row>
    <row r="600">
      <c r="A600">
        <f>Dashboard_Live_Data!A109</f>
        <v/>
      </c>
      <c r="B600">
        <f>Dashboard_Live_Data!B109</f>
        <v/>
      </c>
    </row>
    <row r="601">
      <c r="A601">
        <f>Dashboard_Live_Data!A110</f>
        <v/>
      </c>
      <c r="B601">
        <f>Dashboard_Live_Data!B110</f>
        <v/>
      </c>
    </row>
    <row r="602">
      <c r="A602">
        <f>Dashboard_Live_Data!A111</f>
        <v/>
      </c>
      <c r="B602">
        <f>Dashboard_Live_Data!B111</f>
        <v/>
      </c>
    </row>
    <row r="603">
      <c r="A603">
        <f>Dashboard_Live_Data!A112</f>
        <v/>
      </c>
      <c r="B603">
        <f>Dashboard_Live_Data!B112</f>
        <v/>
      </c>
    </row>
    <row r="604">
      <c r="A604">
        <f>Dashboard_Live_Data!A113</f>
        <v/>
      </c>
      <c r="B604">
        <f>Dashboard_Live_Data!B113</f>
        <v/>
      </c>
    </row>
    <row r="605">
      <c r="A605">
        <f>Dashboard_Live_Data!A114</f>
        <v/>
      </c>
      <c r="B605">
        <f>Dashboard_Live_Data!B114</f>
        <v/>
      </c>
    </row>
    <row r="606">
      <c r="A606">
        <f>Dashboard_Live_Data!A115</f>
        <v/>
      </c>
      <c r="B606">
        <f>Dashboard_Live_Data!B115</f>
        <v/>
      </c>
    </row>
    <row r="607">
      <c r="A607">
        <f>Dashboard_Live_Data!A116</f>
        <v/>
      </c>
      <c r="B607">
        <f>Dashboard_Live_Data!B116</f>
        <v/>
      </c>
    </row>
    <row r="608">
      <c r="A608">
        <f>Dashboard_Live_Data!A117</f>
        <v/>
      </c>
      <c r="B608">
        <f>Dashboard_Live_Data!B117</f>
        <v/>
      </c>
    </row>
    <row r="609">
      <c r="A609">
        <f>Dashboard_Live_Data!A118</f>
        <v/>
      </c>
      <c r="B609">
        <f>Dashboard_Live_Data!B118</f>
        <v/>
      </c>
    </row>
    <row r="610">
      <c r="A610">
        <f>Dashboard_Live_Data!A119</f>
        <v/>
      </c>
      <c r="B610">
        <f>Dashboard_Live_Data!B119</f>
        <v/>
      </c>
    </row>
    <row r="611">
      <c r="A611">
        <f>Dashboard_Live_Data!A120</f>
        <v/>
      </c>
      <c r="B611">
        <f>Dashboard_Live_Data!B120</f>
        <v/>
      </c>
    </row>
    <row r="612">
      <c r="A612">
        <f>Dashboard_Live_Data!A121</f>
        <v/>
      </c>
      <c r="B612">
        <f>Dashboard_Live_Data!B121</f>
        <v/>
      </c>
    </row>
    <row r="613">
      <c r="A613">
        <f>Dashboard_Live_Data!A122</f>
        <v/>
      </c>
      <c r="B613">
        <f>Dashboard_Live_Data!B122</f>
        <v/>
      </c>
    </row>
    <row r="614">
      <c r="A614">
        <f>Dashboard_Live_Data!A123</f>
        <v/>
      </c>
      <c r="B614">
        <f>Dashboard_Live_Data!B123</f>
        <v/>
      </c>
    </row>
    <row r="615">
      <c r="A615">
        <f>Dashboard_Live_Data!A124</f>
        <v/>
      </c>
      <c r="B615">
        <f>Dashboard_Live_Data!B124</f>
        <v/>
      </c>
    </row>
    <row r="616">
      <c r="A616">
        <f>Dashboard_Live_Data!A125</f>
        <v/>
      </c>
      <c r="B616">
        <f>Dashboard_Live_Data!B125</f>
        <v/>
      </c>
    </row>
    <row r="617">
      <c r="A617">
        <f>Dashboard_Live_Data!A126</f>
        <v/>
      </c>
      <c r="B617">
        <f>Dashboard_Live_Data!B126</f>
        <v/>
      </c>
    </row>
    <row r="618">
      <c r="A618">
        <f>Dashboard_Live_Data!A127</f>
        <v/>
      </c>
      <c r="B618">
        <f>Dashboard_Live_Data!B127</f>
        <v/>
      </c>
    </row>
    <row r="619">
      <c r="A619">
        <f>Dashboard_Live_Data!A128</f>
        <v/>
      </c>
      <c r="B619">
        <f>Dashboard_Live_Data!B128</f>
        <v/>
      </c>
    </row>
    <row r="620">
      <c r="A620">
        <f>Dashboard_Live_Data!A129</f>
        <v/>
      </c>
      <c r="B620">
        <f>Dashboard_Live_Data!B129</f>
        <v/>
      </c>
    </row>
    <row r="621">
      <c r="A621">
        <f>Dashboard_Live_Data!A130</f>
        <v/>
      </c>
      <c r="B621">
        <f>Dashboard_Live_Data!B130</f>
        <v/>
      </c>
    </row>
    <row r="622">
      <c r="A622">
        <f>Dashboard_Live_Data!A131</f>
        <v/>
      </c>
      <c r="B622">
        <f>Dashboard_Live_Data!B131</f>
        <v/>
      </c>
    </row>
    <row r="623">
      <c r="A623">
        <f>Dashboard_Live_Data!A132</f>
        <v/>
      </c>
      <c r="B623">
        <f>Dashboard_Live_Data!B132</f>
        <v/>
      </c>
    </row>
    <row r="624">
      <c r="A624">
        <f>Dashboard_Live_Data!A133</f>
        <v/>
      </c>
      <c r="B624">
        <f>Dashboard_Live_Data!B133</f>
        <v/>
      </c>
    </row>
    <row r="625">
      <c r="A625">
        <f>Dashboard_Live_Data!A134</f>
        <v/>
      </c>
      <c r="B625">
        <f>Dashboard_Live_Data!B134</f>
        <v/>
      </c>
    </row>
    <row r="626">
      <c r="A626">
        <f>Dashboard_Live_Data!A135</f>
        <v/>
      </c>
      <c r="B626">
        <f>Dashboard_Live_Data!B135</f>
        <v/>
      </c>
    </row>
    <row r="627">
      <c r="A627">
        <f>Dashboard_Live_Data!A136</f>
        <v/>
      </c>
      <c r="B627">
        <f>Dashboard_Live_Data!B136</f>
        <v/>
      </c>
    </row>
    <row r="628">
      <c r="A628">
        <f>Dashboard_Live_Data!A137</f>
        <v/>
      </c>
      <c r="B628">
        <f>Dashboard_Live_Data!B137</f>
        <v/>
      </c>
    </row>
    <row r="629">
      <c r="A629">
        <f>Dashboard_Live_Data!A138</f>
        <v/>
      </c>
      <c r="B629">
        <f>Dashboard_Live_Data!B138</f>
        <v/>
      </c>
    </row>
    <row r="630">
      <c r="A630">
        <f>Dashboard_Live_Data!A139</f>
        <v/>
      </c>
      <c r="B630">
        <f>Dashboard_Live_Data!B139</f>
        <v/>
      </c>
    </row>
    <row r="631">
      <c r="A631">
        <f>Dashboard_Live_Data!A140</f>
        <v/>
      </c>
      <c r="B631">
        <f>Dashboard_Live_Data!B140</f>
        <v/>
      </c>
    </row>
    <row r="632">
      <c r="A632">
        <f>Dashboard_Live_Data!A141</f>
        <v/>
      </c>
      <c r="B632">
        <f>Dashboard_Live_Data!B141</f>
        <v/>
      </c>
    </row>
    <row r="633">
      <c r="A633">
        <f>Dashboard_Live_Data!A142</f>
        <v/>
      </c>
      <c r="B633">
        <f>Dashboard_Live_Data!B142</f>
        <v/>
      </c>
    </row>
    <row r="634">
      <c r="A634">
        <f>Dashboard_Live_Data!A143</f>
        <v/>
      </c>
      <c r="B634">
        <f>Dashboard_Live_Data!B143</f>
        <v/>
      </c>
    </row>
    <row r="635">
      <c r="A635">
        <f>Dashboard_Live_Data!A144</f>
        <v/>
      </c>
      <c r="B635">
        <f>Dashboard_Live_Data!B144</f>
        <v/>
      </c>
    </row>
    <row r="636">
      <c r="A636">
        <f>Dashboard_Live_Data!A145</f>
        <v/>
      </c>
      <c r="B636">
        <f>Dashboard_Live_Data!B145</f>
        <v/>
      </c>
    </row>
    <row r="637">
      <c r="A637">
        <f>Dashboard_Live_Data!A146</f>
        <v/>
      </c>
      <c r="B637">
        <f>Dashboard_Live_Data!B146</f>
        <v/>
      </c>
    </row>
    <row r="638">
      <c r="A638">
        <f>Dashboard_Live_Data!A147</f>
        <v/>
      </c>
      <c r="B638">
        <f>Dashboard_Live_Data!B147</f>
        <v/>
      </c>
    </row>
    <row r="639">
      <c r="A639">
        <f>Dashboard_Live_Data!A148</f>
        <v/>
      </c>
      <c r="B639">
        <f>Dashboard_Live_Data!B148</f>
        <v/>
      </c>
    </row>
    <row r="640">
      <c r="A640">
        <f>Dashboard_Live_Data!A149</f>
        <v/>
      </c>
      <c r="B640">
        <f>Dashboard_Live_Data!B149</f>
        <v/>
      </c>
    </row>
    <row r="641">
      <c r="A641">
        <f>Dashboard_Live_Data!A150</f>
        <v/>
      </c>
      <c r="B641">
        <f>Dashboard_Live_Data!B150</f>
        <v/>
      </c>
    </row>
    <row r="642">
      <c r="A642">
        <f>Dashboard_Live_Data!A151</f>
        <v/>
      </c>
      <c r="B642">
        <f>Dashboard_Live_Data!B151</f>
        <v/>
      </c>
    </row>
    <row r="643">
      <c r="A643">
        <f>Dashboard_Live_Data!A152</f>
        <v/>
      </c>
      <c r="B643">
        <f>Dashboard_Live_Data!B152</f>
        <v/>
      </c>
    </row>
    <row r="644">
      <c r="A644">
        <f>Dashboard_Live_Data!A153</f>
        <v/>
      </c>
      <c r="B644">
        <f>Dashboard_Live_Data!B153</f>
        <v/>
      </c>
    </row>
    <row r="645">
      <c r="A645">
        <f>Dashboard_Live_Data!A154</f>
        <v/>
      </c>
      <c r="B645">
        <f>Dashboard_Live_Data!B154</f>
        <v/>
      </c>
    </row>
    <row r="646">
      <c r="A646">
        <f>Dashboard_Live_Data!A155</f>
        <v/>
      </c>
      <c r="B646">
        <f>Dashboard_Live_Data!B155</f>
        <v/>
      </c>
    </row>
    <row r="647">
      <c r="A647">
        <f>Dashboard_Live_Data!A156</f>
        <v/>
      </c>
      <c r="B647">
        <f>Dashboard_Live_Data!B156</f>
        <v/>
      </c>
    </row>
    <row r="648">
      <c r="A648">
        <f>Dashboard_Live_Data!A157</f>
        <v/>
      </c>
      <c r="B648">
        <f>Dashboard_Live_Data!B157</f>
        <v/>
      </c>
    </row>
    <row r="649">
      <c r="A649">
        <f>Dashboard_Live_Data!A158</f>
        <v/>
      </c>
      <c r="B649">
        <f>Dashboard_Live_Data!B158</f>
        <v/>
      </c>
    </row>
    <row r="650">
      <c r="A650">
        <f>Dashboard_Live_Data!A159</f>
        <v/>
      </c>
      <c r="B650">
        <f>Dashboard_Live_Data!B159</f>
        <v/>
      </c>
    </row>
    <row r="651">
      <c r="A651">
        <f>Dashboard_Live_Data!A160</f>
        <v/>
      </c>
      <c r="B651">
        <f>Dashboard_Live_Data!B160</f>
        <v/>
      </c>
    </row>
    <row r="652">
      <c r="A652">
        <f>Dashboard_Live_Data!A161</f>
        <v/>
      </c>
      <c r="B652">
        <f>Dashboard_Live_Data!B161</f>
        <v/>
      </c>
    </row>
    <row r="653">
      <c r="A653">
        <f>Dashboard_Live_Data!A162</f>
        <v/>
      </c>
      <c r="B653">
        <f>Dashboard_Live_Data!B162</f>
        <v/>
      </c>
    </row>
    <row r="654">
      <c r="A654">
        <f>Dashboard_Live_Data!A163</f>
        <v/>
      </c>
      <c r="B654">
        <f>Dashboard_Live_Data!B163</f>
        <v/>
      </c>
    </row>
    <row r="655">
      <c r="A655">
        <f>Dashboard_Live_Data!A164</f>
        <v/>
      </c>
      <c r="B655">
        <f>Dashboard_Live_Data!B164</f>
        <v/>
      </c>
    </row>
    <row r="656">
      <c r="A656">
        <f>Dashboard_Live_Data!A165</f>
        <v/>
      </c>
      <c r="B656">
        <f>Dashboard_Live_Data!B165</f>
        <v/>
      </c>
    </row>
    <row r="657">
      <c r="A657">
        <f>Dashboard_Live_Data!A166</f>
        <v/>
      </c>
      <c r="B657">
        <f>Dashboard_Live_Data!B166</f>
        <v/>
      </c>
    </row>
    <row r="658">
      <c r="A658">
        <f>Dashboard_Live_Data!A167</f>
        <v/>
      </c>
      <c r="B658">
        <f>Dashboard_Live_Data!B167</f>
        <v/>
      </c>
    </row>
    <row r="659">
      <c r="A659">
        <f>Dashboard_Live_Data!A168</f>
        <v/>
      </c>
      <c r="B659">
        <f>Dashboard_Live_Data!B168</f>
        <v/>
      </c>
    </row>
    <row r="660">
      <c r="A660">
        <f>Dashboard_Live_Data!A169</f>
        <v/>
      </c>
      <c r="B660">
        <f>Dashboard_Live_Data!B169</f>
        <v/>
      </c>
    </row>
    <row r="661">
      <c r="A661">
        <f>Dashboard_Live_Data!A170</f>
        <v/>
      </c>
      <c r="B661">
        <f>Dashboard_Live_Data!B170</f>
        <v/>
      </c>
    </row>
    <row r="662">
      <c r="A662">
        <f>Dashboard_Live_Data!A171</f>
        <v/>
      </c>
      <c r="B662">
        <f>Dashboard_Live_Data!B171</f>
        <v/>
      </c>
    </row>
    <row r="663">
      <c r="A663">
        <f>Dashboard_Live_Data!A172</f>
        <v/>
      </c>
      <c r="B663">
        <f>Dashboard_Live_Data!B172</f>
        <v/>
      </c>
    </row>
    <row r="664">
      <c r="A664">
        <f>Dashboard_Live_Data!A173</f>
        <v/>
      </c>
      <c r="B664">
        <f>Dashboard_Live_Data!B173</f>
        <v/>
      </c>
    </row>
    <row r="665">
      <c r="A665">
        <f>Dashboard_Live_Data!A174</f>
        <v/>
      </c>
      <c r="B665">
        <f>Dashboard_Live_Data!B174</f>
        <v/>
      </c>
    </row>
    <row r="666">
      <c r="A666">
        <f>Dashboard_Live_Data!A175</f>
        <v/>
      </c>
      <c r="B666">
        <f>Dashboard_Live_Data!B175</f>
        <v/>
      </c>
    </row>
    <row r="667">
      <c r="A667">
        <f>Dashboard_Live_Data!A176</f>
        <v/>
      </c>
      <c r="B667">
        <f>Dashboard_Live_Data!B176</f>
        <v/>
      </c>
    </row>
    <row r="668">
      <c r="A668">
        <f>Dashboard_Live_Data!A177</f>
        <v/>
      </c>
      <c r="B668">
        <f>Dashboard_Live_Data!B177</f>
        <v/>
      </c>
    </row>
    <row r="669">
      <c r="A669">
        <f>Dashboard_Live_Data!A178</f>
        <v/>
      </c>
      <c r="B669">
        <f>Dashboard_Live_Data!B178</f>
        <v/>
      </c>
    </row>
    <row r="670">
      <c r="A670">
        <f>Dashboard_Live_Data!A179</f>
        <v/>
      </c>
      <c r="B670">
        <f>Dashboard_Live_Data!B179</f>
        <v/>
      </c>
    </row>
    <row r="671">
      <c r="A671">
        <f>Dashboard_Live_Data!A180</f>
        <v/>
      </c>
      <c r="B671">
        <f>Dashboard_Live_Data!B180</f>
        <v/>
      </c>
    </row>
    <row r="672">
      <c r="A672">
        <f>Dashboard_Live_Data!A181</f>
        <v/>
      </c>
      <c r="B672">
        <f>Dashboard_Live_Data!B181</f>
        <v/>
      </c>
    </row>
    <row r="673">
      <c r="A673">
        <f>Dashboard_Live_Data!A182</f>
        <v/>
      </c>
      <c r="B673">
        <f>Dashboard_Live_Data!B182</f>
        <v/>
      </c>
    </row>
    <row r="674">
      <c r="A674">
        <f>Dashboard_Live_Data!A183</f>
        <v/>
      </c>
      <c r="B674">
        <f>Dashboard_Live_Data!B183</f>
        <v/>
      </c>
    </row>
    <row r="675">
      <c r="A675">
        <f>Dashboard_Live_Data!A184</f>
        <v/>
      </c>
      <c r="B675">
        <f>Dashboard_Live_Data!B184</f>
        <v/>
      </c>
    </row>
    <row r="676">
      <c r="A676">
        <f>Dashboard_Live_Data!A185</f>
        <v/>
      </c>
      <c r="B676">
        <f>Dashboard_Live_Data!B185</f>
        <v/>
      </c>
    </row>
    <row r="677">
      <c r="A677">
        <f>Dashboard_Live_Data!A186</f>
        <v/>
      </c>
      <c r="B677">
        <f>Dashboard_Live_Data!B186</f>
        <v/>
      </c>
    </row>
    <row r="678">
      <c r="A678">
        <f>Dashboard_Live_Data!A187</f>
        <v/>
      </c>
      <c r="B678">
        <f>Dashboard_Live_Data!B187</f>
        <v/>
      </c>
    </row>
    <row r="679">
      <c r="A679">
        <f>Dashboard_Live_Data!A188</f>
        <v/>
      </c>
      <c r="B679">
        <f>Dashboard_Live_Data!B188</f>
        <v/>
      </c>
    </row>
    <row r="680">
      <c r="A680">
        <f>Dashboard_Live_Data!A189</f>
        <v/>
      </c>
      <c r="B680">
        <f>Dashboard_Live_Data!B189</f>
        <v/>
      </c>
    </row>
    <row r="681">
      <c r="A681">
        <f>Dashboard_Live_Data!A190</f>
        <v/>
      </c>
      <c r="B681">
        <f>Dashboard_Live_Data!B190</f>
        <v/>
      </c>
    </row>
    <row r="682">
      <c r="A682">
        <f>Dashboard_Live_Data!A191</f>
        <v/>
      </c>
      <c r="B682">
        <f>Dashboard_Live_Data!B191</f>
        <v/>
      </c>
    </row>
    <row r="683">
      <c r="A683">
        <f>Dashboard_Live_Data!A192</f>
        <v/>
      </c>
      <c r="B683">
        <f>Dashboard_Live_Data!B192</f>
        <v/>
      </c>
    </row>
    <row r="684">
      <c r="A684">
        <f>Dashboard_Live_Data!A193</f>
        <v/>
      </c>
      <c r="B684">
        <f>Dashboard_Live_Data!B193</f>
        <v/>
      </c>
    </row>
    <row r="685">
      <c r="A685">
        <f>Dashboard_Live_Data!A194</f>
        <v/>
      </c>
      <c r="B685">
        <f>Dashboard_Live_Data!B194</f>
        <v/>
      </c>
    </row>
    <row r="686">
      <c r="A686">
        <f>Dashboard_Live_Data!A195</f>
        <v/>
      </c>
      <c r="B686">
        <f>Dashboard_Live_Data!B195</f>
        <v/>
      </c>
    </row>
    <row r="687">
      <c r="A687">
        <f>Dashboard_Live_Data!A196</f>
        <v/>
      </c>
      <c r="B687">
        <f>Dashboard_Live_Data!B196</f>
        <v/>
      </c>
    </row>
    <row r="688">
      <c r="A688">
        <f>Dashboard_Live_Data!A197</f>
        <v/>
      </c>
      <c r="B688">
        <f>Dashboard_Live_Data!B197</f>
        <v/>
      </c>
    </row>
    <row r="689">
      <c r="A689">
        <f>Dashboard_Live_Data!A198</f>
        <v/>
      </c>
      <c r="B689">
        <f>Dashboard_Live_Data!B198</f>
        <v/>
      </c>
    </row>
    <row r="690">
      <c r="A690">
        <f>Dashboard_Live_Data!A199</f>
        <v/>
      </c>
      <c r="B690">
        <f>Dashboard_Live_Data!B199</f>
        <v/>
      </c>
    </row>
    <row r="691">
      <c r="A691">
        <f>Dashboard_Live_Data!A200</f>
        <v/>
      </c>
      <c r="B691">
        <f>Dashboard_Live_Data!B200</f>
        <v/>
      </c>
    </row>
    <row r="692">
      <c r="A692">
        <f>Dashboard_Live_Data!A201</f>
        <v/>
      </c>
      <c r="B692">
        <f>Dashboard_Live_Data!B201</f>
        <v/>
      </c>
    </row>
    <row r="693">
      <c r="A693">
        <f>Dashboard_Live_Data!A202</f>
        <v/>
      </c>
      <c r="B693">
        <f>Dashboard_Live_Data!B202</f>
        <v/>
      </c>
    </row>
    <row r="694">
      <c r="A694">
        <f>Dashboard_Live_Data!A203</f>
        <v/>
      </c>
      <c r="B694">
        <f>Dashboard_Live_Data!B203</f>
        <v/>
      </c>
    </row>
    <row r="695">
      <c r="A695">
        <f>Dashboard_Live_Data!A204</f>
        <v/>
      </c>
      <c r="B695">
        <f>Dashboard_Live_Data!B204</f>
        <v/>
      </c>
    </row>
    <row r="696">
      <c r="A696">
        <f>Dashboard_Live_Data!A205</f>
        <v/>
      </c>
      <c r="B696">
        <f>Dashboard_Live_Data!B205</f>
        <v/>
      </c>
    </row>
    <row r="697">
      <c r="A697">
        <f>Dashboard_Live_Data!A206</f>
        <v/>
      </c>
      <c r="B697">
        <f>Dashboard_Live_Data!B206</f>
        <v/>
      </c>
    </row>
    <row r="698">
      <c r="A698">
        <f>Dashboard_Live_Data!A207</f>
        <v/>
      </c>
      <c r="B698">
        <f>Dashboard_Live_Data!B207</f>
        <v/>
      </c>
    </row>
    <row r="699">
      <c r="A699">
        <f>Dashboard_Live_Data!A208</f>
        <v/>
      </c>
      <c r="B699">
        <f>Dashboard_Live_Data!B208</f>
        <v/>
      </c>
    </row>
    <row r="700">
      <c r="A700">
        <f>Dashboard_Live_Data!A209</f>
        <v/>
      </c>
      <c r="B700">
        <f>Dashboard_Live_Data!B209</f>
        <v/>
      </c>
    </row>
    <row r="701">
      <c r="A701">
        <f>Dashboard_Live_Data!A210</f>
        <v/>
      </c>
      <c r="B701">
        <f>Dashboard_Live_Data!B210</f>
        <v/>
      </c>
    </row>
    <row r="702">
      <c r="A702">
        <f>Dashboard_Live_Data!A211</f>
        <v/>
      </c>
      <c r="B702">
        <f>Dashboard_Live_Data!B211</f>
        <v/>
      </c>
    </row>
    <row r="703">
      <c r="A703">
        <f>Dashboard_Live_Data!A212</f>
        <v/>
      </c>
      <c r="B703">
        <f>Dashboard_Live_Data!B212</f>
        <v/>
      </c>
    </row>
    <row r="704">
      <c r="A704">
        <f>Dashboard_Live_Data!A213</f>
        <v/>
      </c>
      <c r="B704">
        <f>Dashboard_Live_Data!B213</f>
        <v/>
      </c>
    </row>
    <row r="705">
      <c r="A705">
        <f>Dashboard_Live_Data!A214</f>
        <v/>
      </c>
      <c r="B705">
        <f>Dashboard_Live_Data!B214</f>
        <v/>
      </c>
    </row>
    <row r="706">
      <c r="A706">
        <f>Dashboard_Live_Data!A215</f>
        <v/>
      </c>
      <c r="B706">
        <f>Dashboard_Live_Data!B215</f>
        <v/>
      </c>
    </row>
    <row r="707">
      <c r="A707">
        <f>Dashboard_Live_Data!A216</f>
        <v/>
      </c>
      <c r="B707">
        <f>Dashboard_Live_Data!B216</f>
        <v/>
      </c>
    </row>
    <row r="708">
      <c r="A708">
        <f>Dashboard_Live_Data!A217</f>
        <v/>
      </c>
      <c r="B708">
        <f>Dashboard_Live_Data!B217</f>
        <v/>
      </c>
    </row>
    <row r="709">
      <c r="A709">
        <f>Dashboard_Live_Data!A218</f>
        <v/>
      </c>
      <c r="B709">
        <f>Dashboard_Live_Data!B218</f>
        <v/>
      </c>
    </row>
    <row r="710">
      <c r="A710">
        <f>Dashboard_Live_Data!A219</f>
        <v/>
      </c>
      <c r="B710">
        <f>Dashboard_Live_Data!B219</f>
        <v/>
      </c>
    </row>
    <row r="711">
      <c r="A711">
        <f>Dashboard_Live_Data!A220</f>
        <v/>
      </c>
      <c r="B711">
        <f>Dashboard_Live_Data!B220</f>
        <v/>
      </c>
    </row>
    <row r="712">
      <c r="A712">
        <f>Dashboard_Live_Data!A221</f>
        <v/>
      </c>
      <c r="B712">
        <f>Dashboard_Live_Data!B221</f>
        <v/>
      </c>
    </row>
    <row r="713">
      <c r="A713">
        <f>Dashboard_Live_Data!A222</f>
        <v/>
      </c>
      <c r="B713">
        <f>Dashboard_Live_Data!B222</f>
        <v/>
      </c>
    </row>
    <row r="714">
      <c r="A714">
        <f>Dashboard_Live_Data!A223</f>
        <v/>
      </c>
      <c r="B714">
        <f>Dashboard_Live_Data!B223</f>
        <v/>
      </c>
    </row>
    <row r="715">
      <c r="A715">
        <f>Dashboard_Live_Data!A224</f>
        <v/>
      </c>
      <c r="B715">
        <f>Dashboard_Live_Data!B224</f>
        <v/>
      </c>
    </row>
    <row r="716">
      <c r="A716">
        <f>Dashboard_Live_Data!A225</f>
        <v/>
      </c>
      <c r="B716">
        <f>Dashboard_Live_Data!B225</f>
        <v/>
      </c>
    </row>
    <row r="717">
      <c r="A717">
        <f>Dashboard_Live_Data!A226</f>
        <v/>
      </c>
      <c r="B717">
        <f>Dashboard_Live_Data!B226</f>
        <v/>
      </c>
    </row>
    <row r="718">
      <c r="A718">
        <f>Dashboard_Live_Data!A227</f>
        <v/>
      </c>
      <c r="B718">
        <f>Dashboard_Live_Data!B227</f>
        <v/>
      </c>
    </row>
    <row r="719">
      <c r="A719">
        <f>Dashboard_Live_Data!A228</f>
        <v/>
      </c>
      <c r="B719">
        <f>Dashboard_Live_Data!B228</f>
        <v/>
      </c>
    </row>
    <row r="720">
      <c r="A720">
        <f>Dashboard_Live_Data!A229</f>
        <v/>
      </c>
      <c r="B720">
        <f>Dashboard_Live_Data!B229</f>
        <v/>
      </c>
    </row>
    <row r="721">
      <c r="A721">
        <f>Dashboard_Live_Data!A230</f>
        <v/>
      </c>
      <c r="B721">
        <f>Dashboard_Live_Data!B230</f>
        <v/>
      </c>
    </row>
    <row r="722">
      <c r="A722">
        <f>Dashboard_Live_Data!A231</f>
        <v/>
      </c>
      <c r="B722">
        <f>Dashboard_Live_Data!B231</f>
        <v/>
      </c>
    </row>
    <row r="723">
      <c r="A723">
        <f>Dashboard_Live_Data!A232</f>
        <v/>
      </c>
      <c r="B723">
        <f>Dashboard_Live_Data!B232</f>
        <v/>
      </c>
    </row>
    <row r="724">
      <c r="A724">
        <f>Dashboard_Live_Data!A233</f>
        <v/>
      </c>
      <c r="B724">
        <f>Dashboard_Live_Data!B233</f>
        <v/>
      </c>
    </row>
    <row r="725">
      <c r="A725">
        <f>Dashboard_Live_Data!A234</f>
        <v/>
      </c>
      <c r="B725">
        <f>Dashboard_Live_Data!B234</f>
        <v/>
      </c>
    </row>
    <row r="726">
      <c r="A726">
        <f>Dashboard_Live_Data!A235</f>
        <v/>
      </c>
      <c r="B726">
        <f>Dashboard_Live_Data!B235</f>
        <v/>
      </c>
    </row>
    <row r="727">
      <c r="A727">
        <f>Dashboard_Live_Data!A236</f>
        <v/>
      </c>
      <c r="B727">
        <f>Dashboard_Live_Data!B236</f>
        <v/>
      </c>
    </row>
    <row r="728">
      <c r="A728">
        <f>Dashboard_Live_Data!A237</f>
        <v/>
      </c>
      <c r="B728">
        <f>Dashboard_Live_Data!B237</f>
        <v/>
      </c>
    </row>
    <row r="729">
      <c r="A729">
        <f>Dashboard_Live_Data!A238</f>
        <v/>
      </c>
      <c r="B729">
        <f>Dashboard_Live_Data!B238</f>
        <v/>
      </c>
    </row>
    <row r="730">
      <c r="A730">
        <f>Dashboard_Live_Data!A239</f>
        <v/>
      </c>
      <c r="B730">
        <f>Dashboard_Live_Data!B239</f>
        <v/>
      </c>
    </row>
    <row r="731">
      <c r="A731">
        <f>Dashboard_Live_Data!A240</f>
        <v/>
      </c>
      <c r="B731">
        <f>Dashboard_Live_Data!B240</f>
        <v/>
      </c>
    </row>
    <row r="732">
      <c r="A732">
        <f>Dashboard_Live_Data!A241</f>
        <v/>
      </c>
      <c r="B732">
        <f>Dashboard_Live_Data!B241</f>
        <v/>
      </c>
    </row>
    <row r="733">
      <c r="A733">
        <f>Dashboard_Live_Data!A242</f>
        <v/>
      </c>
      <c r="B733">
        <f>Dashboard_Live_Data!B242</f>
        <v/>
      </c>
    </row>
    <row r="736">
      <c r="A736" t="inlineStr">
        <is>
          <t>Doppler: Flat Geometry vs Topography</t>
        </is>
      </c>
    </row>
    <row r="737">
      <c r="A737" t="inlineStr">
        <is>
          <t>Flat VHF Doppler (Hz) x</t>
        </is>
      </c>
      <c r="B737" t="inlineStr">
        <is>
          <t>Flat VHF Doppler (Hz)</t>
        </is>
      </c>
      <c r="C737" t="inlineStr">
        <is>
          <t>Topo VHF Doppler (Hz) x</t>
        </is>
      </c>
      <c r="D737" t="inlineStr">
        <is>
          <t>Topo VHF Doppler (Hz)</t>
        </is>
      </c>
      <c r="E737" t="inlineStr">
        <is>
          <t>Flat HF Doppler (Hz) x</t>
        </is>
      </c>
      <c r="F737" t="inlineStr">
        <is>
          <t>Flat HF Doppler (Hz)</t>
        </is>
      </c>
      <c r="G737" t="inlineStr">
        <is>
          <t>Topo HF Doppler (Hz) x</t>
        </is>
      </c>
      <c r="H737" t="inlineStr">
        <is>
          <t>Topo HF Doppler (Hz)</t>
        </is>
      </c>
    </row>
    <row r="738">
      <c r="A738">
        <f>Chart_Data!P2</f>
        <v/>
      </c>
      <c r="B738">
        <f>Chart_Data!Q2</f>
        <v/>
      </c>
      <c r="C738">
        <f>Chart_Data!P2</f>
        <v/>
      </c>
      <c r="D738">
        <f>Chart_Data!R2</f>
        <v/>
      </c>
      <c r="E738">
        <f>Chart_Data!P2</f>
        <v/>
      </c>
      <c r="F738">
        <f>Chart_Data!S2</f>
        <v/>
      </c>
      <c r="G738">
        <f>Chart_Data!P2</f>
        <v/>
      </c>
      <c r="H738">
        <f>Chart_Data!T2</f>
        <v/>
      </c>
    </row>
    <row r="739">
      <c r="A739">
        <f>Chart_Data!P3</f>
        <v/>
      </c>
      <c r="B739">
        <f>Chart_Data!Q3</f>
        <v/>
      </c>
      <c r="C739">
        <f>Chart_Data!P3</f>
        <v/>
      </c>
      <c r="D739">
        <f>Chart_Data!R3</f>
        <v/>
      </c>
      <c r="E739">
        <f>Chart_Data!P3</f>
        <v/>
      </c>
      <c r="F739">
        <f>Chart_Data!S3</f>
        <v/>
      </c>
      <c r="G739">
        <f>Chart_Data!P3</f>
        <v/>
      </c>
      <c r="H739">
        <f>Chart_Data!T3</f>
        <v/>
      </c>
    </row>
    <row r="740">
      <c r="A740">
        <f>Chart_Data!P4</f>
        <v/>
      </c>
      <c r="B740">
        <f>Chart_Data!Q4</f>
        <v/>
      </c>
      <c r="C740">
        <f>Chart_Data!P4</f>
        <v/>
      </c>
      <c r="D740">
        <f>Chart_Data!R4</f>
        <v/>
      </c>
      <c r="E740">
        <f>Chart_Data!P4</f>
        <v/>
      </c>
      <c r="F740">
        <f>Chart_Data!S4</f>
        <v/>
      </c>
      <c r="G740">
        <f>Chart_Data!P4</f>
        <v/>
      </c>
      <c r="H740">
        <f>Chart_Data!T4</f>
        <v/>
      </c>
    </row>
    <row r="741">
      <c r="A741">
        <f>Chart_Data!P5</f>
        <v/>
      </c>
      <c r="B741">
        <f>Chart_Data!Q5</f>
        <v/>
      </c>
      <c r="C741">
        <f>Chart_Data!P5</f>
        <v/>
      </c>
      <c r="D741">
        <f>Chart_Data!R5</f>
        <v/>
      </c>
      <c r="E741">
        <f>Chart_Data!P5</f>
        <v/>
      </c>
      <c r="F741">
        <f>Chart_Data!S5</f>
        <v/>
      </c>
      <c r="G741">
        <f>Chart_Data!P5</f>
        <v/>
      </c>
      <c r="H741">
        <f>Chart_Data!T5</f>
        <v/>
      </c>
    </row>
    <row r="742">
      <c r="A742">
        <f>Chart_Data!P6</f>
        <v/>
      </c>
      <c r="B742">
        <f>Chart_Data!Q6</f>
        <v/>
      </c>
      <c r="C742">
        <f>Chart_Data!P6</f>
        <v/>
      </c>
      <c r="D742">
        <f>Chart_Data!R6</f>
        <v/>
      </c>
      <c r="E742">
        <f>Chart_Data!P6</f>
        <v/>
      </c>
      <c r="F742">
        <f>Chart_Data!S6</f>
        <v/>
      </c>
      <c r="G742">
        <f>Chart_Data!P6</f>
        <v/>
      </c>
      <c r="H742">
        <f>Chart_Data!T6</f>
        <v/>
      </c>
    </row>
    <row r="743">
      <c r="A743">
        <f>Chart_Data!P7</f>
        <v/>
      </c>
      <c r="B743">
        <f>Chart_Data!Q7</f>
        <v/>
      </c>
      <c r="C743">
        <f>Chart_Data!P7</f>
        <v/>
      </c>
      <c r="D743">
        <f>Chart_Data!R7</f>
        <v/>
      </c>
      <c r="E743">
        <f>Chart_Data!P7</f>
        <v/>
      </c>
      <c r="F743">
        <f>Chart_Data!S7</f>
        <v/>
      </c>
      <c r="G743">
        <f>Chart_Data!P7</f>
        <v/>
      </c>
      <c r="H743">
        <f>Chart_Data!T7</f>
        <v/>
      </c>
    </row>
    <row r="744">
      <c r="A744">
        <f>Chart_Data!P8</f>
        <v/>
      </c>
      <c r="B744">
        <f>Chart_Data!Q8</f>
        <v/>
      </c>
      <c r="C744">
        <f>Chart_Data!P8</f>
        <v/>
      </c>
      <c r="D744">
        <f>Chart_Data!R8</f>
        <v/>
      </c>
      <c r="E744">
        <f>Chart_Data!P8</f>
        <v/>
      </c>
      <c r="F744">
        <f>Chart_Data!S8</f>
        <v/>
      </c>
      <c r="G744">
        <f>Chart_Data!P8</f>
        <v/>
      </c>
      <c r="H744">
        <f>Chart_Data!T8</f>
        <v/>
      </c>
    </row>
    <row r="745">
      <c r="A745">
        <f>Chart_Data!P9</f>
        <v/>
      </c>
      <c r="B745">
        <f>Chart_Data!Q9</f>
        <v/>
      </c>
      <c r="C745">
        <f>Chart_Data!P9</f>
        <v/>
      </c>
      <c r="D745">
        <f>Chart_Data!R9</f>
        <v/>
      </c>
      <c r="E745">
        <f>Chart_Data!P9</f>
        <v/>
      </c>
      <c r="F745">
        <f>Chart_Data!S9</f>
        <v/>
      </c>
      <c r="G745">
        <f>Chart_Data!P9</f>
        <v/>
      </c>
      <c r="H745">
        <f>Chart_Data!T9</f>
        <v/>
      </c>
    </row>
    <row r="746">
      <c r="A746">
        <f>Chart_Data!P10</f>
        <v/>
      </c>
      <c r="B746">
        <f>Chart_Data!Q10</f>
        <v/>
      </c>
      <c r="C746">
        <f>Chart_Data!P10</f>
        <v/>
      </c>
      <c r="D746">
        <f>Chart_Data!R10</f>
        <v/>
      </c>
      <c r="E746">
        <f>Chart_Data!P10</f>
        <v/>
      </c>
      <c r="F746">
        <f>Chart_Data!S10</f>
        <v/>
      </c>
      <c r="G746">
        <f>Chart_Data!P10</f>
        <v/>
      </c>
      <c r="H746">
        <f>Chart_Data!T10</f>
        <v/>
      </c>
    </row>
    <row r="747">
      <c r="A747">
        <f>Chart_Data!P11</f>
        <v/>
      </c>
      <c r="B747">
        <f>Chart_Data!Q11</f>
        <v/>
      </c>
      <c r="C747">
        <f>Chart_Data!P11</f>
        <v/>
      </c>
      <c r="D747">
        <f>Chart_Data!R11</f>
        <v/>
      </c>
      <c r="E747">
        <f>Chart_Data!P11</f>
        <v/>
      </c>
      <c r="F747">
        <f>Chart_Data!S11</f>
        <v/>
      </c>
      <c r="G747">
        <f>Chart_Data!P11</f>
        <v/>
      </c>
      <c r="H747">
        <f>Chart_Data!T11</f>
        <v/>
      </c>
    </row>
    <row r="748">
      <c r="A748">
        <f>Chart_Data!P12</f>
        <v/>
      </c>
      <c r="B748">
        <f>Chart_Data!Q12</f>
        <v/>
      </c>
      <c r="C748">
        <f>Chart_Data!P12</f>
        <v/>
      </c>
      <c r="D748">
        <f>Chart_Data!R12</f>
        <v/>
      </c>
      <c r="E748">
        <f>Chart_Data!P12</f>
        <v/>
      </c>
      <c r="F748">
        <f>Chart_Data!S12</f>
        <v/>
      </c>
      <c r="G748">
        <f>Chart_Data!P12</f>
        <v/>
      </c>
      <c r="H748">
        <f>Chart_Data!T12</f>
        <v/>
      </c>
    </row>
    <row r="749">
      <c r="A749">
        <f>Chart_Data!P13</f>
        <v/>
      </c>
      <c r="B749">
        <f>Chart_Data!Q13</f>
        <v/>
      </c>
      <c r="C749">
        <f>Chart_Data!P13</f>
        <v/>
      </c>
      <c r="D749">
        <f>Chart_Data!R13</f>
        <v/>
      </c>
      <c r="E749">
        <f>Chart_Data!P13</f>
        <v/>
      </c>
      <c r="F749">
        <f>Chart_Data!S13</f>
        <v/>
      </c>
      <c r="G749">
        <f>Chart_Data!P13</f>
        <v/>
      </c>
      <c r="H749">
        <f>Chart_Data!T13</f>
        <v/>
      </c>
    </row>
    <row r="750">
      <c r="A750">
        <f>Chart_Data!P14</f>
        <v/>
      </c>
      <c r="B750">
        <f>Chart_Data!Q14</f>
        <v/>
      </c>
      <c r="C750">
        <f>Chart_Data!P14</f>
        <v/>
      </c>
      <c r="D750">
        <f>Chart_Data!R14</f>
        <v/>
      </c>
      <c r="E750">
        <f>Chart_Data!P14</f>
        <v/>
      </c>
      <c r="F750">
        <f>Chart_Data!S14</f>
        <v/>
      </c>
      <c r="G750">
        <f>Chart_Data!P14</f>
        <v/>
      </c>
      <c r="H750">
        <f>Chart_Data!T14</f>
        <v/>
      </c>
    </row>
    <row r="751">
      <c r="A751">
        <f>Chart_Data!P15</f>
        <v/>
      </c>
      <c r="B751">
        <f>Chart_Data!Q15</f>
        <v/>
      </c>
      <c r="C751">
        <f>Chart_Data!P15</f>
        <v/>
      </c>
      <c r="D751">
        <f>Chart_Data!R15</f>
        <v/>
      </c>
      <c r="E751">
        <f>Chart_Data!P15</f>
        <v/>
      </c>
      <c r="F751">
        <f>Chart_Data!S15</f>
        <v/>
      </c>
      <c r="G751">
        <f>Chart_Data!P15</f>
        <v/>
      </c>
      <c r="H751">
        <f>Chart_Data!T15</f>
        <v/>
      </c>
    </row>
    <row r="752">
      <c r="A752">
        <f>Chart_Data!P16</f>
        <v/>
      </c>
      <c r="B752">
        <f>Chart_Data!Q16</f>
        <v/>
      </c>
      <c r="C752">
        <f>Chart_Data!P16</f>
        <v/>
      </c>
      <c r="D752">
        <f>Chart_Data!R16</f>
        <v/>
      </c>
      <c r="E752">
        <f>Chart_Data!P16</f>
        <v/>
      </c>
      <c r="F752">
        <f>Chart_Data!S16</f>
        <v/>
      </c>
      <c r="G752">
        <f>Chart_Data!P16</f>
        <v/>
      </c>
      <c r="H752">
        <f>Chart_Data!T16</f>
        <v/>
      </c>
    </row>
    <row r="753">
      <c r="A753">
        <f>Chart_Data!P17</f>
        <v/>
      </c>
      <c r="B753">
        <f>Chart_Data!Q17</f>
        <v/>
      </c>
      <c r="C753">
        <f>Chart_Data!P17</f>
        <v/>
      </c>
      <c r="D753">
        <f>Chart_Data!R17</f>
        <v/>
      </c>
      <c r="E753">
        <f>Chart_Data!P17</f>
        <v/>
      </c>
      <c r="F753">
        <f>Chart_Data!S17</f>
        <v/>
      </c>
      <c r="G753">
        <f>Chart_Data!P17</f>
        <v/>
      </c>
      <c r="H753">
        <f>Chart_Data!T17</f>
        <v/>
      </c>
    </row>
    <row r="754">
      <c r="A754">
        <f>Chart_Data!P18</f>
        <v/>
      </c>
      <c r="B754">
        <f>Chart_Data!Q18</f>
        <v/>
      </c>
      <c r="C754">
        <f>Chart_Data!P18</f>
        <v/>
      </c>
      <c r="D754">
        <f>Chart_Data!R18</f>
        <v/>
      </c>
      <c r="E754">
        <f>Chart_Data!P18</f>
        <v/>
      </c>
      <c r="F754">
        <f>Chart_Data!S18</f>
        <v/>
      </c>
      <c r="G754">
        <f>Chart_Data!P18</f>
        <v/>
      </c>
      <c r="H754">
        <f>Chart_Data!T18</f>
        <v/>
      </c>
    </row>
    <row r="755">
      <c r="A755">
        <f>Chart_Data!P19</f>
        <v/>
      </c>
      <c r="B755">
        <f>Chart_Data!Q19</f>
        <v/>
      </c>
      <c r="C755">
        <f>Chart_Data!P19</f>
        <v/>
      </c>
      <c r="D755">
        <f>Chart_Data!R19</f>
        <v/>
      </c>
      <c r="E755">
        <f>Chart_Data!P19</f>
        <v/>
      </c>
      <c r="F755">
        <f>Chart_Data!S19</f>
        <v/>
      </c>
      <c r="G755">
        <f>Chart_Data!P19</f>
        <v/>
      </c>
      <c r="H755">
        <f>Chart_Data!T19</f>
        <v/>
      </c>
    </row>
    <row r="756">
      <c r="A756">
        <f>Chart_Data!P20</f>
        <v/>
      </c>
      <c r="B756">
        <f>Chart_Data!Q20</f>
        <v/>
      </c>
      <c r="C756">
        <f>Chart_Data!P20</f>
        <v/>
      </c>
      <c r="D756">
        <f>Chart_Data!R20</f>
        <v/>
      </c>
      <c r="E756">
        <f>Chart_Data!P20</f>
        <v/>
      </c>
      <c r="F756">
        <f>Chart_Data!S20</f>
        <v/>
      </c>
      <c r="G756">
        <f>Chart_Data!P20</f>
        <v/>
      </c>
      <c r="H756">
        <f>Chart_Data!T20</f>
        <v/>
      </c>
    </row>
    <row r="757">
      <c r="A757">
        <f>Chart_Data!P21</f>
        <v/>
      </c>
      <c r="B757">
        <f>Chart_Data!Q21</f>
        <v/>
      </c>
      <c r="C757">
        <f>Chart_Data!P21</f>
        <v/>
      </c>
      <c r="D757">
        <f>Chart_Data!R21</f>
        <v/>
      </c>
      <c r="E757">
        <f>Chart_Data!P21</f>
        <v/>
      </c>
      <c r="F757">
        <f>Chart_Data!S21</f>
        <v/>
      </c>
      <c r="G757">
        <f>Chart_Data!P21</f>
        <v/>
      </c>
      <c r="H757">
        <f>Chart_Data!T21</f>
        <v/>
      </c>
    </row>
    <row r="758">
      <c r="A758">
        <f>Chart_Data!P22</f>
        <v/>
      </c>
      <c r="B758">
        <f>Chart_Data!Q22</f>
        <v/>
      </c>
      <c r="C758">
        <f>Chart_Data!P22</f>
        <v/>
      </c>
      <c r="D758">
        <f>Chart_Data!R22</f>
        <v/>
      </c>
      <c r="E758">
        <f>Chart_Data!P22</f>
        <v/>
      </c>
      <c r="F758">
        <f>Chart_Data!S22</f>
        <v/>
      </c>
      <c r="G758">
        <f>Chart_Data!P22</f>
        <v/>
      </c>
      <c r="H758">
        <f>Chart_Data!T22</f>
        <v/>
      </c>
    </row>
    <row r="759">
      <c r="A759">
        <f>Chart_Data!P23</f>
        <v/>
      </c>
      <c r="B759">
        <f>Chart_Data!Q23</f>
        <v/>
      </c>
      <c r="C759">
        <f>Chart_Data!P23</f>
        <v/>
      </c>
      <c r="D759">
        <f>Chart_Data!R23</f>
        <v/>
      </c>
      <c r="E759">
        <f>Chart_Data!P23</f>
        <v/>
      </c>
      <c r="F759">
        <f>Chart_Data!S23</f>
        <v/>
      </c>
      <c r="G759">
        <f>Chart_Data!P23</f>
        <v/>
      </c>
      <c r="H759">
        <f>Chart_Data!T23</f>
        <v/>
      </c>
    </row>
    <row r="760">
      <c r="A760">
        <f>Chart_Data!P24</f>
        <v/>
      </c>
      <c r="B760">
        <f>Chart_Data!Q24</f>
        <v/>
      </c>
      <c r="C760">
        <f>Chart_Data!P24</f>
        <v/>
      </c>
      <c r="D760">
        <f>Chart_Data!R24</f>
        <v/>
      </c>
      <c r="E760">
        <f>Chart_Data!P24</f>
        <v/>
      </c>
      <c r="F760">
        <f>Chart_Data!S24</f>
        <v/>
      </c>
      <c r="G760">
        <f>Chart_Data!P24</f>
        <v/>
      </c>
      <c r="H760">
        <f>Chart_Data!T24</f>
        <v/>
      </c>
    </row>
    <row r="761">
      <c r="A761">
        <f>Chart_Data!P25</f>
        <v/>
      </c>
      <c r="B761">
        <f>Chart_Data!Q25</f>
        <v/>
      </c>
      <c r="C761">
        <f>Chart_Data!P25</f>
        <v/>
      </c>
      <c r="D761">
        <f>Chart_Data!R25</f>
        <v/>
      </c>
      <c r="E761">
        <f>Chart_Data!P25</f>
        <v/>
      </c>
      <c r="F761">
        <f>Chart_Data!S25</f>
        <v/>
      </c>
      <c r="G761">
        <f>Chart_Data!P25</f>
        <v/>
      </c>
      <c r="H761">
        <f>Chart_Data!T25</f>
        <v/>
      </c>
    </row>
    <row r="762">
      <c r="A762">
        <f>Chart_Data!P26</f>
        <v/>
      </c>
      <c r="B762">
        <f>Chart_Data!Q26</f>
        <v/>
      </c>
      <c r="C762">
        <f>Chart_Data!P26</f>
        <v/>
      </c>
      <c r="D762">
        <f>Chart_Data!R26</f>
        <v/>
      </c>
      <c r="E762">
        <f>Chart_Data!P26</f>
        <v/>
      </c>
      <c r="F762">
        <f>Chart_Data!S26</f>
        <v/>
      </c>
      <c r="G762">
        <f>Chart_Data!P26</f>
        <v/>
      </c>
      <c r="H762">
        <f>Chart_Data!T26</f>
        <v/>
      </c>
    </row>
    <row r="763">
      <c r="A763">
        <f>Chart_Data!P27</f>
        <v/>
      </c>
      <c r="B763">
        <f>Chart_Data!Q27</f>
        <v/>
      </c>
      <c r="C763">
        <f>Chart_Data!P27</f>
        <v/>
      </c>
      <c r="D763">
        <f>Chart_Data!R27</f>
        <v/>
      </c>
      <c r="E763">
        <f>Chart_Data!P27</f>
        <v/>
      </c>
      <c r="F763">
        <f>Chart_Data!S27</f>
        <v/>
      </c>
      <c r="G763">
        <f>Chart_Data!P27</f>
        <v/>
      </c>
      <c r="H763">
        <f>Chart_Data!T27</f>
        <v/>
      </c>
    </row>
    <row r="764">
      <c r="A764">
        <f>Chart_Data!P28</f>
        <v/>
      </c>
      <c r="B764">
        <f>Chart_Data!Q28</f>
        <v/>
      </c>
      <c r="C764">
        <f>Chart_Data!P28</f>
        <v/>
      </c>
      <c r="D764">
        <f>Chart_Data!R28</f>
        <v/>
      </c>
      <c r="E764">
        <f>Chart_Data!P28</f>
        <v/>
      </c>
      <c r="F764">
        <f>Chart_Data!S28</f>
        <v/>
      </c>
      <c r="G764">
        <f>Chart_Data!P28</f>
        <v/>
      </c>
      <c r="H764">
        <f>Chart_Data!T28</f>
        <v/>
      </c>
    </row>
    <row r="765">
      <c r="A765">
        <f>Chart_Data!P29</f>
        <v/>
      </c>
      <c r="B765">
        <f>Chart_Data!Q29</f>
        <v/>
      </c>
      <c r="C765">
        <f>Chart_Data!P29</f>
        <v/>
      </c>
      <c r="D765">
        <f>Chart_Data!R29</f>
        <v/>
      </c>
      <c r="E765">
        <f>Chart_Data!P29</f>
        <v/>
      </c>
      <c r="F765">
        <f>Chart_Data!S29</f>
        <v/>
      </c>
      <c r="G765">
        <f>Chart_Data!P29</f>
        <v/>
      </c>
      <c r="H765">
        <f>Chart_Data!T29</f>
        <v/>
      </c>
    </row>
    <row r="766">
      <c r="A766">
        <f>Chart_Data!P30</f>
        <v/>
      </c>
      <c r="B766">
        <f>Chart_Data!Q30</f>
        <v/>
      </c>
      <c r="C766">
        <f>Chart_Data!P30</f>
        <v/>
      </c>
      <c r="D766">
        <f>Chart_Data!R30</f>
        <v/>
      </c>
      <c r="E766">
        <f>Chart_Data!P30</f>
        <v/>
      </c>
      <c r="F766">
        <f>Chart_Data!S30</f>
        <v/>
      </c>
      <c r="G766">
        <f>Chart_Data!P30</f>
        <v/>
      </c>
      <c r="H766">
        <f>Chart_Data!T30</f>
        <v/>
      </c>
    </row>
    <row r="767">
      <c r="A767">
        <f>Chart_Data!P31</f>
        <v/>
      </c>
      <c r="B767">
        <f>Chart_Data!Q31</f>
        <v/>
      </c>
      <c r="C767">
        <f>Chart_Data!P31</f>
        <v/>
      </c>
      <c r="D767">
        <f>Chart_Data!R31</f>
        <v/>
      </c>
      <c r="E767">
        <f>Chart_Data!P31</f>
        <v/>
      </c>
      <c r="F767">
        <f>Chart_Data!S31</f>
        <v/>
      </c>
      <c r="G767">
        <f>Chart_Data!P31</f>
        <v/>
      </c>
      <c r="H767">
        <f>Chart_Data!T31</f>
        <v/>
      </c>
    </row>
    <row r="768">
      <c r="A768">
        <f>Chart_Data!P32</f>
        <v/>
      </c>
      <c r="B768">
        <f>Chart_Data!Q32</f>
        <v/>
      </c>
      <c r="C768">
        <f>Chart_Data!P32</f>
        <v/>
      </c>
      <c r="D768">
        <f>Chart_Data!R32</f>
        <v/>
      </c>
      <c r="E768">
        <f>Chart_Data!P32</f>
        <v/>
      </c>
      <c r="F768">
        <f>Chart_Data!S32</f>
        <v/>
      </c>
      <c r="G768">
        <f>Chart_Data!P32</f>
        <v/>
      </c>
      <c r="H768">
        <f>Chart_Data!T32</f>
        <v/>
      </c>
    </row>
    <row r="769">
      <c r="A769">
        <f>Chart_Data!P33</f>
        <v/>
      </c>
      <c r="B769">
        <f>Chart_Data!Q33</f>
        <v/>
      </c>
      <c r="C769">
        <f>Chart_Data!P33</f>
        <v/>
      </c>
      <c r="D769">
        <f>Chart_Data!R33</f>
        <v/>
      </c>
      <c r="E769">
        <f>Chart_Data!P33</f>
        <v/>
      </c>
      <c r="F769">
        <f>Chart_Data!S33</f>
        <v/>
      </c>
      <c r="G769">
        <f>Chart_Data!P33</f>
        <v/>
      </c>
      <c r="H769">
        <f>Chart_Data!T33</f>
        <v/>
      </c>
    </row>
    <row r="770">
      <c r="A770">
        <f>Chart_Data!P34</f>
        <v/>
      </c>
      <c r="B770">
        <f>Chart_Data!Q34</f>
        <v/>
      </c>
      <c r="C770">
        <f>Chart_Data!P34</f>
        <v/>
      </c>
      <c r="D770">
        <f>Chart_Data!R34</f>
        <v/>
      </c>
      <c r="E770">
        <f>Chart_Data!P34</f>
        <v/>
      </c>
      <c r="F770">
        <f>Chart_Data!S34</f>
        <v/>
      </c>
      <c r="G770">
        <f>Chart_Data!P34</f>
        <v/>
      </c>
      <c r="H770">
        <f>Chart_Data!T34</f>
        <v/>
      </c>
    </row>
    <row r="771">
      <c r="A771">
        <f>Chart_Data!P35</f>
        <v/>
      </c>
      <c r="B771">
        <f>Chart_Data!Q35</f>
        <v/>
      </c>
      <c r="C771">
        <f>Chart_Data!P35</f>
        <v/>
      </c>
      <c r="D771">
        <f>Chart_Data!R35</f>
        <v/>
      </c>
      <c r="E771">
        <f>Chart_Data!P35</f>
        <v/>
      </c>
      <c r="F771">
        <f>Chart_Data!S35</f>
        <v/>
      </c>
      <c r="G771">
        <f>Chart_Data!P35</f>
        <v/>
      </c>
      <c r="H771">
        <f>Chart_Data!T35</f>
        <v/>
      </c>
    </row>
    <row r="772">
      <c r="A772">
        <f>Chart_Data!P36</f>
        <v/>
      </c>
      <c r="B772">
        <f>Chart_Data!Q36</f>
        <v/>
      </c>
      <c r="C772">
        <f>Chart_Data!P36</f>
        <v/>
      </c>
      <c r="D772">
        <f>Chart_Data!R36</f>
        <v/>
      </c>
      <c r="E772">
        <f>Chart_Data!P36</f>
        <v/>
      </c>
      <c r="F772">
        <f>Chart_Data!S36</f>
        <v/>
      </c>
      <c r="G772">
        <f>Chart_Data!P36</f>
        <v/>
      </c>
      <c r="H772">
        <f>Chart_Data!T36</f>
        <v/>
      </c>
    </row>
    <row r="773">
      <c r="A773">
        <f>Chart_Data!P37</f>
        <v/>
      </c>
      <c r="B773">
        <f>Chart_Data!Q37</f>
        <v/>
      </c>
      <c r="C773">
        <f>Chart_Data!P37</f>
        <v/>
      </c>
      <c r="D773">
        <f>Chart_Data!R37</f>
        <v/>
      </c>
      <c r="E773">
        <f>Chart_Data!P37</f>
        <v/>
      </c>
      <c r="F773">
        <f>Chart_Data!S37</f>
        <v/>
      </c>
      <c r="G773">
        <f>Chart_Data!P37</f>
        <v/>
      </c>
      <c r="H773">
        <f>Chart_Data!T37</f>
        <v/>
      </c>
    </row>
    <row r="774">
      <c r="A774">
        <f>Chart_Data!P38</f>
        <v/>
      </c>
      <c r="B774">
        <f>Chart_Data!Q38</f>
        <v/>
      </c>
      <c r="C774">
        <f>Chart_Data!P38</f>
        <v/>
      </c>
      <c r="D774">
        <f>Chart_Data!R38</f>
        <v/>
      </c>
      <c r="E774">
        <f>Chart_Data!P38</f>
        <v/>
      </c>
      <c r="F774">
        <f>Chart_Data!S38</f>
        <v/>
      </c>
      <c r="G774">
        <f>Chart_Data!P38</f>
        <v/>
      </c>
      <c r="H774">
        <f>Chart_Data!T38</f>
        <v/>
      </c>
    </row>
    <row r="775">
      <c r="A775">
        <f>Chart_Data!P39</f>
        <v/>
      </c>
      <c r="B775">
        <f>Chart_Data!Q39</f>
        <v/>
      </c>
      <c r="C775">
        <f>Chart_Data!P39</f>
        <v/>
      </c>
      <c r="D775">
        <f>Chart_Data!R39</f>
        <v/>
      </c>
      <c r="E775">
        <f>Chart_Data!P39</f>
        <v/>
      </c>
      <c r="F775">
        <f>Chart_Data!S39</f>
        <v/>
      </c>
      <c r="G775">
        <f>Chart_Data!P39</f>
        <v/>
      </c>
      <c r="H775">
        <f>Chart_Data!T39</f>
        <v/>
      </c>
    </row>
    <row r="776">
      <c r="A776">
        <f>Chart_Data!P40</f>
        <v/>
      </c>
      <c r="B776">
        <f>Chart_Data!Q40</f>
        <v/>
      </c>
      <c r="C776">
        <f>Chart_Data!P40</f>
        <v/>
      </c>
      <c r="D776">
        <f>Chart_Data!R40</f>
        <v/>
      </c>
      <c r="E776">
        <f>Chart_Data!P40</f>
        <v/>
      </c>
      <c r="F776">
        <f>Chart_Data!S40</f>
        <v/>
      </c>
      <c r="G776">
        <f>Chart_Data!P40</f>
        <v/>
      </c>
      <c r="H776">
        <f>Chart_Data!T40</f>
        <v/>
      </c>
    </row>
    <row r="777">
      <c r="A777">
        <f>Chart_Data!P41</f>
        <v/>
      </c>
      <c r="B777">
        <f>Chart_Data!Q41</f>
        <v/>
      </c>
      <c r="C777">
        <f>Chart_Data!P41</f>
        <v/>
      </c>
      <c r="D777">
        <f>Chart_Data!R41</f>
        <v/>
      </c>
      <c r="E777">
        <f>Chart_Data!P41</f>
        <v/>
      </c>
      <c r="F777">
        <f>Chart_Data!S41</f>
        <v/>
      </c>
      <c r="G777">
        <f>Chart_Data!P41</f>
        <v/>
      </c>
      <c r="H777">
        <f>Chart_Data!T41</f>
        <v/>
      </c>
    </row>
    <row r="778">
      <c r="A778">
        <f>Chart_Data!P42</f>
        <v/>
      </c>
      <c r="B778">
        <f>Chart_Data!Q42</f>
        <v/>
      </c>
      <c r="C778">
        <f>Chart_Data!P42</f>
        <v/>
      </c>
      <c r="D778">
        <f>Chart_Data!R42</f>
        <v/>
      </c>
      <c r="E778">
        <f>Chart_Data!P42</f>
        <v/>
      </c>
      <c r="F778">
        <f>Chart_Data!S42</f>
        <v/>
      </c>
      <c r="G778">
        <f>Chart_Data!P42</f>
        <v/>
      </c>
      <c r="H778">
        <f>Chart_Data!T42</f>
        <v/>
      </c>
    </row>
    <row r="779">
      <c r="A779">
        <f>Chart_Data!P43</f>
        <v/>
      </c>
      <c r="B779">
        <f>Chart_Data!Q43</f>
        <v/>
      </c>
      <c r="C779">
        <f>Chart_Data!P43</f>
        <v/>
      </c>
      <c r="D779">
        <f>Chart_Data!R43</f>
        <v/>
      </c>
      <c r="E779">
        <f>Chart_Data!P43</f>
        <v/>
      </c>
      <c r="F779">
        <f>Chart_Data!S43</f>
        <v/>
      </c>
      <c r="G779">
        <f>Chart_Data!P43</f>
        <v/>
      </c>
      <c r="H779">
        <f>Chart_Data!T43</f>
        <v/>
      </c>
    </row>
    <row r="780">
      <c r="A780">
        <f>Chart_Data!P44</f>
        <v/>
      </c>
      <c r="B780">
        <f>Chart_Data!Q44</f>
        <v/>
      </c>
      <c r="C780">
        <f>Chart_Data!P44</f>
        <v/>
      </c>
      <c r="D780">
        <f>Chart_Data!R44</f>
        <v/>
      </c>
      <c r="E780">
        <f>Chart_Data!P44</f>
        <v/>
      </c>
      <c r="F780">
        <f>Chart_Data!S44</f>
        <v/>
      </c>
      <c r="G780">
        <f>Chart_Data!P44</f>
        <v/>
      </c>
      <c r="H780">
        <f>Chart_Data!T44</f>
        <v/>
      </c>
    </row>
    <row r="781">
      <c r="A781">
        <f>Chart_Data!P45</f>
        <v/>
      </c>
      <c r="B781">
        <f>Chart_Data!Q45</f>
        <v/>
      </c>
      <c r="C781">
        <f>Chart_Data!P45</f>
        <v/>
      </c>
      <c r="D781">
        <f>Chart_Data!R45</f>
        <v/>
      </c>
      <c r="E781">
        <f>Chart_Data!P45</f>
        <v/>
      </c>
      <c r="F781">
        <f>Chart_Data!S45</f>
        <v/>
      </c>
      <c r="G781">
        <f>Chart_Data!P45</f>
        <v/>
      </c>
      <c r="H781">
        <f>Chart_Data!T45</f>
        <v/>
      </c>
    </row>
    <row r="782">
      <c r="A782">
        <f>Chart_Data!P46</f>
        <v/>
      </c>
      <c r="B782">
        <f>Chart_Data!Q46</f>
        <v/>
      </c>
      <c r="C782">
        <f>Chart_Data!P46</f>
        <v/>
      </c>
      <c r="D782">
        <f>Chart_Data!R46</f>
        <v/>
      </c>
      <c r="E782">
        <f>Chart_Data!P46</f>
        <v/>
      </c>
      <c r="F782">
        <f>Chart_Data!S46</f>
        <v/>
      </c>
      <c r="G782">
        <f>Chart_Data!P46</f>
        <v/>
      </c>
      <c r="H782">
        <f>Chart_Data!T46</f>
        <v/>
      </c>
    </row>
    <row r="783">
      <c r="A783">
        <f>Chart_Data!P47</f>
        <v/>
      </c>
      <c r="B783">
        <f>Chart_Data!Q47</f>
        <v/>
      </c>
      <c r="C783">
        <f>Chart_Data!P47</f>
        <v/>
      </c>
      <c r="D783">
        <f>Chart_Data!R47</f>
        <v/>
      </c>
      <c r="E783">
        <f>Chart_Data!P47</f>
        <v/>
      </c>
      <c r="F783">
        <f>Chart_Data!S47</f>
        <v/>
      </c>
      <c r="G783">
        <f>Chart_Data!P47</f>
        <v/>
      </c>
      <c r="H783">
        <f>Chart_Data!T47</f>
        <v/>
      </c>
    </row>
    <row r="784">
      <c r="A784">
        <f>Chart_Data!P48</f>
        <v/>
      </c>
      <c r="B784">
        <f>Chart_Data!Q48</f>
        <v/>
      </c>
      <c r="C784">
        <f>Chart_Data!P48</f>
        <v/>
      </c>
      <c r="D784">
        <f>Chart_Data!R48</f>
        <v/>
      </c>
      <c r="E784">
        <f>Chart_Data!P48</f>
        <v/>
      </c>
      <c r="F784">
        <f>Chart_Data!S48</f>
        <v/>
      </c>
      <c r="G784">
        <f>Chart_Data!P48</f>
        <v/>
      </c>
      <c r="H784">
        <f>Chart_Data!T48</f>
        <v/>
      </c>
    </row>
    <row r="785">
      <c r="A785">
        <f>Chart_Data!P49</f>
        <v/>
      </c>
      <c r="B785">
        <f>Chart_Data!Q49</f>
        <v/>
      </c>
      <c r="C785">
        <f>Chart_Data!P49</f>
        <v/>
      </c>
      <c r="D785">
        <f>Chart_Data!R49</f>
        <v/>
      </c>
      <c r="E785">
        <f>Chart_Data!P49</f>
        <v/>
      </c>
      <c r="F785">
        <f>Chart_Data!S49</f>
        <v/>
      </c>
      <c r="G785">
        <f>Chart_Data!P49</f>
        <v/>
      </c>
      <c r="H785">
        <f>Chart_Data!T49</f>
        <v/>
      </c>
    </row>
    <row r="786">
      <c r="A786">
        <f>Chart_Data!P50</f>
        <v/>
      </c>
      <c r="B786">
        <f>Chart_Data!Q50</f>
        <v/>
      </c>
      <c r="C786">
        <f>Chart_Data!P50</f>
        <v/>
      </c>
      <c r="D786">
        <f>Chart_Data!R50</f>
        <v/>
      </c>
      <c r="E786">
        <f>Chart_Data!P50</f>
        <v/>
      </c>
      <c r="F786">
        <f>Chart_Data!S50</f>
        <v/>
      </c>
      <c r="G786">
        <f>Chart_Data!P50</f>
        <v/>
      </c>
      <c r="H786">
        <f>Chart_Data!T50</f>
        <v/>
      </c>
    </row>
    <row r="787">
      <c r="A787">
        <f>Chart_Data!P51</f>
        <v/>
      </c>
      <c r="B787">
        <f>Chart_Data!Q51</f>
        <v/>
      </c>
      <c r="C787">
        <f>Chart_Data!P51</f>
        <v/>
      </c>
      <c r="D787">
        <f>Chart_Data!R51</f>
        <v/>
      </c>
      <c r="E787">
        <f>Chart_Data!P51</f>
        <v/>
      </c>
      <c r="F787">
        <f>Chart_Data!S51</f>
        <v/>
      </c>
      <c r="G787">
        <f>Chart_Data!P51</f>
        <v/>
      </c>
      <c r="H787">
        <f>Chart_Data!T51</f>
        <v/>
      </c>
    </row>
    <row r="788">
      <c r="A788">
        <f>Chart_Data!P52</f>
        <v/>
      </c>
      <c r="B788">
        <f>Chart_Data!Q52</f>
        <v/>
      </c>
      <c r="C788">
        <f>Chart_Data!P52</f>
        <v/>
      </c>
      <c r="D788">
        <f>Chart_Data!R52</f>
        <v/>
      </c>
      <c r="E788">
        <f>Chart_Data!P52</f>
        <v/>
      </c>
      <c r="F788">
        <f>Chart_Data!S52</f>
        <v/>
      </c>
      <c r="G788">
        <f>Chart_Data!P52</f>
        <v/>
      </c>
      <c r="H788">
        <f>Chart_Data!T52</f>
        <v/>
      </c>
    </row>
    <row r="789">
      <c r="A789">
        <f>Chart_Data!P53</f>
        <v/>
      </c>
      <c r="B789">
        <f>Chart_Data!Q53</f>
        <v/>
      </c>
      <c r="C789">
        <f>Chart_Data!P53</f>
        <v/>
      </c>
      <c r="D789">
        <f>Chart_Data!R53</f>
        <v/>
      </c>
      <c r="E789">
        <f>Chart_Data!P53</f>
        <v/>
      </c>
      <c r="F789">
        <f>Chart_Data!S53</f>
        <v/>
      </c>
      <c r="G789">
        <f>Chart_Data!P53</f>
        <v/>
      </c>
      <c r="H789">
        <f>Chart_Data!T53</f>
        <v/>
      </c>
    </row>
    <row r="790">
      <c r="A790">
        <f>Chart_Data!P54</f>
        <v/>
      </c>
      <c r="B790">
        <f>Chart_Data!Q54</f>
        <v/>
      </c>
      <c r="C790">
        <f>Chart_Data!P54</f>
        <v/>
      </c>
      <c r="D790">
        <f>Chart_Data!R54</f>
        <v/>
      </c>
      <c r="E790">
        <f>Chart_Data!P54</f>
        <v/>
      </c>
      <c r="F790">
        <f>Chart_Data!S54</f>
        <v/>
      </c>
      <c r="G790">
        <f>Chart_Data!P54</f>
        <v/>
      </c>
      <c r="H790">
        <f>Chart_Data!T54</f>
        <v/>
      </c>
    </row>
    <row r="791">
      <c r="A791">
        <f>Chart_Data!P55</f>
        <v/>
      </c>
      <c r="B791">
        <f>Chart_Data!Q55</f>
        <v/>
      </c>
      <c r="C791">
        <f>Chart_Data!P55</f>
        <v/>
      </c>
      <c r="D791">
        <f>Chart_Data!R55</f>
        <v/>
      </c>
      <c r="E791">
        <f>Chart_Data!P55</f>
        <v/>
      </c>
      <c r="F791">
        <f>Chart_Data!S55</f>
        <v/>
      </c>
      <c r="G791">
        <f>Chart_Data!P55</f>
        <v/>
      </c>
      <c r="H791">
        <f>Chart_Data!T55</f>
        <v/>
      </c>
    </row>
    <row r="792">
      <c r="A792">
        <f>Chart_Data!P56</f>
        <v/>
      </c>
      <c r="B792">
        <f>Chart_Data!Q56</f>
        <v/>
      </c>
      <c r="C792">
        <f>Chart_Data!P56</f>
        <v/>
      </c>
      <c r="D792">
        <f>Chart_Data!R56</f>
        <v/>
      </c>
      <c r="E792">
        <f>Chart_Data!P56</f>
        <v/>
      </c>
      <c r="F792">
        <f>Chart_Data!S56</f>
        <v/>
      </c>
      <c r="G792">
        <f>Chart_Data!P56</f>
        <v/>
      </c>
      <c r="H792">
        <f>Chart_Data!T56</f>
        <v/>
      </c>
    </row>
    <row r="793">
      <c r="A793">
        <f>Chart_Data!P57</f>
        <v/>
      </c>
      <c r="B793">
        <f>Chart_Data!Q57</f>
        <v/>
      </c>
      <c r="C793">
        <f>Chart_Data!P57</f>
        <v/>
      </c>
      <c r="D793">
        <f>Chart_Data!R57</f>
        <v/>
      </c>
      <c r="E793">
        <f>Chart_Data!P57</f>
        <v/>
      </c>
      <c r="F793">
        <f>Chart_Data!S57</f>
        <v/>
      </c>
      <c r="G793">
        <f>Chart_Data!P57</f>
        <v/>
      </c>
      <c r="H793">
        <f>Chart_Data!T57</f>
        <v/>
      </c>
    </row>
    <row r="794">
      <c r="A794">
        <f>Chart_Data!P58</f>
        <v/>
      </c>
      <c r="B794">
        <f>Chart_Data!Q58</f>
        <v/>
      </c>
      <c r="C794">
        <f>Chart_Data!P58</f>
        <v/>
      </c>
      <c r="D794">
        <f>Chart_Data!R58</f>
        <v/>
      </c>
      <c r="E794">
        <f>Chart_Data!P58</f>
        <v/>
      </c>
      <c r="F794">
        <f>Chart_Data!S58</f>
        <v/>
      </c>
      <c r="G794">
        <f>Chart_Data!P58</f>
        <v/>
      </c>
      <c r="H794">
        <f>Chart_Data!T58</f>
        <v/>
      </c>
    </row>
    <row r="795">
      <c r="A795">
        <f>Chart_Data!P59</f>
        <v/>
      </c>
      <c r="B795">
        <f>Chart_Data!Q59</f>
        <v/>
      </c>
      <c r="C795">
        <f>Chart_Data!P59</f>
        <v/>
      </c>
      <c r="D795">
        <f>Chart_Data!R59</f>
        <v/>
      </c>
      <c r="E795">
        <f>Chart_Data!P59</f>
        <v/>
      </c>
      <c r="F795">
        <f>Chart_Data!S59</f>
        <v/>
      </c>
      <c r="G795">
        <f>Chart_Data!P59</f>
        <v/>
      </c>
      <c r="H795">
        <f>Chart_Data!T59</f>
        <v/>
      </c>
    </row>
    <row r="796">
      <c r="A796">
        <f>Chart_Data!P60</f>
        <v/>
      </c>
      <c r="B796">
        <f>Chart_Data!Q60</f>
        <v/>
      </c>
      <c r="C796">
        <f>Chart_Data!P60</f>
        <v/>
      </c>
      <c r="D796">
        <f>Chart_Data!R60</f>
        <v/>
      </c>
      <c r="E796">
        <f>Chart_Data!P60</f>
        <v/>
      </c>
      <c r="F796">
        <f>Chart_Data!S60</f>
        <v/>
      </c>
      <c r="G796">
        <f>Chart_Data!P60</f>
        <v/>
      </c>
      <c r="H796">
        <f>Chart_Data!T60</f>
        <v/>
      </c>
    </row>
    <row r="797">
      <c r="A797">
        <f>Chart_Data!P61</f>
        <v/>
      </c>
      <c r="B797">
        <f>Chart_Data!Q61</f>
        <v/>
      </c>
      <c r="C797">
        <f>Chart_Data!P61</f>
        <v/>
      </c>
      <c r="D797">
        <f>Chart_Data!R61</f>
        <v/>
      </c>
      <c r="E797">
        <f>Chart_Data!P61</f>
        <v/>
      </c>
      <c r="F797">
        <f>Chart_Data!S61</f>
        <v/>
      </c>
      <c r="G797">
        <f>Chart_Data!P61</f>
        <v/>
      </c>
      <c r="H797">
        <f>Chart_Data!T61</f>
        <v/>
      </c>
    </row>
    <row r="798">
      <c r="A798">
        <f>Chart_Data!P62</f>
        <v/>
      </c>
      <c r="B798">
        <f>Chart_Data!Q62</f>
        <v/>
      </c>
      <c r="C798">
        <f>Chart_Data!P62</f>
        <v/>
      </c>
      <c r="D798">
        <f>Chart_Data!R62</f>
        <v/>
      </c>
      <c r="E798">
        <f>Chart_Data!P62</f>
        <v/>
      </c>
      <c r="F798">
        <f>Chart_Data!S62</f>
        <v/>
      </c>
      <c r="G798">
        <f>Chart_Data!P62</f>
        <v/>
      </c>
      <c r="H798">
        <f>Chart_Data!T62</f>
        <v/>
      </c>
    </row>
    <row r="799">
      <c r="A799">
        <f>Chart_Data!P63</f>
        <v/>
      </c>
      <c r="B799">
        <f>Chart_Data!Q63</f>
        <v/>
      </c>
      <c r="C799">
        <f>Chart_Data!P63</f>
        <v/>
      </c>
      <c r="D799">
        <f>Chart_Data!R63</f>
        <v/>
      </c>
      <c r="E799">
        <f>Chart_Data!P63</f>
        <v/>
      </c>
      <c r="F799">
        <f>Chart_Data!S63</f>
        <v/>
      </c>
      <c r="G799">
        <f>Chart_Data!P63</f>
        <v/>
      </c>
      <c r="H799">
        <f>Chart_Data!T63</f>
        <v/>
      </c>
    </row>
    <row r="800">
      <c r="A800">
        <f>Chart_Data!P64</f>
        <v/>
      </c>
      <c r="B800">
        <f>Chart_Data!Q64</f>
        <v/>
      </c>
      <c r="C800">
        <f>Chart_Data!P64</f>
        <v/>
      </c>
      <c r="D800">
        <f>Chart_Data!R64</f>
        <v/>
      </c>
      <c r="E800">
        <f>Chart_Data!P64</f>
        <v/>
      </c>
      <c r="F800">
        <f>Chart_Data!S64</f>
        <v/>
      </c>
      <c r="G800">
        <f>Chart_Data!P64</f>
        <v/>
      </c>
      <c r="H800">
        <f>Chart_Data!T64</f>
        <v/>
      </c>
    </row>
    <row r="801">
      <c r="A801">
        <f>Chart_Data!P65</f>
        <v/>
      </c>
      <c r="B801">
        <f>Chart_Data!Q65</f>
        <v/>
      </c>
      <c r="C801">
        <f>Chart_Data!P65</f>
        <v/>
      </c>
      <c r="D801">
        <f>Chart_Data!R65</f>
        <v/>
      </c>
      <c r="E801">
        <f>Chart_Data!P65</f>
        <v/>
      </c>
      <c r="F801">
        <f>Chart_Data!S65</f>
        <v/>
      </c>
      <c r="G801">
        <f>Chart_Data!P65</f>
        <v/>
      </c>
      <c r="H801">
        <f>Chart_Data!T65</f>
        <v/>
      </c>
    </row>
    <row r="802">
      <c r="A802">
        <f>Chart_Data!P66</f>
        <v/>
      </c>
      <c r="B802">
        <f>Chart_Data!Q66</f>
        <v/>
      </c>
      <c r="C802">
        <f>Chart_Data!P66</f>
        <v/>
      </c>
      <c r="D802">
        <f>Chart_Data!R66</f>
        <v/>
      </c>
      <c r="E802">
        <f>Chart_Data!P66</f>
        <v/>
      </c>
      <c r="F802">
        <f>Chart_Data!S66</f>
        <v/>
      </c>
      <c r="G802">
        <f>Chart_Data!P66</f>
        <v/>
      </c>
      <c r="H802">
        <f>Chart_Data!T66</f>
        <v/>
      </c>
    </row>
    <row r="803">
      <c r="A803">
        <f>Chart_Data!P67</f>
        <v/>
      </c>
      <c r="B803">
        <f>Chart_Data!Q67</f>
        <v/>
      </c>
      <c r="C803">
        <f>Chart_Data!P67</f>
        <v/>
      </c>
      <c r="D803">
        <f>Chart_Data!R67</f>
        <v/>
      </c>
      <c r="E803">
        <f>Chart_Data!P67</f>
        <v/>
      </c>
      <c r="F803">
        <f>Chart_Data!S67</f>
        <v/>
      </c>
      <c r="G803">
        <f>Chart_Data!P67</f>
        <v/>
      </c>
      <c r="H803">
        <f>Chart_Data!T67</f>
        <v/>
      </c>
    </row>
    <row r="804">
      <c r="A804">
        <f>Chart_Data!P68</f>
        <v/>
      </c>
      <c r="B804">
        <f>Chart_Data!Q68</f>
        <v/>
      </c>
      <c r="C804">
        <f>Chart_Data!P68</f>
        <v/>
      </c>
      <c r="D804">
        <f>Chart_Data!R68</f>
        <v/>
      </c>
      <c r="E804">
        <f>Chart_Data!P68</f>
        <v/>
      </c>
      <c r="F804">
        <f>Chart_Data!S68</f>
        <v/>
      </c>
      <c r="G804">
        <f>Chart_Data!P68</f>
        <v/>
      </c>
      <c r="H804">
        <f>Chart_Data!T68</f>
        <v/>
      </c>
    </row>
    <row r="805">
      <c r="A805">
        <f>Chart_Data!P69</f>
        <v/>
      </c>
      <c r="B805">
        <f>Chart_Data!Q69</f>
        <v/>
      </c>
      <c r="C805">
        <f>Chart_Data!P69</f>
        <v/>
      </c>
      <c r="D805">
        <f>Chart_Data!R69</f>
        <v/>
      </c>
      <c r="E805">
        <f>Chart_Data!P69</f>
        <v/>
      </c>
      <c r="F805">
        <f>Chart_Data!S69</f>
        <v/>
      </c>
      <c r="G805">
        <f>Chart_Data!P69</f>
        <v/>
      </c>
      <c r="H805">
        <f>Chart_Data!T69</f>
        <v/>
      </c>
    </row>
    <row r="806">
      <c r="A806">
        <f>Chart_Data!P70</f>
        <v/>
      </c>
      <c r="B806">
        <f>Chart_Data!Q70</f>
        <v/>
      </c>
      <c r="C806">
        <f>Chart_Data!P70</f>
        <v/>
      </c>
      <c r="D806">
        <f>Chart_Data!R70</f>
        <v/>
      </c>
      <c r="E806">
        <f>Chart_Data!P70</f>
        <v/>
      </c>
      <c r="F806">
        <f>Chart_Data!S70</f>
        <v/>
      </c>
      <c r="G806">
        <f>Chart_Data!P70</f>
        <v/>
      </c>
      <c r="H806">
        <f>Chart_Data!T70</f>
        <v/>
      </c>
    </row>
    <row r="807">
      <c r="A807">
        <f>Chart_Data!P71</f>
        <v/>
      </c>
      <c r="B807">
        <f>Chart_Data!Q71</f>
        <v/>
      </c>
      <c r="C807">
        <f>Chart_Data!P71</f>
        <v/>
      </c>
      <c r="D807">
        <f>Chart_Data!R71</f>
        <v/>
      </c>
      <c r="E807">
        <f>Chart_Data!P71</f>
        <v/>
      </c>
      <c r="F807">
        <f>Chart_Data!S71</f>
        <v/>
      </c>
      <c r="G807">
        <f>Chart_Data!P71</f>
        <v/>
      </c>
      <c r="H807">
        <f>Chart_Data!T71</f>
        <v/>
      </c>
    </row>
    <row r="808">
      <c r="A808">
        <f>Chart_Data!P72</f>
        <v/>
      </c>
      <c r="B808">
        <f>Chart_Data!Q72</f>
        <v/>
      </c>
      <c r="C808">
        <f>Chart_Data!P72</f>
        <v/>
      </c>
      <c r="D808">
        <f>Chart_Data!R72</f>
        <v/>
      </c>
      <c r="E808">
        <f>Chart_Data!P72</f>
        <v/>
      </c>
      <c r="F808">
        <f>Chart_Data!S72</f>
        <v/>
      </c>
      <c r="G808">
        <f>Chart_Data!P72</f>
        <v/>
      </c>
      <c r="H808">
        <f>Chart_Data!T72</f>
        <v/>
      </c>
    </row>
    <row r="809">
      <c r="A809">
        <f>Chart_Data!P73</f>
        <v/>
      </c>
      <c r="B809">
        <f>Chart_Data!Q73</f>
        <v/>
      </c>
      <c r="C809">
        <f>Chart_Data!P73</f>
        <v/>
      </c>
      <c r="D809">
        <f>Chart_Data!R73</f>
        <v/>
      </c>
      <c r="E809">
        <f>Chart_Data!P73</f>
        <v/>
      </c>
      <c r="F809">
        <f>Chart_Data!S73</f>
        <v/>
      </c>
      <c r="G809">
        <f>Chart_Data!P73</f>
        <v/>
      </c>
      <c r="H809">
        <f>Chart_Data!T73</f>
        <v/>
      </c>
    </row>
    <row r="810">
      <c r="A810">
        <f>Chart_Data!P74</f>
        <v/>
      </c>
      <c r="B810">
        <f>Chart_Data!Q74</f>
        <v/>
      </c>
      <c r="C810">
        <f>Chart_Data!P74</f>
        <v/>
      </c>
      <c r="D810">
        <f>Chart_Data!R74</f>
        <v/>
      </c>
      <c r="E810">
        <f>Chart_Data!P74</f>
        <v/>
      </c>
      <c r="F810">
        <f>Chart_Data!S74</f>
        <v/>
      </c>
      <c r="G810">
        <f>Chart_Data!P74</f>
        <v/>
      </c>
      <c r="H810">
        <f>Chart_Data!T74</f>
        <v/>
      </c>
    </row>
    <row r="811">
      <c r="A811">
        <f>Chart_Data!P75</f>
        <v/>
      </c>
      <c r="B811">
        <f>Chart_Data!Q75</f>
        <v/>
      </c>
      <c r="C811">
        <f>Chart_Data!P75</f>
        <v/>
      </c>
      <c r="D811">
        <f>Chart_Data!R75</f>
        <v/>
      </c>
      <c r="E811">
        <f>Chart_Data!P75</f>
        <v/>
      </c>
      <c r="F811">
        <f>Chart_Data!S75</f>
        <v/>
      </c>
      <c r="G811">
        <f>Chart_Data!P75</f>
        <v/>
      </c>
      <c r="H811">
        <f>Chart_Data!T75</f>
        <v/>
      </c>
    </row>
    <row r="812">
      <c r="A812">
        <f>Chart_Data!P76</f>
        <v/>
      </c>
      <c r="B812">
        <f>Chart_Data!Q76</f>
        <v/>
      </c>
      <c r="C812">
        <f>Chart_Data!P76</f>
        <v/>
      </c>
      <c r="D812">
        <f>Chart_Data!R76</f>
        <v/>
      </c>
      <c r="E812">
        <f>Chart_Data!P76</f>
        <v/>
      </c>
      <c r="F812">
        <f>Chart_Data!S76</f>
        <v/>
      </c>
      <c r="G812">
        <f>Chart_Data!P76</f>
        <v/>
      </c>
      <c r="H812">
        <f>Chart_Data!T76</f>
        <v/>
      </c>
    </row>
    <row r="813">
      <c r="A813">
        <f>Chart_Data!P77</f>
        <v/>
      </c>
      <c r="B813">
        <f>Chart_Data!Q77</f>
        <v/>
      </c>
      <c r="C813">
        <f>Chart_Data!P77</f>
        <v/>
      </c>
      <c r="D813">
        <f>Chart_Data!R77</f>
        <v/>
      </c>
      <c r="E813">
        <f>Chart_Data!P77</f>
        <v/>
      </c>
      <c r="F813">
        <f>Chart_Data!S77</f>
        <v/>
      </c>
      <c r="G813">
        <f>Chart_Data!P77</f>
        <v/>
      </c>
      <c r="H813">
        <f>Chart_Data!T77</f>
        <v/>
      </c>
    </row>
    <row r="814">
      <c r="A814">
        <f>Chart_Data!P78</f>
        <v/>
      </c>
      <c r="B814">
        <f>Chart_Data!Q78</f>
        <v/>
      </c>
      <c r="C814">
        <f>Chart_Data!P78</f>
        <v/>
      </c>
      <c r="D814">
        <f>Chart_Data!R78</f>
        <v/>
      </c>
      <c r="E814">
        <f>Chart_Data!P78</f>
        <v/>
      </c>
      <c r="F814">
        <f>Chart_Data!S78</f>
        <v/>
      </c>
      <c r="G814">
        <f>Chart_Data!P78</f>
        <v/>
      </c>
      <c r="H814">
        <f>Chart_Data!T78</f>
        <v/>
      </c>
    </row>
    <row r="815">
      <c r="A815">
        <f>Chart_Data!P79</f>
        <v/>
      </c>
      <c r="B815">
        <f>Chart_Data!Q79</f>
        <v/>
      </c>
      <c r="C815">
        <f>Chart_Data!P79</f>
        <v/>
      </c>
      <c r="D815">
        <f>Chart_Data!R79</f>
        <v/>
      </c>
      <c r="E815">
        <f>Chart_Data!P79</f>
        <v/>
      </c>
      <c r="F815">
        <f>Chart_Data!S79</f>
        <v/>
      </c>
      <c r="G815">
        <f>Chart_Data!P79</f>
        <v/>
      </c>
      <c r="H815">
        <f>Chart_Data!T79</f>
        <v/>
      </c>
    </row>
    <row r="816">
      <c r="A816">
        <f>Chart_Data!P80</f>
        <v/>
      </c>
      <c r="B816">
        <f>Chart_Data!Q80</f>
        <v/>
      </c>
      <c r="C816">
        <f>Chart_Data!P80</f>
        <v/>
      </c>
      <c r="D816">
        <f>Chart_Data!R80</f>
        <v/>
      </c>
      <c r="E816">
        <f>Chart_Data!P80</f>
        <v/>
      </c>
      <c r="F816">
        <f>Chart_Data!S80</f>
        <v/>
      </c>
      <c r="G816">
        <f>Chart_Data!P80</f>
        <v/>
      </c>
      <c r="H816">
        <f>Chart_Data!T80</f>
        <v/>
      </c>
    </row>
    <row r="817">
      <c r="A817">
        <f>Chart_Data!P81</f>
        <v/>
      </c>
      <c r="B817">
        <f>Chart_Data!Q81</f>
        <v/>
      </c>
      <c r="C817">
        <f>Chart_Data!P81</f>
        <v/>
      </c>
      <c r="D817">
        <f>Chart_Data!R81</f>
        <v/>
      </c>
      <c r="E817">
        <f>Chart_Data!P81</f>
        <v/>
      </c>
      <c r="F817">
        <f>Chart_Data!S81</f>
        <v/>
      </c>
      <c r="G817">
        <f>Chart_Data!P81</f>
        <v/>
      </c>
      <c r="H817">
        <f>Chart_Data!T81</f>
        <v/>
      </c>
    </row>
    <row r="818">
      <c r="A818">
        <f>Chart_Data!P82</f>
        <v/>
      </c>
      <c r="B818">
        <f>Chart_Data!Q82</f>
        <v/>
      </c>
      <c r="C818">
        <f>Chart_Data!P82</f>
        <v/>
      </c>
      <c r="D818">
        <f>Chart_Data!R82</f>
        <v/>
      </c>
      <c r="E818">
        <f>Chart_Data!P82</f>
        <v/>
      </c>
      <c r="F818">
        <f>Chart_Data!S82</f>
        <v/>
      </c>
      <c r="G818">
        <f>Chart_Data!P82</f>
        <v/>
      </c>
      <c r="H818">
        <f>Chart_Data!T82</f>
        <v/>
      </c>
    </row>
    <row r="819">
      <c r="A819">
        <f>Chart_Data!P83</f>
        <v/>
      </c>
      <c r="B819">
        <f>Chart_Data!Q83</f>
        <v/>
      </c>
      <c r="C819">
        <f>Chart_Data!P83</f>
        <v/>
      </c>
      <c r="D819">
        <f>Chart_Data!R83</f>
        <v/>
      </c>
      <c r="E819">
        <f>Chart_Data!P83</f>
        <v/>
      </c>
      <c r="F819">
        <f>Chart_Data!S83</f>
        <v/>
      </c>
      <c r="G819">
        <f>Chart_Data!P83</f>
        <v/>
      </c>
      <c r="H819">
        <f>Chart_Data!T83</f>
        <v/>
      </c>
    </row>
    <row r="820">
      <c r="A820">
        <f>Chart_Data!P84</f>
        <v/>
      </c>
      <c r="B820">
        <f>Chart_Data!Q84</f>
        <v/>
      </c>
      <c r="C820">
        <f>Chart_Data!P84</f>
        <v/>
      </c>
      <c r="D820">
        <f>Chart_Data!R84</f>
        <v/>
      </c>
      <c r="E820">
        <f>Chart_Data!P84</f>
        <v/>
      </c>
      <c r="F820">
        <f>Chart_Data!S84</f>
        <v/>
      </c>
      <c r="G820">
        <f>Chart_Data!P84</f>
        <v/>
      </c>
      <c r="H820">
        <f>Chart_Data!T84</f>
        <v/>
      </c>
    </row>
    <row r="821">
      <c r="A821">
        <f>Chart_Data!P85</f>
        <v/>
      </c>
      <c r="B821">
        <f>Chart_Data!Q85</f>
        <v/>
      </c>
      <c r="C821">
        <f>Chart_Data!P85</f>
        <v/>
      </c>
      <c r="D821">
        <f>Chart_Data!R85</f>
        <v/>
      </c>
      <c r="E821">
        <f>Chart_Data!P85</f>
        <v/>
      </c>
      <c r="F821">
        <f>Chart_Data!S85</f>
        <v/>
      </c>
      <c r="G821">
        <f>Chart_Data!P85</f>
        <v/>
      </c>
      <c r="H821">
        <f>Chart_Data!T85</f>
        <v/>
      </c>
    </row>
    <row r="822">
      <c r="A822">
        <f>Chart_Data!P86</f>
        <v/>
      </c>
      <c r="B822">
        <f>Chart_Data!Q86</f>
        <v/>
      </c>
      <c r="C822">
        <f>Chart_Data!P86</f>
        <v/>
      </c>
      <c r="D822">
        <f>Chart_Data!R86</f>
        <v/>
      </c>
      <c r="E822">
        <f>Chart_Data!P86</f>
        <v/>
      </c>
      <c r="F822">
        <f>Chart_Data!S86</f>
        <v/>
      </c>
      <c r="G822">
        <f>Chart_Data!P86</f>
        <v/>
      </c>
      <c r="H822">
        <f>Chart_Data!T86</f>
        <v/>
      </c>
    </row>
    <row r="823">
      <c r="A823">
        <f>Chart_Data!P87</f>
        <v/>
      </c>
      <c r="B823">
        <f>Chart_Data!Q87</f>
        <v/>
      </c>
      <c r="C823">
        <f>Chart_Data!P87</f>
        <v/>
      </c>
      <c r="D823">
        <f>Chart_Data!R87</f>
        <v/>
      </c>
      <c r="E823">
        <f>Chart_Data!P87</f>
        <v/>
      </c>
      <c r="F823">
        <f>Chart_Data!S87</f>
        <v/>
      </c>
      <c r="G823">
        <f>Chart_Data!P87</f>
        <v/>
      </c>
      <c r="H823">
        <f>Chart_Data!T87</f>
        <v/>
      </c>
    </row>
    <row r="824">
      <c r="A824">
        <f>Chart_Data!P88</f>
        <v/>
      </c>
      <c r="B824">
        <f>Chart_Data!Q88</f>
        <v/>
      </c>
      <c r="C824">
        <f>Chart_Data!P88</f>
        <v/>
      </c>
      <c r="D824">
        <f>Chart_Data!R88</f>
        <v/>
      </c>
      <c r="E824">
        <f>Chart_Data!P88</f>
        <v/>
      </c>
      <c r="F824">
        <f>Chart_Data!S88</f>
        <v/>
      </c>
      <c r="G824">
        <f>Chart_Data!P88</f>
        <v/>
      </c>
      <c r="H824">
        <f>Chart_Data!T88</f>
        <v/>
      </c>
    </row>
    <row r="825">
      <c r="A825">
        <f>Chart_Data!P89</f>
        <v/>
      </c>
      <c r="B825">
        <f>Chart_Data!Q89</f>
        <v/>
      </c>
      <c r="C825">
        <f>Chart_Data!P89</f>
        <v/>
      </c>
      <c r="D825">
        <f>Chart_Data!R89</f>
        <v/>
      </c>
      <c r="E825">
        <f>Chart_Data!P89</f>
        <v/>
      </c>
      <c r="F825">
        <f>Chart_Data!S89</f>
        <v/>
      </c>
      <c r="G825">
        <f>Chart_Data!P89</f>
        <v/>
      </c>
      <c r="H825">
        <f>Chart_Data!T89</f>
        <v/>
      </c>
    </row>
    <row r="826">
      <c r="A826">
        <f>Chart_Data!P90</f>
        <v/>
      </c>
      <c r="B826">
        <f>Chart_Data!Q90</f>
        <v/>
      </c>
      <c r="C826">
        <f>Chart_Data!P90</f>
        <v/>
      </c>
      <c r="D826">
        <f>Chart_Data!R90</f>
        <v/>
      </c>
      <c r="E826">
        <f>Chart_Data!P90</f>
        <v/>
      </c>
      <c r="F826">
        <f>Chart_Data!S90</f>
        <v/>
      </c>
      <c r="G826">
        <f>Chart_Data!P90</f>
        <v/>
      </c>
      <c r="H826">
        <f>Chart_Data!T90</f>
        <v/>
      </c>
    </row>
    <row r="827">
      <c r="A827">
        <f>Chart_Data!P91</f>
        <v/>
      </c>
      <c r="B827">
        <f>Chart_Data!Q91</f>
        <v/>
      </c>
      <c r="C827">
        <f>Chart_Data!P91</f>
        <v/>
      </c>
      <c r="D827">
        <f>Chart_Data!R91</f>
        <v/>
      </c>
      <c r="E827">
        <f>Chart_Data!P91</f>
        <v/>
      </c>
      <c r="F827">
        <f>Chart_Data!S91</f>
        <v/>
      </c>
      <c r="G827">
        <f>Chart_Data!P91</f>
        <v/>
      </c>
      <c r="H827">
        <f>Chart_Data!T91</f>
        <v/>
      </c>
    </row>
    <row r="828">
      <c r="A828">
        <f>Chart_Data!P92</f>
        <v/>
      </c>
      <c r="B828">
        <f>Chart_Data!Q92</f>
        <v/>
      </c>
      <c r="C828">
        <f>Chart_Data!P92</f>
        <v/>
      </c>
      <c r="D828">
        <f>Chart_Data!R92</f>
        <v/>
      </c>
      <c r="E828">
        <f>Chart_Data!P92</f>
        <v/>
      </c>
      <c r="F828">
        <f>Chart_Data!S92</f>
        <v/>
      </c>
      <c r="G828">
        <f>Chart_Data!P92</f>
        <v/>
      </c>
      <c r="H828">
        <f>Chart_Data!T92</f>
        <v/>
      </c>
    </row>
    <row r="829">
      <c r="A829">
        <f>Chart_Data!P93</f>
        <v/>
      </c>
      <c r="B829">
        <f>Chart_Data!Q93</f>
        <v/>
      </c>
      <c r="C829">
        <f>Chart_Data!P93</f>
        <v/>
      </c>
      <c r="D829">
        <f>Chart_Data!R93</f>
        <v/>
      </c>
      <c r="E829">
        <f>Chart_Data!P93</f>
        <v/>
      </c>
      <c r="F829">
        <f>Chart_Data!S93</f>
        <v/>
      </c>
      <c r="G829">
        <f>Chart_Data!P93</f>
        <v/>
      </c>
      <c r="H829">
        <f>Chart_Data!T93</f>
        <v/>
      </c>
    </row>
    <row r="830">
      <c r="A830">
        <f>Chart_Data!P94</f>
        <v/>
      </c>
      <c r="B830">
        <f>Chart_Data!Q94</f>
        <v/>
      </c>
      <c r="C830">
        <f>Chart_Data!P94</f>
        <v/>
      </c>
      <c r="D830">
        <f>Chart_Data!R94</f>
        <v/>
      </c>
      <c r="E830">
        <f>Chart_Data!P94</f>
        <v/>
      </c>
      <c r="F830">
        <f>Chart_Data!S94</f>
        <v/>
      </c>
      <c r="G830">
        <f>Chart_Data!P94</f>
        <v/>
      </c>
      <c r="H830">
        <f>Chart_Data!T94</f>
        <v/>
      </c>
    </row>
    <row r="831">
      <c r="A831">
        <f>Chart_Data!P95</f>
        <v/>
      </c>
      <c r="B831">
        <f>Chart_Data!Q95</f>
        <v/>
      </c>
      <c r="C831">
        <f>Chart_Data!P95</f>
        <v/>
      </c>
      <c r="D831">
        <f>Chart_Data!R95</f>
        <v/>
      </c>
      <c r="E831">
        <f>Chart_Data!P95</f>
        <v/>
      </c>
      <c r="F831">
        <f>Chart_Data!S95</f>
        <v/>
      </c>
      <c r="G831">
        <f>Chart_Data!P95</f>
        <v/>
      </c>
      <c r="H831">
        <f>Chart_Data!T95</f>
        <v/>
      </c>
    </row>
    <row r="832">
      <c r="A832">
        <f>Chart_Data!P96</f>
        <v/>
      </c>
      <c r="B832">
        <f>Chart_Data!Q96</f>
        <v/>
      </c>
      <c r="C832">
        <f>Chart_Data!P96</f>
        <v/>
      </c>
      <c r="D832">
        <f>Chart_Data!R96</f>
        <v/>
      </c>
      <c r="E832">
        <f>Chart_Data!P96</f>
        <v/>
      </c>
      <c r="F832">
        <f>Chart_Data!S96</f>
        <v/>
      </c>
      <c r="G832">
        <f>Chart_Data!P96</f>
        <v/>
      </c>
      <c r="H832">
        <f>Chart_Data!T96</f>
        <v/>
      </c>
    </row>
    <row r="833">
      <c r="A833">
        <f>Chart_Data!P97</f>
        <v/>
      </c>
      <c r="B833">
        <f>Chart_Data!Q97</f>
        <v/>
      </c>
      <c r="C833">
        <f>Chart_Data!P97</f>
        <v/>
      </c>
      <c r="D833">
        <f>Chart_Data!R97</f>
        <v/>
      </c>
      <c r="E833">
        <f>Chart_Data!P97</f>
        <v/>
      </c>
      <c r="F833">
        <f>Chart_Data!S97</f>
        <v/>
      </c>
      <c r="G833">
        <f>Chart_Data!P97</f>
        <v/>
      </c>
      <c r="H833">
        <f>Chart_Data!T97</f>
        <v/>
      </c>
    </row>
    <row r="834">
      <c r="A834">
        <f>Chart_Data!P98</f>
        <v/>
      </c>
      <c r="B834">
        <f>Chart_Data!Q98</f>
        <v/>
      </c>
      <c r="C834">
        <f>Chart_Data!P98</f>
        <v/>
      </c>
      <c r="D834">
        <f>Chart_Data!R98</f>
        <v/>
      </c>
      <c r="E834">
        <f>Chart_Data!P98</f>
        <v/>
      </c>
      <c r="F834">
        <f>Chart_Data!S98</f>
        <v/>
      </c>
      <c r="G834">
        <f>Chart_Data!P98</f>
        <v/>
      </c>
      <c r="H834">
        <f>Chart_Data!T98</f>
        <v/>
      </c>
    </row>
    <row r="835">
      <c r="A835">
        <f>Chart_Data!P99</f>
        <v/>
      </c>
      <c r="B835">
        <f>Chart_Data!Q99</f>
        <v/>
      </c>
      <c r="C835">
        <f>Chart_Data!P99</f>
        <v/>
      </c>
      <c r="D835">
        <f>Chart_Data!R99</f>
        <v/>
      </c>
      <c r="E835">
        <f>Chart_Data!P99</f>
        <v/>
      </c>
      <c r="F835">
        <f>Chart_Data!S99</f>
        <v/>
      </c>
      <c r="G835">
        <f>Chart_Data!P99</f>
        <v/>
      </c>
      <c r="H835">
        <f>Chart_Data!T99</f>
        <v/>
      </c>
    </row>
    <row r="836">
      <c r="A836">
        <f>Chart_Data!P100</f>
        <v/>
      </c>
      <c r="B836">
        <f>Chart_Data!Q100</f>
        <v/>
      </c>
      <c r="C836">
        <f>Chart_Data!P100</f>
        <v/>
      </c>
      <c r="D836">
        <f>Chart_Data!R100</f>
        <v/>
      </c>
      <c r="E836">
        <f>Chart_Data!P100</f>
        <v/>
      </c>
      <c r="F836">
        <f>Chart_Data!S100</f>
        <v/>
      </c>
      <c r="G836">
        <f>Chart_Data!P100</f>
        <v/>
      </c>
      <c r="H836">
        <f>Chart_Data!T100</f>
        <v/>
      </c>
    </row>
    <row r="837">
      <c r="A837">
        <f>Chart_Data!P101</f>
        <v/>
      </c>
      <c r="B837">
        <f>Chart_Data!Q101</f>
        <v/>
      </c>
      <c r="C837">
        <f>Chart_Data!P101</f>
        <v/>
      </c>
      <c r="D837">
        <f>Chart_Data!R101</f>
        <v/>
      </c>
      <c r="E837">
        <f>Chart_Data!P101</f>
        <v/>
      </c>
      <c r="F837">
        <f>Chart_Data!S101</f>
        <v/>
      </c>
      <c r="G837">
        <f>Chart_Data!P101</f>
        <v/>
      </c>
      <c r="H837">
        <f>Chart_Data!T101</f>
        <v/>
      </c>
    </row>
    <row r="838">
      <c r="A838">
        <f>Chart_Data!P102</f>
        <v/>
      </c>
      <c r="B838">
        <f>Chart_Data!Q102</f>
        <v/>
      </c>
      <c r="C838">
        <f>Chart_Data!P102</f>
        <v/>
      </c>
      <c r="D838">
        <f>Chart_Data!R102</f>
        <v/>
      </c>
      <c r="E838">
        <f>Chart_Data!P102</f>
        <v/>
      </c>
      <c r="F838">
        <f>Chart_Data!S102</f>
        <v/>
      </c>
      <c r="G838">
        <f>Chart_Data!P102</f>
        <v/>
      </c>
      <c r="H838">
        <f>Chart_Data!T102</f>
        <v/>
      </c>
    </row>
    <row r="839">
      <c r="A839">
        <f>Chart_Data!P103</f>
        <v/>
      </c>
      <c r="B839">
        <f>Chart_Data!Q103</f>
        <v/>
      </c>
      <c r="C839">
        <f>Chart_Data!P103</f>
        <v/>
      </c>
      <c r="D839">
        <f>Chart_Data!R103</f>
        <v/>
      </c>
      <c r="E839">
        <f>Chart_Data!P103</f>
        <v/>
      </c>
      <c r="F839">
        <f>Chart_Data!S103</f>
        <v/>
      </c>
      <c r="G839">
        <f>Chart_Data!P103</f>
        <v/>
      </c>
      <c r="H839">
        <f>Chart_Data!T103</f>
        <v/>
      </c>
    </row>
    <row r="840">
      <c r="A840">
        <f>Chart_Data!P104</f>
        <v/>
      </c>
      <c r="B840">
        <f>Chart_Data!Q104</f>
        <v/>
      </c>
      <c r="C840">
        <f>Chart_Data!P104</f>
        <v/>
      </c>
      <c r="D840">
        <f>Chart_Data!R104</f>
        <v/>
      </c>
      <c r="E840">
        <f>Chart_Data!P104</f>
        <v/>
      </c>
      <c r="F840">
        <f>Chart_Data!S104</f>
        <v/>
      </c>
      <c r="G840">
        <f>Chart_Data!P104</f>
        <v/>
      </c>
      <c r="H840">
        <f>Chart_Data!T104</f>
        <v/>
      </c>
    </row>
    <row r="841">
      <c r="A841">
        <f>Chart_Data!P105</f>
        <v/>
      </c>
      <c r="B841">
        <f>Chart_Data!Q105</f>
        <v/>
      </c>
      <c r="C841">
        <f>Chart_Data!P105</f>
        <v/>
      </c>
      <c r="D841">
        <f>Chart_Data!R105</f>
        <v/>
      </c>
      <c r="E841">
        <f>Chart_Data!P105</f>
        <v/>
      </c>
      <c r="F841">
        <f>Chart_Data!S105</f>
        <v/>
      </c>
      <c r="G841">
        <f>Chart_Data!P105</f>
        <v/>
      </c>
      <c r="H841">
        <f>Chart_Data!T105</f>
        <v/>
      </c>
    </row>
    <row r="842">
      <c r="A842">
        <f>Chart_Data!P106</f>
        <v/>
      </c>
      <c r="B842">
        <f>Chart_Data!Q106</f>
        <v/>
      </c>
      <c r="C842">
        <f>Chart_Data!P106</f>
        <v/>
      </c>
      <c r="D842">
        <f>Chart_Data!R106</f>
        <v/>
      </c>
      <c r="E842">
        <f>Chart_Data!P106</f>
        <v/>
      </c>
      <c r="F842">
        <f>Chart_Data!S106</f>
        <v/>
      </c>
      <c r="G842">
        <f>Chart_Data!P106</f>
        <v/>
      </c>
      <c r="H842">
        <f>Chart_Data!T106</f>
        <v/>
      </c>
    </row>
    <row r="843">
      <c r="A843">
        <f>Chart_Data!P107</f>
        <v/>
      </c>
      <c r="B843">
        <f>Chart_Data!Q107</f>
        <v/>
      </c>
      <c r="C843">
        <f>Chart_Data!P107</f>
        <v/>
      </c>
      <c r="D843">
        <f>Chart_Data!R107</f>
        <v/>
      </c>
      <c r="E843">
        <f>Chart_Data!P107</f>
        <v/>
      </c>
      <c r="F843">
        <f>Chart_Data!S107</f>
        <v/>
      </c>
      <c r="G843">
        <f>Chart_Data!P107</f>
        <v/>
      </c>
      <c r="H843">
        <f>Chart_Data!T107</f>
        <v/>
      </c>
    </row>
    <row r="844">
      <c r="A844">
        <f>Chart_Data!P108</f>
        <v/>
      </c>
      <c r="B844">
        <f>Chart_Data!Q108</f>
        <v/>
      </c>
      <c r="C844">
        <f>Chart_Data!P108</f>
        <v/>
      </c>
      <c r="D844">
        <f>Chart_Data!R108</f>
        <v/>
      </c>
      <c r="E844">
        <f>Chart_Data!P108</f>
        <v/>
      </c>
      <c r="F844">
        <f>Chart_Data!S108</f>
        <v/>
      </c>
      <c r="G844">
        <f>Chart_Data!P108</f>
        <v/>
      </c>
      <c r="H844">
        <f>Chart_Data!T108</f>
        <v/>
      </c>
    </row>
    <row r="845">
      <c r="A845">
        <f>Chart_Data!P109</f>
        <v/>
      </c>
      <c r="B845">
        <f>Chart_Data!Q109</f>
        <v/>
      </c>
      <c r="C845">
        <f>Chart_Data!P109</f>
        <v/>
      </c>
      <c r="D845">
        <f>Chart_Data!R109</f>
        <v/>
      </c>
      <c r="E845">
        <f>Chart_Data!P109</f>
        <v/>
      </c>
      <c r="F845">
        <f>Chart_Data!S109</f>
        <v/>
      </c>
      <c r="G845">
        <f>Chart_Data!P109</f>
        <v/>
      </c>
      <c r="H845">
        <f>Chart_Data!T109</f>
        <v/>
      </c>
    </row>
    <row r="846">
      <c r="A846">
        <f>Chart_Data!P110</f>
        <v/>
      </c>
      <c r="B846">
        <f>Chart_Data!Q110</f>
        <v/>
      </c>
      <c r="C846">
        <f>Chart_Data!P110</f>
        <v/>
      </c>
      <c r="D846">
        <f>Chart_Data!R110</f>
        <v/>
      </c>
      <c r="E846">
        <f>Chart_Data!P110</f>
        <v/>
      </c>
      <c r="F846">
        <f>Chart_Data!S110</f>
        <v/>
      </c>
      <c r="G846">
        <f>Chart_Data!P110</f>
        <v/>
      </c>
      <c r="H846">
        <f>Chart_Data!T110</f>
        <v/>
      </c>
    </row>
    <row r="847">
      <c r="A847">
        <f>Chart_Data!P111</f>
        <v/>
      </c>
      <c r="B847">
        <f>Chart_Data!Q111</f>
        <v/>
      </c>
      <c r="C847">
        <f>Chart_Data!P111</f>
        <v/>
      </c>
      <c r="D847">
        <f>Chart_Data!R111</f>
        <v/>
      </c>
      <c r="E847">
        <f>Chart_Data!P111</f>
        <v/>
      </c>
      <c r="F847">
        <f>Chart_Data!S111</f>
        <v/>
      </c>
      <c r="G847">
        <f>Chart_Data!P111</f>
        <v/>
      </c>
      <c r="H847">
        <f>Chart_Data!T111</f>
        <v/>
      </c>
    </row>
    <row r="848">
      <c r="A848">
        <f>Chart_Data!P112</f>
        <v/>
      </c>
      <c r="B848">
        <f>Chart_Data!Q112</f>
        <v/>
      </c>
      <c r="C848">
        <f>Chart_Data!P112</f>
        <v/>
      </c>
      <c r="D848">
        <f>Chart_Data!R112</f>
        <v/>
      </c>
      <c r="E848">
        <f>Chart_Data!P112</f>
        <v/>
      </c>
      <c r="F848">
        <f>Chart_Data!S112</f>
        <v/>
      </c>
      <c r="G848">
        <f>Chart_Data!P112</f>
        <v/>
      </c>
      <c r="H848">
        <f>Chart_Data!T112</f>
        <v/>
      </c>
    </row>
    <row r="849">
      <c r="A849">
        <f>Chart_Data!P113</f>
        <v/>
      </c>
      <c r="B849">
        <f>Chart_Data!Q113</f>
        <v/>
      </c>
      <c r="C849">
        <f>Chart_Data!P113</f>
        <v/>
      </c>
      <c r="D849">
        <f>Chart_Data!R113</f>
        <v/>
      </c>
      <c r="E849">
        <f>Chart_Data!P113</f>
        <v/>
      </c>
      <c r="F849">
        <f>Chart_Data!S113</f>
        <v/>
      </c>
      <c r="G849">
        <f>Chart_Data!P113</f>
        <v/>
      </c>
      <c r="H849">
        <f>Chart_Data!T113</f>
        <v/>
      </c>
    </row>
    <row r="850">
      <c r="A850">
        <f>Chart_Data!P114</f>
        <v/>
      </c>
      <c r="B850">
        <f>Chart_Data!Q114</f>
        <v/>
      </c>
      <c r="C850">
        <f>Chart_Data!P114</f>
        <v/>
      </c>
      <c r="D850">
        <f>Chart_Data!R114</f>
        <v/>
      </c>
      <c r="E850">
        <f>Chart_Data!P114</f>
        <v/>
      </c>
      <c r="F850">
        <f>Chart_Data!S114</f>
        <v/>
      </c>
      <c r="G850">
        <f>Chart_Data!P114</f>
        <v/>
      </c>
      <c r="H850">
        <f>Chart_Data!T114</f>
        <v/>
      </c>
    </row>
    <row r="851">
      <c r="A851">
        <f>Chart_Data!P115</f>
        <v/>
      </c>
      <c r="B851">
        <f>Chart_Data!Q115</f>
        <v/>
      </c>
      <c r="C851">
        <f>Chart_Data!P115</f>
        <v/>
      </c>
      <c r="D851">
        <f>Chart_Data!R115</f>
        <v/>
      </c>
      <c r="E851">
        <f>Chart_Data!P115</f>
        <v/>
      </c>
      <c r="F851">
        <f>Chart_Data!S115</f>
        <v/>
      </c>
      <c r="G851">
        <f>Chart_Data!P115</f>
        <v/>
      </c>
      <c r="H851">
        <f>Chart_Data!T115</f>
        <v/>
      </c>
    </row>
    <row r="852">
      <c r="A852">
        <f>Chart_Data!P116</f>
        <v/>
      </c>
      <c r="B852">
        <f>Chart_Data!Q116</f>
        <v/>
      </c>
      <c r="C852">
        <f>Chart_Data!P116</f>
        <v/>
      </c>
      <c r="D852">
        <f>Chart_Data!R116</f>
        <v/>
      </c>
      <c r="E852">
        <f>Chart_Data!P116</f>
        <v/>
      </c>
      <c r="F852">
        <f>Chart_Data!S116</f>
        <v/>
      </c>
      <c r="G852">
        <f>Chart_Data!P116</f>
        <v/>
      </c>
      <c r="H852">
        <f>Chart_Data!T116</f>
        <v/>
      </c>
    </row>
    <row r="853">
      <c r="A853">
        <f>Chart_Data!P117</f>
        <v/>
      </c>
      <c r="B853">
        <f>Chart_Data!Q117</f>
        <v/>
      </c>
      <c r="C853">
        <f>Chart_Data!P117</f>
        <v/>
      </c>
      <c r="D853">
        <f>Chart_Data!R117</f>
        <v/>
      </c>
      <c r="E853">
        <f>Chart_Data!P117</f>
        <v/>
      </c>
      <c r="F853">
        <f>Chart_Data!S117</f>
        <v/>
      </c>
      <c r="G853">
        <f>Chart_Data!P117</f>
        <v/>
      </c>
      <c r="H853">
        <f>Chart_Data!T117</f>
        <v/>
      </c>
    </row>
    <row r="854">
      <c r="A854">
        <f>Chart_Data!P118</f>
        <v/>
      </c>
      <c r="B854">
        <f>Chart_Data!Q118</f>
        <v/>
      </c>
      <c r="C854">
        <f>Chart_Data!P118</f>
        <v/>
      </c>
      <c r="D854">
        <f>Chart_Data!R118</f>
        <v/>
      </c>
      <c r="E854">
        <f>Chart_Data!P118</f>
        <v/>
      </c>
      <c r="F854">
        <f>Chart_Data!S118</f>
        <v/>
      </c>
      <c r="G854">
        <f>Chart_Data!P118</f>
        <v/>
      </c>
      <c r="H854">
        <f>Chart_Data!T118</f>
        <v/>
      </c>
    </row>
    <row r="855">
      <c r="A855">
        <f>Chart_Data!P119</f>
        <v/>
      </c>
      <c r="B855">
        <f>Chart_Data!Q119</f>
        <v/>
      </c>
      <c r="C855">
        <f>Chart_Data!P119</f>
        <v/>
      </c>
      <c r="D855">
        <f>Chart_Data!R119</f>
        <v/>
      </c>
      <c r="E855">
        <f>Chart_Data!P119</f>
        <v/>
      </c>
      <c r="F855">
        <f>Chart_Data!S119</f>
        <v/>
      </c>
      <c r="G855">
        <f>Chart_Data!P119</f>
        <v/>
      </c>
      <c r="H855">
        <f>Chart_Data!T119</f>
        <v/>
      </c>
    </row>
    <row r="856">
      <c r="A856">
        <f>Chart_Data!P120</f>
        <v/>
      </c>
      <c r="B856">
        <f>Chart_Data!Q120</f>
        <v/>
      </c>
      <c r="C856">
        <f>Chart_Data!P120</f>
        <v/>
      </c>
      <c r="D856">
        <f>Chart_Data!R120</f>
        <v/>
      </c>
      <c r="E856">
        <f>Chart_Data!P120</f>
        <v/>
      </c>
      <c r="F856">
        <f>Chart_Data!S120</f>
        <v/>
      </c>
      <c r="G856">
        <f>Chart_Data!P120</f>
        <v/>
      </c>
      <c r="H856">
        <f>Chart_Data!T120</f>
        <v/>
      </c>
    </row>
    <row r="857">
      <c r="A857">
        <f>Chart_Data!P121</f>
        <v/>
      </c>
      <c r="B857">
        <f>Chart_Data!Q121</f>
        <v/>
      </c>
      <c r="C857">
        <f>Chart_Data!P121</f>
        <v/>
      </c>
      <c r="D857">
        <f>Chart_Data!R121</f>
        <v/>
      </c>
      <c r="E857">
        <f>Chart_Data!P121</f>
        <v/>
      </c>
      <c r="F857">
        <f>Chart_Data!S121</f>
        <v/>
      </c>
      <c r="G857">
        <f>Chart_Data!P121</f>
        <v/>
      </c>
      <c r="H857">
        <f>Chart_Data!T121</f>
        <v/>
      </c>
    </row>
    <row r="858">
      <c r="A858">
        <f>Chart_Data!P122</f>
        <v/>
      </c>
      <c r="B858">
        <f>Chart_Data!Q122</f>
        <v/>
      </c>
      <c r="C858">
        <f>Chart_Data!P122</f>
        <v/>
      </c>
      <c r="D858">
        <f>Chart_Data!R122</f>
        <v/>
      </c>
      <c r="E858">
        <f>Chart_Data!P122</f>
        <v/>
      </c>
      <c r="F858">
        <f>Chart_Data!S122</f>
        <v/>
      </c>
      <c r="G858">
        <f>Chart_Data!P122</f>
        <v/>
      </c>
      <c r="H858">
        <f>Chart_Data!T122</f>
        <v/>
      </c>
    </row>
    <row r="859">
      <c r="A859">
        <f>Chart_Data!P123</f>
        <v/>
      </c>
      <c r="B859">
        <f>Chart_Data!Q123</f>
        <v/>
      </c>
      <c r="C859">
        <f>Chart_Data!P123</f>
        <v/>
      </c>
      <c r="D859">
        <f>Chart_Data!R123</f>
        <v/>
      </c>
      <c r="E859">
        <f>Chart_Data!P123</f>
        <v/>
      </c>
      <c r="F859">
        <f>Chart_Data!S123</f>
        <v/>
      </c>
      <c r="G859">
        <f>Chart_Data!P123</f>
        <v/>
      </c>
      <c r="H859">
        <f>Chart_Data!T123</f>
        <v/>
      </c>
    </row>
    <row r="860">
      <c r="A860">
        <f>Chart_Data!P124</f>
        <v/>
      </c>
      <c r="B860">
        <f>Chart_Data!Q124</f>
        <v/>
      </c>
      <c r="C860">
        <f>Chart_Data!P124</f>
        <v/>
      </c>
      <c r="D860">
        <f>Chart_Data!R124</f>
        <v/>
      </c>
      <c r="E860">
        <f>Chart_Data!P124</f>
        <v/>
      </c>
      <c r="F860">
        <f>Chart_Data!S124</f>
        <v/>
      </c>
      <c r="G860">
        <f>Chart_Data!P124</f>
        <v/>
      </c>
      <c r="H860">
        <f>Chart_Data!T124</f>
        <v/>
      </c>
    </row>
    <row r="861">
      <c r="A861">
        <f>Chart_Data!P125</f>
        <v/>
      </c>
      <c r="B861">
        <f>Chart_Data!Q125</f>
        <v/>
      </c>
      <c r="C861">
        <f>Chart_Data!P125</f>
        <v/>
      </c>
      <c r="D861">
        <f>Chart_Data!R125</f>
        <v/>
      </c>
      <c r="E861">
        <f>Chart_Data!P125</f>
        <v/>
      </c>
      <c r="F861">
        <f>Chart_Data!S125</f>
        <v/>
      </c>
      <c r="G861">
        <f>Chart_Data!P125</f>
        <v/>
      </c>
      <c r="H861">
        <f>Chart_Data!T125</f>
        <v/>
      </c>
    </row>
    <row r="862">
      <c r="A862">
        <f>Chart_Data!P126</f>
        <v/>
      </c>
      <c r="B862">
        <f>Chart_Data!Q126</f>
        <v/>
      </c>
      <c r="C862">
        <f>Chart_Data!P126</f>
        <v/>
      </c>
      <c r="D862">
        <f>Chart_Data!R126</f>
        <v/>
      </c>
      <c r="E862">
        <f>Chart_Data!P126</f>
        <v/>
      </c>
      <c r="F862">
        <f>Chart_Data!S126</f>
        <v/>
      </c>
      <c r="G862">
        <f>Chart_Data!P126</f>
        <v/>
      </c>
      <c r="H862">
        <f>Chart_Data!T126</f>
        <v/>
      </c>
    </row>
    <row r="863">
      <c r="A863">
        <f>Chart_Data!P127</f>
        <v/>
      </c>
      <c r="B863">
        <f>Chart_Data!Q127</f>
        <v/>
      </c>
      <c r="C863">
        <f>Chart_Data!P127</f>
        <v/>
      </c>
      <c r="D863">
        <f>Chart_Data!R127</f>
        <v/>
      </c>
      <c r="E863">
        <f>Chart_Data!P127</f>
        <v/>
      </c>
      <c r="F863">
        <f>Chart_Data!S127</f>
        <v/>
      </c>
      <c r="G863">
        <f>Chart_Data!P127</f>
        <v/>
      </c>
      <c r="H863">
        <f>Chart_Data!T127</f>
        <v/>
      </c>
    </row>
    <row r="864">
      <c r="A864">
        <f>Chart_Data!P128</f>
        <v/>
      </c>
      <c r="B864">
        <f>Chart_Data!Q128</f>
        <v/>
      </c>
      <c r="C864">
        <f>Chart_Data!P128</f>
        <v/>
      </c>
      <c r="D864">
        <f>Chart_Data!R128</f>
        <v/>
      </c>
      <c r="E864">
        <f>Chart_Data!P128</f>
        <v/>
      </c>
      <c r="F864">
        <f>Chart_Data!S128</f>
        <v/>
      </c>
      <c r="G864">
        <f>Chart_Data!P128</f>
        <v/>
      </c>
      <c r="H864">
        <f>Chart_Data!T128</f>
        <v/>
      </c>
    </row>
    <row r="865">
      <c r="A865">
        <f>Chart_Data!P129</f>
        <v/>
      </c>
      <c r="B865">
        <f>Chart_Data!Q129</f>
        <v/>
      </c>
      <c r="C865">
        <f>Chart_Data!P129</f>
        <v/>
      </c>
      <c r="D865">
        <f>Chart_Data!R129</f>
        <v/>
      </c>
      <c r="E865">
        <f>Chart_Data!P129</f>
        <v/>
      </c>
      <c r="F865">
        <f>Chart_Data!S129</f>
        <v/>
      </c>
      <c r="G865">
        <f>Chart_Data!P129</f>
        <v/>
      </c>
      <c r="H865">
        <f>Chart_Data!T129</f>
        <v/>
      </c>
    </row>
    <row r="866">
      <c r="A866">
        <f>Chart_Data!P130</f>
        <v/>
      </c>
      <c r="B866">
        <f>Chart_Data!Q130</f>
        <v/>
      </c>
      <c r="C866">
        <f>Chart_Data!P130</f>
        <v/>
      </c>
      <c r="D866">
        <f>Chart_Data!R130</f>
        <v/>
      </c>
      <c r="E866">
        <f>Chart_Data!P130</f>
        <v/>
      </c>
      <c r="F866">
        <f>Chart_Data!S130</f>
        <v/>
      </c>
      <c r="G866">
        <f>Chart_Data!P130</f>
        <v/>
      </c>
      <c r="H866">
        <f>Chart_Data!T130</f>
        <v/>
      </c>
    </row>
    <row r="867">
      <c r="A867">
        <f>Chart_Data!P131</f>
        <v/>
      </c>
      <c r="B867">
        <f>Chart_Data!Q131</f>
        <v/>
      </c>
      <c r="C867">
        <f>Chart_Data!P131</f>
        <v/>
      </c>
      <c r="D867">
        <f>Chart_Data!R131</f>
        <v/>
      </c>
      <c r="E867">
        <f>Chart_Data!P131</f>
        <v/>
      </c>
      <c r="F867">
        <f>Chart_Data!S131</f>
        <v/>
      </c>
      <c r="G867">
        <f>Chart_Data!P131</f>
        <v/>
      </c>
      <c r="H867">
        <f>Chart_Data!T131</f>
        <v/>
      </c>
    </row>
    <row r="868">
      <c r="A868">
        <f>Chart_Data!P132</f>
        <v/>
      </c>
      <c r="B868">
        <f>Chart_Data!Q132</f>
        <v/>
      </c>
      <c r="C868">
        <f>Chart_Data!P132</f>
        <v/>
      </c>
      <c r="D868">
        <f>Chart_Data!R132</f>
        <v/>
      </c>
      <c r="E868">
        <f>Chart_Data!P132</f>
        <v/>
      </c>
      <c r="F868">
        <f>Chart_Data!S132</f>
        <v/>
      </c>
      <c r="G868">
        <f>Chart_Data!P132</f>
        <v/>
      </c>
      <c r="H868">
        <f>Chart_Data!T132</f>
        <v/>
      </c>
    </row>
    <row r="869">
      <c r="A869">
        <f>Chart_Data!P133</f>
        <v/>
      </c>
      <c r="B869">
        <f>Chart_Data!Q133</f>
        <v/>
      </c>
      <c r="C869">
        <f>Chart_Data!P133</f>
        <v/>
      </c>
      <c r="D869">
        <f>Chart_Data!R133</f>
        <v/>
      </c>
      <c r="E869">
        <f>Chart_Data!P133</f>
        <v/>
      </c>
      <c r="F869">
        <f>Chart_Data!S133</f>
        <v/>
      </c>
      <c r="G869">
        <f>Chart_Data!P133</f>
        <v/>
      </c>
      <c r="H869">
        <f>Chart_Data!T133</f>
        <v/>
      </c>
    </row>
    <row r="870">
      <c r="A870">
        <f>Chart_Data!P134</f>
        <v/>
      </c>
      <c r="B870">
        <f>Chart_Data!Q134</f>
        <v/>
      </c>
      <c r="C870">
        <f>Chart_Data!P134</f>
        <v/>
      </c>
      <c r="D870">
        <f>Chart_Data!R134</f>
        <v/>
      </c>
      <c r="E870">
        <f>Chart_Data!P134</f>
        <v/>
      </c>
      <c r="F870">
        <f>Chart_Data!S134</f>
        <v/>
      </c>
      <c r="G870">
        <f>Chart_Data!P134</f>
        <v/>
      </c>
      <c r="H870">
        <f>Chart_Data!T134</f>
        <v/>
      </c>
    </row>
    <row r="871">
      <c r="A871">
        <f>Chart_Data!P135</f>
        <v/>
      </c>
      <c r="B871">
        <f>Chart_Data!Q135</f>
        <v/>
      </c>
      <c r="C871">
        <f>Chart_Data!P135</f>
        <v/>
      </c>
      <c r="D871">
        <f>Chart_Data!R135</f>
        <v/>
      </c>
      <c r="E871">
        <f>Chart_Data!P135</f>
        <v/>
      </c>
      <c r="F871">
        <f>Chart_Data!S135</f>
        <v/>
      </c>
      <c r="G871">
        <f>Chart_Data!P135</f>
        <v/>
      </c>
      <c r="H871">
        <f>Chart_Data!T135</f>
        <v/>
      </c>
    </row>
    <row r="872">
      <c r="A872">
        <f>Chart_Data!P136</f>
        <v/>
      </c>
      <c r="B872">
        <f>Chart_Data!Q136</f>
        <v/>
      </c>
      <c r="C872">
        <f>Chart_Data!P136</f>
        <v/>
      </c>
      <c r="D872">
        <f>Chart_Data!R136</f>
        <v/>
      </c>
      <c r="E872">
        <f>Chart_Data!P136</f>
        <v/>
      </c>
      <c r="F872">
        <f>Chart_Data!S136</f>
        <v/>
      </c>
      <c r="G872">
        <f>Chart_Data!P136</f>
        <v/>
      </c>
      <c r="H872">
        <f>Chart_Data!T136</f>
        <v/>
      </c>
    </row>
    <row r="873">
      <c r="A873">
        <f>Chart_Data!P137</f>
        <v/>
      </c>
      <c r="B873">
        <f>Chart_Data!Q137</f>
        <v/>
      </c>
      <c r="C873">
        <f>Chart_Data!P137</f>
        <v/>
      </c>
      <c r="D873">
        <f>Chart_Data!R137</f>
        <v/>
      </c>
      <c r="E873">
        <f>Chart_Data!P137</f>
        <v/>
      </c>
      <c r="F873">
        <f>Chart_Data!S137</f>
        <v/>
      </c>
      <c r="G873">
        <f>Chart_Data!P137</f>
        <v/>
      </c>
      <c r="H873">
        <f>Chart_Data!T137</f>
        <v/>
      </c>
    </row>
    <row r="874">
      <c r="A874">
        <f>Chart_Data!P138</f>
        <v/>
      </c>
      <c r="B874">
        <f>Chart_Data!Q138</f>
        <v/>
      </c>
      <c r="C874">
        <f>Chart_Data!P138</f>
        <v/>
      </c>
      <c r="D874">
        <f>Chart_Data!R138</f>
        <v/>
      </c>
      <c r="E874">
        <f>Chart_Data!P138</f>
        <v/>
      </c>
      <c r="F874">
        <f>Chart_Data!S138</f>
        <v/>
      </c>
      <c r="G874">
        <f>Chart_Data!P138</f>
        <v/>
      </c>
      <c r="H874">
        <f>Chart_Data!T138</f>
        <v/>
      </c>
    </row>
    <row r="875">
      <c r="A875">
        <f>Chart_Data!P139</f>
        <v/>
      </c>
      <c r="B875">
        <f>Chart_Data!Q139</f>
        <v/>
      </c>
      <c r="C875">
        <f>Chart_Data!P139</f>
        <v/>
      </c>
      <c r="D875">
        <f>Chart_Data!R139</f>
        <v/>
      </c>
      <c r="E875">
        <f>Chart_Data!P139</f>
        <v/>
      </c>
      <c r="F875">
        <f>Chart_Data!S139</f>
        <v/>
      </c>
      <c r="G875">
        <f>Chart_Data!P139</f>
        <v/>
      </c>
      <c r="H875">
        <f>Chart_Data!T139</f>
        <v/>
      </c>
    </row>
    <row r="876">
      <c r="A876">
        <f>Chart_Data!P140</f>
        <v/>
      </c>
      <c r="B876">
        <f>Chart_Data!Q140</f>
        <v/>
      </c>
      <c r="C876">
        <f>Chart_Data!P140</f>
        <v/>
      </c>
      <c r="D876">
        <f>Chart_Data!R140</f>
        <v/>
      </c>
      <c r="E876">
        <f>Chart_Data!P140</f>
        <v/>
      </c>
      <c r="F876">
        <f>Chart_Data!S140</f>
        <v/>
      </c>
      <c r="G876">
        <f>Chart_Data!P140</f>
        <v/>
      </c>
      <c r="H876">
        <f>Chart_Data!T140</f>
        <v/>
      </c>
    </row>
    <row r="877">
      <c r="A877">
        <f>Chart_Data!P141</f>
        <v/>
      </c>
      <c r="B877">
        <f>Chart_Data!Q141</f>
        <v/>
      </c>
      <c r="C877">
        <f>Chart_Data!P141</f>
        <v/>
      </c>
      <c r="D877">
        <f>Chart_Data!R141</f>
        <v/>
      </c>
      <c r="E877">
        <f>Chart_Data!P141</f>
        <v/>
      </c>
      <c r="F877">
        <f>Chart_Data!S141</f>
        <v/>
      </c>
      <c r="G877">
        <f>Chart_Data!P141</f>
        <v/>
      </c>
      <c r="H877">
        <f>Chart_Data!T141</f>
        <v/>
      </c>
    </row>
    <row r="878">
      <c r="A878">
        <f>Chart_Data!P142</f>
        <v/>
      </c>
      <c r="B878">
        <f>Chart_Data!Q142</f>
        <v/>
      </c>
      <c r="C878">
        <f>Chart_Data!P142</f>
        <v/>
      </c>
      <c r="D878">
        <f>Chart_Data!R142</f>
        <v/>
      </c>
      <c r="E878">
        <f>Chart_Data!P142</f>
        <v/>
      </c>
      <c r="F878">
        <f>Chart_Data!S142</f>
        <v/>
      </c>
      <c r="G878">
        <f>Chart_Data!P142</f>
        <v/>
      </c>
      <c r="H878">
        <f>Chart_Data!T142</f>
        <v/>
      </c>
    </row>
    <row r="879">
      <c r="A879">
        <f>Chart_Data!P143</f>
        <v/>
      </c>
      <c r="B879">
        <f>Chart_Data!Q143</f>
        <v/>
      </c>
      <c r="C879">
        <f>Chart_Data!P143</f>
        <v/>
      </c>
      <c r="D879">
        <f>Chart_Data!R143</f>
        <v/>
      </c>
      <c r="E879">
        <f>Chart_Data!P143</f>
        <v/>
      </c>
      <c r="F879">
        <f>Chart_Data!S143</f>
        <v/>
      </c>
      <c r="G879">
        <f>Chart_Data!P143</f>
        <v/>
      </c>
      <c r="H879">
        <f>Chart_Data!T143</f>
        <v/>
      </c>
    </row>
    <row r="880">
      <c r="A880">
        <f>Chart_Data!P144</f>
        <v/>
      </c>
      <c r="B880">
        <f>Chart_Data!Q144</f>
        <v/>
      </c>
      <c r="C880">
        <f>Chart_Data!P144</f>
        <v/>
      </c>
      <c r="D880">
        <f>Chart_Data!R144</f>
        <v/>
      </c>
      <c r="E880">
        <f>Chart_Data!P144</f>
        <v/>
      </c>
      <c r="F880">
        <f>Chart_Data!S144</f>
        <v/>
      </c>
      <c r="G880">
        <f>Chart_Data!P144</f>
        <v/>
      </c>
      <c r="H880">
        <f>Chart_Data!T144</f>
        <v/>
      </c>
    </row>
    <row r="881">
      <c r="A881">
        <f>Chart_Data!P145</f>
        <v/>
      </c>
      <c r="B881">
        <f>Chart_Data!Q145</f>
        <v/>
      </c>
      <c r="C881">
        <f>Chart_Data!P145</f>
        <v/>
      </c>
      <c r="D881">
        <f>Chart_Data!R145</f>
        <v/>
      </c>
      <c r="E881">
        <f>Chart_Data!P145</f>
        <v/>
      </c>
      <c r="F881">
        <f>Chart_Data!S145</f>
        <v/>
      </c>
      <c r="G881">
        <f>Chart_Data!P145</f>
        <v/>
      </c>
      <c r="H881">
        <f>Chart_Data!T145</f>
        <v/>
      </c>
    </row>
    <row r="882">
      <c r="A882">
        <f>Chart_Data!P146</f>
        <v/>
      </c>
      <c r="B882">
        <f>Chart_Data!Q146</f>
        <v/>
      </c>
      <c r="C882">
        <f>Chart_Data!P146</f>
        <v/>
      </c>
      <c r="D882">
        <f>Chart_Data!R146</f>
        <v/>
      </c>
      <c r="E882">
        <f>Chart_Data!P146</f>
        <v/>
      </c>
      <c r="F882">
        <f>Chart_Data!S146</f>
        <v/>
      </c>
      <c r="G882">
        <f>Chart_Data!P146</f>
        <v/>
      </c>
      <c r="H882">
        <f>Chart_Data!T146</f>
        <v/>
      </c>
    </row>
    <row r="883">
      <c r="A883">
        <f>Chart_Data!P147</f>
        <v/>
      </c>
      <c r="B883">
        <f>Chart_Data!Q147</f>
        <v/>
      </c>
      <c r="C883">
        <f>Chart_Data!P147</f>
        <v/>
      </c>
      <c r="D883">
        <f>Chart_Data!R147</f>
        <v/>
      </c>
      <c r="E883">
        <f>Chart_Data!P147</f>
        <v/>
      </c>
      <c r="F883">
        <f>Chart_Data!S147</f>
        <v/>
      </c>
      <c r="G883">
        <f>Chart_Data!P147</f>
        <v/>
      </c>
      <c r="H883">
        <f>Chart_Data!T147</f>
        <v/>
      </c>
    </row>
    <row r="884">
      <c r="A884">
        <f>Chart_Data!P148</f>
        <v/>
      </c>
      <c r="B884">
        <f>Chart_Data!Q148</f>
        <v/>
      </c>
      <c r="C884">
        <f>Chart_Data!P148</f>
        <v/>
      </c>
      <c r="D884">
        <f>Chart_Data!R148</f>
        <v/>
      </c>
      <c r="E884">
        <f>Chart_Data!P148</f>
        <v/>
      </c>
      <c r="F884">
        <f>Chart_Data!S148</f>
        <v/>
      </c>
      <c r="G884">
        <f>Chart_Data!P148</f>
        <v/>
      </c>
      <c r="H884">
        <f>Chart_Data!T148</f>
        <v/>
      </c>
    </row>
    <row r="885">
      <c r="A885">
        <f>Chart_Data!P149</f>
        <v/>
      </c>
      <c r="B885">
        <f>Chart_Data!Q149</f>
        <v/>
      </c>
      <c r="C885">
        <f>Chart_Data!P149</f>
        <v/>
      </c>
      <c r="D885">
        <f>Chart_Data!R149</f>
        <v/>
      </c>
      <c r="E885">
        <f>Chart_Data!P149</f>
        <v/>
      </c>
      <c r="F885">
        <f>Chart_Data!S149</f>
        <v/>
      </c>
      <c r="G885">
        <f>Chart_Data!P149</f>
        <v/>
      </c>
      <c r="H885">
        <f>Chart_Data!T149</f>
        <v/>
      </c>
    </row>
    <row r="886">
      <c r="A886">
        <f>Chart_Data!P150</f>
        <v/>
      </c>
      <c r="B886">
        <f>Chart_Data!Q150</f>
        <v/>
      </c>
      <c r="C886">
        <f>Chart_Data!P150</f>
        <v/>
      </c>
      <c r="D886">
        <f>Chart_Data!R150</f>
        <v/>
      </c>
      <c r="E886">
        <f>Chart_Data!P150</f>
        <v/>
      </c>
      <c r="F886">
        <f>Chart_Data!S150</f>
        <v/>
      </c>
      <c r="G886">
        <f>Chart_Data!P150</f>
        <v/>
      </c>
      <c r="H886">
        <f>Chart_Data!T150</f>
        <v/>
      </c>
    </row>
    <row r="887">
      <c r="A887">
        <f>Chart_Data!P151</f>
        <v/>
      </c>
      <c r="B887">
        <f>Chart_Data!Q151</f>
        <v/>
      </c>
      <c r="C887">
        <f>Chart_Data!P151</f>
        <v/>
      </c>
      <c r="D887">
        <f>Chart_Data!R151</f>
        <v/>
      </c>
      <c r="E887">
        <f>Chart_Data!P151</f>
        <v/>
      </c>
      <c r="F887">
        <f>Chart_Data!S151</f>
        <v/>
      </c>
      <c r="G887">
        <f>Chart_Data!P151</f>
        <v/>
      </c>
      <c r="H887">
        <f>Chart_Data!T151</f>
        <v/>
      </c>
    </row>
    <row r="888">
      <c r="A888">
        <f>Chart_Data!P152</f>
        <v/>
      </c>
      <c r="B888">
        <f>Chart_Data!Q152</f>
        <v/>
      </c>
      <c r="C888">
        <f>Chart_Data!P152</f>
        <v/>
      </c>
      <c r="D888">
        <f>Chart_Data!R152</f>
        <v/>
      </c>
      <c r="E888">
        <f>Chart_Data!P152</f>
        <v/>
      </c>
      <c r="F888">
        <f>Chart_Data!S152</f>
        <v/>
      </c>
      <c r="G888">
        <f>Chart_Data!P152</f>
        <v/>
      </c>
      <c r="H888">
        <f>Chart_Data!T152</f>
        <v/>
      </c>
    </row>
    <row r="889">
      <c r="A889">
        <f>Chart_Data!P153</f>
        <v/>
      </c>
      <c r="B889">
        <f>Chart_Data!Q153</f>
        <v/>
      </c>
      <c r="C889">
        <f>Chart_Data!P153</f>
        <v/>
      </c>
      <c r="D889">
        <f>Chart_Data!R153</f>
        <v/>
      </c>
      <c r="E889">
        <f>Chart_Data!P153</f>
        <v/>
      </c>
      <c r="F889">
        <f>Chart_Data!S153</f>
        <v/>
      </c>
      <c r="G889">
        <f>Chart_Data!P153</f>
        <v/>
      </c>
      <c r="H889">
        <f>Chart_Data!T153</f>
        <v/>
      </c>
    </row>
    <row r="890">
      <c r="A890">
        <f>Chart_Data!P154</f>
        <v/>
      </c>
      <c r="B890">
        <f>Chart_Data!Q154</f>
        <v/>
      </c>
      <c r="C890">
        <f>Chart_Data!P154</f>
        <v/>
      </c>
      <c r="D890">
        <f>Chart_Data!R154</f>
        <v/>
      </c>
      <c r="E890">
        <f>Chart_Data!P154</f>
        <v/>
      </c>
      <c r="F890">
        <f>Chart_Data!S154</f>
        <v/>
      </c>
      <c r="G890">
        <f>Chart_Data!P154</f>
        <v/>
      </c>
      <c r="H890">
        <f>Chart_Data!T154</f>
        <v/>
      </c>
    </row>
    <row r="891">
      <c r="A891">
        <f>Chart_Data!P155</f>
        <v/>
      </c>
      <c r="B891">
        <f>Chart_Data!Q155</f>
        <v/>
      </c>
      <c r="C891">
        <f>Chart_Data!P155</f>
        <v/>
      </c>
      <c r="D891">
        <f>Chart_Data!R155</f>
        <v/>
      </c>
      <c r="E891">
        <f>Chart_Data!P155</f>
        <v/>
      </c>
      <c r="F891">
        <f>Chart_Data!S155</f>
        <v/>
      </c>
      <c r="G891">
        <f>Chart_Data!P155</f>
        <v/>
      </c>
      <c r="H891">
        <f>Chart_Data!T155</f>
        <v/>
      </c>
    </row>
    <row r="892">
      <c r="A892">
        <f>Chart_Data!P156</f>
        <v/>
      </c>
      <c r="B892">
        <f>Chart_Data!Q156</f>
        <v/>
      </c>
      <c r="C892">
        <f>Chart_Data!P156</f>
        <v/>
      </c>
      <c r="D892">
        <f>Chart_Data!R156</f>
        <v/>
      </c>
      <c r="E892">
        <f>Chart_Data!P156</f>
        <v/>
      </c>
      <c r="F892">
        <f>Chart_Data!S156</f>
        <v/>
      </c>
      <c r="G892">
        <f>Chart_Data!P156</f>
        <v/>
      </c>
      <c r="H892">
        <f>Chart_Data!T156</f>
        <v/>
      </c>
    </row>
    <row r="893">
      <c r="A893">
        <f>Chart_Data!P157</f>
        <v/>
      </c>
      <c r="B893">
        <f>Chart_Data!Q157</f>
        <v/>
      </c>
      <c r="C893">
        <f>Chart_Data!P157</f>
        <v/>
      </c>
      <c r="D893">
        <f>Chart_Data!R157</f>
        <v/>
      </c>
      <c r="E893">
        <f>Chart_Data!P157</f>
        <v/>
      </c>
      <c r="F893">
        <f>Chart_Data!S157</f>
        <v/>
      </c>
      <c r="G893">
        <f>Chart_Data!P157</f>
        <v/>
      </c>
      <c r="H893">
        <f>Chart_Data!T157</f>
        <v/>
      </c>
    </row>
    <row r="894">
      <c r="A894">
        <f>Chart_Data!P158</f>
        <v/>
      </c>
      <c r="B894">
        <f>Chart_Data!Q158</f>
        <v/>
      </c>
      <c r="C894">
        <f>Chart_Data!P158</f>
        <v/>
      </c>
      <c r="D894">
        <f>Chart_Data!R158</f>
        <v/>
      </c>
      <c r="E894">
        <f>Chart_Data!P158</f>
        <v/>
      </c>
      <c r="F894">
        <f>Chart_Data!S158</f>
        <v/>
      </c>
      <c r="G894">
        <f>Chart_Data!P158</f>
        <v/>
      </c>
      <c r="H894">
        <f>Chart_Data!T158</f>
        <v/>
      </c>
    </row>
    <row r="895">
      <c r="A895">
        <f>Chart_Data!P159</f>
        <v/>
      </c>
      <c r="B895">
        <f>Chart_Data!Q159</f>
        <v/>
      </c>
      <c r="C895">
        <f>Chart_Data!P159</f>
        <v/>
      </c>
      <c r="D895">
        <f>Chart_Data!R159</f>
        <v/>
      </c>
      <c r="E895">
        <f>Chart_Data!P159</f>
        <v/>
      </c>
      <c r="F895">
        <f>Chart_Data!S159</f>
        <v/>
      </c>
      <c r="G895">
        <f>Chart_Data!P159</f>
        <v/>
      </c>
      <c r="H895">
        <f>Chart_Data!T159</f>
        <v/>
      </c>
    </row>
    <row r="896">
      <c r="A896">
        <f>Chart_Data!P160</f>
        <v/>
      </c>
      <c r="B896">
        <f>Chart_Data!Q160</f>
        <v/>
      </c>
      <c r="C896">
        <f>Chart_Data!P160</f>
        <v/>
      </c>
      <c r="D896">
        <f>Chart_Data!R160</f>
        <v/>
      </c>
      <c r="E896">
        <f>Chart_Data!P160</f>
        <v/>
      </c>
      <c r="F896">
        <f>Chart_Data!S160</f>
        <v/>
      </c>
      <c r="G896">
        <f>Chart_Data!P160</f>
        <v/>
      </c>
      <c r="H896">
        <f>Chart_Data!T160</f>
        <v/>
      </c>
    </row>
    <row r="897">
      <c r="A897">
        <f>Chart_Data!P161</f>
        <v/>
      </c>
      <c r="B897">
        <f>Chart_Data!Q161</f>
        <v/>
      </c>
      <c r="C897">
        <f>Chart_Data!P161</f>
        <v/>
      </c>
      <c r="D897">
        <f>Chart_Data!R161</f>
        <v/>
      </c>
      <c r="E897">
        <f>Chart_Data!P161</f>
        <v/>
      </c>
      <c r="F897">
        <f>Chart_Data!S161</f>
        <v/>
      </c>
      <c r="G897">
        <f>Chart_Data!P161</f>
        <v/>
      </c>
      <c r="H897">
        <f>Chart_Data!T161</f>
        <v/>
      </c>
    </row>
    <row r="898">
      <c r="A898">
        <f>Chart_Data!P162</f>
        <v/>
      </c>
      <c r="B898">
        <f>Chart_Data!Q162</f>
        <v/>
      </c>
      <c r="C898">
        <f>Chart_Data!P162</f>
        <v/>
      </c>
      <c r="D898">
        <f>Chart_Data!R162</f>
        <v/>
      </c>
      <c r="E898">
        <f>Chart_Data!P162</f>
        <v/>
      </c>
      <c r="F898">
        <f>Chart_Data!S162</f>
        <v/>
      </c>
      <c r="G898">
        <f>Chart_Data!P162</f>
        <v/>
      </c>
      <c r="H898">
        <f>Chart_Data!T162</f>
        <v/>
      </c>
    </row>
    <row r="899">
      <c r="A899">
        <f>Chart_Data!P163</f>
        <v/>
      </c>
      <c r="B899">
        <f>Chart_Data!Q163</f>
        <v/>
      </c>
      <c r="C899">
        <f>Chart_Data!P163</f>
        <v/>
      </c>
      <c r="D899">
        <f>Chart_Data!R163</f>
        <v/>
      </c>
      <c r="E899">
        <f>Chart_Data!P163</f>
        <v/>
      </c>
      <c r="F899">
        <f>Chart_Data!S163</f>
        <v/>
      </c>
      <c r="G899">
        <f>Chart_Data!P163</f>
        <v/>
      </c>
      <c r="H899">
        <f>Chart_Data!T163</f>
        <v/>
      </c>
    </row>
    <row r="900">
      <c r="A900">
        <f>Chart_Data!P164</f>
        <v/>
      </c>
      <c r="B900">
        <f>Chart_Data!Q164</f>
        <v/>
      </c>
      <c r="C900">
        <f>Chart_Data!P164</f>
        <v/>
      </c>
      <c r="D900">
        <f>Chart_Data!R164</f>
        <v/>
      </c>
      <c r="E900">
        <f>Chart_Data!P164</f>
        <v/>
      </c>
      <c r="F900">
        <f>Chart_Data!S164</f>
        <v/>
      </c>
      <c r="G900">
        <f>Chart_Data!P164</f>
        <v/>
      </c>
      <c r="H900">
        <f>Chart_Data!T164</f>
        <v/>
      </c>
    </row>
    <row r="901">
      <c r="A901">
        <f>Chart_Data!P165</f>
        <v/>
      </c>
      <c r="B901">
        <f>Chart_Data!Q165</f>
        <v/>
      </c>
      <c r="C901">
        <f>Chart_Data!P165</f>
        <v/>
      </c>
      <c r="D901">
        <f>Chart_Data!R165</f>
        <v/>
      </c>
      <c r="E901">
        <f>Chart_Data!P165</f>
        <v/>
      </c>
      <c r="F901">
        <f>Chart_Data!S165</f>
        <v/>
      </c>
      <c r="G901">
        <f>Chart_Data!P165</f>
        <v/>
      </c>
      <c r="H901">
        <f>Chart_Data!T165</f>
        <v/>
      </c>
    </row>
    <row r="902">
      <c r="A902">
        <f>Chart_Data!P166</f>
        <v/>
      </c>
      <c r="B902">
        <f>Chart_Data!Q166</f>
        <v/>
      </c>
      <c r="C902">
        <f>Chart_Data!P166</f>
        <v/>
      </c>
      <c r="D902">
        <f>Chart_Data!R166</f>
        <v/>
      </c>
      <c r="E902">
        <f>Chart_Data!P166</f>
        <v/>
      </c>
      <c r="F902">
        <f>Chart_Data!S166</f>
        <v/>
      </c>
      <c r="G902">
        <f>Chart_Data!P166</f>
        <v/>
      </c>
      <c r="H902">
        <f>Chart_Data!T166</f>
        <v/>
      </c>
    </row>
    <row r="903">
      <c r="A903">
        <f>Chart_Data!P167</f>
        <v/>
      </c>
      <c r="B903">
        <f>Chart_Data!Q167</f>
        <v/>
      </c>
      <c r="C903">
        <f>Chart_Data!P167</f>
        <v/>
      </c>
      <c r="D903">
        <f>Chart_Data!R167</f>
        <v/>
      </c>
      <c r="E903">
        <f>Chart_Data!P167</f>
        <v/>
      </c>
      <c r="F903">
        <f>Chart_Data!S167</f>
        <v/>
      </c>
      <c r="G903">
        <f>Chart_Data!P167</f>
        <v/>
      </c>
      <c r="H903">
        <f>Chart_Data!T167</f>
        <v/>
      </c>
    </row>
    <row r="904">
      <c r="A904">
        <f>Chart_Data!P168</f>
        <v/>
      </c>
      <c r="B904">
        <f>Chart_Data!Q168</f>
        <v/>
      </c>
      <c r="C904">
        <f>Chart_Data!P168</f>
        <v/>
      </c>
      <c r="D904">
        <f>Chart_Data!R168</f>
        <v/>
      </c>
      <c r="E904">
        <f>Chart_Data!P168</f>
        <v/>
      </c>
      <c r="F904">
        <f>Chart_Data!S168</f>
        <v/>
      </c>
      <c r="G904">
        <f>Chart_Data!P168</f>
        <v/>
      </c>
      <c r="H904">
        <f>Chart_Data!T168</f>
        <v/>
      </c>
    </row>
    <row r="905">
      <c r="A905">
        <f>Chart_Data!P169</f>
        <v/>
      </c>
      <c r="B905">
        <f>Chart_Data!Q169</f>
        <v/>
      </c>
      <c r="C905">
        <f>Chart_Data!P169</f>
        <v/>
      </c>
      <c r="D905">
        <f>Chart_Data!R169</f>
        <v/>
      </c>
      <c r="E905">
        <f>Chart_Data!P169</f>
        <v/>
      </c>
      <c r="F905">
        <f>Chart_Data!S169</f>
        <v/>
      </c>
      <c r="G905">
        <f>Chart_Data!P169</f>
        <v/>
      </c>
      <c r="H905">
        <f>Chart_Data!T169</f>
        <v/>
      </c>
    </row>
    <row r="906">
      <c r="A906">
        <f>Chart_Data!P170</f>
        <v/>
      </c>
      <c r="B906">
        <f>Chart_Data!Q170</f>
        <v/>
      </c>
      <c r="C906">
        <f>Chart_Data!P170</f>
        <v/>
      </c>
      <c r="D906">
        <f>Chart_Data!R170</f>
        <v/>
      </c>
      <c r="E906">
        <f>Chart_Data!P170</f>
        <v/>
      </c>
      <c r="F906">
        <f>Chart_Data!S170</f>
        <v/>
      </c>
      <c r="G906">
        <f>Chart_Data!P170</f>
        <v/>
      </c>
      <c r="H906">
        <f>Chart_Data!T170</f>
        <v/>
      </c>
    </row>
    <row r="907">
      <c r="A907">
        <f>Chart_Data!P171</f>
        <v/>
      </c>
      <c r="B907">
        <f>Chart_Data!Q171</f>
        <v/>
      </c>
      <c r="C907">
        <f>Chart_Data!P171</f>
        <v/>
      </c>
      <c r="D907">
        <f>Chart_Data!R171</f>
        <v/>
      </c>
      <c r="E907">
        <f>Chart_Data!P171</f>
        <v/>
      </c>
      <c r="F907">
        <f>Chart_Data!S171</f>
        <v/>
      </c>
      <c r="G907">
        <f>Chart_Data!P171</f>
        <v/>
      </c>
      <c r="H907">
        <f>Chart_Data!T171</f>
        <v/>
      </c>
    </row>
    <row r="908">
      <c r="A908">
        <f>Chart_Data!P172</f>
        <v/>
      </c>
      <c r="B908">
        <f>Chart_Data!Q172</f>
        <v/>
      </c>
      <c r="C908">
        <f>Chart_Data!P172</f>
        <v/>
      </c>
      <c r="D908">
        <f>Chart_Data!R172</f>
        <v/>
      </c>
      <c r="E908">
        <f>Chart_Data!P172</f>
        <v/>
      </c>
      <c r="F908">
        <f>Chart_Data!S172</f>
        <v/>
      </c>
      <c r="G908">
        <f>Chart_Data!P172</f>
        <v/>
      </c>
      <c r="H908">
        <f>Chart_Data!T172</f>
        <v/>
      </c>
    </row>
    <row r="909">
      <c r="A909">
        <f>Chart_Data!P173</f>
        <v/>
      </c>
      <c r="B909">
        <f>Chart_Data!Q173</f>
        <v/>
      </c>
      <c r="C909">
        <f>Chart_Data!P173</f>
        <v/>
      </c>
      <c r="D909">
        <f>Chart_Data!R173</f>
        <v/>
      </c>
      <c r="E909">
        <f>Chart_Data!P173</f>
        <v/>
      </c>
      <c r="F909">
        <f>Chart_Data!S173</f>
        <v/>
      </c>
      <c r="G909">
        <f>Chart_Data!P173</f>
        <v/>
      </c>
      <c r="H909">
        <f>Chart_Data!T173</f>
        <v/>
      </c>
    </row>
    <row r="910">
      <c r="A910">
        <f>Chart_Data!P174</f>
        <v/>
      </c>
      <c r="B910">
        <f>Chart_Data!Q174</f>
        <v/>
      </c>
      <c r="C910">
        <f>Chart_Data!P174</f>
        <v/>
      </c>
      <c r="D910">
        <f>Chart_Data!R174</f>
        <v/>
      </c>
      <c r="E910">
        <f>Chart_Data!P174</f>
        <v/>
      </c>
      <c r="F910">
        <f>Chart_Data!S174</f>
        <v/>
      </c>
      <c r="G910">
        <f>Chart_Data!P174</f>
        <v/>
      </c>
      <c r="H910">
        <f>Chart_Data!T174</f>
        <v/>
      </c>
    </row>
    <row r="911">
      <c r="A911">
        <f>Chart_Data!P175</f>
        <v/>
      </c>
      <c r="B911">
        <f>Chart_Data!Q175</f>
        <v/>
      </c>
      <c r="C911">
        <f>Chart_Data!P175</f>
        <v/>
      </c>
      <c r="D911">
        <f>Chart_Data!R175</f>
        <v/>
      </c>
      <c r="E911">
        <f>Chart_Data!P175</f>
        <v/>
      </c>
      <c r="F911">
        <f>Chart_Data!S175</f>
        <v/>
      </c>
      <c r="G911">
        <f>Chart_Data!P175</f>
        <v/>
      </c>
      <c r="H911">
        <f>Chart_Data!T175</f>
        <v/>
      </c>
    </row>
    <row r="912">
      <c r="A912">
        <f>Chart_Data!P176</f>
        <v/>
      </c>
      <c r="B912">
        <f>Chart_Data!Q176</f>
        <v/>
      </c>
      <c r="C912">
        <f>Chart_Data!P176</f>
        <v/>
      </c>
      <c r="D912">
        <f>Chart_Data!R176</f>
        <v/>
      </c>
      <c r="E912">
        <f>Chart_Data!P176</f>
        <v/>
      </c>
      <c r="F912">
        <f>Chart_Data!S176</f>
        <v/>
      </c>
      <c r="G912">
        <f>Chart_Data!P176</f>
        <v/>
      </c>
      <c r="H912">
        <f>Chart_Data!T176</f>
        <v/>
      </c>
    </row>
    <row r="913">
      <c r="A913">
        <f>Chart_Data!P177</f>
        <v/>
      </c>
      <c r="B913">
        <f>Chart_Data!Q177</f>
        <v/>
      </c>
      <c r="C913">
        <f>Chart_Data!P177</f>
        <v/>
      </c>
      <c r="D913">
        <f>Chart_Data!R177</f>
        <v/>
      </c>
      <c r="E913">
        <f>Chart_Data!P177</f>
        <v/>
      </c>
      <c r="F913">
        <f>Chart_Data!S177</f>
        <v/>
      </c>
      <c r="G913">
        <f>Chart_Data!P177</f>
        <v/>
      </c>
      <c r="H913">
        <f>Chart_Data!T177</f>
        <v/>
      </c>
    </row>
    <row r="914">
      <c r="A914">
        <f>Chart_Data!P178</f>
        <v/>
      </c>
      <c r="B914">
        <f>Chart_Data!Q178</f>
        <v/>
      </c>
      <c r="C914">
        <f>Chart_Data!P178</f>
        <v/>
      </c>
      <c r="D914">
        <f>Chart_Data!R178</f>
        <v/>
      </c>
      <c r="E914">
        <f>Chart_Data!P178</f>
        <v/>
      </c>
      <c r="F914">
        <f>Chart_Data!S178</f>
        <v/>
      </c>
      <c r="G914">
        <f>Chart_Data!P178</f>
        <v/>
      </c>
      <c r="H914">
        <f>Chart_Data!T178</f>
        <v/>
      </c>
    </row>
    <row r="915">
      <c r="A915">
        <f>Chart_Data!P179</f>
        <v/>
      </c>
      <c r="B915">
        <f>Chart_Data!Q179</f>
        <v/>
      </c>
      <c r="C915">
        <f>Chart_Data!P179</f>
        <v/>
      </c>
      <c r="D915">
        <f>Chart_Data!R179</f>
        <v/>
      </c>
      <c r="E915">
        <f>Chart_Data!P179</f>
        <v/>
      </c>
      <c r="F915">
        <f>Chart_Data!S179</f>
        <v/>
      </c>
      <c r="G915">
        <f>Chart_Data!P179</f>
        <v/>
      </c>
      <c r="H915">
        <f>Chart_Data!T179</f>
        <v/>
      </c>
    </row>
    <row r="916">
      <c r="A916">
        <f>Chart_Data!P180</f>
        <v/>
      </c>
      <c r="B916">
        <f>Chart_Data!Q180</f>
        <v/>
      </c>
      <c r="C916">
        <f>Chart_Data!P180</f>
        <v/>
      </c>
      <c r="D916">
        <f>Chart_Data!R180</f>
        <v/>
      </c>
      <c r="E916">
        <f>Chart_Data!P180</f>
        <v/>
      </c>
      <c r="F916">
        <f>Chart_Data!S180</f>
        <v/>
      </c>
      <c r="G916">
        <f>Chart_Data!P180</f>
        <v/>
      </c>
      <c r="H916">
        <f>Chart_Data!T180</f>
        <v/>
      </c>
    </row>
    <row r="917">
      <c r="A917">
        <f>Chart_Data!P181</f>
        <v/>
      </c>
      <c r="B917">
        <f>Chart_Data!Q181</f>
        <v/>
      </c>
      <c r="C917">
        <f>Chart_Data!P181</f>
        <v/>
      </c>
      <c r="D917">
        <f>Chart_Data!R181</f>
        <v/>
      </c>
      <c r="E917">
        <f>Chart_Data!P181</f>
        <v/>
      </c>
      <c r="F917">
        <f>Chart_Data!S181</f>
        <v/>
      </c>
      <c r="G917">
        <f>Chart_Data!P181</f>
        <v/>
      </c>
      <c r="H917">
        <f>Chart_Data!T181</f>
        <v/>
      </c>
    </row>
    <row r="918">
      <c r="A918">
        <f>Chart_Data!P182</f>
        <v/>
      </c>
      <c r="B918">
        <f>Chart_Data!Q182</f>
        <v/>
      </c>
      <c r="C918">
        <f>Chart_Data!P182</f>
        <v/>
      </c>
      <c r="D918">
        <f>Chart_Data!R182</f>
        <v/>
      </c>
      <c r="E918">
        <f>Chart_Data!P182</f>
        <v/>
      </c>
      <c r="F918">
        <f>Chart_Data!S182</f>
        <v/>
      </c>
      <c r="G918">
        <f>Chart_Data!P182</f>
        <v/>
      </c>
      <c r="H918">
        <f>Chart_Data!T182</f>
        <v/>
      </c>
    </row>
    <row r="919">
      <c r="A919">
        <f>Chart_Data!P183</f>
        <v/>
      </c>
      <c r="B919">
        <f>Chart_Data!Q183</f>
        <v/>
      </c>
      <c r="C919">
        <f>Chart_Data!P183</f>
        <v/>
      </c>
      <c r="D919">
        <f>Chart_Data!R183</f>
        <v/>
      </c>
      <c r="E919">
        <f>Chart_Data!P183</f>
        <v/>
      </c>
      <c r="F919">
        <f>Chart_Data!S183</f>
        <v/>
      </c>
      <c r="G919">
        <f>Chart_Data!P183</f>
        <v/>
      </c>
      <c r="H919">
        <f>Chart_Data!T183</f>
        <v/>
      </c>
    </row>
    <row r="920">
      <c r="A920">
        <f>Chart_Data!P184</f>
        <v/>
      </c>
      <c r="B920">
        <f>Chart_Data!Q184</f>
        <v/>
      </c>
      <c r="C920">
        <f>Chart_Data!P184</f>
        <v/>
      </c>
      <c r="D920">
        <f>Chart_Data!R184</f>
        <v/>
      </c>
      <c r="E920">
        <f>Chart_Data!P184</f>
        <v/>
      </c>
      <c r="F920">
        <f>Chart_Data!S184</f>
        <v/>
      </c>
      <c r="G920">
        <f>Chart_Data!P184</f>
        <v/>
      </c>
      <c r="H920">
        <f>Chart_Data!T184</f>
        <v/>
      </c>
    </row>
    <row r="921">
      <c r="A921">
        <f>Chart_Data!P185</f>
        <v/>
      </c>
      <c r="B921">
        <f>Chart_Data!Q185</f>
        <v/>
      </c>
      <c r="C921">
        <f>Chart_Data!P185</f>
        <v/>
      </c>
      <c r="D921">
        <f>Chart_Data!R185</f>
        <v/>
      </c>
      <c r="E921">
        <f>Chart_Data!P185</f>
        <v/>
      </c>
      <c r="F921">
        <f>Chart_Data!S185</f>
        <v/>
      </c>
      <c r="G921">
        <f>Chart_Data!P185</f>
        <v/>
      </c>
      <c r="H921">
        <f>Chart_Data!T185</f>
        <v/>
      </c>
    </row>
    <row r="922">
      <c r="A922">
        <f>Chart_Data!P186</f>
        <v/>
      </c>
      <c r="B922">
        <f>Chart_Data!Q186</f>
        <v/>
      </c>
      <c r="C922">
        <f>Chart_Data!P186</f>
        <v/>
      </c>
      <c r="D922">
        <f>Chart_Data!R186</f>
        <v/>
      </c>
      <c r="E922">
        <f>Chart_Data!P186</f>
        <v/>
      </c>
      <c r="F922">
        <f>Chart_Data!S186</f>
        <v/>
      </c>
      <c r="G922">
        <f>Chart_Data!P186</f>
        <v/>
      </c>
      <c r="H922">
        <f>Chart_Data!T186</f>
        <v/>
      </c>
    </row>
    <row r="923">
      <c r="A923">
        <f>Chart_Data!P187</f>
        <v/>
      </c>
      <c r="B923">
        <f>Chart_Data!Q187</f>
        <v/>
      </c>
      <c r="C923">
        <f>Chart_Data!P187</f>
        <v/>
      </c>
      <c r="D923">
        <f>Chart_Data!R187</f>
        <v/>
      </c>
      <c r="E923">
        <f>Chart_Data!P187</f>
        <v/>
      </c>
      <c r="F923">
        <f>Chart_Data!S187</f>
        <v/>
      </c>
      <c r="G923">
        <f>Chart_Data!P187</f>
        <v/>
      </c>
      <c r="H923">
        <f>Chart_Data!T187</f>
        <v/>
      </c>
    </row>
    <row r="924">
      <c r="A924">
        <f>Chart_Data!P188</f>
        <v/>
      </c>
      <c r="B924">
        <f>Chart_Data!Q188</f>
        <v/>
      </c>
      <c r="C924">
        <f>Chart_Data!P188</f>
        <v/>
      </c>
      <c r="D924">
        <f>Chart_Data!R188</f>
        <v/>
      </c>
      <c r="E924">
        <f>Chart_Data!P188</f>
        <v/>
      </c>
      <c r="F924">
        <f>Chart_Data!S188</f>
        <v/>
      </c>
      <c r="G924">
        <f>Chart_Data!P188</f>
        <v/>
      </c>
      <c r="H924">
        <f>Chart_Data!T188</f>
        <v/>
      </c>
    </row>
    <row r="925">
      <c r="A925">
        <f>Chart_Data!P189</f>
        <v/>
      </c>
      <c r="B925">
        <f>Chart_Data!Q189</f>
        <v/>
      </c>
      <c r="C925">
        <f>Chart_Data!P189</f>
        <v/>
      </c>
      <c r="D925">
        <f>Chart_Data!R189</f>
        <v/>
      </c>
      <c r="E925">
        <f>Chart_Data!P189</f>
        <v/>
      </c>
      <c r="F925">
        <f>Chart_Data!S189</f>
        <v/>
      </c>
      <c r="G925">
        <f>Chart_Data!P189</f>
        <v/>
      </c>
      <c r="H925">
        <f>Chart_Data!T189</f>
        <v/>
      </c>
    </row>
    <row r="926">
      <c r="A926">
        <f>Chart_Data!P190</f>
        <v/>
      </c>
      <c r="B926">
        <f>Chart_Data!Q190</f>
        <v/>
      </c>
      <c r="C926">
        <f>Chart_Data!P190</f>
        <v/>
      </c>
      <c r="D926">
        <f>Chart_Data!R190</f>
        <v/>
      </c>
      <c r="E926">
        <f>Chart_Data!P190</f>
        <v/>
      </c>
      <c r="F926">
        <f>Chart_Data!S190</f>
        <v/>
      </c>
      <c r="G926">
        <f>Chart_Data!P190</f>
        <v/>
      </c>
      <c r="H926">
        <f>Chart_Data!T190</f>
        <v/>
      </c>
    </row>
    <row r="927">
      <c r="A927">
        <f>Chart_Data!P191</f>
        <v/>
      </c>
      <c r="B927">
        <f>Chart_Data!Q191</f>
        <v/>
      </c>
      <c r="C927">
        <f>Chart_Data!P191</f>
        <v/>
      </c>
      <c r="D927">
        <f>Chart_Data!R191</f>
        <v/>
      </c>
      <c r="E927">
        <f>Chart_Data!P191</f>
        <v/>
      </c>
      <c r="F927">
        <f>Chart_Data!S191</f>
        <v/>
      </c>
      <c r="G927">
        <f>Chart_Data!P191</f>
        <v/>
      </c>
      <c r="H927">
        <f>Chart_Data!T191</f>
        <v/>
      </c>
    </row>
    <row r="928">
      <c r="A928">
        <f>Chart_Data!P192</f>
        <v/>
      </c>
      <c r="B928">
        <f>Chart_Data!Q192</f>
        <v/>
      </c>
      <c r="C928">
        <f>Chart_Data!P192</f>
        <v/>
      </c>
      <c r="D928">
        <f>Chart_Data!R192</f>
        <v/>
      </c>
      <c r="E928">
        <f>Chart_Data!P192</f>
        <v/>
      </c>
      <c r="F928">
        <f>Chart_Data!S192</f>
        <v/>
      </c>
      <c r="G928">
        <f>Chart_Data!P192</f>
        <v/>
      </c>
      <c r="H928">
        <f>Chart_Data!T192</f>
        <v/>
      </c>
    </row>
    <row r="929">
      <c r="A929">
        <f>Chart_Data!P193</f>
        <v/>
      </c>
      <c r="B929">
        <f>Chart_Data!Q193</f>
        <v/>
      </c>
      <c r="C929">
        <f>Chart_Data!P193</f>
        <v/>
      </c>
      <c r="D929">
        <f>Chart_Data!R193</f>
        <v/>
      </c>
      <c r="E929">
        <f>Chart_Data!P193</f>
        <v/>
      </c>
      <c r="F929">
        <f>Chart_Data!S193</f>
        <v/>
      </c>
      <c r="G929">
        <f>Chart_Data!P193</f>
        <v/>
      </c>
      <c r="H929">
        <f>Chart_Data!T193</f>
        <v/>
      </c>
    </row>
    <row r="930">
      <c r="A930">
        <f>Chart_Data!P194</f>
        <v/>
      </c>
      <c r="B930">
        <f>Chart_Data!Q194</f>
        <v/>
      </c>
      <c r="C930">
        <f>Chart_Data!P194</f>
        <v/>
      </c>
      <c r="D930">
        <f>Chart_Data!R194</f>
        <v/>
      </c>
      <c r="E930">
        <f>Chart_Data!P194</f>
        <v/>
      </c>
      <c r="F930">
        <f>Chart_Data!S194</f>
        <v/>
      </c>
      <c r="G930">
        <f>Chart_Data!P194</f>
        <v/>
      </c>
      <c r="H930">
        <f>Chart_Data!T194</f>
        <v/>
      </c>
    </row>
    <row r="931">
      <c r="A931">
        <f>Chart_Data!P195</f>
        <v/>
      </c>
      <c r="B931">
        <f>Chart_Data!Q195</f>
        <v/>
      </c>
      <c r="C931">
        <f>Chart_Data!P195</f>
        <v/>
      </c>
      <c r="D931">
        <f>Chart_Data!R195</f>
        <v/>
      </c>
      <c r="E931">
        <f>Chart_Data!P195</f>
        <v/>
      </c>
      <c r="F931">
        <f>Chart_Data!S195</f>
        <v/>
      </c>
      <c r="G931">
        <f>Chart_Data!P195</f>
        <v/>
      </c>
      <c r="H931">
        <f>Chart_Data!T195</f>
        <v/>
      </c>
    </row>
    <row r="932">
      <c r="A932">
        <f>Chart_Data!P196</f>
        <v/>
      </c>
      <c r="B932">
        <f>Chart_Data!Q196</f>
        <v/>
      </c>
      <c r="C932">
        <f>Chart_Data!P196</f>
        <v/>
      </c>
      <c r="D932">
        <f>Chart_Data!R196</f>
        <v/>
      </c>
      <c r="E932">
        <f>Chart_Data!P196</f>
        <v/>
      </c>
      <c r="F932">
        <f>Chart_Data!S196</f>
        <v/>
      </c>
      <c r="G932">
        <f>Chart_Data!P196</f>
        <v/>
      </c>
      <c r="H932">
        <f>Chart_Data!T196</f>
        <v/>
      </c>
    </row>
    <row r="933">
      <c r="A933">
        <f>Chart_Data!P197</f>
        <v/>
      </c>
      <c r="B933">
        <f>Chart_Data!Q197</f>
        <v/>
      </c>
      <c r="C933">
        <f>Chart_Data!P197</f>
        <v/>
      </c>
      <c r="D933">
        <f>Chart_Data!R197</f>
        <v/>
      </c>
      <c r="E933">
        <f>Chart_Data!P197</f>
        <v/>
      </c>
      <c r="F933">
        <f>Chart_Data!S197</f>
        <v/>
      </c>
      <c r="G933">
        <f>Chart_Data!P197</f>
        <v/>
      </c>
      <c r="H933">
        <f>Chart_Data!T197</f>
        <v/>
      </c>
    </row>
    <row r="934">
      <c r="A934">
        <f>Chart_Data!P198</f>
        <v/>
      </c>
      <c r="B934">
        <f>Chart_Data!Q198</f>
        <v/>
      </c>
      <c r="C934">
        <f>Chart_Data!P198</f>
        <v/>
      </c>
      <c r="D934">
        <f>Chart_Data!R198</f>
        <v/>
      </c>
      <c r="E934">
        <f>Chart_Data!P198</f>
        <v/>
      </c>
      <c r="F934">
        <f>Chart_Data!S198</f>
        <v/>
      </c>
      <c r="G934">
        <f>Chart_Data!P198</f>
        <v/>
      </c>
      <c r="H934">
        <f>Chart_Data!T198</f>
        <v/>
      </c>
    </row>
    <row r="935">
      <c r="A935">
        <f>Chart_Data!P199</f>
        <v/>
      </c>
      <c r="B935">
        <f>Chart_Data!Q199</f>
        <v/>
      </c>
      <c r="C935">
        <f>Chart_Data!P199</f>
        <v/>
      </c>
      <c r="D935">
        <f>Chart_Data!R199</f>
        <v/>
      </c>
      <c r="E935">
        <f>Chart_Data!P199</f>
        <v/>
      </c>
      <c r="F935">
        <f>Chart_Data!S199</f>
        <v/>
      </c>
      <c r="G935">
        <f>Chart_Data!P199</f>
        <v/>
      </c>
      <c r="H935">
        <f>Chart_Data!T199</f>
        <v/>
      </c>
    </row>
    <row r="936">
      <c r="A936">
        <f>Chart_Data!P200</f>
        <v/>
      </c>
      <c r="B936">
        <f>Chart_Data!Q200</f>
        <v/>
      </c>
      <c r="C936">
        <f>Chart_Data!P200</f>
        <v/>
      </c>
      <c r="D936">
        <f>Chart_Data!R200</f>
        <v/>
      </c>
      <c r="E936">
        <f>Chart_Data!P200</f>
        <v/>
      </c>
      <c r="F936">
        <f>Chart_Data!S200</f>
        <v/>
      </c>
      <c r="G936">
        <f>Chart_Data!P200</f>
        <v/>
      </c>
      <c r="H936">
        <f>Chart_Data!T200</f>
        <v/>
      </c>
    </row>
    <row r="937">
      <c r="A937">
        <f>Chart_Data!P201</f>
        <v/>
      </c>
      <c r="B937">
        <f>Chart_Data!Q201</f>
        <v/>
      </c>
      <c r="C937">
        <f>Chart_Data!P201</f>
        <v/>
      </c>
      <c r="D937">
        <f>Chart_Data!R201</f>
        <v/>
      </c>
      <c r="E937">
        <f>Chart_Data!P201</f>
        <v/>
      </c>
      <c r="F937">
        <f>Chart_Data!S201</f>
        <v/>
      </c>
      <c r="G937">
        <f>Chart_Data!P201</f>
        <v/>
      </c>
      <c r="H937">
        <f>Chart_Data!T201</f>
        <v/>
      </c>
    </row>
    <row r="938">
      <c r="A938">
        <f>Chart_Data!P202</f>
        <v/>
      </c>
      <c r="B938">
        <f>Chart_Data!Q202</f>
        <v/>
      </c>
      <c r="C938">
        <f>Chart_Data!P202</f>
        <v/>
      </c>
      <c r="D938">
        <f>Chart_Data!R202</f>
        <v/>
      </c>
      <c r="E938">
        <f>Chart_Data!P202</f>
        <v/>
      </c>
      <c r="F938">
        <f>Chart_Data!S202</f>
        <v/>
      </c>
      <c r="G938">
        <f>Chart_Data!P202</f>
        <v/>
      </c>
      <c r="H938">
        <f>Chart_Data!T202</f>
        <v/>
      </c>
    </row>
    <row r="939">
      <c r="A939">
        <f>Chart_Data!P203</f>
        <v/>
      </c>
      <c r="B939">
        <f>Chart_Data!Q203</f>
        <v/>
      </c>
      <c r="C939">
        <f>Chart_Data!P203</f>
        <v/>
      </c>
      <c r="D939">
        <f>Chart_Data!R203</f>
        <v/>
      </c>
      <c r="E939">
        <f>Chart_Data!P203</f>
        <v/>
      </c>
      <c r="F939">
        <f>Chart_Data!S203</f>
        <v/>
      </c>
      <c r="G939">
        <f>Chart_Data!P203</f>
        <v/>
      </c>
      <c r="H939">
        <f>Chart_Data!T203</f>
        <v/>
      </c>
    </row>
    <row r="940">
      <c r="A940">
        <f>Chart_Data!P204</f>
        <v/>
      </c>
      <c r="B940">
        <f>Chart_Data!Q204</f>
        <v/>
      </c>
      <c r="C940">
        <f>Chart_Data!P204</f>
        <v/>
      </c>
      <c r="D940">
        <f>Chart_Data!R204</f>
        <v/>
      </c>
      <c r="E940">
        <f>Chart_Data!P204</f>
        <v/>
      </c>
      <c r="F940">
        <f>Chart_Data!S204</f>
        <v/>
      </c>
      <c r="G940">
        <f>Chart_Data!P204</f>
        <v/>
      </c>
      <c r="H940">
        <f>Chart_Data!T204</f>
        <v/>
      </c>
    </row>
    <row r="941">
      <c r="A941">
        <f>Chart_Data!P205</f>
        <v/>
      </c>
      <c r="B941">
        <f>Chart_Data!Q205</f>
        <v/>
      </c>
      <c r="C941">
        <f>Chart_Data!P205</f>
        <v/>
      </c>
      <c r="D941">
        <f>Chart_Data!R205</f>
        <v/>
      </c>
      <c r="E941">
        <f>Chart_Data!P205</f>
        <v/>
      </c>
      <c r="F941">
        <f>Chart_Data!S205</f>
        <v/>
      </c>
      <c r="G941">
        <f>Chart_Data!P205</f>
        <v/>
      </c>
      <c r="H941">
        <f>Chart_Data!T205</f>
        <v/>
      </c>
    </row>
    <row r="942">
      <c r="A942">
        <f>Chart_Data!P206</f>
        <v/>
      </c>
      <c r="B942">
        <f>Chart_Data!Q206</f>
        <v/>
      </c>
      <c r="C942">
        <f>Chart_Data!P206</f>
        <v/>
      </c>
      <c r="D942">
        <f>Chart_Data!R206</f>
        <v/>
      </c>
      <c r="E942">
        <f>Chart_Data!P206</f>
        <v/>
      </c>
      <c r="F942">
        <f>Chart_Data!S206</f>
        <v/>
      </c>
      <c r="G942">
        <f>Chart_Data!P206</f>
        <v/>
      </c>
      <c r="H942">
        <f>Chart_Data!T206</f>
        <v/>
      </c>
    </row>
    <row r="943">
      <c r="A943">
        <f>Chart_Data!P207</f>
        <v/>
      </c>
      <c r="B943">
        <f>Chart_Data!Q207</f>
        <v/>
      </c>
      <c r="C943">
        <f>Chart_Data!P207</f>
        <v/>
      </c>
      <c r="D943">
        <f>Chart_Data!R207</f>
        <v/>
      </c>
      <c r="E943">
        <f>Chart_Data!P207</f>
        <v/>
      </c>
      <c r="F943">
        <f>Chart_Data!S207</f>
        <v/>
      </c>
      <c r="G943">
        <f>Chart_Data!P207</f>
        <v/>
      </c>
      <c r="H943">
        <f>Chart_Data!T207</f>
        <v/>
      </c>
    </row>
    <row r="944">
      <c r="A944">
        <f>Chart_Data!P208</f>
        <v/>
      </c>
      <c r="B944">
        <f>Chart_Data!Q208</f>
        <v/>
      </c>
      <c r="C944">
        <f>Chart_Data!P208</f>
        <v/>
      </c>
      <c r="D944">
        <f>Chart_Data!R208</f>
        <v/>
      </c>
      <c r="E944">
        <f>Chart_Data!P208</f>
        <v/>
      </c>
      <c r="F944">
        <f>Chart_Data!S208</f>
        <v/>
      </c>
      <c r="G944">
        <f>Chart_Data!P208</f>
        <v/>
      </c>
      <c r="H944">
        <f>Chart_Data!T208</f>
        <v/>
      </c>
    </row>
    <row r="945">
      <c r="A945">
        <f>Chart_Data!P209</f>
        <v/>
      </c>
      <c r="B945">
        <f>Chart_Data!Q209</f>
        <v/>
      </c>
      <c r="C945">
        <f>Chart_Data!P209</f>
        <v/>
      </c>
      <c r="D945">
        <f>Chart_Data!R209</f>
        <v/>
      </c>
      <c r="E945">
        <f>Chart_Data!P209</f>
        <v/>
      </c>
      <c r="F945">
        <f>Chart_Data!S209</f>
        <v/>
      </c>
      <c r="G945">
        <f>Chart_Data!P209</f>
        <v/>
      </c>
      <c r="H945">
        <f>Chart_Data!T209</f>
        <v/>
      </c>
    </row>
    <row r="946">
      <c r="A946">
        <f>Chart_Data!P210</f>
        <v/>
      </c>
      <c r="B946">
        <f>Chart_Data!Q210</f>
        <v/>
      </c>
      <c r="C946">
        <f>Chart_Data!P210</f>
        <v/>
      </c>
      <c r="D946">
        <f>Chart_Data!R210</f>
        <v/>
      </c>
      <c r="E946">
        <f>Chart_Data!P210</f>
        <v/>
      </c>
      <c r="F946">
        <f>Chart_Data!S210</f>
        <v/>
      </c>
      <c r="G946">
        <f>Chart_Data!P210</f>
        <v/>
      </c>
      <c r="H946">
        <f>Chart_Data!T210</f>
        <v/>
      </c>
    </row>
    <row r="947">
      <c r="A947">
        <f>Chart_Data!P211</f>
        <v/>
      </c>
      <c r="B947">
        <f>Chart_Data!Q211</f>
        <v/>
      </c>
      <c r="C947">
        <f>Chart_Data!P211</f>
        <v/>
      </c>
      <c r="D947">
        <f>Chart_Data!R211</f>
        <v/>
      </c>
      <c r="E947">
        <f>Chart_Data!P211</f>
        <v/>
      </c>
      <c r="F947">
        <f>Chart_Data!S211</f>
        <v/>
      </c>
      <c r="G947">
        <f>Chart_Data!P211</f>
        <v/>
      </c>
      <c r="H947">
        <f>Chart_Data!T211</f>
        <v/>
      </c>
    </row>
    <row r="948">
      <c r="A948">
        <f>Chart_Data!P212</f>
        <v/>
      </c>
      <c r="B948">
        <f>Chart_Data!Q212</f>
        <v/>
      </c>
      <c r="C948">
        <f>Chart_Data!P212</f>
        <v/>
      </c>
      <c r="D948">
        <f>Chart_Data!R212</f>
        <v/>
      </c>
      <c r="E948">
        <f>Chart_Data!P212</f>
        <v/>
      </c>
      <c r="F948">
        <f>Chart_Data!S212</f>
        <v/>
      </c>
      <c r="G948">
        <f>Chart_Data!P212</f>
        <v/>
      </c>
      <c r="H948">
        <f>Chart_Data!T212</f>
        <v/>
      </c>
    </row>
    <row r="949">
      <c r="A949">
        <f>Chart_Data!P213</f>
        <v/>
      </c>
      <c r="B949">
        <f>Chart_Data!Q213</f>
        <v/>
      </c>
      <c r="C949">
        <f>Chart_Data!P213</f>
        <v/>
      </c>
      <c r="D949">
        <f>Chart_Data!R213</f>
        <v/>
      </c>
      <c r="E949">
        <f>Chart_Data!P213</f>
        <v/>
      </c>
      <c r="F949">
        <f>Chart_Data!S213</f>
        <v/>
      </c>
      <c r="G949">
        <f>Chart_Data!P213</f>
        <v/>
      </c>
      <c r="H949">
        <f>Chart_Data!T213</f>
        <v/>
      </c>
    </row>
    <row r="950">
      <c r="A950">
        <f>Chart_Data!P214</f>
        <v/>
      </c>
      <c r="B950">
        <f>Chart_Data!Q214</f>
        <v/>
      </c>
      <c r="C950">
        <f>Chart_Data!P214</f>
        <v/>
      </c>
      <c r="D950">
        <f>Chart_Data!R214</f>
        <v/>
      </c>
      <c r="E950">
        <f>Chart_Data!P214</f>
        <v/>
      </c>
      <c r="F950">
        <f>Chart_Data!S214</f>
        <v/>
      </c>
      <c r="G950">
        <f>Chart_Data!P214</f>
        <v/>
      </c>
      <c r="H950">
        <f>Chart_Data!T214</f>
        <v/>
      </c>
    </row>
    <row r="951">
      <c r="A951">
        <f>Chart_Data!P215</f>
        <v/>
      </c>
      <c r="B951">
        <f>Chart_Data!Q215</f>
        <v/>
      </c>
      <c r="C951">
        <f>Chart_Data!P215</f>
        <v/>
      </c>
      <c r="D951">
        <f>Chart_Data!R215</f>
        <v/>
      </c>
      <c r="E951">
        <f>Chart_Data!P215</f>
        <v/>
      </c>
      <c r="F951">
        <f>Chart_Data!S215</f>
        <v/>
      </c>
      <c r="G951">
        <f>Chart_Data!P215</f>
        <v/>
      </c>
      <c r="H951">
        <f>Chart_Data!T215</f>
        <v/>
      </c>
    </row>
    <row r="952">
      <c r="A952">
        <f>Chart_Data!P216</f>
        <v/>
      </c>
      <c r="B952">
        <f>Chart_Data!Q216</f>
        <v/>
      </c>
      <c r="C952">
        <f>Chart_Data!P216</f>
        <v/>
      </c>
      <c r="D952">
        <f>Chart_Data!R216</f>
        <v/>
      </c>
      <c r="E952">
        <f>Chart_Data!P216</f>
        <v/>
      </c>
      <c r="F952">
        <f>Chart_Data!S216</f>
        <v/>
      </c>
      <c r="G952">
        <f>Chart_Data!P216</f>
        <v/>
      </c>
      <c r="H952">
        <f>Chart_Data!T216</f>
        <v/>
      </c>
    </row>
    <row r="953">
      <c r="A953">
        <f>Chart_Data!P217</f>
        <v/>
      </c>
      <c r="B953">
        <f>Chart_Data!Q217</f>
        <v/>
      </c>
      <c r="C953">
        <f>Chart_Data!P217</f>
        <v/>
      </c>
      <c r="D953">
        <f>Chart_Data!R217</f>
        <v/>
      </c>
      <c r="E953">
        <f>Chart_Data!P217</f>
        <v/>
      </c>
      <c r="F953">
        <f>Chart_Data!S217</f>
        <v/>
      </c>
      <c r="G953">
        <f>Chart_Data!P217</f>
        <v/>
      </c>
      <c r="H953">
        <f>Chart_Data!T217</f>
        <v/>
      </c>
    </row>
    <row r="954">
      <c r="A954">
        <f>Chart_Data!P218</f>
        <v/>
      </c>
      <c r="B954">
        <f>Chart_Data!Q218</f>
        <v/>
      </c>
      <c r="C954">
        <f>Chart_Data!P218</f>
        <v/>
      </c>
      <c r="D954">
        <f>Chart_Data!R218</f>
        <v/>
      </c>
      <c r="E954">
        <f>Chart_Data!P218</f>
        <v/>
      </c>
      <c r="F954">
        <f>Chart_Data!S218</f>
        <v/>
      </c>
      <c r="G954">
        <f>Chart_Data!P218</f>
        <v/>
      </c>
      <c r="H954">
        <f>Chart_Data!T218</f>
        <v/>
      </c>
    </row>
    <row r="955">
      <c r="A955">
        <f>Chart_Data!P219</f>
        <v/>
      </c>
      <c r="B955">
        <f>Chart_Data!Q219</f>
        <v/>
      </c>
      <c r="C955">
        <f>Chart_Data!P219</f>
        <v/>
      </c>
      <c r="D955">
        <f>Chart_Data!R219</f>
        <v/>
      </c>
      <c r="E955">
        <f>Chart_Data!P219</f>
        <v/>
      </c>
      <c r="F955">
        <f>Chart_Data!S219</f>
        <v/>
      </c>
      <c r="G955">
        <f>Chart_Data!P219</f>
        <v/>
      </c>
      <c r="H955">
        <f>Chart_Data!T219</f>
        <v/>
      </c>
    </row>
    <row r="956">
      <c r="A956">
        <f>Chart_Data!P220</f>
        <v/>
      </c>
      <c r="B956">
        <f>Chart_Data!Q220</f>
        <v/>
      </c>
      <c r="C956">
        <f>Chart_Data!P220</f>
        <v/>
      </c>
      <c r="D956">
        <f>Chart_Data!R220</f>
        <v/>
      </c>
      <c r="E956">
        <f>Chart_Data!P220</f>
        <v/>
      </c>
      <c r="F956">
        <f>Chart_Data!S220</f>
        <v/>
      </c>
      <c r="G956">
        <f>Chart_Data!P220</f>
        <v/>
      </c>
      <c r="H956">
        <f>Chart_Data!T220</f>
        <v/>
      </c>
    </row>
    <row r="957">
      <c r="A957">
        <f>Chart_Data!P221</f>
        <v/>
      </c>
      <c r="B957">
        <f>Chart_Data!Q221</f>
        <v/>
      </c>
      <c r="C957">
        <f>Chart_Data!P221</f>
        <v/>
      </c>
      <c r="D957">
        <f>Chart_Data!R221</f>
        <v/>
      </c>
      <c r="E957">
        <f>Chart_Data!P221</f>
        <v/>
      </c>
      <c r="F957">
        <f>Chart_Data!S221</f>
        <v/>
      </c>
      <c r="G957">
        <f>Chart_Data!P221</f>
        <v/>
      </c>
      <c r="H957">
        <f>Chart_Data!T221</f>
        <v/>
      </c>
    </row>
    <row r="958">
      <c r="A958">
        <f>Chart_Data!P222</f>
        <v/>
      </c>
      <c r="B958">
        <f>Chart_Data!Q222</f>
        <v/>
      </c>
      <c r="C958">
        <f>Chart_Data!P222</f>
        <v/>
      </c>
      <c r="D958">
        <f>Chart_Data!R222</f>
        <v/>
      </c>
      <c r="E958">
        <f>Chart_Data!P222</f>
        <v/>
      </c>
      <c r="F958">
        <f>Chart_Data!S222</f>
        <v/>
      </c>
      <c r="G958">
        <f>Chart_Data!P222</f>
        <v/>
      </c>
      <c r="H958">
        <f>Chart_Data!T222</f>
        <v/>
      </c>
    </row>
    <row r="959">
      <c r="A959">
        <f>Chart_Data!P223</f>
        <v/>
      </c>
      <c r="B959">
        <f>Chart_Data!Q223</f>
        <v/>
      </c>
      <c r="C959">
        <f>Chart_Data!P223</f>
        <v/>
      </c>
      <c r="D959">
        <f>Chart_Data!R223</f>
        <v/>
      </c>
      <c r="E959">
        <f>Chart_Data!P223</f>
        <v/>
      </c>
      <c r="F959">
        <f>Chart_Data!S223</f>
        <v/>
      </c>
      <c r="G959">
        <f>Chart_Data!P223</f>
        <v/>
      </c>
      <c r="H959">
        <f>Chart_Data!T223</f>
        <v/>
      </c>
    </row>
    <row r="960">
      <c r="A960">
        <f>Chart_Data!P224</f>
        <v/>
      </c>
      <c r="B960">
        <f>Chart_Data!Q224</f>
        <v/>
      </c>
      <c r="C960">
        <f>Chart_Data!P224</f>
        <v/>
      </c>
      <c r="D960">
        <f>Chart_Data!R224</f>
        <v/>
      </c>
      <c r="E960">
        <f>Chart_Data!P224</f>
        <v/>
      </c>
      <c r="F960">
        <f>Chart_Data!S224</f>
        <v/>
      </c>
      <c r="G960">
        <f>Chart_Data!P224</f>
        <v/>
      </c>
      <c r="H960">
        <f>Chart_Data!T224</f>
        <v/>
      </c>
    </row>
    <row r="961">
      <c r="A961">
        <f>Chart_Data!P225</f>
        <v/>
      </c>
      <c r="B961">
        <f>Chart_Data!Q225</f>
        <v/>
      </c>
      <c r="C961">
        <f>Chart_Data!P225</f>
        <v/>
      </c>
      <c r="D961">
        <f>Chart_Data!R225</f>
        <v/>
      </c>
      <c r="E961">
        <f>Chart_Data!P225</f>
        <v/>
      </c>
      <c r="F961">
        <f>Chart_Data!S225</f>
        <v/>
      </c>
      <c r="G961">
        <f>Chart_Data!P225</f>
        <v/>
      </c>
      <c r="H961">
        <f>Chart_Data!T225</f>
        <v/>
      </c>
    </row>
    <row r="962">
      <c r="A962">
        <f>Chart_Data!P226</f>
        <v/>
      </c>
      <c r="B962">
        <f>Chart_Data!Q226</f>
        <v/>
      </c>
      <c r="C962">
        <f>Chart_Data!P226</f>
        <v/>
      </c>
      <c r="D962">
        <f>Chart_Data!R226</f>
        <v/>
      </c>
      <c r="E962">
        <f>Chart_Data!P226</f>
        <v/>
      </c>
      <c r="F962">
        <f>Chart_Data!S226</f>
        <v/>
      </c>
      <c r="G962">
        <f>Chart_Data!P226</f>
        <v/>
      </c>
      <c r="H962">
        <f>Chart_Data!T226</f>
        <v/>
      </c>
    </row>
    <row r="963">
      <c r="A963">
        <f>Chart_Data!P227</f>
        <v/>
      </c>
      <c r="B963">
        <f>Chart_Data!Q227</f>
        <v/>
      </c>
      <c r="C963">
        <f>Chart_Data!P227</f>
        <v/>
      </c>
      <c r="D963">
        <f>Chart_Data!R227</f>
        <v/>
      </c>
      <c r="E963">
        <f>Chart_Data!P227</f>
        <v/>
      </c>
      <c r="F963">
        <f>Chart_Data!S227</f>
        <v/>
      </c>
      <c r="G963">
        <f>Chart_Data!P227</f>
        <v/>
      </c>
      <c r="H963">
        <f>Chart_Data!T227</f>
        <v/>
      </c>
    </row>
    <row r="964">
      <c r="A964">
        <f>Chart_Data!P228</f>
        <v/>
      </c>
      <c r="B964">
        <f>Chart_Data!Q228</f>
        <v/>
      </c>
      <c r="C964">
        <f>Chart_Data!P228</f>
        <v/>
      </c>
      <c r="D964">
        <f>Chart_Data!R228</f>
        <v/>
      </c>
      <c r="E964">
        <f>Chart_Data!P228</f>
        <v/>
      </c>
      <c r="F964">
        <f>Chart_Data!S228</f>
        <v/>
      </c>
      <c r="G964">
        <f>Chart_Data!P228</f>
        <v/>
      </c>
      <c r="H964">
        <f>Chart_Data!T228</f>
        <v/>
      </c>
    </row>
    <row r="965">
      <c r="A965">
        <f>Chart_Data!P229</f>
        <v/>
      </c>
      <c r="B965">
        <f>Chart_Data!Q229</f>
        <v/>
      </c>
      <c r="C965">
        <f>Chart_Data!P229</f>
        <v/>
      </c>
      <c r="D965">
        <f>Chart_Data!R229</f>
        <v/>
      </c>
      <c r="E965">
        <f>Chart_Data!P229</f>
        <v/>
      </c>
      <c r="F965">
        <f>Chart_Data!S229</f>
        <v/>
      </c>
      <c r="G965">
        <f>Chart_Data!P229</f>
        <v/>
      </c>
      <c r="H965">
        <f>Chart_Data!T229</f>
        <v/>
      </c>
    </row>
    <row r="966">
      <c r="A966">
        <f>Chart_Data!P230</f>
        <v/>
      </c>
      <c r="B966">
        <f>Chart_Data!Q230</f>
        <v/>
      </c>
      <c r="C966">
        <f>Chart_Data!P230</f>
        <v/>
      </c>
      <c r="D966">
        <f>Chart_Data!R230</f>
        <v/>
      </c>
      <c r="E966">
        <f>Chart_Data!P230</f>
        <v/>
      </c>
      <c r="F966">
        <f>Chart_Data!S230</f>
        <v/>
      </c>
      <c r="G966">
        <f>Chart_Data!P230</f>
        <v/>
      </c>
      <c r="H966">
        <f>Chart_Data!T230</f>
        <v/>
      </c>
    </row>
    <row r="967">
      <c r="A967">
        <f>Chart_Data!P231</f>
        <v/>
      </c>
      <c r="B967">
        <f>Chart_Data!Q231</f>
        <v/>
      </c>
      <c r="C967">
        <f>Chart_Data!P231</f>
        <v/>
      </c>
      <c r="D967">
        <f>Chart_Data!R231</f>
        <v/>
      </c>
      <c r="E967">
        <f>Chart_Data!P231</f>
        <v/>
      </c>
      <c r="F967">
        <f>Chart_Data!S231</f>
        <v/>
      </c>
      <c r="G967">
        <f>Chart_Data!P231</f>
        <v/>
      </c>
      <c r="H967">
        <f>Chart_Data!T231</f>
        <v/>
      </c>
    </row>
    <row r="968">
      <c r="A968">
        <f>Chart_Data!P232</f>
        <v/>
      </c>
      <c r="B968">
        <f>Chart_Data!Q232</f>
        <v/>
      </c>
      <c r="C968">
        <f>Chart_Data!P232</f>
        <v/>
      </c>
      <c r="D968">
        <f>Chart_Data!R232</f>
        <v/>
      </c>
      <c r="E968">
        <f>Chart_Data!P232</f>
        <v/>
      </c>
      <c r="F968">
        <f>Chart_Data!S232</f>
        <v/>
      </c>
      <c r="G968">
        <f>Chart_Data!P232</f>
        <v/>
      </c>
      <c r="H968">
        <f>Chart_Data!T232</f>
        <v/>
      </c>
    </row>
    <row r="969">
      <c r="A969">
        <f>Chart_Data!P233</f>
        <v/>
      </c>
      <c r="B969">
        <f>Chart_Data!Q233</f>
        <v/>
      </c>
      <c r="C969">
        <f>Chart_Data!P233</f>
        <v/>
      </c>
      <c r="D969">
        <f>Chart_Data!R233</f>
        <v/>
      </c>
      <c r="E969">
        <f>Chart_Data!P233</f>
        <v/>
      </c>
      <c r="F969">
        <f>Chart_Data!S233</f>
        <v/>
      </c>
      <c r="G969">
        <f>Chart_Data!P233</f>
        <v/>
      </c>
      <c r="H969">
        <f>Chart_Data!T233</f>
        <v/>
      </c>
    </row>
    <row r="970">
      <c r="A970">
        <f>Chart_Data!P234</f>
        <v/>
      </c>
      <c r="B970">
        <f>Chart_Data!Q234</f>
        <v/>
      </c>
      <c r="C970">
        <f>Chart_Data!P234</f>
        <v/>
      </c>
      <c r="D970">
        <f>Chart_Data!R234</f>
        <v/>
      </c>
      <c r="E970">
        <f>Chart_Data!P234</f>
        <v/>
      </c>
      <c r="F970">
        <f>Chart_Data!S234</f>
        <v/>
      </c>
      <c r="G970">
        <f>Chart_Data!P234</f>
        <v/>
      </c>
      <c r="H970">
        <f>Chart_Data!T234</f>
        <v/>
      </c>
    </row>
    <row r="971">
      <c r="A971">
        <f>Chart_Data!P235</f>
        <v/>
      </c>
      <c r="B971">
        <f>Chart_Data!Q235</f>
        <v/>
      </c>
      <c r="C971">
        <f>Chart_Data!P235</f>
        <v/>
      </c>
      <c r="D971">
        <f>Chart_Data!R235</f>
        <v/>
      </c>
      <c r="E971">
        <f>Chart_Data!P235</f>
        <v/>
      </c>
      <c r="F971">
        <f>Chart_Data!S235</f>
        <v/>
      </c>
      <c r="G971">
        <f>Chart_Data!P235</f>
        <v/>
      </c>
      <c r="H971">
        <f>Chart_Data!T235</f>
        <v/>
      </c>
    </row>
    <row r="972">
      <c r="A972">
        <f>Chart_Data!P236</f>
        <v/>
      </c>
      <c r="B972">
        <f>Chart_Data!Q236</f>
        <v/>
      </c>
      <c r="C972">
        <f>Chart_Data!P236</f>
        <v/>
      </c>
      <c r="D972">
        <f>Chart_Data!R236</f>
        <v/>
      </c>
      <c r="E972">
        <f>Chart_Data!P236</f>
        <v/>
      </c>
      <c r="F972">
        <f>Chart_Data!S236</f>
        <v/>
      </c>
      <c r="G972">
        <f>Chart_Data!P236</f>
        <v/>
      </c>
      <c r="H972">
        <f>Chart_Data!T236</f>
        <v/>
      </c>
    </row>
    <row r="973">
      <c r="A973">
        <f>Chart_Data!P237</f>
        <v/>
      </c>
      <c r="B973">
        <f>Chart_Data!Q237</f>
        <v/>
      </c>
      <c r="C973">
        <f>Chart_Data!P237</f>
        <v/>
      </c>
      <c r="D973">
        <f>Chart_Data!R237</f>
        <v/>
      </c>
      <c r="E973">
        <f>Chart_Data!P237</f>
        <v/>
      </c>
      <c r="F973">
        <f>Chart_Data!S237</f>
        <v/>
      </c>
      <c r="G973">
        <f>Chart_Data!P237</f>
        <v/>
      </c>
      <c r="H973">
        <f>Chart_Data!T237</f>
        <v/>
      </c>
    </row>
    <row r="974">
      <c r="A974">
        <f>Chart_Data!P238</f>
        <v/>
      </c>
      <c r="B974">
        <f>Chart_Data!Q238</f>
        <v/>
      </c>
      <c r="C974">
        <f>Chart_Data!P238</f>
        <v/>
      </c>
      <c r="D974">
        <f>Chart_Data!R238</f>
        <v/>
      </c>
      <c r="E974">
        <f>Chart_Data!P238</f>
        <v/>
      </c>
      <c r="F974">
        <f>Chart_Data!S238</f>
        <v/>
      </c>
      <c r="G974">
        <f>Chart_Data!P238</f>
        <v/>
      </c>
      <c r="H974">
        <f>Chart_Data!T238</f>
        <v/>
      </c>
    </row>
    <row r="975">
      <c r="A975">
        <f>Chart_Data!P239</f>
        <v/>
      </c>
      <c r="B975">
        <f>Chart_Data!Q239</f>
        <v/>
      </c>
      <c r="C975">
        <f>Chart_Data!P239</f>
        <v/>
      </c>
      <c r="D975">
        <f>Chart_Data!R239</f>
        <v/>
      </c>
      <c r="E975">
        <f>Chart_Data!P239</f>
        <v/>
      </c>
      <c r="F975">
        <f>Chart_Data!S239</f>
        <v/>
      </c>
      <c r="G975">
        <f>Chart_Data!P239</f>
        <v/>
      </c>
      <c r="H975">
        <f>Chart_Data!T239</f>
        <v/>
      </c>
    </row>
    <row r="976">
      <c r="A976">
        <f>Chart_Data!P240</f>
        <v/>
      </c>
      <c r="B976">
        <f>Chart_Data!Q240</f>
        <v/>
      </c>
      <c r="C976">
        <f>Chart_Data!P240</f>
        <v/>
      </c>
      <c r="D976">
        <f>Chart_Data!R240</f>
        <v/>
      </c>
      <c r="E976">
        <f>Chart_Data!P240</f>
        <v/>
      </c>
      <c r="F976">
        <f>Chart_Data!S240</f>
        <v/>
      </c>
      <c r="G976">
        <f>Chart_Data!P240</f>
        <v/>
      </c>
      <c r="H976">
        <f>Chart_Data!T240</f>
        <v/>
      </c>
    </row>
    <row r="977">
      <c r="A977">
        <f>Chart_Data!P241</f>
        <v/>
      </c>
      <c r="B977">
        <f>Chart_Data!Q241</f>
        <v/>
      </c>
      <c r="C977">
        <f>Chart_Data!P241</f>
        <v/>
      </c>
      <c r="D977">
        <f>Chart_Data!R241</f>
        <v/>
      </c>
      <c r="E977">
        <f>Chart_Data!P241</f>
        <v/>
      </c>
      <c r="F977">
        <f>Chart_Data!S241</f>
        <v/>
      </c>
      <c r="G977">
        <f>Chart_Data!P241</f>
        <v/>
      </c>
      <c r="H977">
        <f>Chart_Data!T241</f>
        <v/>
      </c>
    </row>
    <row r="978">
      <c r="A978">
        <f>Chart_Data!P242</f>
        <v/>
      </c>
      <c r="B978">
        <f>Chart_Data!Q242</f>
        <v/>
      </c>
      <c r="C978">
        <f>Chart_Data!P242</f>
        <v/>
      </c>
      <c r="D978">
        <f>Chart_Data!R242</f>
        <v/>
      </c>
      <c r="E978">
        <f>Chart_Data!P242</f>
        <v/>
      </c>
      <c r="F978">
        <f>Chart_Data!S242</f>
        <v/>
      </c>
      <c r="G978">
        <f>Chart_Data!P242</f>
        <v/>
      </c>
      <c r="H978">
        <f>Chart_Data!T242</f>
        <v/>
      </c>
    </row>
    <row r="981">
      <c r="A981" t="inlineStr">
        <is>
          <t>Nadir Radar Delay by Flyby: Without Topography</t>
        </is>
      </c>
    </row>
    <row r="982">
      <c r="A982" t="inlineStr">
        <is>
          <t>Custom 400 km / 120 km pass x</t>
        </is>
      </c>
      <c r="B982" t="inlineStr">
        <is>
          <t>Custom 400 km / 120 km pass</t>
        </is>
      </c>
      <c r="C982" t="inlineStr">
        <is>
          <t>Paper low-altitude 35 km / 800 km pass x</t>
        </is>
      </c>
      <c r="D982" t="inlineStr">
        <is>
          <t>Paper low-altitude 35 km / 800 km pass</t>
        </is>
      </c>
      <c r="E982" t="inlineStr">
        <is>
          <t>Paper ice-ocean 35 km / 1600 km pass x</t>
        </is>
      </c>
      <c r="F982" t="inlineStr">
        <is>
          <t>Paper ice-ocean 35 km / 1600 km pass</t>
        </is>
      </c>
      <c r="G982" t="inlineStr">
        <is>
          <t>Operating 25 km / 1600 km pass x</t>
        </is>
      </c>
      <c r="H982" t="inlineStr">
        <is>
          <t>Operating 25 km / 1600 km pass</t>
        </is>
      </c>
    </row>
    <row r="983">
      <c r="A983">
        <f>Dashboard_Live_Data!O2</f>
        <v/>
      </c>
      <c r="B983">
        <f>Dashboard_Live_Data!P2</f>
        <v/>
      </c>
      <c r="C983">
        <f>Dashboard_Live_Data!Q2</f>
        <v/>
      </c>
      <c r="D983">
        <f>Dashboard_Live_Data!R2</f>
        <v/>
      </c>
      <c r="E983">
        <f>Dashboard_Live_Data!S2</f>
        <v/>
      </c>
      <c r="F983">
        <f>Dashboard_Live_Data!T2</f>
        <v/>
      </c>
      <c r="G983">
        <f>Dashboard_Live_Data!U2</f>
        <v/>
      </c>
      <c r="H983">
        <f>Dashboard_Live_Data!V2</f>
        <v/>
      </c>
    </row>
    <row r="984">
      <c r="A984">
        <f>Dashboard_Live_Data!O3</f>
        <v/>
      </c>
      <c r="B984">
        <f>Dashboard_Live_Data!P3</f>
        <v/>
      </c>
      <c r="C984">
        <f>Dashboard_Live_Data!Q3</f>
        <v/>
      </c>
      <c r="D984">
        <f>Dashboard_Live_Data!R3</f>
        <v/>
      </c>
      <c r="E984">
        <f>Dashboard_Live_Data!S3</f>
        <v/>
      </c>
      <c r="F984">
        <f>Dashboard_Live_Data!T3</f>
        <v/>
      </c>
      <c r="G984">
        <f>Dashboard_Live_Data!U3</f>
        <v/>
      </c>
      <c r="H984">
        <f>Dashboard_Live_Data!V3</f>
        <v/>
      </c>
    </row>
    <row r="985">
      <c r="A985">
        <f>Dashboard_Live_Data!O4</f>
        <v/>
      </c>
      <c r="B985">
        <f>Dashboard_Live_Data!P4</f>
        <v/>
      </c>
      <c r="C985">
        <f>Dashboard_Live_Data!Q4</f>
        <v/>
      </c>
      <c r="D985">
        <f>Dashboard_Live_Data!R4</f>
        <v/>
      </c>
      <c r="E985">
        <f>Dashboard_Live_Data!S4</f>
        <v/>
      </c>
      <c r="F985">
        <f>Dashboard_Live_Data!T4</f>
        <v/>
      </c>
      <c r="G985">
        <f>Dashboard_Live_Data!U4</f>
        <v/>
      </c>
      <c r="H985">
        <f>Dashboard_Live_Data!V4</f>
        <v/>
      </c>
    </row>
    <row r="986">
      <c r="A986">
        <f>Dashboard_Live_Data!O5</f>
        <v/>
      </c>
      <c r="B986">
        <f>Dashboard_Live_Data!P5</f>
        <v/>
      </c>
      <c r="C986">
        <f>Dashboard_Live_Data!Q5</f>
        <v/>
      </c>
      <c r="D986">
        <f>Dashboard_Live_Data!R5</f>
        <v/>
      </c>
      <c r="E986">
        <f>Dashboard_Live_Data!S5</f>
        <v/>
      </c>
      <c r="F986">
        <f>Dashboard_Live_Data!T5</f>
        <v/>
      </c>
      <c r="G986">
        <f>Dashboard_Live_Data!U5</f>
        <v/>
      </c>
      <c r="H986">
        <f>Dashboard_Live_Data!V5</f>
        <v/>
      </c>
    </row>
    <row r="987">
      <c r="A987">
        <f>Dashboard_Live_Data!O6</f>
        <v/>
      </c>
      <c r="B987">
        <f>Dashboard_Live_Data!P6</f>
        <v/>
      </c>
      <c r="C987">
        <f>Dashboard_Live_Data!Q6</f>
        <v/>
      </c>
      <c r="D987">
        <f>Dashboard_Live_Data!R6</f>
        <v/>
      </c>
      <c r="E987">
        <f>Dashboard_Live_Data!S6</f>
        <v/>
      </c>
      <c r="F987">
        <f>Dashboard_Live_Data!T6</f>
        <v/>
      </c>
      <c r="G987">
        <f>Dashboard_Live_Data!U6</f>
        <v/>
      </c>
      <c r="H987">
        <f>Dashboard_Live_Data!V6</f>
        <v/>
      </c>
    </row>
    <row r="988">
      <c r="A988">
        <f>Dashboard_Live_Data!O7</f>
        <v/>
      </c>
      <c r="B988">
        <f>Dashboard_Live_Data!P7</f>
        <v/>
      </c>
      <c r="C988">
        <f>Dashboard_Live_Data!Q7</f>
        <v/>
      </c>
      <c r="D988">
        <f>Dashboard_Live_Data!R7</f>
        <v/>
      </c>
      <c r="E988">
        <f>Dashboard_Live_Data!S7</f>
        <v/>
      </c>
      <c r="F988">
        <f>Dashboard_Live_Data!T7</f>
        <v/>
      </c>
      <c r="G988">
        <f>Dashboard_Live_Data!U7</f>
        <v/>
      </c>
      <c r="H988">
        <f>Dashboard_Live_Data!V7</f>
        <v/>
      </c>
    </row>
    <row r="989">
      <c r="A989">
        <f>Dashboard_Live_Data!O8</f>
        <v/>
      </c>
      <c r="B989">
        <f>Dashboard_Live_Data!P8</f>
        <v/>
      </c>
      <c r="C989">
        <f>Dashboard_Live_Data!Q8</f>
        <v/>
      </c>
      <c r="D989">
        <f>Dashboard_Live_Data!R8</f>
        <v/>
      </c>
      <c r="E989">
        <f>Dashboard_Live_Data!S8</f>
        <v/>
      </c>
      <c r="F989">
        <f>Dashboard_Live_Data!T8</f>
        <v/>
      </c>
      <c r="G989">
        <f>Dashboard_Live_Data!U8</f>
        <v/>
      </c>
      <c r="H989">
        <f>Dashboard_Live_Data!V8</f>
        <v/>
      </c>
    </row>
    <row r="990">
      <c r="A990">
        <f>Dashboard_Live_Data!O9</f>
        <v/>
      </c>
      <c r="B990">
        <f>Dashboard_Live_Data!P9</f>
        <v/>
      </c>
      <c r="C990">
        <f>Dashboard_Live_Data!Q9</f>
        <v/>
      </c>
      <c r="D990">
        <f>Dashboard_Live_Data!R9</f>
        <v/>
      </c>
      <c r="E990">
        <f>Dashboard_Live_Data!S9</f>
        <v/>
      </c>
      <c r="F990">
        <f>Dashboard_Live_Data!T9</f>
        <v/>
      </c>
      <c r="G990">
        <f>Dashboard_Live_Data!U9</f>
        <v/>
      </c>
      <c r="H990">
        <f>Dashboard_Live_Data!V9</f>
        <v/>
      </c>
    </row>
    <row r="991">
      <c r="A991">
        <f>Dashboard_Live_Data!O10</f>
        <v/>
      </c>
      <c r="B991">
        <f>Dashboard_Live_Data!P10</f>
        <v/>
      </c>
      <c r="C991">
        <f>Dashboard_Live_Data!Q10</f>
        <v/>
      </c>
      <c r="D991">
        <f>Dashboard_Live_Data!R10</f>
        <v/>
      </c>
      <c r="E991">
        <f>Dashboard_Live_Data!S10</f>
        <v/>
      </c>
      <c r="F991">
        <f>Dashboard_Live_Data!T10</f>
        <v/>
      </c>
      <c r="G991">
        <f>Dashboard_Live_Data!U10</f>
        <v/>
      </c>
      <c r="H991">
        <f>Dashboard_Live_Data!V10</f>
        <v/>
      </c>
    </row>
    <row r="992">
      <c r="A992">
        <f>Dashboard_Live_Data!O11</f>
        <v/>
      </c>
      <c r="B992">
        <f>Dashboard_Live_Data!P11</f>
        <v/>
      </c>
      <c r="C992">
        <f>Dashboard_Live_Data!Q11</f>
        <v/>
      </c>
      <c r="D992">
        <f>Dashboard_Live_Data!R11</f>
        <v/>
      </c>
      <c r="E992">
        <f>Dashboard_Live_Data!S11</f>
        <v/>
      </c>
      <c r="F992">
        <f>Dashboard_Live_Data!T11</f>
        <v/>
      </c>
      <c r="G992">
        <f>Dashboard_Live_Data!U11</f>
        <v/>
      </c>
      <c r="H992">
        <f>Dashboard_Live_Data!V11</f>
        <v/>
      </c>
    </row>
    <row r="993">
      <c r="A993">
        <f>Dashboard_Live_Data!O12</f>
        <v/>
      </c>
      <c r="B993">
        <f>Dashboard_Live_Data!P12</f>
        <v/>
      </c>
      <c r="C993">
        <f>Dashboard_Live_Data!Q12</f>
        <v/>
      </c>
      <c r="D993">
        <f>Dashboard_Live_Data!R12</f>
        <v/>
      </c>
      <c r="E993">
        <f>Dashboard_Live_Data!S12</f>
        <v/>
      </c>
      <c r="F993">
        <f>Dashboard_Live_Data!T12</f>
        <v/>
      </c>
      <c r="G993">
        <f>Dashboard_Live_Data!U12</f>
        <v/>
      </c>
      <c r="H993">
        <f>Dashboard_Live_Data!V12</f>
        <v/>
      </c>
    </row>
    <row r="994">
      <c r="A994">
        <f>Dashboard_Live_Data!O13</f>
        <v/>
      </c>
      <c r="B994">
        <f>Dashboard_Live_Data!P13</f>
        <v/>
      </c>
      <c r="C994">
        <f>Dashboard_Live_Data!Q13</f>
        <v/>
      </c>
      <c r="D994">
        <f>Dashboard_Live_Data!R13</f>
        <v/>
      </c>
      <c r="E994">
        <f>Dashboard_Live_Data!S13</f>
        <v/>
      </c>
      <c r="F994">
        <f>Dashboard_Live_Data!T13</f>
        <v/>
      </c>
      <c r="G994">
        <f>Dashboard_Live_Data!U13</f>
        <v/>
      </c>
      <c r="H994">
        <f>Dashboard_Live_Data!V13</f>
        <v/>
      </c>
    </row>
    <row r="995">
      <c r="A995">
        <f>Dashboard_Live_Data!O14</f>
        <v/>
      </c>
      <c r="B995">
        <f>Dashboard_Live_Data!P14</f>
        <v/>
      </c>
      <c r="C995">
        <f>Dashboard_Live_Data!Q14</f>
        <v/>
      </c>
      <c r="D995">
        <f>Dashboard_Live_Data!R14</f>
        <v/>
      </c>
      <c r="E995">
        <f>Dashboard_Live_Data!S14</f>
        <v/>
      </c>
      <c r="F995">
        <f>Dashboard_Live_Data!T14</f>
        <v/>
      </c>
      <c r="G995">
        <f>Dashboard_Live_Data!U14</f>
        <v/>
      </c>
      <c r="H995">
        <f>Dashboard_Live_Data!V14</f>
        <v/>
      </c>
    </row>
    <row r="996">
      <c r="A996">
        <f>Dashboard_Live_Data!O15</f>
        <v/>
      </c>
      <c r="B996">
        <f>Dashboard_Live_Data!P15</f>
        <v/>
      </c>
      <c r="C996">
        <f>Dashboard_Live_Data!Q15</f>
        <v/>
      </c>
      <c r="D996">
        <f>Dashboard_Live_Data!R15</f>
        <v/>
      </c>
      <c r="E996">
        <f>Dashboard_Live_Data!S15</f>
        <v/>
      </c>
      <c r="F996">
        <f>Dashboard_Live_Data!T15</f>
        <v/>
      </c>
      <c r="G996">
        <f>Dashboard_Live_Data!U15</f>
        <v/>
      </c>
      <c r="H996">
        <f>Dashboard_Live_Data!V15</f>
        <v/>
      </c>
    </row>
    <row r="997">
      <c r="A997">
        <f>Dashboard_Live_Data!O16</f>
        <v/>
      </c>
      <c r="B997">
        <f>Dashboard_Live_Data!P16</f>
        <v/>
      </c>
      <c r="C997">
        <f>Dashboard_Live_Data!Q16</f>
        <v/>
      </c>
      <c r="D997">
        <f>Dashboard_Live_Data!R16</f>
        <v/>
      </c>
      <c r="E997">
        <f>Dashboard_Live_Data!S16</f>
        <v/>
      </c>
      <c r="F997">
        <f>Dashboard_Live_Data!T16</f>
        <v/>
      </c>
      <c r="G997">
        <f>Dashboard_Live_Data!U16</f>
        <v/>
      </c>
      <c r="H997">
        <f>Dashboard_Live_Data!V16</f>
        <v/>
      </c>
    </row>
    <row r="998">
      <c r="A998">
        <f>Dashboard_Live_Data!O17</f>
        <v/>
      </c>
      <c r="B998">
        <f>Dashboard_Live_Data!P17</f>
        <v/>
      </c>
      <c r="C998">
        <f>Dashboard_Live_Data!Q17</f>
        <v/>
      </c>
      <c r="D998">
        <f>Dashboard_Live_Data!R17</f>
        <v/>
      </c>
      <c r="E998">
        <f>Dashboard_Live_Data!S17</f>
        <v/>
      </c>
      <c r="F998">
        <f>Dashboard_Live_Data!T17</f>
        <v/>
      </c>
      <c r="G998">
        <f>Dashboard_Live_Data!U17</f>
        <v/>
      </c>
      <c r="H998">
        <f>Dashboard_Live_Data!V17</f>
        <v/>
      </c>
    </row>
    <row r="999">
      <c r="A999">
        <f>Dashboard_Live_Data!O18</f>
        <v/>
      </c>
      <c r="B999">
        <f>Dashboard_Live_Data!P18</f>
        <v/>
      </c>
      <c r="C999">
        <f>Dashboard_Live_Data!Q18</f>
        <v/>
      </c>
      <c r="D999">
        <f>Dashboard_Live_Data!R18</f>
        <v/>
      </c>
      <c r="E999">
        <f>Dashboard_Live_Data!S18</f>
        <v/>
      </c>
      <c r="F999">
        <f>Dashboard_Live_Data!T18</f>
        <v/>
      </c>
      <c r="G999">
        <f>Dashboard_Live_Data!U18</f>
        <v/>
      </c>
      <c r="H999">
        <f>Dashboard_Live_Data!V18</f>
        <v/>
      </c>
    </row>
    <row r="1000">
      <c r="A1000">
        <f>Dashboard_Live_Data!O19</f>
        <v/>
      </c>
      <c r="B1000">
        <f>Dashboard_Live_Data!P19</f>
        <v/>
      </c>
      <c r="C1000">
        <f>Dashboard_Live_Data!Q19</f>
        <v/>
      </c>
      <c r="D1000">
        <f>Dashboard_Live_Data!R19</f>
        <v/>
      </c>
      <c r="E1000">
        <f>Dashboard_Live_Data!S19</f>
        <v/>
      </c>
      <c r="F1000">
        <f>Dashboard_Live_Data!T19</f>
        <v/>
      </c>
      <c r="G1000">
        <f>Dashboard_Live_Data!U19</f>
        <v/>
      </c>
      <c r="H1000">
        <f>Dashboard_Live_Data!V19</f>
        <v/>
      </c>
    </row>
    <row r="1001">
      <c r="A1001">
        <f>Dashboard_Live_Data!O20</f>
        <v/>
      </c>
      <c r="B1001">
        <f>Dashboard_Live_Data!P20</f>
        <v/>
      </c>
      <c r="C1001">
        <f>Dashboard_Live_Data!Q20</f>
        <v/>
      </c>
      <c r="D1001">
        <f>Dashboard_Live_Data!R20</f>
        <v/>
      </c>
      <c r="E1001">
        <f>Dashboard_Live_Data!S20</f>
        <v/>
      </c>
      <c r="F1001">
        <f>Dashboard_Live_Data!T20</f>
        <v/>
      </c>
      <c r="G1001">
        <f>Dashboard_Live_Data!U20</f>
        <v/>
      </c>
      <c r="H1001">
        <f>Dashboard_Live_Data!V20</f>
        <v/>
      </c>
    </row>
    <row r="1002">
      <c r="A1002">
        <f>Dashboard_Live_Data!O21</f>
        <v/>
      </c>
      <c r="B1002">
        <f>Dashboard_Live_Data!P21</f>
        <v/>
      </c>
      <c r="C1002">
        <f>Dashboard_Live_Data!Q21</f>
        <v/>
      </c>
      <c r="D1002">
        <f>Dashboard_Live_Data!R21</f>
        <v/>
      </c>
      <c r="E1002">
        <f>Dashboard_Live_Data!S21</f>
        <v/>
      </c>
      <c r="F1002">
        <f>Dashboard_Live_Data!T21</f>
        <v/>
      </c>
      <c r="G1002">
        <f>Dashboard_Live_Data!U21</f>
        <v/>
      </c>
      <c r="H1002">
        <f>Dashboard_Live_Data!V21</f>
        <v/>
      </c>
    </row>
    <row r="1003">
      <c r="A1003">
        <f>Dashboard_Live_Data!O22</f>
        <v/>
      </c>
      <c r="B1003">
        <f>Dashboard_Live_Data!P22</f>
        <v/>
      </c>
      <c r="C1003">
        <f>Dashboard_Live_Data!Q22</f>
        <v/>
      </c>
      <c r="D1003">
        <f>Dashboard_Live_Data!R22</f>
        <v/>
      </c>
      <c r="E1003">
        <f>Dashboard_Live_Data!S22</f>
        <v/>
      </c>
      <c r="F1003">
        <f>Dashboard_Live_Data!T22</f>
        <v/>
      </c>
      <c r="G1003">
        <f>Dashboard_Live_Data!U22</f>
        <v/>
      </c>
      <c r="H1003">
        <f>Dashboard_Live_Data!V22</f>
        <v/>
      </c>
    </row>
    <row r="1004">
      <c r="A1004">
        <f>Dashboard_Live_Data!O23</f>
        <v/>
      </c>
      <c r="B1004">
        <f>Dashboard_Live_Data!P23</f>
        <v/>
      </c>
      <c r="C1004">
        <f>Dashboard_Live_Data!Q23</f>
        <v/>
      </c>
      <c r="D1004">
        <f>Dashboard_Live_Data!R23</f>
        <v/>
      </c>
      <c r="E1004">
        <f>Dashboard_Live_Data!S23</f>
        <v/>
      </c>
      <c r="F1004">
        <f>Dashboard_Live_Data!T23</f>
        <v/>
      </c>
      <c r="G1004">
        <f>Dashboard_Live_Data!U23</f>
        <v/>
      </c>
      <c r="H1004">
        <f>Dashboard_Live_Data!V23</f>
        <v/>
      </c>
    </row>
    <row r="1005">
      <c r="A1005">
        <f>Dashboard_Live_Data!O24</f>
        <v/>
      </c>
      <c r="B1005">
        <f>Dashboard_Live_Data!P24</f>
        <v/>
      </c>
      <c r="C1005">
        <f>Dashboard_Live_Data!Q24</f>
        <v/>
      </c>
      <c r="D1005">
        <f>Dashboard_Live_Data!R24</f>
        <v/>
      </c>
      <c r="E1005">
        <f>Dashboard_Live_Data!S24</f>
        <v/>
      </c>
      <c r="F1005">
        <f>Dashboard_Live_Data!T24</f>
        <v/>
      </c>
      <c r="G1005">
        <f>Dashboard_Live_Data!U24</f>
        <v/>
      </c>
      <c r="H1005">
        <f>Dashboard_Live_Data!V24</f>
        <v/>
      </c>
    </row>
    <row r="1006">
      <c r="A1006">
        <f>Dashboard_Live_Data!O25</f>
        <v/>
      </c>
      <c r="B1006">
        <f>Dashboard_Live_Data!P25</f>
        <v/>
      </c>
      <c r="C1006">
        <f>Dashboard_Live_Data!Q25</f>
        <v/>
      </c>
      <c r="D1006">
        <f>Dashboard_Live_Data!R25</f>
        <v/>
      </c>
      <c r="E1006">
        <f>Dashboard_Live_Data!S25</f>
        <v/>
      </c>
      <c r="F1006">
        <f>Dashboard_Live_Data!T25</f>
        <v/>
      </c>
      <c r="G1006">
        <f>Dashboard_Live_Data!U25</f>
        <v/>
      </c>
      <c r="H1006">
        <f>Dashboard_Live_Data!V25</f>
        <v/>
      </c>
    </row>
    <row r="1007">
      <c r="A1007">
        <f>Dashboard_Live_Data!O26</f>
        <v/>
      </c>
      <c r="B1007">
        <f>Dashboard_Live_Data!P26</f>
        <v/>
      </c>
      <c r="C1007">
        <f>Dashboard_Live_Data!Q26</f>
        <v/>
      </c>
      <c r="D1007">
        <f>Dashboard_Live_Data!R26</f>
        <v/>
      </c>
      <c r="E1007">
        <f>Dashboard_Live_Data!S26</f>
        <v/>
      </c>
      <c r="F1007">
        <f>Dashboard_Live_Data!T26</f>
        <v/>
      </c>
      <c r="G1007">
        <f>Dashboard_Live_Data!U26</f>
        <v/>
      </c>
      <c r="H1007">
        <f>Dashboard_Live_Data!V26</f>
        <v/>
      </c>
    </row>
    <row r="1008">
      <c r="A1008">
        <f>Dashboard_Live_Data!O27</f>
        <v/>
      </c>
      <c r="B1008">
        <f>Dashboard_Live_Data!P27</f>
        <v/>
      </c>
      <c r="C1008">
        <f>Dashboard_Live_Data!Q27</f>
        <v/>
      </c>
      <c r="D1008">
        <f>Dashboard_Live_Data!R27</f>
        <v/>
      </c>
      <c r="E1008">
        <f>Dashboard_Live_Data!S27</f>
        <v/>
      </c>
      <c r="F1008">
        <f>Dashboard_Live_Data!T27</f>
        <v/>
      </c>
      <c r="G1008">
        <f>Dashboard_Live_Data!U27</f>
        <v/>
      </c>
      <c r="H1008">
        <f>Dashboard_Live_Data!V27</f>
        <v/>
      </c>
    </row>
    <row r="1009">
      <c r="A1009">
        <f>Dashboard_Live_Data!O28</f>
        <v/>
      </c>
      <c r="B1009">
        <f>Dashboard_Live_Data!P28</f>
        <v/>
      </c>
      <c r="C1009">
        <f>Dashboard_Live_Data!Q28</f>
        <v/>
      </c>
      <c r="D1009">
        <f>Dashboard_Live_Data!R28</f>
        <v/>
      </c>
      <c r="E1009">
        <f>Dashboard_Live_Data!S28</f>
        <v/>
      </c>
      <c r="F1009">
        <f>Dashboard_Live_Data!T28</f>
        <v/>
      </c>
      <c r="G1009">
        <f>Dashboard_Live_Data!U28</f>
        <v/>
      </c>
      <c r="H1009">
        <f>Dashboard_Live_Data!V28</f>
        <v/>
      </c>
    </row>
    <row r="1010">
      <c r="A1010">
        <f>Dashboard_Live_Data!O29</f>
        <v/>
      </c>
      <c r="B1010">
        <f>Dashboard_Live_Data!P29</f>
        <v/>
      </c>
      <c r="C1010">
        <f>Dashboard_Live_Data!Q29</f>
        <v/>
      </c>
      <c r="D1010">
        <f>Dashboard_Live_Data!R29</f>
        <v/>
      </c>
      <c r="E1010">
        <f>Dashboard_Live_Data!S29</f>
        <v/>
      </c>
      <c r="F1010">
        <f>Dashboard_Live_Data!T29</f>
        <v/>
      </c>
      <c r="G1010">
        <f>Dashboard_Live_Data!U29</f>
        <v/>
      </c>
      <c r="H1010">
        <f>Dashboard_Live_Data!V29</f>
        <v/>
      </c>
    </row>
    <row r="1011">
      <c r="A1011">
        <f>Dashboard_Live_Data!O30</f>
        <v/>
      </c>
      <c r="B1011">
        <f>Dashboard_Live_Data!P30</f>
        <v/>
      </c>
      <c r="C1011">
        <f>Dashboard_Live_Data!Q30</f>
        <v/>
      </c>
      <c r="D1011">
        <f>Dashboard_Live_Data!R30</f>
        <v/>
      </c>
      <c r="E1011">
        <f>Dashboard_Live_Data!S30</f>
        <v/>
      </c>
      <c r="F1011">
        <f>Dashboard_Live_Data!T30</f>
        <v/>
      </c>
      <c r="G1011">
        <f>Dashboard_Live_Data!U30</f>
        <v/>
      </c>
      <c r="H1011">
        <f>Dashboard_Live_Data!V30</f>
        <v/>
      </c>
    </row>
    <row r="1012">
      <c r="A1012">
        <f>Dashboard_Live_Data!O31</f>
        <v/>
      </c>
      <c r="B1012">
        <f>Dashboard_Live_Data!P31</f>
        <v/>
      </c>
      <c r="C1012">
        <f>Dashboard_Live_Data!Q31</f>
        <v/>
      </c>
      <c r="D1012">
        <f>Dashboard_Live_Data!R31</f>
        <v/>
      </c>
      <c r="E1012">
        <f>Dashboard_Live_Data!S31</f>
        <v/>
      </c>
      <c r="F1012">
        <f>Dashboard_Live_Data!T31</f>
        <v/>
      </c>
      <c r="G1012">
        <f>Dashboard_Live_Data!U31</f>
        <v/>
      </c>
      <c r="H1012">
        <f>Dashboard_Live_Data!V31</f>
        <v/>
      </c>
    </row>
    <row r="1013">
      <c r="A1013">
        <f>Dashboard_Live_Data!O32</f>
        <v/>
      </c>
      <c r="B1013">
        <f>Dashboard_Live_Data!P32</f>
        <v/>
      </c>
      <c r="C1013">
        <f>Dashboard_Live_Data!Q32</f>
        <v/>
      </c>
      <c r="D1013">
        <f>Dashboard_Live_Data!R32</f>
        <v/>
      </c>
      <c r="E1013">
        <f>Dashboard_Live_Data!S32</f>
        <v/>
      </c>
      <c r="F1013">
        <f>Dashboard_Live_Data!T32</f>
        <v/>
      </c>
      <c r="G1013">
        <f>Dashboard_Live_Data!U32</f>
        <v/>
      </c>
      <c r="H1013">
        <f>Dashboard_Live_Data!V32</f>
        <v/>
      </c>
    </row>
    <row r="1014">
      <c r="A1014">
        <f>Dashboard_Live_Data!O33</f>
        <v/>
      </c>
      <c r="B1014">
        <f>Dashboard_Live_Data!P33</f>
        <v/>
      </c>
      <c r="C1014">
        <f>Dashboard_Live_Data!Q33</f>
        <v/>
      </c>
      <c r="D1014">
        <f>Dashboard_Live_Data!R33</f>
        <v/>
      </c>
      <c r="E1014">
        <f>Dashboard_Live_Data!S33</f>
        <v/>
      </c>
      <c r="F1014">
        <f>Dashboard_Live_Data!T33</f>
        <v/>
      </c>
      <c r="G1014">
        <f>Dashboard_Live_Data!U33</f>
        <v/>
      </c>
      <c r="H1014">
        <f>Dashboard_Live_Data!V33</f>
        <v/>
      </c>
    </row>
    <row r="1015">
      <c r="A1015">
        <f>Dashboard_Live_Data!O34</f>
        <v/>
      </c>
      <c r="B1015">
        <f>Dashboard_Live_Data!P34</f>
        <v/>
      </c>
      <c r="C1015">
        <f>Dashboard_Live_Data!Q34</f>
        <v/>
      </c>
      <c r="D1015">
        <f>Dashboard_Live_Data!R34</f>
        <v/>
      </c>
      <c r="E1015">
        <f>Dashboard_Live_Data!S34</f>
        <v/>
      </c>
      <c r="F1015">
        <f>Dashboard_Live_Data!T34</f>
        <v/>
      </c>
      <c r="G1015">
        <f>Dashboard_Live_Data!U34</f>
        <v/>
      </c>
      <c r="H1015">
        <f>Dashboard_Live_Data!V34</f>
        <v/>
      </c>
    </row>
    <row r="1016">
      <c r="A1016">
        <f>Dashboard_Live_Data!O35</f>
        <v/>
      </c>
      <c r="B1016">
        <f>Dashboard_Live_Data!P35</f>
        <v/>
      </c>
      <c r="C1016">
        <f>Dashboard_Live_Data!Q35</f>
        <v/>
      </c>
      <c r="D1016">
        <f>Dashboard_Live_Data!R35</f>
        <v/>
      </c>
      <c r="E1016">
        <f>Dashboard_Live_Data!S35</f>
        <v/>
      </c>
      <c r="F1016">
        <f>Dashboard_Live_Data!T35</f>
        <v/>
      </c>
      <c r="G1016">
        <f>Dashboard_Live_Data!U35</f>
        <v/>
      </c>
      <c r="H1016">
        <f>Dashboard_Live_Data!V35</f>
        <v/>
      </c>
    </row>
    <row r="1017">
      <c r="A1017">
        <f>Dashboard_Live_Data!O36</f>
        <v/>
      </c>
      <c r="B1017">
        <f>Dashboard_Live_Data!P36</f>
        <v/>
      </c>
      <c r="C1017">
        <f>Dashboard_Live_Data!Q36</f>
        <v/>
      </c>
      <c r="D1017">
        <f>Dashboard_Live_Data!R36</f>
        <v/>
      </c>
      <c r="E1017">
        <f>Dashboard_Live_Data!S36</f>
        <v/>
      </c>
      <c r="F1017">
        <f>Dashboard_Live_Data!T36</f>
        <v/>
      </c>
      <c r="G1017">
        <f>Dashboard_Live_Data!U36</f>
        <v/>
      </c>
      <c r="H1017">
        <f>Dashboard_Live_Data!V36</f>
        <v/>
      </c>
    </row>
    <row r="1018">
      <c r="A1018">
        <f>Dashboard_Live_Data!O37</f>
        <v/>
      </c>
      <c r="B1018">
        <f>Dashboard_Live_Data!P37</f>
        <v/>
      </c>
      <c r="C1018">
        <f>Dashboard_Live_Data!Q37</f>
        <v/>
      </c>
      <c r="D1018">
        <f>Dashboard_Live_Data!R37</f>
        <v/>
      </c>
      <c r="E1018">
        <f>Dashboard_Live_Data!S37</f>
        <v/>
      </c>
      <c r="F1018">
        <f>Dashboard_Live_Data!T37</f>
        <v/>
      </c>
      <c r="G1018">
        <f>Dashboard_Live_Data!U37</f>
        <v/>
      </c>
      <c r="H1018">
        <f>Dashboard_Live_Data!V37</f>
        <v/>
      </c>
    </row>
    <row r="1019">
      <c r="A1019">
        <f>Dashboard_Live_Data!O38</f>
        <v/>
      </c>
      <c r="B1019">
        <f>Dashboard_Live_Data!P38</f>
        <v/>
      </c>
      <c r="C1019">
        <f>Dashboard_Live_Data!Q38</f>
        <v/>
      </c>
      <c r="D1019">
        <f>Dashboard_Live_Data!R38</f>
        <v/>
      </c>
      <c r="E1019">
        <f>Dashboard_Live_Data!S38</f>
        <v/>
      </c>
      <c r="F1019">
        <f>Dashboard_Live_Data!T38</f>
        <v/>
      </c>
      <c r="G1019">
        <f>Dashboard_Live_Data!U38</f>
        <v/>
      </c>
      <c r="H1019">
        <f>Dashboard_Live_Data!V38</f>
        <v/>
      </c>
    </row>
    <row r="1020">
      <c r="A1020">
        <f>Dashboard_Live_Data!O39</f>
        <v/>
      </c>
      <c r="B1020">
        <f>Dashboard_Live_Data!P39</f>
        <v/>
      </c>
      <c r="C1020">
        <f>Dashboard_Live_Data!Q39</f>
        <v/>
      </c>
      <c r="D1020">
        <f>Dashboard_Live_Data!R39</f>
        <v/>
      </c>
      <c r="E1020">
        <f>Dashboard_Live_Data!S39</f>
        <v/>
      </c>
      <c r="F1020">
        <f>Dashboard_Live_Data!T39</f>
        <v/>
      </c>
      <c r="G1020">
        <f>Dashboard_Live_Data!U39</f>
        <v/>
      </c>
      <c r="H1020">
        <f>Dashboard_Live_Data!V39</f>
        <v/>
      </c>
    </row>
    <row r="1021">
      <c r="A1021">
        <f>Dashboard_Live_Data!O40</f>
        <v/>
      </c>
      <c r="B1021">
        <f>Dashboard_Live_Data!P40</f>
        <v/>
      </c>
      <c r="C1021">
        <f>Dashboard_Live_Data!Q40</f>
        <v/>
      </c>
      <c r="D1021">
        <f>Dashboard_Live_Data!R40</f>
        <v/>
      </c>
      <c r="E1021">
        <f>Dashboard_Live_Data!S40</f>
        <v/>
      </c>
      <c r="F1021">
        <f>Dashboard_Live_Data!T40</f>
        <v/>
      </c>
      <c r="G1021">
        <f>Dashboard_Live_Data!U40</f>
        <v/>
      </c>
      <c r="H1021">
        <f>Dashboard_Live_Data!V40</f>
        <v/>
      </c>
    </row>
    <row r="1022">
      <c r="A1022">
        <f>Dashboard_Live_Data!O41</f>
        <v/>
      </c>
      <c r="B1022">
        <f>Dashboard_Live_Data!P41</f>
        <v/>
      </c>
      <c r="C1022">
        <f>Dashboard_Live_Data!Q41</f>
        <v/>
      </c>
      <c r="D1022">
        <f>Dashboard_Live_Data!R41</f>
        <v/>
      </c>
      <c r="E1022">
        <f>Dashboard_Live_Data!S41</f>
        <v/>
      </c>
      <c r="F1022">
        <f>Dashboard_Live_Data!T41</f>
        <v/>
      </c>
      <c r="G1022">
        <f>Dashboard_Live_Data!U41</f>
        <v/>
      </c>
      <c r="H1022">
        <f>Dashboard_Live_Data!V41</f>
        <v/>
      </c>
    </row>
    <row r="1023">
      <c r="A1023">
        <f>Dashboard_Live_Data!O42</f>
        <v/>
      </c>
      <c r="B1023">
        <f>Dashboard_Live_Data!P42</f>
        <v/>
      </c>
      <c r="C1023">
        <f>Dashboard_Live_Data!Q42</f>
        <v/>
      </c>
      <c r="D1023">
        <f>Dashboard_Live_Data!R42</f>
        <v/>
      </c>
      <c r="E1023">
        <f>Dashboard_Live_Data!S42</f>
        <v/>
      </c>
      <c r="F1023">
        <f>Dashboard_Live_Data!T42</f>
        <v/>
      </c>
      <c r="G1023">
        <f>Dashboard_Live_Data!U42</f>
        <v/>
      </c>
      <c r="H1023">
        <f>Dashboard_Live_Data!V42</f>
        <v/>
      </c>
    </row>
    <row r="1024">
      <c r="A1024">
        <f>Dashboard_Live_Data!O43</f>
        <v/>
      </c>
      <c r="B1024">
        <f>Dashboard_Live_Data!P43</f>
        <v/>
      </c>
      <c r="C1024">
        <f>Dashboard_Live_Data!Q43</f>
        <v/>
      </c>
      <c r="D1024">
        <f>Dashboard_Live_Data!R43</f>
        <v/>
      </c>
      <c r="E1024">
        <f>Dashboard_Live_Data!S43</f>
        <v/>
      </c>
      <c r="F1024">
        <f>Dashboard_Live_Data!T43</f>
        <v/>
      </c>
      <c r="G1024">
        <f>Dashboard_Live_Data!U43</f>
        <v/>
      </c>
      <c r="H1024">
        <f>Dashboard_Live_Data!V43</f>
        <v/>
      </c>
    </row>
    <row r="1025">
      <c r="A1025">
        <f>Dashboard_Live_Data!O44</f>
        <v/>
      </c>
      <c r="B1025">
        <f>Dashboard_Live_Data!P44</f>
        <v/>
      </c>
      <c r="C1025">
        <f>Dashboard_Live_Data!Q44</f>
        <v/>
      </c>
      <c r="D1025">
        <f>Dashboard_Live_Data!R44</f>
        <v/>
      </c>
      <c r="E1025">
        <f>Dashboard_Live_Data!S44</f>
        <v/>
      </c>
      <c r="F1025">
        <f>Dashboard_Live_Data!T44</f>
        <v/>
      </c>
      <c r="G1025">
        <f>Dashboard_Live_Data!U44</f>
        <v/>
      </c>
      <c r="H1025">
        <f>Dashboard_Live_Data!V44</f>
        <v/>
      </c>
    </row>
    <row r="1026">
      <c r="A1026">
        <f>Dashboard_Live_Data!O45</f>
        <v/>
      </c>
      <c r="B1026">
        <f>Dashboard_Live_Data!P45</f>
        <v/>
      </c>
      <c r="C1026">
        <f>Dashboard_Live_Data!Q45</f>
        <v/>
      </c>
      <c r="D1026">
        <f>Dashboard_Live_Data!R45</f>
        <v/>
      </c>
      <c r="E1026">
        <f>Dashboard_Live_Data!S45</f>
        <v/>
      </c>
      <c r="F1026">
        <f>Dashboard_Live_Data!T45</f>
        <v/>
      </c>
      <c r="G1026">
        <f>Dashboard_Live_Data!U45</f>
        <v/>
      </c>
      <c r="H1026">
        <f>Dashboard_Live_Data!V45</f>
        <v/>
      </c>
    </row>
    <row r="1027">
      <c r="A1027">
        <f>Dashboard_Live_Data!O46</f>
        <v/>
      </c>
      <c r="B1027">
        <f>Dashboard_Live_Data!P46</f>
        <v/>
      </c>
      <c r="C1027">
        <f>Dashboard_Live_Data!Q46</f>
        <v/>
      </c>
      <c r="D1027">
        <f>Dashboard_Live_Data!R46</f>
        <v/>
      </c>
      <c r="E1027">
        <f>Dashboard_Live_Data!S46</f>
        <v/>
      </c>
      <c r="F1027">
        <f>Dashboard_Live_Data!T46</f>
        <v/>
      </c>
      <c r="G1027">
        <f>Dashboard_Live_Data!U46</f>
        <v/>
      </c>
      <c r="H1027">
        <f>Dashboard_Live_Data!V46</f>
        <v/>
      </c>
    </row>
    <row r="1028">
      <c r="A1028">
        <f>Dashboard_Live_Data!O47</f>
        <v/>
      </c>
      <c r="B1028">
        <f>Dashboard_Live_Data!P47</f>
        <v/>
      </c>
      <c r="C1028">
        <f>Dashboard_Live_Data!Q47</f>
        <v/>
      </c>
      <c r="D1028">
        <f>Dashboard_Live_Data!R47</f>
        <v/>
      </c>
      <c r="E1028">
        <f>Dashboard_Live_Data!S47</f>
        <v/>
      </c>
      <c r="F1028">
        <f>Dashboard_Live_Data!T47</f>
        <v/>
      </c>
      <c r="G1028">
        <f>Dashboard_Live_Data!U47</f>
        <v/>
      </c>
      <c r="H1028">
        <f>Dashboard_Live_Data!V47</f>
        <v/>
      </c>
    </row>
    <row r="1029">
      <c r="A1029">
        <f>Dashboard_Live_Data!O48</f>
        <v/>
      </c>
      <c r="B1029">
        <f>Dashboard_Live_Data!P48</f>
        <v/>
      </c>
      <c r="C1029">
        <f>Dashboard_Live_Data!Q48</f>
        <v/>
      </c>
      <c r="D1029">
        <f>Dashboard_Live_Data!R48</f>
        <v/>
      </c>
      <c r="E1029">
        <f>Dashboard_Live_Data!S48</f>
        <v/>
      </c>
      <c r="F1029">
        <f>Dashboard_Live_Data!T48</f>
        <v/>
      </c>
      <c r="G1029">
        <f>Dashboard_Live_Data!U48</f>
        <v/>
      </c>
      <c r="H1029">
        <f>Dashboard_Live_Data!V48</f>
        <v/>
      </c>
    </row>
    <row r="1030">
      <c r="A1030">
        <f>Dashboard_Live_Data!O49</f>
        <v/>
      </c>
      <c r="B1030">
        <f>Dashboard_Live_Data!P49</f>
        <v/>
      </c>
      <c r="C1030">
        <f>Dashboard_Live_Data!Q49</f>
        <v/>
      </c>
      <c r="D1030">
        <f>Dashboard_Live_Data!R49</f>
        <v/>
      </c>
      <c r="E1030">
        <f>Dashboard_Live_Data!S49</f>
        <v/>
      </c>
      <c r="F1030">
        <f>Dashboard_Live_Data!T49</f>
        <v/>
      </c>
      <c r="G1030">
        <f>Dashboard_Live_Data!U49</f>
        <v/>
      </c>
      <c r="H1030">
        <f>Dashboard_Live_Data!V49</f>
        <v/>
      </c>
    </row>
    <row r="1031">
      <c r="A1031">
        <f>Dashboard_Live_Data!O50</f>
        <v/>
      </c>
      <c r="B1031">
        <f>Dashboard_Live_Data!P50</f>
        <v/>
      </c>
      <c r="C1031">
        <f>Dashboard_Live_Data!Q50</f>
        <v/>
      </c>
      <c r="D1031">
        <f>Dashboard_Live_Data!R50</f>
        <v/>
      </c>
      <c r="E1031">
        <f>Dashboard_Live_Data!S50</f>
        <v/>
      </c>
      <c r="F1031">
        <f>Dashboard_Live_Data!T50</f>
        <v/>
      </c>
      <c r="G1031">
        <f>Dashboard_Live_Data!U50</f>
        <v/>
      </c>
      <c r="H1031">
        <f>Dashboard_Live_Data!V50</f>
        <v/>
      </c>
    </row>
    <row r="1032">
      <c r="A1032">
        <f>Dashboard_Live_Data!O51</f>
        <v/>
      </c>
      <c r="B1032">
        <f>Dashboard_Live_Data!P51</f>
        <v/>
      </c>
      <c r="C1032">
        <f>Dashboard_Live_Data!Q51</f>
        <v/>
      </c>
      <c r="D1032">
        <f>Dashboard_Live_Data!R51</f>
        <v/>
      </c>
      <c r="E1032">
        <f>Dashboard_Live_Data!S51</f>
        <v/>
      </c>
      <c r="F1032">
        <f>Dashboard_Live_Data!T51</f>
        <v/>
      </c>
      <c r="G1032">
        <f>Dashboard_Live_Data!U51</f>
        <v/>
      </c>
      <c r="H1032">
        <f>Dashboard_Live_Data!V51</f>
        <v/>
      </c>
    </row>
    <row r="1033">
      <c r="A1033">
        <f>Dashboard_Live_Data!O52</f>
        <v/>
      </c>
      <c r="B1033">
        <f>Dashboard_Live_Data!P52</f>
        <v/>
      </c>
      <c r="C1033">
        <f>Dashboard_Live_Data!Q52</f>
        <v/>
      </c>
      <c r="D1033">
        <f>Dashboard_Live_Data!R52</f>
        <v/>
      </c>
      <c r="E1033">
        <f>Dashboard_Live_Data!S52</f>
        <v/>
      </c>
      <c r="F1033">
        <f>Dashboard_Live_Data!T52</f>
        <v/>
      </c>
      <c r="G1033">
        <f>Dashboard_Live_Data!U52</f>
        <v/>
      </c>
      <c r="H1033">
        <f>Dashboard_Live_Data!V52</f>
        <v/>
      </c>
    </row>
    <row r="1034">
      <c r="A1034">
        <f>Dashboard_Live_Data!O53</f>
        <v/>
      </c>
      <c r="B1034">
        <f>Dashboard_Live_Data!P53</f>
        <v/>
      </c>
      <c r="C1034">
        <f>Dashboard_Live_Data!Q53</f>
        <v/>
      </c>
      <c r="D1034">
        <f>Dashboard_Live_Data!R53</f>
        <v/>
      </c>
      <c r="E1034">
        <f>Dashboard_Live_Data!S53</f>
        <v/>
      </c>
      <c r="F1034">
        <f>Dashboard_Live_Data!T53</f>
        <v/>
      </c>
      <c r="G1034">
        <f>Dashboard_Live_Data!U53</f>
        <v/>
      </c>
      <c r="H1034">
        <f>Dashboard_Live_Data!V53</f>
        <v/>
      </c>
    </row>
    <row r="1035">
      <c r="A1035">
        <f>Dashboard_Live_Data!O54</f>
        <v/>
      </c>
      <c r="B1035">
        <f>Dashboard_Live_Data!P54</f>
        <v/>
      </c>
      <c r="C1035">
        <f>Dashboard_Live_Data!Q54</f>
        <v/>
      </c>
      <c r="D1035">
        <f>Dashboard_Live_Data!R54</f>
        <v/>
      </c>
      <c r="E1035">
        <f>Dashboard_Live_Data!S54</f>
        <v/>
      </c>
      <c r="F1035">
        <f>Dashboard_Live_Data!T54</f>
        <v/>
      </c>
      <c r="G1035">
        <f>Dashboard_Live_Data!U54</f>
        <v/>
      </c>
      <c r="H1035">
        <f>Dashboard_Live_Data!V54</f>
        <v/>
      </c>
    </row>
    <row r="1036">
      <c r="A1036">
        <f>Dashboard_Live_Data!O55</f>
        <v/>
      </c>
      <c r="B1036">
        <f>Dashboard_Live_Data!P55</f>
        <v/>
      </c>
      <c r="C1036">
        <f>Dashboard_Live_Data!Q55</f>
        <v/>
      </c>
      <c r="D1036">
        <f>Dashboard_Live_Data!R55</f>
        <v/>
      </c>
      <c r="E1036">
        <f>Dashboard_Live_Data!S55</f>
        <v/>
      </c>
      <c r="F1036">
        <f>Dashboard_Live_Data!T55</f>
        <v/>
      </c>
      <c r="G1036">
        <f>Dashboard_Live_Data!U55</f>
        <v/>
      </c>
      <c r="H1036">
        <f>Dashboard_Live_Data!V55</f>
        <v/>
      </c>
    </row>
    <row r="1037">
      <c r="A1037">
        <f>Dashboard_Live_Data!O56</f>
        <v/>
      </c>
      <c r="B1037">
        <f>Dashboard_Live_Data!P56</f>
        <v/>
      </c>
      <c r="C1037">
        <f>Dashboard_Live_Data!Q56</f>
        <v/>
      </c>
      <c r="D1037">
        <f>Dashboard_Live_Data!R56</f>
        <v/>
      </c>
      <c r="E1037">
        <f>Dashboard_Live_Data!S56</f>
        <v/>
      </c>
      <c r="F1037">
        <f>Dashboard_Live_Data!T56</f>
        <v/>
      </c>
      <c r="G1037">
        <f>Dashboard_Live_Data!U56</f>
        <v/>
      </c>
      <c r="H1037">
        <f>Dashboard_Live_Data!V56</f>
        <v/>
      </c>
    </row>
    <row r="1038">
      <c r="A1038">
        <f>Dashboard_Live_Data!O57</f>
        <v/>
      </c>
      <c r="B1038">
        <f>Dashboard_Live_Data!P57</f>
        <v/>
      </c>
      <c r="C1038">
        <f>Dashboard_Live_Data!Q57</f>
        <v/>
      </c>
      <c r="D1038">
        <f>Dashboard_Live_Data!R57</f>
        <v/>
      </c>
      <c r="E1038">
        <f>Dashboard_Live_Data!S57</f>
        <v/>
      </c>
      <c r="F1038">
        <f>Dashboard_Live_Data!T57</f>
        <v/>
      </c>
      <c r="G1038">
        <f>Dashboard_Live_Data!U57</f>
        <v/>
      </c>
      <c r="H1038">
        <f>Dashboard_Live_Data!V57</f>
        <v/>
      </c>
    </row>
    <row r="1039">
      <c r="A1039">
        <f>Dashboard_Live_Data!O58</f>
        <v/>
      </c>
      <c r="B1039">
        <f>Dashboard_Live_Data!P58</f>
        <v/>
      </c>
      <c r="C1039">
        <f>Dashboard_Live_Data!Q58</f>
        <v/>
      </c>
      <c r="D1039">
        <f>Dashboard_Live_Data!R58</f>
        <v/>
      </c>
      <c r="E1039">
        <f>Dashboard_Live_Data!S58</f>
        <v/>
      </c>
      <c r="F1039">
        <f>Dashboard_Live_Data!T58</f>
        <v/>
      </c>
      <c r="G1039">
        <f>Dashboard_Live_Data!U58</f>
        <v/>
      </c>
      <c r="H1039">
        <f>Dashboard_Live_Data!V58</f>
        <v/>
      </c>
    </row>
    <row r="1040">
      <c r="A1040">
        <f>Dashboard_Live_Data!O59</f>
        <v/>
      </c>
      <c r="B1040">
        <f>Dashboard_Live_Data!P59</f>
        <v/>
      </c>
      <c r="C1040">
        <f>Dashboard_Live_Data!Q59</f>
        <v/>
      </c>
      <c r="D1040">
        <f>Dashboard_Live_Data!R59</f>
        <v/>
      </c>
      <c r="E1040">
        <f>Dashboard_Live_Data!S59</f>
        <v/>
      </c>
      <c r="F1040">
        <f>Dashboard_Live_Data!T59</f>
        <v/>
      </c>
      <c r="G1040">
        <f>Dashboard_Live_Data!U59</f>
        <v/>
      </c>
      <c r="H1040">
        <f>Dashboard_Live_Data!V59</f>
        <v/>
      </c>
    </row>
    <row r="1041">
      <c r="A1041">
        <f>Dashboard_Live_Data!O60</f>
        <v/>
      </c>
      <c r="B1041">
        <f>Dashboard_Live_Data!P60</f>
        <v/>
      </c>
      <c r="C1041">
        <f>Dashboard_Live_Data!Q60</f>
        <v/>
      </c>
      <c r="D1041">
        <f>Dashboard_Live_Data!R60</f>
        <v/>
      </c>
      <c r="E1041">
        <f>Dashboard_Live_Data!S60</f>
        <v/>
      </c>
      <c r="F1041">
        <f>Dashboard_Live_Data!T60</f>
        <v/>
      </c>
      <c r="G1041">
        <f>Dashboard_Live_Data!U60</f>
        <v/>
      </c>
      <c r="H1041">
        <f>Dashboard_Live_Data!V60</f>
        <v/>
      </c>
    </row>
    <row r="1042">
      <c r="A1042">
        <f>Dashboard_Live_Data!O61</f>
        <v/>
      </c>
      <c r="B1042">
        <f>Dashboard_Live_Data!P61</f>
        <v/>
      </c>
      <c r="C1042">
        <f>Dashboard_Live_Data!Q61</f>
        <v/>
      </c>
      <c r="D1042">
        <f>Dashboard_Live_Data!R61</f>
        <v/>
      </c>
      <c r="E1042">
        <f>Dashboard_Live_Data!S61</f>
        <v/>
      </c>
      <c r="F1042">
        <f>Dashboard_Live_Data!T61</f>
        <v/>
      </c>
      <c r="G1042">
        <f>Dashboard_Live_Data!U61</f>
        <v/>
      </c>
      <c r="H1042">
        <f>Dashboard_Live_Data!V61</f>
        <v/>
      </c>
    </row>
    <row r="1043">
      <c r="A1043">
        <f>Dashboard_Live_Data!O62</f>
        <v/>
      </c>
      <c r="B1043">
        <f>Dashboard_Live_Data!P62</f>
        <v/>
      </c>
      <c r="C1043">
        <f>Dashboard_Live_Data!Q62</f>
        <v/>
      </c>
      <c r="D1043">
        <f>Dashboard_Live_Data!R62</f>
        <v/>
      </c>
      <c r="E1043">
        <f>Dashboard_Live_Data!S62</f>
        <v/>
      </c>
      <c r="F1043">
        <f>Dashboard_Live_Data!T62</f>
        <v/>
      </c>
      <c r="G1043">
        <f>Dashboard_Live_Data!U62</f>
        <v/>
      </c>
      <c r="H1043">
        <f>Dashboard_Live_Data!V62</f>
        <v/>
      </c>
    </row>
    <row r="1044">
      <c r="A1044">
        <f>Dashboard_Live_Data!O63</f>
        <v/>
      </c>
      <c r="B1044">
        <f>Dashboard_Live_Data!P63</f>
        <v/>
      </c>
      <c r="C1044">
        <f>Dashboard_Live_Data!Q63</f>
        <v/>
      </c>
      <c r="D1044">
        <f>Dashboard_Live_Data!R63</f>
        <v/>
      </c>
      <c r="E1044">
        <f>Dashboard_Live_Data!S63</f>
        <v/>
      </c>
      <c r="F1044">
        <f>Dashboard_Live_Data!T63</f>
        <v/>
      </c>
      <c r="G1044">
        <f>Dashboard_Live_Data!U63</f>
        <v/>
      </c>
      <c r="H1044">
        <f>Dashboard_Live_Data!V63</f>
        <v/>
      </c>
    </row>
    <row r="1045">
      <c r="A1045">
        <f>Dashboard_Live_Data!O64</f>
        <v/>
      </c>
      <c r="B1045">
        <f>Dashboard_Live_Data!P64</f>
        <v/>
      </c>
      <c r="C1045">
        <f>Dashboard_Live_Data!Q64</f>
        <v/>
      </c>
      <c r="D1045">
        <f>Dashboard_Live_Data!R64</f>
        <v/>
      </c>
      <c r="E1045">
        <f>Dashboard_Live_Data!S64</f>
        <v/>
      </c>
      <c r="F1045">
        <f>Dashboard_Live_Data!T64</f>
        <v/>
      </c>
      <c r="G1045">
        <f>Dashboard_Live_Data!U64</f>
        <v/>
      </c>
      <c r="H1045">
        <f>Dashboard_Live_Data!V64</f>
        <v/>
      </c>
    </row>
    <row r="1046">
      <c r="A1046">
        <f>Dashboard_Live_Data!O65</f>
        <v/>
      </c>
      <c r="B1046">
        <f>Dashboard_Live_Data!P65</f>
        <v/>
      </c>
      <c r="C1046">
        <f>Dashboard_Live_Data!Q65</f>
        <v/>
      </c>
      <c r="D1046">
        <f>Dashboard_Live_Data!R65</f>
        <v/>
      </c>
      <c r="E1046">
        <f>Dashboard_Live_Data!S65</f>
        <v/>
      </c>
      <c r="F1046">
        <f>Dashboard_Live_Data!T65</f>
        <v/>
      </c>
      <c r="G1046">
        <f>Dashboard_Live_Data!U65</f>
        <v/>
      </c>
      <c r="H1046">
        <f>Dashboard_Live_Data!V65</f>
        <v/>
      </c>
    </row>
    <row r="1047">
      <c r="A1047">
        <f>Dashboard_Live_Data!O66</f>
        <v/>
      </c>
      <c r="B1047">
        <f>Dashboard_Live_Data!P66</f>
        <v/>
      </c>
      <c r="C1047">
        <f>Dashboard_Live_Data!Q66</f>
        <v/>
      </c>
      <c r="D1047">
        <f>Dashboard_Live_Data!R66</f>
        <v/>
      </c>
      <c r="E1047">
        <f>Dashboard_Live_Data!S66</f>
        <v/>
      </c>
      <c r="F1047">
        <f>Dashboard_Live_Data!T66</f>
        <v/>
      </c>
      <c r="G1047">
        <f>Dashboard_Live_Data!U66</f>
        <v/>
      </c>
      <c r="H1047">
        <f>Dashboard_Live_Data!V66</f>
        <v/>
      </c>
    </row>
    <row r="1048">
      <c r="A1048">
        <f>Dashboard_Live_Data!O67</f>
        <v/>
      </c>
      <c r="B1048">
        <f>Dashboard_Live_Data!P67</f>
        <v/>
      </c>
      <c r="C1048">
        <f>Dashboard_Live_Data!Q67</f>
        <v/>
      </c>
      <c r="D1048">
        <f>Dashboard_Live_Data!R67</f>
        <v/>
      </c>
      <c r="E1048">
        <f>Dashboard_Live_Data!S67</f>
        <v/>
      </c>
      <c r="F1048">
        <f>Dashboard_Live_Data!T67</f>
        <v/>
      </c>
      <c r="G1048">
        <f>Dashboard_Live_Data!U67</f>
        <v/>
      </c>
      <c r="H1048">
        <f>Dashboard_Live_Data!V67</f>
        <v/>
      </c>
    </row>
    <row r="1049">
      <c r="A1049">
        <f>Dashboard_Live_Data!O68</f>
        <v/>
      </c>
      <c r="B1049">
        <f>Dashboard_Live_Data!P68</f>
        <v/>
      </c>
      <c r="C1049">
        <f>Dashboard_Live_Data!Q68</f>
        <v/>
      </c>
      <c r="D1049">
        <f>Dashboard_Live_Data!R68</f>
        <v/>
      </c>
      <c r="E1049">
        <f>Dashboard_Live_Data!S68</f>
        <v/>
      </c>
      <c r="F1049">
        <f>Dashboard_Live_Data!T68</f>
        <v/>
      </c>
      <c r="G1049">
        <f>Dashboard_Live_Data!U68</f>
        <v/>
      </c>
      <c r="H1049">
        <f>Dashboard_Live_Data!V68</f>
        <v/>
      </c>
    </row>
    <row r="1050">
      <c r="A1050">
        <f>Dashboard_Live_Data!O69</f>
        <v/>
      </c>
      <c r="B1050">
        <f>Dashboard_Live_Data!P69</f>
        <v/>
      </c>
      <c r="C1050">
        <f>Dashboard_Live_Data!Q69</f>
        <v/>
      </c>
      <c r="D1050">
        <f>Dashboard_Live_Data!R69</f>
        <v/>
      </c>
      <c r="E1050">
        <f>Dashboard_Live_Data!S69</f>
        <v/>
      </c>
      <c r="F1050">
        <f>Dashboard_Live_Data!T69</f>
        <v/>
      </c>
      <c r="G1050">
        <f>Dashboard_Live_Data!U69</f>
        <v/>
      </c>
      <c r="H1050">
        <f>Dashboard_Live_Data!V69</f>
        <v/>
      </c>
    </row>
    <row r="1051">
      <c r="A1051">
        <f>Dashboard_Live_Data!O70</f>
        <v/>
      </c>
      <c r="B1051">
        <f>Dashboard_Live_Data!P70</f>
        <v/>
      </c>
      <c r="C1051">
        <f>Dashboard_Live_Data!Q70</f>
        <v/>
      </c>
      <c r="D1051">
        <f>Dashboard_Live_Data!R70</f>
        <v/>
      </c>
      <c r="E1051">
        <f>Dashboard_Live_Data!S70</f>
        <v/>
      </c>
      <c r="F1051">
        <f>Dashboard_Live_Data!T70</f>
        <v/>
      </c>
      <c r="G1051">
        <f>Dashboard_Live_Data!U70</f>
        <v/>
      </c>
      <c r="H1051">
        <f>Dashboard_Live_Data!V70</f>
        <v/>
      </c>
    </row>
    <row r="1052">
      <c r="A1052">
        <f>Dashboard_Live_Data!O71</f>
        <v/>
      </c>
      <c r="B1052">
        <f>Dashboard_Live_Data!P71</f>
        <v/>
      </c>
      <c r="C1052">
        <f>Dashboard_Live_Data!Q71</f>
        <v/>
      </c>
      <c r="D1052">
        <f>Dashboard_Live_Data!R71</f>
        <v/>
      </c>
      <c r="E1052">
        <f>Dashboard_Live_Data!S71</f>
        <v/>
      </c>
      <c r="F1052">
        <f>Dashboard_Live_Data!T71</f>
        <v/>
      </c>
      <c r="G1052">
        <f>Dashboard_Live_Data!U71</f>
        <v/>
      </c>
      <c r="H1052">
        <f>Dashboard_Live_Data!V71</f>
        <v/>
      </c>
    </row>
    <row r="1053">
      <c r="A1053">
        <f>Dashboard_Live_Data!O72</f>
        <v/>
      </c>
      <c r="B1053">
        <f>Dashboard_Live_Data!P72</f>
        <v/>
      </c>
      <c r="C1053">
        <f>Dashboard_Live_Data!Q72</f>
        <v/>
      </c>
      <c r="D1053">
        <f>Dashboard_Live_Data!R72</f>
        <v/>
      </c>
      <c r="E1053">
        <f>Dashboard_Live_Data!S72</f>
        <v/>
      </c>
      <c r="F1053">
        <f>Dashboard_Live_Data!T72</f>
        <v/>
      </c>
      <c r="G1053">
        <f>Dashboard_Live_Data!U72</f>
        <v/>
      </c>
      <c r="H1053">
        <f>Dashboard_Live_Data!V72</f>
        <v/>
      </c>
    </row>
    <row r="1054">
      <c r="A1054">
        <f>Dashboard_Live_Data!O73</f>
        <v/>
      </c>
      <c r="B1054">
        <f>Dashboard_Live_Data!P73</f>
        <v/>
      </c>
      <c r="C1054">
        <f>Dashboard_Live_Data!Q73</f>
        <v/>
      </c>
      <c r="D1054">
        <f>Dashboard_Live_Data!R73</f>
        <v/>
      </c>
      <c r="E1054">
        <f>Dashboard_Live_Data!S73</f>
        <v/>
      </c>
      <c r="F1054">
        <f>Dashboard_Live_Data!T73</f>
        <v/>
      </c>
      <c r="G1054">
        <f>Dashboard_Live_Data!U73</f>
        <v/>
      </c>
      <c r="H1054">
        <f>Dashboard_Live_Data!V73</f>
        <v/>
      </c>
    </row>
    <row r="1055">
      <c r="A1055">
        <f>Dashboard_Live_Data!O74</f>
        <v/>
      </c>
      <c r="B1055">
        <f>Dashboard_Live_Data!P74</f>
        <v/>
      </c>
      <c r="C1055">
        <f>Dashboard_Live_Data!Q74</f>
        <v/>
      </c>
      <c r="D1055">
        <f>Dashboard_Live_Data!R74</f>
        <v/>
      </c>
      <c r="E1055">
        <f>Dashboard_Live_Data!S74</f>
        <v/>
      </c>
      <c r="F1055">
        <f>Dashboard_Live_Data!T74</f>
        <v/>
      </c>
      <c r="G1055">
        <f>Dashboard_Live_Data!U74</f>
        <v/>
      </c>
      <c r="H1055">
        <f>Dashboard_Live_Data!V74</f>
        <v/>
      </c>
    </row>
    <row r="1056">
      <c r="A1056">
        <f>Dashboard_Live_Data!O75</f>
        <v/>
      </c>
      <c r="B1056">
        <f>Dashboard_Live_Data!P75</f>
        <v/>
      </c>
      <c r="C1056">
        <f>Dashboard_Live_Data!Q75</f>
        <v/>
      </c>
      <c r="D1056">
        <f>Dashboard_Live_Data!R75</f>
        <v/>
      </c>
      <c r="E1056">
        <f>Dashboard_Live_Data!S75</f>
        <v/>
      </c>
      <c r="F1056">
        <f>Dashboard_Live_Data!T75</f>
        <v/>
      </c>
      <c r="G1056">
        <f>Dashboard_Live_Data!U75</f>
        <v/>
      </c>
      <c r="H1056">
        <f>Dashboard_Live_Data!V75</f>
        <v/>
      </c>
    </row>
    <row r="1057">
      <c r="A1057">
        <f>Dashboard_Live_Data!O76</f>
        <v/>
      </c>
      <c r="B1057">
        <f>Dashboard_Live_Data!P76</f>
        <v/>
      </c>
      <c r="C1057">
        <f>Dashboard_Live_Data!Q76</f>
        <v/>
      </c>
      <c r="D1057">
        <f>Dashboard_Live_Data!R76</f>
        <v/>
      </c>
      <c r="E1057">
        <f>Dashboard_Live_Data!S76</f>
        <v/>
      </c>
      <c r="F1057">
        <f>Dashboard_Live_Data!T76</f>
        <v/>
      </c>
      <c r="G1057">
        <f>Dashboard_Live_Data!U76</f>
        <v/>
      </c>
      <c r="H1057">
        <f>Dashboard_Live_Data!V76</f>
        <v/>
      </c>
    </row>
    <row r="1058">
      <c r="A1058">
        <f>Dashboard_Live_Data!O77</f>
        <v/>
      </c>
      <c r="B1058">
        <f>Dashboard_Live_Data!P77</f>
        <v/>
      </c>
      <c r="C1058">
        <f>Dashboard_Live_Data!Q77</f>
        <v/>
      </c>
      <c r="D1058">
        <f>Dashboard_Live_Data!R77</f>
        <v/>
      </c>
      <c r="E1058">
        <f>Dashboard_Live_Data!S77</f>
        <v/>
      </c>
      <c r="F1058">
        <f>Dashboard_Live_Data!T77</f>
        <v/>
      </c>
      <c r="G1058">
        <f>Dashboard_Live_Data!U77</f>
        <v/>
      </c>
      <c r="H1058">
        <f>Dashboard_Live_Data!V77</f>
        <v/>
      </c>
    </row>
    <row r="1059">
      <c r="A1059">
        <f>Dashboard_Live_Data!O78</f>
        <v/>
      </c>
      <c r="B1059">
        <f>Dashboard_Live_Data!P78</f>
        <v/>
      </c>
      <c r="C1059">
        <f>Dashboard_Live_Data!Q78</f>
        <v/>
      </c>
      <c r="D1059">
        <f>Dashboard_Live_Data!R78</f>
        <v/>
      </c>
      <c r="E1059">
        <f>Dashboard_Live_Data!S78</f>
        <v/>
      </c>
      <c r="F1059">
        <f>Dashboard_Live_Data!T78</f>
        <v/>
      </c>
      <c r="G1059">
        <f>Dashboard_Live_Data!U78</f>
        <v/>
      </c>
      <c r="H1059">
        <f>Dashboard_Live_Data!V78</f>
        <v/>
      </c>
    </row>
    <row r="1060">
      <c r="A1060">
        <f>Dashboard_Live_Data!O79</f>
        <v/>
      </c>
      <c r="B1060">
        <f>Dashboard_Live_Data!P79</f>
        <v/>
      </c>
      <c r="C1060">
        <f>Dashboard_Live_Data!Q79</f>
        <v/>
      </c>
      <c r="D1060">
        <f>Dashboard_Live_Data!R79</f>
        <v/>
      </c>
      <c r="E1060">
        <f>Dashboard_Live_Data!S79</f>
        <v/>
      </c>
      <c r="F1060">
        <f>Dashboard_Live_Data!T79</f>
        <v/>
      </c>
      <c r="G1060">
        <f>Dashboard_Live_Data!U79</f>
        <v/>
      </c>
      <c r="H1060">
        <f>Dashboard_Live_Data!V79</f>
        <v/>
      </c>
    </row>
    <row r="1061">
      <c r="A1061">
        <f>Dashboard_Live_Data!O80</f>
        <v/>
      </c>
      <c r="B1061">
        <f>Dashboard_Live_Data!P80</f>
        <v/>
      </c>
      <c r="C1061">
        <f>Dashboard_Live_Data!Q80</f>
        <v/>
      </c>
      <c r="D1061">
        <f>Dashboard_Live_Data!R80</f>
        <v/>
      </c>
      <c r="E1061">
        <f>Dashboard_Live_Data!S80</f>
        <v/>
      </c>
      <c r="F1061">
        <f>Dashboard_Live_Data!T80</f>
        <v/>
      </c>
      <c r="G1061">
        <f>Dashboard_Live_Data!U80</f>
        <v/>
      </c>
      <c r="H1061">
        <f>Dashboard_Live_Data!V80</f>
        <v/>
      </c>
    </row>
    <row r="1062">
      <c r="A1062">
        <f>Dashboard_Live_Data!O81</f>
        <v/>
      </c>
      <c r="B1062">
        <f>Dashboard_Live_Data!P81</f>
        <v/>
      </c>
      <c r="C1062">
        <f>Dashboard_Live_Data!Q81</f>
        <v/>
      </c>
      <c r="D1062">
        <f>Dashboard_Live_Data!R81</f>
        <v/>
      </c>
      <c r="E1062">
        <f>Dashboard_Live_Data!S81</f>
        <v/>
      </c>
      <c r="F1062">
        <f>Dashboard_Live_Data!T81</f>
        <v/>
      </c>
      <c r="G1062">
        <f>Dashboard_Live_Data!U81</f>
        <v/>
      </c>
      <c r="H1062">
        <f>Dashboard_Live_Data!V81</f>
        <v/>
      </c>
    </row>
    <row r="1063">
      <c r="A1063">
        <f>Dashboard_Live_Data!O82</f>
        <v/>
      </c>
      <c r="B1063">
        <f>Dashboard_Live_Data!P82</f>
        <v/>
      </c>
      <c r="C1063">
        <f>Dashboard_Live_Data!Q82</f>
        <v/>
      </c>
      <c r="D1063">
        <f>Dashboard_Live_Data!R82</f>
        <v/>
      </c>
      <c r="E1063">
        <f>Dashboard_Live_Data!S82</f>
        <v/>
      </c>
      <c r="F1063">
        <f>Dashboard_Live_Data!T82</f>
        <v/>
      </c>
      <c r="G1063">
        <f>Dashboard_Live_Data!U82</f>
        <v/>
      </c>
      <c r="H1063">
        <f>Dashboard_Live_Data!V82</f>
        <v/>
      </c>
    </row>
    <row r="1064">
      <c r="A1064">
        <f>Dashboard_Live_Data!O83</f>
        <v/>
      </c>
      <c r="B1064">
        <f>Dashboard_Live_Data!P83</f>
        <v/>
      </c>
      <c r="C1064">
        <f>Dashboard_Live_Data!Q83</f>
        <v/>
      </c>
      <c r="D1064">
        <f>Dashboard_Live_Data!R83</f>
        <v/>
      </c>
      <c r="E1064">
        <f>Dashboard_Live_Data!S83</f>
        <v/>
      </c>
      <c r="F1064">
        <f>Dashboard_Live_Data!T83</f>
        <v/>
      </c>
      <c r="G1064">
        <f>Dashboard_Live_Data!U83</f>
        <v/>
      </c>
      <c r="H1064">
        <f>Dashboard_Live_Data!V83</f>
        <v/>
      </c>
    </row>
    <row r="1065">
      <c r="A1065">
        <f>Dashboard_Live_Data!O84</f>
        <v/>
      </c>
      <c r="B1065">
        <f>Dashboard_Live_Data!P84</f>
        <v/>
      </c>
      <c r="C1065">
        <f>Dashboard_Live_Data!Q84</f>
        <v/>
      </c>
      <c r="D1065">
        <f>Dashboard_Live_Data!R84</f>
        <v/>
      </c>
      <c r="E1065">
        <f>Dashboard_Live_Data!S84</f>
        <v/>
      </c>
      <c r="F1065">
        <f>Dashboard_Live_Data!T84</f>
        <v/>
      </c>
      <c r="G1065">
        <f>Dashboard_Live_Data!U84</f>
        <v/>
      </c>
      <c r="H1065">
        <f>Dashboard_Live_Data!V84</f>
        <v/>
      </c>
    </row>
    <row r="1066">
      <c r="A1066">
        <f>Dashboard_Live_Data!O85</f>
        <v/>
      </c>
      <c r="B1066">
        <f>Dashboard_Live_Data!P85</f>
        <v/>
      </c>
      <c r="C1066">
        <f>Dashboard_Live_Data!Q85</f>
        <v/>
      </c>
      <c r="D1066">
        <f>Dashboard_Live_Data!R85</f>
        <v/>
      </c>
      <c r="E1066">
        <f>Dashboard_Live_Data!S85</f>
        <v/>
      </c>
      <c r="F1066">
        <f>Dashboard_Live_Data!T85</f>
        <v/>
      </c>
      <c r="G1066">
        <f>Dashboard_Live_Data!U85</f>
        <v/>
      </c>
      <c r="H1066">
        <f>Dashboard_Live_Data!V85</f>
        <v/>
      </c>
    </row>
    <row r="1067">
      <c r="A1067">
        <f>Dashboard_Live_Data!O86</f>
        <v/>
      </c>
      <c r="B1067">
        <f>Dashboard_Live_Data!P86</f>
        <v/>
      </c>
      <c r="C1067">
        <f>Dashboard_Live_Data!Q86</f>
        <v/>
      </c>
      <c r="D1067">
        <f>Dashboard_Live_Data!R86</f>
        <v/>
      </c>
      <c r="E1067">
        <f>Dashboard_Live_Data!S86</f>
        <v/>
      </c>
      <c r="F1067">
        <f>Dashboard_Live_Data!T86</f>
        <v/>
      </c>
      <c r="G1067">
        <f>Dashboard_Live_Data!U86</f>
        <v/>
      </c>
      <c r="H1067">
        <f>Dashboard_Live_Data!V86</f>
        <v/>
      </c>
    </row>
    <row r="1068">
      <c r="A1068">
        <f>Dashboard_Live_Data!O87</f>
        <v/>
      </c>
      <c r="B1068">
        <f>Dashboard_Live_Data!P87</f>
        <v/>
      </c>
      <c r="C1068">
        <f>Dashboard_Live_Data!Q87</f>
        <v/>
      </c>
      <c r="D1068">
        <f>Dashboard_Live_Data!R87</f>
        <v/>
      </c>
      <c r="E1068">
        <f>Dashboard_Live_Data!S87</f>
        <v/>
      </c>
      <c r="F1068">
        <f>Dashboard_Live_Data!T87</f>
        <v/>
      </c>
      <c r="G1068">
        <f>Dashboard_Live_Data!U87</f>
        <v/>
      </c>
      <c r="H1068">
        <f>Dashboard_Live_Data!V87</f>
        <v/>
      </c>
    </row>
    <row r="1069">
      <c r="A1069">
        <f>Dashboard_Live_Data!O88</f>
        <v/>
      </c>
      <c r="B1069">
        <f>Dashboard_Live_Data!P88</f>
        <v/>
      </c>
      <c r="C1069">
        <f>Dashboard_Live_Data!Q88</f>
        <v/>
      </c>
      <c r="D1069">
        <f>Dashboard_Live_Data!R88</f>
        <v/>
      </c>
      <c r="E1069">
        <f>Dashboard_Live_Data!S88</f>
        <v/>
      </c>
      <c r="F1069">
        <f>Dashboard_Live_Data!T88</f>
        <v/>
      </c>
      <c r="G1069">
        <f>Dashboard_Live_Data!U88</f>
        <v/>
      </c>
      <c r="H1069">
        <f>Dashboard_Live_Data!V88</f>
        <v/>
      </c>
    </row>
    <row r="1070">
      <c r="A1070">
        <f>Dashboard_Live_Data!O89</f>
        <v/>
      </c>
      <c r="B1070">
        <f>Dashboard_Live_Data!P89</f>
        <v/>
      </c>
      <c r="C1070">
        <f>Dashboard_Live_Data!Q89</f>
        <v/>
      </c>
      <c r="D1070">
        <f>Dashboard_Live_Data!R89</f>
        <v/>
      </c>
      <c r="E1070">
        <f>Dashboard_Live_Data!S89</f>
        <v/>
      </c>
      <c r="F1070">
        <f>Dashboard_Live_Data!T89</f>
        <v/>
      </c>
      <c r="G1070">
        <f>Dashboard_Live_Data!U89</f>
        <v/>
      </c>
      <c r="H1070">
        <f>Dashboard_Live_Data!V89</f>
        <v/>
      </c>
    </row>
    <row r="1071">
      <c r="A1071">
        <f>Dashboard_Live_Data!O90</f>
        <v/>
      </c>
      <c r="B1071">
        <f>Dashboard_Live_Data!P90</f>
        <v/>
      </c>
      <c r="C1071">
        <f>Dashboard_Live_Data!Q90</f>
        <v/>
      </c>
      <c r="D1071">
        <f>Dashboard_Live_Data!R90</f>
        <v/>
      </c>
      <c r="E1071">
        <f>Dashboard_Live_Data!S90</f>
        <v/>
      </c>
      <c r="F1071">
        <f>Dashboard_Live_Data!T90</f>
        <v/>
      </c>
      <c r="G1071">
        <f>Dashboard_Live_Data!U90</f>
        <v/>
      </c>
      <c r="H1071">
        <f>Dashboard_Live_Data!V90</f>
        <v/>
      </c>
    </row>
    <row r="1072">
      <c r="A1072">
        <f>Dashboard_Live_Data!O91</f>
        <v/>
      </c>
      <c r="B1072">
        <f>Dashboard_Live_Data!P91</f>
        <v/>
      </c>
      <c r="C1072">
        <f>Dashboard_Live_Data!Q91</f>
        <v/>
      </c>
      <c r="D1072">
        <f>Dashboard_Live_Data!R91</f>
        <v/>
      </c>
      <c r="E1072">
        <f>Dashboard_Live_Data!S91</f>
        <v/>
      </c>
      <c r="F1072">
        <f>Dashboard_Live_Data!T91</f>
        <v/>
      </c>
      <c r="G1072">
        <f>Dashboard_Live_Data!U91</f>
        <v/>
      </c>
      <c r="H1072">
        <f>Dashboard_Live_Data!V91</f>
        <v/>
      </c>
    </row>
    <row r="1073">
      <c r="A1073">
        <f>Dashboard_Live_Data!O92</f>
        <v/>
      </c>
      <c r="B1073">
        <f>Dashboard_Live_Data!P92</f>
        <v/>
      </c>
      <c r="C1073">
        <f>Dashboard_Live_Data!Q92</f>
        <v/>
      </c>
      <c r="D1073">
        <f>Dashboard_Live_Data!R92</f>
        <v/>
      </c>
      <c r="E1073">
        <f>Dashboard_Live_Data!S92</f>
        <v/>
      </c>
      <c r="F1073">
        <f>Dashboard_Live_Data!T92</f>
        <v/>
      </c>
      <c r="G1073">
        <f>Dashboard_Live_Data!U92</f>
        <v/>
      </c>
      <c r="H1073">
        <f>Dashboard_Live_Data!V92</f>
        <v/>
      </c>
    </row>
    <row r="1074">
      <c r="A1074">
        <f>Dashboard_Live_Data!O93</f>
        <v/>
      </c>
      <c r="B1074">
        <f>Dashboard_Live_Data!P93</f>
        <v/>
      </c>
      <c r="C1074">
        <f>Dashboard_Live_Data!Q93</f>
        <v/>
      </c>
      <c r="D1074">
        <f>Dashboard_Live_Data!R93</f>
        <v/>
      </c>
      <c r="E1074">
        <f>Dashboard_Live_Data!S93</f>
        <v/>
      </c>
      <c r="F1074">
        <f>Dashboard_Live_Data!T93</f>
        <v/>
      </c>
      <c r="G1074">
        <f>Dashboard_Live_Data!U93</f>
        <v/>
      </c>
      <c r="H1074">
        <f>Dashboard_Live_Data!V93</f>
        <v/>
      </c>
    </row>
    <row r="1075">
      <c r="A1075">
        <f>Dashboard_Live_Data!O94</f>
        <v/>
      </c>
      <c r="B1075">
        <f>Dashboard_Live_Data!P94</f>
        <v/>
      </c>
      <c r="C1075">
        <f>Dashboard_Live_Data!Q94</f>
        <v/>
      </c>
      <c r="D1075">
        <f>Dashboard_Live_Data!R94</f>
        <v/>
      </c>
      <c r="E1075">
        <f>Dashboard_Live_Data!S94</f>
        <v/>
      </c>
      <c r="F1075">
        <f>Dashboard_Live_Data!T94</f>
        <v/>
      </c>
      <c r="G1075">
        <f>Dashboard_Live_Data!U94</f>
        <v/>
      </c>
      <c r="H1075">
        <f>Dashboard_Live_Data!V94</f>
        <v/>
      </c>
    </row>
    <row r="1076">
      <c r="A1076">
        <f>Dashboard_Live_Data!O95</f>
        <v/>
      </c>
      <c r="B1076">
        <f>Dashboard_Live_Data!P95</f>
        <v/>
      </c>
      <c r="C1076">
        <f>Dashboard_Live_Data!Q95</f>
        <v/>
      </c>
      <c r="D1076">
        <f>Dashboard_Live_Data!R95</f>
        <v/>
      </c>
      <c r="E1076">
        <f>Dashboard_Live_Data!S95</f>
        <v/>
      </c>
      <c r="F1076">
        <f>Dashboard_Live_Data!T95</f>
        <v/>
      </c>
      <c r="G1076">
        <f>Dashboard_Live_Data!U95</f>
        <v/>
      </c>
      <c r="H1076">
        <f>Dashboard_Live_Data!V95</f>
        <v/>
      </c>
    </row>
    <row r="1077">
      <c r="A1077">
        <f>Dashboard_Live_Data!O96</f>
        <v/>
      </c>
      <c r="B1077">
        <f>Dashboard_Live_Data!P96</f>
        <v/>
      </c>
      <c r="C1077">
        <f>Dashboard_Live_Data!Q96</f>
        <v/>
      </c>
      <c r="D1077">
        <f>Dashboard_Live_Data!R96</f>
        <v/>
      </c>
      <c r="E1077">
        <f>Dashboard_Live_Data!S96</f>
        <v/>
      </c>
      <c r="F1077">
        <f>Dashboard_Live_Data!T96</f>
        <v/>
      </c>
      <c r="G1077">
        <f>Dashboard_Live_Data!U96</f>
        <v/>
      </c>
      <c r="H1077">
        <f>Dashboard_Live_Data!V96</f>
        <v/>
      </c>
    </row>
    <row r="1078">
      <c r="A1078">
        <f>Dashboard_Live_Data!O97</f>
        <v/>
      </c>
      <c r="B1078">
        <f>Dashboard_Live_Data!P97</f>
        <v/>
      </c>
      <c r="C1078">
        <f>Dashboard_Live_Data!Q97</f>
        <v/>
      </c>
      <c r="D1078">
        <f>Dashboard_Live_Data!R97</f>
        <v/>
      </c>
      <c r="E1078">
        <f>Dashboard_Live_Data!S97</f>
        <v/>
      </c>
      <c r="F1078">
        <f>Dashboard_Live_Data!T97</f>
        <v/>
      </c>
      <c r="G1078">
        <f>Dashboard_Live_Data!U97</f>
        <v/>
      </c>
      <c r="H1078">
        <f>Dashboard_Live_Data!V97</f>
        <v/>
      </c>
    </row>
    <row r="1079">
      <c r="A1079">
        <f>Dashboard_Live_Data!O98</f>
        <v/>
      </c>
      <c r="B1079">
        <f>Dashboard_Live_Data!P98</f>
        <v/>
      </c>
      <c r="C1079">
        <f>Dashboard_Live_Data!Q98</f>
        <v/>
      </c>
      <c r="D1079">
        <f>Dashboard_Live_Data!R98</f>
        <v/>
      </c>
      <c r="E1079">
        <f>Dashboard_Live_Data!S98</f>
        <v/>
      </c>
      <c r="F1079">
        <f>Dashboard_Live_Data!T98</f>
        <v/>
      </c>
      <c r="G1079">
        <f>Dashboard_Live_Data!U98</f>
        <v/>
      </c>
      <c r="H1079">
        <f>Dashboard_Live_Data!V98</f>
        <v/>
      </c>
    </row>
    <row r="1080">
      <c r="A1080">
        <f>Dashboard_Live_Data!O99</f>
        <v/>
      </c>
      <c r="B1080">
        <f>Dashboard_Live_Data!P99</f>
        <v/>
      </c>
      <c r="C1080">
        <f>Dashboard_Live_Data!Q99</f>
        <v/>
      </c>
      <c r="D1080">
        <f>Dashboard_Live_Data!R99</f>
        <v/>
      </c>
      <c r="E1080">
        <f>Dashboard_Live_Data!S99</f>
        <v/>
      </c>
      <c r="F1080">
        <f>Dashboard_Live_Data!T99</f>
        <v/>
      </c>
      <c r="G1080">
        <f>Dashboard_Live_Data!U99</f>
        <v/>
      </c>
      <c r="H1080">
        <f>Dashboard_Live_Data!V99</f>
        <v/>
      </c>
    </row>
    <row r="1081">
      <c r="A1081">
        <f>Dashboard_Live_Data!O100</f>
        <v/>
      </c>
      <c r="B1081">
        <f>Dashboard_Live_Data!P100</f>
        <v/>
      </c>
      <c r="C1081">
        <f>Dashboard_Live_Data!Q100</f>
        <v/>
      </c>
      <c r="D1081">
        <f>Dashboard_Live_Data!R100</f>
        <v/>
      </c>
      <c r="E1081">
        <f>Dashboard_Live_Data!S100</f>
        <v/>
      </c>
      <c r="F1081">
        <f>Dashboard_Live_Data!T100</f>
        <v/>
      </c>
      <c r="G1081">
        <f>Dashboard_Live_Data!U100</f>
        <v/>
      </c>
      <c r="H1081">
        <f>Dashboard_Live_Data!V100</f>
        <v/>
      </c>
    </row>
    <row r="1082">
      <c r="A1082">
        <f>Dashboard_Live_Data!O101</f>
        <v/>
      </c>
      <c r="B1082">
        <f>Dashboard_Live_Data!P101</f>
        <v/>
      </c>
      <c r="C1082">
        <f>Dashboard_Live_Data!Q101</f>
        <v/>
      </c>
      <c r="D1082">
        <f>Dashboard_Live_Data!R101</f>
        <v/>
      </c>
      <c r="E1082">
        <f>Dashboard_Live_Data!S101</f>
        <v/>
      </c>
      <c r="F1082">
        <f>Dashboard_Live_Data!T101</f>
        <v/>
      </c>
      <c r="G1082">
        <f>Dashboard_Live_Data!U101</f>
        <v/>
      </c>
      <c r="H1082">
        <f>Dashboard_Live_Data!V101</f>
        <v/>
      </c>
    </row>
    <row r="1083">
      <c r="A1083">
        <f>Dashboard_Live_Data!O102</f>
        <v/>
      </c>
      <c r="B1083">
        <f>Dashboard_Live_Data!P102</f>
        <v/>
      </c>
      <c r="C1083">
        <f>Dashboard_Live_Data!Q102</f>
        <v/>
      </c>
      <c r="D1083">
        <f>Dashboard_Live_Data!R102</f>
        <v/>
      </c>
      <c r="E1083">
        <f>Dashboard_Live_Data!S102</f>
        <v/>
      </c>
      <c r="F1083">
        <f>Dashboard_Live_Data!T102</f>
        <v/>
      </c>
      <c r="G1083">
        <f>Dashboard_Live_Data!U102</f>
        <v/>
      </c>
      <c r="H1083">
        <f>Dashboard_Live_Data!V102</f>
        <v/>
      </c>
    </row>
    <row r="1084">
      <c r="A1084">
        <f>Dashboard_Live_Data!O103</f>
        <v/>
      </c>
      <c r="B1084">
        <f>Dashboard_Live_Data!P103</f>
        <v/>
      </c>
      <c r="C1084">
        <f>Dashboard_Live_Data!Q103</f>
        <v/>
      </c>
      <c r="D1084">
        <f>Dashboard_Live_Data!R103</f>
        <v/>
      </c>
      <c r="E1084">
        <f>Dashboard_Live_Data!S103</f>
        <v/>
      </c>
      <c r="F1084">
        <f>Dashboard_Live_Data!T103</f>
        <v/>
      </c>
      <c r="G1084">
        <f>Dashboard_Live_Data!U103</f>
        <v/>
      </c>
      <c r="H1084">
        <f>Dashboard_Live_Data!V103</f>
        <v/>
      </c>
    </row>
    <row r="1085">
      <c r="A1085">
        <f>Dashboard_Live_Data!O104</f>
        <v/>
      </c>
      <c r="B1085">
        <f>Dashboard_Live_Data!P104</f>
        <v/>
      </c>
      <c r="C1085">
        <f>Dashboard_Live_Data!Q104</f>
        <v/>
      </c>
      <c r="D1085">
        <f>Dashboard_Live_Data!R104</f>
        <v/>
      </c>
      <c r="E1085">
        <f>Dashboard_Live_Data!S104</f>
        <v/>
      </c>
      <c r="F1085">
        <f>Dashboard_Live_Data!T104</f>
        <v/>
      </c>
      <c r="G1085">
        <f>Dashboard_Live_Data!U104</f>
        <v/>
      </c>
      <c r="H1085">
        <f>Dashboard_Live_Data!V104</f>
        <v/>
      </c>
    </row>
    <row r="1086">
      <c r="A1086">
        <f>Dashboard_Live_Data!O105</f>
        <v/>
      </c>
      <c r="B1086">
        <f>Dashboard_Live_Data!P105</f>
        <v/>
      </c>
      <c r="C1086">
        <f>Dashboard_Live_Data!Q105</f>
        <v/>
      </c>
      <c r="D1086">
        <f>Dashboard_Live_Data!R105</f>
        <v/>
      </c>
      <c r="E1086">
        <f>Dashboard_Live_Data!S105</f>
        <v/>
      </c>
      <c r="F1086">
        <f>Dashboard_Live_Data!T105</f>
        <v/>
      </c>
      <c r="G1086">
        <f>Dashboard_Live_Data!U105</f>
        <v/>
      </c>
      <c r="H1086">
        <f>Dashboard_Live_Data!V105</f>
        <v/>
      </c>
    </row>
    <row r="1087">
      <c r="A1087">
        <f>Dashboard_Live_Data!O106</f>
        <v/>
      </c>
      <c r="B1087">
        <f>Dashboard_Live_Data!P106</f>
        <v/>
      </c>
      <c r="C1087">
        <f>Dashboard_Live_Data!Q106</f>
        <v/>
      </c>
      <c r="D1087">
        <f>Dashboard_Live_Data!R106</f>
        <v/>
      </c>
      <c r="E1087">
        <f>Dashboard_Live_Data!S106</f>
        <v/>
      </c>
      <c r="F1087">
        <f>Dashboard_Live_Data!T106</f>
        <v/>
      </c>
      <c r="G1087">
        <f>Dashboard_Live_Data!U106</f>
        <v/>
      </c>
      <c r="H1087">
        <f>Dashboard_Live_Data!V106</f>
        <v/>
      </c>
    </row>
    <row r="1088">
      <c r="A1088">
        <f>Dashboard_Live_Data!O107</f>
        <v/>
      </c>
      <c r="B1088">
        <f>Dashboard_Live_Data!P107</f>
        <v/>
      </c>
      <c r="C1088">
        <f>Dashboard_Live_Data!Q107</f>
        <v/>
      </c>
      <c r="D1088">
        <f>Dashboard_Live_Data!R107</f>
        <v/>
      </c>
      <c r="E1088">
        <f>Dashboard_Live_Data!S107</f>
        <v/>
      </c>
      <c r="F1088">
        <f>Dashboard_Live_Data!T107</f>
        <v/>
      </c>
      <c r="G1088">
        <f>Dashboard_Live_Data!U107</f>
        <v/>
      </c>
      <c r="H1088">
        <f>Dashboard_Live_Data!V107</f>
        <v/>
      </c>
    </row>
    <row r="1089">
      <c r="A1089">
        <f>Dashboard_Live_Data!O108</f>
        <v/>
      </c>
      <c r="B1089">
        <f>Dashboard_Live_Data!P108</f>
        <v/>
      </c>
      <c r="C1089">
        <f>Dashboard_Live_Data!Q108</f>
        <v/>
      </c>
      <c r="D1089">
        <f>Dashboard_Live_Data!R108</f>
        <v/>
      </c>
      <c r="E1089">
        <f>Dashboard_Live_Data!S108</f>
        <v/>
      </c>
      <c r="F1089">
        <f>Dashboard_Live_Data!T108</f>
        <v/>
      </c>
      <c r="G1089">
        <f>Dashboard_Live_Data!U108</f>
        <v/>
      </c>
      <c r="H1089">
        <f>Dashboard_Live_Data!V108</f>
        <v/>
      </c>
    </row>
    <row r="1090">
      <c r="A1090">
        <f>Dashboard_Live_Data!O109</f>
        <v/>
      </c>
      <c r="B1090">
        <f>Dashboard_Live_Data!P109</f>
        <v/>
      </c>
      <c r="C1090">
        <f>Dashboard_Live_Data!Q109</f>
        <v/>
      </c>
      <c r="D1090">
        <f>Dashboard_Live_Data!R109</f>
        <v/>
      </c>
      <c r="E1090">
        <f>Dashboard_Live_Data!S109</f>
        <v/>
      </c>
      <c r="F1090">
        <f>Dashboard_Live_Data!T109</f>
        <v/>
      </c>
      <c r="G1090">
        <f>Dashboard_Live_Data!U109</f>
        <v/>
      </c>
      <c r="H1090">
        <f>Dashboard_Live_Data!V109</f>
        <v/>
      </c>
    </row>
    <row r="1091">
      <c r="A1091">
        <f>Dashboard_Live_Data!O110</f>
        <v/>
      </c>
      <c r="B1091">
        <f>Dashboard_Live_Data!P110</f>
        <v/>
      </c>
      <c r="C1091">
        <f>Dashboard_Live_Data!Q110</f>
        <v/>
      </c>
      <c r="D1091">
        <f>Dashboard_Live_Data!R110</f>
        <v/>
      </c>
      <c r="E1091">
        <f>Dashboard_Live_Data!S110</f>
        <v/>
      </c>
      <c r="F1091">
        <f>Dashboard_Live_Data!T110</f>
        <v/>
      </c>
      <c r="G1091">
        <f>Dashboard_Live_Data!U110</f>
        <v/>
      </c>
      <c r="H1091">
        <f>Dashboard_Live_Data!V110</f>
        <v/>
      </c>
    </row>
    <row r="1092">
      <c r="A1092">
        <f>Dashboard_Live_Data!O111</f>
        <v/>
      </c>
      <c r="B1092">
        <f>Dashboard_Live_Data!P111</f>
        <v/>
      </c>
      <c r="C1092">
        <f>Dashboard_Live_Data!Q111</f>
        <v/>
      </c>
      <c r="D1092">
        <f>Dashboard_Live_Data!R111</f>
        <v/>
      </c>
      <c r="E1092">
        <f>Dashboard_Live_Data!S111</f>
        <v/>
      </c>
      <c r="F1092">
        <f>Dashboard_Live_Data!T111</f>
        <v/>
      </c>
      <c r="G1092">
        <f>Dashboard_Live_Data!U111</f>
        <v/>
      </c>
      <c r="H1092">
        <f>Dashboard_Live_Data!V111</f>
        <v/>
      </c>
    </row>
    <row r="1093">
      <c r="A1093">
        <f>Dashboard_Live_Data!O112</f>
        <v/>
      </c>
      <c r="B1093">
        <f>Dashboard_Live_Data!P112</f>
        <v/>
      </c>
      <c r="C1093">
        <f>Dashboard_Live_Data!Q112</f>
        <v/>
      </c>
      <c r="D1093">
        <f>Dashboard_Live_Data!R112</f>
        <v/>
      </c>
      <c r="E1093">
        <f>Dashboard_Live_Data!S112</f>
        <v/>
      </c>
      <c r="F1093">
        <f>Dashboard_Live_Data!T112</f>
        <v/>
      </c>
      <c r="G1093">
        <f>Dashboard_Live_Data!U112</f>
        <v/>
      </c>
      <c r="H1093">
        <f>Dashboard_Live_Data!V112</f>
        <v/>
      </c>
    </row>
    <row r="1094">
      <c r="A1094">
        <f>Dashboard_Live_Data!O113</f>
        <v/>
      </c>
      <c r="B1094">
        <f>Dashboard_Live_Data!P113</f>
        <v/>
      </c>
      <c r="C1094">
        <f>Dashboard_Live_Data!Q113</f>
        <v/>
      </c>
      <c r="D1094">
        <f>Dashboard_Live_Data!R113</f>
        <v/>
      </c>
      <c r="E1094">
        <f>Dashboard_Live_Data!S113</f>
        <v/>
      </c>
      <c r="F1094">
        <f>Dashboard_Live_Data!T113</f>
        <v/>
      </c>
      <c r="G1094">
        <f>Dashboard_Live_Data!U113</f>
        <v/>
      </c>
      <c r="H1094">
        <f>Dashboard_Live_Data!V113</f>
        <v/>
      </c>
    </row>
    <row r="1095">
      <c r="A1095">
        <f>Dashboard_Live_Data!O114</f>
        <v/>
      </c>
      <c r="B1095">
        <f>Dashboard_Live_Data!P114</f>
        <v/>
      </c>
      <c r="C1095">
        <f>Dashboard_Live_Data!Q114</f>
        <v/>
      </c>
      <c r="D1095">
        <f>Dashboard_Live_Data!R114</f>
        <v/>
      </c>
      <c r="E1095">
        <f>Dashboard_Live_Data!S114</f>
        <v/>
      </c>
      <c r="F1095">
        <f>Dashboard_Live_Data!T114</f>
        <v/>
      </c>
      <c r="G1095">
        <f>Dashboard_Live_Data!U114</f>
        <v/>
      </c>
      <c r="H1095">
        <f>Dashboard_Live_Data!V114</f>
        <v/>
      </c>
    </row>
    <row r="1096">
      <c r="A1096">
        <f>Dashboard_Live_Data!O115</f>
        <v/>
      </c>
      <c r="B1096">
        <f>Dashboard_Live_Data!P115</f>
        <v/>
      </c>
      <c r="C1096">
        <f>Dashboard_Live_Data!Q115</f>
        <v/>
      </c>
      <c r="D1096">
        <f>Dashboard_Live_Data!R115</f>
        <v/>
      </c>
      <c r="E1096">
        <f>Dashboard_Live_Data!S115</f>
        <v/>
      </c>
      <c r="F1096">
        <f>Dashboard_Live_Data!T115</f>
        <v/>
      </c>
      <c r="G1096">
        <f>Dashboard_Live_Data!U115</f>
        <v/>
      </c>
      <c r="H1096">
        <f>Dashboard_Live_Data!V115</f>
        <v/>
      </c>
    </row>
    <row r="1097">
      <c r="A1097">
        <f>Dashboard_Live_Data!O116</f>
        <v/>
      </c>
      <c r="B1097">
        <f>Dashboard_Live_Data!P116</f>
        <v/>
      </c>
      <c r="C1097">
        <f>Dashboard_Live_Data!Q116</f>
        <v/>
      </c>
      <c r="D1097">
        <f>Dashboard_Live_Data!R116</f>
        <v/>
      </c>
      <c r="E1097">
        <f>Dashboard_Live_Data!S116</f>
        <v/>
      </c>
      <c r="F1097">
        <f>Dashboard_Live_Data!T116</f>
        <v/>
      </c>
      <c r="G1097">
        <f>Dashboard_Live_Data!U116</f>
        <v/>
      </c>
      <c r="H1097">
        <f>Dashboard_Live_Data!V116</f>
        <v/>
      </c>
    </row>
    <row r="1098">
      <c r="A1098">
        <f>Dashboard_Live_Data!O117</f>
        <v/>
      </c>
      <c r="B1098">
        <f>Dashboard_Live_Data!P117</f>
        <v/>
      </c>
      <c r="C1098">
        <f>Dashboard_Live_Data!Q117</f>
        <v/>
      </c>
      <c r="D1098">
        <f>Dashboard_Live_Data!R117</f>
        <v/>
      </c>
      <c r="E1098">
        <f>Dashboard_Live_Data!S117</f>
        <v/>
      </c>
      <c r="F1098">
        <f>Dashboard_Live_Data!T117</f>
        <v/>
      </c>
      <c r="G1098">
        <f>Dashboard_Live_Data!U117</f>
        <v/>
      </c>
      <c r="H1098">
        <f>Dashboard_Live_Data!V117</f>
        <v/>
      </c>
    </row>
    <row r="1099">
      <c r="A1099">
        <f>Dashboard_Live_Data!O118</f>
        <v/>
      </c>
      <c r="B1099">
        <f>Dashboard_Live_Data!P118</f>
        <v/>
      </c>
      <c r="C1099">
        <f>Dashboard_Live_Data!Q118</f>
        <v/>
      </c>
      <c r="D1099">
        <f>Dashboard_Live_Data!R118</f>
        <v/>
      </c>
      <c r="E1099">
        <f>Dashboard_Live_Data!S118</f>
        <v/>
      </c>
      <c r="F1099">
        <f>Dashboard_Live_Data!T118</f>
        <v/>
      </c>
      <c r="G1099">
        <f>Dashboard_Live_Data!U118</f>
        <v/>
      </c>
      <c r="H1099">
        <f>Dashboard_Live_Data!V118</f>
        <v/>
      </c>
    </row>
    <row r="1100">
      <c r="A1100">
        <f>Dashboard_Live_Data!O119</f>
        <v/>
      </c>
      <c r="B1100">
        <f>Dashboard_Live_Data!P119</f>
        <v/>
      </c>
      <c r="C1100">
        <f>Dashboard_Live_Data!Q119</f>
        <v/>
      </c>
      <c r="D1100">
        <f>Dashboard_Live_Data!R119</f>
        <v/>
      </c>
      <c r="E1100">
        <f>Dashboard_Live_Data!S119</f>
        <v/>
      </c>
      <c r="F1100">
        <f>Dashboard_Live_Data!T119</f>
        <v/>
      </c>
      <c r="G1100">
        <f>Dashboard_Live_Data!U119</f>
        <v/>
      </c>
      <c r="H1100">
        <f>Dashboard_Live_Data!V119</f>
        <v/>
      </c>
    </row>
    <row r="1101">
      <c r="A1101">
        <f>Dashboard_Live_Data!O120</f>
        <v/>
      </c>
      <c r="B1101">
        <f>Dashboard_Live_Data!P120</f>
        <v/>
      </c>
      <c r="C1101">
        <f>Dashboard_Live_Data!Q120</f>
        <v/>
      </c>
      <c r="D1101">
        <f>Dashboard_Live_Data!R120</f>
        <v/>
      </c>
      <c r="E1101">
        <f>Dashboard_Live_Data!S120</f>
        <v/>
      </c>
      <c r="F1101">
        <f>Dashboard_Live_Data!T120</f>
        <v/>
      </c>
      <c r="G1101">
        <f>Dashboard_Live_Data!U120</f>
        <v/>
      </c>
      <c r="H1101">
        <f>Dashboard_Live_Data!V120</f>
        <v/>
      </c>
    </row>
    <row r="1102">
      <c r="A1102">
        <f>Dashboard_Live_Data!O121</f>
        <v/>
      </c>
      <c r="B1102">
        <f>Dashboard_Live_Data!P121</f>
        <v/>
      </c>
      <c r="C1102">
        <f>Dashboard_Live_Data!Q121</f>
        <v/>
      </c>
      <c r="D1102">
        <f>Dashboard_Live_Data!R121</f>
        <v/>
      </c>
      <c r="E1102">
        <f>Dashboard_Live_Data!S121</f>
        <v/>
      </c>
      <c r="F1102">
        <f>Dashboard_Live_Data!T121</f>
        <v/>
      </c>
      <c r="G1102">
        <f>Dashboard_Live_Data!U121</f>
        <v/>
      </c>
      <c r="H1102">
        <f>Dashboard_Live_Data!V121</f>
        <v/>
      </c>
    </row>
    <row r="1103">
      <c r="A1103">
        <f>Dashboard_Live_Data!O122</f>
        <v/>
      </c>
      <c r="B1103">
        <f>Dashboard_Live_Data!P122</f>
        <v/>
      </c>
      <c r="C1103">
        <f>Dashboard_Live_Data!Q122</f>
        <v/>
      </c>
      <c r="D1103">
        <f>Dashboard_Live_Data!R122</f>
        <v/>
      </c>
      <c r="E1103">
        <f>Dashboard_Live_Data!S122</f>
        <v/>
      </c>
      <c r="F1103">
        <f>Dashboard_Live_Data!T122</f>
        <v/>
      </c>
      <c r="G1103">
        <f>Dashboard_Live_Data!U122</f>
        <v/>
      </c>
      <c r="H1103">
        <f>Dashboard_Live_Data!V122</f>
        <v/>
      </c>
    </row>
    <row r="1104">
      <c r="A1104">
        <f>Dashboard_Live_Data!O123</f>
        <v/>
      </c>
      <c r="B1104">
        <f>Dashboard_Live_Data!P123</f>
        <v/>
      </c>
      <c r="C1104">
        <f>Dashboard_Live_Data!Q123</f>
        <v/>
      </c>
      <c r="D1104">
        <f>Dashboard_Live_Data!R123</f>
        <v/>
      </c>
      <c r="E1104">
        <f>Dashboard_Live_Data!S123</f>
        <v/>
      </c>
      <c r="F1104">
        <f>Dashboard_Live_Data!T123</f>
        <v/>
      </c>
      <c r="G1104">
        <f>Dashboard_Live_Data!U123</f>
        <v/>
      </c>
      <c r="H1104">
        <f>Dashboard_Live_Data!V123</f>
        <v/>
      </c>
    </row>
    <row r="1105">
      <c r="A1105">
        <f>Dashboard_Live_Data!O124</f>
        <v/>
      </c>
      <c r="B1105">
        <f>Dashboard_Live_Data!P124</f>
        <v/>
      </c>
      <c r="C1105">
        <f>Dashboard_Live_Data!Q124</f>
        <v/>
      </c>
      <c r="D1105">
        <f>Dashboard_Live_Data!R124</f>
        <v/>
      </c>
      <c r="E1105">
        <f>Dashboard_Live_Data!S124</f>
        <v/>
      </c>
      <c r="F1105">
        <f>Dashboard_Live_Data!T124</f>
        <v/>
      </c>
      <c r="G1105">
        <f>Dashboard_Live_Data!U124</f>
        <v/>
      </c>
      <c r="H1105">
        <f>Dashboard_Live_Data!V124</f>
        <v/>
      </c>
    </row>
    <row r="1106">
      <c r="A1106">
        <f>Dashboard_Live_Data!O125</f>
        <v/>
      </c>
      <c r="B1106">
        <f>Dashboard_Live_Data!P125</f>
        <v/>
      </c>
      <c r="C1106">
        <f>Dashboard_Live_Data!Q125</f>
        <v/>
      </c>
      <c r="D1106">
        <f>Dashboard_Live_Data!R125</f>
        <v/>
      </c>
      <c r="E1106">
        <f>Dashboard_Live_Data!S125</f>
        <v/>
      </c>
      <c r="F1106">
        <f>Dashboard_Live_Data!T125</f>
        <v/>
      </c>
      <c r="G1106">
        <f>Dashboard_Live_Data!U125</f>
        <v/>
      </c>
      <c r="H1106">
        <f>Dashboard_Live_Data!V125</f>
        <v/>
      </c>
    </row>
    <row r="1107">
      <c r="A1107">
        <f>Dashboard_Live_Data!O126</f>
        <v/>
      </c>
      <c r="B1107">
        <f>Dashboard_Live_Data!P126</f>
        <v/>
      </c>
      <c r="C1107">
        <f>Dashboard_Live_Data!Q126</f>
        <v/>
      </c>
      <c r="D1107">
        <f>Dashboard_Live_Data!R126</f>
        <v/>
      </c>
      <c r="E1107">
        <f>Dashboard_Live_Data!S126</f>
        <v/>
      </c>
      <c r="F1107">
        <f>Dashboard_Live_Data!T126</f>
        <v/>
      </c>
      <c r="G1107">
        <f>Dashboard_Live_Data!U126</f>
        <v/>
      </c>
      <c r="H1107">
        <f>Dashboard_Live_Data!V126</f>
        <v/>
      </c>
    </row>
    <row r="1108">
      <c r="A1108">
        <f>Dashboard_Live_Data!O127</f>
        <v/>
      </c>
      <c r="B1108">
        <f>Dashboard_Live_Data!P127</f>
        <v/>
      </c>
      <c r="C1108">
        <f>Dashboard_Live_Data!Q127</f>
        <v/>
      </c>
      <c r="D1108">
        <f>Dashboard_Live_Data!R127</f>
        <v/>
      </c>
      <c r="E1108">
        <f>Dashboard_Live_Data!S127</f>
        <v/>
      </c>
      <c r="F1108">
        <f>Dashboard_Live_Data!T127</f>
        <v/>
      </c>
      <c r="G1108">
        <f>Dashboard_Live_Data!U127</f>
        <v/>
      </c>
      <c r="H1108">
        <f>Dashboard_Live_Data!V127</f>
        <v/>
      </c>
    </row>
    <row r="1109">
      <c r="A1109">
        <f>Dashboard_Live_Data!O128</f>
        <v/>
      </c>
      <c r="B1109">
        <f>Dashboard_Live_Data!P128</f>
        <v/>
      </c>
      <c r="C1109">
        <f>Dashboard_Live_Data!Q128</f>
        <v/>
      </c>
      <c r="D1109">
        <f>Dashboard_Live_Data!R128</f>
        <v/>
      </c>
      <c r="E1109">
        <f>Dashboard_Live_Data!S128</f>
        <v/>
      </c>
      <c r="F1109">
        <f>Dashboard_Live_Data!T128</f>
        <v/>
      </c>
      <c r="G1109">
        <f>Dashboard_Live_Data!U128</f>
        <v/>
      </c>
      <c r="H1109">
        <f>Dashboard_Live_Data!V128</f>
        <v/>
      </c>
    </row>
    <row r="1110">
      <c r="A1110">
        <f>Dashboard_Live_Data!O129</f>
        <v/>
      </c>
      <c r="B1110">
        <f>Dashboard_Live_Data!P129</f>
        <v/>
      </c>
      <c r="C1110">
        <f>Dashboard_Live_Data!Q129</f>
        <v/>
      </c>
      <c r="D1110">
        <f>Dashboard_Live_Data!R129</f>
        <v/>
      </c>
      <c r="E1110">
        <f>Dashboard_Live_Data!S129</f>
        <v/>
      </c>
      <c r="F1110">
        <f>Dashboard_Live_Data!T129</f>
        <v/>
      </c>
      <c r="G1110">
        <f>Dashboard_Live_Data!U129</f>
        <v/>
      </c>
      <c r="H1110">
        <f>Dashboard_Live_Data!V129</f>
        <v/>
      </c>
    </row>
    <row r="1111">
      <c r="A1111">
        <f>Dashboard_Live_Data!O130</f>
        <v/>
      </c>
      <c r="B1111">
        <f>Dashboard_Live_Data!P130</f>
        <v/>
      </c>
      <c r="C1111">
        <f>Dashboard_Live_Data!Q130</f>
        <v/>
      </c>
      <c r="D1111">
        <f>Dashboard_Live_Data!R130</f>
        <v/>
      </c>
      <c r="E1111">
        <f>Dashboard_Live_Data!S130</f>
        <v/>
      </c>
      <c r="F1111">
        <f>Dashboard_Live_Data!T130</f>
        <v/>
      </c>
      <c r="G1111">
        <f>Dashboard_Live_Data!U130</f>
        <v/>
      </c>
      <c r="H1111">
        <f>Dashboard_Live_Data!V130</f>
        <v/>
      </c>
    </row>
    <row r="1112">
      <c r="A1112">
        <f>Dashboard_Live_Data!O131</f>
        <v/>
      </c>
      <c r="B1112">
        <f>Dashboard_Live_Data!P131</f>
        <v/>
      </c>
      <c r="C1112">
        <f>Dashboard_Live_Data!Q131</f>
        <v/>
      </c>
      <c r="D1112">
        <f>Dashboard_Live_Data!R131</f>
        <v/>
      </c>
      <c r="E1112">
        <f>Dashboard_Live_Data!S131</f>
        <v/>
      </c>
      <c r="F1112">
        <f>Dashboard_Live_Data!T131</f>
        <v/>
      </c>
      <c r="G1112">
        <f>Dashboard_Live_Data!U131</f>
        <v/>
      </c>
      <c r="H1112">
        <f>Dashboard_Live_Data!V131</f>
        <v/>
      </c>
    </row>
    <row r="1113">
      <c r="A1113">
        <f>Dashboard_Live_Data!O132</f>
        <v/>
      </c>
      <c r="B1113">
        <f>Dashboard_Live_Data!P132</f>
        <v/>
      </c>
      <c r="C1113">
        <f>Dashboard_Live_Data!Q132</f>
        <v/>
      </c>
      <c r="D1113">
        <f>Dashboard_Live_Data!R132</f>
        <v/>
      </c>
      <c r="E1113">
        <f>Dashboard_Live_Data!S132</f>
        <v/>
      </c>
      <c r="F1113">
        <f>Dashboard_Live_Data!T132</f>
        <v/>
      </c>
      <c r="G1113">
        <f>Dashboard_Live_Data!U132</f>
        <v/>
      </c>
      <c r="H1113">
        <f>Dashboard_Live_Data!V132</f>
        <v/>
      </c>
    </row>
    <row r="1114">
      <c r="A1114">
        <f>Dashboard_Live_Data!O133</f>
        <v/>
      </c>
      <c r="B1114">
        <f>Dashboard_Live_Data!P133</f>
        <v/>
      </c>
      <c r="C1114">
        <f>Dashboard_Live_Data!Q133</f>
        <v/>
      </c>
      <c r="D1114">
        <f>Dashboard_Live_Data!R133</f>
        <v/>
      </c>
      <c r="E1114">
        <f>Dashboard_Live_Data!S133</f>
        <v/>
      </c>
      <c r="F1114">
        <f>Dashboard_Live_Data!T133</f>
        <v/>
      </c>
      <c r="G1114">
        <f>Dashboard_Live_Data!U133</f>
        <v/>
      </c>
      <c r="H1114">
        <f>Dashboard_Live_Data!V133</f>
        <v/>
      </c>
    </row>
    <row r="1115">
      <c r="A1115">
        <f>Dashboard_Live_Data!O134</f>
        <v/>
      </c>
      <c r="B1115">
        <f>Dashboard_Live_Data!P134</f>
        <v/>
      </c>
      <c r="C1115">
        <f>Dashboard_Live_Data!Q134</f>
        <v/>
      </c>
      <c r="D1115">
        <f>Dashboard_Live_Data!R134</f>
        <v/>
      </c>
      <c r="E1115">
        <f>Dashboard_Live_Data!S134</f>
        <v/>
      </c>
      <c r="F1115">
        <f>Dashboard_Live_Data!T134</f>
        <v/>
      </c>
      <c r="G1115">
        <f>Dashboard_Live_Data!U134</f>
        <v/>
      </c>
      <c r="H1115">
        <f>Dashboard_Live_Data!V134</f>
        <v/>
      </c>
    </row>
    <row r="1116">
      <c r="A1116">
        <f>Dashboard_Live_Data!O135</f>
        <v/>
      </c>
      <c r="B1116">
        <f>Dashboard_Live_Data!P135</f>
        <v/>
      </c>
      <c r="C1116">
        <f>Dashboard_Live_Data!Q135</f>
        <v/>
      </c>
      <c r="D1116">
        <f>Dashboard_Live_Data!R135</f>
        <v/>
      </c>
      <c r="E1116">
        <f>Dashboard_Live_Data!S135</f>
        <v/>
      </c>
      <c r="F1116">
        <f>Dashboard_Live_Data!T135</f>
        <v/>
      </c>
      <c r="G1116">
        <f>Dashboard_Live_Data!U135</f>
        <v/>
      </c>
      <c r="H1116">
        <f>Dashboard_Live_Data!V135</f>
        <v/>
      </c>
    </row>
    <row r="1117">
      <c r="A1117">
        <f>Dashboard_Live_Data!O136</f>
        <v/>
      </c>
      <c r="B1117">
        <f>Dashboard_Live_Data!P136</f>
        <v/>
      </c>
      <c r="C1117">
        <f>Dashboard_Live_Data!Q136</f>
        <v/>
      </c>
      <c r="D1117">
        <f>Dashboard_Live_Data!R136</f>
        <v/>
      </c>
      <c r="E1117">
        <f>Dashboard_Live_Data!S136</f>
        <v/>
      </c>
      <c r="F1117">
        <f>Dashboard_Live_Data!T136</f>
        <v/>
      </c>
      <c r="G1117">
        <f>Dashboard_Live_Data!U136</f>
        <v/>
      </c>
      <c r="H1117">
        <f>Dashboard_Live_Data!V136</f>
        <v/>
      </c>
    </row>
    <row r="1118">
      <c r="A1118">
        <f>Dashboard_Live_Data!O137</f>
        <v/>
      </c>
      <c r="B1118">
        <f>Dashboard_Live_Data!P137</f>
        <v/>
      </c>
      <c r="C1118">
        <f>Dashboard_Live_Data!Q137</f>
        <v/>
      </c>
      <c r="D1118">
        <f>Dashboard_Live_Data!R137</f>
        <v/>
      </c>
      <c r="E1118">
        <f>Dashboard_Live_Data!S137</f>
        <v/>
      </c>
      <c r="F1118">
        <f>Dashboard_Live_Data!T137</f>
        <v/>
      </c>
      <c r="G1118">
        <f>Dashboard_Live_Data!U137</f>
        <v/>
      </c>
      <c r="H1118">
        <f>Dashboard_Live_Data!V137</f>
        <v/>
      </c>
    </row>
    <row r="1119">
      <c r="A1119">
        <f>Dashboard_Live_Data!O138</f>
        <v/>
      </c>
      <c r="B1119">
        <f>Dashboard_Live_Data!P138</f>
        <v/>
      </c>
      <c r="C1119">
        <f>Dashboard_Live_Data!Q138</f>
        <v/>
      </c>
      <c r="D1119">
        <f>Dashboard_Live_Data!R138</f>
        <v/>
      </c>
      <c r="E1119">
        <f>Dashboard_Live_Data!S138</f>
        <v/>
      </c>
      <c r="F1119">
        <f>Dashboard_Live_Data!T138</f>
        <v/>
      </c>
      <c r="G1119">
        <f>Dashboard_Live_Data!U138</f>
        <v/>
      </c>
      <c r="H1119">
        <f>Dashboard_Live_Data!V138</f>
        <v/>
      </c>
    </row>
    <row r="1120">
      <c r="A1120">
        <f>Dashboard_Live_Data!O139</f>
        <v/>
      </c>
      <c r="B1120">
        <f>Dashboard_Live_Data!P139</f>
        <v/>
      </c>
      <c r="C1120">
        <f>Dashboard_Live_Data!Q139</f>
        <v/>
      </c>
      <c r="D1120">
        <f>Dashboard_Live_Data!R139</f>
        <v/>
      </c>
      <c r="E1120">
        <f>Dashboard_Live_Data!S139</f>
        <v/>
      </c>
      <c r="F1120">
        <f>Dashboard_Live_Data!T139</f>
        <v/>
      </c>
      <c r="G1120">
        <f>Dashboard_Live_Data!U139</f>
        <v/>
      </c>
      <c r="H1120">
        <f>Dashboard_Live_Data!V139</f>
        <v/>
      </c>
    </row>
    <row r="1121">
      <c r="A1121">
        <f>Dashboard_Live_Data!O140</f>
        <v/>
      </c>
      <c r="B1121">
        <f>Dashboard_Live_Data!P140</f>
        <v/>
      </c>
      <c r="C1121">
        <f>Dashboard_Live_Data!Q140</f>
        <v/>
      </c>
      <c r="D1121">
        <f>Dashboard_Live_Data!R140</f>
        <v/>
      </c>
      <c r="E1121">
        <f>Dashboard_Live_Data!S140</f>
        <v/>
      </c>
      <c r="F1121">
        <f>Dashboard_Live_Data!T140</f>
        <v/>
      </c>
      <c r="G1121">
        <f>Dashboard_Live_Data!U140</f>
        <v/>
      </c>
      <c r="H1121">
        <f>Dashboard_Live_Data!V140</f>
        <v/>
      </c>
    </row>
    <row r="1122">
      <c r="A1122">
        <f>Dashboard_Live_Data!O141</f>
        <v/>
      </c>
      <c r="B1122">
        <f>Dashboard_Live_Data!P141</f>
        <v/>
      </c>
      <c r="C1122">
        <f>Dashboard_Live_Data!Q141</f>
        <v/>
      </c>
      <c r="D1122">
        <f>Dashboard_Live_Data!R141</f>
        <v/>
      </c>
      <c r="E1122">
        <f>Dashboard_Live_Data!S141</f>
        <v/>
      </c>
      <c r="F1122">
        <f>Dashboard_Live_Data!T141</f>
        <v/>
      </c>
      <c r="G1122">
        <f>Dashboard_Live_Data!U141</f>
        <v/>
      </c>
      <c r="H1122">
        <f>Dashboard_Live_Data!V141</f>
        <v/>
      </c>
    </row>
    <row r="1123">
      <c r="A1123">
        <f>Dashboard_Live_Data!O142</f>
        <v/>
      </c>
      <c r="B1123">
        <f>Dashboard_Live_Data!P142</f>
        <v/>
      </c>
      <c r="C1123">
        <f>Dashboard_Live_Data!Q142</f>
        <v/>
      </c>
      <c r="D1123">
        <f>Dashboard_Live_Data!R142</f>
        <v/>
      </c>
      <c r="E1123">
        <f>Dashboard_Live_Data!S142</f>
        <v/>
      </c>
      <c r="F1123">
        <f>Dashboard_Live_Data!T142</f>
        <v/>
      </c>
      <c r="G1123">
        <f>Dashboard_Live_Data!U142</f>
        <v/>
      </c>
      <c r="H1123">
        <f>Dashboard_Live_Data!V142</f>
        <v/>
      </c>
    </row>
    <row r="1124">
      <c r="A1124">
        <f>Dashboard_Live_Data!O143</f>
        <v/>
      </c>
      <c r="B1124">
        <f>Dashboard_Live_Data!P143</f>
        <v/>
      </c>
      <c r="C1124">
        <f>Dashboard_Live_Data!Q143</f>
        <v/>
      </c>
      <c r="D1124">
        <f>Dashboard_Live_Data!R143</f>
        <v/>
      </c>
      <c r="E1124">
        <f>Dashboard_Live_Data!S143</f>
        <v/>
      </c>
      <c r="F1124">
        <f>Dashboard_Live_Data!T143</f>
        <v/>
      </c>
      <c r="G1124">
        <f>Dashboard_Live_Data!U143</f>
        <v/>
      </c>
      <c r="H1124">
        <f>Dashboard_Live_Data!V143</f>
        <v/>
      </c>
    </row>
    <row r="1125">
      <c r="A1125">
        <f>Dashboard_Live_Data!O144</f>
        <v/>
      </c>
      <c r="B1125">
        <f>Dashboard_Live_Data!P144</f>
        <v/>
      </c>
      <c r="C1125">
        <f>Dashboard_Live_Data!Q144</f>
        <v/>
      </c>
      <c r="D1125">
        <f>Dashboard_Live_Data!R144</f>
        <v/>
      </c>
      <c r="E1125">
        <f>Dashboard_Live_Data!S144</f>
        <v/>
      </c>
      <c r="F1125">
        <f>Dashboard_Live_Data!T144</f>
        <v/>
      </c>
      <c r="G1125">
        <f>Dashboard_Live_Data!U144</f>
        <v/>
      </c>
      <c r="H1125">
        <f>Dashboard_Live_Data!V144</f>
        <v/>
      </c>
    </row>
    <row r="1126">
      <c r="A1126">
        <f>Dashboard_Live_Data!O145</f>
        <v/>
      </c>
      <c r="B1126">
        <f>Dashboard_Live_Data!P145</f>
        <v/>
      </c>
      <c r="C1126">
        <f>Dashboard_Live_Data!Q145</f>
        <v/>
      </c>
      <c r="D1126">
        <f>Dashboard_Live_Data!R145</f>
        <v/>
      </c>
      <c r="E1126">
        <f>Dashboard_Live_Data!S145</f>
        <v/>
      </c>
      <c r="F1126">
        <f>Dashboard_Live_Data!T145</f>
        <v/>
      </c>
      <c r="G1126">
        <f>Dashboard_Live_Data!U145</f>
        <v/>
      </c>
      <c r="H1126">
        <f>Dashboard_Live_Data!V145</f>
        <v/>
      </c>
    </row>
    <row r="1127">
      <c r="A1127">
        <f>Dashboard_Live_Data!O146</f>
        <v/>
      </c>
      <c r="B1127">
        <f>Dashboard_Live_Data!P146</f>
        <v/>
      </c>
      <c r="C1127">
        <f>Dashboard_Live_Data!Q146</f>
        <v/>
      </c>
      <c r="D1127">
        <f>Dashboard_Live_Data!R146</f>
        <v/>
      </c>
      <c r="E1127">
        <f>Dashboard_Live_Data!S146</f>
        <v/>
      </c>
      <c r="F1127">
        <f>Dashboard_Live_Data!T146</f>
        <v/>
      </c>
      <c r="G1127">
        <f>Dashboard_Live_Data!U146</f>
        <v/>
      </c>
      <c r="H1127">
        <f>Dashboard_Live_Data!V146</f>
        <v/>
      </c>
    </row>
    <row r="1128">
      <c r="A1128">
        <f>Dashboard_Live_Data!O147</f>
        <v/>
      </c>
      <c r="B1128">
        <f>Dashboard_Live_Data!P147</f>
        <v/>
      </c>
      <c r="C1128">
        <f>Dashboard_Live_Data!Q147</f>
        <v/>
      </c>
      <c r="D1128">
        <f>Dashboard_Live_Data!R147</f>
        <v/>
      </c>
      <c r="E1128">
        <f>Dashboard_Live_Data!S147</f>
        <v/>
      </c>
      <c r="F1128">
        <f>Dashboard_Live_Data!T147</f>
        <v/>
      </c>
      <c r="G1128">
        <f>Dashboard_Live_Data!U147</f>
        <v/>
      </c>
      <c r="H1128">
        <f>Dashboard_Live_Data!V147</f>
        <v/>
      </c>
    </row>
    <row r="1129">
      <c r="A1129">
        <f>Dashboard_Live_Data!O148</f>
        <v/>
      </c>
      <c r="B1129">
        <f>Dashboard_Live_Data!P148</f>
        <v/>
      </c>
      <c r="C1129">
        <f>Dashboard_Live_Data!Q148</f>
        <v/>
      </c>
      <c r="D1129">
        <f>Dashboard_Live_Data!R148</f>
        <v/>
      </c>
      <c r="E1129">
        <f>Dashboard_Live_Data!S148</f>
        <v/>
      </c>
      <c r="F1129">
        <f>Dashboard_Live_Data!T148</f>
        <v/>
      </c>
      <c r="G1129">
        <f>Dashboard_Live_Data!U148</f>
        <v/>
      </c>
      <c r="H1129">
        <f>Dashboard_Live_Data!V148</f>
        <v/>
      </c>
    </row>
    <row r="1130">
      <c r="A1130">
        <f>Dashboard_Live_Data!O149</f>
        <v/>
      </c>
      <c r="B1130">
        <f>Dashboard_Live_Data!P149</f>
        <v/>
      </c>
      <c r="C1130">
        <f>Dashboard_Live_Data!Q149</f>
        <v/>
      </c>
      <c r="D1130">
        <f>Dashboard_Live_Data!R149</f>
        <v/>
      </c>
      <c r="E1130">
        <f>Dashboard_Live_Data!S149</f>
        <v/>
      </c>
      <c r="F1130">
        <f>Dashboard_Live_Data!T149</f>
        <v/>
      </c>
      <c r="G1130">
        <f>Dashboard_Live_Data!U149</f>
        <v/>
      </c>
      <c r="H1130">
        <f>Dashboard_Live_Data!V149</f>
        <v/>
      </c>
    </row>
    <row r="1131">
      <c r="A1131">
        <f>Dashboard_Live_Data!O150</f>
        <v/>
      </c>
      <c r="B1131">
        <f>Dashboard_Live_Data!P150</f>
        <v/>
      </c>
      <c r="C1131">
        <f>Dashboard_Live_Data!Q150</f>
        <v/>
      </c>
      <c r="D1131">
        <f>Dashboard_Live_Data!R150</f>
        <v/>
      </c>
      <c r="E1131">
        <f>Dashboard_Live_Data!S150</f>
        <v/>
      </c>
      <c r="F1131">
        <f>Dashboard_Live_Data!T150</f>
        <v/>
      </c>
      <c r="G1131">
        <f>Dashboard_Live_Data!U150</f>
        <v/>
      </c>
      <c r="H1131">
        <f>Dashboard_Live_Data!V150</f>
        <v/>
      </c>
    </row>
    <row r="1132">
      <c r="A1132">
        <f>Dashboard_Live_Data!O151</f>
        <v/>
      </c>
      <c r="B1132">
        <f>Dashboard_Live_Data!P151</f>
        <v/>
      </c>
      <c r="C1132">
        <f>Dashboard_Live_Data!Q151</f>
        <v/>
      </c>
      <c r="D1132">
        <f>Dashboard_Live_Data!R151</f>
        <v/>
      </c>
      <c r="E1132">
        <f>Dashboard_Live_Data!S151</f>
        <v/>
      </c>
      <c r="F1132">
        <f>Dashboard_Live_Data!T151</f>
        <v/>
      </c>
      <c r="G1132">
        <f>Dashboard_Live_Data!U151</f>
        <v/>
      </c>
      <c r="H1132">
        <f>Dashboard_Live_Data!V151</f>
        <v/>
      </c>
    </row>
    <row r="1133">
      <c r="A1133">
        <f>Dashboard_Live_Data!O152</f>
        <v/>
      </c>
      <c r="B1133">
        <f>Dashboard_Live_Data!P152</f>
        <v/>
      </c>
      <c r="C1133">
        <f>Dashboard_Live_Data!Q152</f>
        <v/>
      </c>
      <c r="D1133">
        <f>Dashboard_Live_Data!R152</f>
        <v/>
      </c>
      <c r="E1133">
        <f>Dashboard_Live_Data!S152</f>
        <v/>
      </c>
      <c r="F1133">
        <f>Dashboard_Live_Data!T152</f>
        <v/>
      </c>
      <c r="G1133">
        <f>Dashboard_Live_Data!U152</f>
        <v/>
      </c>
      <c r="H1133">
        <f>Dashboard_Live_Data!V152</f>
        <v/>
      </c>
    </row>
    <row r="1134">
      <c r="A1134">
        <f>Dashboard_Live_Data!O153</f>
        <v/>
      </c>
      <c r="B1134">
        <f>Dashboard_Live_Data!P153</f>
        <v/>
      </c>
      <c r="C1134">
        <f>Dashboard_Live_Data!Q153</f>
        <v/>
      </c>
      <c r="D1134">
        <f>Dashboard_Live_Data!R153</f>
        <v/>
      </c>
      <c r="E1134">
        <f>Dashboard_Live_Data!S153</f>
        <v/>
      </c>
      <c r="F1134">
        <f>Dashboard_Live_Data!T153</f>
        <v/>
      </c>
      <c r="G1134">
        <f>Dashboard_Live_Data!U153</f>
        <v/>
      </c>
      <c r="H1134">
        <f>Dashboard_Live_Data!V153</f>
        <v/>
      </c>
    </row>
    <row r="1135">
      <c r="A1135">
        <f>Dashboard_Live_Data!O154</f>
        <v/>
      </c>
      <c r="B1135">
        <f>Dashboard_Live_Data!P154</f>
        <v/>
      </c>
      <c r="C1135">
        <f>Dashboard_Live_Data!Q154</f>
        <v/>
      </c>
      <c r="D1135">
        <f>Dashboard_Live_Data!R154</f>
        <v/>
      </c>
      <c r="E1135">
        <f>Dashboard_Live_Data!S154</f>
        <v/>
      </c>
      <c r="F1135">
        <f>Dashboard_Live_Data!T154</f>
        <v/>
      </c>
      <c r="G1135">
        <f>Dashboard_Live_Data!U154</f>
        <v/>
      </c>
      <c r="H1135">
        <f>Dashboard_Live_Data!V154</f>
        <v/>
      </c>
    </row>
    <row r="1136">
      <c r="A1136">
        <f>Dashboard_Live_Data!O155</f>
        <v/>
      </c>
      <c r="B1136">
        <f>Dashboard_Live_Data!P155</f>
        <v/>
      </c>
      <c r="C1136">
        <f>Dashboard_Live_Data!Q155</f>
        <v/>
      </c>
      <c r="D1136">
        <f>Dashboard_Live_Data!R155</f>
        <v/>
      </c>
      <c r="E1136">
        <f>Dashboard_Live_Data!S155</f>
        <v/>
      </c>
      <c r="F1136">
        <f>Dashboard_Live_Data!T155</f>
        <v/>
      </c>
      <c r="G1136">
        <f>Dashboard_Live_Data!U155</f>
        <v/>
      </c>
      <c r="H1136">
        <f>Dashboard_Live_Data!V155</f>
        <v/>
      </c>
    </row>
    <row r="1137">
      <c r="A1137">
        <f>Dashboard_Live_Data!O156</f>
        <v/>
      </c>
      <c r="B1137">
        <f>Dashboard_Live_Data!P156</f>
        <v/>
      </c>
      <c r="C1137">
        <f>Dashboard_Live_Data!Q156</f>
        <v/>
      </c>
      <c r="D1137">
        <f>Dashboard_Live_Data!R156</f>
        <v/>
      </c>
      <c r="E1137">
        <f>Dashboard_Live_Data!S156</f>
        <v/>
      </c>
      <c r="F1137">
        <f>Dashboard_Live_Data!T156</f>
        <v/>
      </c>
      <c r="G1137">
        <f>Dashboard_Live_Data!U156</f>
        <v/>
      </c>
      <c r="H1137">
        <f>Dashboard_Live_Data!V156</f>
        <v/>
      </c>
    </row>
    <row r="1138">
      <c r="A1138">
        <f>Dashboard_Live_Data!O157</f>
        <v/>
      </c>
      <c r="B1138">
        <f>Dashboard_Live_Data!P157</f>
        <v/>
      </c>
      <c r="C1138">
        <f>Dashboard_Live_Data!Q157</f>
        <v/>
      </c>
      <c r="D1138">
        <f>Dashboard_Live_Data!R157</f>
        <v/>
      </c>
      <c r="E1138">
        <f>Dashboard_Live_Data!S157</f>
        <v/>
      </c>
      <c r="F1138">
        <f>Dashboard_Live_Data!T157</f>
        <v/>
      </c>
      <c r="G1138">
        <f>Dashboard_Live_Data!U157</f>
        <v/>
      </c>
      <c r="H1138">
        <f>Dashboard_Live_Data!V157</f>
        <v/>
      </c>
    </row>
    <row r="1139">
      <c r="A1139">
        <f>Dashboard_Live_Data!O158</f>
        <v/>
      </c>
      <c r="B1139">
        <f>Dashboard_Live_Data!P158</f>
        <v/>
      </c>
      <c r="C1139">
        <f>Dashboard_Live_Data!Q158</f>
        <v/>
      </c>
      <c r="D1139">
        <f>Dashboard_Live_Data!R158</f>
        <v/>
      </c>
      <c r="E1139">
        <f>Dashboard_Live_Data!S158</f>
        <v/>
      </c>
      <c r="F1139">
        <f>Dashboard_Live_Data!T158</f>
        <v/>
      </c>
      <c r="G1139">
        <f>Dashboard_Live_Data!U158</f>
        <v/>
      </c>
      <c r="H1139">
        <f>Dashboard_Live_Data!V158</f>
        <v/>
      </c>
    </row>
    <row r="1140">
      <c r="A1140">
        <f>Dashboard_Live_Data!O159</f>
        <v/>
      </c>
      <c r="B1140">
        <f>Dashboard_Live_Data!P159</f>
        <v/>
      </c>
      <c r="C1140">
        <f>Dashboard_Live_Data!Q159</f>
        <v/>
      </c>
      <c r="D1140">
        <f>Dashboard_Live_Data!R159</f>
        <v/>
      </c>
      <c r="E1140">
        <f>Dashboard_Live_Data!S159</f>
        <v/>
      </c>
      <c r="F1140">
        <f>Dashboard_Live_Data!T159</f>
        <v/>
      </c>
      <c r="G1140">
        <f>Dashboard_Live_Data!U159</f>
        <v/>
      </c>
      <c r="H1140">
        <f>Dashboard_Live_Data!V159</f>
        <v/>
      </c>
    </row>
    <row r="1141">
      <c r="A1141">
        <f>Dashboard_Live_Data!O160</f>
        <v/>
      </c>
      <c r="B1141">
        <f>Dashboard_Live_Data!P160</f>
        <v/>
      </c>
      <c r="C1141">
        <f>Dashboard_Live_Data!Q160</f>
        <v/>
      </c>
      <c r="D1141">
        <f>Dashboard_Live_Data!R160</f>
        <v/>
      </c>
      <c r="E1141">
        <f>Dashboard_Live_Data!S160</f>
        <v/>
      </c>
      <c r="F1141">
        <f>Dashboard_Live_Data!T160</f>
        <v/>
      </c>
      <c r="G1141">
        <f>Dashboard_Live_Data!U160</f>
        <v/>
      </c>
      <c r="H1141">
        <f>Dashboard_Live_Data!V160</f>
        <v/>
      </c>
    </row>
    <row r="1142">
      <c r="A1142">
        <f>Dashboard_Live_Data!O161</f>
        <v/>
      </c>
      <c r="B1142">
        <f>Dashboard_Live_Data!P161</f>
        <v/>
      </c>
      <c r="C1142">
        <f>Dashboard_Live_Data!Q161</f>
        <v/>
      </c>
      <c r="D1142">
        <f>Dashboard_Live_Data!R161</f>
        <v/>
      </c>
      <c r="E1142">
        <f>Dashboard_Live_Data!S161</f>
        <v/>
      </c>
      <c r="F1142">
        <f>Dashboard_Live_Data!T161</f>
        <v/>
      </c>
      <c r="G1142">
        <f>Dashboard_Live_Data!U161</f>
        <v/>
      </c>
      <c r="H1142">
        <f>Dashboard_Live_Data!V161</f>
        <v/>
      </c>
    </row>
    <row r="1143">
      <c r="A1143">
        <f>Dashboard_Live_Data!O162</f>
        <v/>
      </c>
      <c r="B1143">
        <f>Dashboard_Live_Data!P162</f>
        <v/>
      </c>
      <c r="C1143">
        <f>Dashboard_Live_Data!Q162</f>
        <v/>
      </c>
      <c r="D1143">
        <f>Dashboard_Live_Data!R162</f>
        <v/>
      </c>
      <c r="E1143">
        <f>Dashboard_Live_Data!S162</f>
        <v/>
      </c>
      <c r="F1143">
        <f>Dashboard_Live_Data!T162</f>
        <v/>
      </c>
      <c r="G1143">
        <f>Dashboard_Live_Data!U162</f>
        <v/>
      </c>
      <c r="H1143">
        <f>Dashboard_Live_Data!V162</f>
        <v/>
      </c>
    </row>
    <row r="1144">
      <c r="A1144">
        <f>Dashboard_Live_Data!O163</f>
        <v/>
      </c>
      <c r="B1144">
        <f>Dashboard_Live_Data!P163</f>
        <v/>
      </c>
      <c r="C1144">
        <f>Dashboard_Live_Data!Q163</f>
        <v/>
      </c>
      <c r="D1144">
        <f>Dashboard_Live_Data!R163</f>
        <v/>
      </c>
      <c r="E1144">
        <f>Dashboard_Live_Data!S163</f>
        <v/>
      </c>
      <c r="F1144">
        <f>Dashboard_Live_Data!T163</f>
        <v/>
      </c>
      <c r="G1144">
        <f>Dashboard_Live_Data!U163</f>
        <v/>
      </c>
      <c r="H1144">
        <f>Dashboard_Live_Data!V163</f>
        <v/>
      </c>
    </row>
    <row r="1145">
      <c r="A1145">
        <f>Dashboard_Live_Data!O164</f>
        <v/>
      </c>
      <c r="B1145">
        <f>Dashboard_Live_Data!P164</f>
        <v/>
      </c>
      <c r="C1145">
        <f>Dashboard_Live_Data!Q164</f>
        <v/>
      </c>
      <c r="D1145">
        <f>Dashboard_Live_Data!R164</f>
        <v/>
      </c>
      <c r="E1145">
        <f>Dashboard_Live_Data!S164</f>
        <v/>
      </c>
      <c r="F1145">
        <f>Dashboard_Live_Data!T164</f>
        <v/>
      </c>
      <c r="G1145">
        <f>Dashboard_Live_Data!U164</f>
        <v/>
      </c>
      <c r="H1145">
        <f>Dashboard_Live_Data!V164</f>
        <v/>
      </c>
    </row>
    <row r="1146">
      <c r="A1146">
        <f>Dashboard_Live_Data!O165</f>
        <v/>
      </c>
      <c r="B1146">
        <f>Dashboard_Live_Data!P165</f>
        <v/>
      </c>
      <c r="C1146">
        <f>Dashboard_Live_Data!Q165</f>
        <v/>
      </c>
      <c r="D1146">
        <f>Dashboard_Live_Data!R165</f>
        <v/>
      </c>
      <c r="E1146">
        <f>Dashboard_Live_Data!S165</f>
        <v/>
      </c>
      <c r="F1146">
        <f>Dashboard_Live_Data!T165</f>
        <v/>
      </c>
      <c r="G1146">
        <f>Dashboard_Live_Data!U165</f>
        <v/>
      </c>
      <c r="H1146">
        <f>Dashboard_Live_Data!V165</f>
        <v/>
      </c>
    </row>
    <row r="1147">
      <c r="A1147">
        <f>Dashboard_Live_Data!O166</f>
        <v/>
      </c>
      <c r="B1147">
        <f>Dashboard_Live_Data!P166</f>
        <v/>
      </c>
      <c r="C1147">
        <f>Dashboard_Live_Data!Q166</f>
        <v/>
      </c>
      <c r="D1147">
        <f>Dashboard_Live_Data!R166</f>
        <v/>
      </c>
      <c r="E1147">
        <f>Dashboard_Live_Data!S166</f>
        <v/>
      </c>
      <c r="F1147">
        <f>Dashboard_Live_Data!T166</f>
        <v/>
      </c>
      <c r="G1147">
        <f>Dashboard_Live_Data!U166</f>
        <v/>
      </c>
      <c r="H1147">
        <f>Dashboard_Live_Data!V166</f>
        <v/>
      </c>
    </row>
    <row r="1148">
      <c r="A1148">
        <f>Dashboard_Live_Data!O167</f>
        <v/>
      </c>
      <c r="B1148">
        <f>Dashboard_Live_Data!P167</f>
        <v/>
      </c>
      <c r="C1148">
        <f>Dashboard_Live_Data!Q167</f>
        <v/>
      </c>
      <c r="D1148">
        <f>Dashboard_Live_Data!R167</f>
        <v/>
      </c>
      <c r="E1148">
        <f>Dashboard_Live_Data!S167</f>
        <v/>
      </c>
      <c r="F1148">
        <f>Dashboard_Live_Data!T167</f>
        <v/>
      </c>
      <c r="G1148">
        <f>Dashboard_Live_Data!U167</f>
        <v/>
      </c>
      <c r="H1148">
        <f>Dashboard_Live_Data!V167</f>
        <v/>
      </c>
    </row>
    <row r="1149">
      <c r="A1149">
        <f>Dashboard_Live_Data!O168</f>
        <v/>
      </c>
      <c r="B1149">
        <f>Dashboard_Live_Data!P168</f>
        <v/>
      </c>
      <c r="C1149">
        <f>Dashboard_Live_Data!Q168</f>
        <v/>
      </c>
      <c r="D1149">
        <f>Dashboard_Live_Data!R168</f>
        <v/>
      </c>
      <c r="E1149">
        <f>Dashboard_Live_Data!S168</f>
        <v/>
      </c>
      <c r="F1149">
        <f>Dashboard_Live_Data!T168</f>
        <v/>
      </c>
      <c r="G1149">
        <f>Dashboard_Live_Data!U168</f>
        <v/>
      </c>
      <c r="H1149">
        <f>Dashboard_Live_Data!V168</f>
        <v/>
      </c>
    </row>
    <row r="1150">
      <c r="A1150">
        <f>Dashboard_Live_Data!O169</f>
        <v/>
      </c>
      <c r="B1150">
        <f>Dashboard_Live_Data!P169</f>
        <v/>
      </c>
      <c r="C1150">
        <f>Dashboard_Live_Data!Q169</f>
        <v/>
      </c>
      <c r="D1150">
        <f>Dashboard_Live_Data!R169</f>
        <v/>
      </c>
      <c r="E1150">
        <f>Dashboard_Live_Data!S169</f>
        <v/>
      </c>
      <c r="F1150">
        <f>Dashboard_Live_Data!T169</f>
        <v/>
      </c>
      <c r="G1150">
        <f>Dashboard_Live_Data!U169</f>
        <v/>
      </c>
      <c r="H1150">
        <f>Dashboard_Live_Data!V169</f>
        <v/>
      </c>
    </row>
    <row r="1151">
      <c r="A1151">
        <f>Dashboard_Live_Data!O170</f>
        <v/>
      </c>
      <c r="B1151">
        <f>Dashboard_Live_Data!P170</f>
        <v/>
      </c>
      <c r="C1151">
        <f>Dashboard_Live_Data!Q170</f>
        <v/>
      </c>
      <c r="D1151">
        <f>Dashboard_Live_Data!R170</f>
        <v/>
      </c>
      <c r="E1151">
        <f>Dashboard_Live_Data!S170</f>
        <v/>
      </c>
      <c r="F1151">
        <f>Dashboard_Live_Data!T170</f>
        <v/>
      </c>
      <c r="G1151">
        <f>Dashboard_Live_Data!U170</f>
        <v/>
      </c>
      <c r="H1151">
        <f>Dashboard_Live_Data!V170</f>
        <v/>
      </c>
    </row>
    <row r="1152">
      <c r="A1152">
        <f>Dashboard_Live_Data!O171</f>
        <v/>
      </c>
      <c r="B1152">
        <f>Dashboard_Live_Data!P171</f>
        <v/>
      </c>
      <c r="C1152">
        <f>Dashboard_Live_Data!Q171</f>
        <v/>
      </c>
      <c r="D1152">
        <f>Dashboard_Live_Data!R171</f>
        <v/>
      </c>
      <c r="E1152">
        <f>Dashboard_Live_Data!S171</f>
        <v/>
      </c>
      <c r="F1152">
        <f>Dashboard_Live_Data!T171</f>
        <v/>
      </c>
      <c r="G1152">
        <f>Dashboard_Live_Data!U171</f>
        <v/>
      </c>
      <c r="H1152">
        <f>Dashboard_Live_Data!V171</f>
        <v/>
      </c>
    </row>
    <row r="1153">
      <c r="A1153">
        <f>Dashboard_Live_Data!O172</f>
        <v/>
      </c>
      <c r="B1153">
        <f>Dashboard_Live_Data!P172</f>
        <v/>
      </c>
      <c r="C1153">
        <f>Dashboard_Live_Data!Q172</f>
        <v/>
      </c>
      <c r="D1153">
        <f>Dashboard_Live_Data!R172</f>
        <v/>
      </c>
      <c r="E1153">
        <f>Dashboard_Live_Data!S172</f>
        <v/>
      </c>
      <c r="F1153">
        <f>Dashboard_Live_Data!T172</f>
        <v/>
      </c>
      <c r="G1153">
        <f>Dashboard_Live_Data!U172</f>
        <v/>
      </c>
      <c r="H1153">
        <f>Dashboard_Live_Data!V172</f>
        <v/>
      </c>
    </row>
    <row r="1154">
      <c r="A1154">
        <f>Dashboard_Live_Data!O173</f>
        <v/>
      </c>
      <c r="B1154">
        <f>Dashboard_Live_Data!P173</f>
        <v/>
      </c>
      <c r="C1154">
        <f>Dashboard_Live_Data!Q173</f>
        <v/>
      </c>
      <c r="D1154">
        <f>Dashboard_Live_Data!R173</f>
        <v/>
      </c>
      <c r="E1154">
        <f>Dashboard_Live_Data!S173</f>
        <v/>
      </c>
      <c r="F1154">
        <f>Dashboard_Live_Data!T173</f>
        <v/>
      </c>
      <c r="G1154">
        <f>Dashboard_Live_Data!U173</f>
        <v/>
      </c>
      <c r="H1154">
        <f>Dashboard_Live_Data!V173</f>
        <v/>
      </c>
    </row>
    <row r="1155">
      <c r="A1155">
        <f>Dashboard_Live_Data!O174</f>
        <v/>
      </c>
      <c r="B1155">
        <f>Dashboard_Live_Data!P174</f>
        <v/>
      </c>
      <c r="C1155">
        <f>Dashboard_Live_Data!Q174</f>
        <v/>
      </c>
      <c r="D1155">
        <f>Dashboard_Live_Data!R174</f>
        <v/>
      </c>
      <c r="E1155">
        <f>Dashboard_Live_Data!S174</f>
        <v/>
      </c>
      <c r="F1155">
        <f>Dashboard_Live_Data!T174</f>
        <v/>
      </c>
      <c r="G1155">
        <f>Dashboard_Live_Data!U174</f>
        <v/>
      </c>
      <c r="H1155">
        <f>Dashboard_Live_Data!V174</f>
        <v/>
      </c>
    </row>
    <row r="1156">
      <c r="A1156">
        <f>Dashboard_Live_Data!O175</f>
        <v/>
      </c>
      <c r="B1156">
        <f>Dashboard_Live_Data!P175</f>
        <v/>
      </c>
      <c r="C1156">
        <f>Dashboard_Live_Data!Q175</f>
        <v/>
      </c>
      <c r="D1156">
        <f>Dashboard_Live_Data!R175</f>
        <v/>
      </c>
      <c r="E1156">
        <f>Dashboard_Live_Data!S175</f>
        <v/>
      </c>
      <c r="F1156">
        <f>Dashboard_Live_Data!T175</f>
        <v/>
      </c>
      <c r="G1156">
        <f>Dashboard_Live_Data!U175</f>
        <v/>
      </c>
      <c r="H1156">
        <f>Dashboard_Live_Data!V175</f>
        <v/>
      </c>
    </row>
    <row r="1157">
      <c r="A1157">
        <f>Dashboard_Live_Data!O176</f>
        <v/>
      </c>
      <c r="B1157">
        <f>Dashboard_Live_Data!P176</f>
        <v/>
      </c>
      <c r="C1157">
        <f>Dashboard_Live_Data!Q176</f>
        <v/>
      </c>
      <c r="D1157">
        <f>Dashboard_Live_Data!R176</f>
        <v/>
      </c>
      <c r="E1157">
        <f>Dashboard_Live_Data!S176</f>
        <v/>
      </c>
      <c r="F1157">
        <f>Dashboard_Live_Data!T176</f>
        <v/>
      </c>
      <c r="G1157">
        <f>Dashboard_Live_Data!U176</f>
        <v/>
      </c>
      <c r="H1157">
        <f>Dashboard_Live_Data!V176</f>
        <v/>
      </c>
    </row>
    <row r="1158">
      <c r="A1158">
        <f>Dashboard_Live_Data!O177</f>
        <v/>
      </c>
      <c r="B1158">
        <f>Dashboard_Live_Data!P177</f>
        <v/>
      </c>
      <c r="C1158">
        <f>Dashboard_Live_Data!Q177</f>
        <v/>
      </c>
      <c r="D1158">
        <f>Dashboard_Live_Data!R177</f>
        <v/>
      </c>
      <c r="E1158">
        <f>Dashboard_Live_Data!S177</f>
        <v/>
      </c>
      <c r="F1158">
        <f>Dashboard_Live_Data!T177</f>
        <v/>
      </c>
      <c r="G1158">
        <f>Dashboard_Live_Data!U177</f>
        <v/>
      </c>
      <c r="H1158">
        <f>Dashboard_Live_Data!V177</f>
        <v/>
      </c>
    </row>
    <row r="1159">
      <c r="A1159">
        <f>Dashboard_Live_Data!O178</f>
        <v/>
      </c>
      <c r="B1159">
        <f>Dashboard_Live_Data!P178</f>
        <v/>
      </c>
      <c r="C1159">
        <f>Dashboard_Live_Data!Q178</f>
        <v/>
      </c>
      <c r="D1159">
        <f>Dashboard_Live_Data!R178</f>
        <v/>
      </c>
      <c r="E1159">
        <f>Dashboard_Live_Data!S178</f>
        <v/>
      </c>
      <c r="F1159">
        <f>Dashboard_Live_Data!T178</f>
        <v/>
      </c>
      <c r="G1159">
        <f>Dashboard_Live_Data!U178</f>
        <v/>
      </c>
      <c r="H1159">
        <f>Dashboard_Live_Data!V178</f>
        <v/>
      </c>
    </row>
    <row r="1160">
      <c r="A1160">
        <f>Dashboard_Live_Data!O179</f>
        <v/>
      </c>
      <c r="B1160">
        <f>Dashboard_Live_Data!P179</f>
        <v/>
      </c>
      <c r="C1160">
        <f>Dashboard_Live_Data!Q179</f>
        <v/>
      </c>
      <c r="D1160">
        <f>Dashboard_Live_Data!R179</f>
        <v/>
      </c>
      <c r="E1160">
        <f>Dashboard_Live_Data!S179</f>
        <v/>
      </c>
      <c r="F1160">
        <f>Dashboard_Live_Data!T179</f>
        <v/>
      </c>
      <c r="G1160">
        <f>Dashboard_Live_Data!U179</f>
        <v/>
      </c>
      <c r="H1160">
        <f>Dashboard_Live_Data!V179</f>
        <v/>
      </c>
    </row>
    <row r="1161">
      <c r="A1161">
        <f>Dashboard_Live_Data!O180</f>
        <v/>
      </c>
      <c r="B1161">
        <f>Dashboard_Live_Data!P180</f>
        <v/>
      </c>
      <c r="C1161">
        <f>Dashboard_Live_Data!Q180</f>
        <v/>
      </c>
      <c r="D1161">
        <f>Dashboard_Live_Data!R180</f>
        <v/>
      </c>
      <c r="E1161">
        <f>Dashboard_Live_Data!S180</f>
        <v/>
      </c>
      <c r="F1161">
        <f>Dashboard_Live_Data!T180</f>
        <v/>
      </c>
      <c r="G1161">
        <f>Dashboard_Live_Data!U180</f>
        <v/>
      </c>
      <c r="H1161">
        <f>Dashboard_Live_Data!V180</f>
        <v/>
      </c>
    </row>
    <row r="1162">
      <c r="A1162">
        <f>Dashboard_Live_Data!O181</f>
        <v/>
      </c>
      <c r="B1162">
        <f>Dashboard_Live_Data!P181</f>
        <v/>
      </c>
      <c r="C1162">
        <f>Dashboard_Live_Data!Q181</f>
        <v/>
      </c>
      <c r="D1162">
        <f>Dashboard_Live_Data!R181</f>
        <v/>
      </c>
      <c r="E1162">
        <f>Dashboard_Live_Data!S181</f>
        <v/>
      </c>
      <c r="F1162">
        <f>Dashboard_Live_Data!T181</f>
        <v/>
      </c>
      <c r="G1162">
        <f>Dashboard_Live_Data!U181</f>
        <v/>
      </c>
      <c r="H1162">
        <f>Dashboard_Live_Data!V181</f>
        <v/>
      </c>
    </row>
    <row r="1163">
      <c r="A1163">
        <f>Dashboard_Live_Data!O182</f>
        <v/>
      </c>
      <c r="B1163">
        <f>Dashboard_Live_Data!P182</f>
        <v/>
      </c>
      <c r="C1163">
        <f>Dashboard_Live_Data!Q182</f>
        <v/>
      </c>
      <c r="D1163">
        <f>Dashboard_Live_Data!R182</f>
        <v/>
      </c>
      <c r="E1163">
        <f>Dashboard_Live_Data!S182</f>
        <v/>
      </c>
      <c r="F1163">
        <f>Dashboard_Live_Data!T182</f>
        <v/>
      </c>
      <c r="G1163">
        <f>Dashboard_Live_Data!U182</f>
        <v/>
      </c>
      <c r="H1163">
        <f>Dashboard_Live_Data!V182</f>
        <v/>
      </c>
    </row>
    <row r="1164">
      <c r="A1164">
        <f>Dashboard_Live_Data!O183</f>
        <v/>
      </c>
      <c r="B1164">
        <f>Dashboard_Live_Data!P183</f>
        <v/>
      </c>
      <c r="C1164">
        <f>Dashboard_Live_Data!Q183</f>
        <v/>
      </c>
      <c r="D1164">
        <f>Dashboard_Live_Data!R183</f>
        <v/>
      </c>
      <c r="E1164">
        <f>Dashboard_Live_Data!S183</f>
        <v/>
      </c>
      <c r="F1164">
        <f>Dashboard_Live_Data!T183</f>
        <v/>
      </c>
      <c r="G1164">
        <f>Dashboard_Live_Data!U183</f>
        <v/>
      </c>
      <c r="H1164">
        <f>Dashboard_Live_Data!V183</f>
        <v/>
      </c>
    </row>
    <row r="1165">
      <c r="A1165">
        <f>Dashboard_Live_Data!O184</f>
        <v/>
      </c>
      <c r="B1165">
        <f>Dashboard_Live_Data!P184</f>
        <v/>
      </c>
      <c r="C1165">
        <f>Dashboard_Live_Data!Q184</f>
        <v/>
      </c>
      <c r="D1165">
        <f>Dashboard_Live_Data!R184</f>
        <v/>
      </c>
      <c r="E1165">
        <f>Dashboard_Live_Data!S184</f>
        <v/>
      </c>
      <c r="F1165">
        <f>Dashboard_Live_Data!T184</f>
        <v/>
      </c>
      <c r="G1165">
        <f>Dashboard_Live_Data!U184</f>
        <v/>
      </c>
      <c r="H1165">
        <f>Dashboard_Live_Data!V184</f>
        <v/>
      </c>
    </row>
    <row r="1166">
      <c r="A1166">
        <f>Dashboard_Live_Data!O185</f>
        <v/>
      </c>
      <c r="B1166">
        <f>Dashboard_Live_Data!P185</f>
        <v/>
      </c>
      <c r="C1166">
        <f>Dashboard_Live_Data!Q185</f>
        <v/>
      </c>
      <c r="D1166">
        <f>Dashboard_Live_Data!R185</f>
        <v/>
      </c>
      <c r="E1166">
        <f>Dashboard_Live_Data!S185</f>
        <v/>
      </c>
      <c r="F1166">
        <f>Dashboard_Live_Data!T185</f>
        <v/>
      </c>
      <c r="G1166">
        <f>Dashboard_Live_Data!U185</f>
        <v/>
      </c>
      <c r="H1166">
        <f>Dashboard_Live_Data!V185</f>
        <v/>
      </c>
    </row>
    <row r="1167">
      <c r="A1167">
        <f>Dashboard_Live_Data!O186</f>
        <v/>
      </c>
      <c r="B1167">
        <f>Dashboard_Live_Data!P186</f>
        <v/>
      </c>
      <c r="C1167">
        <f>Dashboard_Live_Data!Q186</f>
        <v/>
      </c>
      <c r="D1167">
        <f>Dashboard_Live_Data!R186</f>
        <v/>
      </c>
      <c r="E1167">
        <f>Dashboard_Live_Data!S186</f>
        <v/>
      </c>
      <c r="F1167">
        <f>Dashboard_Live_Data!T186</f>
        <v/>
      </c>
      <c r="G1167">
        <f>Dashboard_Live_Data!U186</f>
        <v/>
      </c>
      <c r="H1167">
        <f>Dashboard_Live_Data!V186</f>
        <v/>
      </c>
    </row>
    <row r="1168">
      <c r="A1168">
        <f>Dashboard_Live_Data!O187</f>
        <v/>
      </c>
      <c r="B1168">
        <f>Dashboard_Live_Data!P187</f>
        <v/>
      </c>
      <c r="C1168">
        <f>Dashboard_Live_Data!Q187</f>
        <v/>
      </c>
      <c r="D1168">
        <f>Dashboard_Live_Data!R187</f>
        <v/>
      </c>
      <c r="E1168">
        <f>Dashboard_Live_Data!S187</f>
        <v/>
      </c>
      <c r="F1168">
        <f>Dashboard_Live_Data!T187</f>
        <v/>
      </c>
      <c r="G1168">
        <f>Dashboard_Live_Data!U187</f>
        <v/>
      </c>
      <c r="H1168">
        <f>Dashboard_Live_Data!V187</f>
        <v/>
      </c>
    </row>
    <row r="1169">
      <c r="A1169">
        <f>Dashboard_Live_Data!O188</f>
        <v/>
      </c>
      <c r="B1169">
        <f>Dashboard_Live_Data!P188</f>
        <v/>
      </c>
      <c r="C1169">
        <f>Dashboard_Live_Data!Q188</f>
        <v/>
      </c>
      <c r="D1169">
        <f>Dashboard_Live_Data!R188</f>
        <v/>
      </c>
      <c r="E1169">
        <f>Dashboard_Live_Data!S188</f>
        <v/>
      </c>
      <c r="F1169">
        <f>Dashboard_Live_Data!T188</f>
        <v/>
      </c>
      <c r="G1169">
        <f>Dashboard_Live_Data!U188</f>
        <v/>
      </c>
      <c r="H1169">
        <f>Dashboard_Live_Data!V188</f>
        <v/>
      </c>
    </row>
    <row r="1170">
      <c r="A1170">
        <f>Dashboard_Live_Data!O189</f>
        <v/>
      </c>
      <c r="B1170">
        <f>Dashboard_Live_Data!P189</f>
        <v/>
      </c>
      <c r="C1170">
        <f>Dashboard_Live_Data!Q189</f>
        <v/>
      </c>
      <c r="D1170">
        <f>Dashboard_Live_Data!R189</f>
        <v/>
      </c>
      <c r="E1170">
        <f>Dashboard_Live_Data!S189</f>
        <v/>
      </c>
      <c r="F1170">
        <f>Dashboard_Live_Data!T189</f>
        <v/>
      </c>
      <c r="G1170">
        <f>Dashboard_Live_Data!U189</f>
        <v/>
      </c>
      <c r="H1170">
        <f>Dashboard_Live_Data!V189</f>
        <v/>
      </c>
    </row>
    <row r="1171">
      <c r="A1171">
        <f>Dashboard_Live_Data!O190</f>
        <v/>
      </c>
      <c r="B1171">
        <f>Dashboard_Live_Data!P190</f>
        <v/>
      </c>
      <c r="C1171">
        <f>Dashboard_Live_Data!Q190</f>
        <v/>
      </c>
      <c r="D1171">
        <f>Dashboard_Live_Data!R190</f>
        <v/>
      </c>
      <c r="E1171">
        <f>Dashboard_Live_Data!S190</f>
        <v/>
      </c>
      <c r="F1171">
        <f>Dashboard_Live_Data!T190</f>
        <v/>
      </c>
      <c r="G1171">
        <f>Dashboard_Live_Data!U190</f>
        <v/>
      </c>
      <c r="H1171">
        <f>Dashboard_Live_Data!V190</f>
        <v/>
      </c>
    </row>
    <row r="1172">
      <c r="A1172">
        <f>Dashboard_Live_Data!O191</f>
        <v/>
      </c>
      <c r="B1172">
        <f>Dashboard_Live_Data!P191</f>
        <v/>
      </c>
      <c r="C1172">
        <f>Dashboard_Live_Data!Q191</f>
        <v/>
      </c>
      <c r="D1172">
        <f>Dashboard_Live_Data!R191</f>
        <v/>
      </c>
      <c r="E1172">
        <f>Dashboard_Live_Data!S191</f>
        <v/>
      </c>
      <c r="F1172">
        <f>Dashboard_Live_Data!T191</f>
        <v/>
      </c>
      <c r="G1172">
        <f>Dashboard_Live_Data!U191</f>
        <v/>
      </c>
      <c r="H1172">
        <f>Dashboard_Live_Data!V191</f>
        <v/>
      </c>
    </row>
    <row r="1173">
      <c r="A1173">
        <f>Dashboard_Live_Data!O192</f>
        <v/>
      </c>
      <c r="B1173">
        <f>Dashboard_Live_Data!P192</f>
        <v/>
      </c>
      <c r="C1173">
        <f>Dashboard_Live_Data!Q192</f>
        <v/>
      </c>
      <c r="D1173">
        <f>Dashboard_Live_Data!R192</f>
        <v/>
      </c>
      <c r="E1173">
        <f>Dashboard_Live_Data!S192</f>
        <v/>
      </c>
      <c r="F1173">
        <f>Dashboard_Live_Data!T192</f>
        <v/>
      </c>
      <c r="G1173">
        <f>Dashboard_Live_Data!U192</f>
        <v/>
      </c>
      <c r="H1173">
        <f>Dashboard_Live_Data!V192</f>
        <v/>
      </c>
    </row>
    <row r="1174">
      <c r="A1174">
        <f>Dashboard_Live_Data!O193</f>
        <v/>
      </c>
      <c r="B1174">
        <f>Dashboard_Live_Data!P193</f>
        <v/>
      </c>
      <c r="C1174">
        <f>Dashboard_Live_Data!Q193</f>
        <v/>
      </c>
      <c r="D1174">
        <f>Dashboard_Live_Data!R193</f>
        <v/>
      </c>
      <c r="E1174">
        <f>Dashboard_Live_Data!S193</f>
        <v/>
      </c>
      <c r="F1174">
        <f>Dashboard_Live_Data!T193</f>
        <v/>
      </c>
      <c r="G1174">
        <f>Dashboard_Live_Data!U193</f>
        <v/>
      </c>
      <c r="H1174">
        <f>Dashboard_Live_Data!V193</f>
        <v/>
      </c>
    </row>
    <row r="1175">
      <c r="A1175">
        <f>Dashboard_Live_Data!O194</f>
        <v/>
      </c>
      <c r="B1175">
        <f>Dashboard_Live_Data!P194</f>
        <v/>
      </c>
      <c r="C1175">
        <f>Dashboard_Live_Data!Q194</f>
        <v/>
      </c>
      <c r="D1175">
        <f>Dashboard_Live_Data!R194</f>
        <v/>
      </c>
      <c r="E1175">
        <f>Dashboard_Live_Data!S194</f>
        <v/>
      </c>
      <c r="F1175">
        <f>Dashboard_Live_Data!T194</f>
        <v/>
      </c>
      <c r="G1175">
        <f>Dashboard_Live_Data!U194</f>
        <v/>
      </c>
      <c r="H1175">
        <f>Dashboard_Live_Data!V194</f>
        <v/>
      </c>
    </row>
    <row r="1176">
      <c r="A1176">
        <f>Dashboard_Live_Data!O195</f>
        <v/>
      </c>
      <c r="B1176">
        <f>Dashboard_Live_Data!P195</f>
        <v/>
      </c>
      <c r="C1176">
        <f>Dashboard_Live_Data!Q195</f>
        <v/>
      </c>
      <c r="D1176">
        <f>Dashboard_Live_Data!R195</f>
        <v/>
      </c>
      <c r="E1176">
        <f>Dashboard_Live_Data!S195</f>
        <v/>
      </c>
      <c r="F1176">
        <f>Dashboard_Live_Data!T195</f>
        <v/>
      </c>
      <c r="G1176">
        <f>Dashboard_Live_Data!U195</f>
        <v/>
      </c>
      <c r="H1176">
        <f>Dashboard_Live_Data!V195</f>
        <v/>
      </c>
    </row>
    <row r="1177">
      <c r="A1177">
        <f>Dashboard_Live_Data!O196</f>
        <v/>
      </c>
      <c r="B1177">
        <f>Dashboard_Live_Data!P196</f>
        <v/>
      </c>
      <c r="C1177">
        <f>Dashboard_Live_Data!Q196</f>
        <v/>
      </c>
      <c r="D1177">
        <f>Dashboard_Live_Data!R196</f>
        <v/>
      </c>
      <c r="E1177">
        <f>Dashboard_Live_Data!S196</f>
        <v/>
      </c>
      <c r="F1177">
        <f>Dashboard_Live_Data!T196</f>
        <v/>
      </c>
      <c r="G1177">
        <f>Dashboard_Live_Data!U196</f>
        <v/>
      </c>
      <c r="H1177">
        <f>Dashboard_Live_Data!V196</f>
        <v/>
      </c>
    </row>
    <row r="1178">
      <c r="A1178">
        <f>Dashboard_Live_Data!O197</f>
        <v/>
      </c>
      <c r="B1178">
        <f>Dashboard_Live_Data!P197</f>
        <v/>
      </c>
      <c r="C1178">
        <f>Dashboard_Live_Data!Q197</f>
        <v/>
      </c>
      <c r="D1178">
        <f>Dashboard_Live_Data!R197</f>
        <v/>
      </c>
      <c r="E1178">
        <f>Dashboard_Live_Data!S197</f>
        <v/>
      </c>
      <c r="F1178">
        <f>Dashboard_Live_Data!T197</f>
        <v/>
      </c>
      <c r="G1178">
        <f>Dashboard_Live_Data!U197</f>
        <v/>
      </c>
      <c r="H1178">
        <f>Dashboard_Live_Data!V197</f>
        <v/>
      </c>
    </row>
    <row r="1179">
      <c r="A1179">
        <f>Dashboard_Live_Data!O198</f>
        <v/>
      </c>
      <c r="B1179">
        <f>Dashboard_Live_Data!P198</f>
        <v/>
      </c>
      <c r="C1179">
        <f>Dashboard_Live_Data!Q198</f>
        <v/>
      </c>
      <c r="D1179">
        <f>Dashboard_Live_Data!R198</f>
        <v/>
      </c>
      <c r="E1179">
        <f>Dashboard_Live_Data!S198</f>
        <v/>
      </c>
      <c r="F1179">
        <f>Dashboard_Live_Data!T198</f>
        <v/>
      </c>
      <c r="G1179">
        <f>Dashboard_Live_Data!U198</f>
        <v/>
      </c>
      <c r="H1179">
        <f>Dashboard_Live_Data!V198</f>
        <v/>
      </c>
    </row>
    <row r="1180">
      <c r="A1180">
        <f>Dashboard_Live_Data!O199</f>
        <v/>
      </c>
      <c r="B1180">
        <f>Dashboard_Live_Data!P199</f>
        <v/>
      </c>
      <c r="C1180">
        <f>Dashboard_Live_Data!Q199</f>
        <v/>
      </c>
      <c r="D1180">
        <f>Dashboard_Live_Data!R199</f>
        <v/>
      </c>
      <c r="E1180">
        <f>Dashboard_Live_Data!S199</f>
        <v/>
      </c>
      <c r="F1180">
        <f>Dashboard_Live_Data!T199</f>
        <v/>
      </c>
      <c r="G1180">
        <f>Dashboard_Live_Data!U199</f>
        <v/>
      </c>
      <c r="H1180">
        <f>Dashboard_Live_Data!V199</f>
        <v/>
      </c>
    </row>
    <row r="1181">
      <c r="A1181">
        <f>Dashboard_Live_Data!O200</f>
        <v/>
      </c>
      <c r="B1181">
        <f>Dashboard_Live_Data!P200</f>
        <v/>
      </c>
      <c r="C1181">
        <f>Dashboard_Live_Data!Q200</f>
        <v/>
      </c>
      <c r="D1181">
        <f>Dashboard_Live_Data!R200</f>
        <v/>
      </c>
      <c r="E1181">
        <f>Dashboard_Live_Data!S200</f>
        <v/>
      </c>
      <c r="F1181">
        <f>Dashboard_Live_Data!T200</f>
        <v/>
      </c>
      <c r="G1181">
        <f>Dashboard_Live_Data!U200</f>
        <v/>
      </c>
      <c r="H1181">
        <f>Dashboard_Live_Data!V200</f>
        <v/>
      </c>
    </row>
    <row r="1182">
      <c r="A1182">
        <f>Dashboard_Live_Data!O201</f>
        <v/>
      </c>
      <c r="B1182">
        <f>Dashboard_Live_Data!P201</f>
        <v/>
      </c>
      <c r="C1182">
        <f>Dashboard_Live_Data!Q201</f>
        <v/>
      </c>
      <c r="D1182">
        <f>Dashboard_Live_Data!R201</f>
        <v/>
      </c>
      <c r="E1182">
        <f>Dashboard_Live_Data!S201</f>
        <v/>
      </c>
      <c r="F1182">
        <f>Dashboard_Live_Data!T201</f>
        <v/>
      </c>
      <c r="G1182">
        <f>Dashboard_Live_Data!U201</f>
        <v/>
      </c>
      <c r="H1182">
        <f>Dashboard_Live_Data!V201</f>
        <v/>
      </c>
    </row>
    <row r="1183">
      <c r="A1183">
        <f>Dashboard_Live_Data!O202</f>
        <v/>
      </c>
      <c r="B1183">
        <f>Dashboard_Live_Data!P202</f>
        <v/>
      </c>
      <c r="C1183">
        <f>Dashboard_Live_Data!Q202</f>
        <v/>
      </c>
      <c r="D1183">
        <f>Dashboard_Live_Data!R202</f>
        <v/>
      </c>
      <c r="E1183">
        <f>Dashboard_Live_Data!S202</f>
        <v/>
      </c>
      <c r="F1183">
        <f>Dashboard_Live_Data!T202</f>
        <v/>
      </c>
      <c r="G1183">
        <f>Dashboard_Live_Data!U202</f>
        <v/>
      </c>
      <c r="H1183">
        <f>Dashboard_Live_Data!V202</f>
        <v/>
      </c>
    </row>
    <row r="1184">
      <c r="A1184">
        <f>Dashboard_Live_Data!O203</f>
        <v/>
      </c>
      <c r="B1184">
        <f>Dashboard_Live_Data!P203</f>
        <v/>
      </c>
      <c r="C1184">
        <f>Dashboard_Live_Data!Q203</f>
        <v/>
      </c>
      <c r="D1184">
        <f>Dashboard_Live_Data!R203</f>
        <v/>
      </c>
      <c r="E1184">
        <f>Dashboard_Live_Data!S203</f>
        <v/>
      </c>
      <c r="F1184">
        <f>Dashboard_Live_Data!T203</f>
        <v/>
      </c>
      <c r="G1184">
        <f>Dashboard_Live_Data!U203</f>
        <v/>
      </c>
      <c r="H1184">
        <f>Dashboard_Live_Data!V203</f>
        <v/>
      </c>
    </row>
    <row r="1185">
      <c r="A1185">
        <f>Dashboard_Live_Data!O204</f>
        <v/>
      </c>
      <c r="B1185">
        <f>Dashboard_Live_Data!P204</f>
        <v/>
      </c>
      <c r="C1185">
        <f>Dashboard_Live_Data!Q204</f>
        <v/>
      </c>
      <c r="D1185">
        <f>Dashboard_Live_Data!R204</f>
        <v/>
      </c>
      <c r="E1185">
        <f>Dashboard_Live_Data!S204</f>
        <v/>
      </c>
      <c r="F1185">
        <f>Dashboard_Live_Data!T204</f>
        <v/>
      </c>
      <c r="G1185">
        <f>Dashboard_Live_Data!U204</f>
        <v/>
      </c>
      <c r="H1185">
        <f>Dashboard_Live_Data!V204</f>
        <v/>
      </c>
    </row>
    <row r="1186">
      <c r="A1186">
        <f>Dashboard_Live_Data!O205</f>
        <v/>
      </c>
      <c r="B1186">
        <f>Dashboard_Live_Data!P205</f>
        <v/>
      </c>
      <c r="C1186">
        <f>Dashboard_Live_Data!Q205</f>
        <v/>
      </c>
      <c r="D1186">
        <f>Dashboard_Live_Data!R205</f>
        <v/>
      </c>
      <c r="E1186">
        <f>Dashboard_Live_Data!S205</f>
        <v/>
      </c>
      <c r="F1186">
        <f>Dashboard_Live_Data!T205</f>
        <v/>
      </c>
      <c r="G1186">
        <f>Dashboard_Live_Data!U205</f>
        <v/>
      </c>
      <c r="H1186">
        <f>Dashboard_Live_Data!V205</f>
        <v/>
      </c>
    </row>
    <row r="1187">
      <c r="A1187">
        <f>Dashboard_Live_Data!O206</f>
        <v/>
      </c>
      <c r="B1187">
        <f>Dashboard_Live_Data!P206</f>
        <v/>
      </c>
      <c r="C1187">
        <f>Dashboard_Live_Data!Q206</f>
        <v/>
      </c>
      <c r="D1187">
        <f>Dashboard_Live_Data!R206</f>
        <v/>
      </c>
      <c r="E1187">
        <f>Dashboard_Live_Data!S206</f>
        <v/>
      </c>
      <c r="F1187">
        <f>Dashboard_Live_Data!T206</f>
        <v/>
      </c>
      <c r="G1187">
        <f>Dashboard_Live_Data!U206</f>
        <v/>
      </c>
      <c r="H1187">
        <f>Dashboard_Live_Data!V206</f>
        <v/>
      </c>
    </row>
    <row r="1188">
      <c r="A1188">
        <f>Dashboard_Live_Data!O207</f>
        <v/>
      </c>
      <c r="B1188">
        <f>Dashboard_Live_Data!P207</f>
        <v/>
      </c>
      <c r="C1188">
        <f>Dashboard_Live_Data!Q207</f>
        <v/>
      </c>
      <c r="D1188">
        <f>Dashboard_Live_Data!R207</f>
        <v/>
      </c>
      <c r="E1188">
        <f>Dashboard_Live_Data!S207</f>
        <v/>
      </c>
      <c r="F1188">
        <f>Dashboard_Live_Data!T207</f>
        <v/>
      </c>
      <c r="G1188">
        <f>Dashboard_Live_Data!U207</f>
        <v/>
      </c>
      <c r="H1188">
        <f>Dashboard_Live_Data!V207</f>
        <v/>
      </c>
    </row>
    <row r="1189">
      <c r="A1189">
        <f>Dashboard_Live_Data!O208</f>
        <v/>
      </c>
      <c r="B1189">
        <f>Dashboard_Live_Data!P208</f>
        <v/>
      </c>
      <c r="C1189">
        <f>Dashboard_Live_Data!Q208</f>
        <v/>
      </c>
      <c r="D1189">
        <f>Dashboard_Live_Data!R208</f>
        <v/>
      </c>
      <c r="E1189">
        <f>Dashboard_Live_Data!S208</f>
        <v/>
      </c>
      <c r="F1189">
        <f>Dashboard_Live_Data!T208</f>
        <v/>
      </c>
      <c r="G1189">
        <f>Dashboard_Live_Data!U208</f>
        <v/>
      </c>
      <c r="H1189">
        <f>Dashboard_Live_Data!V208</f>
        <v/>
      </c>
    </row>
    <row r="1190">
      <c r="A1190">
        <f>Dashboard_Live_Data!O209</f>
        <v/>
      </c>
      <c r="B1190">
        <f>Dashboard_Live_Data!P209</f>
        <v/>
      </c>
      <c r="C1190">
        <f>Dashboard_Live_Data!Q209</f>
        <v/>
      </c>
      <c r="D1190">
        <f>Dashboard_Live_Data!R209</f>
        <v/>
      </c>
      <c r="E1190">
        <f>Dashboard_Live_Data!S209</f>
        <v/>
      </c>
      <c r="F1190">
        <f>Dashboard_Live_Data!T209</f>
        <v/>
      </c>
      <c r="G1190">
        <f>Dashboard_Live_Data!U209</f>
        <v/>
      </c>
      <c r="H1190">
        <f>Dashboard_Live_Data!V209</f>
        <v/>
      </c>
    </row>
    <row r="1191">
      <c r="A1191">
        <f>Dashboard_Live_Data!O210</f>
        <v/>
      </c>
      <c r="B1191">
        <f>Dashboard_Live_Data!P210</f>
        <v/>
      </c>
      <c r="C1191">
        <f>Dashboard_Live_Data!Q210</f>
        <v/>
      </c>
      <c r="D1191">
        <f>Dashboard_Live_Data!R210</f>
        <v/>
      </c>
      <c r="E1191">
        <f>Dashboard_Live_Data!S210</f>
        <v/>
      </c>
      <c r="F1191">
        <f>Dashboard_Live_Data!T210</f>
        <v/>
      </c>
      <c r="G1191">
        <f>Dashboard_Live_Data!U210</f>
        <v/>
      </c>
      <c r="H1191">
        <f>Dashboard_Live_Data!V210</f>
        <v/>
      </c>
    </row>
    <row r="1192">
      <c r="A1192">
        <f>Dashboard_Live_Data!O211</f>
        <v/>
      </c>
      <c r="B1192">
        <f>Dashboard_Live_Data!P211</f>
        <v/>
      </c>
      <c r="C1192">
        <f>Dashboard_Live_Data!Q211</f>
        <v/>
      </c>
      <c r="D1192">
        <f>Dashboard_Live_Data!R211</f>
        <v/>
      </c>
      <c r="E1192">
        <f>Dashboard_Live_Data!S211</f>
        <v/>
      </c>
      <c r="F1192">
        <f>Dashboard_Live_Data!T211</f>
        <v/>
      </c>
      <c r="G1192">
        <f>Dashboard_Live_Data!U211</f>
        <v/>
      </c>
      <c r="H1192">
        <f>Dashboard_Live_Data!V211</f>
        <v/>
      </c>
    </row>
    <row r="1193">
      <c r="A1193">
        <f>Dashboard_Live_Data!O212</f>
        <v/>
      </c>
      <c r="B1193">
        <f>Dashboard_Live_Data!P212</f>
        <v/>
      </c>
      <c r="C1193">
        <f>Dashboard_Live_Data!Q212</f>
        <v/>
      </c>
      <c r="D1193">
        <f>Dashboard_Live_Data!R212</f>
        <v/>
      </c>
      <c r="E1193">
        <f>Dashboard_Live_Data!S212</f>
        <v/>
      </c>
      <c r="F1193">
        <f>Dashboard_Live_Data!T212</f>
        <v/>
      </c>
      <c r="G1193">
        <f>Dashboard_Live_Data!U212</f>
        <v/>
      </c>
      <c r="H1193">
        <f>Dashboard_Live_Data!V212</f>
        <v/>
      </c>
    </row>
    <row r="1194">
      <c r="A1194">
        <f>Dashboard_Live_Data!O213</f>
        <v/>
      </c>
      <c r="B1194">
        <f>Dashboard_Live_Data!P213</f>
        <v/>
      </c>
      <c r="C1194">
        <f>Dashboard_Live_Data!Q213</f>
        <v/>
      </c>
      <c r="D1194">
        <f>Dashboard_Live_Data!R213</f>
        <v/>
      </c>
      <c r="E1194">
        <f>Dashboard_Live_Data!S213</f>
        <v/>
      </c>
      <c r="F1194">
        <f>Dashboard_Live_Data!T213</f>
        <v/>
      </c>
      <c r="G1194">
        <f>Dashboard_Live_Data!U213</f>
        <v/>
      </c>
      <c r="H1194">
        <f>Dashboard_Live_Data!V213</f>
        <v/>
      </c>
    </row>
    <row r="1195">
      <c r="A1195">
        <f>Dashboard_Live_Data!O214</f>
        <v/>
      </c>
      <c r="B1195">
        <f>Dashboard_Live_Data!P214</f>
        <v/>
      </c>
      <c r="C1195">
        <f>Dashboard_Live_Data!Q214</f>
        <v/>
      </c>
      <c r="D1195">
        <f>Dashboard_Live_Data!R214</f>
        <v/>
      </c>
      <c r="E1195">
        <f>Dashboard_Live_Data!S214</f>
        <v/>
      </c>
      <c r="F1195">
        <f>Dashboard_Live_Data!T214</f>
        <v/>
      </c>
      <c r="G1195">
        <f>Dashboard_Live_Data!U214</f>
        <v/>
      </c>
      <c r="H1195">
        <f>Dashboard_Live_Data!V214</f>
        <v/>
      </c>
    </row>
    <row r="1196">
      <c r="A1196">
        <f>Dashboard_Live_Data!O215</f>
        <v/>
      </c>
      <c r="B1196">
        <f>Dashboard_Live_Data!P215</f>
        <v/>
      </c>
      <c r="C1196">
        <f>Dashboard_Live_Data!Q215</f>
        <v/>
      </c>
      <c r="D1196">
        <f>Dashboard_Live_Data!R215</f>
        <v/>
      </c>
      <c r="E1196">
        <f>Dashboard_Live_Data!S215</f>
        <v/>
      </c>
      <c r="F1196">
        <f>Dashboard_Live_Data!T215</f>
        <v/>
      </c>
      <c r="G1196">
        <f>Dashboard_Live_Data!U215</f>
        <v/>
      </c>
      <c r="H1196">
        <f>Dashboard_Live_Data!V215</f>
        <v/>
      </c>
    </row>
    <row r="1197">
      <c r="A1197">
        <f>Dashboard_Live_Data!O216</f>
        <v/>
      </c>
      <c r="B1197">
        <f>Dashboard_Live_Data!P216</f>
        <v/>
      </c>
      <c r="C1197">
        <f>Dashboard_Live_Data!Q216</f>
        <v/>
      </c>
      <c r="D1197">
        <f>Dashboard_Live_Data!R216</f>
        <v/>
      </c>
      <c r="E1197">
        <f>Dashboard_Live_Data!S216</f>
        <v/>
      </c>
      <c r="F1197">
        <f>Dashboard_Live_Data!T216</f>
        <v/>
      </c>
      <c r="G1197">
        <f>Dashboard_Live_Data!U216</f>
        <v/>
      </c>
      <c r="H1197">
        <f>Dashboard_Live_Data!V216</f>
        <v/>
      </c>
    </row>
    <row r="1198">
      <c r="A1198">
        <f>Dashboard_Live_Data!O217</f>
        <v/>
      </c>
      <c r="B1198">
        <f>Dashboard_Live_Data!P217</f>
        <v/>
      </c>
      <c r="C1198">
        <f>Dashboard_Live_Data!Q217</f>
        <v/>
      </c>
      <c r="D1198">
        <f>Dashboard_Live_Data!R217</f>
        <v/>
      </c>
      <c r="E1198">
        <f>Dashboard_Live_Data!S217</f>
        <v/>
      </c>
      <c r="F1198">
        <f>Dashboard_Live_Data!T217</f>
        <v/>
      </c>
      <c r="G1198">
        <f>Dashboard_Live_Data!U217</f>
        <v/>
      </c>
      <c r="H1198">
        <f>Dashboard_Live_Data!V217</f>
        <v/>
      </c>
    </row>
    <row r="1199">
      <c r="A1199">
        <f>Dashboard_Live_Data!O218</f>
        <v/>
      </c>
      <c r="B1199">
        <f>Dashboard_Live_Data!P218</f>
        <v/>
      </c>
      <c r="C1199">
        <f>Dashboard_Live_Data!Q218</f>
        <v/>
      </c>
      <c r="D1199">
        <f>Dashboard_Live_Data!R218</f>
        <v/>
      </c>
      <c r="E1199">
        <f>Dashboard_Live_Data!S218</f>
        <v/>
      </c>
      <c r="F1199">
        <f>Dashboard_Live_Data!T218</f>
        <v/>
      </c>
      <c r="G1199">
        <f>Dashboard_Live_Data!U218</f>
        <v/>
      </c>
      <c r="H1199">
        <f>Dashboard_Live_Data!V218</f>
        <v/>
      </c>
    </row>
    <row r="1200">
      <c r="A1200">
        <f>Dashboard_Live_Data!O219</f>
        <v/>
      </c>
      <c r="B1200">
        <f>Dashboard_Live_Data!P219</f>
        <v/>
      </c>
      <c r="C1200">
        <f>Dashboard_Live_Data!Q219</f>
        <v/>
      </c>
      <c r="D1200">
        <f>Dashboard_Live_Data!R219</f>
        <v/>
      </c>
      <c r="E1200">
        <f>Dashboard_Live_Data!S219</f>
        <v/>
      </c>
      <c r="F1200">
        <f>Dashboard_Live_Data!T219</f>
        <v/>
      </c>
      <c r="G1200">
        <f>Dashboard_Live_Data!U219</f>
        <v/>
      </c>
      <c r="H1200">
        <f>Dashboard_Live_Data!V219</f>
        <v/>
      </c>
    </row>
    <row r="1201">
      <c r="A1201">
        <f>Dashboard_Live_Data!O220</f>
        <v/>
      </c>
      <c r="B1201">
        <f>Dashboard_Live_Data!P220</f>
        <v/>
      </c>
      <c r="C1201">
        <f>Dashboard_Live_Data!Q220</f>
        <v/>
      </c>
      <c r="D1201">
        <f>Dashboard_Live_Data!R220</f>
        <v/>
      </c>
      <c r="E1201">
        <f>Dashboard_Live_Data!S220</f>
        <v/>
      </c>
      <c r="F1201">
        <f>Dashboard_Live_Data!T220</f>
        <v/>
      </c>
      <c r="G1201">
        <f>Dashboard_Live_Data!U220</f>
        <v/>
      </c>
      <c r="H1201">
        <f>Dashboard_Live_Data!V220</f>
        <v/>
      </c>
    </row>
    <row r="1202">
      <c r="A1202">
        <f>Dashboard_Live_Data!O221</f>
        <v/>
      </c>
      <c r="B1202">
        <f>Dashboard_Live_Data!P221</f>
        <v/>
      </c>
      <c r="C1202">
        <f>Dashboard_Live_Data!Q221</f>
        <v/>
      </c>
      <c r="D1202">
        <f>Dashboard_Live_Data!R221</f>
        <v/>
      </c>
      <c r="E1202">
        <f>Dashboard_Live_Data!S221</f>
        <v/>
      </c>
      <c r="F1202">
        <f>Dashboard_Live_Data!T221</f>
        <v/>
      </c>
      <c r="G1202">
        <f>Dashboard_Live_Data!U221</f>
        <v/>
      </c>
      <c r="H1202">
        <f>Dashboard_Live_Data!V221</f>
        <v/>
      </c>
    </row>
    <row r="1203">
      <c r="A1203">
        <f>Dashboard_Live_Data!O222</f>
        <v/>
      </c>
      <c r="B1203">
        <f>Dashboard_Live_Data!P222</f>
        <v/>
      </c>
      <c r="C1203">
        <f>Dashboard_Live_Data!Q222</f>
        <v/>
      </c>
      <c r="D1203">
        <f>Dashboard_Live_Data!R222</f>
        <v/>
      </c>
      <c r="E1203">
        <f>Dashboard_Live_Data!S222</f>
        <v/>
      </c>
      <c r="F1203">
        <f>Dashboard_Live_Data!T222</f>
        <v/>
      </c>
      <c r="G1203">
        <f>Dashboard_Live_Data!U222</f>
        <v/>
      </c>
      <c r="H1203">
        <f>Dashboard_Live_Data!V222</f>
        <v/>
      </c>
    </row>
    <row r="1204">
      <c r="A1204">
        <f>Dashboard_Live_Data!O223</f>
        <v/>
      </c>
      <c r="B1204">
        <f>Dashboard_Live_Data!P223</f>
        <v/>
      </c>
      <c r="C1204">
        <f>Dashboard_Live_Data!Q223</f>
        <v/>
      </c>
      <c r="D1204">
        <f>Dashboard_Live_Data!R223</f>
        <v/>
      </c>
      <c r="E1204">
        <f>Dashboard_Live_Data!S223</f>
        <v/>
      </c>
      <c r="F1204">
        <f>Dashboard_Live_Data!T223</f>
        <v/>
      </c>
      <c r="G1204">
        <f>Dashboard_Live_Data!U223</f>
        <v/>
      </c>
      <c r="H1204">
        <f>Dashboard_Live_Data!V223</f>
        <v/>
      </c>
    </row>
    <row r="1205">
      <c r="A1205">
        <f>Dashboard_Live_Data!O224</f>
        <v/>
      </c>
      <c r="B1205">
        <f>Dashboard_Live_Data!P224</f>
        <v/>
      </c>
      <c r="C1205">
        <f>Dashboard_Live_Data!Q224</f>
        <v/>
      </c>
      <c r="D1205">
        <f>Dashboard_Live_Data!R224</f>
        <v/>
      </c>
      <c r="E1205">
        <f>Dashboard_Live_Data!S224</f>
        <v/>
      </c>
      <c r="F1205">
        <f>Dashboard_Live_Data!T224</f>
        <v/>
      </c>
      <c r="G1205">
        <f>Dashboard_Live_Data!U224</f>
        <v/>
      </c>
      <c r="H1205">
        <f>Dashboard_Live_Data!V224</f>
        <v/>
      </c>
    </row>
    <row r="1206">
      <c r="A1206">
        <f>Dashboard_Live_Data!O225</f>
        <v/>
      </c>
      <c r="B1206">
        <f>Dashboard_Live_Data!P225</f>
        <v/>
      </c>
      <c r="C1206">
        <f>Dashboard_Live_Data!Q225</f>
        <v/>
      </c>
      <c r="D1206">
        <f>Dashboard_Live_Data!R225</f>
        <v/>
      </c>
      <c r="E1206">
        <f>Dashboard_Live_Data!S225</f>
        <v/>
      </c>
      <c r="F1206">
        <f>Dashboard_Live_Data!T225</f>
        <v/>
      </c>
      <c r="G1206">
        <f>Dashboard_Live_Data!U225</f>
        <v/>
      </c>
      <c r="H1206">
        <f>Dashboard_Live_Data!V225</f>
        <v/>
      </c>
    </row>
    <row r="1207">
      <c r="A1207">
        <f>Dashboard_Live_Data!O226</f>
        <v/>
      </c>
      <c r="B1207">
        <f>Dashboard_Live_Data!P226</f>
        <v/>
      </c>
      <c r="C1207">
        <f>Dashboard_Live_Data!Q226</f>
        <v/>
      </c>
      <c r="D1207">
        <f>Dashboard_Live_Data!R226</f>
        <v/>
      </c>
      <c r="E1207">
        <f>Dashboard_Live_Data!S226</f>
        <v/>
      </c>
      <c r="F1207">
        <f>Dashboard_Live_Data!T226</f>
        <v/>
      </c>
      <c r="G1207">
        <f>Dashboard_Live_Data!U226</f>
        <v/>
      </c>
      <c r="H1207">
        <f>Dashboard_Live_Data!V226</f>
        <v/>
      </c>
    </row>
    <row r="1208">
      <c r="A1208">
        <f>Dashboard_Live_Data!O227</f>
        <v/>
      </c>
      <c r="B1208">
        <f>Dashboard_Live_Data!P227</f>
        <v/>
      </c>
      <c r="C1208">
        <f>Dashboard_Live_Data!Q227</f>
        <v/>
      </c>
      <c r="D1208">
        <f>Dashboard_Live_Data!R227</f>
        <v/>
      </c>
      <c r="E1208">
        <f>Dashboard_Live_Data!S227</f>
        <v/>
      </c>
      <c r="F1208">
        <f>Dashboard_Live_Data!T227</f>
        <v/>
      </c>
      <c r="G1208">
        <f>Dashboard_Live_Data!U227</f>
        <v/>
      </c>
      <c r="H1208">
        <f>Dashboard_Live_Data!V227</f>
        <v/>
      </c>
    </row>
    <row r="1209">
      <c r="A1209">
        <f>Dashboard_Live_Data!O228</f>
        <v/>
      </c>
      <c r="B1209">
        <f>Dashboard_Live_Data!P228</f>
        <v/>
      </c>
      <c r="C1209">
        <f>Dashboard_Live_Data!Q228</f>
        <v/>
      </c>
      <c r="D1209">
        <f>Dashboard_Live_Data!R228</f>
        <v/>
      </c>
      <c r="E1209">
        <f>Dashboard_Live_Data!S228</f>
        <v/>
      </c>
      <c r="F1209">
        <f>Dashboard_Live_Data!T228</f>
        <v/>
      </c>
      <c r="G1209">
        <f>Dashboard_Live_Data!U228</f>
        <v/>
      </c>
      <c r="H1209">
        <f>Dashboard_Live_Data!V228</f>
        <v/>
      </c>
    </row>
    <row r="1210">
      <c r="A1210">
        <f>Dashboard_Live_Data!O229</f>
        <v/>
      </c>
      <c r="B1210">
        <f>Dashboard_Live_Data!P229</f>
        <v/>
      </c>
      <c r="C1210">
        <f>Dashboard_Live_Data!Q229</f>
        <v/>
      </c>
      <c r="D1210">
        <f>Dashboard_Live_Data!R229</f>
        <v/>
      </c>
      <c r="E1210">
        <f>Dashboard_Live_Data!S229</f>
        <v/>
      </c>
      <c r="F1210">
        <f>Dashboard_Live_Data!T229</f>
        <v/>
      </c>
      <c r="G1210">
        <f>Dashboard_Live_Data!U229</f>
        <v/>
      </c>
      <c r="H1210">
        <f>Dashboard_Live_Data!V229</f>
        <v/>
      </c>
    </row>
    <row r="1211">
      <c r="A1211">
        <f>Dashboard_Live_Data!O230</f>
        <v/>
      </c>
      <c r="B1211">
        <f>Dashboard_Live_Data!P230</f>
        <v/>
      </c>
      <c r="C1211">
        <f>Dashboard_Live_Data!Q230</f>
        <v/>
      </c>
      <c r="D1211">
        <f>Dashboard_Live_Data!R230</f>
        <v/>
      </c>
      <c r="E1211">
        <f>Dashboard_Live_Data!S230</f>
        <v/>
      </c>
      <c r="F1211">
        <f>Dashboard_Live_Data!T230</f>
        <v/>
      </c>
      <c r="G1211">
        <f>Dashboard_Live_Data!U230</f>
        <v/>
      </c>
      <c r="H1211">
        <f>Dashboard_Live_Data!V230</f>
        <v/>
      </c>
    </row>
    <row r="1212">
      <c r="A1212">
        <f>Dashboard_Live_Data!O231</f>
        <v/>
      </c>
      <c r="B1212">
        <f>Dashboard_Live_Data!P231</f>
        <v/>
      </c>
      <c r="C1212">
        <f>Dashboard_Live_Data!Q231</f>
        <v/>
      </c>
      <c r="D1212">
        <f>Dashboard_Live_Data!R231</f>
        <v/>
      </c>
      <c r="E1212">
        <f>Dashboard_Live_Data!S231</f>
        <v/>
      </c>
      <c r="F1212">
        <f>Dashboard_Live_Data!T231</f>
        <v/>
      </c>
      <c r="G1212">
        <f>Dashboard_Live_Data!U231</f>
        <v/>
      </c>
      <c r="H1212">
        <f>Dashboard_Live_Data!V231</f>
        <v/>
      </c>
    </row>
    <row r="1213">
      <c r="A1213">
        <f>Dashboard_Live_Data!O232</f>
        <v/>
      </c>
      <c r="B1213">
        <f>Dashboard_Live_Data!P232</f>
        <v/>
      </c>
      <c r="C1213">
        <f>Dashboard_Live_Data!Q232</f>
        <v/>
      </c>
      <c r="D1213">
        <f>Dashboard_Live_Data!R232</f>
        <v/>
      </c>
      <c r="E1213">
        <f>Dashboard_Live_Data!S232</f>
        <v/>
      </c>
      <c r="F1213">
        <f>Dashboard_Live_Data!T232</f>
        <v/>
      </c>
      <c r="G1213">
        <f>Dashboard_Live_Data!U232</f>
        <v/>
      </c>
      <c r="H1213">
        <f>Dashboard_Live_Data!V232</f>
        <v/>
      </c>
    </row>
    <row r="1214">
      <c r="A1214">
        <f>Dashboard_Live_Data!O233</f>
        <v/>
      </c>
      <c r="B1214">
        <f>Dashboard_Live_Data!P233</f>
        <v/>
      </c>
      <c r="C1214">
        <f>Dashboard_Live_Data!Q233</f>
        <v/>
      </c>
      <c r="D1214">
        <f>Dashboard_Live_Data!R233</f>
        <v/>
      </c>
      <c r="E1214">
        <f>Dashboard_Live_Data!S233</f>
        <v/>
      </c>
      <c r="F1214">
        <f>Dashboard_Live_Data!T233</f>
        <v/>
      </c>
      <c r="G1214">
        <f>Dashboard_Live_Data!U233</f>
        <v/>
      </c>
      <c r="H1214">
        <f>Dashboard_Live_Data!V233</f>
        <v/>
      </c>
    </row>
    <row r="1215">
      <c r="A1215">
        <f>Dashboard_Live_Data!O234</f>
        <v/>
      </c>
      <c r="B1215">
        <f>Dashboard_Live_Data!P234</f>
        <v/>
      </c>
      <c r="C1215">
        <f>Dashboard_Live_Data!Q234</f>
        <v/>
      </c>
      <c r="D1215">
        <f>Dashboard_Live_Data!R234</f>
        <v/>
      </c>
      <c r="E1215">
        <f>Dashboard_Live_Data!S234</f>
        <v/>
      </c>
      <c r="F1215">
        <f>Dashboard_Live_Data!T234</f>
        <v/>
      </c>
      <c r="G1215">
        <f>Dashboard_Live_Data!U234</f>
        <v/>
      </c>
      <c r="H1215">
        <f>Dashboard_Live_Data!V234</f>
        <v/>
      </c>
    </row>
    <row r="1216">
      <c r="A1216">
        <f>Dashboard_Live_Data!O235</f>
        <v/>
      </c>
      <c r="B1216">
        <f>Dashboard_Live_Data!P235</f>
        <v/>
      </c>
      <c r="C1216">
        <f>Dashboard_Live_Data!Q235</f>
        <v/>
      </c>
      <c r="D1216">
        <f>Dashboard_Live_Data!R235</f>
        <v/>
      </c>
      <c r="E1216">
        <f>Dashboard_Live_Data!S235</f>
        <v/>
      </c>
      <c r="F1216">
        <f>Dashboard_Live_Data!T235</f>
        <v/>
      </c>
      <c r="G1216">
        <f>Dashboard_Live_Data!U235</f>
        <v/>
      </c>
      <c r="H1216">
        <f>Dashboard_Live_Data!V235</f>
        <v/>
      </c>
    </row>
    <row r="1217">
      <c r="A1217">
        <f>Dashboard_Live_Data!O236</f>
        <v/>
      </c>
      <c r="B1217">
        <f>Dashboard_Live_Data!P236</f>
        <v/>
      </c>
      <c r="C1217">
        <f>Dashboard_Live_Data!Q236</f>
        <v/>
      </c>
      <c r="D1217">
        <f>Dashboard_Live_Data!R236</f>
        <v/>
      </c>
      <c r="E1217">
        <f>Dashboard_Live_Data!S236</f>
        <v/>
      </c>
      <c r="F1217">
        <f>Dashboard_Live_Data!T236</f>
        <v/>
      </c>
      <c r="G1217">
        <f>Dashboard_Live_Data!U236</f>
        <v/>
      </c>
      <c r="H1217">
        <f>Dashboard_Live_Data!V236</f>
        <v/>
      </c>
    </row>
    <row r="1218">
      <c r="A1218">
        <f>Dashboard_Live_Data!O237</f>
        <v/>
      </c>
      <c r="B1218">
        <f>Dashboard_Live_Data!P237</f>
        <v/>
      </c>
      <c r="C1218">
        <f>Dashboard_Live_Data!Q237</f>
        <v/>
      </c>
      <c r="D1218">
        <f>Dashboard_Live_Data!R237</f>
        <v/>
      </c>
      <c r="E1218">
        <f>Dashboard_Live_Data!S237</f>
        <v/>
      </c>
      <c r="F1218">
        <f>Dashboard_Live_Data!T237</f>
        <v/>
      </c>
      <c r="G1218">
        <f>Dashboard_Live_Data!U237</f>
        <v/>
      </c>
      <c r="H1218">
        <f>Dashboard_Live_Data!V237</f>
        <v/>
      </c>
    </row>
    <row r="1219">
      <c r="A1219">
        <f>Dashboard_Live_Data!O238</f>
        <v/>
      </c>
      <c r="B1219">
        <f>Dashboard_Live_Data!P238</f>
        <v/>
      </c>
      <c r="C1219">
        <f>Dashboard_Live_Data!Q238</f>
        <v/>
      </c>
      <c r="D1219">
        <f>Dashboard_Live_Data!R238</f>
        <v/>
      </c>
      <c r="E1219">
        <f>Dashboard_Live_Data!S238</f>
        <v/>
      </c>
      <c r="F1219">
        <f>Dashboard_Live_Data!T238</f>
        <v/>
      </c>
      <c r="G1219">
        <f>Dashboard_Live_Data!U238</f>
        <v/>
      </c>
      <c r="H1219">
        <f>Dashboard_Live_Data!V238</f>
        <v/>
      </c>
    </row>
    <row r="1220">
      <c r="A1220">
        <f>Dashboard_Live_Data!O239</f>
        <v/>
      </c>
      <c r="B1220">
        <f>Dashboard_Live_Data!P239</f>
        <v/>
      </c>
      <c r="C1220">
        <f>Dashboard_Live_Data!Q239</f>
        <v/>
      </c>
      <c r="D1220">
        <f>Dashboard_Live_Data!R239</f>
        <v/>
      </c>
      <c r="E1220">
        <f>Dashboard_Live_Data!S239</f>
        <v/>
      </c>
      <c r="F1220">
        <f>Dashboard_Live_Data!T239</f>
        <v/>
      </c>
      <c r="G1220">
        <f>Dashboard_Live_Data!U239</f>
        <v/>
      </c>
      <c r="H1220">
        <f>Dashboard_Live_Data!V239</f>
        <v/>
      </c>
    </row>
    <row r="1221">
      <c r="A1221">
        <f>Dashboard_Live_Data!O240</f>
        <v/>
      </c>
      <c r="B1221">
        <f>Dashboard_Live_Data!P240</f>
        <v/>
      </c>
      <c r="C1221">
        <f>Dashboard_Live_Data!Q240</f>
        <v/>
      </c>
      <c r="D1221">
        <f>Dashboard_Live_Data!R240</f>
        <v/>
      </c>
      <c r="E1221">
        <f>Dashboard_Live_Data!S240</f>
        <v/>
      </c>
      <c r="F1221">
        <f>Dashboard_Live_Data!T240</f>
        <v/>
      </c>
      <c r="G1221">
        <f>Dashboard_Live_Data!U240</f>
        <v/>
      </c>
      <c r="H1221">
        <f>Dashboard_Live_Data!V240</f>
        <v/>
      </c>
    </row>
    <row r="1222">
      <c r="A1222">
        <f>Dashboard_Live_Data!O241</f>
        <v/>
      </c>
      <c r="B1222">
        <f>Dashboard_Live_Data!P241</f>
        <v/>
      </c>
      <c r="C1222">
        <f>Dashboard_Live_Data!Q241</f>
        <v/>
      </c>
      <c r="D1222">
        <f>Dashboard_Live_Data!R241</f>
        <v/>
      </c>
      <c r="E1222">
        <f>Dashboard_Live_Data!S241</f>
        <v/>
      </c>
      <c r="F1222">
        <f>Dashboard_Live_Data!T241</f>
        <v/>
      </c>
      <c r="G1222">
        <f>Dashboard_Live_Data!U241</f>
        <v/>
      </c>
      <c r="H1222">
        <f>Dashboard_Live_Data!V241</f>
        <v/>
      </c>
    </row>
    <row r="1223">
      <c r="A1223">
        <f>Dashboard_Live_Data!O242</f>
        <v/>
      </c>
      <c r="B1223">
        <f>Dashboard_Live_Data!P242</f>
        <v/>
      </c>
      <c r="C1223">
        <f>Dashboard_Live_Data!Q242</f>
        <v/>
      </c>
      <c r="D1223">
        <f>Dashboard_Live_Data!R242</f>
        <v/>
      </c>
      <c r="E1223">
        <f>Dashboard_Live_Data!S242</f>
        <v/>
      </c>
      <c r="F1223">
        <f>Dashboard_Live_Data!T242</f>
        <v/>
      </c>
      <c r="G1223">
        <f>Dashboard_Live_Data!U242</f>
        <v/>
      </c>
      <c r="H1223">
        <f>Dashboard_Live_Data!V242</f>
        <v/>
      </c>
    </row>
    <row r="1226">
      <c r="A1226" t="inlineStr">
        <is>
          <t>Nadir Radar Delay by Flyby: With Generated Topography</t>
        </is>
      </c>
    </row>
    <row r="1227">
      <c r="A1227" t="inlineStr">
        <is>
          <t>Custom 400 km / 120 km pass x</t>
        </is>
      </c>
      <c r="B1227" t="inlineStr">
        <is>
          <t>Custom 400 km / 120 km pass</t>
        </is>
      </c>
      <c r="C1227" t="inlineStr">
        <is>
          <t>Paper low-altitude 35 km / 800 km pass x</t>
        </is>
      </c>
      <c r="D1227" t="inlineStr">
        <is>
          <t>Paper low-altitude 35 km / 800 km pass</t>
        </is>
      </c>
      <c r="E1227" t="inlineStr">
        <is>
          <t>Paper ice-ocean 35 km / 1600 km pass x</t>
        </is>
      </c>
      <c r="F1227" t="inlineStr">
        <is>
          <t>Paper ice-ocean 35 km / 1600 km pass</t>
        </is>
      </c>
      <c r="G1227" t="inlineStr">
        <is>
          <t>Operating 25 km / 1600 km pass x</t>
        </is>
      </c>
      <c r="H1227" t="inlineStr">
        <is>
          <t>Operating 25 km / 1600 km pass</t>
        </is>
      </c>
    </row>
    <row r="1228">
      <c r="A1228">
        <f>Dashboard_Live_Data!X2</f>
        <v/>
      </c>
      <c r="B1228">
        <f>Dashboard_Live_Data!Y2</f>
        <v/>
      </c>
      <c r="C1228">
        <f>Dashboard_Live_Data!Z2</f>
        <v/>
      </c>
      <c r="D1228">
        <f>Dashboard_Live_Data!AA2</f>
        <v/>
      </c>
      <c r="E1228">
        <f>Dashboard_Live_Data!AB2</f>
        <v/>
      </c>
      <c r="F1228">
        <f>Dashboard_Live_Data!AC2</f>
        <v/>
      </c>
      <c r="G1228">
        <f>Dashboard_Live_Data!AD2</f>
        <v/>
      </c>
      <c r="H1228">
        <f>Dashboard_Live_Data!AE2</f>
        <v/>
      </c>
    </row>
    <row r="1229">
      <c r="A1229">
        <f>Dashboard_Live_Data!X3</f>
        <v/>
      </c>
      <c r="B1229">
        <f>Dashboard_Live_Data!Y3</f>
        <v/>
      </c>
      <c r="C1229">
        <f>Dashboard_Live_Data!Z3</f>
        <v/>
      </c>
      <c r="D1229">
        <f>Dashboard_Live_Data!AA3</f>
        <v/>
      </c>
      <c r="E1229">
        <f>Dashboard_Live_Data!AB3</f>
        <v/>
      </c>
      <c r="F1229">
        <f>Dashboard_Live_Data!AC3</f>
        <v/>
      </c>
      <c r="G1229">
        <f>Dashboard_Live_Data!AD3</f>
        <v/>
      </c>
      <c r="H1229">
        <f>Dashboard_Live_Data!AE3</f>
        <v/>
      </c>
    </row>
    <row r="1230">
      <c r="A1230">
        <f>Dashboard_Live_Data!X4</f>
        <v/>
      </c>
      <c r="B1230">
        <f>Dashboard_Live_Data!Y4</f>
        <v/>
      </c>
      <c r="C1230">
        <f>Dashboard_Live_Data!Z4</f>
        <v/>
      </c>
      <c r="D1230">
        <f>Dashboard_Live_Data!AA4</f>
        <v/>
      </c>
      <c r="E1230">
        <f>Dashboard_Live_Data!AB4</f>
        <v/>
      </c>
      <c r="F1230">
        <f>Dashboard_Live_Data!AC4</f>
        <v/>
      </c>
      <c r="G1230">
        <f>Dashboard_Live_Data!AD4</f>
        <v/>
      </c>
      <c r="H1230">
        <f>Dashboard_Live_Data!AE4</f>
        <v/>
      </c>
    </row>
    <row r="1231">
      <c r="A1231">
        <f>Dashboard_Live_Data!X5</f>
        <v/>
      </c>
      <c r="B1231">
        <f>Dashboard_Live_Data!Y5</f>
        <v/>
      </c>
      <c r="C1231">
        <f>Dashboard_Live_Data!Z5</f>
        <v/>
      </c>
      <c r="D1231">
        <f>Dashboard_Live_Data!AA5</f>
        <v/>
      </c>
      <c r="E1231">
        <f>Dashboard_Live_Data!AB5</f>
        <v/>
      </c>
      <c r="F1231">
        <f>Dashboard_Live_Data!AC5</f>
        <v/>
      </c>
      <c r="G1231">
        <f>Dashboard_Live_Data!AD5</f>
        <v/>
      </c>
      <c r="H1231">
        <f>Dashboard_Live_Data!AE5</f>
        <v/>
      </c>
    </row>
    <row r="1232">
      <c r="A1232">
        <f>Dashboard_Live_Data!X6</f>
        <v/>
      </c>
      <c r="B1232">
        <f>Dashboard_Live_Data!Y6</f>
        <v/>
      </c>
      <c r="C1232">
        <f>Dashboard_Live_Data!Z6</f>
        <v/>
      </c>
      <c r="D1232">
        <f>Dashboard_Live_Data!AA6</f>
        <v/>
      </c>
      <c r="E1232">
        <f>Dashboard_Live_Data!AB6</f>
        <v/>
      </c>
      <c r="F1232">
        <f>Dashboard_Live_Data!AC6</f>
        <v/>
      </c>
      <c r="G1232">
        <f>Dashboard_Live_Data!AD6</f>
        <v/>
      </c>
      <c r="H1232">
        <f>Dashboard_Live_Data!AE6</f>
        <v/>
      </c>
    </row>
    <row r="1233">
      <c r="A1233">
        <f>Dashboard_Live_Data!X7</f>
        <v/>
      </c>
      <c r="B1233">
        <f>Dashboard_Live_Data!Y7</f>
        <v/>
      </c>
      <c r="C1233">
        <f>Dashboard_Live_Data!Z7</f>
        <v/>
      </c>
      <c r="D1233">
        <f>Dashboard_Live_Data!AA7</f>
        <v/>
      </c>
      <c r="E1233">
        <f>Dashboard_Live_Data!AB7</f>
        <v/>
      </c>
      <c r="F1233">
        <f>Dashboard_Live_Data!AC7</f>
        <v/>
      </c>
      <c r="G1233">
        <f>Dashboard_Live_Data!AD7</f>
        <v/>
      </c>
      <c r="H1233">
        <f>Dashboard_Live_Data!AE7</f>
        <v/>
      </c>
    </row>
    <row r="1234">
      <c r="A1234">
        <f>Dashboard_Live_Data!X8</f>
        <v/>
      </c>
      <c r="B1234">
        <f>Dashboard_Live_Data!Y8</f>
        <v/>
      </c>
      <c r="C1234">
        <f>Dashboard_Live_Data!Z8</f>
        <v/>
      </c>
      <c r="D1234">
        <f>Dashboard_Live_Data!AA8</f>
        <v/>
      </c>
      <c r="E1234">
        <f>Dashboard_Live_Data!AB8</f>
        <v/>
      </c>
      <c r="F1234">
        <f>Dashboard_Live_Data!AC8</f>
        <v/>
      </c>
      <c r="G1234">
        <f>Dashboard_Live_Data!AD8</f>
        <v/>
      </c>
      <c r="H1234">
        <f>Dashboard_Live_Data!AE8</f>
        <v/>
      </c>
    </row>
    <row r="1235">
      <c r="A1235">
        <f>Dashboard_Live_Data!X9</f>
        <v/>
      </c>
      <c r="B1235">
        <f>Dashboard_Live_Data!Y9</f>
        <v/>
      </c>
      <c r="C1235">
        <f>Dashboard_Live_Data!Z9</f>
        <v/>
      </c>
      <c r="D1235">
        <f>Dashboard_Live_Data!AA9</f>
        <v/>
      </c>
      <c r="E1235">
        <f>Dashboard_Live_Data!AB9</f>
        <v/>
      </c>
      <c r="F1235">
        <f>Dashboard_Live_Data!AC9</f>
        <v/>
      </c>
      <c r="G1235">
        <f>Dashboard_Live_Data!AD9</f>
        <v/>
      </c>
      <c r="H1235">
        <f>Dashboard_Live_Data!AE9</f>
        <v/>
      </c>
    </row>
    <row r="1236">
      <c r="A1236">
        <f>Dashboard_Live_Data!X10</f>
        <v/>
      </c>
      <c r="B1236">
        <f>Dashboard_Live_Data!Y10</f>
        <v/>
      </c>
      <c r="C1236">
        <f>Dashboard_Live_Data!Z10</f>
        <v/>
      </c>
      <c r="D1236">
        <f>Dashboard_Live_Data!AA10</f>
        <v/>
      </c>
      <c r="E1236">
        <f>Dashboard_Live_Data!AB10</f>
        <v/>
      </c>
      <c r="F1236">
        <f>Dashboard_Live_Data!AC10</f>
        <v/>
      </c>
      <c r="G1236">
        <f>Dashboard_Live_Data!AD10</f>
        <v/>
      </c>
      <c r="H1236">
        <f>Dashboard_Live_Data!AE10</f>
        <v/>
      </c>
    </row>
    <row r="1237">
      <c r="A1237">
        <f>Dashboard_Live_Data!X11</f>
        <v/>
      </c>
      <c r="B1237">
        <f>Dashboard_Live_Data!Y11</f>
        <v/>
      </c>
      <c r="C1237">
        <f>Dashboard_Live_Data!Z11</f>
        <v/>
      </c>
      <c r="D1237">
        <f>Dashboard_Live_Data!AA11</f>
        <v/>
      </c>
      <c r="E1237">
        <f>Dashboard_Live_Data!AB11</f>
        <v/>
      </c>
      <c r="F1237">
        <f>Dashboard_Live_Data!AC11</f>
        <v/>
      </c>
      <c r="G1237">
        <f>Dashboard_Live_Data!AD11</f>
        <v/>
      </c>
      <c r="H1237">
        <f>Dashboard_Live_Data!AE11</f>
        <v/>
      </c>
    </row>
    <row r="1238">
      <c r="A1238">
        <f>Dashboard_Live_Data!X12</f>
        <v/>
      </c>
      <c r="B1238">
        <f>Dashboard_Live_Data!Y12</f>
        <v/>
      </c>
      <c r="C1238">
        <f>Dashboard_Live_Data!Z12</f>
        <v/>
      </c>
      <c r="D1238">
        <f>Dashboard_Live_Data!AA12</f>
        <v/>
      </c>
      <c r="E1238">
        <f>Dashboard_Live_Data!AB12</f>
        <v/>
      </c>
      <c r="F1238">
        <f>Dashboard_Live_Data!AC12</f>
        <v/>
      </c>
      <c r="G1238">
        <f>Dashboard_Live_Data!AD12</f>
        <v/>
      </c>
      <c r="H1238">
        <f>Dashboard_Live_Data!AE12</f>
        <v/>
      </c>
    </row>
    <row r="1239">
      <c r="A1239">
        <f>Dashboard_Live_Data!X13</f>
        <v/>
      </c>
      <c r="B1239">
        <f>Dashboard_Live_Data!Y13</f>
        <v/>
      </c>
      <c r="C1239">
        <f>Dashboard_Live_Data!Z13</f>
        <v/>
      </c>
      <c r="D1239">
        <f>Dashboard_Live_Data!AA13</f>
        <v/>
      </c>
      <c r="E1239">
        <f>Dashboard_Live_Data!AB13</f>
        <v/>
      </c>
      <c r="F1239">
        <f>Dashboard_Live_Data!AC13</f>
        <v/>
      </c>
      <c r="G1239">
        <f>Dashboard_Live_Data!AD13</f>
        <v/>
      </c>
      <c r="H1239">
        <f>Dashboard_Live_Data!AE13</f>
        <v/>
      </c>
    </row>
    <row r="1240">
      <c r="A1240">
        <f>Dashboard_Live_Data!X14</f>
        <v/>
      </c>
      <c r="B1240">
        <f>Dashboard_Live_Data!Y14</f>
        <v/>
      </c>
      <c r="C1240">
        <f>Dashboard_Live_Data!Z14</f>
        <v/>
      </c>
      <c r="D1240">
        <f>Dashboard_Live_Data!AA14</f>
        <v/>
      </c>
      <c r="E1240">
        <f>Dashboard_Live_Data!AB14</f>
        <v/>
      </c>
      <c r="F1240">
        <f>Dashboard_Live_Data!AC14</f>
        <v/>
      </c>
      <c r="G1240">
        <f>Dashboard_Live_Data!AD14</f>
        <v/>
      </c>
      <c r="H1240">
        <f>Dashboard_Live_Data!AE14</f>
        <v/>
      </c>
    </row>
    <row r="1241">
      <c r="A1241">
        <f>Dashboard_Live_Data!X15</f>
        <v/>
      </c>
      <c r="B1241">
        <f>Dashboard_Live_Data!Y15</f>
        <v/>
      </c>
      <c r="C1241">
        <f>Dashboard_Live_Data!Z15</f>
        <v/>
      </c>
      <c r="D1241">
        <f>Dashboard_Live_Data!AA15</f>
        <v/>
      </c>
      <c r="E1241">
        <f>Dashboard_Live_Data!AB15</f>
        <v/>
      </c>
      <c r="F1241">
        <f>Dashboard_Live_Data!AC15</f>
        <v/>
      </c>
      <c r="G1241">
        <f>Dashboard_Live_Data!AD15</f>
        <v/>
      </c>
      <c r="H1241">
        <f>Dashboard_Live_Data!AE15</f>
        <v/>
      </c>
    </row>
    <row r="1242">
      <c r="A1242">
        <f>Dashboard_Live_Data!X16</f>
        <v/>
      </c>
      <c r="B1242">
        <f>Dashboard_Live_Data!Y16</f>
        <v/>
      </c>
      <c r="C1242">
        <f>Dashboard_Live_Data!Z16</f>
        <v/>
      </c>
      <c r="D1242">
        <f>Dashboard_Live_Data!AA16</f>
        <v/>
      </c>
      <c r="E1242">
        <f>Dashboard_Live_Data!AB16</f>
        <v/>
      </c>
      <c r="F1242">
        <f>Dashboard_Live_Data!AC16</f>
        <v/>
      </c>
      <c r="G1242">
        <f>Dashboard_Live_Data!AD16</f>
        <v/>
      </c>
      <c r="H1242">
        <f>Dashboard_Live_Data!AE16</f>
        <v/>
      </c>
    </row>
    <row r="1243">
      <c r="A1243">
        <f>Dashboard_Live_Data!X17</f>
        <v/>
      </c>
      <c r="B1243">
        <f>Dashboard_Live_Data!Y17</f>
        <v/>
      </c>
      <c r="C1243">
        <f>Dashboard_Live_Data!Z17</f>
        <v/>
      </c>
      <c r="D1243">
        <f>Dashboard_Live_Data!AA17</f>
        <v/>
      </c>
      <c r="E1243">
        <f>Dashboard_Live_Data!AB17</f>
        <v/>
      </c>
      <c r="F1243">
        <f>Dashboard_Live_Data!AC17</f>
        <v/>
      </c>
      <c r="G1243">
        <f>Dashboard_Live_Data!AD17</f>
        <v/>
      </c>
      <c r="H1243">
        <f>Dashboard_Live_Data!AE17</f>
        <v/>
      </c>
    </row>
    <row r="1244">
      <c r="A1244">
        <f>Dashboard_Live_Data!X18</f>
        <v/>
      </c>
      <c r="B1244">
        <f>Dashboard_Live_Data!Y18</f>
        <v/>
      </c>
      <c r="C1244">
        <f>Dashboard_Live_Data!Z18</f>
        <v/>
      </c>
      <c r="D1244">
        <f>Dashboard_Live_Data!AA18</f>
        <v/>
      </c>
      <c r="E1244">
        <f>Dashboard_Live_Data!AB18</f>
        <v/>
      </c>
      <c r="F1244">
        <f>Dashboard_Live_Data!AC18</f>
        <v/>
      </c>
      <c r="G1244">
        <f>Dashboard_Live_Data!AD18</f>
        <v/>
      </c>
      <c r="H1244">
        <f>Dashboard_Live_Data!AE18</f>
        <v/>
      </c>
    </row>
    <row r="1245">
      <c r="A1245">
        <f>Dashboard_Live_Data!X19</f>
        <v/>
      </c>
      <c r="B1245">
        <f>Dashboard_Live_Data!Y19</f>
        <v/>
      </c>
      <c r="C1245">
        <f>Dashboard_Live_Data!Z19</f>
        <v/>
      </c>
      <c r="D1245">
        <f>Dashboard_Live_Data!AA19</f>
        <v/>
      </c>
      <c r="E1245">
        <f>Dashboard_Live_Data!AB19</f>
        <v/>
      </c>
      <c r="F1245">
        <f>Dashboard_Live_Data!AC19</f>
        <v/>
      </c>
      <c r="G1245">
        <f>Dashboard_Live_Data!AD19</f>
        <v/>
      </c>
      <c r="H1245">
        <f>Dashboard_Live_Data!AE19</f>
        <v/>
      </c>
    </row>
    <row r="1246">
      <c r="A1246">
        <f>Dashboard_Live_Data!X20</f>
        <v/>
      </c>
      <c r="B1246">
        <f>Dashboard_Live_Data!Y20</f>
        <v/>
      </c>
      <c r="C1246">
        <f>Dashboard_Live_Data!Z20</f>
        <v/>
      </c>
      <c r="D1246">
        <f>Dashboard_Live_Data!AA20</f>
        <v/>
      </c>
      <c r="E1246">
        <f>Dashboard_Live_Data!AB20</f>
        <v/>
      </c>
      <c r="F1246">
        <f>Dashboard_Live_Data!AC20</f>
        <v/>
      </c>
      <c r="G1246">
        <f>Dashboard_Live_Data!AD20</f>
        <v/>
      </c>
      <c r="H1246">
        <f>Dashboard_Live_Data!AE20</f>
        <v/>
      </c>
    </row>
    <row r="1247">
      <c r="A1247">
        <f>Dashboard_Live_Data!X21</f>
        <v/>
      </c>
      <c r="B1247">
        <f>Dashboard_Live_Data!Y21</f>
        <v/>
      </c>
      <c r="C1247">
        <f>Dashboard_Live_Data!Z21</f>
        <v/>
      </c>
      <c r="D1247">
        <f>Dashboard_Live_Data!AA21</f>
        <v/>
      </c>
      <c r="E1247">
        <f>Dashboard_Live_Data!AB21</f>
        <v/>
      </c>
      <c r="F1247">
        <f>Dashboard_Live_Data!AC21</f>
        <v/>
      </c>
      <c r="G1247">
        <f>Dashboard_Live_Data!AD21</f>
        <v/>
      </c>
      <c r="H1247">
        <f>Dashboard_Live_Data!AE21</f>
        <v/>
      </c>
    </row>
    <row r="1248">
      <c r="A1248">
        <f>Dashboard_Live_Data!X22</f>
        <v/>
      </c>
      <c r="B1248">
        <f>Dashboard_Live_Data!Y22</f>
        <v/>
      </c>
      <c r="C1248">
        <f>Dashboard_Live_Data!Z22</f>
        <v/>
      </c>
      <c r="D1248">
        <f>Dashboard_Live_Data!AA22</f>
        <v/>
      </c>
      <c r="E1248">
        <f>Dashboard_Live_Data!AB22</f>
        <v/>
      </c>
      <c r="F1248">
        <f>Dashboard_Live_Data!AC22</f>
        <v/>
      </c>
      <c r="G1248">
        <f>Dashboard_Live_Data!AD22</f>
        <v/>
      </c>
      <c r="H1248">
        <f>Dashboard_Live_Data!AE22</f>
        <v/>
      </c>
    </row>
    <row r="1249">
      <c r="A1249">
        <f>Dashboard_Live_Data!X23</f>
        <v/>
      </c>
      <c r="B1249">
        <f>Dashboard_Live_Data!Y23</f>
        <v/>
      </c>
      <c r="C1249">
        <f>Dashboard_Live_Data!Z23</f>
        <v/>
      </c>
      <c r="D1249">
        <f>Dashboard_Live_Data!AA23</f>
        <v/>
      </c>
      <c r="E1249">
        <f>Dashboard_Live_Data!AB23</f>
        <v/>
      </c>
      <c r="F1249">
        <f>Dashboard_Live_Data!AC23</f>
        <v/>
      </c>
      <c r="G1249">
        <f>Dashboard_Live_Data!AD23</f>
        <v/>
      </c>
      <c r="H1249">
        <f>Dashboard_Live_Data!AE23</f>
        <v/>
      </c>
    </row>
    <row r="1250">
      <c r="A1250">
        <f>Dashboard_Live_Data!X24</f>
        <v/>
      </c>
      <c r="B1250">
        <f>Dashboard_Live_Data!Y24</f>
        <v/>
      </c>
      <c r="C1250">
        <f>Dashboard_Live_Data!Z24</f>
        <v/>
      </c>
      <c r="D1250">
        <f>Dashboard_Live_Data!AA24</f>
        <v/>
      </c>
      <c r="E1250">
        <f>Dashboard_Live_Data!AB24</f>
        <v/>
      </c>
      <c r="F1250">
        <f>Dashboard_Live_Data!AC24</f>
        <v/>
      </c>
      <c r="G1250">
        <f>Dashboard_Live_Data!AD24</f>
        <v/>
      </c>
      <c r="H1250">
        <f>Dashboard_Live_Data!AE24</f>
        <v/>
      </c>
    </row>
    <row r="1251">
      <c r="A1251">
        <f>Dashboard_Live_Data!X25</f>
        <v/>
      </c>
      <c r="B1251">
        <f>Dashboard_Live_Data!Y25</f>
        <v/>
      </c>
      <c r="C1251">
        <f>Dashboard_Live_Data!Z25</f>
        <v/>
      </c>
      <c r="D1251">
        <f>Dashboard_Live_Data!AA25</f>
        <v/>
      </c>
      <c r="E1251">
        <f>Dashboard_Live_Data!AB25</f>
        <v/>
      </c>
      <c r="F1251">
        <f>Dashboard_Live_Data!AC25</f>
        <v/>
      </c>
      <c r="G1251">
        <f>Dashboard_Live_Data!AD25</f>
        <v/>
      </c>
      <c r="H1251">
        <f>Dashboard_Live_Data!AE25</f>
        <v/>
      </c>
    </row>
    <row r="1252">
      <c r="A1252">
        <f>Dashboard_Live_Data!X26</f>
        <v/>
      </c>
      <c r="B1252">
        <f>Dashboard_Live_Data!Y26</f>
        <v/>
      </c>
      <c r="C1252">
        <f>Dashboard_Live_Data!Z26</f>
        <v/>
      </c>
      <c r="D1252">
        <f>Dashboard_Live_Data!AA26</f>
        <v/>
      </c>
      <c r="E1252">
        <f>Dashboard_Live_Data!AB26</f>
        <v/>
      </c>
      <c r="F1252">
        <f>Dashboard_Live_Data!AC26</f>
        <v/>
      </c>
      <c r="G1252">
        <f>Dashboard_Live_Data!AD26</f>
        <v/>
      </c>
      <c r="H1252">
        <f>Dashboard_Live_Data!AE26</f>
        <v/>
      </c>
    </row>
    <row r="1253">
      <c r="A1253">
        <f>Dashboard_Live_Data!X27</f>
        <v/>
      </c>
      <c r="B1253">
        <f>Dashboard_Live_Data!Y27</f>
        <v/>
      </c>
      <c r="C1253">
        <f>Dashboard_Live_Data!Z27</f>
        <v/>
      </c>
      <c r="D1253">
        <f>Dashboard_Live_Data!AA27</f>
        <v/>
      </c>
      <c r="E1253">
        <f>Dashboard_Live_Data!AB27</f>
        <v/>
      </c>
      <c r="F1253">
        <f>Dashboard_Live_Data!AC27</f>
        <v/>
      </c>
      <c r="G1253">
        <f>Dashboard_Live_Data!AD27</f>
        <v/>
      </c>
      <c r="H1253">
        <f>Dashboard_Live_Data!AE27</f>
        <v/>
      </c>
    </row>
    <row r="1254">
      <c r="A1254">
        <f>Dashboard_Live_Data!X28</f>
        <v/>
      </c>
      <c r="B1254">
        <f>Dashboard_Live_Data!Y28</f>
        <v/>
      </c>
      <c r="C1254">
        <f>Dashboard_Live_Data!Z28</f>
        <v/>
      </c>
      <c r="D1254">
        <f>Dashboard_Live_Data!AA28</f>
        <v/>
      </c>
      <c r="E1254">
        <f>Dashboard_Live_Data!AB28</f>
        <v/>
      </c>
      <c r="F1254">
        <f>Dashboard_Live_Data!AC28</f>
        <v/>
      </c>
      <c r="G1254">
        <f>Dashboard_Live_Data!AD28</f>
        <v/>
      </c>
      <c r="H1254">
        <f>Dashboard_Live_Data!AE28</f>
        <v/>
      </c>
    </row>
    <row r="1255">
      <c r="A1255">
        <f>Dashboard_Live_Data!X29</f>
        <v/>
      </c>
      <c r="B1255">
        <f>Dashboard_Live_Data!Y29</f>
        <v/>
      </c>
      <c r="C1255">
        <f>Dashboard_Live_Data!Z29</f>
        <v/>
      </c>
      <c r="D1255">
        <f>Dashboard_Live_Data!AA29</f>
        <v/>
      </c>
      <c r="E1255">
        <f>Dashboard_Live_Data!AB29</f>
        <v/>
      </c>
      <c r="F1255">
        <f>Dashboard_Live_Data!AC29</f>
        <v/>
      </c>
      <c r="G1255">
        <f>Dashboard_Live_Data!AD29</f>
        <v/>
      </c>
      <c r="H1255">
        <f>Dashboard_Live_Data!AE29</f>
        <v/>
      </c>
    </row>
    <row r="1256">
      <c r="A1256">
        <f>Dashboard_Live_Data!X30</f>
        <v/>
      </c>
      <c r="B1256">
        <f>Dashboard_Live_Data!Y30</f>
        <v/>
      </c>
      <c r="C1256">
        <f>Dashboard_Live_Data!Z30</f>
        <v/>
      </c>
      <c r="D1256">
        <f>Dashboard_Live_Data!AA30</f>
        <v/>
      </c>
      <c r="E1256">
        <f>Dashboard_Live_Data!AB30</f>
        <v/>
      </c>
      <c r="F1256">
        <f>Dashboard_Live_Data!AC30</f>
        <v/>
      </c>
      <c r="G1256">
        <f>Dashboard_Live_Data!AD30</f>
        <v/>
      </c>
      <c r="H1256">
        <f>Dashboard_Live_Data!AE30</f>
        <v/>
      </c>
    </row>
    <row r="1257">
      <c r="A1257">
        <f>Dashboard_Live_Data!X31</f>
        <v/>
      </c>
      <c r="B1257">
        <f>Dashboard_Live_Data!Y31</f>
        <v/>
      </c>
      <c r="C1257">
        <f>Dashboard_Live_Data!Z31</f>
        <v/>
      </c>
      <c r="D1257">
        <f>Dashboard_Live_Data!AA31</f>
        <v/>
      </c>
      <c r="E1257">
        <f>Dashboard_Live_Data!AB31</f>
        <v/>
      </c>
      <c r="F1257">
        <f>Dashboard_Live_Data!AC31</f>
        <v/>
      </c>
      <c r="G1257">
        <f>Dashboard_Live_Data!AD31</f>
        <v/>
      </c>
      <c r="H1257">
        <f>Dashboard_Live_Data!AE31</f>
        <v/>
      </c>
    </row>
    <row r="1258">
      <c r="A1258">
        <f>Dashboard_Live_Data!X32</f>
        <v/>
      </c>
      <c r="B1258">
        <f>Dashboard_Live_Data!Y32</f>
        <v/>
      </c>
      <c r="C1258">
        <f>Dashboard_Live_Data!Z32</f>
        <v/>
      </c>
      <c r="D1258">
        <f>Dashboard_Live_Data!AA32</f>
        <v/>
      </c>
      <c r="E1258">
        <f>Dashboard_Live_Data!AB32</f>
        <v/>
      </c>
      <c r="F1258">
        <f>Dashboard_Live_Data!AC32</f>
        <v/>
      </c>
      <c r="G1258">
        <f>Dashboard_Live_Data!AD32</f>
        <v/>
      </c>
      <c r="H1258">
        <f>Dashboard_Live_Data!AE32</f>
        <v/>
      </c>
    </row>
    <row r="1259">
      <c r="A1259">
        <f>Dashboard_Live_Data!X33</f>
        <v/>
      </c>
      <c r="B1259">
        <f>Dashboard_Live_Data!Y33</f>
        <v/>
      </c>
      <c r="C1259">
        <f>Dashboard_Live_Data!Z33</f>
        <v/>
      </c>
      <c r="D1259">
        <f>Dashboard_Live_Data!AA33</f>
        <v/>
      </c>
      <c r="E1259">
        <f>Dashboard_Live_Data!AB33</f>
        <v/>
      </c>
      <c r="F1259">
        <f>Dashboard_Live_Data!AC33</f>
        <v/>
      </c>
      <c r="G1259">
        <f>Dashboard_Live_Data!AD33</f>
        <v/>
      </c>
      <c r="H1259">
        <f>Dashboard_Live_Data!AE33</f>
        <v/>
      </c>
    </row>
    <row r="1260">
      <c r="A1260">
        <f>Dashboard_Live_Data!X34</f>
        <v/>
      </c>
      <c r="B1260">
        <f>Dashboard_Live_Data!Y34</f>
        <v/>
      </c>
      <c r="C1260">
        <f>Dashboard_Live_Data!Z34</f>
        <v/>
      </c>
      <c r="D1260">
        <f>Dashboard_Live_Data!AA34</f>
        <v/>
      </c>
      <c r="E1260">
        <f>Dashboard_Live_Data!AB34</f>
        <v/>
      </c>
      <c r="F1260">
        <f>Dashboard_Live_Data!AC34</f>
        <v/>
      </c>
      <c r="G1260">
        <f>Dashboard_Live_Data!AD34</f>
        <v/>
      </c>
      <c r="H1260">
        <f>Dashboard_Live_Data!AE34</f>
        <v/>
      </c>
    </row>
    <row r="1261">
      <c r="A1261">
        <f>Dashboard_Live_Data!X35</f>
        <v/>
      </c>
      <c r="B1261">
        <f>Dashboard_Live_Data!Y35</f>
        <v/>
      </c>
      <c r="C1261">
        <f>Dashboard_Live_Data!Z35</f>
        <v/>
      </c>
      <c r="D1261">
        <f>Dashboard_Live_Data!AA35</f>
        <v/>
      </c>
      <c r="E1261">
        <f>Dashboard_Live_Data!AB35</f>
        <v/>
      </c>
      <c r="F1261">
        <f>Dashboard_Live_Data!AC35</f>
        <v/>
      </c>
      <c r="G1261">
        <f>Dashboard_Live_Data!AD35</f>
        <v/>
      </c>
      <c r="H1261">
        <f>Dashboard_Live_Data!AE35</f>
        <v/>
      </c>
    </row>
    <row r="1262">
      <c r="A1262">
        <f>Dashboard_Live_Data!X36</f>
        <v/>
      </c>
      <c r="B1262">
        <f>Dashboard_Live_Data!Y36</f>
        <v/>
      </c>
      <c r="C1262">
        <f>Dashboard_Live_Data!Z36</f>
        <v/>
      </c>
      <c r="D1262">
        <f>Dashboard_Live_Data!AA36</f>
        <v/>
      </c>
      <c r="E1262">
        <f>Dashboard_Live_Data!AB36</f>
        <v/>
      </c>
      <c r="F1262">
        <f>Dashboard_Live_Data!AC36</f>
        <v/>
      </c>
      <c r="G1262">
        <f>Dashboard_Live_Data!AD36</f>
        <v/>
      </c>
      <c r="H1262">
        <f>Dashboard_Live_Data!AE36</f>
        <v/>
      </c>
    </row>
    <row r="1263">
      <c r="A1263">
        <f>Dashboard_Live_Data!X37</f>
        <v/>
      </c>
      <c r="B1263">
        <f>Dashboard_Live_Data!Y37</f>
        <v/>
      </c>
      <c r="C1263">
        <f>Dashboard_Live_Data!Z37</f>
        <v/>
      </c>
      <c r="D1263">
        <f>Dashboard_Live_Data!AA37</f>
        <v/>
      </c>
      <c r="E1263">
        <f>Dashboard_Live_Data!AB37</f>
        <v/>
      </c>
      <c r="F1263">
        <f>Dashboard_Live_Data!AC37</f>
        <v/>
      </c>
      <c r="G1263">
        <f>Dashboard_Live_Data!AD37</f>
        <v/>
      </c>
      <c r="H1263">
        <f>Dashboard_Live_Data!AE37</f>
        <v/>
      </c>
    </row>
    <row r="1264">
      <c r="A1264">
        <f>Dashboard_Live_Data!X38</f>
        <v/>
      </c>
      <c r="B1264">
        <f>Dashboard_Live_Data!Y38</f>
        <v/>
      </c>
      <c r="C1264">
        <f>Dashboard_Live_Data!Z38</f>
        <v/>
      </c>
      <c r="D1264">
        <f>Dashboard_Live_Data!AA38</f>
        <v/>
      </c>
      <c r="E1264">
        <f>Dashboard_Live_Data!AB38</f>
        <v/>
      </c>
      <c r="F1264">
        <f>Dashboard_Live_Data!AC38</f>
        <v/>
      </c>
      <c r="G1264">
        <f>Dashboard_Live_Data!AD38</f>
        <v/>
      </c>
      <c r="H1264">
        <f>Dashboard_Live_Data!AE38</f>
        <v/>
      </c>
    </row>
    <row r="1265">
      <c r="A1265">
        <f>Dashboard_Live_Data!X39</f>
        <v/>
      </c>
      <c r="B1265">
        <f>Dashboard_Live_Data!Y39</f>
        <v/>
      </c>
      <c r="C1265">
        <f>Dashboard_Live_Data!Z39</f>
        <v/>
      </c>
      <c r="D1265">
        <f>Dashboard_Live_Data!AA39</f>
        <v/>
      </c>
      <c r="E1265">
        <f>Dashboard_Live_Data!AB39</f>
        <v/>
      </c>
      <c r="F1265">
        <f>Dashboard_Live_Data!AC39</f>
        <v/>
      </c>
      <c r="G1265">
        <f>Dashboard_Live_Data!AD39</f>
        <v/>
      </c>
      <c r="H1265">
        <f>Dashboard_Live_Data!AE39</f>
        <v/>
      </c>
    </row>
    <row r="1266">
      <c r="A1266">
        <f>Dashboard_Live_Data!X40</f>
        <v/>
      </c>
      <c r="B1266">
        <f>Dashboard_Live_Data!Y40</f>
        <v/>
      </c>
      <c r="C1266">
        <f>Dashboard_Live_Data!Z40</f>
        <v/>
      </c>
      <c r="D1266">
        <f>Dashboard_Live_Data!AA40</f>
        <v/>
      </c>
      <c r="E1266">
        <f>Dashboard_Live_Data!AB40</f>
        <v/>
      </c>
      <c r="F1266">
        <f>Dashboard_Live_Data!AC40</f>
        <v/>
      </c>
      <c r="G1266">
        <f>Dashboard_Live_Data!AD40</f>
        <v/>
      </c>
      <c r="H1266">
        <f>Dashboard_Live_Data!AE40</f>
        <v/>
      </c>
    </row>
    <row r="1267">
      <c r="A1267">
        <f>Dashboard_Live_Data!X41</f>
        <v/>
      </c>
      <c r="B1267">
        <f>Dashboard_Live_Data!Y41</f>
        <v/>
      </c>
      <c r="C1267">
        <f>Dashboard_Live_Data!Z41</f>
        <v/>
      </c>
      <c r="D1267">
        <f>Dashboard_Live_Data!AA41</f>
        <v/>
      </c>
      <c r="E1267">
        <f>Dashboard_Live_Data!AB41</f>
        <v/>
      </c>
      <c r="F1267">
        <f>Dashboard_Live_Data!AC41</f>
        <v/>
      </c>
      <c r="G1267">
        <f>Dashboard_Live_Data!AD41</f>
        <v/>
      </c>
      <c r="H1267">
        <f>Dashboard_Live_Data!AE41</f>
        <v/>
      </c>
    </row>
    <row r="1268">
      <c r="A1268">
        <f>Dashboard_Live_Data!X42</f>
        <v/>
      </c>
      <c r="B1268">
        <f>Dashboard_Live_Data!Y42</f>
        <v/>
      </c>
      <c r="C1268">
        <f>Dashboard_Live_Data!Z42</f>
        <v/>
      </c>
      <c r="D1268">
        <f>Dashboard_Live_Data!AA42</f>
        <v/>
      </c>
      <c r="E1268">
        <f>Dashboard_Live_Data!AB42</f>
        <v/>
      </c>
      <c r="F1268">
        <f>Dashboard_Live_Data!AC42</f>
        <v/>
      </c>
      <c r="G1268">
        <f>Dashboard_Live_Data!AD42</f>
        <v/>
      </c>
      <c r="H1268">
        <f>Dashboard_Live_Data!AE42</f>
        <v/>
      </c>
    </row>
    <row r="1269">
      <c r="A1269">
        <f>Dashboard_Live_Data!X43</f>
        <v/>
      </c>
      <c r="B1269">
        <f>Dashboard_Live_Data!Y43</f>
        <v/>
      </c>
      <c r="C1269">
        <f>Dashboard_Live_Data!Z43</f>
        <v/>
      </c>
      <c r="D1269">
        <f>Dashboard_Live_Data!AA43</f>
        <v/>
      </c>
      <c r="E1269">
        <f>Dashboard_Live_Data!AB43</f>
        <v/>
      </c>
      <c r="F1269">
        <f>Dashboard_Live_Data!AC43</f>
        <v/>
      </c>
      <c r="G1269">
        <f>Dashboard_Live_Data!AD43</f>
        <v/>
      </c>
      <c r="H1269">
        <f>Dashboard_Live_Data!AE43</f>
        <v/>
      </c>
    </row>
    <row r="1270">
      <c r="A1270">
        <f>Dashboard_Live_Data!X44</f>
        <v/>
      </c>
      <c r="B1270">
        <f>Dashboard_Live_Data!Y44</f>
        <v/>
      </c>
      <c r="C1270">
        <f>Dashboard_Live_Data!Z44</f>
        <v/>
      </c>
      <c r="D1270">
        <f>Dashboard_Live_Data!AA44</f>
        <v/>
      </c>
      <c r="E1270">
        <f>Dashboard_Live_Data!AB44</f>
        <v/>
      </c>
      <c r="F1270">
        <f>Dashboard_Live_Data!AC44</f>
        <v/>
      </c>
      <c r="G1270">
        <f>Dashboard_Live_Data!AD44</f>
        <v/>
      </c>
      <c r="H1270">
        <f>Dashboard_Live_Data!AE44</f>
        <v/>
      </c>
    </row>
    <row r="1271">
      <c r="A1271">
        <f>Dashboard_Live_Data!X45</f>
        <v/>
      </c>
      <c r="B1271">
        <f>Dashboard_Live_Data!Y45</f>
        <v/>
      </c>
      <c r="C1271">
        <f>Dashboard_Live_Data!Z45</f>
        <v/>
      </c>
      <c r="D1271">
        <f>Dashboard_Live_Data!AA45</f>
        <v/>
      </c>
      <c r="E1271">
        <f>Dashboard_Live_Data!AB45</f>
        <v/>
      </c>
      <c r="F1271">
        <f>Dashboard_Live_Data!AC45</f>
        <v/>
      </c>
      <c r="G1271">
        <f>Dashboard_Live_Data!AD45</f>
        <v/>
      </c>
      <c r="H1271">
        <f>Dashboard_Live_Data!AE45</f>
        <v/>
      </c>
    </row>
    <row r="1272">
      <c r="A1272">
        <f>Dashboard_Live_Data!X46</f>
        <v/>
      </c>
      <c r="B1272">
        <f>Dashboard_Live_Data!Y46</f>
        <v/>
      </c>
      <c r="C1272">
        <f>Dashboard_Live_Data!Z46</f>
        <v/>
      </c>
      <c r="D1272">
        <f>Dashboard_Live_Data!AA46</f>
        <v/>
      </c>
      <c r="E1272">
        <f>Dashboard_Live_Data!AB46</f>
        <v/>
      </c>
      <c r="F1272">
        <f>Dashboard_Live_Data!AC46</f>
        <v/>
      </c>
      <c r="G1272">
        <f>Dashboard_Live_Data!AD46</f>
        <v/>
      </c>
      <c r="H1272">
        <f>Dashboard_Live_Data!AE46</f>
        <v/>
      </c>
    </row>
    <row r="1273">
      <c r="A1273">
        <f>Dashboard_Live_Data!X47</f>
        <v/>
      </c>
      <c r="B1273">
        <f>Dashboard_Live_Data!Y47</f>
        <v/>
      </c>
      <c r="C1273">
        <f>Dashboard_Live_Data!Z47</f>
        <v/>
      </c>
      <c r="D1273">
        <f>Dashboard_Live_Data!AA47</f>
        <v/>
      </c>
      <c r="E1273">
        <f>Dashboard_Live_Data!AB47</f>
        <v/>
      </c>
      <c r="F1273">
        <f>Dashboard_Live_Data!AC47</f>
        <v/>
      </c>
      <c r="G1273">
        <f>Dashboard_Live_Data!AD47</f>
        <v/>
      </c>
      <c r="H1273">
        <f>Dashboard_Live_Data!AE47</f>
        <v/>
      </c>
    </row>
    <row r="1274">
      <c r="A1274">
        <f>Dashboard_Live_Data!X48</f>
        <v/>
      </c>
      <c r="B1274">
        <f>Dashboard_Live_Data!Y48</f>
        <v/>
      </c>
      <c r="C1274">
        <f>Dashboard_Live_Data!Z48</f>
        <v/>
      </c>
      <c r="D1274">
        <f>Dashboard_Live_Data!AA48</f>
        <v/>
      </c>
      <c r="E1274">
        <f>Dashboard_Live_Data!AB48</f>
        <v/>
      </c>
      <c r="F1274">
        <f>Dashboard_Live_Data!AC48</f>
        <v/>
      </c>
      <c r="G1274">
        <f>Dashboard_Live_Data!AD48</f>
        <v/>
      </c>
      <c r="H1274">
        <f>Dashboard_Live_Data!AE48</f>
        <v/>
      </c>
    </row>
    <row r="1275">
      <c r="A1275">
        <f>Dashboard_Live_Data!X49</f>
        <v/>
      </c>
      <c r="B1275">
        <f>Dashboard_Live_Data!Y49</f>
        <v/>
      </c>
      <c r="C1275">
        <f>Dashboard_Live_Data!Z49</f>
        <v/>
      </c>
      <c r="D1275">
        <f>Dashboard_Live_Data!AA49</f>
        <v/>
      </c>
      <c r="E1275">
        <f>Dashboard_Live_Data!AB49</f>
        <v/>
      </c>
      <c r="F1275">
        <f>Dashboard_Live_Data!AC49</f>
        <v/>
      </c>
      <c r="G1275">
        <f>Dashboard_Live_Data!AD49</f>
        <v/>
      </c>
      <c r="H1275">
        <f>Dashboard_Live_Data!AE49</f>
        <v/>
      </c>
    </row>
    <row r="1276">
      <c r="A1276">
        <f>Dashboard_Live_Data!X50</f>
        <v/>
      </c>
      <c r="B1276">
        <f>Dashboard_Live_Data!Y50</f>
        <v/>
      </c>
      <c r="C1276">
        <f>Dashboard_Live_Data!Z50</f>
        <v/>
      </c>
      <c r="D1276">
        <f>Dashboard_Live_Data!AA50</f>
        <v/>
      </c>
      <c r="E1276">
        <f>Dashboard_Live_Data!AB50</f>
        <v/>
      </c>
      <c r="F1276">
        <f>Dashboard_Live_Data!AC50</f>
        <v/>
      </c>
      <c r="G1276">
        <f>Dashboard_Live_Data!AD50</f>
        <v/>
      </c>
      <c r="H1276">
        <f>Dashboard_Live_Data!AE50</f>
        <v/>
      </c>
    </row>
    <row r="1277">
      <c r="A1277">
        <f>Dashboard_Live_Data!X51</f>
        <v/>
      </c>
      <c r="B1277">
        <f>Dashboard_Live_Data!Y51</f>
        <v/>
      </c>
      <c r="C1277">
        <f>Dashboard_Live_Data!Z51</f>
        <v/>
      </c>
      <c r="D1277">
        <f>Dashboard_Live_Data!AA51</f>
        <v/>
      </c>
      <c r="E1277">
        <f>Dashboard_Live_Data!AB51</f>
        <v/>
      </c>
      <c r="F1277">
        <f>Dashboard_Live_Data!AC51</f>
        <v/>
      </c>
      <c r="G1277">
        <f>Dashboard_Live_Data!AD51</f>
        <v/>
      </c>
      <c r="H1277">
        <f>Dashboard_Live_Data!AE51</f>
        <v/>
      </c>
    </row>
    <row r="1278">
      <c r="A1278">
        <f>Dashboard_Live_Data!X52</f>
        <v/>
      </c>
      <c r="B1278">
        <f>Dashboard_Live_Data!Y52</f>
        <v/>
      </c>
      <c r="C1278">
        <f>Dashboard_Live_Data!Z52</f>
        <v/>
      </c>
      <c r="D1278">
        <f>Dashboard_Live_Data!AA52</f>
        <v/>
      </c>
      <c r="E1278">
        <f>Dashboard_Live_Data!AB52</f>
        <v/>
      </c>
      <c r="F1278">
        <f>Dashboard_Live_Data!AC52</f>
        <v/>
      </c>
      <c r="G1278">
        <f>Dashboard_Live_Data!AD52</f>
        <v/>
      </c>
      <c r="H1278">
        <f>Dashboard_Live_Data!AE52</f>
        <v/>
      </c>
    </row>
    <row r="1279">
      <c r="A1279">
        <f>Dashboard_Live_Data!X53</f>
        <v/>
      </c>
      <c r="B1279">
        <f>Dashboard_Live_Data!Y53</f>
        <v/>
      </c>
      <c r="C1279">
        <f>Dashboard_Live_Data!Z53</f>
        <v/>
      </c>
      <c r="D1279">
        <f>Dashboard_Live_Data!AA53</f>
        <v/>
      </c>
      <c r="E1279">
        <f>Dashboard_Live_Data!AB53</f>
        <v/>
      </c>
      <c r="F1279">
        <f>Dashboard_Live_Data!AC53</f>
        <v/>
      </c>
      <c r="G1279">
        <f>Dashboard_Live_Data!AD53</f>
        <v/>
      </c>
      <c r="H1279">
        <f>Dashboard_Live_Data!AE53</f>
        <v/>
      </c>
    </row>
    <row r="1280">
      <c r="A1280">
        <f>Dashboard_Live_Data!X54</f>
        <v/>
      </c>
      <c r="B1280">
        <f>Dashboard_Live_Data!Y54</f>
        <v/>
      </c>
      <c r="C1280">
        <f>Dashboard_Live_Data!Z54</f>
        <v/>
      </c>
      <c r="D1280">
        <f>Dashboard_Live_Data!AA54</f>
        <v/>
      </c>
      <c r="E1280">
        <f>Dashboard_Live_Data!AB54</f>
        <v/>
      </c>
      <c r="F1280">
        <f>Dashboard_Live_Data!AC54</f>
        <v/>
      </c>
      <c r="G1280">
        <f>Dashboard_Live_Data!AD54</f>
        <v/>
      </c>
      <c r="H1280">
        <f>Dashboard_Live_Data!AE54</f>
        <v/>
      </c>
    </row>
    <row r="1281">
      <c r="A1281">
        <f>Dashboard_Live_Data!X55</f>
        <v/>
      </c>
      <c r="B1281">
        <f>Dashboard_Live_Data!Y55</f>
        <v/>
      </c>
      <c r="C1281">
        <f>Dashboard_Live_Data!Z55</f>
        <v/>
      </c>
      <c r="D1281">
        <f>Dashboard_Live_Data!AA55</f>
        <v/>
      </c>
      <c r="E1281">
        <f>Dashboard_Live_Data!AB55</f>
        <v/>
      </c>
      <c r="F1281">
        <f>Dashboard_Live_Data!AC55</f>
        <v/>
      </c>
      <c r="G1281">
        <f>Dashboard_Live_Data!AD55</f>
        <v/>
      </c>
      <c r="H1281">
        <f>Dashboard_Live_Data!AE55</f>
        <v/>
      </c>
    </row>
    <row r="1282">
      <c r="A1282">
        <f>Dashboard_Live_Data!X56</f>
        <v/>
      </c>
      <c r="B1282">
        <f>Dashboard_Live_Data!Y56</f>
        <v/>
      </c>
      <c r="C1282">
        <f>Dashboard_Live_Data!Z56</f>
        <v/>
      </c>
      <c r="D1282">
        <f>Dashboard_Live_Data!AA56</f>
        <v/>
      </c>
      <c r="E1282">
        <f>Dashboard_Live_Data!AB56</f>
        <v/>
      </c>
      <c r="F1282">
        <f>Dashboard_Live_Data!AC56</f>
        <v/>
      </c>
      <c r="G1282">
        <f>Dashboard_Live_Data!AD56</f>
        <v/>
      </c>
      <c r="H1282">
        <f>Dashboard_Live_Data!AE56</f>
        <v/>
      </c>
    </row>
    <row r="1283">
      <c r="A1283">
        <f>Dashboard_Live_Data!X57</f>
        <v/>
      </c>
      <c r="B1283">
        <f>Dashboard_Live_Data!Y57</f>
        <v/>
      </c>
      <c r="C1283">
        <f>Dashboard_Live_Data!Z57</f>
        <v/>
      </c>
      <c r="D1283">
        <f>Dashboard_Live_Data!AA57</f>
        <v/>
      </c>
      <c r="E1283">
        <f>Dashboard_Live_Data!AB57</f>
        <v/>
      </c>
      <c r="F1283">
        <f>Dashboard_Live_Data!AC57</f>
        <v/>
      </c>
      <c r="G1283">
        <f>Dashboard_Live_Data!AD57</f>
        <v/>
      </c>
      <c r="H1283">
        <f>Dashboard_Live_Data!AE57</f>
        <v/>
      </c>
    </row>
    <row r="1284">
      <c r="A1284">
        <f>Dashboard_Live_Data!X58</f>
        <v/>
      </c>
      <c r="B1284">
        <f>Dashboard_Live_Data!Y58</f>
        <v/>
      </c>
      <c r="C1284">
        <f>Dashboard_Live_Data!Z58</f>
        <v/>
      </c>
      <c r="D1284">
        <f>Dashboard_Live_Data!AA58</f>
        <v/>
      </c>
      <c r="E1284">
        <f>Dashboard_Live_Data!AB58</f>
        <v/>
      </c>
      <c r="F1284">
        <f>Dashboard_Live_Data!AC58</f>
        <v/>
      </c>
      <c r="G1284">
        <f>Dashboard_Live_Data!AD58</f>
        <v/>
      </c>
      <c r="H1284">
        <f>Dashboard_Live_Data!AE58</f>
        <v/>
      </c>
    </row>
    <row r="1285">
      <c r="A1285">
        <f>Dashboard_Live_Data!X59</f>
        <v/>
      </c>
      <c r="B1285">
        <f>Dashboard_Live_Data!Y59</f>
        <v/>
      </c>
      <c r="C1285">
        <f>Dashboard_Live_Data!Z59</f>
        <v/>
      </c>
      <c r="D1285">
        <f>Dashboard_Live_Data!AA59</f>
        <v/>
      </c>
      <c r="E1285">
        <f>Dashboard_Live_Data!AB59</f>
        <v/>
      </c>
      <c r="F1285">
        <f>Dashboard_Live_Data!AC59</f>
        <v/>
      </c>
      <c r="G1285">
        <f>Dashboard_Live_Data!AD59</f>
        <v/>
      </c>
      <c r="H1285">
        <f>Dashboard_Live_Data!AE59</f>
        <v/>
      </c>
    </row>
    <row r="1286">
      <c r="A1286">
        <f>Dashboard_Live_Data!X60</f>
        <v/>
      </c>
      <c r="B1286">
        <f>Dashboard_Live_Data!Y60</f>
        <v/>
      </c>
      <c r="C1286">
        <f>Dashboard_Live_Data!Z60</f>
        <v/>
      </c>
      <c r="D1286">
        <f>Dashboard_Live_Data!AA60</f>
        <v/>
      </c>
      <c r="E1286">
        <f>Dashboard_Live_Data!AB60</f>
        <v/>
      </c>
      <c r="F1286">
        <f>Dashboard_Live_Data!AC60</f>
        <v/>
      </c>
      <c r="G1286">
        <f>Dashboard_Live_Data!AD60</f>
        <v/>
      </c>
      <c r="H1286">
        <f>Dashboard_Live_Data!AE60</f>
        <v/>
      </c>
    </row>
    <row r="1287">
      <c r="A1287">
        <f>Dashboard_Live_Data!X61</f>
        <v/>
      </c>
      <c r="B1287">
        <f>Dashboard_Live_Data!Y61</f>
        <v/>
      </c>
      <c r="C1287">
        <f>Dashboard_Live_Data!Z61</f>
        <v/>
      </c>
      <c r="D1287">
        <f>Dashboard_Live_Data!AA61</f>
        <v/>
      </c>
      <c r="E1287">
        <f>Dashboard_Live_Data!AB61</f>
        <v/>
      </c>
      <c r="F1287">
        <f>Dashboard_Live_Data!AC61</f>
        <v/>
      </c>
      <c r="G1287">
        <f>Dashboard_Live_Data!AD61</f>
        <v/>
      </c>
      <c r="H1287">
        <f>Dashboard_Live_Data!AE61</f>
        <v/>
      </c>
    </row>
    <row r="1288">
      <c r="A1288">
        <f>Dashboard_Live_Data!X62</f>
        <v/>
      </c>
      <c r="B1288">
        <f>Dashboard_Live_Data!Y62</f>
        <v/>
      </c>
      <c r="C1288">
        <f>Dashboard_Live_Data!Z62</f>
        <v/>
      </c>
      <c r="D1288">
        <f>Dashboard_Live_Data!AA62</f>
        <v/>
      </c>
      <c r="E1288">
        <f>Dashboard_Live_Data!AB62</f>
        <v/>
      </c>
      <c r="F1288">
        <f>Dashboard_Live_Data!AC62</f>
        <v/>
      </c>
      <c r="G1288">
        <f>Dashboard_Live_Data!AD62</f>
        <v/>
      </c>
      <c r="H1288">
        <f>Dashboard_Live_Data!AE62</f>
        <v/>
      </c>
    </row>
    <row r="1289">
      <c r="A1289">
        <f>Dashboard_Live_Data!X63</f>
        <v/>
      </c>
      <c r="B1289">
        <f>Dashboard_Live_Data!Y63</f>
        <v/>
      </c>
      <c r="C1289">
        <f>Dashboard_Live_Data!Z63</f>
        <v/>
      </c>
      <c r="D1289">
        <f>Dashboard_Live_Data!AA63</f>
        <v/>
      </c>
      <c r="E1289">
        <f>Dashboard_Live_Data!AB63</f>
        <v/>
      </c>
      <c r="F1289">
        <f>Dashboard_Live_Data!AC63</f>
        <v/>
      </c>
      <c r="G1289">
        <f>Dashboard_Live_Data!AD63</f>
        <v/>
      </c>
      <c r="H1289">
        <f>Dashboard_Live_Data!AE63</f>
        <v/>
      </c>
    </row>
    <row r="1290">
      <c r="A1290">
        <f>Dashboard_Live_Data!X64</f>
        <v/>
      </c>
      <c r="B1290">
        <f>Dashboard_Live_Data!Y64</f>
        <v/>
      </c>
      <c r="C1290">
        <f>Dashboard_Live_Data!Z64</f>
        <v/>
      </c>
      <c r="D1290">
        <f>Dashboard_Live_Data!AA64</f>
        <v/>
      </c>
      <c r="E1290">
        <f>Dashboard_Live_Data!AB64</f>
        <v/>
      </c>
      <c r="F1290">
        <f>Dashboard_Live_Data!AC64</f>
        <v/>
      </c>
      <c r="G1290">
        <f>Dashboard_Live_Data!AD64</f>
        <v/>
      </c>
      <c r="H1290">
        <f>Dashboard_Live_Data!AE64</f>
        <v/>
      </c>
    </row>
    <row r="1291">
      <c r="A1291">
        <f>Dashboard_Live_Data!X65</f>
        <v/>
      </c>
      <c r="B1291">
        <f>Dashboard_Live_Data!Y65</f>
        <v/>
      </c>
      <c r="C1291">
        <f>Dashboard_Live_Data!Z65</f>
        <v/>
      </c>
      <c r="D1291">
        <f>Dashboard_Live_Data!AA65</f>
        <v/>
      </c>
      <c r="E1291">
        <f>Dashboard_Live_Data!AB65</f>
        <v/>
      </c>
      <c r="F1291">
        <f>Dashboard_Live_Data!AC65</f>
        <v/>
      </c>
      <c r="G1291">
        <f>Dashboard_Live_Data!AD65</f>
        <v/>
      </c>
      <c r="H1291">
        <f>Dashboard_Live_Data!AE65</f>
        <v/>
      </c>
    </row>
    <row r="1292">
      <c r="A1292">
        <f>Dashboard_Live_Data!X66</f>
        <v/>
      </c>
      <c r="B1292">
        <f>Dashboard_Live_Data!Y66</f>
        <v/>
      </c>
      <c r="C1292">
        <f>Dashboard_Live_Data!Z66</f>
        <v/>
      </c>
      <c r="D1292">
        <f>Dashboard_Live_Data!AA66</f>
        <v/>
      </c>
      <c r="E1292">
        <f>Dashboard_Live_Data!AB66</f>
        <v/>
      </c>
      <c r="F1292">
        <f>Dashboard_Live_Data!AC66</f>
        <v/>
      </c>
      <c r="G1292">
        <f>Dashboard_Live_Data!AD66</f>
        <v/>
      </c>
      <c r="H1292">
        <f>Dashboard_Live_Data!AE66</f>
        <v/>
      </c>
    </row>
    <row r="1293">
      <c r="A1293">
        <f>Dashboard_Live_Data!X67</f>
        <v/>
      </c>
      <c r="B1293">
        <f>Dashboard_Live_Data!Y67</f>
        <v/>
      </c>
      <c r="C1293">
        <f>Dashboard_Live_Data!Z67</f>
        <v/>
      </c>
      <c r="D1293">
        <f>Dashboard_Live_Data!AA67</f>
        <v/>
      </c>
      <c r="E1293">
        <f>Dashboard_Live_Data!AB67</f>
        <v/>
      </c>
      <c r="F1293">
        <f>Dashboard_Live_Data!AC67</f>
        <v/>
      </c>
      <c r="G1293">
        <f>Dashboard_Live_Data!AD67</f>
        <v/>
      </c>
      <c r="H1293">
        <f>Dashboard_Live_Data!AE67</f>
        <v/>
      </c>
    </row>
    <row r="1294">
      <c r="A1294">
        <f>Dashboard_Live_Data!X68</f>
        <v/>
      </c>
      <c r="B1294">
        <f>Dashboard_Live_Data!Y68</f>
        <v/>
      </c>
      <c r="C1294">
        <f>Dashboard_Live_Data!Z68</f>
        <v/>
      </c>
      <c r="D1294">
        <f>Dashboard_Live_Data!AA68</f>
        <v/>
      </c>
      <c r="E1294">
        <f>Dashboard_Live_Data!AB68</f>
        <v/>
      </c>
      <c r="F1294">
        <f>Dashboard_Live_Data!AC68</f>
        <v/>
      </c>
      <c r="G1294">
        <f>Dashboard_Live_Data!AD68</f>
        <v/>
      </c>
      <c r="H1294">
        <f>Dashboard_Live_Data!AE68</f>
        <v/>
      </c>
    </row>
    <row r="1295">
      <c r="A1295">
        <f>Dashboard_Live_Data!X69</f>
        <v/>
      </c>
      <c r="B1295">
        <f>Dashboard_Live_Data!Y69</f>
        <v/>
      </c>
      <c r="C1295">
        <f>Dashboard_Live_Data!Z69</f>
        <v/>
      </c>
      <c r="D1295">
        <f>Dashboard_Live_Data!AA69</f>
        <v/>
      </c>
      <c r="E1295">
        <f>Dashboard_Live_Data!AB69</f>
        <v/>
      </c>
      <c r="F1295">
        <f>Dashboard_Live_Data!AC69</f>
        <v/>
      </c>
      <c r="G1295">
        <f>Dashboard_Live_Data!AD69</f>
        <v/>
      </c>
      <c r="H1295">
        <f>Dashboard_Live_Data!AE69</f>
        <v/>
      </c>
    </row>
    <row r="1296">
      <c r="A1296">
        <f>Dashboard_Live_Data!X70</f>
        <v/>
      </c>
      <c r="B1296">
        <f>Dashboard_Live_Data!Y70</f>
        <v/>
      </c>
      <c r="C1296">
        <f>Dashboard_Live_Data!Z70</f>
        <v/>
      </c>
      <c r="D1296">
        <f>Dashboard_Live_Data!AA70</f>
        <v/>
      </c>
      <c r="E1296">
        <f>Dashboard_Live_Data!AB70</f>
        <v/>
      </c>
      <c r="F1296">
        <f>Dashboard_Live_Data!AC70</f>
        <v/>
      </c>
      <c r="G1296">
        <f>Dashboard_Live_Data!AD70</f>
        <v/>
      </c>
      <c r="H1296">
        <f>Dashboard_Live_Data!AE70</f>
        <v/>
      </c>
    </row>
    <row r="1297">
      <c r="A1297">
        <f>Dashboard_Live_Data!X71</f>
        <v/>
      </c>
      <c r="B1297">
        <f>Dashboard_Live_Data!Y71</f>
        <v/>
      </c>
      <c r="C1297">
        <f>Dashboard_Live_Data!Z71</f>
        <v/>
      </c>
      <c r="D1297">
        <f>Dashboard_Live_Data!AA71</f>
        <v/>
      </c>
      <c r="E1297">
        <f>Dashboard_Live_Data!AB71</f>
        <v/>
      </c>
      <c r="F1297">
        <f>Dashboard_Live_Data!AC71</f>
        <v/>
      </c>
      <c r="G1297">
        <f>Dashboard_Live_Data!AD71</f>
        <v/>
      </c>
      <c r="H1297">
        <f>Dashboard_Live_Data!AE71</f>
        <v/>
      </c>
    </row>
    <row r="1298">
      <c r="A1298">
        <f>Dashboard_Live_Data!X72</f>
        <v/>
      </c>
      <c r="B1298">
        <f>Dashboard_Live_Data!Y72</f>
        <v/>
      </c>
      <c r="C1298">
        <f>Dashboard_Live_Data!Z72</f>
        <v/>
      </c>
      <c r="D1298">
        <f>Dashboard_Live_Data!AA72</f>
        <v/>
      </c>
      <c r="E1298">
        <f>Dashboard_Live_Data!AB72</f>
        <v/>
      </c>
      <c r="F1298">
        <f>Dashboard_Live_Data!AC72</f>
        <v/>
      </c>
      <c r="G1298">
        <f>Dashboard_Live_Data!AD72</f>
        <v/>
      </c>
      <c r="H1298">
        <f>Dashboard_Live_Data!AE72</f>
        <v/>
      </c>
    </row>
    <row r="1299">
      <c r="A1299">
        <f>Dashboard_Live_Data!X73</f>
        <v/>
      </c>
      <c r="B1299">
        <f>Dashboard_Live_Data!Y73</f>
        <v/>
      </c>
      <c r="C1299">
        <f>Dashboard_Live_Data!Z73</f>
        <v/>
      </c>
      <c r="D1299">
        <f>Dashboard_Live_Data!AA73</f>
        <v/>
      </c>
      <c r="E1299">
        <f>Dashboard_Live_Data!AB73</f>
        <v/>
      </c>
      <c r="F1299">
        <f>Dashboard_Live_Data!AC73</f>
        <v/>
      </c>
      <c r="G1299">
        <f>Dashboard_Live_Data!AD73</f>
        <v/>
      </c>
      <c r="H1299">
        <f>Dashboard_Live_Data!AE73</f>
        <v/>
      </c>
    </row>
    <row r="1300">
      <c r="A1300">
        <f>Dashboard_Live_Data!X74</f>
        <v/>
      </c>
      <c r="B1300">
        <f>Dashboard_Live_Data!Y74</f>
        <v/>
      </c>
      <c r="C1300">
        <f>Dashboard_Live_Data!Z74</f>
        <v/>
      </c>
      <c r="D1300">
        <f>Dashboard_Live_Data!AA74</f>
        <v/>
      </c>
      <c r="E1300">
        <f>Dashboard_Live_Data!AB74</f>
        <v/>
      </c>
      <c r="F1300">
        <f>Dashboard_Live_Data!AC74</f>
        <v/>
      </c>
      <c r="G1300">
        <f>Dashboard_Live_Data!AD74</f>
        <v/>
      </c>
      <c r="H1300">
        <f>Dashboard_Live_Data!AE74</f>
        <v/>
      </c>
    </row>
    <row r="1301">
      <c r="A1301">
        <f>Dashboard_Live_Data!X75</f>
        <v/>
      </c>
      <c r="B1301">
        <f>Dashboard_Live_Data!Y75</f>
        <v/>
      </c>
      <c r="C1301">
        <f>Dashboard_Live_Data!Z75</f>
        <v/>
      </c>
      <c r="D1301">
        <f>Dashboard_Live_Data!AA75</f>
        <v/>
      </c>
      <c r="E1301">
        <f>Dashboard_Live_Data!AB75</f>
        <v/>
      </c>
      <c r="F1301">
        <f>Dashboard_Live_Data!AC75</f>
        <v/>
      </c>
      <c r="G1301">
        <f>Dashboard_Live_Data!AD75</f>
        <v/>
      </c>
      <c r="H1301">
        <f>Dashboard_Live_Data!AE75</f>
        <v/>
      </c>
    </row>
    <row r="1302">
      <c r="A1302">
        <f>Dashboard_Live_Data!X76</f>
        <v/>
      </c>
      <c r="B1302">
        <f>Dashboard_Live_Data!Y76</f>
        <v/>
      </c>
      <c r="C1302">
        <f>Dashboard_Live_Data!Z76</f>
        <v/>
      </c>
      <c r="D1302">
        <f>Dashboard_Live_Data!AA76</f>
        <v/>
      </c>
      <c r="E1302">
        <f>Dashboard_Live_Data!AB76</f>
        <v/>
      </c>
      <c r="F1302">
        <f>Dashboard_Live_Data!AC76</f>
        <v/>
      </c>
      <c r="G1302">
        <f>Dashboard_Live_Data!AD76</f>
        <v/>
      </c>
      <c r="H1302">
        <f>Dashboard_Live_Data!AE76</f>
        <v/>
      </c>
    </row>
    <row r="1303">
      <c r="A1303">
        <f>Dashboard_Live_Data!X77</f>
        <v/>
      </c>
      <c r="B1303">
        <f>Dashboard_Live_Data!Y77</f>
        <v/>
      </c>
      <c r="C1303">
        <f>Dashboard_Live_Data!Z77</f>
        <v/>
      </c>
      <c r="D1303">
        <f>Dashboard_Live_Data!AA77</f>
        <v/>
      </c>
      <c r="E1303">
        <f>Dashboard_Live_Data!AB77</f>
        <v/>
      </c>
      <c r="F1303">
        <f>Dashboard_Live_Data!AC77</f>
        <v/>
      </c>
      <c r="G1303">
        <f>Dashboard_Live_Data!AD77</f>
        <v/>
      </c>
      <c r="H1303">
        <f>Dashboard_Live_Data!AE77</f>
        <v/>
      </c>
    </row>
    <row r="1304">
      <c r="A1304">
        <f>Dashboard_Live_Data!X78</f>
        <v/>
      </c>
      <c r="B1304">
        <f>Dashboard_Live_Data!Y78</f>
        <v/>
      </c>
      <c r="C1304">
        <f>Dashboard_Live_Data!Z78</f>
        <v/>
      </c>
      <c r="D1304">
        <f>Dashboard_Live_Data!AA78</f>
        <v/>
      </c>
      <c r="E1304">
        <f>Dashboard_Live_Data!AB78</f>
        <v/>
      </c>
      <c r="F1304">
        <f>Dashboard_Live_Data!AC78</f>
        <v/>
      </c>
      <c r="G1304">
        <f>Dashboard_Live_Data!AD78</f>
        <v/>
      </c>
      <c r="H1304">
        <f>Dashboard_Live_Data!AE78</f>
        <v/>
      </c>
    </row>
    <row r="1305">
      <c r="A1305">
        <f>Dashboard_Live_Data!X79</f>
        <v/>
      </c>
      <c r="B1305">
        <f>Dashboard_Live_Data!Y79</f>
        <v/>
      </c>
      <c r="C1305">
        <f>Dashboard_Live_Data!Z79</f>
        <v/>
      </c>
      <c r="D1305">
        <f>Dashboard_Live_Data!AA79</f>
        <v/>
      </c>
      <c r="E1305">
        <f>Dashboard_Live_Data!AB79</f>
        <v/>
      </c>
      <c r="F1305">
        <f>Dashboard_Live_Data!AC79</f>
        <v/>
      </c>
      <c r="G1305">
        <f>Dashboard_Live_Data!AD79</f>
        <v/>
      </c>
      <c r="H1305">
        <f>Dashboard_Live_Data!AE79</f>
        <v/>
      </c>
    </row>
    <row r="1306">
      <c r="A1306">
        <f>Dashboard_Live_Data!X80</f>
        <v/>
      </c>
      <c r="B1306">
        <f>Dashboard_Live_Data!Y80</f>
        <v/>
      </c>
      <c r="C1306">
        <f>Dashboard_Live_Data!Z80</f>
        <v/>
      </c>
      <c r="D1306">
        <f>Dashboard_Live_Data!AA80</f>
        <v/>
      </c>
      <c r="E1306">
        <f>Dashboard_Live_Data!AB80</f>
        <v/>
      </c>
      <c r="F1306">
        <f>Dashboard_Live_Data!AC80</f>
        <v/>
      </c>
      <c r="G1306">
        <f>Dashboard_Live_Data!AD80</f>
        <v/>
      </c>
      <c r="H1306">
        <f>Dashboard_Live_Data!AE80</f>
        <v/>
      </c>
    </row>
    <row r="1307">
      <c r="A1307">
        <f>Dashboard_Live_Data!X81</f>
        <v/>
      </c>
      <c r="B1307">
        <f>Dashboard_Live_Data!Y81</f>
        <v/>
      </c>
      <c r="C1307">
        <f>Dashboard_Live_Data!Z81</f>
        <v/>
      </c>
      <c r="D1307">
        <f>Dashboard_Live_Data!AA81</f>
        <v/>
      </c>
      <c r="E1307">
        <f>Dashboard_Live_Data!AB81</f>
        <v/>
      </c>
      <c r="F1307">
        <f>Dashboard_Live_Data!AC81</f>
        <v/>
      </c>
      <c r="G1307">
        <f>Dashboard_Live_Data!AD81</f>
        <v/>
      </c>
      <c r="H1307">
        <f>Dashboard_Live_Data!AE81</f>
        <v/>
      </c>
    </row>
    <row r="1308">
      <c r="A1308">
        <f>Dashboard_Live_Data!X82</f>
        <v/>
      </c>
      <c r="B1308">
        <f>Dashboard_Live_Data!Y82</f>
        <v/>
      </c>
      <c r="C1308">
        <f>Dashboard_Live_Data!Z82</f>
        <v/>
      </c>
      <c r="D1308">
        <f>Dashboard_Live_Data!AA82</f>
        <v/>
      </c>
      <c r="E1308">
        <f>Dashboard_Live_Data!AB82</f>
        <v/>
      </c>
      <c r="F1308">
        <f>Dashboard_Live_Data!AC82</f>
        <v/>
      </c>
      <c r="G1308">
        <f>Dashboard_Live_Data!AD82</f>
        <v/>
      </c>
      <c r="H1308">
        <f>Dashboard_Live_Data!AE82</f>
        <v/>
      </c>
    </row>
    <row r="1309">
      <c r="A1309">
        <f>Dashboard_Live_Data!X83</f>
        <v/>
      </c>
      <c r="B1309">
        <f>Dashboard_Live_Data!Y83</f>
        <v/>
      </c>
      <c r="C1309">
        <f>Dashboard_Live_Data!Z83</f>
        <v/>
      </c>
      <c r="D1309">
        <f>Dashboard_Live_Data!AA83</f>
        <v/>
      </c>
      <c r="E1309">
        <f>Dashboard_Live_Data!AB83</f>
        <v/>
      </c>
      <c r="F1309">
        <f>Dashboard_Live_Data!AC83</f>
        <v/>
      </c>
      <c r="G1309">
        <f>Dashboard_Live_Data!AD83</f>
        <v/>
      </c>
      <c r="H1309">
        <f>Dashboard_Live_Data!AE83</f>
        <v/>
      </c>
    </row>
    <row r="1310">
      <c r="A1310">
        <f>Dashboard_Live_Data!X84</f>
        <v/>
      </c>
      <c r="B1310">
        <f>Dashboard_Live_Data!Y84</f>
        <v/>
      </c>
      <c r="C1310">
        <f>Dashboard_Live_Data!Z84</f>
        <v/>
      </c>
      <c r="D1310">
        <f>Dashboard_Live_Data!AA84</f>
        <v/>
      </c>
      <c r="E1310">
        <f>Dashboard_Live_Data!AB84</f>
        <v/>
      </c>
      <c r="F1310">
        <f>Dashboard_Live_Data!AC84</f>
        <v/>
      </c>
      <c r="G1310">
        <f>Dashboard_Live_Data!AD84</f>
        <v/>
      </c>
      <c r="H1310">
        <f>Dashboard_Live_Data!AE84</f>
        <v/>
      </c>
    </row>
    <row r="1311">
      <c r="A1311">
        <f>Dashboard_Live_Data!X85</f>
        <v/>
      </c>
      <c r="B1311">
        <f>Dashboard_Live_Data!Y85</f>
        <v/>
      </c>
      <c r="C1311">
        <f>Dashboard_Live_Data!Z85</f>
        <v/>
      </c>
      <c r="D1311">
        <f>Dashboard_Live_Data!AA85</f>
        <v/>
      </c>
      <c r="E1311">
        <f>Dashboard_Live_Data!AB85</f>
        <v/>
      </c>
      <c r="F1311">
        <f>Dashboard_Live_Data!AC85</f>
        <v/>
      </c>
      <c r="G1311">
        <f>Dashboard_Live_Data!AD85</f>
        <v/>
      </c>
      <c r="H1311">
        <f>Dashboard_Live_Data!AE85</f>
        <v/>
      </c>
    </row>
    <row r="1312">
      <c r="A1312">
        <f>Dashboard_Live_Data!X86</f>
        <v/>
      </c>
      <c r="B1312">
        <f>Dashboard_Live_Data!Y86</f>
        <v/>
      </c>
      <c r="C1312">
        <f>Dashboard_Live_Data!Z86</f>
        <v/>
      </c>
      <c r="D1312">
        <f>Dashboard_Live_Data!AA86</f>
        <v/>
      </c>
      <c r="E1312">
        <f>Dashboard_Live_Data!AB86</f>
        <v/>
      </c>
      <c r="F1312">
        <f>Dashboard_Live_Data!AC86</f>
        <v/>
      </c>
      <c r="G1312">
        <f>Dashboard_Live_Data!AD86</f>
        <v/>
      </c>
      <c r="H1312">
        <f>Dashboard_Live_Data!AE86</f>
        <v/>
      </c>
    </row>
    <row r="1313">
      <c r="A1313">
        <f>Dashboard_Live_Data!X87</f>
        <v/>
      </c>
      <c r="B1313">
        <f>Dashboard_Live_Data!Y87</f>
        <v/>
      </c>
      <c r="C1313">
        <f>Dashboard_Live_Data!Z87</f>
        <v/>
      </c>
      <c r="D1313">
        <f>Dashboard_Live_Data!AA87</f>
        <v/>
      </c>
      <c r="E1313">
        <f>Dashboard_Live_Data!AB87</f>
        <v/>
      </c>
      <c r="F1313">
        <f>Dashboard_Live_Data!AC87</f>
        <v/>
      </c>
      <c r="G1313">
        <f>Dashboard_Live_Data!AD87</f>
        <v/>
      </c>
      <c r="H1313">
        <f>Dashboard_Live_Data!AE87</f>
        <v/>
      </c>
    </row>
    <row r="1314">
      <c r="A1314">
        <f>Dashboard_Live_Data!X88</f>
        <v/>
      </c>
      <c r="B1314">
        <f>Dashboard_Live_Data!Y88</f>
        <v/>
      </c>
      <c r="C1314">
        <f>Dashboard_Live_Data!Z88</f>
        <v/>
      </c>
      <c r="D1314">
        <f>Dashboard_Live_Data!AA88</f>
        <v/>
      </c>
      <c r="E1314">
        <f>Dashboard_Live_Data!AB88</f>
        <v/>
      </c>
      <c r="F1314">
        <f>Dashboard_Live_Data!AC88</f>
        <v/>
      </c>
      <c r="G1314">
        <f>Dashboard_Live_Data!AD88</f>
        <v/>
      </c>
      <c r="H1314">
        <f>Dashboard_Live_Data!AE88</f>
        <v/>
      </c>
    </row>
    <row r="1315">
      <c r="A1315">
        <f>Dashboard_Live_Data!X89</f>
        <v/>
      </c>
      <c r="B1315">
        <f>Dashboard_Live_Data!Y89</f>
        <v/>
      </c>
      <c r="C1315">
        <f>Dashboard_Live_Data!Z89</f>
        <v/>
      </c>
      <c r="D1315">
        <f>Dashboard_Live_Data!AA89</f>
        <v/>
      </c>
      <c r="E1315">
        <f>Dashboard_Live_Data!AB89</f>
        <v/>
      </c>
      <c r="F1315">
        <f>Dashboard_Live_Data!AC89</f>
        <v/>
      </c>
      <c r="G1315">
        <f>Dashboard_Live_Data!AD89</f>
        <v/>
      </c>
      <c r="H1315">
        <f>Dashboard_Live_Data!AE89</f>
        <v/>
      </c>
    </row>
    <row r="1316">
      <c r="A1316">
        <f>Dashboard_Live_Data!X90</f>
        <v/>
      </c>
      <c r="B1316">
        <f>Dashboard_Live_Data!Y90</f>
        <v/>
      </c>
      <c r="C1316">
        <f>Dashboard_Live_Data!Z90</f>
        <v/>
      </c>
      <c r="D1316">
        <f>Dashboard_Live_Data!AA90</f>
        <v/>
      </c>
      <c r="E1316">
        <f>Dashboard_Live_Data!AB90</f>
        <v/>
      </c>
      <c r="F1316">
        <f>Dashboard_Live_Data!AC90</f>
        <v/>
      </c>
      <c r="G1316">
        <f>Dashboard_Live_Data!AD90</f>
        <v/>
      </c>
      <c r="H1316">
        <f>Dashboard_Live_Data!AE90</f>
        <v/>
      </c>
    </row>
    <row r="1317">
      <c r="A1317">
        <f>Dashboard_Live_Data!X91</f>
        <v/>
      </c>
      <c r="B1317">
        <f>Dashboard_Live_Data!Y91</f>
        <v/>
      </c>
      <c r="C1317">
        <f>Dashboard_Live_Data!Z91</f>
        <v/>
      </c>
      <c r="D1317">
        <f>Dashboard_Live_Data!AA91</f>
        <v/>
      </c>
      <c r="E1317">
        <f>Dashboard_Live_Data!AB91</f>
        <v/>
      </c>
      <c r="F1317">
        <f>Dashboard_Live_Data!AC91</f>
        <v/>
      </c>
      <c r="G1317">
        <f>Dashboard_Live_Data!AD91</f>
        <v/>
      </c>
      <c r="H1317">
        <f>Dashboard_Live_Data!AE91</f>
        <v/>
      </c>
    </row>
    <row r="1318">
      <c r="A1318">
        <f>Dashboard_Live_Data!X92</f>
        <v/>
      </c>
      <c r="B1318">
        <f>Dashboard_Live_Data!Y92</f>
        <v/>
      </c>
      <c r="C1318">
        <f>Dashboard_Live_Data!Z92</f>
        <v/>
      </c>
      <c r="D1318">
        <f>Dashboard_Live_Data!AA92</f>
        <v/>
      </c>
      <c r="E1318">
        <f>Dashboard_Live_Data!AB92</f>
        <v/>
      </c>
      <c r="F1318">
        <f>Dashboard_Live_Data!AC92</f>
        <v/>
      </c>
      <c r="G1318">
        <f>Dashboard_Live_Data!AD92</f>
        <v/>
      </c>
      <c r="H1318">
        <f>Dashboard_Live_Data!AE92</f>
        <v/>
      </c>
    </row>
    <row r="1319">
      <c r="A1319">
        <f>Dashboard_Live_Data!X93</f>
        <v/>
      </c>
      <c r="B1319">
        <f>Dashboard_Live_Data!Y93</f>
        <v/>
      </c>
      <c r="C1319">
        <f>Dashboard_Live_Data!Z93</f>
        <v/>
      </c>
      <c r="D1319">
        <f>Dashboard_Live_Data!AA93</f>
        <v/>
      </c>
      <c r="E1319">
        <f>Dashboard_Live_Data!AB93</f>
        <v/>
      </c>
      <c r="F1319">
        <f>Dashboard_Live_Data!AC93</f>
        <v/>
      </c>
      <c r="G1319">
        <f>Dashboard_Live_Data!AD93</f>
        <v/>
      </c>
      <c r="H1319">
        <f>Dashboard_Live_Data!AE93</f>
        <v/>
      </c>
    </row>
    <row r="1320">
      <c r="A1320">
        <f>Dashboard_Live_Data!X94</f>
        <v/>
      </c>
      <c r="B1320">
        <f>Dashboard_Live_Data!Y94</f>
        <v/>
      </c>
      <c r="C1320">
        <f>Dashboard_Live_Data!Z94</f>
        <v/>
      </c>
      <c r="D1320">
        <f>Dashboard_Live_Data!AA94</f>
        <v/>
      </c>
      <c r="E1320">
        <f>Dashboard_Live_Data!AB94</f>
        <v/>
      </c>
      <c r="F1320">
        <f>Dashboard_Live_Data!AC94</f>
        <v/>
      </c>
      <c r="G1320">
        <f>Dashboard_Live_Data!AD94</f>
        <v/>
      </c>
      <c r="H1320">
        <f>Dashboard_Live_Data!AE94</f>
        <v/>
      </c>
    </row>
    <row r="1321">
      <c r="A1321">
        <f>Dashboard_Live_Data!X95</f>
        <v/>
      </c>
      <c r="B1321">
        <f>Dashboard_Live_Data!Y95</f>
        <v/>
      </c>
      <c r="C1321">
        <f>Dashboard_Live_Data!Z95</f>
        <v/>
      </c>
      <c r="D1321">
        <f>Dashboard_Live_Data!AA95</f>
        <v/>
      </c>
      <c r="E1321">
        <f>Dashboard_Live_Data!AB95</f>
        <v/>
      </c>
      <c r="F1321">
        <f>Dashboard_Live_Data!AC95</f>
        <v/>
      </c>
      <c r="G1321">
        <f>Dashboard_Live_Data!AD95</f>
        <v/>
      </c>
      <c r="H1321">
        <f>Dashboard_Live_Data!AE95</f>
        <v/>
      </c>
    </row>
    <row r="1322">
      <c r="A1322">
        <f>Dashboard_Live_Data!X96</f>
        <v/>
      </c>
      <c r="B1322">
        <f>Dashboard_Live_Data!Y96</f>
        <v/>
      </c>
      <c r="C1322">
        <f>Dashboard_Live_Data!Z96</f>
        <v/>
      </c>
      <c r="D1322">
        <f>Dashboard_Live_Data!AA96</f>
        <v/>
      </c>
      <c r="E1322">
        <f>Dashboard_Live_Data!AB96</f>
        <v/>
      </c>
      <c r="F1322">
        <f>Dashboard_Live_Data!AC96</f>
        <v/>
      </c>
      <c r="G1322">
        <f>Dashboard_Live_Data!AD96</f>
        <v/>
      </c>
      <c r="H1322">
        <f>Dashboard_Live_Data!AE96</f>
        <v/>
      </c>
    </row>
    <row r="1323">
      <c r="A1323">
        <f>Dashboard_Live_Data!X97</f>
        <v/>
      </c>
      <c r="B1323">
        <f>Dashboard_Live_Data!Y97</f>
        <v/>
      </c>
      <c r="C1323">
        <f>Dashboard_Live_Data!Z97</f>
        <v/>
      </c>
      <c r="D1323">
        <f>Dashboard_Live_Data!AA97</f>
        <v/>
      </c>
      <c r="E1323">
        <f>Dashboard_Live_Data!AB97</f>
        <v/>
      </c>
      <c r="F1323">
        <f>Dashboard_Live_Data!AC97</f>
        <v/>
      </c>
      <c r="G1323">
        <f>Dashboard_Live_Data!AD97</f>
        <v/>
      </c>
      <c r="H1323">
        <f>Dashboard_Live_Data!AE97</f>
        <v/>
      </c>
    </row>
    <row r="1324">
      <c r="A1324">
        <f>Dashboard_Live_Data!X98</f>
        <v/>
      </c>
      <c r="B1324">
        <f>Dashboard_Live_Data!Y98</f>
        <v/>
      </c>
      <c r="C1324">
        <f>Dashboard_Live_Data!Z98</f>
        <v/>
      </c>
      <c r="D1324">
        <f>Dashboard_Live_Data!AA98</f>
        <v/>
      </c>
      <c r="E1324">
        <f>Dashboard_Live_Data!AB98</f>
        <v/>
      </c>
      <c r="F1324">
        <f>Dashboard_Live_Data!AC98</f>
        <v/>
      </c>
      <c r="G1324">
        <f>Dashboard_Live_Data!AD98</f>
        <v/>
      </c>
      <c r="H1324">
        <f>Dashboard_Live_Data!AE98</f>
        <v/>
      </c>
    </row>
    <row r="1325">
      <c r="A1325">
        <f>Dashboard_Live_Data!X99</f>
        <v/>
      </c>
      <c r="B1325">
        <f>Dashboard_Live_Data!Y99</f>
        <v/>
      </c>
      <c r="C1325">
        <f>Dashboard_Live_Data!Z99</f>
        <v/>
      </c>
      <c r="D1325">
        <f>Dashboard_Live_Data!AA99</f>
        <v/>
      </c>
      <c r="E1325">
        <f>Dashboard_Live_Data!AB99</f>
        <v/>
      </c>
      <c r="F1325">
        <f>Dashboard_Live_Data!AC99</f>
        <v/>
      </c>
      <c r="G1325">
        <f>Dashboard_Live_Data!AD99</f>
        <v/>
      </c>
      <c r="H1325">
        <f>Dashboard_Live_Data!AE99</f>
        <v/>
      </c>
    </row>
    <row r="1326">
      <c r="A1326">
        <f>Dashboard_Live_Data!X100</f>
        <v/>
      </c>
      <c r="B1326">
        <f>Dashboard_Live_Data!Y100</f>
        <v/>
      </c>
      <c r="C1326">
        <f>Dashboard_Live_Data!Z100</f>
        <v/>
      </c>
      <c r="D1326">
        <f>Dashboard_Live_Data!AA100</f>
        <v/>
      </c>
      <c r="E1326">
        <f>Dashboard_Live_Data!AB100</f>
        <v/>
      </c>
      <c r="F1326">
        <f>Dashboard_Live_Data!AC100</f>
        <v/>
      </c>
      <c r="G1326">
        <f>Dashboard_Live_Data!AD100</f>
        <v/>
      </c>
      <c r="H1326">
        <f>Dashboard_Live_Data!AE100</f>
        <v/>
      </c>
    </row>
    <row r="1327">
      <c r="A1327">
        <f>Dashboard_Live_Data!X101</f>
        <v/>
      </c>
      <c r="B1327">
        <f>Dashboard_Live_Data!Y101</f>
        <v/>
      </c>
      <c r="C1327">
        <f>Dashboard_Live_Data!Z101</f>
        <v/>
      </c>
      <c r="D1327">
        <f>Dashboard_Live_Data!AA101</f>
        <v/>
      </c>
      <c r="E1327">
        <f>Dashboard_Live_Data!AB101</f>
        <v/>
      </c>
      <c r="F1327">
        <f>Dashboard_Live_Data!AC101</f>
        <v/>
      </c>
      <c r="G1327">
        <f>Dashboard_Live_Data!AD101</f>
        <v/>
      </c>
      <c r="H1327">
        <f>Dashboard_Live_Data!AE101</f>
        <v/>
      </c>
    </row>
    <row r="1328">
      <c r="A1328">
        <f>Dashboard_Live_Data!X102</f>
        <v/>
      </c>
      <c r="B1328">
        <f>Dashboard_Live_Data!Y102</f>
        <v/>
      </c>
      <c r="C1328">
        <f>Dashboard_Live_Data!Z102</f>
        <v/>
      </c>
      <c r="D1328">
        <f>Dashboard_Live_Data!AA102</f>
        <v/>
      </c>
      <c r="E1328">
        <f>Dashboard_Live_Data!AB102</f>
        <v/>
      </c>
      <c r="F1328">
        <f>Dashboard_Live_Data!AC102</f>
        <v/>
      </c>
      <c r="G1328">
        <f>Dashboard_Live_Data!AD102</f>
        <v/>
      </c>
      <c r="H1328">
        <f>Dashboard_Live_Data!AE102</f>
        <v/>
      </c>
    </row>
    <row r="1329">
      <c r="A1329">
        <f>Dashboard_Live_Data!X103</f>
        <v/>
      </c>
      <c r="B1329">
        <f>Dashboard_Live_Data!Y103</f>
        <v/>
      </c>
      <c r="C1329">
        <f>Dashboard_Live_Data!Z103</f>
        <v/>
      </c>
      <c r="D1329">
        <f>Dashboard_Live_Data!AA103</f>
        <v/>
      </c>
      <c r="E1329">
        <f>Dashboard_Live_Data!AB103</f>
        <v/>
      </c>
      <c r="F1329">
        <f>Dashboard_Live_Data!AC103</f>
        <v/>
      </c>
      <c r="G1329">
        <f>Dashboard_Live_Data!AD103</f>
        <v/>
      </c>
      <c r="H1329">
        <f>Dashboard_Live_Data!AE103</f>
        <v/>
      </c>
    </row>
    <row r="1330">
      <c r="A1330">
        <f>Dashboard_Live_Data!X104</f>
        <v/>
      </c>
      <c r="B1330">
        <f>Dashboard_Live_Data!Y104</f>
        <v/>
      </c>
      <c r="C1330">
        <f>Dashboard_Live_Data!Z104</f>
        <v/>
      </c>
      <c r="D1330">
        <f>Dashboard_Live_Data!AA104</f>
        <v/>
      </c>
      <c r="E1330">
        <f>Dashboard_Live_Data!AB104</f>
        <v/>
      </c>
      <c r="F1330">
        <f>Dashboard_Live_Data!AC104</f>
        <v/>
      </c>
      <c r="G1330">
        <f>Dashboard_Live_Data!AD104</f>
        <v/>
      </c>
      <c r="H1330">
        <f>Dashboard_Live_Data!AE104</f>
        <v/>
      </c>
    </row>
    <row r="1331">
      <c r="A1331">
        <f>Dashboard_Live_Data!X105</f>
        <v/>
      </c>
      <c r="B1331">
        <f>Dashboard_Live_Data!Y105</f>
        <v/>
      </c>
      <c r="C1331">
        <f>Dashboard_Live_Data!Z105</f>
        <v/>
      </c>
      <c r="D1331">
        <f>Dashboard_Live_Data!AA105</f>
        <v/>
      </c>
      <c r="E1331">
        <f>Dashboard_Live_Data!AB105</f>
        <v/>
      </c>
      <c r="F1331">
        <f>Dashboard_Live_Data!AC105</f>
        <v/>
      </c>
      <c r="G1331">
        <f>Dashboard_Live_Data!AD105</f>
        <v/>
      </c>
      <c r="H1331">
        <f>Dashboard_Live_Data!AE105</f>
        <v/>
      </c>
    </row>
    <row r="1332">
      <c r="A1332">
        <f>Dashboard_Live_Data!X106</f>
        <v/>
      </c>
      <c r="B1332">
        <f>Dashboard_Live_Data!Y106</f>
        <v/>
      </c>
      <c r="C1332">
        <f>Dashboard_Live_Data!Z106</f>
        <v/>
      </c>
      <c r="D1332">
        <f>Dashboard_Live_Data!AA106</f>
        <v/>
      </c>
      <c r="E1332">
        <f>Dashboard_Live_Data!AB106</f>
        <v/>
      </c>
      <c r="F1332">
        <f>Dashboard_Live_Data!AC106</f>
        <v/>
      </c>
      <c r="G1332">
        <f>Dashboard_Live_Data!AD106</f>
        <v/>
      </c>
      <c r="H1332">
        <f>Dashboard_Live_Data!AE106</f>
        <v/>
      </c>
    </row>
    <row r="1333">
      <c r="A1333">
        <f>Dashboard_Live_Data!X107</f>
        <v/>
      </c>
      <c r="B1333">
        <f>Dashboard_Live_Data!Y107</f>
        <v/>
      </c>
      <c r="C1333">
        <f>Dashboard_Live_Data!Z107</f>
        <v/>
      </c>
      <c r="D1333">
        <f>Dashboard_Live_Data!AA107</f>
        <v/>
      </c>
      <c r="E1333">
        <f>Dashboard_Live_Data!AB107</f>
        <v/>
      </c>
      <c r="F1333">
        <f>Dashboard_Live_Data!AC107</f>
        <v/>
      </c>
      <c r="G1333">
        <f>Dashboard_Live_Data!AD107</f>
        <v/>
      </c>
      <c r="H1333">
        <f>Dashboard_Live_Data!AE107</f>
        <v/>
      </c>
    </row>
    <row r="1334">
      <c r="A1334">
        <f>Dashboard_Live_Data!X108</f>
        <v/>
      </c>
      <c r="B1334">
        <f>Dashboard_Live_Data!Y108</f>
        <v/>
      </c>
      <c r="C1334">
        <f>Dashboard_Live_Data!Z108</f>
        <v/>
      </c>
      <c r="D1334">
        <f>Dashboard_Live_Data!AA108</f>
        <v/>
      </c>
      <c r="E1334">
        <f>Dashboard_Live_Data!AB108</f>
        <v/>
      </c>
      <c r="F1334">
        <f>Dashboard_Live_Data!AC108</f>
        <v/>
      </c>
      <c r="G1334">
        <f>Dashboard_Live_Data!AD108</f>
        <v/>
      </c>
      <c r="H1334">
        <f>Dashboard_Live_Data!AE108</f>
        <v/>
      </c>
    </row>
    <row r="1335">
      <c r="A1335">
        <f>Dashboard_Live_Data!X109</f>
        <v/>
      </c>
      <c r="B1335">
        <f>Dashboard_Live_Data!Y109</f>
        <v/>
      </c>
      <c r="C1335">
        <f>Dashboard_Live_Data!Z109</f>
        <v/>
      </c>
      <c r="D1335">
        <f>Dashboard_Live_Data!AA109</f>
        <v/>
      </c>
      <c r="E1335">
        <f>Dashboard_Live_Data!AB109</f>
        <v/>
      </c>
      <c r="F1335">
        <f>Dashboard_Live_Data!AC109</f>
        <v/>
      </c>
      <c r="G1335">
        <f>Dashboard_Live_Data!AD109</f>
        <v/>
      </c>
      <c r="H1335">
        <f>Dashboard_Live_Data!AE109</f>
        <v/>
      </c>
    </row>
    <row r="1336">
      <c r="A1336">
        <f>Dashboard_Live_Data!X110</f>
        <v/>
      </c>
      <c r="B1336">
        <f>Dashboard_Live_Data!Y110</f>
        <v/>
      </c>
      <c r="C1336">
        <f>Dashboard_Live_Data!Z110</f>
        <v/>
      </c>
      <c r="D1336">
        <f>Dashboard_Live_Data!AA110</f>
        <v/>
      </c>
      <c r="E1336">
        <f>Dashboard_Live_Data!AB110</f>
        <v/>
      </c>
      <c r="F1336">
        <f>Dashboard_Live_Data!AC110</f>
        <v/>
      </c>
      <c r="G1336">
        <f>Dashboard_Live_Data!AD110</f>
        <v/>
      </c>
      <c r="H1336">
        <f>Dashboard_Live_Data!AE110</f>
        <v/>
      </c>
    </row>
    <row r="1337">
      <c r="A1337">
        <f>Dashboard_Live_Data!X111</f>
        <v/>
      </c>
      <c r="B1337">
        <f>Dashboard_Live_Data!Y111</f>
        <v/>
      </c>
      <c r="C1337">
        <f>Dashboard_Live_Data!Z111</f>
        <v/>
      </c>
      <c r="D1337">
        <f>Dashboard_Live_Data!AA111</f>
        <v/>
      </c>
      <c r="E1337">
        <f>Dashboard_Live_Data!AB111</f>
        <v/>
      </c>
      <c r="F1337">
        <f>Dashboard_Live_Data!AC111</f>
        <v/>
      </c>
      <c r="G1337">
        <f>Dashboard_Live_Data!AD111</f>
        <v/>
      </c>
      <c r="H1337">
        <f>Dashboard_Live_Data!AE111</f>
        <v/>
      </c>
    </row>
    <row r="1338">
      <c r="A1338">
        <f>Dashboard_Live_Data!X112</f>
        <v/>
      </c>
      <c r="B1338">
        <f>Dashboard_Live_Data!Y112</f>
        <v/>
      </c>
      <c r="C1338">
        <f>Dashboard_Live_Data!Z112</f>
        <v/>
      </c>
      <c r="D1338">
        <f>Dashboard_Live_Data!AA112</f>
        <v/>
      </c>
      <c r="E1338">
        <f>Dashboard_Live_Data!AB112</f>
        <v/>
      </c>
      <c r="F1338">
        <f>Dashboard_Live_Data!AC112</f>
        <v/>
      </c>
      <c r="G1338">
        <f>Dashboard_Live_Data!AD112</f>
        <v/>
      </c>
      <c r="H1338">
        <f>Dashboard_Live_Data!AE112</f>
        <v/>
      </c>
    </row>
    <row r="1339">
      <c r="A1339">
        <f>Dashboard_Live_Data!X113</f>
        <v/>
      </c>
      <c r="B1339">
        <f>Dashboard_Live_Data!Y113</f>
        <v/>
      </c>
      <c r="C1339">
        <f>Dashboard_Live_Data!Z113</f>
        <v/>
      </c>
      <c r="D1339">
        <f>Dashboard_Live_Data!AA113</f>
        <v/>
      </c>
      <c r="E1339">
        <f>Dashboard_Live_Data!AB113</f>
        <v/>
      </c>
      <c r="F1339">
        <f>Dashboard_Live_Data!AC113</f>
        <v/>
      </c>
      <c r="G1339">
        <f>Dashboard_Live_Data!AD113</f>
        <v/>
      </c>
      <c r="H1339">
        <f>Dashboard_Live_Data!AE113</f>
        <v/>
      </c>
    </row>
    <row r="1340">
      <c r="A1340">
        <f>Dashboard_Live_Data!X114</f>
        <v/>
      </c>
      <c r="B1340">
        <f>Dashboard_Live_Data!Y114</f>
        <v/>
      </c>
      <c r="C1340">
        <f>Dashboard_Live_Data!Z114</f>
        <v/>
      </c>
      <c r="D1340">
        <f>Dashboard_Live_Data!AA114</f>
        <v/>
      </c>
      <c r="E1340">
        <f>Dashboard_Live_Data!AB114</f>
        <v/>
      </c>
      <c r="F1340">
        <f>Dashboard_Live_Data!AC114</f>
        <v/>
      </c>
      <c r="G1340">
        <f>Dashboard_Live_Data!AD114</f>
        <v/>
      </c>
      <c r="H1340">
        <f>Dashboard_Live_Data!AE114</f>
        <v/>
      </c>
    </row>
    <row r="1341">
      <c r="A1341">
        <f>Dashboard_Live_Data!X115</f>
        <v/>
      </c>
      <c r="B1341">
        <f>Dashboard_Live_Data!Y115</f>
        <v/>
      </c>
      <c r="C1341">
        <f>Dashboard_Live_Data!Z115</f>
        <v/>
      </c>
      <c r="D1341">
        <f>Dashboard_Live_Data!AA115</f>
        <v/>
      </c>
      <c r="E1341">
        <f>Dashboard_Live_Data!AB115</f>
        <v/>
      </c>
      <c r="F1341">
        <f>Dashboard_Live_Data!AC115</f>
        <v/>
      </c>
      <c r="G1341">
        <f>Dashboard_Live_Data!AD115</f>
        <v/>
      </c>
      <c r="H1341">
        <f>Dashboard_Live_Data!AE115</f>
        <v/>
      </c>
    </row>
    <row r="1342">
      <c r="A1342">
        <f>Dashboard_Live_Data!X116</f>
        <v/>
      </c>
      <c r="B1342">
        <f>Dashboard_Live_Data!Y116</f>
        <v/>
      </c>
      <c r="C1342">
        <f>Dashboard_Live_Data!Z116</f>
        <v/>
      </c>
      <c r="D1342">
        <f>Dashboard_Live_Data!AA116</f>
        <v/>
      </c>
      <c r="E1342">
        <f>Dashboard_Live_Data!AB116</f>
        <v/>
      </c>
      <c r="F1342">
        <f>Dashboard_Live_Data!AC116</f>
        <v/>
      </c>
      <c r="G1342">
        <f>Dashboard_Live_Data!AD116</f>
        <v/>
      </c>
      <c r="H1342">
        <f>Dashboard_Live_Data!AE116</f>
        <v/>
      </c>
    </row>
    <row r="1343">
      <c r="A1343">
        <f>Dashboard_Live_Data!X117</f>
        <v/>
      </c>
      <c r="B1343">
        <f>Dashboard_Live_Data!Y117</f>
        <v/>
      </c>
      <c r="C1343">
        <f>Dashboard_Live_Data!Z117</f>
        <v/>
      </c>
      <c r="D1343">
        <f>Dashboard_Live_Data!AA117</f>
        <v/>
      </c>
      <c r="E1343">
        <f>Dashboard_Live_Data!AB117</f>
        <v/>
      </c>
      <c r="F1343">
        <f>Dashboard_Live_Data!AC117</f>
        <v/>
      </c>
      <c r="G1343">
        <f>Dashboard_Live_Data!AD117</f>
        <v/>
      </c>
      <c r="H1343">
        <f>Dashboard_Live_Data!AE117</f>
        <v/>
      </c>
    </row>
    <row r="1344">
      <c r="A1344">
        <f>Dashboard_Live_Data!X118</f>
        <v/>
      </c>
      <c r="B1344">
        <f>Dashboard_Live_Data!Y118</f>
        <v/>
      </c>
      <c r="C1344">
        <f>Dashboard_Live_Data!Z118</f>
        <v/>
      </c>
      <c r="D1344">
        <f>Dashboard_Live_Data!AA118</f>
        <v/>
      </c>
      <c r="E1344">
        <f>Dashboard_Live_Data!AB118</f>
        <v/>
      </c>
      <c r="F1344">
        <f>Dashboard_Live_Data!AC118</f>
        <v/>
      </c>
      <c r="G1344">
        <f>Dashboard_Live_Data!AD118</f>
        <v/>
      </c>
      <c r="H1344">
        <f>Dashboard_Live_Data!AE118</f>
        <v/>
      </c>
    </row>
    <row r="1345">
      <c r="A1345">
        <f>Dashboard_Live_Data!X119</f>
        <v/>
      </c>
      <c r="B1345">
        <f>Dashboard_Live_Data!Y119</f>
        <v/>
      </c>
      <c r="C1345">
        <f>Dashboard_Live_Data!Z119</f>
        <v/>
      </c>
      <c r="D1345">
        <f>Dashboard_Live_Data!AA119</f>
        <v/>
      </c>
      <c r="E1345">
        <f>Dashboard_Live_Data!AB119</f>
        <v/>
      </c>
      <c r="F1345">
        <f>Dashboard_Live_Data!AC119</f>
        <v/>
      </c>
      <c r="G1345">
        <f>Dashboard_Live_Data!AD119</f>
        <v/>
      </c>
      <c r="H1345">
        <f>Dashboard_Live_Data!AE119</f>
        <v/>
      </c>
    </row>
    <row r="1346">
      <c r="A1346">
        <f>Dashboard_Live_Data!X120</f>
        <v/>
      </c>
      <c r="B1346">
        <f>Dashboard_Live_Data!Y120</f>
        <v/>
      </c>
      <c r="C1346">
        <f>Dashboard_Live_Data!Z120</f>
        <v/>
      </c>
      <c r="D1346">
        <f>Dashboard_Live_Data!AA120</f>
        <v/>
      </c>
      <c r="E1346">
        <f>Dashboard_Live_Data!AB120</f>
        <v/>
      </c>
      <c r="F1346">
        <f>Dashboard_Live_Data!AC120</f>
        <v/>
      </c>
      <c r="G1346">
        <f>Dashboard_Live_Data!AD120</f>
        <v/>
      </c>
      <c r="H1346">
        <f>Dashboard_Live_Data!AE120</f>
        <v/>
      </c>
    </row>
    <row r="1347">
      <c r="A1347">
        <f>Dashboard_Live_Data!X121</f>
        <v/>
      </c>
      <c r="B1347">
        <f>Dashboard_Live_Data!Y121</f>
        <v/>
      </c>
      <c r="C1347">
        <f>Dashboard_Live_Data!Z121</f>
        <v/>
      </c>
      <c r="D1347">
        <f>Dashboard_Live_Data!AA121</f>
        <v/>
      </c>
      <c r="E1347">
        <f>Dashboard_Live_Data!AB121</f>
        <v/>
      </c>
      <c r="F1347">
        <f>Dashboard_Live_Data!AC121</f>
        <v/>
      </c>
      <c r="G1347">
        <f>Dashboard_Live_Data!AD121</f>
        <v/>
      </c>
      <c r="H1347">
        <f>Dashboard_Live_Data!AE121</f>
        <v/>
      </c>
    </row>
    <row r="1348">
      <c r="A1348">
        <f>Dashboard_Live_Data!X122</f>
        <v/>
      </c>
      <c r="B1348">
        <f>Dashboard_Live_Data!Y122</f>
        <v/>
      </c>
      <c r="C1348">
        <f>Dashboard_Live_Data!Z122</f>
        <v/>
      </c>
      <c r="D1348">
        <f>Dashboard_Live_Data!AA122</f>
        <v/>
      </c>
      <c r="E1348">
        <f>Dashboard_Live_Data!AB122</f>
        <v/>
      </c>
      <c r="F1348">
        <f>Dashboard_Live_Data!AC122</f>
        <v/>
      </c>
      <c r="G1348">
        <f>Dashboard_Live_Data!AD122</f>
        <v/>
      </c>
      <c r="H1348">
        <f>Dashboard_Live_Data!AE122</f>
        <v/>
      </c>
    </row>
    <row r="1349">
      <c r="A1349">
        <f>Dashboard_Live_Data!X123</f>
        <v/>
      </c>
      <c r="B1349">
        <f>Dashboard_Live_Data!Y123</f>
        <v/>
      </c>
      <c r="C1349">
        <f>Dashboard_Live_Data!Z123</f>
        <v/>
      </c>
      <c r="D1349">
        <f>Dashboard_Live_Data!AA123</f>
        <v/>
      </c>
      <c r="E1349">
        <f>Dashboard_Live_Data!AB123</f>
        <v/>
      </c>
      <c r="F1349">
        <f>Dashboard_Live_Data!AC123</f>
        <v/>
      </c>
      <c r="G1349">
        <f>Dashboard_Live_Data!AD123</f>
        <v/>
      </c>
      <c r="H1349">
        <f>Dashboard_Live_Data!AE123</f>
        <v/>
      </c>
    </row>
    <row r="1350">
      <c r="A1350">
        <f>Dashboard_Live_Data!X124</f>
        <v/>
      </c>
      <c r="B1350">
        <f>Dashboard_Live_Data!Y124</f>
        <v/>
      </c>
      <c r="C1350">
        <f>Dashboard_Live_Data!Z124</f>
        <v/>
      </c>
      <c r="D1350">
        <f>Dashboard_Live_Data!AA124</f>
        <v/>
      </c>
      <c r="E1350">
        <f>Dashboard_Live_Data!AB124</f>
        <v/>
      </c>
      <c r="F1350">
        <f>Dashboard_Live_Data!AC124</f>
        <v/>
      </c>
      <c r="G1350">
        <f>Dashboard_Live_Data!AD124</f>
        <v/>
      </c>
      <c r="H1350">
        <f>Dashboard_Live_Data!AE124</f>
        <v/>
      </c>
    </row>
    <row r="1351">
      <c r="A1351">
        <f>Dashboard_Live_Data!X125</f>
        <v/>
      </c>
      <c r="B1351">
        <f>Dashboard_Live_Data!Y125</f>
        <v/>
      </c>
      <c r="C1351">
        <f>Dashboard_Live_Data!Z125</f>
        <v/>
      </c>
      <c r="D1351">
        <f>Dashboard_Live_Data!AA125</f>
        <v/>
      </c>
      <c r="E1351">
        <f>Dashboard_Live_Data!AB125</f>
        <v/>
      </c>
      <c r="F1351">
        <f>Dashboard_Live_Data!AC125</f>
        <v/>
      </c>
      <c r="G1351">
        <f>Dashboard_Live_Data!AD125</f>
        <v/>
      </c>
      <c r="H1351">
        <f>Dashboard_Live_Data!AE125</f>
        <v/>
      </c>
    </row>
    <row r="1352">
      <c r="A1352">
        <f>Dashboard_Live_Data!X126</f>
        <v/>
      </c>
      <c r="B1352">
        <f>Dashboard_Live_Data!Y126</f>
        <v/>
      </c>
      <c r="C1352">
        <f>Dashboard_Live_Data!Z126</f>
        <v/>
      </c>
      <c r="D1352">
        <f>Dashboard_Live_Data!AA126</f>
        <v/>
      </c>
      <c r="E1352">
        <f>Dashboard_Live_Data!AB126</f>
        <v/>
      </c>
      <c r="F1352">
        <f>Dashboard_Live_Data!AC126</f>
        <v/>
      </c>
      <c r="G1352">
        <f>Dashboard_Live_Data!AD126</f>
        <v/>
      </c>
      <c r="H1352">
        <f>Dashboard_Live_Data!AE126</f>
        <v/>
      </c>
    </row>
    <row r="1353">
      <c r="A1353">
        <f>Dashboard_Live_Data!X127</f>
        <v/>
      </c>
      <c r="B1353">
        <f>Dashboard_Live_Data!Y127</f>
        <v/>
      </c>
      <c r="C1353">
        <f>Dashboard_Live_Data!Z127</f>
        <v/>
      </c>
      <c r="D1353">
        <f>Dashboard_Live_Data!AA127</f>
        <v/>
      </c>
      <c r="E1353">
        <f>Dashboard_Live_Data!AB127</f>
        <v/>
      </c>
      <c r="F1353">
        <f>Dashboard_Live_Data!AC127</f>
        <v/>
      </c>
      <c r="G1353">
        <f>Dashboard_Live_Data!AD127</f>
        <v/>
      </c>
      <c r="H1353">
        <f>Dashboard_Live_Data!AE127</f>
        <v/>
      </c>
    </row>
    <row r="1354">
      <c r="A1354">
        <f>Dashboard_Live_Data!X128</f>
        <v/>
      </c>
      <c r="B1354">
        <f>Dashboard_Live_Data!Y128</f>
        <v/>
      </c>
      <c r="C1354">
        <f>Dashboard_Live_Data!Z128</f>
        <v/>
      </c>
      <c r="D1354">
        <f>Dashboard_Live_Data!AA128</f>
        <v/>
      </c>
      <c r="E1354">
        <f>Dashboard_Live_Data!AB128</f>
        <v/>
      </c>
      <c r="F1354">
        <f>Dashboard_Live_Data!AC128</f>
        <v/>
      </c>
      <c r="G1354">
        <f>Dashboard_Live_Data!AD128</f>
        <v/>
      </c>
      <c r="H1354">
        <f>Dashboard_Live_Data!AE128</f>
        <v/>
      </c>
    </row>
    <row r="1355">
      <c r="A1355">
        <f>Dashboard_Live_Data!X129</f>
        <v/>
      </c>
      <c r="B1355">
        <f>Dashboard_Live_Data!Y129</f>
        <v/>
      </c>
      <c r="C1355">
        <f>Dashboard_Live_Data!Z129</f>
        <v/>
      </c>
      <c r="D1355">
        <f>Dashboard_Live_Data!AA129</f>
        <v/>
      </c>
      <c r="E1355">
        <f>Dashboard_Live_Data!AB129</f>
        <v/>
      </c>
      <c r="F1355">
        <f>Dashboard_Live_Data!AC129</f>
        <v/>
      </c>
      <c r="G1355">
        <f>Dashboard_Live_Data!AD129</f>
        <v/>
      </c>
      <c r="H1355">
        <f>Dashboard_Live_Data!AE129</f>
        <v/>
      </c>
    </row>
    <row r="1356">
      <c r="A1356">
        <f>Dashboard_Live_Data!X130</f>
        <v/>
      </c>
      <c r="B1356">
        <f>Dashboard_Live_Data!Y130</f>
        <v/>
      </c>
      <c r="C1356">
        <f>Dashboard_Live_Data!Z130</f>
        <v/>
      </c>
      <c r="D1356">
        <f>Dashboard_Live_Data!AA130</f>
        <v/>
      </c>
      <c r="E1356">
        <f>Dashboard_Live_Data!AB130</f>
        <v/>
      </c>
      <c r="F1356">
        <f>Dashboard_Live_Data!AC130</f>
        <v/>
      </c>
      <c r="G1356">
        <f>Dashboard_Live_Data!AD130</f>
        <v/>
      </c>
      <c r="H1356">
        <f>Dashboard_Live_Data!AE130</f>
        <v/>
      </c>
    </row>
    <row r="1357">
      <c r="A1357">
        <f>Dashboard_Live_Data!X131</f>
        <v/>
      </c>
      <c r="B1357">
        <f>Dashboard_Live_Data!Y131</f>
        <v/>
      </c>
      <c r="C1357">
        <f>Dashboard_Live_Data!Z131</f>
        <v/>
      </c>
      <c r="D1357">
        <f>Dashboard_Live_Data!AA131</f>
        <v/>
      </c>
      <c r="E1357">
        <f>Dashboard_Live_Data!AB131</f>
        <v/>
      </c>
      <c r="F1357">
        <f>Dashboard_Live_Data!AC131</f>
        <v/>
      </c>
      <c r="G1357">
        <f>Dashboard_Live_Data!AD131</f>
        <v/>
      </c>
      <c r="H1357">
        <f>Dashboard_Live_Data!AE131</f>
        <v/>
      </c>
    </row>
    <row r="1358">
      <c r="A1358">
        <f>Dashboard_Live_Data!X132</f>
        <v/>
      </c>
      <c r="B1358">
        <f>Dashboard_Live_Data!Y132</f>
        <v/>
      </c>
      <c r="C1358">
        <f>Dashboard_Live_Data!Z132</f>
        <v/>
      </c>
      <c r="D1358">
        <f>Dashboard_Live_Data!AA132</f>
        <v/>
      </c>
      <c r="E1358">
        <f>Dashboard_Live_Data!AB132</f>
        <v/>
      </c>
      <c r="F1358">
        <f>Dashboard_Live_Data!AC132</f>
        <v/>
      </c>
      <c r="G1358">
        <f>Dashboard_Live_Data!AD132</f>
        <v/>
      </c>
      <c r="H1358">
        <f>Dashboard_Live_Data!AE132</f>
        <v/>
      </c>
    </row>
    <row r="1359">
      <c r="A1359">
        <f>Dashboard_Live_Data!X133</f>
        <v/>
      </c>
      <c r="B1359">
        <f>Dashboard_Live_Data!Y133</f>
        <v/>
      </c>
      <c r="C1359">
        <f>Dashboard_Live_Data!Z133</f>
        <v/>
      </c>
      <c r="D1359">
        <f>Dashboard_Live_Data!AA133</f>
        <v/>
      </c>
      <c r="E1359">
        <f>Dashboard_Live_Data!AB133</f>
        <v/>
      </c>
      <c r="F1359">
        <f>Dashboard_Live_Data!AC133</f>
        <v/>
      </c>
      <c r="G1359">
        <f>Dashboard_Live_Data!AD133</f>
        <v/>
      </c>
      <c r="H1359">
        <f>Dashboard_Live_Data!AE133</f>
        <v/>
      </c>
    </row>
    <row r="1360">
      <c r="A1360">
        <f>Dashboard_Live_Data!X134</f>
        <v/>
      </c>
      <c r="B1360">
        <f>Dashboard_Live_Data!Y134</f>
        <v/>
      </c>
      <c r="C1360">
        <f>Dashboard_Live_Data!Z134</f>
        <v/>
      </c>
      <c r="D1360">
        <f>Dashboard_Live_Data!AA134</f>
        <v/>
      </c>
      <c r="E1360">
        <f>Dashboard_Live_Data!AB134</f>
        <v/>
      </c>
      <c r="F1360">
        <f>Dashboard_Live_Data!AC134</f>
        <v/>
      </c>
      <c r="G1360">
        <f>Dashboard_Live_Data!AD134</f>
        <v/>
      </c>
      <c r="H1360">
        <f>Dashboard_Live_Data!AE134</f>
        <v/>
      </c>
    </row>
    <row r="1361">
      <c r="A1361">
        <f>Dashboard_Live_Data!X135</f>
        <v/>
      </c>
      <c r="B1361">
        <f>Dashboard_Live_Data!Y135</f>
        <v/>
      </c>
      <c r="C1361">
        <f>Dashboard_Live_Data!Z135</f>
        <v/>
      </c>
      <c r="D1361">
        <f>Dashboard_Live_Data!AA135</f>
        <v/>
      </c>
      <c r="E1361">
        <f>Dashboard_Live_Data!AB135</f>
        <v/>
      </c>
      <c r="F1361">
        <f>Dashboard_Live_Data!AC135</f>
        <v/>
      </c>
      <c r="G1361">
        <f>Dashboard_Live_Data!AD135</f>
        <v/>
      </c>
      <c r="H1361">
        <f>Dashboard_Live_Data!AE135</f>
        <v/>
      </c>
    </row>
    <row r="1362">
      <c r="A1362">
        <f>Dashboard_Live_Data!X136</f>
        <v/>
      </c>
      <c r="B1362">
        <f>Dashboard_Live_Data!Y136</f>
        <v/>
      </c>
      <c r="C1362">
        <f>Dashboard_Live_Data!Z136</f>
        <v/>
      </c>
      <c r="D1362">
        <f>Dashboard_Live_Data!AA136</f>
        <v/>
      </c>
      <c r="E1362">
        <f>Dashboard_Live_Data!AB136</f>
        <v/>
      </c>
      <c r="F1362">
        <f>Dashboard_Live_Data!AC136</f>
        <v/>
      </c>
      <c r="G1362">
        <f>Dashboard_Live_Data!AD136</f>
        <v/>
      </c>
      <c r="H1362">
        <f>Dashboard_Live_Data!AE136</f>
        <v/>
      </c>
    </row>
    <row r="1363">
      <c r="A1363">
        <f>Dashboard_Live_Data!X137</f>
        <v/>
      </c>
      <c r="B1363">
        <f>Dashboard_Live_Data!Y137</f>
        <v/>
      </c>
      <c r="C1363">
        <f>Dashboard_Live_Data!Z137</f>
        <v/>
      </c>
      <c r="D1363">
        <f>Dashboard_Live_Data!AA137</f>
        <v/>
      </c>
      <c r="E1363">
        <f>Dashboard_Live_Data!AB137</f>
        <v/>
      </c>
      <c r="F1363">
        <f>Dashboard_Live_Data!AC137</f>
        <v/>
      </c>
      <c r="G1363">
        <f>Dashboard_Live_Data!AD137</f>
        <v/>
      </c>
      <c r="H1363">
        <f>Dashboard_Live_Data!AE137</f>
        <v/>
      </c>
    </row>
    <row r="1364">
      <c r="A1364">
        <f>Dashboard_Live_Data!X138</f>
        <v/>
      </c>
      <c r="B1364">
        <f>Dashboard_Live_Data!Y138</f>
        <v/>
      </c>
      <c r="C1364">
        <f>Dashboard_Live_Data!Z138</f>
        <v/>
      </c>
      <c r="D1364">
        <f>Dashboard_Live_Data!AA138</f>
        <v/>
      </c>
      <c r="E1364">
        <f>Dashboard_Live_Data!AB138</f>
        <v/>
      </c>
      <c r="F1364">
        <f>Dashboard_Live_Data!AC138</f>
        <v/>
      </c>
      <c r="G1364">
        <f>Dashboard_Live_Data!AD138</f>
        <v/>
      </c>
      <c r="H1364">
        <f>Dashboard_Live_Data!AE138</f>
        <v/>
      </c>
    </row>
    <row r="1365">
      <c r="A1365">
        <f>Dashboard_Live_Data!X139</f>
        <v/>
      </c>
      <c r="B1365">
        <f>Dashboard_Live_Data!Y139</f>
        <v/>
      </c>
      <c r="C1365">
        <f>Dashboard_Live_Data!Z139</f>
        <v/>
      </c>
      <c r="D1365">
        <f>Dashboard_Live_Data!AA139</f>
        <v/>
      </c>
      <c r="E1365">
        <f>Dashboard_Live_Data!AB139</f>
        <v/>
      </c>
      <c r="F1365">
        <f>Dashboard_Live_Data!AC139</f>
        <v/>
      </c>
      <c r="G1365">
        <f>Dashboard_Live_Data!AD139</f>
        <v/>
      </c>
      <c r="H1365">
        <f>Dashboard_Live_Data!AE139</f>
        <v/>
      </c>
    </row>
    <row r="1366">
      <c r="A1366">
        <f>Dashboard_Live_Data!X140</f>
        <v/>
      </c>
      <c r="B1366">
        <f>Dashboard_Live_Data!Y140</f>
        <v/>
      </c>
      <c r="C1366">
        <f>Dashboard_Live_Data!Z140</f>
        <v/>
      </c>
      <c r="D1366">
        <f>Dashboard_Live_Data!AA140</f>
        <v/>
      </c>
      <c r="E1366">
        <f>Dashboard_Live_Data!AB140</f>
        <v/>
      </c>
      <c r="F1366">
        <f>Dashboard_Live_Data!AC140</f>
        <v/>
      </c>
      <c r="G1366">
        <f>Dashboard_Live_Data!AD140</f>
        <v/>
      </c>
      <c r="H1366">
        <f>Dashboard_Live_Data!AE140</f>
        <v/>
      </c>
    </row>
    <row r="1367">
      <c r="A1367">
        <f>Dashboard_Live_Data!X141</f>
        <v/>
      </c>
      <c r="B1367">
        <f>Dashboard_Live_Data!Y141</f>
        <v/>
      </c>
      <c r="C1367">
        <f>Dashboard_Live_Data!Z141</f>
        <v/>
      </c>
      <c r="D1367">
        <f>Dashboard_Live_Data!AA141</f>
        <v/>
      </c>
      <c r="E1367">
        <f>Dashboard_Live_Data!AB141</f>
        <v/>
      </c>
      <c r="F1367">
        <f>Dashboard_Live_Data!AC141</f>
        <v/>
      </c>
      <c r="G1367">
        <f>Dashboard_Live_Data!AD141</f>
        <v/>
      </c>
      <c r="H1367">
        <f>Dashboard_Live_Data!AE141</f>
        <v/>
      </c>
    </row>
    <row r="1368">
      <c r="A1368">
        <f>Dashboard_Live_Data!X142</f>
        <v/>
      </c>
      <c r="B1368">
        <f>Dashboard_Live_Data!Y142</f>
        <v/>
      </c>
      <c r="C1368">
        <f>Dashboard_Live_Data!Z142</f>
        <v/>
      </c>
      <c r="D1368">
        <f>Dashboard_Live_Data!AA142</f>
        <v/>
      </c>
      <c r="E1368">
        <f>Dashboard_Live_Data!AB142</f>
        <v/>
      </c>
      <c r="F1368">
        <f>Dashboard_Live_Data!AC142</f>
        <v/>
      </c>
      <c r="G1368">
        <f>Dashboard_Live_Data!AD142</f>
        <v/>
      </c>
      <c r="H1368">
        <f>Dashboard_Live_Data!AE142</f>
        <v/>
      </c>
    </row>
    <row r="1369">
      <c r="A1369">
        <f>Dashboard_Live_Data!X143</f>
        <v/>
      </c>
      <c r="B1369">
        <f>Dashboard_Live_Data!Y143</f>
        <v/>
      </c>
      <c r="C1369">
        <f>Dashboard_Live_Data!Z143</f>
        <v/>
      </c>
      <c r="D1369">
        <f>Dashboard_Live_Data!AA143</f>
        <v/>
      </c>
      <c r="E1369">
        <f>Dashboard_Live_Data!AB143</f>
        <v/>
      </c>
      <c r="F1369">
        <f>Dashboard_Live_Data!AC143</f>
        <v/>
      </c>
      <c r="G1369">
        <f>Dashboard_Live_Data!AD143</f>
        <v/>
      </c>
      <c r="H1369">
        <f>Dashboard_Live_Data!AE143</f>
        <v/>
      </c>
    </row>
    <row r="1370">
      <c r="A1370">
        <f>Dashboard_Live_Data!X144</f>
        <v/>
      </c>
      <c r="B1370">
        <f>Dashboard_Live_Data!Y144</f>
        <v/>
      </c>
      <c r="C1370">
        <f>Dashboard_Live_Data!Z144</f>
        <v/>
      </c>
      <c r="D1370">
        <f>Dashboard_Live_Data!AA144</f>
        <v/>
      </c>
      <c r="E1370">
        <f>Dashboard_Live_Data!AB144</f>
        <v/>
      </c>
      <c r="F1370">
        <f>Dashboard_Live_Data!AC144</f>
        <v/>
      </c>
      <c r="G1370">
        <f>Dashboard_Live_Data!AD144</f>
        <v/>
      </c>
      <c r="H1370">
        <f>Dashboard_Live_Data!AE144</f>
        <v/>
      </c>
    </row>
    <row r="1371">
      <c r="A1371">
        <f>Dashboard_Live_Data!X145</f>
        <v/>
      </c>
      <c r="B1371">
        <f>Dashboard_Live_Data!Y145</f>
        <v/>
      </c>
      <c r="C1371">
        <f>Dashboard_Live_Data!Z145</f>
        <v/>
      </c>
      <c r="D1371">
        <f>Dashboard_Live_Data!AA145</f>
        <v/>
      </c>
      <c r="E1371">
        <f>Dashboard_Live_Data!AB145</f>
        <v/>
      </c>
      <c r="F1371">
        <f>Dashboard_Live_Data!AC145</f>
        <v/>
      </c>
      <c r="G1371">
        <f>Dashboard_Live_Data!AD145</f>
        <v/>
      </c>
      <c r="H1371">
        <f>Dashboard_Live_Data!AE145</f>
        <v/>
      </c>
    </row>
    <row r="1372">
      <c r="A1372">
        <f>Dashboard_Live_Data!X146</f>
        <v/>
      </c>
      <c r="B1372">
        <f>Dashboard_Live_Data!Y146</f>
        <v/>
      </c>
      <c r="C1372">
        <f>Dashboard_Live_Data!Z146</f>
        <v/>
      </c>
      <c r="D1372">
        <f>Dashboard_Live_Data!AA146</f>
        <v/>
      </c>
      <c r="E1372">
        <f>Dashboard_Live_Data!AB146</f>
        <v/>
      </c>
      <c r="F1372">
        <f>Dashboard_Live_Data!AC146</f>
        <v/>
      </c>
      <c r="G1372">
        <f>Dashboard_Live_Data!AD146</f>
        <v/>
      </c>
      <c r="H1372">
        <f>Dashboard_Live_Data!AE146</f>
        <v/>
      </c>
    </row>
    <row r="1373">
      <c r="A1373">
        <f>Dashboard_Live_Data!X147</f>
        <v/>
      </c>
      <c r="B1373">
        <f>Dashboard_Live_Data!Y147</f>
        <v/>
      </c>
      <c r="C1373">
        <f>Dashboard_Live_Data!Z147</f>
        <v/>
      </c>
      <c r="D1373">
        <f>Dashboard_Live_Data!AA147</f>
        <v/>
      </c>
      <c r="E1373">
        <f>Dashboard_Live_Data!AB147</f>
        <v/>
      </c>
      <c r="F1373">
        <f>Dashboard_Live_Data!AC147</f>
        <v/>
      </c>
      <c r="G1373">
        <f>Dashboard_Live_Data!AD147</f>
        <v/>
      </c>
      <c r="H1373">
        <f>Dashboard_Live_Data!AE147</f>
        <v/>
      </c>
    </row>
    <row r="1374">
      <c r="A1374">
        <f>Dashboard_Live_Data!X148</f>
        <v/>
      </c>
      <c r="B1374">
        <f>Dashboard_Live_Data!Y148</f>
        <v/>
      </c>
      <c r="C1374">
        <f>Dashboard_Live_Data!Z148</f>
        <v/>
      </c>
      <c r="D1374">
        <f>Dashboard_Live_Data!AA148</f>
        <v/>
      </c>
      <c r="E1374">
        <f>Dashboard_Live_Data!AB148</f>
        <v/>
      </c>
      <c r="F1374">
        <f>Dashboard_Live_Data!AC148</f>
        <v/>
      </c>
      <c r="G1374">
        <f>Dashboard_Live_Data!AD148</f>
        <v/>
      </c>
      <c r="H1374">
        <f>Dashboard_Live_Data!AE148</f>
        <v/>
      </c>
    </row>
    <row r="1375">
      <c r="A1375">
        <f>Dashboard_Live_Data!X149</f>
        <v/>
      </c>
      <c r="B1375">
        <f>Dashboard_Live_Data!Y149</f>
        <v/>
      </c>
      <c r="C1375">
        <f>Dashboard_Live_Data!Z149</f>
        <v/>
      </c>
      <c r="D1375">
        <f>Dashboard_Live_Data!AA149</f>
        <v/>
      </c>
      <c r="E1375">
        <f>Dashboard_Live_Data!AB149</f>
        <v/>
      </c>
      <c r="F1375">
        <f>Dashboard_Live_Data!AC149</f>
        <v/>
      </c>
      <c r="G1375">
        <f>Dashboard_Live_Data!AD149</f>
        <v/>
      </c>
      <c r="H1375">
        <f>Dashboard_Live_Data!AE149</f>
        <v/>
      </c>
    </row>
    <row r="1376">
      <c r="A1376">
        <f>Dashboard_Live_Data!X150</f>
        <v/>
      </c>
      <c r="B1376">
        <f>Dashboard_Live_Data!Y150</f>
        <v/>
      </c>
      <c r="C1376">
        <f>Dashboard_Live_Data!Z150</f>
        <v/>
      </c>
      <c r="D1376">
        <f>Dashboard_Live_Data!AA150</f>
        <v/>
      </c>
      <c r="E1376">
        <f>Dashboard_Live_Data!AB150</f>
        <v/>
      </c>
      <c r="F1376">
        <f>Dashboard_Live_Data!AC150</f>
        <v/>
      </c>
      <c r="G1376">
        <f>Dashboard_Live_Data!AD150</f>
        <v/>
      </c>
      <c r="H1376">
        <f>Dashboard_Live_Data!AE150</f>
        <v/>
      </c>
    </row>
    <row r="1377">
      <c r="A1377">
        <f>Dashboard_Live_Data!X151</f>
        <v/>
      </c>
      <c r="B1377">
        <f>Dashboard_Live_Data!Y151</f>
        <v/>
      </c>
      <c r="C1377">
        <f>Dashboard_Live_Data!Z151</f>
        <v/>
      </c>
      <c r="D1377">
        <f>Dashboard_Live_Data!AA151</f>
        <v/>
      </c>
      <c r="E1377">
        <f>Dashboard_Live_Data!AB151</f>
        <v/>
      </c>
      <c r="F1377">
        <f>Dashboard_Live_Data!AC151</f>
        <v/>
      </c>
      <c r="G1377">
        <f>Dashboard_Live_Data!AD151</f>
        <v/>
      </c>
      <c r="H1377">
        <f>Dashboard_Live_Data!AE151</f>
        <v/>
      </c>
    </row>
    <row r="1378">
      <c r="A1378">
        <f>Dashboard_Live_Data!X152</f>
        <v/>
      </c>
      <c r="B1378">
        <f>Dashboard_Live_Data!Y152</f>
        <v/>
      </c>
      <c r="C1378">
        <f>Dashboard_Live_Data!Z152</f>
        <v/>
      </c>
      <c r="D1378">
        <f>Dashboard_Live_Data!AA152</f>
        <v/>
      </c>
      <c r="E1378">
        <f>Dashboard_Live_Data!AB152</f>
        <v/>
      </c>
      <c r="F1378">
        <f>Dashboard_Live_Data!AC152</f>
        <v/>
      </c>
      <c r="G1378">
        <f>Dashboard_Live_Data!AD152</f>
        <v/>
      </c>
      <c r="H1378">
        <f>Dashboard_Live_Data!AE152</f>
        <v/>
      </c>
    </row>
    <row r="1379">
      <c r="A1379">
        <f>Dashboard_Live_Data!X153</f>
        <v/>
      </c>
      <c r="B1379">
        <f>Dashboard_Live_Data!Y153</f>
        <v/>
      </c>
      <c r="C1379">
        <f>Dashboard_Live_Data!Z153</f>
        <v/>
      </c>
      <c r="D1379">
        <f>Dashboard_Live_Data!AA153</f>
        <v/>
      </c>
      <c r="E1379">
        <f>Dashboard_Live_Data!AB153</f>
        <v/>
      </c>
      <c r="F1379">
        <f>Dashboard_Live_Data!AC153</f>
        <v/>
      </c>
      <c r="G1379">
        <f>Dashboard_Live_Data!AD153</f>
        <v/>
      </c>
      <c r="H1379">
        <f>Dashboard_Live_Data!AE153</f>
        <v/>
      </c>
    </row>
    <row r="1380">
      <c r="A1380">
        <f>Dashboard_Live_Data!X154</f>
        <v/>
      </c>
      <c r="B1380">
        <f>Dashboard_Live_Data!Y154</f>
        <v/>
      </c>
      <c r="C1380">
        <f>Dashboard_Live_Data!Z154</f>
        <v/>
      </c>
      <c r="D1380">
        <f>Dashboard_Live_Data!AA154</f>
        <v/>
      </c>
      <c r="E1380">
        <f>Dashboard_Live_Data!AB154</f>
        <v/>
      </c>
      <c r="F1380">
        <f>Dashboard_Live_Data!AC154</f>
        <v/>
      </c>
      <c r="G1380">
        <f>Dashboard_Live_Data!AD154</f>
        <v/>
      </c>
      <c r="H1380">
        <f>Dashboard_Live_Data!AE154</f>
        <v/>
      </c>
    </row>
    <row r="1381">
      <c r="A1381">
        <f>Dashboard_Live_Data!X155</f>
        <v/>
      </c>
      <c r="B1381">
        <f>Dashboard_Live_Data!Y155</f>
        <v/>
      </c>
      <c r="C1381">
        <f>Dashboard_Live_Data!Z155</f>
        <v/>
      </c>
      <c r="D1381">
        <f>Dashboard_Live_Data!AA155</f>
        <v/>
      </c>
      <c r="E1381">
        <f>Dashboard_Live_Data!AB155</f>
        <v/>
      </c>
      <c r="F1381">
        <f>Dashboard_Live_Data!AC155</f>
        <v/>
      </c>
      <c r="G1381">
        <f>Dashboard_Live_Data!AD155</f>
        <v/>
      </c>
      <c r="H1381">
        <f>Dashboard_Live_Data!AE155</f>
        <v/>
      </c>
    </row>
    <row r="1382">
      <c r="A1382">
        <f>Dashboard_Live_Data!X156</f>
        <v/>
      </c>
      <c r="B1382">
        <f>Dashboard_Live_Data!Y156</f>
        <v/>
      </c>
      <c r="C1382">
        <f>Dashboard_Live_Data!Z156</f>
        <v/>
      </c>
      <c r="D1382">
        <f>Dashboard_Live_Data!AA156</f>
        <v/>
      </c>
      <c r="E1382">
        <f>Dashboard_Live_Data!AB156</f>
        <v/>
      </c>
      <c r="F1382">
        <f>Dashboard_Live_Data!AC156</f>
        <v/>
      </c>
      <c r="G1382">
        <f>Dashboard_Live_Data!AD156</f>
        <v/>
      </c>
      <c r="H1382">
        <f>Dashboard_Live_Data!AE156</f>
        <v/>
      </c>
    </row>
    <row r="1383">
      <c r="A1383">
        <f>Dashboard_Live_Data!X157</f>
        <v/>
      </c>
      <c r="B1383">
        <f>Dashboard_Live_Data!Y157</f>
        <v/>
      </c>
      <c r="C1383">
        <f>Dashboard_Live_Data!Z157</f>
        <v/>
      </c>
      <c r="D1383">
        <f>Dashboard_Live_Data!AA157</f>
        <v/>
      </c>
      <c r="E1383">
        <f>Dashboard_Live_Data!AB157</f>
        <v/>
      </c>
      <c r="F1383">
        <f>Dashboard_Live_Data!AC157</f>
        <v/>
      </c>
      <c r="G1383">
        <f>Dashboard_Live_Data!AD157</f>
        <v/>
      </c>
      <c r="H1383">
        <f>Dashboard_Live_Data!AE157</f>
        <v/>
      </c>
    </row>
    <row r="1384">
      <c r="A1384">
        <f>Dashboard_Live_Data!X158</f>
        <v/>
      </c>
      <c r="B1384">
        <f>Dashboard_Live_Data!Y158</f>
        <v/>
      </c>
      <c r="C1384">
        <f>Dashboard_Live_Data!Z158</f>
        <v/>
      </c>
      <c r="D1384">
        <f>Dashboard_Live_Data!AA158</f>
        <v/>
      </c>
      <c r="E1384">
        <f>Dashboard_Live_Data!AB158</f>
        <v/>
      </c>
      <c r="F1384">
        <f>Dashboard_Live_Data!AC158</f>
        <v/>
      </c>
      <c r="G1384">
        <f>Dashboard_Live_Data!AD158</f>
        <v/>
      </c>
      <c r="H1384">
        <f>Dashboard_Live_Data!AE158</f>
        <v/>
      </c>
    </row>
    <row r="1385">
      <c r="A1385">
        <f>Dashboard_Live_Data!X159</f>
        <v/>
      </c>
      <c r="B1385">
        <f>Dashboard_Live_Data!Y159</f>
        <v/>
      </c>
      <c r="C1385">
        <f>Dashboard_Live_Data!Z159</f>
        <v/>
      </c>
      <c r="D1385">
        <f>Dashboard_Live_Data!AA159</f>
        <v/>
      </c>
      <c r="E1385">
        <f>Dashboard_Live_Data!AB159</f>
        <v/>
      </c>
      <c r="F1385">
        <f>Dashboard_Live_Data!AC159</f>
        <v/>
      </c>
      <c r="G1385">
        <f>Dashboard_Live_Data!AD159</f>
        <v/>
      </c>
      <c r="H1385">
        <f>Dashboard_Live_Data!AE159</f>
        <v/>
      </c>
    </row>
    <row r="1386">
      <c r="A1386">
        <f>Dashboard_Live_Data!X160</f>
        <v/>
      </c>
      <c r="B1386">
        <f>Dashboard_Live_Data!Y160</f>
        <v/>
      </c>
      <c r="C1386">
        <f>Dashboard_Live_Data!Z160</f>
        <v/>
      </c>
      <c r="D1386">
        <f>Dashboard_Live_Data!AA160</f>
        <v/>
      </c>
      <c r="E1386">
        <f>Dashboard_Live_Data!AB160</f>
        <v/>
      </c>
      <c r="F1386">
        <f>Dashboard_Live_Data!AC160</f>
        <v/>
      </c>
      <c r="G1386">
        <f>Dashboard_Live_Data!AD160</f>
        <v/>
      </c>
      <c r="H1386">
        <f>Dashboard_Live_Data!AE160</f>
        <v/>
      </c>
    </row>
    <row r="1387">
      <c r="A1387">
        <f>Dashboard_Live_Data!X161</f>
        <v/>
      </c>
      <c r="B1387">
        <f>Dashboard_Live_Data!Y161</f>
        <v/>
      </c>
      <c r="C1387">
        <f>Dashboard_Live_Data!Z161</f>
        <v/>
      </c>
      <c r="D1387">
        <f>Dashboard_Live_Data!AA161</f>
        <v/>
      </c>
      <c r="E1387">
        <f>Dashboard_Live_Data!AB161</f>
        <v/>
      </c>
      <c r="F1387">
        <f>Dashboard_Live_Data!AC161</f>
        <v/>
      </c>
      <c r="G1387">
        <f>Dashboard_Live_Data!AD161</f>
        <v/>
      </c>
      <c r="H1387">
        <f>Dashboard_Live_Data!AE161</f>
        <v/>
      </c>
    </row>
    <row r="1388">
      <c r="A1388">
        <f>Dashboard_Live_Data!X162</f>
        <v/>
      </c>
      <c r="B1388">
        <f>Dashboard_Live_Data!Y162</f>
        <v/>
      </c>
      <c r="C1388">
        <f>Dashboard_Live_Data!Z162</f>
        <v/>
      </c>
      <c r="D1388">
        <f>Dashboard_Live_Data!AA162</f>
        <v/>
      </c>
      <c r="E1388">
        <f>Dashboard_Live_Data!AB162</f>
        <v/>
      </c>
      <c r="F1388">
        <f>Dashboard_Live_Data!AC162</f>
        <v/>
      </c>
      <c r="G1388">
        <f>Dashboard_Live_Data!AD162</f>
        <v/>
      </c>
      <c r="H1388">
        <f>Dashboard_Live_Data!AE162</f>
        <v/>
      </c>
    </row>
    <row r="1389">
      <c r="A1389">
        <f>Dashboard_Live_Data!X163</f>
        <v/>
      </c>
      <c r="B1389">
        <f>Dashboard_Live_Data!Y163</f>
        <v/>
      </c>
      <c r="C1389">
        <f>Dashboard_Live_Data!Z163</f>
        <v/>
      </c>
      <c r="D1389">
        <f>Dashboard_Live_Data!AA163</f>
        <v/>
      </c>
      <c r="E1389">
        <f>Dashboard_Live_Data!AB163</f>
        <v/>
      </c>
      <c r="F1389">
        <f>Dashboard_Live_Data!AC163</f>
        <v/>
      </c>
      <c r="G1389">
        <f>Dashboard_Live_Data!AD163</f>
        <v/>
      </c>
      <c r="H1389">
        <f>Dashboard_Live_Data!AE163</f>
        <v/>
      </c>
    </row>
    <row r="1390">
      <c r="A1390">
        <f>Dashboard_Live_Data!X164</f>
        <v/>
      </c>
      <c r="B1390">
        <f>Dashboard_Live_Data!Y164</f>
        <v/>
      </c>
      <c r="C1390">
        <f>Dashboard_Live_Data!Z164</f>
        <v/>
      </c>
      <c r="D1390">
        <f>Dashboard_Live_Data!AA164</f>
        <v/>
      </c>
      <c r="E1390">
        <f>Dashboard_Live_Data!AB164</f>
        <v/>
      </c>
      <c r="F1390">
        <f>Dashboard_Live_Data!AC164</f>
        <v/>
      </c>
      <c r="G1390">
        <f>Dashboard_Live_Data!AD164</f>
        <v/>
      </c>
      <c r="H1390">
        <f>Dashboard_Live_Data!AE164</f>
        <v/>
      </c>
    </row>
    <row r="1391">
      <c r="A1391">
        <f>Dashboard_Live_Data!X165</f>
        <v/>
      </c>
      <c r="B1391">
        <f>Dashboard_Live_Data!Y165</f>
        <v/>
      </c>
      <c r="C1391">
        <f>Dashboard_Live_Data!Z165</f>
        <v/>
      </c>
      <c r="D1391">
        <f>Dashboard_Live_Data!AA165</f>
        <v/>
      </c>
      <c r="E1391">
        <f>Dashboard_Live_Data!AB165</f>
        <v/>
      </c>
      <c r="F1391">
        <f>Dashboard_Live_Data!AC165</f>
        <v/>
      </c>
      <c r="G1391">
        <f>Dashboard_Live_Data!AD165</f>
        <v/>
      </c>
      <c r="H1391">
        <f>Dashboard_Live_Data!AE165</f>
        <v/>
      </c>
    </row>
    <row r="1392">
      <c r="A1392">
        <f>Dashboard_Live_Data!X166</f>
        <v/>
      </c>
      <c r="B1392">
        <f>Dashboard_Live_Data!Y166</f>
        <v/>
      </c>
      <c r="C1392">
        <f>Dashboard_Live_Data!Z166</f>
        <v/>
      </c>
      <c r="D1392">
        <f>Dashboard_Live_Data!AA166</f>
        <v/>
      </c>
      <c r="E1392">
        <f>Dashboard_Live_Data!AB166</f>
        <v/>
      </c>
      <c r="F1392">
        <f>Dashboard_Live_Data!AC166</f>
        <v/>
      </c>
      <c r="G1392">
        <f>Dashboard_Live_Data!AD166</f>
        <v/>
      </c>
      <c r="H1392">
        <f>Dashboard_Live_Data!AE166</f>
        <v/>
      </c>
    </row>
    <row r="1393">
      <c r="A1393">
        <f>Dashboard_Live_Data!X167</f>
        <v/>
      </c>
      <c r="B1393">
        <f>Dashboard_Live_Data!Y167</f>
        <v/>
      </c>
      <c r="C1393">
        <f>Dashboard_Live_Data!Z167</f>
        <v/>
      </c>
      <c r="D1393">
        <f>Dashboard_Live_Data!AA167</f>
        <v/>
      </c>
      <c r="E1393">
        <f>Dashboard_Live_Data!AB167</f>
        <v/>
      </c>
      <c r="F1393">
        <f>Dashboard_Live_Data!AC167</f>
        <v/>
      </c>
      <c r="G1393">
        <f>Dashboard_Live_Data!AD167</f>
        <v/>
      </c>
      <c r="H1393">
        <f>Dashboard_Live_Data!AE167</f>
        <v/>
      </c>
    </row>
    <row r="1394">
      <c r="A1394">
        <f>Dashboard_Live_Data!X168</f>
        <v/>
      </c>
      <c r="B1394">
        <f>Dashboard_Live_Data!Y168</f>
        <v/>
      </c>
      <c r="C1394">
        <f>Dashboard_Live_Data!Z168</f>
        <v/>
      </c>
      <c r="D1394">
        <f>Dashboard_Live_Data!AA168</f>
        <v/>
      </c>
      <c r="E1394">
        <f>Dashboard_Live_Data!AB168</f>
        <v/>
      </c>
      <c r="F1394">
        <f>Dashboard_Live_Data!AC168</f>
        <v/>
      </c>
      <c r="G1394">
        <f>Dashboard_Live_Data!AD168</f>
        <v/>
      </c>
      <c r="H1394">
        <f>Dashboard_Live_Data!AE168</f>
        <v/>
      </c>
    </row>
    <row r="1395">
      <c r="A1395">
        <f>Dashboard_Live_Data!X169</f>
        <v/>
      </c>
      <c r="B1395">
        <f>Dashboard_Live_Data!Y169</f>
        <v/>
      </c>
      <c r="C1395">
        <f>Dashboard_Live_Data!Z169</f>
        <v/>
      </c>
      <c r="D1395">
        <f>Dashboard_Live_Data!AA169</f>
        <v/>
      </c>
      <c r="E1395">
        <f>Dashboard_Live_Data!AB169</f>
        <v/>
      </c>
      <c r="F1395">
        <f>Dashboard_Live_Data!AC169</f>
        <v/>
      </c>
      <c r="G1395">
        <f>Dashboard_Live_Data!AD169</f>
        <v/>
      </c>
      <c r="H1395">
        <f>Dashboard_Live_Data!AE169</f>
        <v/>
      </c>
    </row>
    <row r="1396">
      <c r="A1396">
        <f>Dashboard_Live_Data!X170</f>
        <v/>
      </c>
      <c r="B1396">
        <f>Dashboard_Live_Data!Y170</f>
        <v/>
      </c>
      <c r="C1396">
        <f>Dashboard_Live_Data!Z170</f>
        <v/>
      </c>
      <c r="D1396">
        <f>Dashboard_Live_Data!AA170</f>
        <v/>
      </c>
      <c r="E1396">
        <f>Dashboard_Live_Data!AB170</f>
        <v/>
      </c>
      <c r="F1396">
        <f>Dashboard_Live_Data!AC170</f>
        <v/>
      </c>
      <c r="G1396">
        <f>Dashboard_Live_Data!AD170</f>
        <v/>
      </c>
      <c r="H1396">
        <f>Dashboard_Live_Data!AE170</f>
        <v/>
      </c>
    </row>
    <row r="1397">
      <c r="A1397">
        <f>Dashboard_Live_Data!X171</f>
        <v/>
      </c>
      <c r="B1397">
        <f>Dashboard_Live_Data!Y171</f>
        <v/>
      </c>
      <c r="C1397">
        <f>Dashboard_Live_Data!Z171</f>
        <v/>
      </c>
      <c r="D1397">
        <f>Dashboard_Live_Data!AA171</f>
        <v/>
      </c>
      <c r="E1397">
        <f>Dashboard_Live_Data!AB171</f>
        <v/>
      </c>
      <c r="F1397">
        <f>Dashboard_Live_Data!AC171</f>
        <v/>
      </c>
      <c r="G1397">
        <f>Dashboard_Live_Data!AD171</f>
        <v/>
      </c>
      <c r="H1397">
        <f>Dashboard_Live_Data!AE171</f>
        <v/>
      </c>
    </row>
    <row r="1398">
      <c r="A1398">
        <f>Dashboard_Live_Data!X172</f>
        <v/>
      </c>
      <c r="B1398">
        <f>Dashboard_Live_Data!Y172</f>
        <v/>
      </c>
      <c r="C1398">
        <f>Dashboard_Live_Data!Z172</f>
        <v/>
      </c>
      <c r="D1398">
        <f>Dashboard_Live_Data!AA172</f>
        <v/>
      </c>
      <c r="E1398">
        <f>Dashboard_Live_Data!AB172</f>
        <v/>
      </c>
      <c r="F1398">
        <f>Dashboard_Live_Data!AC172</f>
        <v/>
      </c>
      <c r="G1398">
        <f>Dashboard_Live_Data!AD172</f>
        <v/>
      </c>
      <c r="H1398">
        <f>Dashboard_Live_Data!AE172</f>
        <v/>
      </c>
    </row>
    <row r="1399">
      <c r="A1399">
        <f>Dashboard_Live_Data!X173</f>
        <v/>
      </c>
      <c r="B1399">
        <f>Dashboard_Live_Data!Y173</f>
        <v/>
      </c>
      <c r="C1399">
        <f>Dashboard_Live_Data!Z173</f>
        <v/>
      </c>
      <c r="D1399">
        <f>Dashboard_Live_Data!AA173</f>
        <v/>
      </c>
      <c r="E1399">
        <f>Dashboard_Live_Data!AB173</f>
        <v/>
      </c>
      <c r="F1399">
        <f>Dashboard_Live_Data!AC173</f>
        <v/>
      </c>
      <c r="G1399">
        <f>Dashboard_Live_Data!AD173</f>
        <v/>
      </c>
      <c r="H1399">
        <f>Dashboard_Live_Data!AE173</f>
        <v/>
      </c>
    </row>
    <row r="1400">
      <c r="A1400">
        <f>Dashboard_Live_Data!X174</f>
        <v/>
      </c>
      <c r="B1400">
        <f>Dashboard_Live_Data!Y174</f>
        <v/>
      </c>
      <c r="C1400">
        <f>Dashboard_Live_Data!Z174</f>
        <v/>
      </c>
      <c r="D1400">
        <f>Dashboard_Live_Data!AA174</f>
        <v/>
      </c>
      <c r="E1400">
        <f>Dashboard_Live_Data!AB174</f>
        <v/>
      </c>
      <c r="F1400">
        <f>Dashboard_Live_Data!AC174</f>
        <v/>
      </c>
      <c r="G1400">
        <f>Dashboard_Live_Data!AD174</f>
        <v/>
      </c>
      <c r="H1400">
        <f>Dashboard_Live_Data!AE174</f>
        <v/>
      </c>
    </row>
    <row r="1401">
      <c r="A1401">
        <f>Dashboard_Live_Data!X175</f>
        <v/>
      </c>
      <c r="B1401">
        <f>Dashboard_Live_Data!Y175</f>
        <v/>
      </c>
      <c r="C1401">
        <f>Dashboard_Live_Data!Z175</f>
        <v/>
      </c>
      <c r="D1401">
        <f>Dashboard_Live_Data!AA175</f>
        <v/>
      </c>
      <c r="E1401">
        <f>Dashboard_Live_Data!AB175</f>
        <v/>
      </c>
      <c r="F1401">
        <f>Dashboard_Live_Data!AC175</f>
        <v/>
      </c>
      <c r="G1401">
        <f>Dashboard_Live_Data!AD175</f>
        <v/>
      </c>
      <c r="H1401">
        <f>Dashboard_Live_Data!AE175</f>
        <v/>
      </c>
    </row>
    <row r="1402">
      <c r="A1402">
        <f>Dashboard_Live_Data!X176</f>
        <v/>
      </c>
      <c r="B1402">
        <f>Dashboard_Live_Data!Y176</f>
        <v/>
      </c>
      <c r="C1402">
        <f>Dashboard_Live_Data!Z176</f>
        <v/>
      </c>
      <c r="D1402">
        <f>Dashboard_Live_Data!AA176</f>
        <v/>
      </c>
      <c r="E1402">
        <f>Dashboard_Live_Data!AB176</f>
        <v/>
      </c>
      <c r="F1402">
        <f>Dashboard_Live_Data!AC176</f>
        <v/>
      </c>
      <c r="G1402">
        <f>Dashboard_Live_Data!AD176</f>
        <v/>
      </c>
      <c r="H1402">
        <f>Dashboard_Live_Data!AE176</f>
        <v/>
      </c>
    </row>
    <row r="1403">
      <c r="A1403">
        <f>Dashboard_Live_Data!X177</f>
        <v/>
      </c>
      <c r="B1403">
        <f>Dashboard_Live_Data!Y177</f>
        <v/>
      </c>
      <c r="C1403">
        <f>Dashboard_Live_Data!Z177</f>
        <v/>
      </c>
      <c r="D1403">
        <f>Dashboard_Live_Data!AA177</f>
        <v/>
      </c>
      <c r="E1403">
        <f>Dashboard_Live_Data!AB177</f>
        <v/>
      </c>
      <c r="F1403">
        <f>Dashboard_Live_Data!AC177</f>
        <v/>
      </c>
      <c r="G1403">
        <f>Dashboard_Live_Data!AD177</f>
        <v/>
      </c>
      <c r="H1403">
        <f>Dashboard_Live_Data!AE177</f>
        <v/>
      </c>
    </row>
    <row r="1404">
      <c r="A1404">
        <f>Dashboard_Live_Data!X178</f>
        <v/>
      </c>
      <c r="B1404">
        <f>Dashboard_Live_Data!Y178</f>
        <v/>
      </c>
      <c r="C1404">
        <f>Dashboard_Live_Data!Z178</f>
        <v/>
      </c>
      <c r="D1404">
        <f>Dashboard_Live_Data!AA178</f>
        <v/>
      </c>
      <c r="E1404">
        <f>Dashboard_Live_Data!AB178</f>
        <v/>
      </c>
      <c r="F1404">
        <f>Dashboard_Live_Data!AC178</f>
        <v/>
      </c>
      <c r="G1404">
        <f>Dashboard_Live_Data!AD178</f>
        <v/>
      </c>
      <c r="H1404">
        <f>Dashboard_Live_Data!AE178</f>
        <v/>
      </c>
    </row>
    <row r="1405">
      <c r="A1405">
        <f>Dashboard_Live_Data!X179</f>
        <v/>
      </c>
      <c r="B1405">
        <f>Dashboard_Live_Data!Y179</f>
        <v/>
      </c>
      <c r="C1405">
        <f>Dashboard_Live_Data!Z179</f>
        <v/>
      </c>
      <c r="D1405">
        <f>Dashboard_Live_Data!AA179</f>
        <v/>
      </c>
      <c r="E1405">
        <f>Dashboard_Live_Data!AB179</f>
        <v/>
      </c>
      <c r="F1405">
        <f>Dashboard_Live_Data!AC179</f>
        <v/>
      </c>
      <c r="G1405">
        <f>Dashboard_Live_Data!AD179</f>
        <v/>
      </c>
      <c r="H1405">
        <f>Dashboard_Live_Data!AE179</f>
        <v/>
      </c>
    </row>
    <row r="1406">
      <c r="A1406">
        <f>Dashboard_Live_Data!X180</f>
        <v/>
      </c>
      <c r="B1406">
        <f>Dashboard_Live_Data!Y180</f>
        <v/>
      </c>
      <c r="C1406">
        <f>Dashboard_Live_Data!Z180</f>
        <v/>
      </c>
      <c r="D1406">
        <f>Dashboard_Live_Data!AA180</f>
        <v/>
      </c>
      <c r="E1406">
        <f>Dashboard_Live_Data!AB180</f>
        <v/>
      </c>
      <c r="F1406">
        <f>Dashboard_Live_Data!AC180</f>
        <v/>
      </c>
      <c r="G1406">
        <f>Dashboard_Live_Data!AD180</f>
        <v/>
      </c>
      <c r="H1406">
        <f>Dashboard_Live_Data!AE180</f>
        <v/>
      </c>
    </row>
    <row r="1407">
      <c r="A1407">
        <f>Dashboard_Live_Data!X181</f>
        <v/>
      </c>
      <c r="B1407">
        <f>Dashboard_Live_Data!Y181</f>
        <v/>
      </c>
      <c r="C1407">
        <f>Dashboard_Live_Data!Z181</f>
        <v/>
      </c>
      <c r="D1407">
        <f>Dashboard_Live_Data!AA181</f>
        <v/>
      </c>
      <c r="E1407">
        <f>Dashboard_Live_Data!AB181</f>
        <v/>
      </c>
      <c r="F1407">
        <f>Dashboard_Live_Data!AC181</f>
        <v/>
      </c>
      <c r="G1407">
        <f>Dashboard_Live_Data!AD181</f>
        <v/>
      </c>
      <c r="H1407">
        <f>Dashboard_Live_Data!AE181</f>
        <v/>
      </c>
    </row>
    <row r="1408">
      <c r="A1408">
        <f>Dashboard_Live_Data!X182</f>
        <v/>
      </c>
      <c r="B1408">
        <f>Dashboard_Live_Data!Y182</f>
        <v/>
      </c>
      <c r="C1408">
        <f>Dashboard_Live_Data!Z182</f>
        <v/>
      </c>
      <c r="D1408">
        <f>Dashboard_Live_Data!AA182</f>
        <v/>
      </c>
      <c r="E1408">
        <f>Dashboard_Live_Data!AB182</f>
        <v/>
      </c>
      <c r="F1408">
        <f>Dashboard_Live_Data!AC182</f>
        <v/>
      </c>
      <c r="G1408">
        <f>Dashboard_Live_Data!AD182</f>
        <v/>
      </c>
      <c r="H1408">
        <f>Dashboard_Live_Data!AE182</f>
        <v/>
      </c>
    </row>
    <row r="1409">
      <c r="A1409">
        <f>Dashboard_Live_Data!X183</f>
        <v/>
      </c>
      <c r="B1409">
        <f>Dashboard_Live_Data!Y183</f>
        <v/>
      </c>
      <c r="C1409">
        <f>Dashboard_Live_Data!Z183</f>
        <v/>
      </c>
      <c r="D1409">
        <f>Dashboard_Live_Data!AA183</f>
        <v/>
      </c>
      <c r="E1409">
        <f>Dashboard_Live_Data!AB183</f>
        <v/>
      </c>
      <c r="F1409">
        <f>Dashboard_Live_Data!AC183</f>
        <v/>
      </c>
      <c r="G1409">
        <f>Dashboard_Live_Data!AD183</f>
        <v/>
      </c>
      <c r="H1409">
        <f>Dashboard_Live_Data!AE183</f>
        <v/>
      </c>
    </row>
    <row r="1410">
      <c r="A1410">
        <f>Dashboard_Live_Data!X184</f>
        <v/>
      </c>
      <c r="B1410">
        <f>Dashboard_Live_Data!Y184</f>
        <v/>
      </c>
      <c r="C1410">
        <f>Dashboard_Live_Data!Z184</f>
        <v/>
      </c>
      <c r="D1410">
        <f>Dashboard_Live_Data!AA184</f>
        <v/>
      </c>
      <c r="E1410">
        <f>Dashboard_Live_Data!AB184</f>
        <v/>
      </c>
      <c r="F1410">
        <f>Dashboard_Live_Data!AC184</f>
        <v/>
      </c>
      <c r="G1410">
        <f>Dashboard_Live_Data!AD184</f>
        <v/>
      </c>
      <c r="H1410">
        <f>Dashboard_Live_Data!AE184</f>
        <v/>
      </c>
    </row>
    <row r="1411">
      <c r="A1411">
        <f>Dashboard_Live_Data!X185</f>
        <v/>
      </c>
      <c r="B1411">
        <f>Dashboard_Live_Data!Y185</f>
        <v/>
      </c>
      <c r="C1411">
        <f>Dashboard_Live_Data!Z185</f>
        <v/>
      </c>
      <c r="D1411">
        <f>Dashboard_Live_Data!AA185</f>
        <v/>
      </c>
      <c r="E1411">
        <f>Dashboard_Live_Data!AB185</f>
        <v/>
      </c>
      <c r="F1411">
        <f>Dashboard_Live_Data!AC185</f>
        <v/>
      </c>
      <c r="G1411">
        <f>Dashboard_Live_Data!AD185</f>
        <v/>
      </c>
      <c r="H1411">
        <f>Dashboard_Live_Data!AE185</f>
        <v/>
      </c>
    </row>
    <row r="1412">
      <c r="A1412">
        <f>Dashboard_Live_Data!X186</f>
        <v/>
      </c>
      <c r="B1412">
        <f>Dashboard_Live_Data!Y186</f>
        <v/>
      </c>
      <c r="C1412">
        <f>Dashboard_Live_Data!Z186</f>
        <v/>
      </c>
      <c r="D1412">
        <f>Dashboard_Live_Data!AA186</f>
        <v/>
      </c>
      <c r="E1412">
        <f>Dashboard_Live_Data!AB186</f>
        <v/>
      </c>
      <c r="F1412">
        <f>Dashboard_Live_Data!AC186</f>
        <v/>
      </c>
      <c r="G1412">
        <f>Dashboard_Live_Data!AD186</f>
        <v/>
      </c>
      <c r="H1412">
        <f>Dashboard_Live_Data!AE186</f>
        <v/>
      </c>
    </row>
    <row r="1413">
      <c r="A1413">
        <f>Dashboard_Live_Data!X187</f>
        <v/>
      </c>
      <c r="B1413">
        <f>Dashboard_Live_Data!Y187</f>
        <v/>
      </c>
      <c r="C1413">
        <f>Dashboard_Live_Data!Z187</f>
        <v/>
      </c>
      <c r="D1413">
        <f>Dashboard_Live_Data!AA187</f>
        <v/>
      </c>
      <c r="E1413">
        <f>Dashboard_Live_Data!AB187</f>
        <v/>
      </c>
      <c r="F1413">
        <f>Dashboard_Live_Data!AC187</f>
        <v/>
      </c>
      <c r="G1413">
        <f>Dashboard_Live_Data!AD187</f>
        <v/>
      </c>
      <c r="H1413">
        <f>Dashboard_Live_Data!AE187</f>
        <v/>
      </c>
    </row>
    <row r="1414">
      <c r="A1414">
        <f>Dashboard_Live_Data!X188</f>
        <v/>
      </c>
      <c r="B1414">
        <f>Dashboard_Live_Data!Y188</f>
        <v/>
      </c>
      <c r="C1414">
        <f>Dashboard_Live_Data!Z188</f>
        <v/>
      </c>
      <c r="D1414">
        <f>Dashboard_Live_Data!AA188</f>
        <v/>
      </c>
      <c r="E1414">
        <f>Dashboard_Live_Data!AB188</f>
        <v/>
      </c>
      <c r="F1414">
        <f>Dashboard_Live_Data!AC188</f>
        <v/>
      </c>
      <c r="G1414">
        <f>Dashboard_Live_Data!AD188</f>
        <v/>
      </c>
      <c r="H1414">
        <f>Dashboard_Live_Data!AE188</f>
        <v/>
      </c>
    </row>
    <row r="1415">
      <c r="A1415">
        <f>Dashboard_Live_Data!X189</f>
        <v/>
      </c>
      <c r="B1415">
        <f>Dashboard_Live_Data!Y189</f>
        <v/>
      </c>
      <c r="C1415">
        <f>Dashboard_Live_Data!Z189</f>
        <v/>
      </c>
      <c r="D1415">
        <f>Dashboard_Live_Data!AA189</f>
        <v/>
      </c>
      <c r="E1415">
        <f>Dashboard_Live_Data!AB189</f>
        <v/>
      </c>
      <c r="F1415">
        <f>Dashboard_Live_Data!AC189</f>
        <v/>
      </c>
      <c r="G1415">
        <f>Dashboard_Live_Data!AD189</f>
        <v/>
      </c>
      <c r="H1415">
        <f>Dashboard_Live_Data!AE189</f>
        <v/>
      </c>
    </row>
    <row r="1416">
      <c r="A1416">
        <f>Dashboard_Live_Data!X190</f>
        <v/>
      </c>
      <c r="B1416">
        <f>Dashboard_Live_Data!Y190</f>
        <v/>
      </c>
      <c r="C1416">
        <f>Dashboard_Live_Data!Z190</f>
        <v/>
      </c>
      <c r="D1416">
        <f>Dashboard_Live_Data!AA190</f>
        <v/>
      </c>
      <c r="E1416">
        <f>Dashboard_Live_Data!AB190</f>
        <v/>
      </c>
      <c r="F1416">
        <f>Dashboard_Live_Data!AC190</f>
        <v/>
      </c>
      <c r="G1416">
        <f>Dashboard_Live_Data!AD190</f>
        <v/>
      </c>
      <c r="H1416">
        <f>Dashboard_Live_Data!AE190</f>
        <v/>
      </c>
    </row>
    <row r="1417">
      <c r="A1417">
        <f>Dashboard_Live_Data!X191</f>
        <v/>
      </c>
      <c r="B1417">
        <f>Dashboard_Live_Data!Y191</f>
        <v/>
      </c>
      <c r="C1417">
        <f>Dashboard_Live_Data!Z191</f>
        <v/>
      </c>
      <c r="D1417">
        <f>Dashboard_Live_Data!AA191</f>
        <v/>
      </c>
      <c r="E1417">
        <f>Dashboard_Live_Data!AB191</f>
        <v/>
      </c>
      <c r="F1417">
        <f>Dashboard_Live_Data!AC191</f>
        <v/>
      </c>
      <c r="G1417">
        <f>Dashboard_Live_Data!AD191</f>
        <v/>
      </c>
      <c r="H1417">
        <f>Dashboard_Live_Data!AE191</f>
        <v/>
      </c>
    </row>
    <row r="1418">
      <c r="A1418">
        <f>Dashboard_Live_Data!X192</f>
        <v/>
      </c>
      <c r="B1418">
        <f>Dashboard_Live_Data!Y192</f>
        <v/>
      </c>
      <c r="C1418">
        <f>Dashboard_Live_Data!Z192</f>
        <v/>
      </c>
      <c r="D1418">
        <f>Dashboard_Live_Data!AA192</f>
        <v/>
      </c>
      <c r="E1418">
        <f>Dashboard_Live_Data!AB192</f>
        <v/>
      </c>
      <c r="F1418">
        <f>Dashboard_Live_Data!AC192</f>
        <v/>
      </c>
      <c r="G1418">
        <f>Dashboard_Live_Data!AD192</f>
        <v/>
      </c>
      <c r="H1418">
        <f>Dashboard_Live_Data!AE192</f>
        <v/>
      </c>
    </row>
    <row r="1419">
      <c r="A1419">
        <f>Dashboard_Live_Data!X193</f>
        <v/>
      </c>
      <c r="B1419">
        <f>Dashboard_Live_Data!Y193</f>
        <v/>
      </c>
      <c r="C1419">
        <f>Dashboard_Live_Data!Z193</f>
        <v/>
      </c>
      <c r="D1419">
        <f>Dashboard_Live_Data!AA193</f>
        <v/>
      </c>
      <c r="E1419">
        <f>Dashboard_Live_Data!AB193</f>
        <v/>
      </c>
      <c r="F1419">
        <f>Dashboard_Live_Data!AC193</f>
        <v/>
      </c>
      <c r="G1419">
        <f>Dashboard_Live_Data!AD193</f>
        <v/>
      </c>
      <c r="H1419">
        <f>Dashboard_Live_Data!AE193</f>
        <v/>
      </c>
    </row>
    <row r="1420">
      <c r="A1420">
        <f>Dashboard_Live_Data!X194</f>
        <v/>
      </c>
      <c r="B1420">
        <f>Dashboard_Live_Data!Y194</f>
        <v/>
      </c>
      <c r="C1420">
        <f>Dashboard_Live_Data!Z194</f>
        <v/>
      </c>
      <c r="D1420">
        <f>Dashboard_Live_Data!AA194</f>
        <v/>
      </c>
      <c r="E1420">
        <f>Dashboard_Live_Data!AB194</f>
        <v/>
      </c>
      <c r="F1420">
        <f>Dashboard_Live_Data!AC194</f>
        <v/>
      </c>
      <c r="G1420">
        <f>Dashboard_Live_Data!AD194</f>
        <v/>
      </c>
      <c r="H1420">
        <f>Dashboard_Live_Data!AE194</f>
        <v/>
      </c>
    </row>
    <row r="1421">
      <c r="A1421">
        <f>Dashboard_Live_Data!X195</f>
        <v/>
      </c>
      <c r="B1421">
        <f>Dashboard_Live_Data!Y195</f>
        <v/>
      </c>
      <c r="C1421">
        <f>Dashboard_Live_Data!Z195</f>
        <v/>
      </c>
      <c r="D1421">
        <f>Dashboard_Live_Data!AA195</f>
        <v/>
      </c>
      <c r="E1421">
        <f>Dashboard_Live_Data!AB195</f>
        <v/>
      </c>
      <c r="F1421">
        <f>Dashboard_Live_Data!AC195</f>
        <v/>
      </c>
      <c r="G1421">
        <f>Dashboard_Live_Data!AD195</f>
        <v/>
      </c>
      <c r="H1421">
        <f>Dashboard_Live_Data!AE195</f>
        <v/>
      </c>
    </row>
    <row r="1422">
      <c r="A1422">
        <f>Dashboard_Live_Data!X196</f>
        <v/>
      </c>
      <c r="B1422">
        <f>Dashboard_Live_Data!Y196</f>
        <v/>
      </c>
      <c r="C1422">
        <f>Dashboard_Live_Data!Z196</f>
        <v/>
      </c>
      <c r="D1422">
        <f>Dashboard_Live_Data!AA196</f>
        <v/>
      </c>
      <c r="E1422">
        <f>Dashboard_Live_Data!AB196</f>
        <v/>
      </c>
      <c r="F1422">
        <f>Dashboard_Live_Data!AC196</f>
        <v/>
      </c>
      <c r="G1422">
        <f>Dashboard_Live_Data!AD196</f>
        <v/>
      </c>
      <c r="H1422">
        <f>Dashboard_Live_Data!AE196</f>
        <v/>
      </c>
    </row>
    <row r="1423">
      <c r="A1423">
        <f>Dashboard_Live_Data!X197</f>
        <v/>
      </c>
      <c r="B1423">
        <f>Dashboard_Live_Data!Y197</f>
        <v/>
      </c>
      <c r="C1423">
        <f>Dashboard_Live_Data!Z197</f>
        <v/>
      </c>
      <c r="D1423">
        <f>Dashboard_Live_Data!AA197</f>
        <v/>
      </c>
      <c r="E1423">
        <f>Dashboard_Live_Data!AB197</f>
        <v/>
      </c>
      <c r="F1423">
        <f>Dashboard_Live_Data!AC197</f>
        <v/>
      </c>
      <c r="G1423">
        <f>Dashboard_Live_Data!AD197</f>
        <v/>
      </c>
      <c r="H1423">
        <f>Dashboard_Live_Data!AE197</f>
        <v/>
      </c>
    </row>
    <row r="1424">
      <c r="A1424">
        <f>Dashboard_Live_Data!X198</f>
        <v/>
      </c>
      <c r="B1424">
        <f>Dashboard_Live_Data!Y198</f>
        <v/>
      </c>
      <c r="C1424">
        <f>Dashboard_Live_Data!Z198</f>
        <v/>
      </c>
      <c r="D1424">
        <f>Dashboard_Live_Data!AA198</f>
        <v/>
      </c>
      <c r="E1424">
        <f>Dashboard_Live_Data!AB198</f>
        <v/>
      </c>
      <c r="F1424">
        <f>Dashboard_Live_Data!AC198</f>
        <v/>
      </c>
      <c r="G1424">
        <f>Dashboard_Live_Data!AD198</f>
        <v/>
      </c>
      <c r="H1424">
        <f>Dashboard_Live_Data!AE198</f>
        <v/>
      </c>
    </row>
    <row r="1425">
      <c r="A1425">
        <f>Dashboard_Live_Data!X199</f>
        <v/>
      </c>
      <c r="B1425">
        <f>Dashboard_Live_Data!Y199</f>
        <v/>
      </c>
      <c r="C1425">
        <f>Dashboard_Live_Data!Z199</f>
        <v/>
      </c>
      <c r="D1425">
        <f>Dashboard_Live_Data!AA199</f>
        <v/>
      </c>
      <c r="E1425">
        <f>Dashboard_Live_Data!AB199</f>
        <v/>
      </c>
      <c r="F1425">
        <f>Dashboard_Live_Data!AC199</f>
        <v/>
      </c>
      <c r="G1425">
        <f>Dashboard_Live_Data!AD199</f>
        <v/>
      </c>
      <c r="H1425">
        <f>Dashboard_Live_Data!AE199</f>
        <v/>
      </c>
    </row>
    <row r="1426">
      <c r="A1426">
        <f>Dashboard_Live_Data!X200</f>
        <v/>
      </c>
      <c r="B1426">
        <f>Dashboard_Live_Data!Y200</f>
        <v/>
      </c>
      <c r="C1426">
        <f>Dashboard_Live_Data!Z200</f>
        <v/>
      </c>
      <c r="D1426">
        <f>Dashboard_Live_Data!AA200</f>
        <v/>
      </c>
      <c r="E1426">
        <f>Dashboard_Live_Data!AB200</f>
        <v/>
      </c>
      <c r="F1426">
        <f>Dashboard_Live_Data!AC200</f>
        <v/>
      </c>
      <c r="G1426">
        <f>Dashboard_Live_Data!AD200</f>
        <v/>
      </c>
      <c r="H1426">
        <f>Dashboard_Live_Data!AE200</f>
        <v/>
      </c>
    </row>
    <row r="1427">
      <c r="A1427">
        <f>Dashboard_Live_Data!X201</f>
        <v/>
      </c>
      <c r="B1427">
        <f>Dashboard_Live_Data!Y201</f>
        <v/>
      </c>
      <c r="C1427">
        <f>Dashboard_Live_Data!Z201</f>
        <v/>
      </c>
      <c r="D1427">
        <f>Dashboard_Live_Data!AA201</f>
        <v/>
      </c>
      <c r="E1427">
        <f>Dashboard_Live_Data!AB201</f>
        <v/>
      </c>
      <c r="F1427">
        <f>Dashboard_Live_Data!AC201</f>
        <v/>
      </c>
      <c r="G1427">
        <f>Dashboard_Live_Data!AD201</f>
        <v/>
      </c>
      <c r="H1427">
        <f>Dashboard_Live_Data!AE201</f>
        <v/>
      </c>
    </row>
    <row r="1428">
      <c r="A1428">
        <f>Dashboard_Live_Data!X202</f>
        <v/>
      </c>
      <c r="B1428">
        <f>Dashboard_Live_Data!Y202</f>
        <v/>
      </c>
      <c r="C1428">
        <f>Dashboard_Live_Data!Z202</f>
        <v/>
      </c>
      <c r="D1428">
        <f>Dashboard_Live_Data!AA202</f>
        <v/>
      </c>
      <c r="E1428">
        <f>Dashboard_Live_Data!AB202</f>
        <v/>
      </c>
      <c r="F1428">
        <f>Dashboard_Live_Data!AC202</f>
        <v/>
      </c>
      <c r="G1428">
        <f>Dashboard_Live_Data!AD202</f>
        <v/>
      </c>
      <c r="H1428">
        <f>Dashboard_Live_Data!AE202</f>
        <v/>
      </c>
    </row>
    <row r="1429">
      <c r="A1429">
        <f>Dashboard_Live_Data!X203</f>
        <v/>
      </c>
      <c r="B1429">
        <f>Dashboard_Live_Data!Y203</f>
        <v/>
      </c>
      <c r="C1429">
        <f>Dashboard_Live_Data!Z203</f>
        <v/>
      </c>
      <c r="D1429">
        <f>Dashboard_Live_Data!AA203</f>
        <v/>
      </c>
      <c r="E1429">
        <f>Dashboard_Live_Data!AB203</f>
        <v/>
      </c>
      <c r="F1429">
        <f>Dashboard_Live_Data!AC203</f>
        <v/>
      </c>
      <c r="G1429">
        <f>Dashboard_Live_Data!AD203</f>
        <v/>
      </c>
      <c r="H1429">
        <f>Dashboard_Live_Data!AE203</f>
        <v/>
      </c>
    </row>
    <row r="1430">
      <c r="A1430">
        <f>Dashboard_Live_Data!X204</f>
        <v/>
      </c>
      <c r="B1430">
        <f>Dashboard_Live_Data!Y204</f>
        <v/>
      </c>
      <c r="C1430">
        <f>Dashboard_Live_Data!Z204</f>
        <v/>
      </c>
      <c r="D1430">
        <f>Dashboard_Live_Data!AA204</f>
        <v/>
      </c>
      <c r="E1430">
        <f>Dashboard_Live_Data!AB204</f>
        <v/>
      </c>
      <c r="F1430">
        <f>Dashboard_Live_Data!AC204</f>
        <v/>
      </c>
      <c r="G1430">
        <f>Dashboard_Live_Data!AD204</f>
        <v/>
      </c>
      <c r="H1430">
        <f>Dashboard_Live_Data!AE204</f>
        <v/>
      </c>
    </row>
    <row r="1431">
      <c r="A1431">
        <f>Dashboard_Live_Data!X205</f>
        <v/>
      </c>
      <c r="B1431">
        <f>Dashboard_Live_Data!Y205</f>
        <v/>
      </c>
      <c r="C1431">
        <f>Dashboard_Live_Data!Z205</f>
        <v/>
      </c>
      <c r="D1431">
        <f>Dashboard_Live_Data!AA205</f>
        <v/>
      </c>
      <c r="E1431">
        <f>Dashboard_Live_Data!AB205</f>
        <v/>
      </c>
      <c r="F1431">
        <f>Dashboard_Live_Data!AC205</f>
        <v/>
      </c>
      <c r="G1431">
        <f>Dashboard_Live_Data!AD205</f>
        <v/>
      </c>
      <c r="H1431">
        <f>Dashboard_Live_Data!AE205</f>
        <v/>
      </c>
    </row>
    <row r="1432">
      <c r="A1432">
        <f>Dashboard_Live_Data!X206</f>
        <v/>
      </c>
      <c r="B1432">
        <f>Dashboard_Live_Data!Y206</f>
        <v/>
      </c>
      <c r="C1432">
        <f>Dashboard_Live_Data!Z206</f>
        <v/>
      </c>
      <c r="D1432">
        <f>Dashboard_Live_Data!AA206</f>
        <v/>
      </c>
      <c r="E1432">
        <f>Dashboard_Live_Data!AB206</f>
        <v/>
      </c>
      <c r="F1432">
        <f>Dashboard_Live_Data!AC206</f>
        <v/>
      </c>
      <c r="G1432">
        <f>Dashboard_Live_Data!AD206</f>
        <v/>
      </c>
      <c r="H1432">
        <f>Dashboard_Live_Data!AE206</f>
        <v/>
      </c>
    </row>
    <row r="1433">
      <c r="A1433">
        <f>Dashboard_Live_Data!X207</f>
        <v/>
      </c>
      <c r="B1433">
        <f>Dashboard_Live_Data!Y207</f>
        <v/>
      </c>
      <c r="C1433">
        <f>Dashboard_Live_Data!Z207</f>
        <v/>
      </c>
      <c r="D1433">
        <f>Dashboard_Live_Data!AA207</f>
        <v/>
      </c>
      <c r="E1433">
        <f>Dashboard_Live_Data!AB207</f>
        <v/>
      </c>
      <c r="F1433">
        <f>Dashboard_Live_Data!AC207</f>
        <v/>
      </c>
      <c r="G1433">
        <f>Dashboard_Live_Data!AD207</f>
        <v/>
      </c>
      <c r="H1433">
        <f>Dashboard_Live_Data!AE207</f>
        <v/>
      </c>
    </row>
    <row r="1434">
      <c r="A1434">
        <f>Dashboard_Live_Data!X208</f>
        <v/>
      </c>
      <c r="B1434">
        <f>Dashboard_Live_Data!Y208</f>
        <v/>
      </c>
      <c r="C1434">
        <f>Dashboard_Live_Data!Z208</f>
        <v/>
      </c>
      <c r="D1434">
        <f>Dashboard_Live_Data!AA208</f>
        <v/>
      </c>
      <c r="E1434">
        <f>Dashboard_Live_Data!AB208</f>
        <v/>
      </c>
      <c r="F1434">
        <f>Dashboard_Live_Data!AC208</f>
        <v/>
      </c>
      <c r="G1434">
        <f>Dashboard_Live_Data!AD208</f>
        <v/>
      </c>
      <c r="H1434">
        <f>Dashboard_Live_Data!AE208</f>
        <v/>
      </c>
    </row>
    <row r="1435">
      <c r="A1435">
        <f>Dashboard_Live_Data!X209</f>
        <v/>
      </c>
      <c r="B1435">
        <f>Dashboard_Live_Data!Y209</f>
        <v/>
      </c>
      <c r="C1435">
        <f>Dashboard_Live_Data!Z209</f>
        <v/>
      </c>
      <c r="D1435">
        <f>Dashboard_Live_Data!AA209</f>
        <v/>
      </c>
      <c r="E1435">
        <f>Dashboard_Live_Data!AB209</f>
        <v/>
      </c>
      <c r="F1435">
        <f>Dashboard_Live_Data!AC209</f>
        <v/>
      </c>
      <c r="G1435">
        <f>Dashboard_Live_Data!AD209</f>
        <v/>
      </c>
      <c r="H1435">
        <f>Dashboard_Live_Data!AE209</f>
        <v/>
      </c>
    </row>
    <row r="1436">
      <c r="A1436">
        <f>Dashboard_Live_Data!X210</f>
        <v/>
      </c>
      <c r="B1436">
        <f>Dashboard_Live_Data!Y210</f>
        <v/>
      </c>
      <c r="C1436">
        <f>Dashboard_Live_Data!Z210</f>
        <v/>
      </c>
      <c r="D1436">
        <f>Dashboard_Live_Data!AA210</f>
        <v/>
      </c>
      <c r="E1436">
        <f>Dashboard_Live_Data!AB210</f>
        <v/>
      </c>
      <c r="F1436">
        <f>Dashboard_Live_Data!AC210</f>
        <v/>
      </c>
      <c r="G1436">
        <f>Dashboard_Live_Data!AD210</f>
        <v/>
      </c>
      <c r="H1436">
        <f>Dashboard_Live_Data!AE210</f>
        <v/>
      </c>
    </row>
    <row r="1437">
      <c r="A1437">
        <f>Dashboard_Live_Data!X211</f>
        <v/>
      </c>
      <c r="B1437">
        <f>Dashboard_Live_Data!Y211</f>
        <v/>
      </c>
      <c r="C1437">
        <f>Dashboard_Live_Data!Z211</f>
        <v/>
      </c>
      <c r="D1437">
        <f>Dashboard_Live_Data!AA211</f>
        <v/>
      </c>
      <c r="E1437">
        <f>Dashboard_Live_Data!AB211</f>
        <v/>
      </c>
      <c r="F1437">
        <f>Dashboard_Live_Data!AC211</f>
        <v/>
      </c>
      <c r="G1437">
        <f>Dashboard_Live_Data!AD211</f>
        <v/>
      </c>
      <c r="H1437">
        <f>Dashboard_Live_Data!AE211</f>
        <v/>
      </c>
    </row>
    <row r="1438">
      <c r="A1438">
        <f>Dashboard_Live_Data!X212</f>
        <v/>
      </c>
      <c r="B1438">
        <f>Dashboard_Live_Data!Y212</f>
        <v/>
      </c>
      <c r="C1438">
        <f>Dashboard_Live_Data!Z212</f>
        <v/>
      </c>
      <c r="D1438">
        <f>Dashboard_Live_Data!AA212</f>
        <v/>
      </c>
      <c r="E1438">
        <f>Dashboard_Live_Data!AB212</f>
        <v/>
      </c>
      <c r="F1438">
        <f>Dashboard_Live_Data!AC212</f>
        <v/>
      </c>
      <c r="G1438">
        <f>Dashboard_Live_Data!AD212</f>
        <v/>
      </c>
      <c r="H1438">
        <f>Dashboard_Live_Data!AE212</f>
        <v/>
      </c>
    </row>
    <row r="1439">
      <c r="A1439">
        <f>Dashboard_Live_Data!X213</f>
        <v/>
      </c>
      <c r="B1439">
        <f>Dashboard_Live_Data!Y213</f>
        <v/>
      </c>
      <c r="C1439">
        <f>Dashboard_Live_Data!Z213</f>
        <v/>
      </c>
      <c r="D1439">
        <f>Dashboard_Live_Data!AA213</f>
        <v/>
      </c>
      <c r="E1439">
        <f>Dashboard_Live_Data!AB213</f>
        <v/>
      </c>
      <c r="F1439">
        <f>Dashboard_Live_Data!AC213</f>
        <v/>
      </c>
      <c r="G1439">
        <f>Dashboard_Live_Data!AD213</f>
        <v/>
      </c>
      <c r="H1439">
        <f>Dashboard_Live_Data!AE213</f>
        <v/>
      </c>
    </row>
    <row r="1440">
      <c r="A1440">
        <f>Dashboard_Live_Data!X214</f>
        <v/>
      </c>
      <c r="B1440">
        <f>Dashboard_Live_Data!Y214</f>
        <v/>
      </c>
      <c r="C1440">
        <f>Dashboard_Live_Data!Z214</f>
        <v/>
      </c>
      <c r="D1440">
        <f>Dashboard_Live_Data!AA214</f>
        <v/>
      </c>
      <c r="E1440">
        <f>Dashboard_Live_Data!AB214</f>
        <v/>
      </c>
      <c r="F1440">
        <f>Dashboard_Live_Data!AC214</f>
        <v/>
      </c>
      <c r="G1440">
        <f>Dashboard_Live_Data!AD214</f>
        <v/>
      </c>
      <c r="H1440">
        <f>Dashboard_Live_Data!AE214</f>
        <v/>
      </c>
    </row>
    <row r="1441">
      <c r="A1441">
        <f>Dashboard_Live_Data!X215</f>
        <v/>
      </c>
      <c r="B1441">
        <f>Dashboard_Live_Data!Y215</f>
        <v/>
      </c>
      <c r="C1441">
        <f>Dashboard_Live_Data!Z215</f>
        <v/>
      </c>
      <c r="D1441">
        <f>Dashboard_Live_Data!AA215</f>
        <v/>
      </c>
      <c r="E1441">
        <f>Dashboard_Live_Data!AB215</f>
        <v/>
      </c>
      <c r="F1441">
        <f>Dashboard_Live_Data!AC215</f>
        <v/>
      </c>
      <c r="G1441">
        <f>Dashboard_Live_Data!AD215</f>
        <v/>
      </c>
      <c r="H1441">
        <f>Dashboard_Live_Data!AE215</f>
        <v/>
      </c>
    </row>
    <row r="1442">
      <c r="A1442">
        <f>Dashboard_Live_Data!X216</f>
        <v/>
      </c>
      <c r="B1442">
        <f>Dashboard_Live_Data!Y216</f>
        <v/>
      </c>
      <c r="C1442">
        <f>Dashboard_Live_Data!Z216</f>
        <v/>
      </c>
      <c r="D1442">
        <f>Dashboard_Live_Data!AA216</f>
        <v/>
      </c>
      <c r="E1442">
        <f>Dashboard_Live_Data!AB216</f>
        <v/>
      </c>
      <c r="F1442">
        <f>Dashboard_Live_Data!AC216</f>
        <v/>
      </c>
      <c r="G1442">
        <f>Dashboard_Live_Data!AD216</f>
        <v/>
      </c>
      <c r="H1442">
        <f>Dashboard_Live_Data!AE216</f>
        <v/>
      </c>
    </row>
    <row r="1443">
      <c r="A1443">
        <f>Dashboard_Live_Data!X217</f>
        <v/>
      </c>
      <c r="B1443">
        <f>Dashboard_Live_Data!Y217</f>
        <v/>
      </c>
      <c r="C1443">
        <f>Dashboard_Live_Data!Z217</f>
        <v/>
      </c>
      <c r="D1443">
        <f>Dashboard_Live_Data!AA217</f>
        <v/>
      </c>
      <c r="E1443">
        <f>Dashboard_Live_Data!AB217</f>
        <v/>
      </c>
      <c r="F1443">
        <f>Dashboard_Live_Data!AC217</f>
        <v/>
      </c>
      <c r="G1443">
        <f>Dashboard_Live_Data!AD217</f>
        <v/>
      </c>
      <c r="H1443">
        <f>Dashboard_Live_Data!AE217</f>
        <v/>
      </c>
    </row>
    <row r="1444">
      <c r="A1444">
        <f>Dashboard_Live_Data!X218</f>
        <v/>
      </c>
      <c r="B1444">
        <f>Dashboard_Live_Data!Y218</f>
        <v/>
      </c>
      <c r="C1444">
        <f>Dashboard_Live_Data!Z218</f>
        <v/>
      </c>
      <c r="D1444">
        <f>Dashboard_Live_Data!AA218</f>
        <v/>
      </c>
      <c r="E1444">
        <f>Dashboard_Live_Data!AB218</f>
        <v/>
      </c>
      <c r="F1444">
        <f>Dashboard_Live_Data!AC218</f>
        <v/>
      </c>
      <c r="G1444">
        <f>Dashboard_Live_Data!AD218</f>
        <v/>
      </c>
      <c r="H1444">
        <f>Dashboard_Live_Data!AE218</f>
        <v/>
      </c>
    </row>
    <row r="1445">
      <c r="A1445">
        <f>Dashboard_Live_Data!X219</f>
        <v/>
      </c>
      <c r="B1445">
        <f>Dashboard_Live_Data!Y219</f>
        <v/>
      </c>
      <c r="C1445">
        <f>Dashboard_Live_Data!Z219</f>
        <v/>
      </c>
      <c r="D1445">
        <f>Dashboard_Live_Data!AA219</f>
        <v/>
      </c>
      <c r="E1445">
        <f>Dashboard_Live_Data!AB219</f>
        <v/>
      </c>
      <c r="F1445">
        <f>Dashboard_Live_Data!AC219</f>
        <v/>
      </c>
      <c r="G1445">
        <f>Dashboard_Live_Data!AD219</f>
        <v/>
      </c>
      <c r="H1445">
        <f>Dashboard_Live_Data!AE219</f>
        <v/>
      </c>
    </row>
    <row r="1446">
      <c r="A1446">
        <f>Dashboard_Live_Data!X220</f>
        <v/>
      </c>
      <c r="B1446">
        <f>Dashboard_Live_Data!Y220</f>
        <v/>
      </c>
      <c r="C1446">
        <f>Dashboard_Live_Data!Z220</f>
        <v/>
      </c>
      <c r="D1446">
        <f>Dashboard_Live_Data!AA220</f>
        <v/>
      </c>
      <c r="E1446">
        <f>Dashboard_Live_Data!AB220</f>
        <v/>
      </c>
      <c r="F1446">
        <f>Dashboard_Live_Data!AC220</f>
        <v/>
      </c>
      <c r="G1446">
        <f>Dashboard_Live_Data!AD220</f>
        <v/>
      </c>
      <c r="H1446">
        <f>Dashboard_Live_Data!AE220</f>
        <v/>
      </c>
    </row>
    <row r="1447">
      <c r="A1447">
        <f>Dashboard_Live_Data!X221</f>
        <v/>
      </c>
      <c r="B1447">
        <f>Dashboard_Live_Data!Y221</f>
        <v/>
      </c>
      <c r="C1447">
        <f>Dashboard_Live_Data!Z221</f>
        <v/>
      </c>
      <c r="D1447">
        <f>Dashboard_Live_Data!AA221</f>
        <v/>
      </c>
      <c r="E1447">
        <f>Dashboard_Live_Data!AB221</f>
        <v/>
      </c>
      <c r="F1447">
        <f>Dashboard_Live_Data!AC221</f>
        <v/>
      </c>
      <c r="G1447">
        <f>Dashboard_Live_Data!AD221</f>
        <v/>
      </c>
      <c r="H1447">
        <f>Dashboard_Live_Data!AE221</f>
        <v/>
      </c>
    </row>
    <row r="1448">
      <c r="A1448">
        <f>Dashboard_Live_Data!X222</f>
        <v/>
      </c>
      <c r="B1448">
        <f>Dashboard_Live_Data!Y222</f>
        <v/>
      </c>
      <c r="C1448">
        <f>Dashboard_Live_Data!Z222</f>
        <v/>
      </c>
      <c r="D1448">
        <f>Dashboard_Live_Data!AA222</f>
        <v/>
      </c>
      <c r="E1448">
        <f>Dashboard_Live_Data!AB222</f>
        <v/>
      </c>
      <c r="F1448">
        <f>Dashboard_Live_Data!AC222</f>
        <v/>
      </c>
      <c r="G1448">
        <f>Dashboard_Live_Data!AD222</f>
        <v/>
      </c>
      <c r="H1448">
        <f>Dashboard_Live_Data!AE222</f>
        <v/>
      </c>
    </row>
    <row r="1449">
      <c r="A1449">
        <f>Dashboard_Live_Data!X223</f>
        <v/>
      </c>
      <c r="B1449">
        <f>Dashboard_Live_Data!Y223</f>
        <v/>
      </c>
      <c r="C1449">
        <f>Dashboard_Live_Data!Z223</f>
        <v/>
      </c>
      <c r="D1449">
        <f>Dashboard_Live_Data!AA223</f>
        <v/>
      </c>
      <c r="E1449">
        <f>Dashboard_Live_Data!AB223</f>
        <v/>
      </c>
      <c r="F1449">
        <f>Dashboard_Live_Data!AC223</f>
        <v/>
      </c>
      <c r="G1449">
        <f>Dashboard_Live_Data!AD223</f>
        <v/>
      </c>
      <c r="H1449">
        <f>Dashboard_Live_Data!AE223</f>
        <v/>
      </c>
    </row>
    <row r="1450">
      <c r="A1450">
        <f>Dashboard_Live_Data!X224</f>
        <v/>
      </c>
      <c r="B1450">
        <f>Dashboard_Live_Data!Y224</f>
        <v/>
      </c>
      <c r="C1450">
        <f>Dashboard_Live_Data!Z224</f>
        <v/>
      </c>
      <c r="D1450">
        <f>Dashboard_Live_Data!AA224</f>
        <v/>
      </c>
      <c r="E1450">
        <f>Dashboard_Live_Data!AB224</f>
        <v/>
      </c>
      <c r="F1450">
        <f>Dashboard_Live_Data!AC224</f>
        <v/>
      </c>
      <c r="G1450">
        <f>Dashboard_Live_Data!AD224</f>
        <v/>
      </c>
      <c r="H1450">
        <f>Dashboard_Live_Data!AE224</f>
        <v/>
      </c>
    </row>
    <row r="1451">
      <c r="A1451">
        <f>Dashboard_Live_Data!X225</f>
        <v/>
      </c>
      <c r="B1451">
        <f>Dashboard_Live_Data!Y225</f>
        <v/>
      </c>
      <c r="C1451">
        <f>Dashboard_Live_Data!Z225</f>
        <v/>
      </c>
      <c r="D1451">
        <f>Dashboard_Live_Data!AA225</f>
        <v/>
      </c>
      <c r="E1451">
        <f>Dashboard_Live_Data!AB225</f>
        <v/>
      </c>
      <c r="F1451">
        <f>Dashboard_Live_Data!AC225</f>
        <v/>
      </c>
      <c r="G1451">
        <f>Dashboard_Live_Data!AD225</f>
        <v/>
      </c>
      <c r="H1451">
        <f>Dashboard_Live_Data!AE225</f>
        <v/>
      </c>
    </row>
    <row r="1452">
      <c r="A1452">
        <f>Dashboard_Live_Data!X226</f>
        <v/>
      </c>
      <c r="B1452">
        <f>Dashboard_Live_Data!Y226</f>
        <v/>
      </c>
      <c r="C1452">
        <f>Dashboard_Live_Data!Z226</f>
        <v/>
      </c>
      <c r="D1452">
        <f>Dashboard_Live_Data!AA226</f>
        <v/>
      </c>
      <c r="E1452">
        <f>Dashboard_Live_Data!AB226</f>
        <v/>
      </c>
      <c r="F1452">
        <f>Dashboard_Live_Data!AC226</f>
        <v/>
      </c>
      <c r="G1452">
        <f>Dashboard_Live_Data!AD226</f>
        <v/>
      </c>
      <c r="H1452">
        <f>Dashboard_Live_Data!AE226</f>
        <v/>
      </c>
    </row>
    <row r="1453">
      <c r="A1453">
        <f>Dashboard_Live_Data!X227</f>
        <v/>
      </c>
      <c r="B1453">
        <f>Dashboard_Live_Data!Y227</f>
        <v/>
      </c>
      <c r="C1453">
        <f>Dashboard_Live_Data!Z227</f>
        <v/>
      </c>
      <c r="D1453">
        <f>Dashboard_Live_Data!AA227</f>
        <v/>
      </c>
      <c r="E1453">
        <f>Dashboard_Live_Data!AB227</f>
        <v/>
      </c>
      <c r="F1453">
        <f>Dashboard_Live_Data!AC227</f>
        <v/>
      </c>
      <c r="G1453">
        <f>Dashboard_Live_Data!AD227</f>
        <v/>
      </c>
      <c r="H1453">
        <f>Dashboard_Live_Data!AE227</f>
        <v/>
      </c>
    </row>
    <row r="1454">
      <c r="A1454">
        <f>Dashboard_Live_Data!X228</f>
        <v/>
      </c>
      <c r="B1454">
        <f>Dashboard_Live_Data!Y228</f>
        <v/>
      </c>
      <c r="C1454">
        <f>Dashboard_Live_Data!Z228</f>
        <v/>
      </c>
      <c r="D1454">
        <f>Dashboard_Live_Data!AA228</f>
        <v/>
      </c>
      <c r="E1454">
        <f>Dashboard_Live_Data!AB228</f>
        <v/>
      </c>
      <c r="F1454">
        <f>Dashboard_Live_Data!AC228</f>
        <v/>
      </c>
      <c r="G1454">
        <f>Dashboard_Live_Data!AD228</f>
        <v/>
      </c>
      <c r="H1454">
        <f>Dashboard_Live_Data!AE228</f>
        <v/>
      </c>
    </row>
    <row r="1455">
      <c r="A1455">
        <f>Dashboard_Live_Data!X229</f>
        <v/>
      </c>
      <c r="B1455">
        <f>Dashboard_Live_Data!Y229</f>
        <v/>
      </c>
      <c r="C1455">
        <f>Dashboard_Live_Data!Z229</f>
        <v/>
      </c>
      <c r="D1455">
        <f>Dashboard_Live_Data!AA229</f>
        <v/>
      </c>
      <c r="E1455">
        <f>Dashboard_Live_Data!AB229</f>
        <v/>
      </c>
      <c r="F1455">
        <f>Dashboard_Live_Data!AC229</f>
        <v/>
      </c>
      <c r="G1455">
        <f>Dashboard_Live_Data!AD229</f>
        <v/>
      </c>
      <c r="H1455">
        <f>Dashboard_Live_Data!AE229</f>
        <v/>
      </c>
    </row>
    <row r="1456">
      <c r="A1456">
        <f>Dashboard_Live_Data!X230</f>
        <v/>
      </c>
      <c r="B1456">
        <f>Dashboard_Live_Data!Y230</f>
        <v/>
      </c>
      <c r="C1456">
        <f>Dashboard_Live_Data!Z230</f>
        <v/>
      </c>
      <c r="D1456">
        <f>Dashboard_Live_Data!AA230</f>
        <v/>
      </c>
      <c r="E1456">
        <f>Dashboard_Live_Data!AB230</f>
        <v/>
      </c>
      <c r="F1456">
        <f>Dashboard_Live_Data!AC230</f>
        <v/>
      </c>
      <c r="G1456">
        <f>Dashboard_Live_Data!AD230</f>
        <v/>
      </c>
      <c r="H1456">
        <f>Dashboard_Live_Data!AE230</f>
        <v/>
      </c>
    </row>
    <row r="1457">
      <c r="A1457">
        <f>Dashboard_Live_Data!X231</f>
        <v/>
      </c>
      <c r="B1457">
        <f>Dashboard_Live_Data!Y231</f>
        <v/>
      </c>
      <c r="C1457">
        <f>Dashboard_Live_Data!Z231</f>
        <v/>
      </c>
      <c r="D1457">
        <f>Dashboard_Live_Data!AA231</f>
        <v/>
      </c>
      <c r="E1457">
        <f>Dashboard_Live_Data!AB231</f>
        <v/>
      </c>
      <c r="F1457">
        <f>Dashboard_Live_Data!AC231</f>
        <v/>
      </c>
      <c r="G1457">
        <f>Dashboard_Live_Data!AD231</f>
        <v/>
      </c>
      <c r="H1457">
        <f>Dashboard_Live_Data!AE231</f>
        <v/>
      </c>
    </row>
    <row r="1458">
      <c r="A1458">
        <f>Dashboard_Live_Data!X232</f>
        <v/>
      </c>
      <c r="B1458">
        <f>Dashboard_Live_Data!Y232</f>
        <v/>
      </c>
      <c r="C1458">
        <f>Dashboard_Live_Data!Z232</f>
        <v/>
      </c>
      <c r="D1458">
        <f>Dashboard_Live_Data!AA232</f>
        <v/>
      </c>
      <c r="E1458">
        <f>Dashboard_Live_Data!AB232</f>
        <v/>
      </c>
      <c r="F1458">
        <f>Dashboard_Live_Data!AC232</f>
        <v/>
      </c>
      <c r="G1458">
        <f>Dashboard_Live_Data!AD232</f>
        <v/>
      </c>
      <c r="H1458">
        <f>Dashboard_Live_Data!AE232</f>
        <v/>
      </c>
    </row>
    <row r="1459">
      <c r="A1459">
        <f>Dashboard_Live_Data!X233</f>
        <v/>
      </c>
      <c r="B1459">
        <f>Dashboard_Live_Data!Y233</f>
        <v/>
      </c>
      <c r="C1459">
        <f>Dashboard_Live_Data!Z233</f>
        <v/>
      </c>
      <c r="D1459">
        <f>Dashboard_Live_Data!AA233</f>
        <v/>
      </c>
      <c r="E1459">
        <f>Dashboard_Live_Data!AB233</f>
        <v/>
      </c>
      <c r="F1459">
        <f>Dashboard_Live_Data!AC233</f>
        <v/>
      </c>
      <c r="G1459">
        <f>Dashboard_Live_Data!AD233</f>
        <v/>
      </c>
      <c r="H1459">
        <f>Dashboard_Live_Data!AE233</f>
        <v/>
      </c>
    </row>
    <row r="1460">
      <c r="A1460">
        <f>Dashboard_Live_Data!X234</f>
        <v/>
      </c>
      <c r="B1460">
        <f>Dashboard_Live_Data!Y234</f>
        <v/>
      </c>
      <c r="C1460">
        <f>Dashboard_Live_Data!Z234</f>
        <v/>
      </c>
      <c r="D1460">
        <f>Dashboard_Live_Data!AA234</f>
        <v/>
      </c>
      <c r="E1460">
        <f>Dashboard_Live_Data!AB234</f>
        <v/>
      </c>
      <c r="F1460">
        <f>Dashboard_Live_Data!AC234</f>
        <v/>
      </c>
      <c r="G1460">
        <f>Dashboard_Live_Data!AD234</f>
        <v/>
      </c>
      <c r="H1460">
        <f>Dashboard_Live_Data!AE234</f>
        <v/>
      </c>
    </row>
    <row r="1461">
      <c r="A1461">
        <f>Dashboard_Live_Data!X235</f>
        <v/>
      </c>
      <c r="B1461">
        <f>Dashboard_Live_Data!Y235</f>
        <v/>
      </c>
      <c r="C1461">
        <f>Dashboard_Live_Data!Z235</f>
        <v/>
      </c>
      <c r="D1461">
        <f>Dashboard_Live_Data!AA235</f>
        <v/>
      </c>
      <c r="E1461">
        <f>Dashboard_Live_Data!AB235</f>
        <v/>
      </c>
      <c r="F1461">
        <f>Dashboard_Live_Data!AC235</f>
        <v/>
      </c>
      <c r="G1461">
        <f>Dashboard_Live_Data!AD235</f>
        <v/>
      </c>
      <c r="H1461">
        <f>Dashboard_Live_Data!AE235</f>
        <v/>
      </c>
    </row>
    <row r="1462">
      <c r="A1462">
        <f>Dashboard_Live_Data!X236</f>
        <v/>
      </c>
      <c r="B1462">
        <f>Dashboard_Live_Data!Y236</f>
        <v/>
      </c>
      <c r="C1462">
        <f>Dashboard_Live_Data!Z236</f>
        <v/>
      </c>
      <c r="D1462">
        <f>Dashboard_Live_Data!AA236</f>
        <v/>
      </c>
      <c r="E1462">
        <f>Dashboard_Live_Data!AB236</f>
        <v/>
      </c>
      <c r="F1462">
        <f>Dashboard_Live_Data!AC236</f>
        <v/>
      </c>
      <c r="G1462">
        <f>Dashboard_Live_Data!AD236</f>
        <v/>
      </c>
      <c r="H1462">
        <f>Dashboard_Live_Data!AE236</f>
        <v/>
      </c>
    </row>
    <row r="1463">
      <c r="A1463">
        <f>Dashboard_Live_Data!X237</f>
        <v/>
      </c>
      <c r="B1463">
        <f>Dashboard_Live_Data!Y237</f>
        <v/>
      </c>
      <c r="C1463">
        <f>Dashboard_Live_Data!Z237</f>
        <v/>
      </c>
      <c r="D1463">
        <f>Dashboard_Live_Data!AA237</f>
        <v/>
      </c>
      <c r="E1463">
        <f>Dashboard_Live_Data!AB237</f>
        <v/>
      </c>
      <c r="F1463">
        <f>Dashboard_Live_Data!AC237</f>
        <v/>
      </c>
      <c r="G1463">
        <f>Dashboard_Live_Data!AD237</f>
        <v/>
      </c>
      <c r="H1463">
        <f>Dashboard_Live_Data!AE237</f>
        <v/>
      </c>
    </row>
    <row r="1464">
      <c r="A1464">
        <f>Dashboard_Live_Data!X238</f>
        <v/>
      </c>
      <c r="B1464">
        <f>Dashboard_Live_Data!Y238</f>
        <v/>
      </c>
      <c r="C1464">
        <f>Dashboard_Live_Data!Z238</f>
        <v/>
      </c>
      <c r="D1464">
        <f>Dashboard_Live_Data!AA238</f>
        <v/>
      </c>
      <c r="E1464">
        <f>Dashboard_Live_Data!AB238</f>
        <v/>
      </c>
      <c r="F1464">
        <f>Dashboard_Live_Data!AC238</f>
        <v/>
      </c>
      <c r="G1464">
        <f>Dashboard_Live_Data!AD238</f>
        <v/>
      </c>
      <c r="H1464">
        <f>Dashboard_Live_Data!AE238</f>
        <v/>
      </c>
    </row>
    <row r="1465">
      <c r="A1465">
        <f>Dashboard_Live_Data!X239</f>
        <v/>
      </c>
      <c r="B1465">
        <f>Dashboard_Live_Data!Y239</f>
        <v/>
      </c>
      <c r="C1465">
        <f>Dashboard_Live_Data!Z239</f>
        <v/>
      </c>
      <c r="D1465">
        <f>Dashboard_Live_Data!AA239</f>
        <v/>
      </c>
      <c r="E1465">
        <f>Dashboard_Live_Data!AB239</f>
        <v/>
      </c>
      <c r="F1465">
        <f>Dashboard_Live_Data!AC239</f>
        <v/>
      </c>
      <c r="G1465">
        <f>Dashboard_Live_Data!AD239</f>
        <v/>
      </c>
      <c r="H1465">
        <f>Dashboard_Live_Data!AE239</f>
        <v/>
      </c>
    </row>
    <row r="1466">
      <c r="A1466">
        <f>Dashboard_Live_Data!X240</f>
        <v/>
      </c>
      <c r="B1466">
        <f>Dashboard_Live_Data!Y240</f>
        <v/>
      </c>
      <c r="C1466">
        <f>Dashboard_Live_Data!Z240</f>
        <v/>
      </c>
      <c r="D1466">
        <f>Dashboard_Live_Data!AA240</f>
        <v/>
      </c>
      <c r="E1466">
        <f>Dashboard_Live_Data!AB240</f>
        <v/>
      </c>
      <c r="F1466">
        <f>Dashboard_Live_Data!AC240</f>
        <v/>
      </c>
      <c r="G1466">
        <f>Dashboard_Live_Data!AD240</f>
        <v/>
      </c>
      <c r="H1466">
        <f>Dashboard_Live_Data!AE240</f>
        <v/>
      </c>
    </row>
    <row r="1467">
      <c r="A1467">
        <f>Dashboard_Live_Data!X241</f>
        <v/>
      </c>
      <c r="B1467">
        <f>Dashboard_Live_Data!Y241</f>
        <v/>
      </c>
      <c r="C1467">
        <f>Dashboard_Live_Data!Z241</f>
        <v/>
      </c>
      <c r="D1467">
        <f>Dashboard_Live_Data!AA241</f>
        <v/>
      </c>
      <c r="E1467">
        <f>Dashboard_Live_Data!AB241</f>
        <v/>
      </c>
      <c r="F1467">
        <f>Dashboard_Live_Data!AC241</f>
        <v/>
      </c>
      <c r="G1467">
        <f>Dashboard_Live_Data!AD241</f>
        <v/>
      </c>
      <c r="H1467">
        <f>Dashboard_Live_Data!AE241</f>
        <v/>
      </c>
    </row>
    <row r="1468">
      <c r="A1468">
        <f>Dashboard_Live_Data!X242</f>
        <v/>
      </c>
      <c r="B1468">
        <f>Dashboard_Live_Data!Y242</f>
        <v/>
      </c>
      <c r="C1468">
        <f>Dashboard_Live_Data!Z242</f>
        <v/>
      </c>
      <c r="D1468">
        <f>Dashboard_Live_Data!AA242</f>
        <v/>
      </c>
      <c r="E1468">
        <f>Dashboard_Live_Data!AB242</f>
        <v/>
      </c>
      <c r="F1468">
        <f>Dashboard_Live_Data!AC242</f>
        <v/>
      </c>
      <c r="G1468">
        <f>Dashboard_Live_Data!AD242</f>
        <v/>
      </c>
      <c r="H1468">
        <f>Dashboard_Live_Data!AE242</f>
        <v/>
      </c>
    </row>
    <row r="1471">
      <c r="A1471" t="inlineStr">
        <is>
          <t>Off-Nadir Radar Delay by Flyby: Without Topography</t>
        </is>
      </c>
    </row>
    <row r="1472">
      <c r="A1472" t="inlineStr">
        <is>
          <t>Custom 400 km / 120 km pass x</t>
        </is>
      </c>
      <c r="B1472" t="inlineStr">
        <is>
          <t>Custom 400 km / 120 km pass</t>
        </is>
      </c>
      <c r="C1472" t="inlineStr">
        <is>
          <t>Paper low-altitude 35 km / 800 km pass x</t>
        </is>
      </c>
      <c r="D1472" t="inlineStr">
        <is>
          <t>Paper low-altitude 35 km / 800 km pass</t>
        </is>
      </c>
      <c r="E1472" t="inlineStr">
        <is>
          <t>Paper ice-ocean 35 km / 1600 km pass x</t>
        </is>
      </c>
      <c r="F1472" t="inlineStr">
        <is>
          <t>Paper ice-ocean 35 km / 1600 km pass</t>
        </is>
      </c>
      <c r="G1472" t="inlineStr">
        <is>
          <t>Operating 25 km / 1600 km pass x</t>
        </is>
      </c>
      <c r="H1472" t="inlineStr">
        <is>
          <t>Operating 25 km / 1600 km pass</t>
        </is>
      </c>
    </row>
    <row r="1473">
      <c r="A1473">
        <f>Dashboard_Live_Data!AG2</f>
        <v/>
      </c>
      <c r="B1473">
        <f>Dashboard_Live_Data!AH2</f>
        <v/>
      </c>
      <c r="C1473">
        <f>Dashboard_Live_Data!AI2</f>
        <v/>
      </c>
      <c r="D1473">
        <f>Dashboard_Live_Data!AJ2</f>
        <v/>
      </c>
      <c r="E1473">
        <f>Dashboard_Live_Data!AK2</f>
        <v/>
      </c>
      <c r="F1473">
        <f>Dashboard_Live_Data!AL2</f>
        <v/>
      </c>
      <c r="G1473">
        <f>Dashboard_Live_Data!AM2</f>
        <v/>
      </c>
      <c r="H1473">
        <f>Dashboard_Live_Data!AN2</f>
        <v/>
      </c>
    </row>
    <row r="1474">
      <c r="A1474">
        <f>Dashboard_Live_Data!AG3</f>
        <v/>
      </c>
      <c r="B1474">
        <f>Dashboard_Live_Data!AH3</f>
        <v/>
      </c>
      <c r="C1474">
        <f>Dashboard_Live_Data!AI3</f>
        <v/>
      </c>
      <c r="D1474">
        <f>Dashboard_Live_Data!AJ3</f>
        <v/>
      </c>
      <c r="E1474">
        <f>Dashboard_Live_Data!AK3</f>
        <v/>
      </c>
      <c r="F1474">
        <f>Dashboard_Live_Data!AL3</f>
        <v/>
      </c>
      <c r="G1474">
        <f>Dashboard_Live_Data!AM3</f>
        <v/>
      </c>
      <c r="H1474">
        <f>Dashboard_Live_Data!AN3</f>
        <v/>
      </c>
    </row>
    <row r="1475">
      <c r="A1475">
        <f>Dashboard_Live_Data!AG4</f>
        <v/>
      </c>
      <c r="B1475">
        <f>Dashboard_Live_Data!AH4</f>
        <v/>
      </c>
      <c r="C1475">
        <f>Dashboard_Live_Data!AI4</f>
        <v/>
      </c>
      <c r="D1475">
        <f>Dashboard_Live_Data!AJ4</f>
        <v/>
      </c>
      <c r="E1475">
        <f>Dashboard_Live_Data!AK4</f>
        <v/>
      </c>
      <c r="F1475">
        <f>Dashboard_Live_Data!AL4</f>
        <v/>
      </c>
      <c r="G1475">
        <f>Dashboard_Live_Data!AM4</f>
        <v/>
      </c>
      <c r="H1475">
        <f>Dashboard_Live_Data!AN4</f>
        <v/>
      </c>
    </row>
    <row r="1476">
      <c r="A1476">
        <f>Dashboard_Live_Data!AG5</f>
        <v/>
      </c>
      <c r="B1476">
        <f>Dashboard_Live_Data!AH5</f>
        <v/>
      </c>
      <c r="C1476">
        <f>Dashboard_Live_Data!AI5</f>
        <v/>
      </c>
      <c r="D1476">
        <f>Dashboard_Live_Data!AJ5</f>
        <v/>
      </c>
      <c r="E1476">
        <f>Dashboard_Live_Data!AK5</f>
        <v/>
      </c>
      <c r="F1476">
        <f>Dashboard_Live_Data!AL5</f>
        <v/>
      </c>
      <c r="G1476">
        <f>Dashboard_Live_Data!AM5</f>
        <v/>
      </c>
      <c r="H1476">
        <f>Dashboard_Live_Data!AN5</f>
        <v/>
      </c>
    </row>
    <row r="1477">
      <c r="A1477">
        <f>Dashboard_Live_Data!AG6</f>
        <v/>
      </c>
      <c r="B1477">
        <f>Dashboard_Live_Data!AH6</f>
        <v/>
      </c>
      <c r="C1477">
        <f>Dashboard_Live_Data!AI6</f>
        <v/>
      </c>
      <c r="D1477">
        <f>Dashboard_Live_Data!AJ6</f>
        <v/>
      </c>
      <c r="E1477">
        <f>Dashboard_Live_Data!AK6</f>
        <v/>
      </c>
      <c r="F1477">
        <f>Dashboard_Live_Data!AL6</f>
        <v/>
      </c>
      <c r="G1477">
        <f>Dashboard_Live_Data!AM6</f>
        <v/>
      </c>
      <c r="H1477">
        <f>Dashboard_Live_Data!AN6</f>
        <v/>
      </c>
    </row>
    <row r="1478">
      <c r="A1478">
        <f>Dashboard_Live_Data!AG7</f>
        <v/>
      </c>
      <c r="B1478">
        <f>Dashboard_Live_Data!AH7</f>
        <v/>
      </c>
      <c r="C1478">
        <f>Dashboard_Live_Data!AI7</f>
        <v/>
      </c>
      <c r="D1478">
        <f>Dashboard_Live_Data!AJ7</f>
        <v/>
      </c>
      <c r="E1478">
        <f>Dashboard_Live_Data!AK7</f>
        <v/>
      </c>
      <c r="F1478">
        <f>Dashboard_Live_Data!AL7</f>
        <v/>
      </c>
      <c r="G1478">
        <f>Dashboard_Live_Data!AM7</f>
        <v/>
      </c>
      <c r="H1478">
        <f>Dashboard_Live_Data!AN7</f>
        <v/>
      </c>
    </row>
    <row r="1479">
      <c r="A1479">
        <f>Dashboard_Live_Data!AG8</f>
        <v/>
      </c>
      <c r="B1479">
        <f>Dashboard_Live_Data!AH8</f>
        <v/>
      </c>
      <c r="C1479">
        <f>Dashboard_Live_Data!AI8</f>
        <v/>
      </c>
      <c r="D1479">
        <f>Dashboard_Live_Data!AJ8</f>
        <v/>
      </c>
      <c r="E1479">
        <f>Dashboard_Live_Data!AK8</f>
        <v/>
      </c>
      <c r="F1479">
        <f>Dashboard_Live_Data!AL8</f>
        <v/>
      </c>
      <c r="G1479">
        <f>Dashboard_Live_Data!AM8</f>
        <v/>
      </c>
      <c r="H1479">
        <f>Dashboard_Live_Data!AN8</f>
        <v/>
      </c>
    </row>
    <row r="1480">
      <c r="A1480">
        <f>Dashboard_Live_Data!AG9</f>
        <v/>
      </c>
      <c r="B1480">
        <f>Dashboard_Live_Data!AH9</f>
        <v/>
      </c>
      <c r="C1480">
        <f>Dashboard_Live_Data!AI9</f>
        <v/>
      </c>
      <c r="D1480">
        <f>Dashboard_Live_Data!AJ9</f>
        <v/>
      </c>
      <c r="E1480">
        <f>Dashboard_Live_Data!AK9</f>
        <v/>
      </c>
      <c r="F1480">
        <f>Dashboard_Live_Data!AL9</f>
        <v/>
      </c>
      <c r="G1480">
        <f>Dashboard_Live_Data!AM9</f>
        <v/>
      </c>
      <c r="H1480">
        <f>Dashboard_Live_Data!AN9</f>
        <v/>
      </c>
    </row>
    <row r="1481">
      <c r="A1481">
        <f>Dashboard_Live_Data!AG10</f>
        <v/>
      </c>
      <c r="B1481">
        <f>Dashboard_Live_Data!AH10</f>
        <v/>
      </c>
      <c r="C1481">
        <f>Dashboard_Live_Data!AI10</f>
        <v/>
      </c>
      <c r="D1481">
        <f>Dashboard_Live_Data!AJ10</f>
        <v/>
      </c>
      <c r="E1481">
        <f>Dashboard_Live_Data!AK10</f>
        <v/>
      </c>
      <c r="F1481">
        <f>Dashboard_Live_Data!AL10</f>
        <v/>
      </c>
      <c r="G1481">
        <f>Dashboard_Live_Data!AM10</f>
        <v/>
      </c>
      <c r="H1481">
        <f>Dashboard_Live_Data!AN10</f>
        <v/>
      </c>
    </row>
    <row r="1482">
      <c r="A1482">
        <f>Dashboard_Live_Data!AG11</f>
        <v/>
      </c>
      <c r="B1482">
        <f>Dashboard_Live_Data!AH11</f>
        <v/>
      </c>
      <c r="C1482">
        <f>Dashboard_Live_Data!AI11</f>
        <v/>
      </c>
      <c r="D1482">
        <f>Dashboard_Live_Data!AJ11</f>
        <v/>
      </c>
      <c r="E1482">
        <f>Dashboard_Live_Data!AK11</f>
        <v/>
      </c>
      <c r="F1482">
        <f>Dashboard_Live_Data!AL11</f>
        <v/>
      </c>
      <c r="G1482">
        <f>Dashboard_Live_Data!AM11</f>
        <v/>
      </c>
      <c r="H1482">
        <f>Dashboard_Live_Data!AN11</f>
        <v/>
      </c>
    </row>
    <row r="1483">
      <c r="A1483">
        <f>Dashboard_Live_Data!AG12</f>
        <v/>
      </c>
      <c r="B1483">
        <f>Dashboard_Live_Data!AH12</f>
        <v/>
      </c>
      <c r="C1483">
        <f>Dashboard_Live_Data!AI12</f>
        <v/>
      </c>
      <c r="D1483">
        <f>Dashboard_Live_Data!AJ12</f>
        <v/>
      </c>
      <c r="E1483">
        <f>Dashboard_Live_Data!AK12</f>
        <v/>
      </c>
      <c r="F1483">
        <f>Dashboard_Live_Data!AL12</f>
        <v/>
      </c>
      <c r="G1483">
        <f>Dashboard_Live_Data!AM12</f>
        <v/>
      </c>
      <c r="H1483">
        <f>Dashboard_Live_Data!AN12</f>
        <v/>
      </c>
    </row>
    <row r="1484">
      <c r="A1484">
        <f>Dashboard_Live_Data!AG13</f>
        <v/>
      </c>
      <c r="B1484">
        <f>Dashboard_Live_Data!AH13</f>
        <v/>
      </c>
      <c r="C1484">
        <f>Dashboard_Live_Data!AI13</f>
        <v/>
      </c>
      <c r="D1484">
        <f>Dashboard_Live_Data!AJ13</f>
        <v/>
      </c>
      <c r="E1484">
        <f>Dashboard_Live_Data!AK13</f>
        <v/>
      </c>
      <c r="F1484">
        <f>Dashboard_Live_Data!AL13</f>
        <v/>
      </c>
      <c r="G1484">
        <f>Dashboard_Live_Data!AM13</f>
        <v/>
      </c>
      <c r="H1484">
        <f>Dashboard_Live_Data!AN13</f>
        <v/>
      </c>
    </row>
    <row r="1485">
      <c r="A1485">
        <f>Dashboard_Live_Data!AG14</f>
        <v/>
      </c>
      <c r="B1485">
        <f>Dashboard_Live_Data!AH14</f>
        <v/>
      </c>
      <c r="C1485">
        <f>Dashboard_Live_Data!AI14</f>
        <v/>
      </c>
      <c r="D1485">
        <f>Dashboard_Live_Data!AJ14</f>
        <v/>
      </c>
      <c r="E1485">
        <f>Dashboard_Live_Data!AK14</f>
        <v/>
      </c>
      <c r="F1485">
        <f>Dashboard_Live_Data!AL14</f>
        <v/>
      </c>
      <c r="G1485">
        <f>Dashboard_Live_Data!AM14</f>
        <v/>
      </c>
      <c r="H1485">
        <f>Dashboard_Live_Data!AN14</f>
        <v/>
      </c>
    </row>
    <row r="1486">
      <c r="A1486">
        <f>Dashboard_Live_Data!AG15</f>
        <v/>
      </c>
      <c r="B1486">
        <f>Dashboard_Live_Data!AH15</f>
        <v/>
      </c>
      <c r="C1486">
        <f>Dashboard_Live_Data!AI15</f>
        <v/>
      </c>
      <c r="D1486">
        <f>Dashboard_Live_Data!AJ15</f>
        <v/>
      </c>
      <c r="E1486">
        <f>Dashboard_Live_Data!AK15</f>
        <v/>
      </c>
      <c r="F1486">
        <f>Dashboard_Live_Data!AL15</f>
        <v/>
      </c>
      <c r="G1486">
        <f>Dashboard_Live_Data!AM15</f>
        <v/>
      </c>
      <c r="H1486">
        <f>Dashboard_Live_Data!AN15</f>
        <v/>
      </c>
    </row>
    <row r="1487">
      <c r="A1487">
        <f>Dashboard_Live_Data!AG16</f>
        <v/>
      </c>
      <c r="B1487">
        <f>Dashboard_Live_Data!AH16</f>
        <v/>
      </c>
      <c r="C1487">
        <f>Dashboard_Live_Data!AI16</f>
        <v/>
      </c>
      <c r="D1487">
        <f>Dashboard_Live_Data!AJ16</f>
        <v/>
      </c>
      <c r="E1487">
        <f>Dashboard_Live_Data!AK16</f>
        <v/>
      </c>
      <c r="F1487">
        <f>Dashboard_Live_Data!AL16</f>
        <v/>
      </c>
      <c r="G1487">
        <f>Dashboard_Live_Data!AM16</f>
        <v/>
      </c>
      <c r="H1487">
        <f>Dashboard_Live_Data!AN16</f>
        <v/>
      </c>
    </row>
    <row r="1488">
      <c r="A1488">
        <f>Dashboard_Live_Data!AG17</f>
        <v/>
      </c>
      <c r="B1488">
        <f>Dashboard_Live_Data!AH17</f>
        <v/>
      </c>
      <c r="C1488">
        <f>Dashboard_Live_Data!AI17</f>
        <v/>
      </c>
      <c r="D1488">
        <f>Dashboard_Live_Data!AJ17</f>
        <v/>
      </c>
      <c r="E1488">
        <f>Dashboard_Live_Data!AK17</f>
        <v/>
      </c>
      <c r="F1488">
        <f>Dashboard_Live_Data!AL17</f>
        <v/>
      </c>
      <c r="G1488">
        <f>Dashboard_Live_Data!AM17</f>
        <v/>
      </c>
      <c r="H1488">
        <f>Dashboard_Live_Data!AN17</f>
        <v/>
      </c>
    </row>
    <row r="1489">
      <c r="A1489">
        <f>Dashboard_Live_Data!AG18</f>
        <v/>
      </c>
      <c r="B1489">
        <f>Dashboard_Live_Data!AH18</f>
        <v/>
      </c>
      <c r="C1489">
        <f>Dashboard_Live_Data!AI18</f>
        <v/>
      </c>
      <c r="D1489">
        <f>Dashboard_Live_Data!AJ18</f>
        <v/>
      </c>
      <c r="E1489">
        <f>Dashboard_Live_Data!AK18</f>
        <v/>
      </c>
      <c r="F1489">
        <f>Dashboard_Live_Data!AL18</f>
        <v/>
      </c>
      <c r="G1489">
        <f>Dashboard_Live_Data!AM18</f>
        <v/>
      </c>
      <c r="H1489">
        <f>Dashboard_Live_Data!AN18</f>
        <v/>
      </c>
    </row>
    <row r="1490">
      <c r="A1490">
        <f>Dashboard_Live_Data!AG19</f>
        <v/>
      </c>
      <c r="B1490">
        <f>Dashboard_Live_Data!AH19</f>
        <v/>
      </c>
      <c r="C1490">
        <f>Dashboard_Live_Data!AI19</f>
        <v/>
      </c>
      <c r="D1490">
        <f>Dashboard_Live_Data!AJ19</f>
        <v/>
      </c>
      <c r="E1490">
        <f>Dashboard_Live_Data!AK19</f>
        <v/>
      </c>
      <c r="F1490">
        <f>Dashboard_Live_Data!AL19</f>
        <v/>
      </c>
      <c r="G1490">
        <f>Dashboard_Live_Data!AM19</f>
        <v/>
      </c>
      <c r="H1490">
        <f>Dashboard_Live_Data!AN19</f>
        <v/>
      </c>
    </row>
    <row r="1491">
      <c r="A1491">
        <f>Dashboard_Live_Data!AG20</f>
        <v/>
      </c>
      <c r="B1491">
        <f>Dashboard_Live_Data!AH20</f>
        <v/>
      </c>
      <c r="C1491">
        <f>Dashboard_Live_Data!AI20</f>
        <v/>
      </c>
      <c r="D1491">
        <f>Dashboard_Live_Data!AJ20</f>
        <v/>
      </c>
      <c r="E1491">
        <f>Dashboard_Live_Data!AK20</f>
        <v/>
      </c>
      <c r="F1491">
        <f>Dashboard_Live_Data!AL20</f>
        <v/>
      </c>
      <c r="G1491">
        <f>Dashboard_Live_Data!AM20</f>
        <v/>
      </c>
      <c r="H1491">
        <f>Dashboard_Live_Data!AN20</f>
        <v/>
      </c>
    </row>
    <row r="1492">
      <c r="A1492">
        <f>Dashboard_Live_Data!AG21</f>
        <v/>
      </c>
      <c r="B1492">
        <f>Dashboard_Live_Data!AH21</f>
        <v/>
      </c>
      <c r="C1492">
        <f>Dashboard_Live_Data!AI21</f>
        <v/>
      </c>
      <c r="D1492">
        <f>Dashboard_Live_Data!AJ21</f>
        <v/>
      </c>
      <c r="E1492">
        <f>Dashboard_Live_Data!AK21</f>
        <v/>
      </c>
      <c r="F1492">
        <f>Dashboard_Live_Data!AL21</f>
        <v/>
      </c>
      <c r="G1492">
        <f>Dashboard_Live_Data!AM21</f>
        <v/>
      </c>
      <c r="H1492">
        <f>Dashboard_Live_Data!AN21</f>
        <v/>
      </c>
    </row>
    <row r="1493">
      <c r="A1493">
        <f>Dashboard_Live_Data!AG22</f>
        <v/>
      </c>
      <c r="B1493">
        <f>Dashboard_Live_Data!AH22</f>
        <v/>
      </c>
      <c r="C1493">
        <f>Dashboard_Live_Data!AI22</f>
        <v/>
      </c>
      <c r="D1493">
        <f>Dashboard_Live_Data!AJ22</f>
        <v/>
      </c>
      <c r="E1493">
        <f>Dashboard_Live_Data!AK22</f>
        <v/>
      </c>
      <c r="F1493">
        <f>Dashboard_Live_Data!AL22</f>
        <v/>
      </c>
      <c r="G1493">
        <f>Dashboard_Live_Data!AM22</f>
        <v/>
      </c>
      <c r="H1493">
        <f>Dashboard_Live_Data!AN22</f>
        <v/>
      </c>
    </row>
    <row r="1494">
      <c r="A1494">
        <f>Dashboard_Live_Data!AG23</f>
        <v/>
      </c>
      <c r="B1494">
        <f>Dashboard_Live_Data!AH23</f>
        <v/>
      </c>
      <c r="C1494">
        <f>Dashboard_Live_Data!AI23</f>
        <v/>
      </c>
      <c r="D1494">
        <f>Dashboard_Live_Data!AJ23</f>
        <v/>
      </c>
      <c r="E1494">
        <f>Dashboard_Live_Data!AK23</f>
        <v/>
      </c>
      <c r="F1494">
        <f>Dashboard_Live_Data!AL23</f>
        <v/>
      </c>
      <c r="G1494">
        <f>Dashboard_Live_Data!AM23</f>
        <v/>
      </c>
      <c r="H1494">
        <f>Dashboard_Live_Data!AN23</f>
        <v/>
      </c>
    </row>
    <row r="1495">
      <c r="A1495">
        <f>Dashboard_Live_Data!AG24</f>
        <v/>
      </c>
      <c r="B1495">
        <f>Dashboard_Live_Data!AH24</f>
        <v/>
      </c>
      <c r="C1495">
        <f>Dashboard_Live_Data!AI24</f>
        <v/>
      </c>
      <c r="D1495">
        <f>Dashboard_Live_Data!AJ24</f>
        <v/>
      </c>
      <c r="E1495">
        <f>Dashboard_Live_Data!AK24</f>
        <v/>
      </c>
      <c r="F1495">
        <f>Dashboard_Live_Data!AL24</f>
        <v/>
      </c>
      <c r="G1495">
        <f>Dashboard_Live_Data!AM24</f>
        <v/>
      </c>
      <c r="H1495">
        <f>Dashboard_Live_Data!AN24</f>
        <v/>
      </c>
    </row>
    <row r="1496">
      <c r="A1496">
        <f>Dashboard_Live_Data!AG25</f>
        <v/>
      </c>
      <c r="B1496">
        <f>Dashboard_Live_Data!AH25</f>
        <v/>
      </c>
      <c r="C1496">
        <f>Dashboard_Live_Data!AI25</f>
        <v/>
      </c>
      <c r="D1496">
        <f>Dashboard_Live_Data!AJ25</f>
        <v/>
      </c>
      <c r="E1496">
        <f>Dashboard_Live_Data!AK25</f>
        <v/>
      </c>
      <c r="F1496">
        <f>Dashboard_Live_Data!AL25</f>
        <v/>
      </c>
      <c r="G1496">
        <f>Dashboard_Live_Data!AM25</f>
        <v/>
      </c>
      <c r="H1496">
        <f>Dashboard_Live_Data!AN25</f>
        <v/>
      </c>
    </row>
    <row r="1497">
      <c r="A1497">
        <f>Dashboard_Live_Data!AG26</f>
        <v/>
      </c>
      <c r="B1497">
        <f>Dashboard_Live_Data!AH26</f>
        <v/>
      </c>
      <c r="C1497">
        <f>Dashboard_Live_Data!AI26</f>
        <v/>
      </c>
      <c r="D1497">
        <f>Dashboard_Live_Data!AJ26</f>
        <v/>
      </c>
      <c r="E1497">
        <f>Dashboard_Live_Data!AK26</f>
        <v/>
      </c>
      <c r="F1497">
        <f>Dashboard_Live_Data!AL26</f>
        <v/>
      </c>
      <c r="G1497">
        <f>Dashboard_Live_Data!AM26</f>
        <v/>
      </c>
      <c r="H1497">
        <f>Dashboard_Live_Data!AN26</f>
        <v/>
      </c>
    </row>
    <row r="1498">
      <c r="A1498">
        <f>Dashboard_Live_Data!AG27</f>
        <v/>
      </c>
      <c r="B1498">
        <f>Dashboard_Live_Data!AH27</f>
        <v/>
      </c>
      <c r="C1498">
        <f>Dashboard_Live_Data!AI27</f>
        <v/>
      </c>
      <c r="D1498">
        <f>Dashboard_Live_Data!AJ27</f>
        <v/>
      </c>
      <c r="E1498">
        <f>Dashboard_Live_Data!AK27</f>
        <v/>
      </c>
      <c r="F1498">
        <f>Dashboard_Live_Data!AL27</f>
        <v/>
      </c>
      <c r="G1498">
        <f>Dashboard_Live_Data!AM27</f>
        <v/>
      </c>
      <c r="H1498">
        <f>Dashboard_Live_Data!AN27</f>
        <v/>
      </c>
    </row>
    <row r="1499">
      <c r="A1499">
        <f>Dashboard_Live_Data!AG28</f>
        <v/>
      </c>
      <c r="B1499">
        <f>Dashboard_Live_Data!AH28</f>
        <v/>
      </c>
      <c r="C1499">
        <f>Dashboard_Live_Data!AI28</f>
        <v/>
      </c>
      <c r="D1499">
        <f>Dashboard_Live_Data!AJ28</f>
        <v/>
      </c>
      <c r="E1499">
        <f>Dashboard_Live_Data!AK28</f>
        <v/>
      </c>
      <c r="F1499">
        <f>Dashboard_Live_Data!AL28</f>
        <v/>
      </c>
      <c r="G1499">
        <f>Dashboard_Live_Data!AM28</f>
        <v/>
      </c>
      <c r="H1499">
        <f>Dashboard_Live_Data!AN28</f>
        <v/>
      </c>
    </row>
    <row r="1500">
      <c r="A1500">
        <f>Dashboard_Live_Data!AG29</f>
        <v/>
      </c>
      <c r="B1500">
        <f>Dashboard_Live_Data!AH29</f>
        <v/>
      </c>
      <c r="C1500">
        <f>Dashboard_Live_Data!AI29</f>
        <v/>
      </c>
      <c r="D1500">
        <f>Dashboard_Live_Data!AJ29</f>
        <v/>
      </c>
      <c r="E1500">
        <f>Dashboard_Live_Data!AK29</f>
        <v/>
      </c>
      <c r="F1500">
        <f>Dashboard_Live_Data!AL29</f>
        <v/>
      </c>
      <c r="G1500">
        <f>Dashboard_Live_Data!AM29</f>
        <v/>
      </c>
      <c r="H1500">
        <f>Dashboard_Live_Data!AN29</f>
        <v/>
      </c>
    </row>
    <row r="1501">
      <c r="A1501">
        <f>Dashboard_Live_Data!AG30</f>
        <v/>
      </c>
      <c r="B1501">
        <f>Dashboard_Live_Data!AH30</f>
        <v/>
      </c>
      <c r="C1501">
        <f>Dashboard_Live_Data!AI30</f>
        <v/>
      </c>
      <c r="D1501">
        <f>Dashboard_Live_Data!AJ30</f>
        <v/>
      </c>
      <c r="E1501">
        <f>Dashboard_Live_Data!AK30</f>
        <v/>
      </c>
      <c r="F1501">
        <f>Dashboard_Live_Data!AL30</f>
        <v/>
      </c>
      <c r="G1501">
        <f>Dashboard_Live_Data!AM30</f>
        <v/>
      </c>
      <c r="H1501">
        <f>Dashboard_Live_Data!AN30</f>
        <v/>
      </c>
    </row>
    <row r="1502">
      <c r="A1502">
        <f>Dashboard_Live_Data!AG31</f>
        <v/>
      </c>
      <c r="B1502">
        <f>Dashboard_Live_Data!AH31</f>
        <v/>
      </c>
      <c r="C1502">
        <f>Dashboard_Live_Data!AI31</f>
        <v/>
      </c>
      <c r="D1502">
        <f>Dashboard_Live_Data!AJ31</f>
        <v/>
      </c>
      <c r="E1502">
        <f>Dashboard_Live_Data!AK31</f>
        <v/>
      </c>
      <c r="F1502">
        <f>Dashboard_Live_Data!AL31</f>
        <v/>
      </c>
      <c r="G1502">
        <f>Dashboard_Live_Data!AM31</f>
        <v/>
      </c>
      <c r="H1502">
        <f>Dashboard_Live_Data!AN31</f>
        <v/>
      </c>
    </row>
    <row r="1503">
      <c r="A1503">
        <f>Dashboard_Live_Data!AG32</f>
        <v/>
      </c>
      <c r="B1503">
        <f>Dashboard_Live_Data!AH32</f>
        <v/>
      </c>
      <c r="C1503">
        <f>Dashboard_Live_Data!AI32</f>
        <v/>
      </c>
      <c r="D1503">
        <f>Dashboard_Live_Data!AJ32</f>
        <v/>
      </c>
      <c r="E1503">
        <f>Dashboard_Live_Data!AK32</f>
        <v/>
      </c>
      <c r="F1503">
        <f>Dashboard_Live_Data!AL32</f>
        <v/>
      </c>
      <c r="G1503">
        <f>Dashboard_Live_Data!AM32</f>
        <v/>
      </c>
      <c r="H1503">
        <f>Dashboard_Live_Data!AN32</f>
        <v/>
      </c>
    </row>
    <row r="1504">
      <c r="A1504">
        <f>Dashboard_Live_Data!AG33</f>
        <v/>
      </c>
      <c r="B1504">
        <f>Dashboard_Live_Data!AH33</f>
        <v/>
      </c>
      <c r="C1504">
        <f>Dashboard_Live_Data!AI33</f>
        <v/>
      </c>
      <c r="D1504">
        <f>Dashboard_Live_Data!AJ33</f>
        <v/>
      </c>
      <c r="E1504">
        <f>Dashboard_Live_Data!AK33</f>
        <v/>
      </c>
      <c r="F1504">
        <f>Dashboard_Live_Data!AL33</f>
        <v/>
      </c>
      <c r="G1504">
        <f>Dashboard_Live_Data!AM33</f>
        <v/>
      </c>
      <c r="H1504">
        <f>Dashboard_Live_Data!AN33</f>
        <v/>
      </c>
    </row>
    <row r="1505">
      <c r="A1505">
        <f>Dashboard_Live_Data!AG34</f>
        <v/>
      </c>
      <c r="B1505">
        <f>Dashboard_Live_Data!AH34</f>
        <v/>
      </c>
      <c r="C1505">
        <f>Dashboard_Live_Data!AI34</f>
        <v/>
      </c>
      <c r="D1505">
        <f>Dashboard_Live_Data!AJ34</f>
        <v/>
      </c>
      <c r="E1505">
        <f>Dashboard_Live_Data!AK34</f>
        <v/>
      </c>
      <c r="F1505">
        <f>Dashboard_Live_Data!AL34</f>
        <v/>
      </c>
      <c r="G1505">
        <f>Dashboard_Live_Data!AM34</f>
        <v/>
      </c>
      <c r="H1505">
        <f>Dashboard_Live_Data!AN34</f>
        <v/>
      </c>
    </row>
    <row r="1506">
      <c r="A1506">
        <f>Dashboard_Live_Data!AG35</f>
        <v/>
      </c>
      <c r="B1506">
        <f>Dashboard_Live_Data!AH35</f>
        <v/>
      </c>
      <c r="C1506">
        <f>Dashboard_Live_Data!AI35</f>
        <v/>
      </c>
      <c r="D1506">
        <f>Dashboard_Live_Data!AJ35</f>
        <v/>
      </c>
      <c r="E1506">
        <f>Dashboard_Live_Data!AK35</f>
        <v/>
      </c>
      <c r="F1506">
        <f>Dashboard_Live_Data!AL35</f>
        <v/>
      </c>
      <c r="G1506">
        <f>Dashboard_Live_Data!AM35</f>
        <v/>
      </c>
      <c r="H1506">
        <f>Dashboard_Live_Data!AN35</f>
        <v/>
      </c>
    </row>
    <row r="1507">
      <c r="A1507">
        <f>Dashboard_Live_Data!AG36</f>
        <v/>
      </c>
      <c r="B1507">
        <f>Dashboard_Live_Data!AH36</f>
        <v/>
      </c>
      <c r="C1507">
        <f>Dashboard_Live_Data!AI36</f>
        <v/>
      </c>
      <c r="D1507">
        <f>Dashboard_Live_Data!AJ36</f>
        <v/>
      </c>
      <c r="E1507">
        <f>Dashboard_Live_Data!AK36</f>
        <v/>
      </c>
      <c r="F1507">
        <f>Dashboard_Live_Data!AL36</f>
        <v/>
      </c>
      <c r="G1507">
        <f>Dashboard_Live_Data!AM36</f>
        <v/>
      </c>
      <c r="H1507">
        <f>Dashboard_Live_Data!AN36</f>
        <v/>
      </c>
    </row>
    <row r="1508">
      <c r="A1508">
        <f>Dashboard_Live_Data!AG37</f>
        <v/>
      </c>
      <c r="B1508">
        <f>Dashboard_Live_Data!AH37</f>
        <v/>
      </c>
      <c r="C1508">
        <f>Dashboard_Live_Data!AI37</f>
        <v/>
      </c>
      <c r="D1508">
        <f>Dashboard_Live_Data!AJ37</f>
        <v/>
      </c>
      <c r="E1508">
        <f>Dashboard_Live_Data!AK37</f>
        <v/>
      </c>
      <c r="F1508">
        <f>Dashboard_Live_Data!AL37</f>
        <v/>
      </c>
      <c r="G1508">
        <f>Dashboard_Live_Data!AM37</f>
        <v/>
      </c>
      <c r="H1508">
        <f>Dashboard_Live_Data!AN37</f>
        <v/>
      </c>
    </row>
    <row r="1509">
      <c r="A1509">
        <f>Dashboard_Live_Data!AG38</f>
        <v/>
      </c>
      <c r="B1509">
        <f>Dashboard_Live_Data!AH38</f>
        <v/>
      </c>
      <c r="C1509">
        <f>Dashboard_Live_Data!AI38</f>
        <v/>
      </c>
      <c r="D1509">
        <f>Dashboard_Live_Data!AJ38</f>
        <v/>
      </c>
      <c r="E1509">
        <f>Dashboard_Live_Data!AK38</f>
        <v/>
      </c>
      <c r="F1509">
        <f>Dashboard_Live_Data!AL38</f>
        <v/>
      </c>
      <c r="G1509">
        <f>Dashboard_Live_Data!AM38</f>
        <v/>
      </c>
      <c r="H1509">
        <f>Dashboard_Live_Data!AN38</f>
        <v/>
      </c>
    </row>
    <row r="1510">
      <c r="A1510">
        <f>Dashboard_Live_Data!AG39</f>
        <v/>
      </c>
      <c r="B1510">
        <f>Dashboard_Live_Data!AH39</f>
        <v/>
      </c>
      <c r="C1510">
        <f>Dashboard_Live_Data!AI39</f>
        <v/>
      </c>
      <c r="D1510">
        <f>Dashboard_Live_Data!AJ39</f>
        <v/>
      </c>
      <c r="E1510">
        <f>Dashboard_Live_Data!AK39</f>
        <v/>
      </c>
      <c r="F1510">
        <f>Dashboard_Live_Data!AL39</f>
        <v/>
      </c>
      <c r="G1510">
        <f>Dashboard_Live_Data!AM39</f>
        <v/>
      </c>
      <c r="H1510">
        <f>Dashboard_Live_Data!AN39</f>
        <v/>
      </c>
    </row>
    <row r="1511">
      <c r="A1511">
        <f>Dashboard_Live_Data!AG40</f>
        <v/>
      </c>
      <c r="B1511">
        <f>Dashboard_Live_Data!AH40</f>
        <v/>
      </c>
      <c r="C1511">
        <f>Dashboard_Live_Data!AI40</f>
        <v/>
      </c>
      <c r="D1511">
        <f>Dashboard_Live_Data!AJ40</f>
        <v/>
      </c>
      <c r="E1511">
        <f>Dashboard_Live_Data!AK40</f>
        <v/>
      </c>
      <c r="F1511">
        <f>Dashboard_Live_Data!AL40</f>
        <v/>
      </c>
      <c r="G1511">
        <f>Dashboard_Live_Data!AM40</f>
        <v/>
      </c>
      <c r="H1511">
        <f>Dashboard_Live_Data!AN40</f>
        <v/>
      </c>
    </row>
    <row r="1512">
      <c r="A1512">
        <f>Dashboard_Live_Data!AG41</f>
        <v/>
      </c>
      <c r="B1512">
        <f>Dashboard_Live_Data!AH41</f>
        <v/>
      </c>
      <c r="C1512">
        <f>Dashboard_Live_Data!AI41</f>
        <v/>
      </c>
      <c r="D1512">
        <f>Dashboard_Live_Data!AJ41</f>
        <v/>
      </c>
      <c r="E1512">
        <f>Dashboard_Live_Data!AK41</f>
        <v/>
      </c>
      <c r="F1512">
        <f>Dashboard_Live_Data!AL41</f>
        <v/>
      </c>
      <c r="G1512">
        <f>Dashboard_Live_Data!AM41</f>
        <v/>
      </c>
      <c r="H1512">
        <f>Dashboard_Live_Data!AN41</f>
        <v/>
      </c>
    </row>
    <row r="1513">
      <c r="A1513">
        <f>Dashboard_Live_Data!AG42</f>
        <v/>
      </c>
      <c r="B1513">
        <f>Dashboard_Live_Data!AH42</f>
        <v/>
      </c>
      <c r="C1513">
        <f>Dashboard_Live_Data!AI42</f>
        <v/>
      </c>
      <c r="D1513">
        <f>Dashboard_Live_Data!AJ42</f>
        <v/>
      </c>
      <c r="E1513">
        <f>Dashboard_Live_Data!AK42</f>
        <v/>
      </c>
      <c r="F1513">
        <f>Dashboard_Live_Data!AL42</f>
        <v/>
      </c>
      <c r="G1513">
        <f>Dashboard_Live_Data!AM42</f>
        <v/>
      </c>
      <c r="H1513">
        <f>Dashboard_Live_Data!AN42</f>
        <v/>
      </c>
    </row>
    <row r="1514">
      <c r="A1514">
        <f>Dashboard_Live_Data!AG43</f>
        <v/>
      </c>
      <c r="B1514">
        <f>Dashboard_Live_Data!AH43</f>
        <v/>
      </c>
      <c r="C1514">
        <f>Dashboard_Live_Data!AI43</f>
        <v/>
      </c>
      <c r="D1514">
        <f>Dashboard_Live_Data!AJ43</f>
        <v/>
      </c>
      <c r="E1514">
        <f>Dashboard_Live_Data!AK43</f>
        <v/>
      </c>
      <c r="F1514">
        <f>Dashboard_Live_Data!AL43</f>
        <v/>
      </c>
      <c r="G1514">
        <f>Dashboard_Live_Data!AM43</f>
        <v/>
      </c>
      <c r="H1514">
        <f>Dashboard_Live_Data!AN43</f>
        <v/>
      </c>
    </row>
    <row r="1515">
      <c r="A1515">
        <f>Dashboard_Live_Data!AG44</f>
        <v/>
      </c>
      <c r="B1515">
        <f>Dashboard_Live_Data!AH44</f>
        <v/>
      </c>
      <c r="C1515">
        <f>Dashboard_Live_Data!AI44</f>
        <v/>
      </c>
      <c r="D1515">
        <f>Dashboard_Live_Data!AJ44</f>
        <v/>
      </c>
      <c r="E1515">
        <f>Dashboard_Live_Data!AK44</f>
        <v/>
      </c>
      <c r="F1515">
        <f>Dashboard_Live_Data!AL44</f>
        <v/>
      </c>
      <c r="G1515">
        <f>Dashboard_Live_Data!AM44</f>
        <v/>
      </c>
      <c r="H1515">
        <f>Dashboard_Live_Data!AN44</f>
        <v/>
      </c>
    </row>
    <row r="1516">
      <c r="A1516">
        <f>Dashboard_Live_Data!AG45</f>
        <v/>
      </c>
      <c r="B1516">
        <f>Dashboard_Live_Data!AH45</f>
        <v/>
      </c>
      <c r="C1516">
        <f>Dashboard_Live_Data!AI45</f>
        <v/>
      </c>
      <c r="D1516">
        <f>Dashboard_Live_Data!AJ45</f>
        <v/>
      </c>
      <c r="E1516">
        <f>Dashboard_Live_Data!AK45</f>
        <v/>
      </c>
      <c r="F1516">
        <f>Dashboard_Live_Data!AL45</f>
        <v/>
      </c>
      <c r="G1516">
        <f>Dashboard_Live_Data!AM45</f>
        <v/>
      </c>
      <c r="H1516">
        <f>Dashboard_Live_Data!AN45</f>
        <v/>
      </c>
    </row>
    <row r="1517">
      <c r="A1517">
        <f>Dashboard_Live_Data!AG46</f>
        <v/>
      </c>
      <c r="B1517">
        <f>Dashboard_Live_Data!AH46</f>
        <v/>
      </c>
      <c r="C1517">
        <f>Dashboard_Live_Data!AI46</f>
        <v/>
      </c>
      <c r="D1517">
        <f>Dashboard_Live_Data!AJ46</f>
        <v/>
      </c>
      <c r="E1517">
        <f>Dashboard_Live_Data!AK46</f>
        <v/>
      </c>
      <c r="F1517">
        <f>Dashboard_Live_Data!AL46</f>
        <v/>
      </c>
      <c r="G1517">
        <f>Dashboard_Live_Data!AM46</f>
        <v/>
      </c>
      <c r="H1517">
        <f>Dashboard_Live_Data!AN46</f>
        <v/>
      </c>
    </row>
    <row r="1518">
      <c r="A1518">
        <f>Dashboard_Live_Data!AG47</f>
        <v/>
      </c>
      <c r="B1518">
        <f>Dashboard_Live_Data!AH47</f>
        <v/>
      </c>
      <c r="C1518">
        <f>Dashboard_Live_Data!AI47</f>
        <v/>
      </c>
      <c r="D1518">
        <f>Dashboard_Live_Data!AJ47</f>
        <v/>
      </c>
      <c r="E1518">
        <f>Dashboard_Live_Data!AK47</f>
        <v/>
      </c>
      <c r="F1518">
        <f>Dashboard_Live_Data!AL47</f>
        <v/>
      </c>
      <c r="G1518">
        <f>Dashboard_Live_Data!AM47</f>
        <v/>
      </c>
      <c r="H1518">
        <f>Dashboard_Live_Data!AN47</f>
        <v/>
      </c>
    </row>
    <row r="1519">
      <c r="A1519">
        <f>Dashboard_Live_Data!AG48</f>
        <v/>
      </c>
      <c r="B1519">
        <f>Dashboard_Live_Data!AH48</f>
        <v/>
      </c>
      <c r="C1519">
        <f>Dashboard_Live_Data!AI48</f>
        <v/>
      </c>
      <c r="D1519">
        <f>Dashboard_Live_Data!AJ48</f>
        <v/>
      </c>
      <c r="E1519">
        <f>Dashboard_Live_Data!AK48</f>
        <v/>
      </c>
      <c r="F1519">
        <f>Dashboard_Live_Data!AL48</f>
        <v/>
      </c>
      <c r="G1519">
        <f>Dashboard_Live_Data!AM48</f>
        <v/>
      </c>
      <c r="H1519">
        <f>Dashboard_Live_Data!AN48</f>
        <v/>
      </c>
    </row>
    <row r="1520">
      <c r="A1520">
        <f>Dashboard_Live_Data!AG49</f>
        <v/>
      </c>
      <c r="B1520">
        <f>Dashboard_Live_Data!AH49</f>
        <v/>
      </c>
      <c r="C1520">
        <f>Dashboard_Live_Data!AI49</f>
        <v/>
      </c>
      <c r="D1520">
        <f>Dashboard_Live_Data!AJ49</f>
        <v/>
      </c>
      <c r="E1520">
        <f>Dashboard_Live_Data!AK49</f>
        <v/>
      </c>
      <c r="F1520">
        <f>Dashboard_Live_Data!AL49</f>
        <v/>
      </c>
      <c r="G1520">
        <f>Dashboard_Live_Data!AM49</f>
        <v/>
      </c>
      <c r="H1520">
        <f>Dashboard_Live_Data!AN49</f>
        <v/>
      </c>
    </row>
    <row r="1521">
      <c r="A1521">
        <f>Dashboard_Live_Data!AG50</f>
        <v/>
      </c>
      <c r="B1521">
        <f>Dashboard_Live_Data!AH50</f>
        <v/>
      </c>
      <c r="C1521">
        <f>Dashboard_Live_Data!AI50</f>
        <v/>
      </c>
      <c r="D1521">
        <f>Dashboard_Live_Data!AJ50</f>
        <v/>
      </c>
      <c r="E1521">
        <f>Dashboard_Live_Data!AK50</f>
        <v/>
      </c>
      <c r="F1521">
        <f>Dashboard_Live_Data!AL50</f>
        <v/>
      </c>
      <c r="G1521">
        <f>Dashboard_Live_Data!AM50</f>
        <v/>
      </c>
      <c r="H1521">
        <f>Dashboard_Live_Data!AN50</f>
        <v/>
      </c>
    </row>
    <row r="1522">
      <c r="A1522">
        <f>Dashboard_Live_Data!AG51</f>
        <v/>
      </c>
      <c r="B1522">
        <f>Dashboard_Live_Data!AH51</f>
        <v/>
      </c>
      <c r="C1522">
        <f>Dashboard_Live_Data!AI51</f>
        <v/>
      </c>
      <c r="D1522">
        <f>Dashboard_Live_Data!AJ51</f>
        <v/>
      </c>
      <c r="E1522">
        <f>Dashboard_Live_Data!AK51</f>
        <v/>
      </c>
      <c r="F1522">
        <f>Dashboard_Live_Data!AL51</f>
        <v/>
      </c>
      <c r="G1522">
        <f>Dashboard_Live_Data!AM51</f>
        <v/>
      </c>
      <c r="H1522">
        <f>Dashboard_Live_Data!AN51</f>
        <v/>
      </c>
    </row>
    <row r="1523">
      <c r="A1523">
        <f>Dashboard_Live_Data!AG52</f>
        <v/>
      </c>
      <c r="B1523">
        <f>Dashboard_Live_Data!AH52</f>
        <v/>
      </c>
      <c r="C1523">
        <f>Dashboard_Live_Data!AI52</f>
        <v/>
      </c>
      <c r="D1523">
        <f>Dashboard_Live_Data!AJ52</f>
        <v/>
      </c>
      <c r="E1523">
        <f>Dashboard_Live_Data!AK52</f>
        <v/>
      </c>
      <c r="F1523">
        <f>Dashboard_Live_Data!AL52</f>
        <v/>
      </c>
      <c r="G1523">
        <f>Dashboard_Live_Data!AM52</f>
        <v/>
      </c>
      <c r="H1523">
        <f>Dashboard_Live_Data!AN52</f>
        <v/>
      </c>
    </row>
    <row r="1524">
      <c r="A1524">
        <f>Dashboard_Live_Data!AG53</f>
        <v/>
      </c>
      <c r="B1524">
        <f>Dashboard_Live_Data!AH53</f>
        <v/>
      </c>
      <c r="C1524">
        <f>Dashboard_Live_Data!AI53</f>
        <v/>
      </c>
      <c r="D1524">
        <f>Dashboard_Live_Data!AJ53</f>
        <v/>
      </c>
      <c r="E1524">
        <f>Dashboard_Live_Data!AK53</f>
        <v/>
      </c>
      <c r="F1524">
        <f>Dashboard_Live_Data!AL53</f>
        <v/>
      </c>
      <c r="G1524">
        <f>Dashboard_Live_Data!AM53</f>
        <v/>
      </c>
      <c r="H1524">
        <f>Dashboard_Live_Data!AN53</f>
        <v/>
      </c>
    </row>
    <row r="1525">
      <c r="A1525">
        <f>Dashboard_Live_Data!AG54</f>
        <v/>
      </c>
      <c r="B1525">
        <f>Dashboard_Live_Data!AH54</f>
        <v/>
      </c>
      <c r="C1525">
        <f>Dashboard_Live_Data!AI54</f>
        <v/>
      </c>
      <c r="D1525">
        <f>Dashboard_Live_Data!AJ54</f>
        <v/>
      </c>
      <c r="E1525">
        <f>Dashboard_Live_Data!AK54</f>
        <v/>
      </c>
      <c r="F1525">
        <f>Dashboard_Live_Data!AL54</f>
        <v/>
      </c>
      <c r="G1525">
        <f>Dashboard_Live_Data!AM54</f>
        <v/>
      </c>
      <c r="H1525">
        <f>Dashboard_Live_Data!AN54</f>
        <v/>
      </c>
    </row>
    <row r="1526">
      <c r="A1526">
        <f>Dashboard_Live_Data!AG55</f>
        <v/>
      </c>
      <c r="B1526">
        <f>Dashboard_Live_Data!AH55</f>
        <v/>
      </c>
      <c r="C1526">
        <f>Dashboard_Live_Data!AI55</f>
        <v/>
      </c>
      <c r="D1526">
        <f>Dashboard_Live_Data!AJ55</f>
        <v/>
      </c>
      <c r="E1526">
        <f>Dashboard_Live_Data!AK55</f>
        <v/>
      </c>
      <c r="F1526">
        <f>Dashboard_Live_Data!AL55</f>
        <v/>
      </c>
      <c r="G1526">
        <f>Dashboard_Live_Data!AM55</f>
        <v/>
      </c>
      <c r="H1526">
        <f>Dashboard_Live_Data!AN55</f>
        <v/>
      </c>
    </row>
    <row r="1527">
      <c r="A1527">
        <f>Dashboard_Live_Data!AG56</f>
        <v/>
      </c>
      <c r="B1527">
        <f>Dashboard_Live_Data!AH56</f>
        <v/>
      </c>
      <c r="C1527">
        <f>Dashboard_Live_Data!AI56</f>
        <v/>
      </c>
      <c r="D1527">
        <f>Dashboard_Live_Data!AJ56</f>
        <v/>
      </c>
      <c r="E1527">
        <f>Dashboard_Live_Data!AK56</f>
        <v/>
      </c>
      <c r="F1527">
        <f>Dashboard_Live_Data!AL56</f>
        <v/>
      </c>
      <c r="G1527">
        <f>Dashboard_Live_Data!AM56</f>
        <v/>
      </c>
      <c r="H1527">
        <f>Dashboard_Live_Data!AN56</f>
        <v/>
      </c>
    </row>
    <row r="1528">
      <c r="A1528">
        <f>Dashboard_Live_Data!AG57</f>
        <v/>
      </c>
      <c r="B1528">
        <f>Dashboard_Live_Data!AH57</f>
        <v/>
      </c>
      <c r="C1528">
        <f>Dashboard_Live_Data!AI57</f>
        <v/>
      </c>
      <c r="D1528">
        <f>Dashboard_Live_Data!AJ57</f>
        <v/>
      </c>
      <c r="E1528">
        <f>Dashboard_Live_Data!AK57</f>
        <v/>
      </c>
      <c r="F1528">
        <f>Dashboard_Live_Data!AL57</f>
        <v/>
      </c>
      <c r="G1528">
        <f>Dashboard_Live_Data!AM57</f>
        <v/>
      </c>
      <c r="H1528">
        <f>Dashboard_Live_Data!AN57</f>
        <v/>
      </c>
    </row>
    <row r="1529">
      <c r="A1529">
        <f>Dashboard_Live_Data!AG58</f>
        <v/>
      </c>
      <c r="B1529">
        <f>Dashboard_Live_Data!AH58</f>
        <v/>
      </c>
      <c r="C1529">
        <f>Dashboard_Live_Data!AI58</f>
        <v/>
      </c>
      <c r="D1529">
        <f>Dashboard_Live_Data!AJ58</f>
        <v/>
      </c>
      <c r="E1529">
        <f>Dashboard_Live_Data!AK58</f>
        <v/>
      </c>
      <c r="F1529">
        <f>Dashboard_Live_Data!AL58</f>
        <v/>
      </c>
      <c r="G1529">
        <f>Dashboard_Live_Data!AM58</f>
        <v/>
      </c>
      <c r="H1529">
        <f>Dashboard_Live_Data!AN58</f>
        <v/>
      </c>
    </row>
    <row r="1530">
      <c r="A1530">
        <f>Dashboard_Live_Data!AG59</f>
        <v/>
      </c>
      <c r="B1530">
        <f>Dashboard_Live_Data!AH59</f>
        <v/>
      </c>
      <c r="C1530">
        <f>Dashboard_Live_Data!AI59</f>
        <v/>
      </c>
      <c r="D1530">
        <f>Dashboard_Live_Data!AJ59</f>
        <v/>
      </c>
      <c r="E1530">
        <f>Dashboard_Live_Data!AK59</f>
        <v/>
      </c>
      <c r="F1530">
        <f>Dashboard_Live_Data!AL59</f>
        <v/>
      </c>
      <c r="G1530">
        <f>Dashboard_Live_Data!AM59</f>
        <v/>
      </c>
      <c r="H1530">
        <f>Dashboard_Live_Data!AN59</f>
        <v/>
      </c>
    </row>
    <row r="1531">
      <c r="A1531">
        <f>Dashboard_Live_Data!AG60</f>
        <v/>
      </c>
      <c r="B1531">
        <f>Dashboard_Live_Data!AH60</f>
        <v/>
      </c>
      <c r="C1531">
        <f>Dashboard_Live_Data!AI60</f>
        <v/>
      </c>
      <c r="D1531">
        <f>Dashboard_Live_Data!AJ60</f>
        <v/>
      </c>
      <c r="E1531">
        <f>Dashboard_Live_Data!AK60</f>
        <v/>
      </c>
      <c r="F1531">
        <f>Dashboard_Live_Data!AL60</f>
        <v/>
      </c>
      <c r="G1531">
        <f>Dashboard_Live_Data!AM60</f>
        <v/>
      </c>
      <c r="H1531">
        <f>Dashboard_Live_Data!AN60</f>
        <v/>
      </c>
    </row>
    <row r="1532">
      <c r="A1532">
        <f>Dashboard_Live_Data!AG61</f>
        <v/>
      </c>
      <c r="B1532">
        <f>Dashboard_Live_Data!AH61</f>
        <v/>
      </c>
      <c r="C1532">
        <f>Dashboard_Live_Data!AI61</f>
        <v/>
      </c>
      <c r="D1532">
        <f>Dashboard_Live_Data!AJ61</f>
        <v/>
      </c>
      <c r="E1532">
        <f>Dashboard_Live_Data!AK61</f>
        <v/>
      </c>
      <c r="F1532">
        <f>Dashboard_Live_Data!AL61</f>
        <v/>
      </c>
      <c r="G1532">
        <f>Dashboard_Live_Data!AM61</f>
        <v/>
      </c>
      <c r="H1532">
        <f>Dashboard_Live_Data!AN61</f>
        <v/>
      </c>
    </row>
    <row r="1533">
      <c r="A1533">
        <f>Dashboard_Live_Data!AG62</f>
        <v/>
      </c>
      <c r="B1533">
        <f>Dashboard_Live_Data!AH62</f>
        <v/>
      </c>
      <c r="C1533">
        <f>Dashboard_Live_Data!AI62</f>
        <v/>
      </c>
      <c r="D1533">
        <f>Dashboard_Live_Data!AJ62</f>
        <v/>
      </c>
      <c r="E1533">
        <f>Dashboard_Live_Data!AK62</f>
        <v/>
      </c>
      <c r="F1533">
        <f>Dashboard_Live_Data!AL62</f>
        <v/>
      </c>
      <c r="G1533">
        <f>Dashboard_Live_Data!AM62</f>
        <v/>
      </c>
      <c r="H1533">
        <f>Dashboard_Live_Data!AN62</f>
        <v/>
      </c>
    </row>
    <row r="1534">
      <c r="A1534">
        <f>Dashboard_Live_Data!AG63</f>
        <v/>
      </c>
      <c r="B1534">
        <f>Dashboard_Live_Data!AH63</f>
        <v/>
      </c>
      <c r="C1534">
        <f>Dashboard_Live_Data!AI63</f>
        <v/>
      </c>
      <c r="D1534">
        <f>Dashboard_Live_Data!AJ63</f>
        <v/>
      </c>
      <c r="E1534">
        <f>Dashboard_Live_Data!AK63</f>
        <v/>
      </c>
      <c r="F1534">
        <f>Dashboard_Live_Data!AL63</f>
        <v/>
      </c>
      <c r="G1534">
        <f>Dashboard_Live_Data!AM63</f>
        <v/>
      </c>
      <c r="H1534">
        <f>Dashboard_Live_Data!AN63</f>
        <v/>
      </c>
    </row>
    <row r="1535">
      <c r="A1535">
        <f>Dashboard_Live_Data!AG64</f>
        <v/>
      </c>
      <c r="B1535">
        <f>Dashboard_Live_Data!AH64</f>
        <v/>
      </c>
      <c r="C1535">
        <f>Dashboard_Live_Data!AI64</f>
        <v/>
      </c>
      <c r="D1535">
        <f>Dashboard_Live_Data!AJ64</f>
        <v/>
      </c>
      <c r="E1535">
        <f>Dashboard_Live_Data!AK64</f>
        <v/>
      </c>
      <c r="F1535">
        <f>Dashboard_Live_Data!AL64</f>
        <v/>
      </c>
      <c r="G1535">
        <f>Dashboard_Live_Data!AM64</f>
        <v/>
      </c>
      <c r="H1535">
        <f>Dashboard_Live_Data!AN64</f>
        <v/>
      </c>
    </row>
    <row r="1536">
      <c r="A1536">
        <f>Dashboard_Live_Data!AG65</f>
        <v/>
      </c>
      <c r="B1536">
        <f>Dashboard_Live_Data!AH65</f>
        <v/>
      </c>
      <c r="C1536">
        <f>Dashboard_Live_Data!AI65</f>
        <v/>
      </c>
      <c r="D1536">
        <f>Dashboard_Live_Data!AJ65</f>
        <v/>
      </c>
      <c r="E1536">
        <f>Dashboard_Live_Data!AK65</f>
        <v/>
      </c>
      <c r="F1536">
        <f>Dashboard_Live_Data!AL65</f>
        <v/>
      </c>
      <c r="G1536">
        <f>Dashboard_Live_Data!AM65</f>
        <v/>
      </c>
      <c r="H1536">
        <f>Dashboard_Live_Data!AN65</f>
        <v/>
      </c>
    </row>
    <row r="1537">
      <c r="A1537">
        <f>Dashboard_Live_Data!AG66</f>
        <v/>
      </c>
      <c r="B1537">
        <f>Dashboard_Live_Data!AH66</f>
        <v/>
      </c>
      <c r="C1537">
        <f>Dashboard_Live_Data!AI66</f>
        <v/>
      </c>
      <c r="D1537">
        <f>Dashboard_Live_Data!AJ66</f>
        <v/>
      </c>
      <c r="E1537">
        <f>Dashboard_Live_Data!AK66</f>
        <v/>
      </c>
      <c r="F1537">
        <f>Dashboard_Live_Data!AL66</f>
        <v/>
      </c>
      <c r="G1537">
        <f>Dashboard_Live_Data!AM66</f>
        <v/>
      </c>
      <c r="H1537">
        <f>Dashboard_Live_Data!AN66</f>
        <v/>
      </c>
    </row>
    <row r="1538">
      <c r="A1538">
        <f>Dashboard_Live_Data!AG67</f>
        <v/>
      </c>
      <c r="B1538">
        <f>Dashboard_Live_Data!AH67</f>
        <v/>
      </c>
      <c r="C1538">
        <f>Dashboard_Live_Data!AI67</f>
        <v/>
      </c>
      <c r="D1538">
        <f>Dashboard_Live_Data!AJ67</f>
        <v/>
      </c>
      <c r="E1538">
        <f>Dashboard_Live_Data!AK67</f>
        <v/>
      </c>
      <c r="F1538">
        <f>Dashboard_Live_Data!AL67</f>
        <v/>
      </c>
      <c r="G1538">
        <f>Dashboard_Live_Data!AM67</f>
        <v/>
      </c>
      <c r="H1538">
        <f>Dashboard_Live_Data!AN67</f>
        <v/>
      </c>
    </row>
    <row r="1539">
      <c r="A1539">
        <f>Dashboard_Live_Data!AG68</f>
        <v/>
      </c>
      <c r="B1539">
        <f>Dashboard_Live_Data!AH68</f>
        <v/>
      </c>
      <c r="C1539">
        <f>Dashboard_Live_Data!AI68</f>
        <v/>
      </c>
      <c r="D1539">
        <f>Dashboard_Live_Data!AJ68</f>
        <v/>
      </c>
      <c r="E1539">
        <f>Dashboard_Live_Data!AK68</f>
        <v/>
      </c>
      <c r="F1539">
        <f>Dashboard_Live_Data!AL68</f>
        <v/>
      </c>
      <c r="G1539">
        <f>Dashboard_Live_Data!AM68</f>
        <v/>
      </c>
      <c r="H1539">
        <f>Dashboard_Live_Data!AN68</f>
        <v/>
      </c>
    </row>
    <row r="1540">
      <c r="A1540">
        <f>Dashboard_Live_Data!AG69</f>
        <v/>
      </c>
      <c r="B1540">
        <f>Dashboard_Live_Data!AH69</f>
        <v/>
      </c>
      <c r="C1540">
        <f>Dashboard_Live_Data!AI69</f>
        <v/>
      </c>
      <c r="D1540">
        <f>Dashboard_Live_Data!AJ69</f>
        <v/>
      </c>
      <c r="E1540">
        <f>Dashboard_Live_Data!AK69</f>
        <v/>
      </c>
      <c r="F1540">
        <f>Dashboard_Live_Data!AL69</f>
        <v/>
      </c>
      <c r="G1540">
        <f>Dashboard_Live_Data!AM69</f>
        <v/>
      </c>
      <c r="H1540">
        <f>Dashboard_Live_Data!AN69</f>
        <v/>
      </c>
    </row>
    <row r="1541">
      <c r="A1541">
        <f>Dashboard_Live_Data!AG70</f>
        <v/>
      </c>
      <c r="B1541">
        <f>Dashboard_Live_Data!AH70</f>
        <v/>
      </c>
      <c r="C1541">
        <f>Dashboard_Live_Data!AI70</f>
        <v/>
      </c>
      <c r="D1541">
        <f>Dashboard_Live_Data!AJ70</f>
        <v/>
      </c>
      <c r="E1541">
        <f>Dashboard_Live_Data!AK70</f>
        <v/>
      </c>
      <c r="F1541">
        <f>Dashboard_Live_Data!AL70</f>
        <v/>
      </c>
      <c r="G1541">
        <f>Dashboard_Live_Data!AM70</f>
        <v/>
      </c>
      <c r="H1541">
        <f>Dashboard_Live_Data!AN70</f>
        <v/>
      </c>
    </row>
    <row r="1542">
      <c r="A1542">
        <f>Dashboard_Live_Data!AG71</f>
        <v/>
      </c>
      <c r="B1542">
        <f>Dashboard_Live_Data!AH71</f>
        <v/>
      </c>
      <c r="C1542">
        <f>Dashboard_Live_Data!AI71</f>
        <v/>
      </c>
      <c r="D1542">
        <f>Dashboard_Live_Data!AJ71</f>
        <v/>
      </c>
      <c r="E1542">
        <f>Dashboard_Live_Data!AK71</f>
        <v/>
      </c>
      <c r="F1542">
        <f>Dashboard_Live_Data!AL71</f>
        <v/>
      </c>
      <c r="G1542">
        <f>Dashboard_Live_Data!AM71</f>
        <v/>
      </c>
      <c r="H1542">
        <f>Dashboard_Live_Data!AN71</f>
        <v/>
      </c>
    </row>
    <row r="1543">
      <c r="A1543">
        <f>Dashboard_Live_Data!AG72</f>
        <v/>
      </c>
      <c r="B1543">
        <f>Dashboard_Live_Data!AH72</f>
        <v/>
      </c>
      <c r="C1543">
        <f>Dashboard_Live_Data!AI72</f>
        <v/>
      </c>
      <c r="D1543">
        <f>Dashboard_Live_Data!AJ72</f>
        <v/>
      </c>
      <c r="E1543">
        <f>Dashboard_Live_Data!AK72</f>
        <v/>
      </c>
      <c r="F1543">
        <f>Dashboard_Live_Data!AL72</f>
        <v/>
      </c>
      <c r="G1543">
        <f>Dashboard_Live_Data!AM72</f>
        <v/>
      </c>
      <c r="H1543">
        <f>Dashboard_Live_Data!AN72</f>
        <v/>
      </c>
    </row>
    <row r="1544">
      <c r="A1544">
        <f>Dashboard_Live_Data!AG73</f>
        <v/>
      </c>
      <c r="B1544">
        <f>Dashboard_Live_Data!AH73</f>
        <v/>
      </c>
      <c r="C1544">
        <f>Dashboard_Live_Data!AI73</f>
        <v/>
      </c>
      <c r="D1544">
        <f>Dashboard_Live_Data!AJ73</f>
        <v/>
      </c>
      <c r="E1544">
        <f>Dashboard_Live_Data!AK73</f>
        <v/>
      </c>
      <c r="F1544">
        <f>Dashboard_Live_Data!AL73</f>
        <v/>
      </c>
      <c r="G1544">
        <f>Dashboard_Live_Data!AM73</f>
        <v/>
      </c>
      <c r="H1544">
        <f>Dashboard_Live_Data!AN73</f>
        <v/>
      </c>
    </row>
    <row r="1545">
      <c r="A1545">
        <f>Dashboard_Live_Data!AG74</f>
        <v/>
      </c>
      <c r="B1545">
        <f>Dashboard_Live_Data!AH74</f>
        <v/>
      </c>
      <c r="C1545">
        <f>Dashboard_Live_Data!AI74</f>
        <v/>
      </c>
      <c r="D1545">
        <f>Dashboard_Live_Data!AJ74</f>
        <v/>
      </c>
      <c r="E1545">
        <f>Dashboard_Live_Data!AK74</f>
        <v/>
      </c>
      <c r="F1545">
        <f>Dashboard_Live_Data!AL74</f>
        <v/>
      </c>
      <c r="G1545">
        <f>Dashboard_Live_Data!AM74</f>
        <v/>
      </c>
      <c r="H1545">
        <f>Dashboard_Live_Data!AN74</f>
        <v/>
      </c>
    </row>
    <row r="1546">
      <c r="A1546">
        <f>Dashboard_Live_Data!AG75</f>
        <v/>
      </c>
      <c r="B1546">
        <f>Dashboard_Live_Data!AH75</f>
        <v/>
      </c>
      <c r="C1546">
        <f>Dashboard_Live_Data!AI75</f>
        <v/>
      </c>
      <c r="D1546">
        <f>Dashboard_Live_Data!AJ75</f>
        <v/>
      </c>
      <c r="E1546">
        <f>Dashboard_Live_Data!AK75</f>
        <v/>
      </c>
      <c r="F1546">
        <f>Dashboard_Live_Data!AL75</f>
        <v/>
      </c>
      <c r="G1546">
        <f>Dashboard_Live_Data!AM75</f>
        <v/>
      </c>
      <c r="H1546">
        <f>Dashboard_Live_Data!AN75</f>
        <v/>
      </c>
    </row>
    <row r="1547">
      <c r="A1547">
        <f>Dashboard_Live_Data!AG76</f>
        <v/>
      </c>
      <c r="B1547">
        <f>Dashboard_Live_Data!AH76</f>
        <v/>
      </c>
      <c r="C1547">
        <f>Dashboard_Live_Data!AI76</f>
        <v/>
      </c>
      <c r="D1547">
        <f>Dashboard_Live_Data!AJ76</f>
        <v/>
      </c>
      <c r="E1547">
        <f>Dashboard_Live_Data!AK76</f>
        <v/>
      </c>
      <c r="F1547">
        <f>Dashboard_Live_Data!AL76</f>
        <v/>
      </c>
      <c r="G1547">
        <f>Dashboard_Live_Data!AM76</f>
        <v/>
      </c>
      <c r="H1547">
        <f>Dashboard_Live_Data!AN76</f>
        <v/>
      </c>
    </row>
    <row r="1548">
      <c r="A1548">
        <f>Dashboard_Live_Data!AG77</f>
        <v/>
      </c>
      <c r="B1548">
        <f>Dashboard_Live_Data!AH77</f>
        <v/>
      </c>
      <c r="C1548">
        <f>Dashboard_Live_Data!AI77</f>
        <v/>
      </c>
      <c r="D1548">
        <f>Dashboard_Live_Data!AJ77</f>
        <v/>
      </c>
      <c r="E1548">
        <f>Dashboard_Live_Data!AK77</f>
        <v/>
      </c>
      <c r="F1548">
        <f>Dashboard_Live_Data!AL77</f>
        <v/>
      </c>
      <c r="G1548">
        <f>Dashboard_Live_Data!AM77</f>
        <v/>
      </c>
      <c r="H1548">
        <f>Dashboard_Live_Data!AN77</f>
        <v/>
      </c>
    </row>
    <row r="1549">
      <c r="A1549">
        <f>Dashboard_Live_Data!AG78</f>
        <v/>
      </c>
      <c r="B1549">
        <f>Dashboard_Live_Data!AH78</f>
        <v/>
      </c>
      <c r="C1549">
        <f>Dashboard_Live_Data!AI78</f>
        <v/>
      </c>
      <c r="D1549">
        <f>Dashboard_Live_Data!AJ78</f>
        <v/>
      </c>
      <c r="E1549">
        <f>Dashboard_Live_Data!AK78</f>
        <v/>
      </c>
      <c r="F1549">
        <f>Dashboard_Live_Data!AL78</f>
        <v/>
      </c>
      <c r="G1549">
        <f>Dashboard_Live_Data!AM78</f>
        <v/>
      </c>
      <c r="H1549">
        <f>Dashboard_Live_Data!AN78</f>
        <v/>
      </c>
    </row>
    <row r="1550">
      <c r="A1550">
        <f>Dashboard_Live_Data!AG79</f>
        <v/>
      </c>
      <c r="B1550">
        <f>Dashboard_Live_Data!AH79</f>
        <v/>
      </c>
      <c r="C1550">
        <f>Dashboard_Live_Data!AI79</f>
        <v/>
      </c>
      <c r="D1550">
        <f>Dashboard_Live_Data!AJ79</f>
        <v/>
      </c>
      <c r="E1550">
        <f>Dashboard_Live_Data!AK79</f>
        <v/>
      </c>
      <c r="F1550">
        <f>Dashboard_Live_Data!AL79</f>
        <v/>
      </c>
      <c r="G1550">
        <f>Dashboard_Live_Data!AM79</f>
        <v/>
      </c>
      <c r="H1550">
        <f>Dashboard_Live_Data!AN79</f>
        <v/>
      </c>
    </row>
    <row r="1551">
      <c r="A1551">
        <f>Dashboard_Live_Data!AG80</f>
        <v/>
      </c>
      <c r="B1551">
        <f>Dashboard_Live_Data!AH80</f>
        <v/>
      </c>
      <c r="C1551">
        <f>Dashboard_Live_Data!AI80</f>
        <v/>
      </c>
      <c r="D1551">
        <f>Dashboard_Live_Data!AJ80</f>
        <v/>
      </c>
      <c r="E1551">
        <f>Dashboard_Live_Data!AK80</f>
        <v/>
      </c>
      <c r="F1551">
        <f>Dashboard_Live_Data!AL80</f>
        <v/>
      </c>
      <c r="G1551">
        <f>Dashboard_Live_Data!AM80</f>
        <v/>
      </c>
      <c r="H1551">
        <f>Dashboard_Live_Data!AN80</f>
        <v/>
      </c>
    </row>
    <row r="1552">
      <c r="A1552">
        <f>Dashboard_Live_Data!AG81</f>
        <v/>
      </c>
      <c r="B1552">
        <f>Dashboard_Live_Data!AH81</f>
        <v/>
      </c>
      <c r="C1552">
        <f>Dashboard_Live_Data!AI81</f>
        <v/>
      </c>
      <c r="D1552">
        <f>Dashboard_Live_Data!AJ81</f>
        <v/>
      </c>
      <c r="E1552">
        <f>Dashboard_Live_Data!AK81</f>
        <v/>
      </c>
      <c r="F1552">
        <f>Dashboard_Live_Data!AL81</f>
        <v/>
      </c>
      <c r="G1552">
        <f>Dashboard_Live_Data!AM81</f>
        <v/>
      </c>
      <c r="H1552">
        <f>Dashboard_Live_Data!AN81</f>
        <v/>
      </c>
    </row>
    <row r="1553">
      <c r="A1553">
        <f>Dashboard_Live_Data!AG82</f>
        <v/>
      </c>
      <c r="B1553">
        <f>Dashboard_Live_Data!AH82</f>
        <v/>
      </c>
      <c r="C1553">
        <f>Dashboard_Live_Data!AI82</f>
        <v/>
      </c>
      <c r="D1553">
        <f>Dashboard_Live_Data!AJ82</f>
        <v/>
      </c>
      <c r="E1553">
        <f>Dashboard_Live_Data!AK82</f>
        <v/>
      </c>
      <c r="F1553">
        <f>Dashboard_Live_Data!AL82</f>
        <v/>
      </c>
      <c r="G1553">
        <f>Dashboard_Live_Data!AM82</f>
        <v/>
      </c>
      <c r="H1553">
        <f>Dashboard_Live_Data!AN82</f>
        <v/>
      </c>
    </row>
    <row r="1554">
      <c r="A1554">
        <f>Dashboard_Live_Data!AG83</f>
        <v/>
      </c>
      <c r="B1554">
        <f>Dashboard_Live_Data!AH83</f>
        <v/>
      </c>
      <c r="C1554">
        <f>Dashboard_Live_Data!AI83</f>
        <v/>
      </c>
      <c r="D1554">
        <f>Dashboard_Live_Data!AJ83</f>
        <v/>
      </c>
      <c r="E1554">
        <f>Dashboard_Live_Data!AK83</f>
        <v/>
      </c>
      <c r="F1554">
        <f>Dashboard_Live_Data!AL83</f>
        <v/>
      </c>
      <c r="G1554">
        <f>Dashboard_Live_Data!AM83</f>
        <v/>
      </c>
      <c r="H1554">
        <f>Dashboard_Live_Data!AN83</f>
        <v/>
      </c>
    </row>
    <row r="1555">
      <c r="A1555">
        <f>Dashboard_Live_Data!AG84</f>
        <v/>
      </c>
      <c r="B1555">
        <f>Dashboard_Live_Data!AH84</f>
        <v/>
      </c>
      <c r="C1555">
        <f>Dashboard_Live_Data!AI84</f>
        <v/>
      </c>
      <c r="D1555">
        <f>Dashboard_Live_Data!AJ84</f>
        <v/>
      </c>
      <c r="E1555">
        <f>Dashboard_Live_Data!AK84</f>
        <v/>
      </c>
      <c r="F1555">
        <f>Dashboard_Live_Data!AL84</f>
        <v/>
      </c>
      <c r="G1555">
        <f>Dashboard_Live_Data!AM84</f>
        <v/>
      </c>
      <c r="H1555">
        <f>Dashboard_Live_Data!AN84</f>
        <v/>
      </c>
    </row>
    <row r="1556">
      <c r="A1556">
        <f>Dashboard_Live_Data!AG85</f>
        <v/>
      </c>
      <c r="B1556">
        <f>Dashboard_Live_Data!AH85</f>
        <v/>
      </c>
      <c r="C1556">
        <f>Dashboard_Live_Data!AI85</f>
        <v/>
      </c>
      <c r="D1556">
        <f>Dashboard_Live_Data!AJ85</f>
        <v/>
      </c>
      <c r="E1556">
        <f>Dashboard_Live_Data!AK85</f>
        <v/>
      </c>
      <c r="F1556">
        <f>Dashboard_Live_Data!AL85</f>
        <v/>
      </c>
      <c r="G1556">
        <f>Dashboard_Live_Data!AM85</f>
        <v/>
      </c>
      <c r="H1556">
        <f>Dashboard_Live_Data!AN85</f>
        <v/>
      </c>
    </row>
    <row r="1557">
      <c r="A1557">
        <f>Dashboard_Live_Data!AG86</f>
        <v/>
      </c>
      <c r="B1557">
        <f>Dashboard_Live_Data!AH86</f>
        <v/>
      </c>
      <c r="C1557">
        <f>Dashboard_Live_Data!AI86</f>
        <v/>
      </c>
      <c r="D1557">
        <f>Dashboard_Live_Data!AJ86</f>
        <v/>
      </c>
      <c r="E1557">
        <f>Dashboard_Live_Data!AK86</f>
        <v/>
      </c>
      <c r="F1557">
        <f>Dashboard_Live_Data!AL86</f>
        <v/>
      </c>
      <c r="G1557">
        <f>Dashboard_Live_Data!AM86</f>
        <v/>
      </c>
      <c r="H1557">
        <f>Dashboard_Live_Data!AN86</f>
        <v/>
      </c>
    </row>
    <row r="1558">
      <c r="A1558">
        <f>Dashboard_Live_Data!AG87</f>
        <v/>
      </c>
      <c r="B1558">
        <f>Dashboard_Live_Data!AH87</f>
        <v/>
      </c>
      <c r="C1558">
        <f>Dashboard_Live_Data!AI87</f>
        <v/>
      </c>
      <c r="D1558">
        <f>Dashboard_Live_Data!AJ87</f>
        <v/>
      </c>
      <c r="E1558">
        <f>Dashboard_Live_Data!AK87</f>
        <v/>
      </c>
      <c r="F1558">
        <f>Dashboard_Live_Data!AL87</f>
        <v/>
      </c>
      <c r="G1558">
        <f>Dashboard_Live_Data!AM87</f>
        <v/>
      </c>
      <c r="H1558">
        <f>Dashboard_Live_Data!AN87</f>
        <v/>
      </c>
    </row>
    <row r="1559">
      <c r="A1559">
        <f>Dashboard_Live_Data!AG88</f>
        <v/>
      </c>
      <c r="B1559">
        <f>Dashboard_Live_Data!AH88</f>
        <v/>
      </c>
      <c r="C1559">
        <f>Dashboard_Live_Data!AI88</f>
        <v/>
      </c>
      <c r="D1559">
        <f>Dashboard_Live_Data!AJ88</f>
        <v/>
      </c>
      <c r="E1559">
        <f>Dashboard_Live_Data!AK88</f>
        <v/>
      </c>
      <c r="F1559">
        <f>Dashboard_Live_Data!AL88</f>
        <v/>
      </c>
      <c r="G1559">
        <f>Dashboard_Live_Data!AM88</f>
        <v/>
      </c>
      <c r="H1559">
        <f>Dashboard_Live_Data!AN88</f>
        <v/>
      </c>
    </row>
    <row r="1560">
      <c r="A1560">
        <f>Dashboard_Live_Data!AG89</f>
        <v/>
      </c>
      <c r="B1560">
        <f>Dashboard_Live_Data!AH89</f>
        <v/>
      </c>
      <c r="C1560">
        <f>Dashboard_Live_Data!AI89</f>
        <v/>
      </c>
      <c r="D1560">
        <f>Dashboard_Live_Data!AJ89</f>
        <v/>
      </c>
      <c r="E1560">
        <f>Dashboard_Live_Data!AK89</f>
        <v/>
      </c>
      <c r="F1560">
        <f>Dashboard_Live_Data!AL89</f>
        <v/>
      </c>
      <c r="G1560">
        <f>Dashboard_Live_Data!AM89</f>
        <v/>
      </c>
      <c r="H1560">
        <f>Dashboard_Live_Data!AN89</f>
        <v/>
      </c>
    </row>
    <row r="1561">
      <c r="A1561">
        <f>Dashboard_Live_Data!AG90</f>
        <v/>
      </c>
      <c r="B1561">
        <f>Dashboard_Live_Data!AH90</f>
        <v/>
      </c>
      <c r="C1561">
        <f>Dashboard_Live_Data!AI90</f>
        <v/>
      </c>
      <c r="D1561">
        <f>Dashboard_Live_Data!AJ90</f>
        <v/>
      </c>
      <c r="E1561">
        <f>Dashboard_Live_Data!AK90</f>
        <v/>
      </c>
      <c r="F1561">
        <f>Dashboard_Live_Data!AL90</f>
        <v/>
      </c>
      <c r="G1561">
        <f>Dashboard_Live_Data!AM90</f>
        <v/>
      </c>
      <c r="H1561">
        <f>Dashboard_Live_Data!AN90</f>
        <v/>
      </c>
    </row>
    <row r="1562">
      <c r="A1562">
        <f>Dashboard_Live_Data!AG91</f>
        <v/>
      </c>
      <c r="B1562">
        <f>Dashboard_Live_Data!AH91</f>
        <v/>
      </c>
      <c r="C1562">
        <f>Dashboard_Live_Data!AI91</f>
        <v/>
      </c>
      <c r="D1562">
        <f>Dashboard_Live_Data!AJ91</f>
        <v/>
      </c>
      <c r="E1562">
        <f>Dashboard_Live_Data!AK91</f>
        <v/>
      </c>
      <c r="F1562">
        <f>Dashboard_Live_Data!AL91</f>
        <v/>
      </c>
      <c r="G1562">
        <f>Dashboard_Live_Data!AM91</f>
        <v/>
      </c>
      <c r="H1562">
        <f>Dashboard_Live_Data!AN91</f>
        <v/>
      </c>
    </row>
    <row r="1563">
      <c r="A1563">
        <f>Dashboard_Live_Data!AG92</f>
        <v/>
      </c>
      <c r="B1563">
        <f>Dashboard_Live_Data!AH92</f>
        <v/>
      </c>
      <c r="C1563">
        <f>Dashboard_Live_Data!AI92</f>
        <v/>
      </c>
      <c r="D1563">
        <f>Dashboard_Live_Data!AJ92</f>
        <v/>
      </c>
      <c r="E1563">
        <f>Dashboard_Live_Data!AK92</f>
        <v/>
      </c>
      <c r="F1563">
        <f>Dashboard_Live_Data!AL92</f>
        <v/>
      </c>
      <c r="G1563">
        <f>Dashboard_Live_Data!AM92</f>
        <v/>
      </c>
      <c r="H1563">
        <f>Dashboard_Live_Data!AN92</f>
        <v/>
      </c>
    </row>
    <row r="1564">
      <c r="A1564">
        <f>Dashboard_Live_Data!AG93</f>
        <v/>
      </c>
      <c r="B1564">
        <f>Dashboard_Live_Data!AH93</f>
        <v/>
      </c>
      <c r="C1564">
        <f>Dashboard_Live_Data!AI93</f>
        <v/>
      </c>
      <c r="D1564">
        <f>Dashboard_Live_Data!AJ93</f>
        <v/>
      </c>
      <c r="E1564">
        <f>Dashboard_Live_Data!AK93</f>
        <v/>
      </c>
      <c r="F1564">
        <f>Dashboard_Live_Data!AL93</f>
        <v/>
      </c>
      <c r="G1564">
        <f>Dashboard_Live_Data!AM93</f>
        <v/>
      </c>
      <c r="H1564">
        <f>Dashboard_Live_Data!AN93</f>
        <v/>
      </c>
    </row>
    <row r="1565">
      <c r="A1565">
        <f>Dashboard_Live_Data!AG94</f>
        <v/>
      </c>
      <c r="B1565">
        <f>Dashboard_Live_Data!AH94</f>
        <v/>
      </c>
      <c r="C1565">
        <f>Dashboard_Live_Data!AI94</f>
        <v/>
      </c>
      <c r="D1565">
        <f>Dashboard_Live_Data!AJ94</f>
        <v/>
      </c>
      <c r="E1565">
        <f>Dashboard_Live_Data!AK94</f>
        <v/>
      </c>
      <c r="F1565">
        <f>Dashboard_Live_Data!AL94</f>
        <v/>
      </c>
      <c r="G1565">
        <f>Dashboard_Live_Data!AM94</f>
        <v/>
      </c>
      <c r="H1565">
        <f>Dashboard_Live_Data!AN94</f>
        <v/>
      </c>
    </row>
    <row r="1566">
      <c r="A1566">
        <f>Dashboard_Live_Data!AG95</f>
        <v/>
      </c>
      <c r="B1566">
        <f>Dashboard_Live_Data!AH95</f>
        <v/>
      </c>
      <c r="C1566">
        <f>Dashboard_Live_Data!AI95</f>
        <v/>
      </c>
      <c r="D1566">
        <f>Dashboard_Live_Data!AJ95</f>
        <v/>
      </c>
      <c r="E1566">
        <f>Dashboard_Live_Data!AK95</f>
        <v/>
      </c>
      <c r="F1566">
        <f>Dashboard_Live_Data!AL95</f>
        <v/>
      </c>
      <c r="G1566">
        <f>Dashboard_Live_Data!AM95</f>
        <v/>
      </c>
      <c r="H1566">
        <f>Dashboard_Live_Data!AN95</f>
        <v/>
      </c>
    </row>
    <row r="1567">
      <c r="A1567">
        <f>Dashboard_Live_Data!AG96</f>
        <v/>
      </c>
      <c r="B1567">
        <f>Dashboard_Live_Data!AH96</f>
        <v/>
      </c>
      <c r="C1567">
        <f>Dashboard_Live_Data!AI96</f>
        <v/>
      </c>
      <c r="D1567">
        <f>Dashboard_Live_Data!AJ96</f>
        <v/>
      </c>
      <c r="E1567">
        <f>Dashboard_Live_Data!AK96</f>
        <v/>
      </c>
      <c r="F1567">
        <f>Dashboard_Live_Data!AL96</f>
        <v/>
      </c>
      <c r="G1567">
        <f>Dashboard_Live_Data!AM96</f>
        <v/>
      </c>
      <c r="H1567">
        <f>Dashboard_Live_Data!AN96</f>
        <v/>
      </c>
    </row>
    <row r="1568">
      <c r="A1568">
        <f>Dashboard_Live_Data!AG97</f>
        <v/>
      </c>
      <c r="B1568">
        <f>Dashboard_Live_Data!AH97</f>
        <v/>
      </c>
      <c r="C1568">
        <f>Dashboard_Live_Data!AI97</f>
        <v/>
      </c>
      <c r="D1568">
        <f>Dashboard_Live_Data!AJ97</f>
        <v/>
      </c>
      <c r="E1568">
        <f>Dashboard_Live_Data!AK97</f>
        <v/>
      </c>
      <c r="F1568">
        <f>Dashboard_Live_Data!AL97</f>
        <v/>
      </c>
      <c r="G1568">
        <f>Dashboard_Live_Data!AM97</f>
        <v/>
      </c>
      <c r="H1568">
        <f>Dashboard_Live_Data!AN97</f>
        <v/>
      </c>
    </row>
    <row r="1569">
      <c r="A1569">
        <f>Dashboard_Live_Data!AG98</f>
        <v/>
      </c>
      <c r="B1569">
        <f>Dashboard_Live_Data!AH98</f>
        <v/>
      </c>
      <c r="C1569">
        <f>Dashboard_Live_Data!AI98</f>
        <v/>
      </c>
      <c r="D1569">
        <f>Dashboard_Live_Data!AJ98</f>
        <v/>
      </c>
      <c r="E1569">
        <f>Dashboard_Live_Data!AK98</f>
        <v/>
      </c>
      <c r="F1569">
        <f>Dashboard_Live_Data!AL98</f>
        <v/>
      </c>
      <c r="G1569">
        <f>Dashboard_Live_Data!AM98</f>
        <v/>
      </c>
      <c r="H1569">
        <f>Dashboard_Live_Data!AN98</f>
        <v/>
      </c>
    </row>
    <row r="1570">
      <c r="A1570">
        <f>Dashboard_Live_Data!AG99</f>
        <v/>
      </c>
      <c r="B1570">
        <f>Dashboard_Live_Data!AH99</f>
        <v/>
      </c>
      <c r="C1570">
        <f>Dashboard_Live_Data!AI99</f>
        <v/>
      </c>
      <c r="D1570">
        <f>Dashboard_Live_Data!AJ99</f>
        <v/>
      </c>
      <c r="E1570">
        <f>Dashboard_Live_Data!AK99</f>
        <v/>
      </c>
      <c r="F1570">
        <f>Dashboard_Live_Data!AL99</f>
        <v/>
      </c>
      <c r="G1570">
        <f>Dashboard_Live_Data!AM99</f>
        <v/>
      </c>
      <c r="H1570">
        <f>Dashboard_Live_Data!AN99</f>
        <v/>
      </c>
    </row>
    <row r="1571">
      <c r="A1571">
        <f>Dashboard_Live_Data!AG100</f>
        <v/>
      </c>
      <c r="B1571">
        <f>Dashboard_Live_Data!AH100</f>
        <v/>
      </c>
      <c r="C1571">
        <f>Dashboard_Live_Data!AI100</f>
        <v/>
      </c>
      <c r="D1571">
        <f>Dashboard_Live_Data!AJ100</f>
        <v/>
      </c>
      <c r="E1571">
        <f>Dashboard_Live_Data!AK100</f>
        <v/>
      </c>
      <c r="F1571">
        <f>Dashboard_Live_Data!AL100</f>
        <v/>
      </c>
      <c r="G1571">
        <f>Dashboard_Live_Data!AM100</f>
        <v/>
      </c>
      <c r="H1571">
        <f>Dashboard_Live_Data!AN100</f>
        <v/>
      </c>
    </row>
    <row r="1572">
      <c r="A1572">
        <f>Dashboard_Live_Data!AG101</f>
        <v/>
      </c>
      <c r="B1572">
        <f>Dashboard_Live_Data!AH101</f>
        <v/>
      </c>
      <c r="C1572">
        <f>Dashboard_Live_Data!AI101</f>
        <v/>
      </c>
      <c r="D1572">
        <f>Dashboard_Live_Data!AJ101</f>
        <v/>
      </c>
      <c r="E1572">
        <f>Dashboard_Live_Data!AK101</f>
        <v/>
      </c>
      <c r="F1572">
        <f>Dashboard_Live_Data!AL101</f>
        <v/>
      </c>
      <c r="G1572">
        <f>Dashboard_Live_Data!AM101</f>
        <v/>
      </c>
      <c r="H1572">
        <f>Dashboard_Live_Data!AN101</f>
        <v/>
      </c>
    </row>
    <row r="1573">
      <c r="A1573">
        <f>Dashboard_Live_Data!AG102</f>
        <v/>
      </c>
      <c r="B1573">
        <f>Dashboard_Live_Data!AH102</f>
        <v/>
      </c>
      <c r="C1573">
        <f>Dashboard_Live_Data!AI102</f>
        <v/>
      </c>
      <c r="D1573">
        <f>Dashboard_Live_Data!AJ102</f>
        <v/>
      </c>
      <c r="E1573">
        <f>Dashboard_Live_Data!AK102</f>
        <v/>
      </c>
      <c r="F1573">
        <f>Dashboard_Live_Data!AL102</f>
        <v/>
      </c>
      <c r="G1573">
        <f>Dashboard_Live_Data!AM102</f>
        <v/>
      </c>
      <c r="H1573">
        <f>Dashboard_Live_Data!AN102</f>
        <v/>
      </c>
    </row>
    <row r="1574">
      <c r="A1574">
        <f>Dashboard_Live_Data!AG103</f>
        <v/>
      </c>
      <c r="B1574">
        <f>Dashboard_Live_Data!AH103</f>
        <v/>
      </c>
      <c r="C1574">
        <f>Dashboard_Live_Data!AI103</f>
        <v/>
      </c>
      <c r="D1574">
        <f>Dashboard_Live_Data!AJ103</f>
        <v/>
      </c>
      <c r="E1574">
        <f>Dashboard_Live_Data!AK103</f>
        <v/>
      </c>
      <c r="F1574">
        <f>Dashboard_Live_Data!AL103</f>
        <v/>
      </c>
      <c r="G1574">
        <f>Dashboard_Live_Data!AM103</f>
        <v/>
      </c>
      <c r="H1574">
        <f>Dashboard_Live_Data!AN103</f>
        <v/>
      </c>
    </row>
    <row r="1575">
      <c r="A1575">
        <f>Dashboard_Live_Data!AG104</f>
        <v/>
      </c>
      <c r="B1575">
        <f>Dashboard_Live_Data!AH104</f>
        <v/>
      </c>
      <c r="C1575">
        <f>Dashboard_Live_Data!AI104</f>
        <v/>
      </c>
      <c r="D1575">
        <f>Dashboard_Live_Data!AJ104</f>
        <v/>
      </c>
      <c r="E1575">
        <f>Dashboard_Live_Data!AK104</f>
        <v/>
      </c>
      <c r="F1575">
        <f>Dashboard_Live_Data!AL104</f>
        <v/>
      </c>
      <c r="G1575">
        <f>Dashboard_Live_Data!AM104</f>
        <v/>
      </c>
      <c r="H1575">
        <f>Dashboard_Live_Data!AN104</f>
        <v/>
      </c>
    </row>
    <row r="1576">
      <c r="A1576">
        <f>Dashboard_Live_Data!AG105</f>
        <v/>
      </c>
      <c r="B1576">
        <f>Dashboard_Live_Data!AH105</f>
        <v/>
      </c>
      <c r="C1576">
        <f>Dashboard_Live_Data!AI105</f>
        <v/>
      </c>
      <c r="D1576">
        <f>Dashboard_Live_Data!AJ105</f>
        <v/>
      </c>
      <c r="E1576">
        <f>Dashboard_Live_Data!AK105</f>
        <v/>
      </c>
      <c r="F1576">
        <f>Dashboard_Live_Data!AL105</f>
        <v/>
      </c>
      <c r="G1576">
        <f>Dashboard_Live_Data!AM105</f>
        <v/>
      </c>
      <c r="H1576">
        <f>Dashboard_Live_Data!AN105</f>
        <v/>
      </c>
    </row>
    <row r="1577">
      <c r="A1577">
        <f>Dashboard_Live_Data!AG106</f>
        <v/>
      </c>
      <c r="B1577">
        <f>Dashboard_Live_Data!AH106</f>
        <v/>
      </c>
      <c r="C1577">
        <f>Dashboard_Live_Data!AI106</f>
        <v/>
      </c>
      <c r="D1577">
        <f>Dashboard_Live_Data!AJ106</f>
        <v/>
      </c>
      <c r="E1577">
        <f>Dashboard_Live_Data!AK106</f>
        <v/>
      </c>
      <c r="F1577">
        <f>Dashboard_Live_Data!AL106</f>
        <v/>
      </c>
      <c r="G1577">
        <f>Dashboard_Live_Data!AM106</f>
        <v/>
      </c>
      <c r="H1577">
        <f>Dashboard_Live_Data!AN106</f>
        <v/>
      </c>
    </row>
    <row r="1578">
      <c r="A1578">
        <f>Dashboard_Live_Data!AG107</f>
        <v/>
      </c>
      <c r="B1578">
        <f>Dashboard_Live_Data!AH107</f>
        <v/>
      </c>
      <c r="C1578">
        <f>Dashboard_Live_Data!AI107</f>
        <v/>
      </c>
      <c r="D1578">
        <f>Dashboard_Live_Data!AJ107</f>
        <v/>
      </c>
      <c r="E1578">
        <f>Dashboard_Live_Data!AK107</f>
        <v/>
      </c>
      <c r="F1578">
        <f>Dashboard_Live_Data!AL107</f>
        <v/>
      </c>
      <c r="G1578">
        <f>Dashboard_Live_Data!AM107</f>
        <v/>
      </c>
      <c r="H1578">
        <f>Dashboard_Live_Data!AN107</f>
        <v/>
      </c>
    </row>
    <row r="1579">
      <c r="A1579">
        <f>Dashboard_Live_Data!AG108</f>
        <v/>
      </c>
      <c r="B1579">
        <f>Dashboard_Live_Data!AH108</f>
        <v/>
      </c>
      <c r="C1579">
        <f>Dashboard_Live_Data!AI108</f>
        <v/>
      </c>
      <c r="D1579">
        <f>Dashboard_Live_Data!AJ108</f>
        <v/>
      </c>
      <c r="E1579">
        <f>Dashboard_Live_Data!AK108</f>
        <v/>
      </c>
      <c r="F1579">
        <f>Dashboard_Live_Data!AL108</f>
        <v/>
      </c>
      <c r="G1579">
        <f>Dashboard_Live_Data!AM108</f>
        <v/>
      </c>
      <c r="H1579">
        <f>Dashboard_Live_Data!AN108</f>
        <v/>
      </c>
    </row>
    <row r="1580">
      <c r="A1580">
        <f>Dashboard_Live_Data!AG109</f>
        <v/>
      </c>
      <c r="B1580">
        <f>Dashboard_Live_Data!AH109</f>
        <v/>
      </c>
      <c r="C1580">
        <f>Dashboard_Live_Data!AI109</f>
        <v/>
      </c>
      <c r="D1580">
        <f>Dashboard_Live_Data!AJ109</f>
        <v/>
      </c>
      <c r="E1580">
        <f>Dashboard_Live_Data!AK109</f>
        <v/>
      </c>
      <c r="F1580">
        <f>Dashboard_Live_Data!AL109</f>
        <v/>
      </c>
      <c r="G1580">
        <f>Dashboard_Live_Data!AM109</f>
        <v/>
      </c>
      <c r="H1580">
        <f>Dashboard_Live_Data!AN109</f>
        <v/>
      </c>
    </row>
    <row r="1581">
      <c r="A1581">
        <f>Dashboard_Live_Data!AG110</f>
        <v/>
      </c>
      <c r="B1581">
        <f>Dashboard_Live_Data!AH110</f>
        <v/>
      </c>
      <c r="C1581">
        <f>Dashboard_Live_Data!AI110</f>
        <v/>
      </c>
      <c r="D1581">
        <f>Dashboard_Live_Data!AJ110</f>
        <v/>
      </c>
      <c r="E1581">
        <f>Dashboard_Live_Data!AK110</f>
        <v/>
      </c>
      <c r="F1581">
        <f>Dashboard_Live_Data!AL110</f>
        <v/>
      </c>
      <c r="G1581">
        <f>Dashboard_Live_Data!AM110</f>
        <v/>
      </c>
      <c r="H1581">
        <f>Dashboard_Live_Data!AN110</f>
        <v/>
      </c>
    </row>
    <row r="1582">
      <c r="A1582">
        <f>Dashboard_Live_Data!AG111</f>
        <v/>
      </c>
      <c r="B1582">
        <f>Dashboard_Live_Data!AH111</f>
        <v/>
      </c>
      <c r="C1582">
        <f>Dashboard_Live_Data!AI111</f>
        <v/>
      </c>
      <c r="D1582">
        <f>Dashboard_Live_Data!AJ111</f>
        <v/>
      </c>
      <c r="E1582">
        <f>Dashboard_Live_Data!AK111</f>
        <v/>
      </c>
      <c r="F1582">
        <f>Dashboard_Live_Data!AL111</f>
        <v/>
      </c>
      <c r="G1582">
        <f>Dashboard_Live_Data!AM111</f>
        <v/>
      </c>
      <c r="H1582">
        <f>Dashboard_Live_Data!AN111</f>
        <v/>
      </c>
    </row>
    <row r="1583">
      <c r="A1583">
        <f>Dashboard_Live_Data!AG112</f>
        <v/>
      </c>
      <c r="B1583">
        <f>Dashboard_Live_Data!AH112</f>
        <v/>
      </c>
      <c r="C1583">
        <f>Dashboard_Live_Data!AI112</f>
        <v/>
      </c>
      <c r="D1583">
        <f>Dashboard_Live_Data!AJ112</f>
        <v/>
      </c>
      <c r="E1583">
        <f>Dashboard_Live_Data!AK112</f>
        <v/>
      </c>
      <c r="F1583">
        <f>Dashboard_Live_Data!AL112</f>
        <v/>
      </c>
      <c r="G1583">
        <f>Dashboard_Live_Data!AM112</f>
        <v/>
      </c>
      <c r="H1583">
        <f>Dashboard_Live_Data!AN112</f>
        <v/>
      </c>
    </row>
    <row r="1584">
      <c r="A1584">
        <f>Dashboard_Live_Data!AG113</f>
        <v/>
      </c>
      <c r="B1584">
        <f>Dashboard_Live_Data!AH113</f>
        <v/>
      </c>
      <c r="C1584">
        <f>Dashboard_Live_Data!AI113</f>
        <v/>
      </c>
      <c r="D1584">
        <f>Dashboard_Live_Data!AJ113</f>
        <v/>
      </c>
      <c r="E1584">
        <f>Dashboard_Live_Data!AK113</f>
        <v/>
      </c>
      <c r="F1584">
        <f>Dashboard_Live_Data!AL113</f>
        <v/>
      </c>
      <c r="G1584">
        <f>Dashboard_Live_Data!AM113</f>
        <v/>
      </c>
      <c r="H1584">
        <f>Dashboard_Live_Data!AN113</f>
        <v/>
      </c>
    </row>
    <row r="1585">
      <c r="A1585">
        <f>Dashboard_Live_Data!AG114</f>
        <v/>
      </c>
      <c r="B1585">
        <f>Dashboard_Live_Data!AH114</f>
        <v/>
      </c>
      <c r="C1585">
        <f>Dashboard_Live_Data!AI114</f>
        <v/>
      </c>
      <c r="D1585">
        <f>Dashboard_Live_Data!AJ114</f>
        <v/>
      </c>
      <c r="E1585">
        <f>Dashboard_Live_Data!AK114</f>
        <v/>
      </c>
      <c r="F1585">
        <f>Dashboard_Live_Data!AL114</f>
        <v/>
      </c>
      <c r="G1585">
        <f>Dashboard_Live_Data!AM114</f>
        <v/>
      </c>
      <c r="H1585">
        <f>Dashboard_Live_Data!AN114</f>
        <v/>
      </c>
    </row>
    <row r="1586">
      <c r="A1586">
        <f>Dashboard_Live_Data!AG115</f>
        <v/>
      </c>
      <c r="B1586">
        <f>Dashboard_Live_Data!AH115</f>
        <v/>
      </c>
      <c r="C1586">
        <f>Dashboard_Live_Data!AI115</f>
        <v/>
      </c>
      <c r="D1586">
        <f>Dashboard_Live_Data!AJ115</f>
        <v/>
      </c>
      <c r="E1586">
        <f>Dashboard_Live_Data!AK115</f>
        <v/>
      </c>
      <c r="F1586">
        <f>Dashboard_Live_Data!AL115</f>
        <v/>
      </c>
      <c r="G1586">
        <f>Dashboard_Live_Data!AM115</f>
        <v/>
      </c>
      <c r="H1586">
        <f>Dashboard_Live_Data!AN115</f>
        <v/>
      </c>
    </row>
    <row r="1587">
      <c r="A1587">
        <f>Dashboard_Live_Data!AG116</f>
        <v/>
      </c>
      <c r="B1587">
        <f>Dashboard_Live_Data!AH116</f>
        <v/>
      </c>
      <c r="C1587">
        <f>Dashboard_Live_Data!AI116</f>
        <v/>
      </c>
      <c r="D1587">
        <f>Dashboard_Live_Data!AJ116</f>
        <v/>
      </c>
      <c r="E1587">
        <f>Dashboard_Live_Data!AK116</f>
        <v/>
      </c>
      <c r="F1587">
        <f>Dashboard_Live_Data!AL116</f>
        <v/>
      </c>
      <c r="G1587">
        <f>Dashboard_Live_Data!AM116</f>
        <v/>
      </c>
      <c r="H1587">
        <f>Dashboard_Live_Data!AN116</f>
        <v/>
      </c>
    </row>
    <row r="1588">
      <c r="A1588">
        <f>Dashboard_Live_Data!AG117</f>
        <v/>
      </c>
      <c r="B1588">
        <f>Dashboard_Live_Data!AH117</f>
        <v/>
      </c>
      <c r="C1588">
        <f>Dashboard_Live_Data!AI117</f>
        <v/>
      </c>
      <c r="D1588">
        <f>Dashboard_Live_Data!AJ117</f>
        <v/>
      </c>
      <c r="E1588">
        <f>Dashboard_Live_Data!AK117</f>
        <v/>
      </c>
      <c r="F1588">
        <f>Dashboard_Live_Data!AL117</f>
        <v/>
      </c>
      <c r="G1588">
        <f>Dashboard_Live_Data!AM117</f>
        <v/>
      </c>
      <c r="H1588">
        <f>Dashboard_Live_Data!AN117</f>
        <v/>
      </c>
    </row>
    <row r="1589">
      <c r="A1589">
        <f>Dashboard_Live_Data!AG118</f>
        <v/>
      </c>
      <c r="B1589">
        <f>Dashboard_Live_Data!AH118</f>
        <v/>
      </c>
      <c r="C1589">
        <f>Dashboard_Live_Data!AI118</f>
        <v/>
      </c>
      <c r="D1589">
        <f>Dashboard_Live_Data!AJ118</f>
        <v/>
      </c>
      <c r="E1589">
        <f>Dashboard_Live_Data!AK118</f>
        <v/>
      </c>
      <c r="F1589">
        <f>Dashboard_Live_Data!AL118</f>
        <v/>
      </c>
      <c r="G1589">
        <f>Dashboard_Live_Data!AM118</f>
        <v/>
      </c>
      <c r="H1589">
        <f>Dashboard_Live_Data!AN118</f>
        <v/>
      </c>
    </row>
    <row r="1590">
      <c r="A1590">
        <f>Dashboard_Live_Data!AG119</f>
        <v/>
      </c>
      <c r="B1590">
        <f>Dashboard_Live_Data!AH119</f>
        <v/>
      </c>
      <c r="C1590">
        <f>Dashboard_Live_Data!AI119</f>
        <v/>
      </c>
      <c r="D1590">
        <f>Dashboard_Live_Data!AJ119</f>
        <v/>
      </c>
      <c r="E1590">
        <f>Dashboard_Live_Data!AK119</f>
        <v/>
      </c>
      <c r="F1590">
        <f>Dashboard_Live_Data!AL119</f>
        <v/>
      </c>
      <c r="G1590">
        <f>Dashboard_Live_Data!AM119</f>
        <v/>
      </c>
      <c r="H1590">
        <f>Dashboard_Live_Data!AN119</f>
        <v/>
      </c>
    </row>
    <row r="1591">
      <c r="A1591">
        <f>Dashboard_Live_Data!AG120</f>
        <v/>
      </c>
      <c r="B1591">
        <f>Dashboard_Live_Data!AH120</f>
        <v/>
      </c>
      <c r="C1591">
        <f>Dashboard_Live_Data!AI120</f>
        <v/>
      </c>
      <c r="D1591">
        <f>Dashboard_Live_Data!AJ120</f>
        <v/>
      </c>
      <c r="E1591">
        <f>Dashboard_Live_Data!AK120</f>
        <v/>
      </c>
      <c r="F1591">
        <f>Dashboard_Live_Data!AL120</f>
        <v/>
      </c>
      <c r="G1591">
        <f>Dashboard_Live_Data!AM120</f>
        <v/>
      </c>
      <c r="H1591">
        <f>Dashboard_Live_Data!AN120</f>
        <v/>
      </c>
    </row>
    <row r="1592">
      <c r="A1592">
        <f>Dashboard_Live_Data!AG121</f>
        <v/>
      </c>
      <c r="B1592">
        <f>Dashboard_Live_Data!AH121</f>
        <v/>
      </c>
      <c r="C1592">
        <f>Dashboard_Live_Data!AI121</f>
        <v/>
      </c>
      <c r="D1592">
        <f>Dashboard_Live_Data!AJ121</f>
        <v/>
      </c>
      <c r="E1592">
        <f>Dashboard_Live_Data!AK121</f>
        <v/>
      </c>
      <c r="F1592">
        <f>Dashboard_Live_Data!AL121</f>
        <v/>
      </c>
      <c r="G1592">
        <f>Dashboard_Live_Data!AM121</f>
        <v/>
      </c>
      <c r="H1592">
        <f>Dashboard_Live_Data!AN121</f>
        <v/>
      </c>
    </row>
    <row r="1593">
      <c r="A1593">
        <f>Dashboard_Live_Data!AG122</f>
        <v/>
      </c>
      <c r="B1593">
        <f>Dashboard_Live_Data!AH122</f>
        <v/>
      </c>
      <c r="C1593">
        <f>Dashboard_Live_Data!AI122</f>
        <v/>
      </c>
      <c r="D1593">
        <f>Dashboard_Live_Data!AJ122</f>
        <v/>
      </c>
      <c r="E1593">
        <f>Dashboard_Live_Data!AK122</f>
        <v/>
      </c>
      <c r="F1593">
        <f>Dashboard_Live_Data!AL122</f>
        <v/>
      </c>
      <c r="G1593">
        <f>Dashboard_Live_Data!AM122</f>
        <v/>
      </c>
      <c r="H1593">
        <f>Dashboard_Live_Data!AN122</f>
        <v/>
      </c>
    </row>
    <row r="1594">
      <c r="A1594">
        <f>Dashboard_Live_Data!AG123</f>
        <v/>
      </c>
      <c r="B1594">
        <f>Dashboard_Live_Data!AH123</f>
        <v/>
      </c>
      <c r="C1594">
        <f>Dashboard_Live_Data!AI123</f>
        <v/>
      </c>
      <c r="D1594">
        <f>Dashboard_Live_Data!AJ123</f>
        <v/>
      </c>
      <c r="E1594">
        <f>Dashboard_Live_Data!AK123</f>
        <v/>
      </c>
      <c r="F1594">
        <f>Dashboard_Live_Data!AL123</f>
        <v/>
      </c>
      <c r="G1594">
        <f>Dashboard_Live_Data!AM123</f>
        <v/>
      </c>
      <c r="H1594">
        <f>Dashboard_Live_Data!AN123</f>
        <v/>
      </c>
    </row>
    <row r="1595">
      <c r="A1595">
        <f>Dashboard_Live_Data!AG124</f>
        <v/>
      </c>
      <c r="B1595">
        <f>Dashboard_Live_Data!AH124</f>
        <v/>
      </c>
      <c r="C1595">
        <f>Dashboard_Live_Data!AI124</f>
        <v/>
      </c>
      <c r="D1595">
        <f>Dashboard_Live_Data!AJ124</f>
        <v/>
      </c>
      <c r="E1595">
        <f>Dashboard_Live_Data!AK124</f>
        <v/>
      </c>
      <c r="F1595">
        <f>Dashboard_Live_Data!AL124</f>
        <v/>
      </c>
      <c r="G1595">
        <f>Dashboard_Live_Data!AM124</f>
        <v/>
      </c>
      <c r="H1595">
        <f>Dashboard_Live_Data!AN124</f>
        <v/>
      </c>
    </row>
    <row r="1596">
      <c r="A1596">
        <f>Dashboard_Live_Data!AG125</f>
        <v/>
      </c>
      <c r="B1596">
        <f>Dashboard_Live_Data!AH125</f>
        <v/>
      </c>
      <c r="C1596">
        <f>Dashboard_Live_Data!AI125</f>
        <v/>
      </c>
      <c r="D1596">
        <f>Dashboard_Live_Data!AJ125</f>
        <v/>
      </c>
      <c r="E1596">
        <f>Dashboard_Live_Data!AK125</f>
        <v/>
      </c>
      <c r="F1596">
        <f>Dashboard_Live_Data!AL125</f>
        <v/>
      </c>
      <c r="G1596">
        <f>Dashboard_Live_Data!AM125</f>
        <v/>
      </c>
      <c r="H1596">
        <f>Dashboard_Live_Data!AN125</f>
        <v/>
      </c>
    </row>
    <row r="1597">
      <c r="A1597">
        <f>Dashboard_Live_Data!AG126</f>
        <v/>
      </c>
      <c r="B1597">
        <f>Dashboard_Live_Data!AH126</f>
        <v/>
      </c>
      <c r="C1597">
        <f>Dashboard_Live_Data!AI126</f>
        <v/>
      </c>
      <c r="D1597">
        <f>Dashboard_Live_Data!AJ126</f>
        <v/>
      </c>
      <c r="E1597">
        <f>Dashboard_Live_Data!AK126</f>
        <v/>
      </c>
      <c r="F1597">
        <f>Dashboard_Live_Data!AL126</f>
        <v/>
      </c>
      <c r="G1597">
        <f>Dashboard_Live_Data!AM126</f>
        <v/>
      </c>
      <c r="H1597">
        <f>Dashboard_Live_Data!AN126</f>
        <v/>
      </c>
    </row>
    <row r="1598">
      <c r="A1598">
        <f>Dashboard_Live_Data!AG127</f>
        <v/>
      </c>
      <c r="B1598">
        <f>Dashboard_Live_Data!AH127</f>
        <v/>
      </c>
      <c r="C1598">
        <f>Dashboard_Live_Data!AI127</f>
        <v/>
      </c>
      <c r="D1598">
        <f>Dashboard_Live_Data!AJ127</f>
        <v/>
      </c>
      <c r="E1598">
        <f>Dashboard_Live_Data!AK127</f>
        <v/>
      </c>
      <c r="F1598">
        <f>Dashboard_Live_Data!AL127</f>
        <v/>
      </c>
      <c r="G1598">
        <f>Dashboard_Live_Data!AM127</f>
        <v/>
      </c>
      <c r="H1598">
        <f>Dashboard_Live_Data!AN127</f>
        <v/>
      </c>
    </row>
    <row r="1599">
      <c r="A1599">
        <f>Dashboard_Live_Data!AG128</f>
        <v/>
      </c>
      <c r="B1599">
        <f>Dashboard_Live_Data!AH128</f>
        <v/>
      </c>
      <c r="C1599">
        <f>Dashboard_Live_Data!AI128</f>
        <v/>
      </c>
      <c r="D1599">
        <f>Dashboard_Live_Data!AJ128</f>
        <v/>
      </c>
      <c r="E1599">
        <f>Dashboard_Live_Data!AK128</f>
        <v/>
      </c>
      <c r="F1599">
        <f>Dashboard_Live_Data!AL128</f>
        <v/>
      </c>
      <c r="G1599">
        <f>Dashboard_Live_Data!AM128</f>
        <v/>
      </c>
      <c r="H1599">
        <f>Dashboard_Live_Data!AN128</f>
        <v/>
      </c>
    </row>
    <row r="1600">
      <c r="A1600">
        <f>Dashboard_Live_Data!AG129</f>
        <v/>
      </c>
      <c r="B1600">
        <f>Dashboard_Live_Data!AH129</f>
        <v/>
      </c>
      <c r="C1600">
        <f>Dashboard_Live_Data!AI129</f>
        <v/>
      </c>
      <c r="D1600">
        <f>Dashboard_Live_Data!AJ129</f>
        <v/>
      </c>
      <c r="E1600">
        <f>Dashboard_Live_Data!AK129</f>
        <v/>
      </c>
      <c r="F1600">
        <f>Dashboard_Live_Data!AL129</f>
        <v/>
      </c>
      <c r="G1600">
        <f>Dashboard_Live_Data!AM129</f>
        <v/>
      </c>
      <c r="H1600">
        <f>Dashboard_Live_Data!AN129</f>
        <v/>
      </c>
    </row>
    <row r="1601">
      <c r="A1601">
        <f>Dashboard_Live_Data!AG130</f>
        <v/>
      </c>
      <c r="B1601">
        <f>Dashboard_Live_Data!AH130</f>
        <v/>
      </c>
      <c r="C1601">
        <f>Dashboard_Live_Data!AI130</f>
        <v/>
      </c>
      <c r="D1601">
        <f>Dashboard_Live_Data!AJ130</f>
        <v/>
      </c>
      <c r="E1601">
        <f>Dashboard_Live_Data!AK130</f>
        <v/>
      </c>
      <c r="F1601">
        <f>Dashboard_Live_Data!AL130</f>
        <v/>
      </c>
      <c r="G1601">
        <f>Dashboard_Live_Data!AM130</f>
        <v/>
      </c>
      <c r="H1601">
        <f>Dashboard_Live_Data!AN130</f>
        <v/>
      </c>
    </row>
    <row r="1602">
      <c r="A1602">
        <f>Dashboard_Live_Data!AG131</f>
        <v/>
      </c>
      <c r="B1602">
        <f>Dashboard_Live_Data!AH131</f>
        <v/>
      </c>
      <c r="C1602">
        <f>Dashboard_Live_Data!AI131</f>
        <v/>
      </c>
      <c r="D1602">
        <f>Dashboard_Live_Data!AJ131</f>
        <v/>
      </c>
      <c r="E1602">
        <f>Dashboard_Live_Data!AK131</f>
        <v/>
      </c>
      <c r="F1602">
        <f>Dashboard_Live_Data!AL131</f>
        <v/>
      </c>
      <c r="G1602">
        <f>Dashboard_Live_Data!AM131</f>
        <v/>
      </c>
      <c r="H1602">
        <f>Dashboard_Live_Data!AN131</f>
        <v/>
      </c>
    </row>
    <row r="1603">
      <c r="A1603">
        <f>Dashboard_Live_Data!AG132</f>
        <v/>
      </c>
      <c r="B1603">
        <f>Dashboard_Live_Data!AH132</f>
        <v/>
      </c>
      <c r="C1603">
        <f>Dashboard_Live_Data!AI132</f>
        <v/>
      </c>
      <c r="D1603">
        <f>Dashboard_Live_Data!AJ132</f>
        <v/>
      </c>
      <c r="E1603">
        <f>Dashboard_Live_Data!AK132</f>
        <v/>
      </c>
      <c r="F1603">
        <f>Dashboard_Live_Data!AL132</f>
        <v/>
      </c>
      <c r="G1603">
        <f>Dashboard_Live_Data!AM132</f>
        <v/>
      </c>
      <c r="H1603">
        <f>Dashboard_Live_Data!AN132</f>
        <v/>
      </c>
    </row>
    <row r="1604">
      <c r="A1604">
        <f>Dashboard_Live_Data!AG133</f>
        <v/>
      </c>
      <c r="B1604">
        <f>Dashboard_Live_Data!AH133</f>
        <v/>
      </c>
      <c r="C1604">
        <f>Dashboard_Live_Data!AI133</f>
        <v/>
      </c>
      <c r="D1604">
        <f>Dashboard_Live_Data!AJ133</f>
        <v/>
      </c>
      <c r="E1604">
        <f>Dashboard_Live_Data!AK133</f>
        <v/>
      </c>
      <c r="F1604">
        <f>Dashboard_Live_Data!AL133</f>
        <v/>
      </c>
      <c r="G1604">
        <f>Dashboard_Live_Data!AM133</f>
        <v/>
      </c>
      <c r="H1604">
        <f>Dashboard_Live_Data!AN133</f>
        <v/>
      </c>
    </row>
    <row r="1605">
      <c r="A1605">
        <f>Dashboard_Live_Data!AG134</f>
        <v/>
      </c>
      <c r="B1605">
        <f>Dashboard_Live_Data!AH134</f>
        <v/>
      </c>
      <c r="C1605">
        <f>Dashboard_Live_Data!AI134</f>
        <v/>
      </c>
      <c r="D1605">
        <f>Dashboard_Live_Data!AJ134</f>
        <v/>
      </c>
      <c r="E1605">
        <f>Dashboard_Live_Data!AK134</f>
        <v/>
      </c>
      <c r="F1605">
        <f>Dashboard_Live_Data!AL134</f>
        <v/>
      </c>
      <c r="G1605">
        <f>Dashboard_Live_Data!AM134</f>
        <v/>
      </c>
      <c r="H1605">
        <f>Dashboard_Live_Data!AN134</f>
        <v/>
      </c>
    </row>
    <row r="1606">
      <c r="A1606">
        <f>Dashboard_Live_Data!AG135</f>
        <v/>
      </c>
      <c r="B1606">
        <f>Dashboard_Live_Data!AH135</f>
        <v/>
      </c>
      <c r="C1606">
        <f>Dashboard_Live_Data!AI135</f>
        <v/>
      </c>
      <c r="D1606">
        <f>Dashboard_Live_Data!AJ135</f>
        <v/>
      </c>
      <c r="E1606">
        <f>Dashboard_Live_Data!AK135</f>
        <v/>
      </c>
      <c r="F1606">
        <f>Dashboard_Live_Data!AL135</f>
        <v/>
      </c>
      <c r="G1606">
        <f>Dashboard_Live_Data!AM135</f>
        <v/>
      </c>
      <c r="H1606">
        <f>Dashboard_Live_Data!AN135</f>
        <v/>
      </c>
    </row>
    <row r="1607">
      <c r="A1607">
        <f>Dashboard_Live_Data!AG136</f>
        <v/>
      </c>
      <c r="B1607">
        <f>Dashboard_Live_Data!AH136</f>
        <v/>
      </c>
      <c r="C1607">
        <f>Dashboard_Live_Data!AI136</f>
        <v/>
      </c>
      <c r="D1607">
        <f>Dashboard_Live_Data!AJ136</f>
        <v/>
      </c>
      <c r="E1607">
        <f>Dashboard_Live_Data!AK136</f>
        <v/>
      </c>
      <c r="F1607">
        <f>Dashboard_Live_Data!AL136</f>
        <v/>
      </c>
      <c r="G1607">
        <f>Dashboard_Live_Data!AM136</f>
        <v/>
      </c>
      <c r="H1607">
        <f>Dashboard_Live_Data!AN136</f>
        <v/>
      </c>
    </row>
    <row r="1608">
      <c r="A1608">
        <f>Dashboard_Live_Data!AG137</f>
        <v/>
      </c>
      <c r="B1608">
        <f>Dashboard_Live_Data!AH137</f>
        <v/>
      </c>
      <c r="C1608">
        <f>Dashboard_Live_Data!AI137</f>
        <v/>
      </c>
      <c r="D1608">
        <f>Dashboard_Live_Data!AJ137</f>
        <v/>
      </c>
      <c r="E1608">
        <f>Dashboard_Live_Data!AK137</f>
        <v/>
      </c>
      <c r="F1608">
        <f>Dashboard_Live_Data!AL137</f>
        <v/>
      </c>
      <c r="G1608">
        <f>Dashboard_Live_Data!AM137</f>
        <v/>
      </c>
      <c r="H1608">
        <f>Dashboard_Live_Data!AN137</f>
        <v/>
      </c>
    </row>
    <row r="1609">
      <c r="A1609">
        <f>Dashboard_Live_Data!AG138</f>
        <v/>
      </c>
      <c r="B1609">
        <f>Dashboard_Live_Data!AH138</f>
        <v/>
      </c>
      <c r="C1609">
        <f>Dashboard_Live_Data!AI138</f>
        <v/>
      </c>
      <c r="D1609">
        <f>Dashboard_Live_Data!AJ138</f>
        <v/>
      </c>
      <c r="E1609">
        <f>Dashboard_Live_Data!AK138</f>
        <v/>
      </c>
      <c r="F1609">
        <f>Dashboard_Live_Data!AL138</f>
        <v/>
      </c>
      <c r="G1609">
        <f>Dashboard_Live_Data!AM138</f>
        <v/>
      </c>
      <c r="H1609">
        <f>Dashboard_Live_Data!AN138</f>
        <v/>
      </c>
    </row>
    <row r="1610">
      <c r="A1610">
        <f>Dashboard_Live_Data!AG139</f>
        <v/>
      </c>
      <c r="B1610">
        <f>Dashboard_Live_Data!AH139</f>
        <v/>
      </c>
      <c r="C1610">
        <f>Dashboard_Live_Data!AI139</f>
        <v/>
      </c>
      <c r="D1610">
        <f>Dashboard_Live_Data!AJ139</f>
        <v/>
      </c>
      <c r="E1610">
        <f>Dashboard_Live_Data!AK139</f>
        <v/>
      </c>
      <c r="F1610">
        <f>Dashboard_Live_Data!AL139</f>
        <v/>
      </c>
      <c r="G1610">
        <f>Dashboard_Live_Data!AM139</f>
        <v/>
      </c>
      <c r="H1610">
        <f>Dashboard_Live_Data!AN139</f>
        <v/>
      </c>
    </row>
    <row r="1611">
      <c r="A1611">
        <f>Dashboard_Live_Data!AG140</f>
        <v/>
      </c>
      <c r="B1611">
        <f>Dashboard_Live_Data!AH140</f>
        <v/>
      </c>
      <c r="C1611">
        <f>Dashboard_Live_Data!AI140</f>
        <v/>
      </c>
      <c r="D1611">
        <f>Dashboard_Live_Data!AJ140</f>
        <v/>
      </c>
      <c r="E1611">
        <f>Dashboard_Live_Data!AK140</f>
        <v/>
      </c>
      <c r="F1611">
        <f>Dashboard_Live_Data!AL140</f>
        <v/>
      </c>
      <c r="G1611">
        <f>Dashboard_Live_Data!AM140</f>
        <v/>
      </c>
      <c r="H1611">
        <f>Dashboard_Live_Data!AN140</f>
        <v/>
      </c>
    </row>
    <row r="1612">
      <c r="A1612">
        <f>Dashboard_Live_Data!AG141</f>
        <v/>
      </c>
      <c r="B1612">
        <f>Dashboard_Live_Data!AH141</f>
        <v/>
      </c>
      <c r="C1612">
        <f>Dashboard_Live_Data!AI141</f>
        <v/>
      </c>
      <c r="D1612">
        <f>Dashboard_Live_Data!AJ141</f>
        <v/>
      </c>
      <c r="E1612">
        <f>Dashboard_Live_Data!AK141</f>
        <v/>
      </c>
      <c r="F1612">
        <f>Dashboard_Live_Data!AL141</f>
        <v/>
      </c>
      <c r="G1612">
        <f>Dashboard_Live_Data!AM141</f>
        <v/>
      </c>
      <c r="H1612">
        <f>Dashboard_Live_Data!AN141</f>
        <v/>
      </c>
    </row>
    <row r="1613">
      <c r="A1613">
        <f>Dashboard_Live_Data!AG142</f>
        <v/>
      </c>
      <c r="B1613">
        <f>Dashboard_Live_Data!AH142</f>
        <v/>
      </c>
      <c r="C1613">
        <f>Dashboard_Live_Data!AI142</f>
        <v/>
      </c>
      <c r="D1613">
        <f>Dashboard_Live_Data!AJ142</f>
        <v/>
      </c>
      <c r="E1613">
        <f>Dashboard_Live_Data!AK142</f>
        <v/>
      </c>
      <c r="F1613">
        <f>Dashboard_Live_Data!AL142</f>
        <v/>
      </c>
      <c r="G1613">
        <f>Dashboard_Live_Data!AM142</f>
        <v/>
      </c>
      <c r="H1613">
        <f>Dashboard_Live_Data!AN142</f>
        <v/>
      </c>
    </row>
    <row r="1614">
      <c r="A1614">
        <f>Dashboard_Live_Data!AG143</f>
        <v/>
      </c>
      <c r="B1614">
        <f>Dashboard_Live_Data!AH143</f>
        <v/>
      </c>
      <c r="C1614">
        <f>Dashboard_Live_Data!AI143</f>
        <v/>
      </c>
      <c r="D1614">
        <f>Dashboard_Live_Data!AJ143</f>
        <v/>
      </c>
      <c r="E1614">
        <f>Dashboard_Live_Data!AK143</f>
        <v/>
      </c>
      <c r="F1614">
        <f>Dashboard_Live_Data!AL143</f>
        <v/>
      </c>
      <c r="G1614">
        <f>Dashboard_Live_Data!AM143</f>
        <v/>
      </c>
      <c r="H1614">
        <f>Dashboard_Live_Data!AN143</f>
        <v/>
      </c>
    </row>
    <row r="1615">
      <c r="A1615">
        <f>Dashboard_Live_Data!AG144</f>
        <v/>
      </c>
      <c r="B1615">
        <f>Dashboard_Live_Data!AH144</f>
        <v/>
      </c>
      <c r="C1615">
        <f>Dashboard_Live_Data!AI144</f>
        <v/>
      </c>
      <c r="D1615">
        <f>Dashboard_Live_Data!AJ144</f>
        <v/>
      </c>
      <c r="E1615">
        <f>Dashboard_Live_Data!AK144</f>
        <v/>
      </c>
      <c r="F1615">
        <f>Dashboard_Live_Data!AL144</f>
        <v/>
      </c>
      <c r="G1615">
        <f>Dashboard_Live_Data!AM144</f>
        <v/>
      </c>
      <c r="H1615">
        <f>Dashboard_Live_Data!AN144</f>
        <v/>
      </c>
    </row>
    <row r="1616">
      <c r="A1616">
        <f>Dashboard_Live_Data!AG145</f>
        <v/>
      </c>
      <c r="B1616">
        <f>Dashboard_Live_Data!AH145</f>
        <v/>
      </c>
      <c r="C1616">
        <f>Dashboard_Live_Data!AI145</f>
        <v/>
      </c>
      <c r="D1616">
        <f>Dashboard_Live_Data!AJ145</f>
        <v/>
      </c>
      <c r="E1616">
        <f>Dashboard_Live_Data!AK145</f>
        <v/>
      </c>
      <c r="F1616">
        <f>Dashboard_Live_Data!AL145</f>
        <v/>
      </c>
      <c r="G1616">
        <f>Dashboard_Live_Data!AM145</f>
        <v/>
      </c>
      <c r="H1616">
        <f>Dashboard_Live_Data!AN145</f>
        <v/>
      </c>
    </row>
    <row r="1617">
      <c r="A1617">
        <f>Dashboard_Live_Data!AG146</f>
        <v/>
      </c>
      <c r="B1617">
        <f>Dashboard_Live_Data!AH146</f>
        <v/>
      </c>
      <c r="C1617">
        <f>Dashboard_Live_Data!AI146</f>
        <v/>
      </c>
      <c r="D1617">
        <f>Dashboard_Live_Data!AJ146</f>
        <v/>
      </c>
      <c r="E1617">
        <f>Dashboard_Live_Data!AK146</f>
        <v/>
      </c>
      <c r="F1617">
        <f>Dashboard_Live_Data!AL146</f>
        <v/>
      </c>
      <c r="G1617">
        <f>Dashboard_Live_Data!AM146</f>
        <v/>
      </c>
      <c r="H1617">
        <f>Dashboard_Live_Data!AN146</f>
        <v/>
      </c>
    </row>
    <row r="1618">
      <c r="A1618">
        <f>Dashboard_Live_Data!AG147</f>
        <v/>
      </c>
      <c r="B1618">
        <f>Dashboard_Live_Data!AH147</f>
        <v/>
      </c>
      <c r="C1618">
        <f>Dashboard_Live_Data!AI147</f>
        <v/>
      </c>
      <c r="D1618">
        <f>Dashboard_Live_Data!AJ147</f>
        <v/>
      </c>
      <c r="E1618">
        <f>Dashboard_Live_Data!AK147</f>
        <v/>
      </c>
      <c r="F1618">
        <f>Dashboard_Live_Data!AL147</f>
        <v/>
      </c>
      <c r="G1618">
        <f>Dashboard_Live_Data!AM147</f>
        <v/>
      </c>
      <c r="H1618">
        <f>Dashboard_Live_Data!AN147</f>
        <v/>
      </c>
    </row>
    <row r="1619">
      <c r="A1619">
        <f>Dashboard_Live_Data!AG148</f>
        <v/>
      </c>
      <c r="B1619">
        <f>Dashboard_Live_Data!AH148</f>
        <v/>
      </c>
      <c r="C1619">
        <f>Dashboard_Live_Data!AI148</f>
        <v/>
      </c>
      <c r="D1619">
        <f>Dashboard_Live_Data!AJ148</f>
        <v/>
      </c>
      <c r="E1619">
        <f>Dashboard_Live_Data!AK148</f>
        <v/>
      </c>
      <c r="F1619">
        <f>Dashboard_Live_Data!AL148</f>
        <v/>
      </c>
      <c r="G1619">
        <f>Dashboard_Live_Data!AM148</f>
        <v/>
      </c>
      <c r="H1619">
        <f>Dashboard_Live_Data!AN148</f>
        <v/>
      </c>
    </row>
    <row r="1620">
      <c r="A1620">
        <f>Dashboard_Live_Data!AG149</f>
        <v/>
      </c>
      <c r="B1620">
        <f>Dashboard_Live_Data!AH149</f>
        <v/>
      </c>
      <c r="C1620">
        <f>Dashboard_Live_Data!AI149</f>
        <v/>
      </c>
      <c r="D1620">
        <f>Dashboard_Live_Data!AJ149</f>
        <v/>
      </c>
      <c r="E1620">
        <f>Dashboard_Live_Data!AK149</f>
        <v/>
      </c>
      <c r="F1620">
        <f>Dashboard_Live_Data!AL149</f>
        <v/>
      </c>
      <c r="G1620">
        <f>Dashboard_Live_Data!AM149</f>
        <v/>
      </c>
      <c r="H1620">
        <f>Dashboard_Live_Data!AN149</f>
        <v/>
      </c>
    </row>
    <row r="1621">
      <c r="A1621">
        <f>Dashboard_Live_Data!AG150</f>
        <v/>
      </c>
      <c r="B1621">
        <f>Dashboard_Live_Data!AH150</f>
        <v/>
      </c>
      <c r="C1621">
        <f>Dashboard_Live_Data!AI150</f>
        <v/>
      </c>
      <c r="D1621">
        <f>Dashboard_Live_Data!AJ150</f>
        <v/>
      </c>
      <c r="E1621">
        <f>Dashboard_Live_Data!AK150</f>
        <v/>
      </c>
      <c r="F1621">
        <f>Dashboard_Live_Data!AL150</f>
        <v/>
      </c>
      <c r="G1621">
        <f>Dashboard_Live_Data!AM150</f>
        <v/>
      </c>
      <c r="H1621">
        <f>Dashboard_Live_Data!AN150</f>
        <v/>
      </c>
    </row>
    <row r="1622">
      <c r="A1622">
        <f>Dashboard_Live_Data!AG151</f>
        <v/>
      </c>
      <c r="B1622">
        <f>Dashboard_Live_Data!AH151</f>
        <v/>
      </c>
      <c r="C1622">
        <f>Dashboard_Live_Data!AI151</f>
        <v/>
      </c>
      <c r="D1622">
        <f>Dashboard_Live_Data!AJ151</f>
        <v/>
      </c>
      <c r="E1622">
        <f>Dashboard_Live_Data!AK151</f>
        <v/>
      </c>
      <c r="F1622">
        <f>Dashboard_Live_Data!AL151</f>
        <v/>
      </c>
      <c r="G1622">
        <f>Dashboard_Live_Data!AM151</f>
        <v/>
      </c>
      <c r="H1622">
        <f>Dashboard_Live_Data!AN151</f>
        <v/>
      </c>
    </row>
    <row r="1623">
      <c r="A1623">
        <f>Dashboard_Live_Data!AG152</f>
        <v/>
      </c>
      <c r="B1623">
        <f>Dashboard_Live_Data!AH152</f>
        <v/>
      </c>
      <c r="C1623">
        <f>Dashboard_Live_Data!AI152</f>
        <v/>
      </c>
      <c r="D1623">
        <f>Dashboard_Live_Data!AJ152</f>
        <v/>
      </c>
      <c r="E1623">
        <f>Dashboard_Live_Data!AK152</f>
        <v/>
      </c>
      <c r="F1623">
        <f>Dashboard_Live_Data!AL152</f>
        <v/>
      </c>
      <c r="G1623">
        <f>Dashboard_Live_Data!AM152</f>
        <v/>
      </c>
      <c r="H1623">
        <f>Dashboard_Live_Data!AN152</f>
        <v/>
      </c>
    </row>
    <row r="1624">
      <c r="A1624">
        <f>Dashboard_Live_Data!AG153</f>
        <v/>
      </c>
      <c r="B1624">
        <f>Dashboard_Live_Data!AH153</f>
        <v/>
      </c>
      <c r="C1624">
        <f>Dashboard_Live_Data!AI153</f>
        <v/>
      </c>
      <c r="D1624">
        <f>Dashboard_Live_Data!AJ153</f>
        <v/>
      </c>
      <c r="E1624">
        <f>Dashboard_Live_Data!AK153</f>
        <v/>
      </c>
      <c r="F1624">
        <f>Dashboard_Live_Data!AL153</f>
        <v/>
      </c>
      <c r="G1624">
        <f>Dashboard_Live_Data!AM153</f>
        <v/>
      </c>
      <c r="H1624">
        <f>Dashboard_Live_Data!AN153</f>
        <v/>
      </c>
    </row>
    <row r="1625">
      <c r="A1625">
        <f>Dashboard_Live_Data!AG154</f>
        <v/>
      </c>
      <c r="B1625">
        <f>Dashboard_Live_Data!AH154</f>
        <v/>
      </c>
      <c r="C1625">
        <f>Dashboard_Live_Data!AI154</f>
        <v/>
      </c>
      <c r="D1625">
        <f>Dashboard_Live_Data!AJ154</f>
        <v/>
      </c>
      <c r="E1625">
        <f>Dashboard_Live_Data!AK154</f>
        <v/>
      </c>
      <c r="F1625">
        <f>Dashboard_Live_Data!AL154</f>
        <v/>
      </c>
      <c r="G1625">
        <f>Dashboard_Live_Data!AM154</f>
        <v/>
      </c>
      <c r="H1625">
        <f>Dashboard_Live_Data!AN154</f>
        <v/>
      </c>
    </row>
    <row r="1626">
      <c r="A1626">
        <f>Dashboard_Live_Data!AG155</f>
        <v/>
      </c>
      <c r="B1626">
        <f>Dashboard_Live_Data!AH155</f>
        <v/>
      </c>
      <c r="C1626">
        <f>Dashboard_Live_Data!AI155</f>
        <v/>
      </c>
      <c r="D1626">
        <f>Dashboard_Live_Data!AJ155</f>
        <v/>
      </c>
      <c r="E1626">
        <f>Dashboard_Live_Data!AK155</f>
        <v/>
      </c>
      <c r="F1626">
        <f>Dashboard_Live_Data!AL155</f>
        <v/>
      </c>
      <c r="G1626">
        <f>Dashboard_Live_Data!AM155</f>
        <v/>
      </c>
      <c r="H1626">
        <f>Dashboard_Live_Data!AN155</f>
        <v/>
      </c>
    </row>
    <row r="1627">
      <c r="A1627">
        <f>Dashboard_Live_Data!AG156</f>
        <v/>
      </c>
      <c r="B1627">
        <f>Dashboard_Live_Data!AH156</f>
        <v/>
      </c>
      <c r="C1627">
        <f>Dashboard_Live_Data!AI156</f>
        <v/>
      </c>
      <c r="D1627">
        <f>Dashboard_Live_Data!AJ156</f>
        <v/>
      </c>
      <c r="E1627">
        <f>Dashboard_Live_Data!AK156</f>
        <v/>
      </c>
      <c r="F1627">
        <f>Dashboard_Live_Data!AL156</f>
        <v/>
      </c>
      <c r="G1627">
        <f>Dashboard_Live_Data!AM156</f>
        <v/>
      </c>
      <c r="H1627">
        <f>Dashboard_Live_Data!AN156</f>
        <v/>
      </c>
    </row>
    <row r="1628">
      <c r="A1628">
        <f>Dashboard_Live_Data!AG157</f>
        <v/>
      </c>
      <c r="B1628">
        <f>Dashboard_Live_Data!AH157</f>
        <v/>
      </c>
      <c r="C1628">
        <f>Dashboard_Live_Data!AI157</f>
        <v/>
      </c>
      <c r="D1628">
        <f>Dashboard_Live_Data!AJ157</f>
        <v/>
      </c>
      <c r="E1628">
        <f>Dashboard_Live_Data!AK157</f>
        <v/>
      </c>
      <c r="F1628">
        <f>Dashboard_Live_Data!AL157</f>
        <v/>
      </c>
      <c r="G1628">
        <f>Dashboard_Live_Data!AM157</f>
        <v/>
      </c>
      <c r="H1628">
        <f>Dashboard_Live_Data!AN157</f>
        <v/>
      </c>
    </row>
    <row r="1629">
      <c r="A1629">
        <f>Dashboard_Live_Data!AG158</f>
        <v/>
      </c>
      <c r="B1629">
        <f>Dashboard_Live_Data!AH158</f>
        <v/>
      </c>
      <c r="C1629">
        <f>Dashboard_Live_Data!AI158</f>
        <v/>
      </c>
      <c r="D1629">
        <f>Dashboard_Live_Data!AJ158</f>
        <v/>
      </c>
      <c r="E1629">
        <f>Dashboard_Live_Data!AK158</f>
        <v/>
      </c>
      <c r="F1629">
        <f>Dashboard_Live_Data!AL158</f>
        <v/>
      </c>
      <c r="G1629">
        <f>Dashboard_Live_Data!AM158</f>
        <v/>
      </c>
      <c r="H1629">
        <f>Dashboard_Live_Data!AN158</f>
        <v/>
      </c>
    </row>
    <row r="1630">
      <c r="A1630">
        <f>Dashboard_Live_Data!AG159</f>
        <v/>
      </c>
      <c r="B1630">
        <f>Dashboard_Live_Data!AH159</f>
        <v/>
      </c>
      <c r="C1630">
        <f>Dashboard_Live_Data!AI159</f>
        <v/>
      </c>
      <c r="D1630">
        <f>Dashboard_Live_Data!AJ159</f>
        <v/>
      </c>
      <c r="E1630">
        <f>Dashboard_Live_Data!AK159</f>
        <v/>
      </c>
      <c r="F1630">
        <f>Dashboard_Live_Data!AL159</f>
        <v/>
      </c>
      <c r="G1630">
        <f>Dashboard_Live_Data!AM159</f>
        <v/>
      </c>
      <c r="H1630">
        <f>Dashboard_Live_Data!AN159</f>
        <v/>
      </c>
    </row>
    <row r="1631">
      <c r="A1631">
        <f>Dashboard_Live_Data!AG160</f>
        <v/>
      </c>
      <c r="B1631">
        <f>Dashboard_Live_Data!AH160</f>
        <v/>
      </c>
      <c r="C1631">
        <f>Dashboard_Live_Data!AI160</f>
        <v/>
      </c>
      <c r="D1631">
        <f>Dashboard_Live_Data!AJ160</f>
        <v/>
      </c>
      <c r="E1631">
        <f>Dashboard_Live_Data!AK160</f>
        <v/>
      </c>
      <c r="F1631">
        <f>Dashboard_Live_Data!AL160</f>
        <v/>
      </c>
      <c r="G1631">
        <f>Dashboard_Live_Data!AM160</f>
        <v/>
      </c>
      <c r="H1631">
        <f>Dashboard_Live_Data!AN160</f>
        <v/>
      </c>
    </row>
    <row r="1632">
      <c r="A1632">
        <f>Dashboard_Live_Data!AG161</f>
        <v/>
      </c>
      <c r="B1632">
        <f>Dashboard_Live_Data!AH161</f>
        <v/>
      </c>
      <c r="C1632">
        <f>Dashboard_Live_Data!AI161</f>
        <v/>
      </c>
      <c r="D1632">
        <f>Dashboard_Live_Data!AJ161</f>
        <v/>
      </c>
      <c r="E1632">
        <f>Dashboard_Live_Data!AK161</f>
        <v/>
      </c>
      <c r="F1632">
        <f>Dashboard_Live_Data!AL161</f>
        <v/>
      </c>
      <c r="G1632">
        <f>Dashboard_Live_Data!AM161</f>
        <v/>
      </c>
      <c r="H1632">
        <f>Dashboard_Live_Data!AN161</f>
        <v/>
      </c>
    </row>
    <row r="1633">
      <c r="A1633">
        <f>Dashboard_Live_Data!AG162</f>
        <v/>
      </c>
      <c r="B1633">
        <f>Dashboard_Live_Data!AH162</f>
        <v/>
      </c>
      <c r="C1633">
        <f>Dashboard_Live_Data!AI162</f>
        <v/>
      </c>
      <c r="D1633">
        <f>Dashboard_Live_Data!AJ162</f>
        <v/>
      </c>
      <c r="E1633">
        <f>Dashboard_Live_Data!AK162</f>
        <v/>
      </c>
      <c r="F1633">
        <f>Dashboard_Live_Data!AL162</f>
        <v/>
      </c>
      <c r="G1633">
        <f>Dashboard_Live_Data!AM162</f>
        <v/>
      </c>
      <c r="H1633">
        <f>Dashboard_Live_Data!AN162</f>
        <v/>
      </c>
    </row>
    <row r="1634">
      <c r="A1634">
        <f>Dashboard_Live_Data!AG163</f>
        <v/>
      </c>
      <c r="B1634">
        <f>Dashboard_Live_Data!AH163</f>
        <v/>
      </c>
      <c r="C1634">
        <f>Dashboard_Live_Data!AI163</f>
        <v/>
      </c>
      <c r="D1634">
        <f>Dashboard_Live_Data!AJ163</f>
        <v/>
      </c>
      <c r="E1634">
        <f>Dashboard_Live_Data!AK163</f>
        <v/>
      </c>
      <c r="F1634">
        <f>Dashboard_Live_Data!AL163</f>
        <v/>
      </c>
      <c r="G1634">
        <f>Dashboard_Live_Data!AM163</f>
        <v/>
      </c>
      <c r="H1634">
        <f>Dashboard_Live_Data!AN163</f>
        <v/>
      </c>
    </row>
    <row r="1635">
      <c r="A1635">
        <f>Dashboard_Live_Data!AG164</f>
        <v/>
      </c>
      <c r="B1635">
        <f>Dashboard_Live_Data!AH164</f>
        <v/>
      </c>
      <c r="C1635">
        <f>Dashboard_Live_Data!AI164</f>
        <v/>
      </c>
      <c r="D1635">
        <f>Dashboard_Live_Data!AJ164</f>
        <v/>
      </c>
      <c r="E1635">
        <f>Dashboard_Live_Data!AK164</f>
        <v/>
      </c>
      <c r="F1635">
        <f>Dashboard_Live_Data!AL164</f>
        <v/>
      </c>
      <c r="G1635">
        <f>Dashboard_Live_Data!AM164</f>
        <v/>
      </c>
      <c r="H1635">
        <f>Dashboard_Live_Data!AN164</f>
        <v/>
      </c>
    </row>
    <row r="1636">
      <c r="A1636">
        <f>Dashboard_Live_Data!AG165</f>
        <v/>
      </c>
      <c r="B1636">
        <f>Dashboard_Live_Data!AH165</f>
        <v/>
      </c>
      <c r="C1636">
        <f>Dashboard_Live_Data!AI165</f>
        <v/>
      </c>
      <c r="D1636">
        <f>Dashboard_Live_Data!AJ165</f>
        <v/>
      </c>
      <c r="E1636">
        <f>Dashboard_Live_Data!AK165</f>
        <v/>
      </c>
      <c r="F1636">
        <f>Dashboard_Live_Data!AL165</f>
        <v/>
      </c>
      <c r="G1636">
        <f>Dashboard_Live_Data!AM165</f>
        <v/>
      </c>
      <c r="H1636">
        <f>Dashboard_Live_Data!AN165</f>
        <v/>
      </c>
    </row>
    <row r="1637">
      <c r="A1637">
        <f>Dashboard_Live_Data!AG166</f>
        <v/>
      </c>
      <c r="B1637">
        <f>Dashboard_Live_Data!AH166</f>
        <v/>
      </c>
      <c r="C1637">
        <f>Dashboard_Live_Data!AI166</f>
        <v/>
      </c>
      <c r="D1637">
        <f>Dashboard_Live_Data!AJ166</f>
        <v/>
      </c>
      <c r="E1637">
        <f>Dashboard_Live_Data!AK166</f>
        <v/>
      </c>
      <c r="F1637">
        <f>Dashboard_Live_Data!AL166</f>
        <v/>
      </c>
      <c r="G1637">
        <f>Dashboard_Live_Data!AM166</f>
        <v/>
      </c>
      <c r="H1637">
        <f>Dashboard_Live_Data!AN166</f>
        <v/>
      </c>
    </row>
    <row r="1638">
      <c r="A1638">
        <f>Dashboard_Live_Data!AG167</f>
        <v/>
      </c>
      <c r="B1638">
        <f>Dashboard_Live_Data!AH167</f>
        <v/>
      </c>
      <c r="C1638">
        <f>Dashboard_Live_Data!AI167</f>
        <v/>
      </c>
      <c r="D1638">
        <f>Dashboard_Live_Data!AJ167</f>
        <v/>
      </c>
      <c r="E1638">
        <f>Dashboard_Live_Data!AK167</f>
        <v/>
      </c>
      <c r="F1638">
        <f>Dashboard_Live_Data!AL167</f>
        <v/>
      </c>
      <c r="G1638">
        <f>Dashboard_Live_Data!AM167</f>
        <v/>
      </c>
      <c r="H1638">
        <f>Dashboard_Live_Data!AN167</f>
        <v/>
      </c>
    </row>
    <row r="1639">
      <c r="A1639">
        <f>Dashboard_Live_Data!AG168</f>
        <v/>
      </c>
      <c r="B1639">
        <f>Dashboard_Live_Data!AH168</f>
        <v/>
      </c>
      <c r="C1639">
        <f>Dashboard_Live_Data!AI168</f>
        <v/>
      </c>
      <c r="D1639">
        <f>Dashboard_Live_Data!AJ168</f>
        <v/>
      </c>
      <c r="E1639">
        <f>Dashboard_Live_Data!AK168</f>
        <v/>
      </c>
      <c r="F1639">
        <f>Dashboard_Live_Data!AL168</f>
        <v/>
      </c>
      <c r="G1639">
        <f>Dashboard_Live_Data!AM168</f>
        <v/>
      </c>
      <c r="H1639">
        <f>Dashboard_Live_Data!AN168</f>
        <v/>
      </c>
    </row>
    <row r="1640">
      <c r="A1640">
        <f>Dashboard_Live_Data!AG169</f>
        <v/>
      </c>
      <c r="B1640">
        <f>Dashboard_Live_Data!AH169</f>
        <v/>
      </c>
      <c r="C1640">
        <f>Dashboard_Live_Data!AI169</f>
        <v/>
      </c>
      <c r="D1640">
        <f>Dashboard_Live_Data!AJ169</f>
        <v/>
      </c>
      <c r="E1640">
        <f>Dashboard_Live_Data!AK169</f>
        <v/>
      </c>
      <c r="F1640">
        <f>Dashboard_Live_Data!AL169</f>
        <v/>
      </c>
      <c r="G1640">
        <f>Dashboard_Live_Data!AM169</f>
        <v/>
      </c>
      <c r="H1640">
        <f>Dashboard_Live_Data!AN169</f>
        <v/>
      </c>
    </row>
    <row r="1641">
      <c r="A1641">
        <f>Dashboard_Live_Data!AG170</f>
        <v/>
      </c>
      <c r="B1641">
        <f>Dashboard_Live_Data!AH170</f>
        <v/>
      </c>
      <c r="C1641">
        <f>Dashboard_Live_Data!AI170</f>
        <v/>
      </c>
      <c r="D1641">
        <f>Dashboard_Live_Data!AJ170</f>
        <v/>
      </c>
      <c r="E1641">
        <f>Dashboard_Live_Data!AK170</f>
        <v/>
      </c>
      <c r="F1641">
        <f>Dashboard_Live_Data!AL170</f>
        <v/>
      </c>
      <c r="G1641">
        <f>Dashboard_Live_Data!AM170</f>
        <v/>
      </c>
      <c r="H1641">
        <f>Dashboard_Live_Data!AN170</f>
        <v/>
      </c>
    </row>
    <row r="1642">
      <c r="A1642">
        <f>Dashboard_Live_Data!AG171</f>
        <v/>
      </c>
      <c r="B1642">
        <f>Dashboard_Live_Data!AH171</f>
        <v/>
      </c>
      <c r="C1642">
        <f>Dashboard_Live_Data!AI171</f>
        <v/>
      </c>
      <c r="D1642">
        <f>Dashboard_Live_Data!AJ171</f>
        <v/>
      </c>
      <c r="E1642">
        <f>Dashboard_Live_Data!AK171</f>
        <v/>
      </c>
      <c r="F1642">
        <f>Dashboard_Live_Data!AL171</f>
        <v/>
      </c>
      <c r="G1642">
        <f>Dashboard_Live_Data!AM171</f>
        <v/>
      </c>
      <c r="H1642">
        <f>Dashboard_Live_Data!AN171</f>
        <v/>
      </c>
    </row>
    <row r="1643">
      <c r="A1643">
        <f>Dashboard_Live_Data!AG172</f>
        <v/>
      </c>
      <c r="B1643">
        <f>Dashboard_Live_Data!AH172</f>
        <v/>
      </c>
      <c r="C1643">
        <f>Dashboard_Live_Data!AI172</f>
        <v/>
      </c>
      <c r="D1643">
        <f>Dashboard_Live_Data!AJ172</f>
        <v/>
      </c>
      <c r="E1643">
        <f>Dashboard_Live_Data!AK172</f>
        <v/>
      </c>
      <c r="F1643">
        <f>Dashboard_Live_Data!AL172</f>
        <v/>
      </c>
      <c r="G1643">
        <f>Dashboard_Live_Data!AM172</f>
        <v/>
      </c>
      <c r="H1643">
        <f>Dashboard_Live_Data!AN172</f>
        <v/>
      </c>
    </row>
    <row r="1644">
      <c r="A1644">
        <f>Dashboard_Live_Data!AG173</f>
        <v/>
      </c>
      <c r="B1644">
        <f>Dashboard_Live_Data!AH173</f>
        <v/>
      </c>
      <c r="C1644">
        <f>Dashboard_Live_Data!AI173</f>
        <v/>
      </c>
      <c r="D1644">
        <f>Dashboard_Live_Data!AJ173</f>
        <v/>
      </c>
      <c r="E1644">
        <f>Dashboard_Live_Data!AK173</f>
        <v/>
      </c>
      <c r="F1644">
        <f>Dashboard_Live_Data!AL173</f>
        <v/>
      </c>
      <c r="G1644">
        <f>Dashboard_Live_Data!AM173</f>
        <v/>
      </c>
      <c r="H1644">
        <f>Dashboard_Live_Data!AN173</f>
        <v/>
      </c>
    </row>
    <row r="1645">
      <c r="A1645">
        <f>Dashboard_Live_Data!AG174</f>
        <v/>
      </c>
      <c r="B1645">
        <f>Dashboard_Live_Data!AH174</f>
        <v/>
      </c>
      <c r="C1645">
        <f>Dashboard_Live_Data!AI174</f>
        <v/>
      </c>
      <c r="D1645">
        <f>Dashboard_Live_Data!AJ174</f>
        <v/>
      </c>
      <c r="E1645">
        <f>Dashboard_Live_Data!AK174</f>
        <v/>
      </c>
      <c r="F1645">
        <f>Dashboard_Live_Data!AL174</f>
        <v/>
      </c>
      <c r="G1645">
        <f>Dashboard_Live_Data!AM174</f>
        <v/>
      </c>
      <c r="H1645">
        <f>Dashboard_Live_Data!AN174</f>
        <v/>
      </c>
    </row>
    <row r="1646">
      <c r="A1646">
        <f>Dashboard_Live_Data!AG175</f>
        <v/>
      </c>
      <c r="B1646">
        <f>Dashboard_Live_Data!AH175</f>
        <v/>
      </c>
      <c r="C1646">
        <f>Dashboard_Live_Data!AI175</f>
        <v/>
      </c>
      <c r="D1646">
        <f>Dashboard_Live_Data!AJ175</f>
        <v/>
      </c>
      <c r="E1646">
        <f>Dashboard_Live_Data!AK175</f>
        <v/>
      </c>
      <c r="F1646">
        <f>Dashboard_Live_Data!AL175</f>
        <v/>
      </c>
      <c r="G1646">
        <f>Dashboard_Live_Data!AM175</f>
        <v/>
      </c>
      <c r="H1646">
        <f>Dashboard_Live_Data!AN175</f>
        <v/>
      </c>
    </row>
    <row r="1647">
      <c r="A1647">
        <f>Dashboard_Live_Data!AG176</f>
        <v/>
      </c>
      <c r="B1647">
        <f>Dashboard_Live_Data!AH176</f>
        <v/>
      </c>
      <c r="C1647">
        <f>Dashboard_Live_Data!AI176</f>
        <v/>
      </c>
      <c r="D1647">
        <f>Dashboard_Live_Data!AJ176</f>
        <v/>
      </c>
      <c r="E1647">
        <f>Dashboard_Live_Data!AK176</f>
        <v/>
      </c>
      <c r="F1647">
        <f>Dashboard_Live_Data!AL176</f>
        <v/>
      </c>
      <c r="G1647">
        <f>Dashboard_Live_Data!AM176</f>
        <v/>
      </c>
      <c r="H1647">
        <f>Dashboard_Live_Data!AN176</f>
        <v/>
      </c>
    </row>
    <row r="1648">
      <c r="A1648">
        <f>Dashboard_Live_Data!AG177</f>
        <v/>
      </c>
      <c r="B1648">
        <f>Dashboard_Live_Data!AH177</f>
        <v/>
      </c>
      <c r="C1648">
        <f>Dashboard_Live_Data!AI177</f>
        <v/>
      </c>
      <c r="D1648">
        <f>Dashboard_Live_Data!AJ177</f>
        <v/>
      </c>
      <c r="E1648">
        <f>Dashboard_Live_Data!AK177</f>
        <v/>
      </c>
      <c r="F1648">
        <f>Dashboard_Live_Data!AL177</f>
        <v/>
      </c>
      <c r="G1648">
        <f>Dashboard_Live_Data!AM177</f>
        <v/>
      </c>
      <c r="H1648">
        <f>Dashboard_Live_Data!AN177</f>
        <v/>
      </c>
    </row>
    <row r="1649">
      <c r="A1649">
        <f>Dashboard_Live_Data!AG178</f>
        <v/>
      </c>
      <c r="B1649">
        <f>Dashboard_Live_Data!AH178</f>
        <v/>
      </c>
      <c r="C1649">
        <f>Dashboard_Live_Data!AI178</f>
        <v/>
      </c>
      <c r="D1649">
        <f>Dashboard_Live_Data!AJ178</f>
        <v/>
      </c>
      <c r="E1649">
        <f>Dashboard_Live_Data!AK178</f>
        <v/>
      </c>
      <c r="F1649">
        <f>Dashboard_Live_Data!AL178</f>
        <v/>
      </c>
      <c r="G1649">
        <f>Dashboard_Live_Data!AM178</f>
        <v/>
      </c>
      <c r="H1649">
        <f>Dashboard_Live_Data!AN178</f>
        <v/>
      </c>
    </row>
    <row r="1650">
      <c r="A1650">
        <f>Dashboard_Live_Data!AG179</f>
        <v/>
      </c>
      <c r="B1650">
        <f>Dashboard_Live_Data!AH179</f>
        <v/>
      </c>
      <c r="C1650">
        <f>Dashboard_Live_Data!AI179</f>
        <v/>
      </c>
      <c r="D1650">
        <f>Dashboard_Live_Data!AJ179</f>
        <v/>
      </c>
      <c r="E1650">
        <f>Dashboard_Live_Data!AK179</f>
        <v/>
      </c>
      <c r="F1650">
        <f>Dashboard_Live_Data!AL179</f>
        <v/>
      </c>
      <c r="G1650">
        <f>Dashboard_Live_Data!AM179</f>
        <v/>
      </c>
      <c r="H1650">
        <f>Dashboard_Live_Data!AN179</f>
        <v/>
      </c>
    </row>
    <row r="1651">
      <c r="A1651">
        <f>Dashboard_Live_Data!AG180</f>
        <v/>
      </c>
      <c r="B1651">
        <f>Dashboard_Live_Data!AH180</f>
        <v/>
      </c>
      <c r="C1651">
        <f>Dashboard_Live_Data!AI180</f>
        <v/>
      </c>
      <c r="D1651">
        <f>Dashboard_Live_Data!AJ180</f>
        <v/>
      </c>
      <c r="E1651">
        <f>Dashboard_Live_Data!AK180</f>
        <v/>
      </c>
      <c r="F1651">
        <f>Dashboard_Live_Data!AL180</f>
        <v/>
      </c>
      <c r="G1651">
        <f>Dashboard_Live_Data!AM180</f>
        <v/>
      </c>
      <c r="H1651">
        <f>Dashboard_Live_Data!AN180</f>
        <v/>
      </c>
    </row>
    <row r="1652">
      <c r="A1652">
        <f>Dashboard_Live_Data!AG181</f>
        <v/>
      </c>
      <c r="B1652">
        <f>Dashboard_Live_Data!AH181</f>
        <v/>
      </c>
      <c r="C1652">
        <f>Dashboard_Live_Data!AI181</f>
        <v/>
      </c>
      <c r="D1652">
        <f>Dashboard_Live_Data!AJ181</f>
        <v/>
      </c>
      <c r="E1652">
        <f>Dashboard_Live_Data!AK181</f>
        <v/>
      </c>
      <c r="F1652">
        <f>Dashboard_Live_Data!AL181</f>
        <v/>
      </c>
      <c r="G1652">
        <f>Dashboard_Live_Data!AM181</f>
        <v/>
      </c>
      <c r="H1652">
        <f>Dashboard_Live_Data!AN181</f>
        <v/>
      </c>
    </row>
    <row r="1653">
      <c r="A1653">
        <f>Dashboard_Live_Data!AG182</f>
        <v/>
      </c>
      <c r="B1653">
        <f>Dashboard_Live_Data!AH182</f>
        <v/>
      </c>
      <c r="C1653">
        <f>Dashboard_Live_Data!AI182</f>
        <v/>
      </c>
      <c r="D1653">
        <f>Dashboard_Live_Data!AJ182</f>
        <v/>
      </c>
      <c r="E1653">
        <f>Dashboard_Live_Data!AK182</f>
        <v/>
      </c>
      <c r="F1653">
        <f>Dashboard_Live_Data!AL182</f>
        <v/>
      </c>
      <c r="G1653">
        <f>Dashboard_Live_Data!AM182</f>
        <v/>
      </c>
      <c r="H1653">
        <f>Dashboard_Live_Data!AN182</f>
        <v/>
      </c>
    </row>
    <row r="1654">
      <c r="A1654">
        <f>Dashboard_Live_Data!AG183</f>
        <v/>
      </c>
      <c r="B1654">
        <f>Dashboard_Live_Data!AH183</f>
        <v/>
      </c>
      <c r="C1654">
        <f>Dashboard_Live_Data!AI183</f>
        <v/>
      </c>
      <c r="D1654">
        <f>Dashboard_Live_Data!AJ183</f>
        <v/>
      </c>
      <c r="E1654">
        <f>Dashboard_Live_Data!AK183</f>
        <v/>
      </c>
      <c r="F1654">
        <f>Dashboard_Live_Data!AL183</f>
        <v/>
      </c>
      <c r="G1654">
        <f>Dashboard_Live_Data!AM183</f>
        <v/>
      </c>
      <c r="H1654">
        <f>Dashboard_Live_Data!AN183</f>
        <v/>
      </c>
    </row>
    <row r="1655">
      <c r="A1655">
        <f>Dashboard_Live_Data!AG184</f>
        <v/>
      </c>
      <c r="B1655">
        <f>Dashboard_Live_Data!AH184</f>
        <v/>
      </c>
      <c r="C1655">
        <f>Dashboard_Live_Data!AI184</f>
        <v/>
      </c>
      <c r="D1655">
        <f>Dashboard_Live_Data!AJ184</f>
        <v/>
      </c>
      <c r="E1655">
        <f>Dashboard_Live_Data!AK184</f>
        <v/>
      </c>
      <c r="F1655">
        <f>Dashboard_Live_Data!AL184</f>
        <v/>
      </c>
      <c r="G1655">
        <f>Dashboard_Live_Data!AM184</f>
        <v/>
      </c>
      <c r="H1655">
        <f>Dashboard_Live_Data!AN184</f>
        <v/>
      </c>
    </row>
    <row r="1656">
      <c r="A1656">
        <f>Dashboard_Live_Data!AG185</f>
        <v/>
      </c>
      <c r="B1656">
        <f>Dashboard_Live_Data!AH185</f>
        <v/>
      </c>
      <c r="C1656">
        <f>Dashboard_Live_Data!AI185</f>
        <v/>
      </c>
      <c r="D1656">
        <f>Dashboard_Live_Data!AJ185</f>
        <v/>
      </c>
      <c r="E1656">
        <f>Dashboard_Live_Data!AK185</f>
        <v/>
      </c>
      <c r="F1656">
        <f>Dashboard_Live_Data!AL185</f>
        <v/>
      </c>
      <c r="G1656">
        <f>Dashboard_Live_Data!AM185</f>
        <v/>
      </c>
      <c r="H1656">
        <f>Dashboard_Live_Data!AN185</f>
        <v/>
      </c>
    </row>
    <row r="1657">
      <c r="A1657">
        <f>Dashboard_Live_Data!AG186</f>
        <v/>
      </c>
      <c r="B1657">
        <f>Dashboard_Live_Data!AH186</f>
        <v/>
      </c>
      <c r="C1657">
        <f>Dashboard_Live_Data!AI186</f>
        <v/>
      </c>
      <c r="D1657">
        <f>Dashboard_Live_Data!AJ186</f>
        <v/>
      </c>
      <c r="E1657">
        <f>Dashboard_Live_Data!AK186</f>
        <v/>
      </c>
      <c r="F1657">
        <f>Dashboard_Live_Data!AL186</f>
        <v/>
      </c>
      <c r="G1657">
        <f>Dashboard_Live_Data!AM186</f>
        <v/>
      </c>
      <c r="H1657">
        <f>Dashboard_Live_Data!AN186</f>
        <v/>
      </c>
    </row>
    <row r="1658">
      <c r="A1658">
        <f>Dashboard_Live_Data!AG187</f>
        <v/>
      </c>
      <c r="B1658">
        <f>Dashboard_Live_Data!AH187</f>
        <v/>
      </c>
      <c r="C1658">
        <f>Dashboard_Live_Data!AI187</f>
        <v/>
      </c>
      <c r="D1658">
        <f>Dashboard_Live_Data!AJ187</f>
        <v/>
      </c>
      <c r="E1658">
        <f>Dashboard_Live_Data!AK187</f>
        <v/>
      </c>
      <c r="F1658">
        <f>Dashboard_Live_Data!AL187</f>
        <v/>
      </c>
      <c r="G1658">
        <f>Dashboard_Live_Data!AM187</f>
        <v/>
      </c>
      <c r="H1658">
        <f>Dashboard_Live_Data!AN187</f>
        <v/>
      </c>
    </row>
    <row r="1659">
      <c r="A1659">
        <f>Dashboard_Live_Data!AG188</f>
        <v/>
      </c>
      <c r="B1659">
        <f>Dashboard_Live_Data!AH188</f>
        <v/>
      </c>
      <c r="C1659">
        <f>Dashboard_Live_Data!AI188</f>
        <v/>
      </c>
      <c r="D1659">
        <f>Dashboard_Live_Data!AJ188</f>
        <v/>
      </c>
      <c r="E1659">
        <f>Dashboard_Live_Data!AK188</f>
        <v/>
      </c>
      <c r="F1659">
        <f>Dashboard_Live_Data!AL188</f>
        <v/>
      </c>
      <c r="G1659">
        <f>Dashboard_Live_Data!AM188</f>
        <v/>
      </c>
      <c r="H1659">
        <f>Dashboard_Live_Data!AN188</f>
        <v/>
      </c>
    </row>
    <row r="1660">
      <c r="A1660">
        <f>Dashboard_Live_Data!AG189</f>
        <v/>
      </c>
      <c r="B1660">
        <f>Dashboard_Live_Data!AH189</f>
        <v/>
      </c>
      <c r="C1660">
        <f>Dashboard_Live_Data!AI189</f>
        <v/>
      </c>
      <c r="D1660">
        <f>Dashboard_Live_Data!AJ189</f>
        <v/>
      </c>
      <c r="E1660">
        <f>Dashboard_Live_Data!AK189</f>
        <v/>
      </c>
      <c r="F1660">
        <f>Dashboard_Live_Data!AL189</f>
        <v/>
      </c>
      <c r="G1660">
        <f>Dashboard_Live_Data!AM189</f>
        <v/>
      </c>
      <c r="H1660">
        <f>Dashboard_Live_Data!AN189</f>
        <v/>
      </c>
    </row>
    <row r="1661">
      <c r="A1661">
        <f>Dashboard_Live_Data!AG190</f>
        <v/>
      </c>
      <c r="B1661">
        <f>Dashboard_Live_Data!AH190</f>
        <v/>
      </c>
      <c r="C1661">
        <f>Dashboard_Live_Data!AI190</f>
        <v/>
      </c>
      <c r="D1661">
        <f>Dashboard_Live_Data!AJ190</f>
        <v/>
      </c>
      <c r="E1661">
        <f>Dashboard_Live_Data!AK190</f>
        <v/>
      </c>
      <c r="F1661">
        <f>Dashboard_Live_Data!AL190</f>
        <v/>
      </c>
      <c r="G1661">
        <f>Dashboard_Live_Data!AM190</f>
        <v/>
      </c>
      <c r="H1661">
        <f>Dashboard_Live_Data!AN190</f>
        <v/>
      </c>
    </row>
    <row r="1662">
      <c r="A1662">
        <f>Dashboard_Live_Data!AG191</f>
        <v/>
      </c>
      <c r="B1662">
        <f>Dashboard_Live_Data!AH191</f>
        <v/>
      </c>
      <c r="C1662">
        <f>Dashboard_Live_Data!AI191</f>
        <v/>
      </c>
      <c r="D1662">
        <f>Dashboard_Live_Data!AJ191</f>
        <v/>
      </c>
      <c r="E1662">
        <f>Dashboard_Live_Data!AK191</f>
        <v/>
      </c>
      <c r="F1662">
        <f>Dashboard_Live_Data!AL191</f>
        <v/>
      </c>
      <c r="G1662">
        <f>Dashboard_Live_Data!AM191</f>
        <v/>
      </c>
      <c r="H1662">
        <f>Dashboard_Live_Data!AN191</f>
        <v/>
      </c>
    </row>
    <row r="1663">
      <c r="A1663">
        <f>Dashboard_Live_Data!AG192</f>
        <v/>
      </c>
      <c r="B1663">
        <f>Dashboard_Live_Data!AH192</f>
        <v/>
      </c>
      <c r="C1663">
        <f>Dashboard_Live_Data!AI192</f>
        <v/>
      </c>
      <c r="D1663">
        <f>Dashboard_Live_Data!AJ192</f>
        <v/>
      </c>
      <c r="E1663">
        <f>Dashboard_Live_Data!AK192</f>
        <v/>
      </c>
      <c r="F1663">
        <f>Dashboard_Live_Data!AL192</f>
        <v/>
      </c>
      <c r="G1663">
        <f>Dashboard_Live_Data!AM192</f>
        <v/>
      </c>
      <c r="H1663">
        <f>Dashboard_Live_Data!AN192</f>
        <v/>
      </c>
    </row>
    <row r="1664">
      <c r="A1664">
        <f>Dashboard_Live_Data!AG193</f>
        <v/>
      </c>
      <c r="B1664">
        <f>Dashboard_Live_Data!AH193</f>
        <v/>
      </c>
      <c r="C1664">
        <f>Dashboard_Live_Data!AI193</f>
        <v/>
      </c>
      <c r="D1664">
        <f>Dashboard_Live_Data!AJ193</f>
        <v/>
      </c>
      <c r="E1664">
        <f>Dashboard_Live_Data!AK193</f>
        <v/>
      </c>
      <c r="F1664">
        <f>Dashboard_Live_Data!AL193</f>
        <v/>
      </c>
      <c r="G1664">
        <f>Dashboard_Live_Data!AM193</f>
        <v/>
      </c>
      <c r="H1664">
        <f>Dashboard_Live_Data!AN193</f>
        <v/>
      </c>
    </row>
    <row r="1665">
      <c r="A1665">
        <f>Dashboard_Live_Data!AG194</f>
        <v/>
      </c>
      <c r="B1665">
        <f>Dashboard_Live_Data!AH194</f>
        <v/>
      </c>
      <c r="C1665">
        <f>Dashboard_Live_Data!AI194</f>
        <v/>
      </c>
      <c r="D1665">
        <f>Dashboard_Live_Data!AJ194</f>
        <v/>
      </c>
      <c r="E1665">
        <f>Dashboard_Live_Data!AK194</f>
        <v/>
      </c>
      <c r="F1665">
        <f>Dashboard_Live_Data!AL194</f>
        <v/>
      </c>
      <c r="G1665">
        <f>Dashboard_Live_Data!AM194</f>
        <v/>
      </c>
      <c r="H1665">
        <f>Dashboard_Live_Data!AN194</f>
        <v/>
      </c>
    </row>
    <row r="1666">
      <c r="A1666">
        <f>Dashboard_Live_Data!AG195</f>
        <v/>
      </c>
      <c r="B1666">
        <f>Dashboard_Live_Data!AH195</f>
        <v/>
      </c>
      <c r="C1666">
        <f>Dashboard_Live_Data!AI195</f>
        <v/>
      </c>
      <c r="D1666">
        <f>Dashboard_Live_Data!AJ195</f>
        <v/>
      </c>
      <c r="E1666">
        <f>Dashboard_Live_Data!AK195</f>
        <v/>
      </c>
      <c r="F1666">
        <f>Dashboard_Live_Data!AL195</f>
        <v/>
      </c>
      <c r="G1666">
        <f>Dashboard_Live_Data!AM195</f>
        <v/>
      </c>
      <c r="H1666">
        <f>Dashboard_Live_Data!AN195</f>
        <v/>
      </c>
    </row>
    <row r="1667">
      <c r="A1667">
        <f>Dashboard_Live_Data!AG196</f>
        <v/>
      </c>
      <c r="B1667">
        <f>Dashboard_Live_Data!AH196</f>
        <v/>
      </c>
      <c r="C1667">
        <f>Dashboard_Live_Data!AI196</f>
        <v/>
      </c>
      <c r="D1667">
        <f>Dashboard_Live_Data!AJ196</f>
        <v/>
      </c>
      <c r="E1667">
        <f>Dashboard_Live_Data!AK196</f>
        <v/>
      </c>
      <c r="F1667">
        <f>Dashboard_Live_Data!AL196</f>
        <v/>
      </c>
      <c r="G1667">
        <f>Dashboard_Live_Data!AM196</f>
        <v/>
      </c>
      <c r="H1667">
        <f>Dashboard_Live_Data!AN196</f>
        <v/>
      </c>
    </row>
    <row r="1668">
      <c r="A1668">
        <f>Dashboard_Live_Data!AG197</f>
        <v/>
      </c>
      <c r="B1668">
        <f>Dashboard_Live_Data!AH197</f>
        <v/>
      </c>
      <c r="C1668">
        <f>Dashboard_Live_Data!AI197</f>
        <v/>
      </c>
      <c r="D1668">
        <f>Dashboard_Live_Data!AJ197</f>
        <v/>
      </c>
      <c r="E1668">
        <f>Dashboard_Live_Data!AK197</f>
        <v/>
      </c>
      <c r="F1668">
        <f>Dashboard_Live_Data!AL197</f>
        <v/>
      </c>
      <c r="G1668">
        <f>Dashboard_Live_Data!AM197</f>
        <v/>
      </c>
      <c r="H1668">
        <f>Dashboard_Live_Data!AN197</f>
        <v/>
      </c>
    </row>
    <row r="1669">
      <c r="A1669">
        <f>Dashboard_Live_Data!AG198</f>
        <v/>
      </c>
      <c r="B1669">
        <f>Dashboard_Live_Data!AH198</f>
        <v/>
      </c>
      <c r="C1669">
        <f>Dashboard_Live_Data!AI198</f>
        <v/>
      </c>
      <c r="D1669">
        <f>Dashboard_Live_Data!AJ198</f>
        <v/>
      </c>
      <c r="E1669">
        <f>Dashboard_Live_Data!AK198</f>
        <v/>
      </c>
      <c r="F1669">
        <f>Dashboard_Live_Data!AL198</f>
        <v/>
      </c>
      <c r="G1669">
        <f>Dashboard_Live_Data!AM198</f>
        <v/>
      </c>
      <c r="H1669">
        <f>Dashboard_Live_Data!AN198</f>
        <v/>
      </c>
    </row>
    <row r="1670">
      <c r="A1670">
        <f>Dashboard_Live_Data!AG199</f>
        <v/>
      </c>
      <c r="B1670">
        <f>Dashboard_Live_Data!AH199</f>
        <v/>
      </c>
      <c r="C1670">
        <f>Dashboard_Live_Data!AI199</f>
        <v/>
      </c>
      <c r="D1670">
        <f>Dashboard_Live_Data!AJ199</f>
        <v/>
      </c>
      <c r="E1670">
        <f>Dashboard_Live_Data!AK199</f>
        <v/>
      </c>
      <c r="F1670">
        <f>Dashboard_Live_Data!AL199</f>
        <v/>
      </c>
      <c r="G1670">
        <f>Dashboard_Live_Data!AM199</f>
        <v/>
      </c>
      <c r="H1670">
        <f>Dashboard_Live_Data!AN199</f>
        <v/>
      </c>
    </row>
    <row r="1671">
      <c r="A1671">
        <f>Dashboard_Live_Data!AG200</f>
        <v/>
      </c>
      <c r="B1671">
        <f>Dashboard_Live_Data!AH200</f>
        <v/>
      </c>
      <c r="C1671">
        <f>Dashboard_Live_Data!AI200</f>
        <v/>
      </c>
      <c r="D1671">
        <f>Dashboard_Live_Data!AJ200</f>
        <v/>
      </c>
      <c r="E1671">
        <f>Dashboard_Live_Data!AK200</f>
        <v/>
      </c>
      <c r="F1671">
        <f>Dashboard_Live_Data!AL200</f>
        <v/>
      </c>
      <c r="G1671">
        <f>Dashboard_Live_Data!AM200</f>
        <v/>
      </c>
      <c r="H1671">
        <f>Dashboard_Live_Data!AN200</f>
        <v/>
      </c>
    </row>
    <row r="1672">
      <c r="A1672">
        <f>Dashboard_Live_Data!AG201</f>
        <v/>
      </c>
      <c r="B1672">
        <f>Dashboard_Live_Data!AH201</f>
        <v/>
      </c>
      <c r="C1672">
        <f>Dashboard_Live_Data!AI201</f>
        <v/>
      </c>
      <c r="D1672">
        <f>Dashboard_Live_Data!AJ201</f>
        <v/>
      </c>
      <c r="E1672">
        <f>Dashboard_Live_Data!AK201</f>
        <v/>
      </c>
      <c r="F1672">
        <f>Dashboard_Live_Data!AL201</f>
        <v/>
      </c>
      <c r="G1672">
        <f>Dashboard_Live_Data!AM201</f>
        <v/>
      </c>
      <c r="H1672">
        <f>Dashboard_Live_Data!AN201</f>
        <v/>
      </c>
    </row>
    <row r="1673">
      <c r="A1673">
        <f>Dashboard_Live_Data!AG202</f>
        <v/>
      </c>
      <c r="B1673">
        <f>Dashboard_Live_Data!AH202</f>
        <v/>
      </c>
      <c r="C1673">
        <f>Dashboard_Live_Data!AI202</f>
        <v/>
      </c>
      <c r="D1673">
        <f>Dashboard_Live_Data!AJ202</f>
        <v/>
      </c>
      <c r="E1673">
        <f>Dashboard_Live_Data!AK202</f>
        <v/>
      </c>
      <c r="F1673">
        <f>Dashboard_Live_Data!AL202</f>
        <v/>
      </c>
      <c r="G1673">
        <f>Dashboard_Live_Data!AM202</f>
        <v/>
      </c>
      <c r="H1673">
        <f>Dashboard_Live_Data!AN202</f>
        <v/>
      </c>
    </row>
    <row r="1674">
      <c r="A1674">
        <f>Dashboard_Live_Data!AG203</f>
        <v/>
      </c>
      <c r="B1674">
        <f>Dashboard_Live_Data!AH203</f>
        <v/>
      </c>
      <c r="C1674">
        <f>Dashboard_Live_Data!AI203</f>
        <v/>
      </c>
      <c r="D1674">
        <f>Dashboard_Live_Data!AJ203</f>
        <v/>
      </c>
      <c r="E1674">
        <f>Dashboard_Live_Data!AK203</f>
        <v/>
      </c>
      <c r="F1674">
        <f>Dashboard_Live_Data!AL203</f>
        <v/>
      </c>
      <c r="G1674">
        <f>Dashboard_Live_Data!AM203</f>
        <v/>
      </c>
      <c r="H1674">
        <f>Dashboard_Live_Data!AN203</f>
        <v/>
      </c>
    </row>
    <row r="1675">
      <c r="A1675">
        <f>Dashboard_Live_Data!AG204</f>
        <v/>
      </c>
      <c r="B1675">
        <f>Dashboard_Live_Data!AH204</f>
        <v/>
      </c>
      <c r="C1675">
        <f>Dashboard_Live_Data!AI204</f>
        <v/>
      </c>
      <c r="D1675">
        <f>Dashboard_Live_Data!AJ204</f>
        <v/>
      </c>
      <c r="E1675">
        <f>Dashboard_Live_Data!AK204</f>
        <v/>
      </c>
      <c r="F1675">
        <f>Dashboard_Live_Data!AL204</f>
        <v/>
      </c>
      <c r="G1675">
        <f>Dashboard_Live_Data!AM204</f>
        <v/>
      </c>
      <c r="H1675">
        <f>Dashboard_Live_Data!AN204</f>
        <v/>
      </c>
    </row>
    <row r="1676">
      <c r="A1676">
        <f>Dashboard_Live_Data!AG205</f>
        <v/>
      </c>
      <c r="B1676">
        <f>Dashboard_Live_Data!AH205</f>
        <v/>
      </c>
      <c r="C1676">
        <f>Dashboard_Live_Data!AI205</f>
        <v/>
      </c>
      <c r="D1676">
        <f>Dashboard_Live_Data!AJ205</f>
        <v/>
      </c>
      <c r="E1676">
        <f>Dashboard_Live_Data!AK205</f>
        <v/>
      </c>
      <c r="F1676">
        <f>Dashboard_Live_Data!AL205</f>
        <v/>
      </c>
      <c r="G1676">
        <f>Dashboard_Live_Data!AM205</f>
        <v/>
      </c>
      <c r="H1676">
        <f>Dashboard_Live_Data!AN205</f>
        <v/>
      </c>
    </row>
    <row r="1677">
      <c r="A1677">
        <f>Dashboard_Live_Data!AG206</f>
        <v/>
      </c>
      <c r="B1677">
        <f>Dashboard_Live_Data!AH206</f>
        <v/>
      </c>
      <c r="C1677">
        <f>Dashboard_Live_Data!AI206</f>
        <v/>
      </c>
      <c r="D1677">
        <f>Dashboard_Live_Data!AJ206</f>
        <v/>
      </c>
      <c r="E1677">
        <f>Dashboard_Live_Data!AK206</f>
        <v/>
      </c>
      <c r="F1677">
        <f>Dashboard_Live_Data!AL206</f>
        <v/>
      </c>
      <c r="G1677">
        <f>Dashboard_Live_Data!AM206</f>
        <v/>
      </c>
      <c r="H1677">
        <f>Dashboard_Live_Data!AN206</f>
        <v/>
      </c>
    </row>
    <row r="1678">
      <c r="A1678">
        <f>Dashboard_Live_Data!AG207</f>
        <v/>
      </c>
      <c r="B1678">
        <f>Dashboard_Live_Data!AH207</f>
        <v/>
      </c>
      <c r="C1678">
        <f>Dashboard_Live_Data!AI207</f>
        <v/>
      </c>
      <c r="D1678">
        <f>Dashboard_Live_Data!AJ207</f>
        <v/>
      </c>
      <c r="E1678">
        <f>Dashboard_Live_Data!AK207</f>
        <v/>
      </c>
      <c r="F1678">
        <f>Dashboard_Live_Data!AL207</f>
        <v/>
      </c>
      <c r="G1678">
        <f>Dashboard_Live_Data!AM207</f>
        <v/>
      </c>
      <c r="H1678">
        <f>Dashboard_Live_Data!AN207</f>
        <v/>
      </c>
    </row>
    <row r="1679">
      <c r="A1679">
        <f>Dashboard_Live_Data!AG208</f>
        <v/>
      </c>
      <c r="B1679">
        <f>Dashboard_Live_Data!AH208</f>
        <v/>
      </c>
      <c r="C1679">
        <f>Dashboard_Live_Data!AI208</f>
        <v/>
      </c>
      <c r="D1679">
        <f>Dashboard_Live_Data!AJ208</f>
        <v/>
      </c>
      <c r="E1679">
        <f>Dashboard_Live_Data!AK208</f>
        <v/>
      </c>
      <c r="F1679">
        <f>Dashboard_Live_Data!AL208</f>
        <v/>
      </c>
      <c r="G1679">
        <f>Dashboard_Live_Data!AM208</f>
        <v/>
      </c>
      <c r="H1679">
        <f>Dashboard_Live_Data!AN208</f>
        <v/>
      </c>
    </row>
    <row r="1680">
      <c r="A1680">
        <f>Dashboard_Live_Data!AG209</f>
        <v/>
      </c>
      <c r="B1680">
        <f>Dashboard_Live_Data!AH209</f>
        <v/>
      </c>
      <c r="C1680">
        <f>Dashboard_Live_Data!AI209</f>
        <v/>
      </c>
      <c r="D1680">
        <f>Dashboard_Live_Data!AJ209</f>
        <v/>
      </c>
      <c r="E1680">
        <f>Dashboard_Live_Data!AK209</f>
        <v/>
      </c>
      <c r="F1680">
        <f>Dashboard_Live_Data!AL209</f>
        <v/>
      </c>
      <c r="G1680">
        <f>Dashboard_Live_Data!AM209</f>
        <v/>
      </c>
      <c r="H1680">
        <f>Dashboard_Live_Data!AN209</f>
        <v/>
      </c>
    </row>
    <row r="1681">
      <c r="A1681">
        <f>Dashboard_Live_Data!AG210</f>
        <v/>
      </c>
      <c r="B1681">
        <f>Dashboard_Live_Data!AH210</f>
        <v/>
      </c>
      <c r="C1681">
        <f>Dashboard_Live_Data!AI210</f>
        <v/>
      </c>
      <c r="D1681">
        <f>Dashboard_Live_Data!AJ210</f>
        <v/>
      </c>
      <c r="E1681">
        <f>Dashboard_Live_Data!AK210</f>
        <v/>
      </c>
      <c r="F1681">
        <f>Dashboard_Live_Data!AL210</f>
        <v/>
      </c>
      <c r="G1681">
        <f>Dashboard_Live_Data!AM210</f>
        <v/>
      </c>
      <c r="H1681">
        <f>Dashboard_Live_Data!AN210</f>
        <v/>
      </c>
    </row>
    <row r="1682">
      <c r="A1682">
        <f>Dashboard_Live_Data!AG211</f>
        <v/>
      </c>
      <c r="B1682">
        <f>Dashboard_Live_Data!AH211</f>
        <v/>
      </c>
      <c r="C1682">
        <f>Dashboard_Live_Data!AI211</f>
        <v/>
      </c>
      <c r="D1682">
        <f>Dashboard_Live_Data!AJ211</f>
        <v/>
      </c>
      <c r="E1682">
        <f>Dashboard_Live_Data!AK211</f>
        <v/>
      </c>
      <c r="F1682">
        <f>Dashboard_Live_Data!AL211</f>
        <v/>
      </c>
      <c r="G1682">
        <f>Dashboard_Live_Data!AM211</f>
        <v/>
      </c>
      <c r="H1682">
        <f>Dashboard_Live_Data!AN211</f>
        <v/>
      </c>
    </row>
    <row r="1683">
      <c r="A1683">
        <f>Dashboard_Live_Data!AG212</f>
        <v/>
      </c>
      <c r="B1683">
        <f>Dashboard_Live_Data!AH212</f>
        <v/>
      </c>
      <c r="C1683">
        <f>Dashboard_Live_Data!AI212</f>
        <v/>
      </c>
      <c r="D1683">
        <f>Dashboard_Live_Data!AJ212</f>
        <v/>
      </c>
      <c r="E1683">
        <f>Dashboard_Live_Data!AK212</f>
        <v/>
      </c>
      <c r="F1683">
        <f>Dashboard_Live_Data!AL212</f>
        <v/>
      </c>
      <c r="G1683">
        <f>Dashboard_Live_Data!AM212</f>
        <v/>
      </c>
      <c r="H1683">
        <f>Dashboard_Live_Data!AN212</f>
        <v/>
      </c>
    </row>
    <row r="1684">
      <c r="A1684">
        <f>Dashboard_Live_Data!AG213</f>
        <v/>
      </c>
      <c r="B1684">
        <f>Dashboard_Live_Data!AH213</f>
        <v/>
      </c>
      <c r="C1684">
        <f>Dashboard_Live_Data!AI213</f>
        <v/>
      </c>
      <c r="D1684">
        <f>Dashboard_Live_Data!AJ213</f>
        <v/>
      </c>
      <c r="E1684">
        <f>Dashboard_Live_Data!AK213</f>
        <v/>
      </c>
      <c r="F1684">
        <f>Dashboard_Live_Data!AL213</f>
        <v/>
      </c>
      <c r="G1684">
        <f>Dashboard_Live_Data!AM213</f>
        <v/>
      </c>
      <c r="H1684">
        <f>Dashboard_Live_Data!AN213</f>
        <v/>
      </c>
    </row>
    <row r="1685">
      <c r="A1685">
        <f>Dashboard_Live_Data!AG214</f>
        <v/>
      </c>
      <c r="B1685">
        <f>Dashboard_Live_Data!AH214</f>
        <v/>
      </c>
      <c r="C1685">
        <f>Dashboard_Live_Data!AI214</f>
        <v/>
      </c>
      <c r="D1685">
        <f>Dashboard_Live_Data!AJ214</f>
        <v/>
      </c>
      <c r="E1685">
        <f>Dashboard_Live_Data!AK214</f>
        <v/>
      </c>
      <c r="F1685">
        <f>Dashboard_Live_Data!AL214</f>
        <v/>
      </c>
      <c r="G1685">
        <f>Dashboard_Live_Data!AM214</f>
        <v/>
      </c>
      <c r="H1685">
        <f>Dashboard_Live_Data!AN214</f>
        <v/>
      </c>
    </row>
    <row r="1686">
      <c r="A1686">
        <f>Dashboard_Live_Data!AG215</f>
        <v/>
      </c>
      <c r="B1686">
        <f>Dashboard_Live_Data!AH215</f>
        <v/>
      </c>
      <c r="C1686">
        <f>Dashboard_Live_Data!AI215</f>
        <v/>
      </c>
      <c r="D1686">
        <f>Dashboard_Live_Data!AJ215</f>
        <v/>
      </c>
      <c r="E1686">
        <f>Dashboard_Live_Data!AK215</f>
        <v/>
      </c>
      <c r="F1686">
        <f>Dashboard_Live_Data!AL215</f>
        <v/>
      </c>
      <c r="G1686">
        <f>Dashboard_Live_Data!AM215</f>
        <v/>
      </c>
      <c r="H1686">
        <f>Dashboard_Live_Data!AN215</f>
        <v/>
      </c>
    </row>
    <row r="1687">
      <c r="A1687">
        <f>Dashboard_Live_Data!AG216</f>
        <v/>
      </c>
      <c r="B1687">
        <f>Dashboard_Live_Data!AH216</f>
        <v/>
      </c>
      <c r="C1687">
        <f>Dashboard_Live_Data!AI216</f>
        <v/>
      </c>
      <c r="D1687">
        <f>Dashboard_Live_Data!AJ216</f>
        <v/>
      </c>
      <c r="E1687">
        <f>Dashboard_Live_Data!AK216</f>
        <v/>
      </c>
      <c r="F1687">
        <f>Dashboard_Live_Data!AL216</f>
        <v/>
      </c>
      <c r="G1687">
        <f>Dashboard_Live_Data!AM216</f>
        <v/>
      </c>
      <c r="H1687">
        <f>Dashboard_Live_Data!AN216</f>
        <v/>
      </c>
    </row>
    <row r="1688">
      <c r="A1688">
        <f>Dashboard_Live_Data!AG217</f>
        <v/>
      </c>
      <c r="B1688">
        <f>Dashboard_Live_Data!AH217</f>
        <v/>
      </c>
      <c r="C1688">
        <f>Dashboard_Live_Data!AI217</f>
        <v/>
      </c>
      <c r="D1688">
        <f>Dashboard_Live_Data!AJ217</f>
        <v/>
      </c>
      <c r="E1688">
        <f>Dashboard_Live_Data!AK217</f>
        <v/>
      </c>
      <c r="F1688">
        <f>Dashboard_Live_Data!AL217</f>
        <v/>
      </c>
      <c r="G1688">
        <f>Dashboard_Live_Data!AM217</f>
        <v/>
      </c>
      <c r="H1688">
        <f>Dashboard_Live_Data!AN217</f>
        <v/>
      </c>
    </row>
    <row r="1689">
      <c r="A1689">
        <f>Dashboard_Live_Data!AG218</f>
        <v/>
      </c>
      <c r="B1689">
        <f>Dashboard_Live_Data!AH218</f>
        <v/>
      </c>
      <c r="C1689">
        <f>Dashboard_Live_Data!AI218</f>
        <v/>
      </c>
      <c r="D1689">
        <f>Dashboard_Live_Data!AJ218</f>
        <v/>
      </c>
      <c r="E1689">
        <f>Dashboard_Live_Data!AK218</f>
        <v/>
      </c>
      <c r="F1689">
        <f>Dashboard_Live_Data!AL218</f>
        <v/>
      </c>
      <c r="G1689">
        <f>Dashboard_Live_Data!AM218</f>
        <v/>
      </c>
      <c r="H1689">
        <f>Dashboard_Live_Data!AN218</f>
        <v/>
      </c>
    </row>
    <row r="1690">
      <c r="A1690">
        <f>Dashboard_Live_Data!AG219</f>
        <v/>
      </c>
      <c r="B1690">
        <f>Dashboard_Live_Data!AH219</f>
        <v/>
      </c>
      <c r="C1690">
        <f>Dashboard_Live_Data!AI219</f>
        <v/>
      </c>
      <c r="D1690">
        <f>Dashboard_Live_Data!AJ219</f>
        <v/>
      </c>
      <c r="E1690">
        <f>Dashboard_Live_Data!AK219</f>
        <v/>
      </c>
      <c r="F1690">
        <f>Dashboard_Live_Data!AL219</f>
        <v/>
      </c>
      <c r="G1690">
        <f>Dashboard_Live_Data!AM219</f>
        <v/>
      </c>
      <c r="H1690">
        <f>Dashboard_Live_Data!AN219</f>
        <v/>
      </c>
    </row>
    <row r="1691">
      <c r="A1691">
        <f>Dashboard_Live_Data!AG220</f>
        <v/>
      </c>
      <c r="B1691">
        <f>Dashboard_Live_Data!AH220</f>
        <v/>
      </c>
      <c r="C1691">
        <f>Dashboard_Live_Data!AI220</f>
        <v/>
      </c>
      <c r="D1691">
        <f>Dashboard_Live_Data!AJ220</f>
        <v/>
      </c>
      <c r="E1691">
        <f>Dashboard_Live_Data!AK220</f>
        <v/>
      </c>
      <c r="F1691">
        <f>Dashboard_Live_Data!AL220</f>
        <v/>
      </c>
      <c r="G1691">
        <f>Dashboard_Live_Data!AM220</f>
        <v/>
      </c>
      <c r="H1691">
        <f>Dashboard_Live_Data!AN220</f>
        <v/>
      </c>
    </row>
    <row r="1692">
      <c r="A1692">
        <f>Dashboard_Live_Data!AG221</f>
        <v/>
      </c>
      <c r="B1692">
        <f>Dashboard_Live_Data!AH221</f>
        <v/>
      </c>
      <c r="C1692">
        <f>Dashboard_Live_Data!AI221</f>
        <v/>
      </c>
      <c r="D1692">
        <f>Dashboard_Live_Data!AJ221</f>
        <v/>
      </c>
      <c r="E1692">
        <f>Dashboard_Live_Data!AK221</f>
        <v/>
      </c>
      <c r="F1692">
        <f>Dashboard_Live_Data!AL221</f>
        <v/>
      </c>
      <c r="G1692">
        <f>Dashboard_Live_Data!AM221</f>
        <v/>
      </c>
      <c r="H1692">
        <f>Dashboard_Live_Data!AN221</f>
        <v/>
      </c>
    </row>
    <row r="1693">
      <c r="A1693">
        <f>Dashboard_Live_Data!AG222</f>
        <v/>
      </c>
      <c r="B1693">
        <f>Dashboard_Live_Data!AH222</f>
        <v/>
      </c>
      <c r="C1693">
        <f>Dashboard_Live_Data!AI222</f>
        <v/>
      </c>
      <c r="D1693">
        <f>Dashboard_Live_Data!AJ222</f>
        <v/>
      </c>
      <c r="E1693">
        <f>Dashboard_Live_Data!AK222</f>
        <v/>
      </c>
      <c r="F1693">
        <f>Dashboard_Live_Data!AL222</f>
        <v/>
      </c>
      <c r="G1693">
        <f>Dashboard_Live_Data!AM222</f>
        <v/>
      </c>
      <c r="H1693">
        <f>Dashboard_Live_Data!AN222</f>
        <v/>
      </c>
    </row>
    <row r="1694">
      <c r="A1694">
        <f>Dashboard_Live_Data!AG223</f>
        <v/>
      </c>
      <c r="B1694">
        <f>Dashboard_Live_Data!AH223</f>
        <v/>
      </c>
      <c r="C1694">
        <f>Dashboard_Live_Data!AI223</f>
        <v/>
      </c>
      <c r="D1694">
        <f>Dashboard_Live_Data!AJ223</f>
        <v/>
      </c>
      <c r="E1694">
        <f>Dashboard_Live_Data!AK223</f>
        <v/>
      </c>
      <c r="F1694">
        <f>Dashboard_Live_Data!AL223</f>
        <v/>
      </c>
      <c r="G1694">
        <f>Dashboard_Live_Data!AM223</f>
        <v/>
      </c>
      <c r="H1694">
        <f>Dashboard_Live_Data!AN223</f>
        <v/>
      </c>
    </row>
    <row r="1695">
      <c r="A1695">
        <f>Dashboard_Live_Data!AG224</f>
        <v/>
      </c>
      <c r="B1695">
        <f>Dashboard_Live_Data!AH224</f>
        <v/>
      </c>
      <c r="C1695">
        <f>Dashboard_Live_Data!AI224</f>
        <v/>
      </c>
      <c r="D1695">
        <f>Dashboard_Live_Data!AJ224</f>
        <v/>
      </c>
      <c r="E1695">
        <f>Dashboard_Live_Data!AK224</f>
        <v/>
      </c>
      <c r="F1695">
        <f>Dashboard_Live_Data!AL224</f>
        <v/>
      </c>
      <c r="G1695">
        <f>Dashboard_Live_Data!AM224</f>
        <v/>
      </c>
      <c r="H1695">
        <f>Dashboard_Live_Data!AN224</f>
        <v/>
      </c>
    </row>
    <row r="1696">
      <c r="A1696">
        <f>Dashboard_Live_Data!AG225</f>
        <v/>
      </c>
      <c r="B1696">
        <f>Dashboard_Live_Data!AH225</f>
        <v/>
      </c>
      <c r="C1696">
        <f>Dashboard_Live_Data!AI225</f>
        <v/>
      </c>
      <c r="D1696">
        <f>Dashboard_Live_Data!AJ225</f>
        <v/>
      </c>
      <c r="E1696">
        <f>Dashboard_Live_Data!AK225</f>
        <v/>
      </c>
      <c r="F1696">
        <f>Dashboard_Live_Data!AL225</f>
        <v/>
      </c>
      <c r="G1696">
        <f>Dashboard_Live_Data!AM225</f>
        <v/>
      </c>
      <c r="H1696">
        <f>Dashboard_Live_Data!AN225</f>
        <v/>
      </c>
    </row>
    <row r="1697">
      <c r="A1697">
        <f>Dashboard_Live_Data!AG226</f>
        <v/>
      </c>
      <c r="B1697">
        <f>Dashboard_Live_Data!AH226</f>
        <v/>
      </c>
      <c r="C1697">
        <f>Dashboard_Live_Data!AI226</f>
        <v/>
      </c>
      <c r="D1697">
        <f>Dashboard_Live_Data!AJ226</f>
        <v/>
      </c>
      <c r="E1697">
        <f>Dashboard_Live_Data!AK226</f>
        <v/>
      </c>
      <c r="F1697">
        <f>Dashboard_Live_Data!AL226</f>
        <v/>
      </c>
      <c r="G1697">
        <f>Dashboard_Live_Data!AM226</f>
        <v/>
      </c>
      <c r="H1697">
        <f>Dashboard_Live_Data!AN226</f>
        <v/>
      </c>
    </row>
    <row r="1698">
      <c r="A1698">
        <f>Dashboard_Live_Data!AG227</f>
        <v/>
      </c>
      <c r="B1698">
        <f>Dashboard_Live_Data!AH227</f>
        <v/>
      </c>
      <c r="C1698">
        <f>Dashboard_Live_Data!AI227</f>
        <v/>
      </c>
      <c r="D1698">
        <f>Dashboard_Live_Data!AJ227</f>
        <v/>
      </c>
      <c r="E1698">
        <f>Dashboard_Live_Data!AK227</f>
        <v/>
      </c>
      <c r="F1698">
        <f>Dashboard_Live_Data!AL227</f>
        <v/>
      </c>
      <c r="G1698">
        <f>Dashboard_Live_Data!AM227</f>
        <v/>
      </c>
      <c r="H1698">
        <f>Dashboard_Live_Data!AN227</f>
        <v/>
      </c>
    </row>
    <row r="1699">
      <c r="A1699">
        <f>Dashboard_Live_Data!AG228</f>
        <v/>
      </c>
      <c r="B1699">
        <f>Dashboard_Live_Data!AH228</f>
        <v/>
      </c>
      <c r="C1699">
        <f>Dashboard_Live_Data!AI228</f>
        <v/>
      </c>
      <c r="D1699">
        <f>Dashboard_Live_Data!AJ228</f>
        <v/>
      </c>
      <c r="E1699">
        <f>Dashboard_Live_Data!AK228</f>
        <v/>
      </c>
      <c r="F1699">
        <f>Dashboard_Live_Data!AL228</f>
        <v/>
      </c>
      <c r="G1699">
        <f>Dashboard_Live_Data!AM228</f>
        <v/>
      </c>
      <c r="H1699">
        <f>Dashboard_Live_Data!AN228</f>
        <v/>
      </c>
    </row>
    <row r="1700">
      <c r="A1700">
        <f>Dashboard_Live_Data!AG229</f>
        <v/>
      </c>
      <c r="B1700">
        <f>Dashboard_Live_Data!AH229</f>
        <v/>
      </c>
      <c r="C1700">
        <f>Dashboard_Live_Data!AI229</f>
        <v/>
      </c>
      <c r="D1700">
        <f>Dashboard_Live_Data!AJ229</f>
        <v/>
      </c>
      <c r="E1700">
        <f>Dashboard_Live_Data!AK229</f>
        <v/>
      </c>
      <c r="F1700">
        <f>Dashboard_Live_Data!AL229</f>
        <v/>
      </c>
      <c r="G1700">
        <f>Dashboard_Live_Data!AM229</f>
        <v/>
      </c>
      <c r="H1700">
        <f>Dashboard_Live_Data!AN229</f>
        <v/>
      </c>
    </row>
    <row r="1701">
      <c r="A1701">
        <f>Dashboard_Live_Data!AG230</f>
        <v/>
      </c>
      <c r="B1701">
        <f>Dashboard_Live_Data!AH230</f>
        <v/>
      </c>
      <c r="C1701">
        <f>Dashboard_Live_Data!AI230</f>
        <v/>
      </c>
      <c r="D1701">
        <f>Dashboard_Live_Data!AJ230</f>
        <v/>
      </c>
      <c r="E1701">
        <f>Dashboard_Live_Data!AK230</f>
        <v/>
      </c>
      <c r="F1701">
        <f>Dashboard_Live_Data!AL230</f>
        <v/>
      </c>
      <c r="G1701">
        <f>Dashboard_Live_Data!AM230</f>
        <v/>
      </c>
      <c r="H1701">
        <f>Dashboard_Live_Data!AN230</f>
        <v/>
      </c>
    </row>
    <row r="1702">
      <c r="A1702">
        <f>Dashboard_Live_Data!AG231</f>
        <v/>
      </c>
      <c r="B1702">
        <f>Dashboard_Live_Data!AH231</f>
        <v/>
      </c>
      <c r="C1702">
        <f>Dashboard_Live_Data!AI231</f>
        <v/>
      </c>
      <c r="D1702">
        <f>Dashboard_Live_Data!AJ231</f>
        <v/>
      </c>
      <c r="E1702">
        <f>Dashboard_Live_Data!AK231</f>
        <v/>
      </c>
      <c r="F1702">
        <f>Dashboard_Live_Data!AL231</f>
        <v/>
      </c>
      <c r="G1702">
        <f>Dashboard_Live_Data!AM231</f>
        <v/>
      </c>
      <c r="H1702">
        <f>Dashboard_Live_Data!AN231</f>
        <v/>
      </c>
    </row>
    <row r="1703">
      <c r="A1703">
        <f>Dashboard_Live_Data!AG232</f>
        <v/>
      </c>
      <c r="B1703">
        <f>Dashboard_Live_Data!AH232</f>
        <v/>
      </c>
      <c r="C1703">
        <f>Dashboard_Live_Data!AI232</f>
        <v/>
      </c>
      <c r="D1703">
        <f>Dashboard_Live_Data!AJ232</f>
        <v/>
      </c>
      <c r="E1703">
        <f>Dashboard_Live_Data!AK232</f>
        <v/>
      </c>
      <c r="F1703">
        <f>Dashboard_Live_Data!AL232</f>
        <v/>
      </c>
      <c r="G1703">
        <f>Dashboard_Live_Data!AM232</f>
        <v/>
      </c>
      <c r="H1703">
        <f>Dashboard_Live_Data!AN232</f>
        <v/>
      </c>
    </row>
    <row r="1704">
      <c r="A1704">
        <f>Dashboard_Live_Data!AG233</f>
        <v/>
      </c>
      <c r="B1704">
        <f>Dashboard_Live_Data!AH233</f>
        <v/>
      </c>
      <c r="C1704">
        <f>Dashboard_Live_Data!AI233</f>
        <v/>
      </c>
      <c r="D1704">
        <f>Dashboard_Live_Data!AJ233</f>
        <v/>
      </c>
      <c r="E1704">
        <f>Dashboard_Live_Data!AK233</f>
        <v/>
      </c>
      <c r="F1704">
        <f>Dashboard_Live_Data!AL233</f>
        <v/>
      </c>
      <c r="G1704">
        <f>Dashboard_Live_Data!AM233</f>
        <v/>
      </c>
      <c r="H1704">
        <f>Dashboard_Live_Data!AN233</f>
        <v/>
      </c>
    </row>
    <row r="1705">
      <c r="A1705">
        <f>Dashboard_Live_Data!AG234</f>
        <v/>
      </c>
      <c r="B1705">
        <f>Dashboard_Live_Data!AH234</f>
        <v/>
      </c>
      <c r="C1705">
        <f>Dashboard_Live_Data!AI234</f>
        <v/>
      </c>
      <c r="D1705">
        <f>Dashboard_Live_Data!AJ234</f>
        <v/>
      </c>
      <c r="E1705">
        <f>Dashboard_Live_Data!AK234</f>
        <v/>
      </c>
      <c r="F1705">
        <f>Dashboard_Live_Data!AL234</f>
        <v/>
      </c>
      <c r="G1705">
        <f>Dashboard_Live_Data!AM234</f>
        <v/>
      </c>
      <c r="H1705">
        <f>Dashboard_Live_Data!AN234</f>
        <v/>
      </c>
    </row>
    <row r="1706">
      <c r="A1706">
        <f>Dashboard_Live_Data!AG235</f>
        <v/>
      </c>
      <c r="B1706">
        <f>Dashboard_Live_Data!AH235</f>
        <v/>
      </c>
      <c r="C1706">
        <f>Dashboard_Live_Data!AI235</f>
        <v/>
      </c>
      <c r="D1706">
        <f>Dashboard_Live_Data!AJ235</f>
        <v/>
      </c>
      <c r="E1706">
        <f>Dashboard_Live_Data!AK235</f>
        <v/>
      </c>
      <c r="F1706">
        <f>Dashboard_Live_Data!AL235</f>
        <v/>
      </c>
      <c r="G1706">
        <f>Dashboard_Live_Data!AM235</f>
        <v/>
      </c>
      <c r="H1706">
        <f>Dashboard_Live_Data!AN235</f>
        <v/>
      </c>
    </row>
    <row r="1707">
      <c r="A1707">
        <f>Dashboard_Live_Data!AG236</f>
        <v/>
      </c>
      <c r="B1707">
        <f>Dashboard_Live_Data!AH236</f>
        <v/>
      </c>
      <c r="C1707">
        <f>Dashboard_Live_Data!AI236</f>
        <v/>
      </c>
      <c r="D1707">
        <f>Dashboard_Live_Data!AJ236</f>
        <v/>
      </c>
      <c r="E1707">
        <f>Dashboard_Live_Data!AK236</f>
        <v/>
      </c>
      <c r="F1707">
        <f>Dashboard_Live_Data!AL236</f>
        <v/>
      </c>
      <c r="G1707">
        <f>Dashboard_Live_Data!AM236</f>
        <v/>
      </c>
      <c r="H1707">
        <f>Dashboard_Live_Data!AN236</f>
        <v/>
      </c>
    </row>
    <row r="1708">
      <c r="A1708">
        <f>Dashboard_Live_Data!AG237</f>
        <v/>
      </c>
      <c r="B1708">
        <f>Dashboard_Live_Data!AH237</f>
        <v/>
      </c>
      <c r="C1708">
        <f>Dashboard_Live_Data!AI237</f>
        <v/>
      </c>
      <c r="D1708">
        <f>Dashboard_Live_Data!AJ237</f>
        <v/>
      </c>
      <c r="E1708">
        <f>Dashboard_Live_Data!AK237</f>
        <v/>
      </c>
      <c r="F1708">
        <f>Dashboard_Live_Data!AL237</f>
        <v/>
      </c>
      <c r="G1708">
        <f>Dashboard_Live_Data!AM237</f>
        <v/>
      </c>
      <c r="H1708">
        <f>Dashboard_Live_Data!AN237</f>
        <v/>
      </c>
    </row>
    <row r="1709">
      <c r="A1709">
        <f>Dashboard_Live_Data!AG238</f>
        <v/>
      </c>
      <c r="B1709">
        <f>Dashboard_Live_Data!AH238</f>
        <v/>
      </c>
      <c r="C1709">
        <f>Dashboard_Live_Data!AI238</f>
        <v/>
      </c>
      <c r="D1709">
        <f>Dashboard_Live_Data!AJ238</f>
        <v/>
      </c>
      <c r="E1709">
        <f>Dashboard_Live_Data!AK238</f>
        <v/>
      </c>
      <c r="F1709">
        <f>Dashboard_Live_Data!AL238</f>
        <v/>
      </c>
      <c r="G1709">
        <f>Dashboard_Live_Data!AM238</f>
        <v/>
      </c>
      <c r="H1709">
        <f>Dashboard_Live_Data!AN238</f>
        <v/>
      </c>
    </row>
    <row r="1710">
      <c r="A1710">
        <f>Dashboard_Live_Data!AG239</f>
        <v/>
      </c>
      <c r="B1710">
        <f>Dashboard_Live_Data!AH239</f>
        <v/>
      </c>
      <c r="C1710">
        <f>Dashboard_Live_Data!AI239</f>
        <v/>
      </c>
      <c r="D1710">
        <f>Dashboard_Live_Data!AJ239</f>
        <v/>
      </c>
      <c r="E1710">
        <f>Dashboard_Live_Data!AK239</f>
        <v/>
      </c>
      <c r="F1710">
        <f>Dashboard_Live_Data!AL239</f>
        <v/>
      </c>
      <c r="G1710">
        <f>Dashboard_Live_Data!AM239</f>
        <v/>
      </c>
      <c r="H1710">
        <f>Dashboard_Live_Data!AN239</f>
        <v/>
      </c>
    </row>
    <row r="1711">
      <c r="A1711">
        <f>Dashboard_Live_Data!AG240</f>
        <v/>
      </c>
      <c r="B1711">
        <f>Dashboard_Live_Data!AH240</f>
        <v/>
      </c>
      <c r="C1711">
        <f>Dashboard_Live_Data!AI240</f>
        <v/>
      </c>
      <c r="D1711">
        <f>Dashboard_Live_Data!AJ240</f>
        <v/>
      </c>
      <c r="E1711">
        <f>Dashboard_Live_Data!AK240</f>
        <v/>
      </c>
      <c r="F1711">
        <f>Dashboard_Live_Data!AL240</f>
        <v/>
      </c>
      <c r="G1711">
        <f>Dashboard_Live_Data!AM240</f>
        <v/>
      </c>
      <c r="H1711">
        <f>Dashboard_Live_Data!AN240</f>
        <v/>
      </c>
    </row>
    <row r="1712">
      <c r="A1712">
        <f>Dashboard_Live_Data!AG241</f>
        <v/>
      </c>
      <c r="B1712">
        <f>Dashboard_Live_Data!AH241</f>
        <v/>
      </c>
      <c r="C1712">
        <f>Dashboard_Live_Data!AI241</f>
        <v/>
      </c>
      <c r="D1712">
        <f>Dashboard_Live_Data!AJ241</f>
        <v/>
      </c>
      <c r="E1712">
        <f>Dashboard_Live_Data!AK241</f>
        <v/>
      </c>
      <c r="F1712">
        <f>Dashboard_Live_Data!AL241</f>
        <v/>
      </c>
      <c r="G1712">
        <f>Dashboard_Live_Data!AM241</f>
        <v/>
      </c>
      <c r="H1712">
        <f>Dashboard_Live_Data!AN241</f>
        <v/>
      </c>
    </row>
    <row r="1713">
      <c r="A1713">
        <f>Dashboard_Live_Data!AG242</f>
        <v/>
      </c>
      <c r="B1713">
        <f>Dashboard_Live_Data!AH242</f>
        <v/>
      </c>
      <c r="C1713">
        <f>Dashboard_Live_Data!AI242</f>
        <v/>
      </c>
      <c r="D1713">
        <f>Dashboard_Live_Data!AJ242</f>
        <v/>
      </c>
      <c r="E1713">
        <f>Dashboard_Live_Data!AK242</f>
        <v/>
      </c>
      <c r="F1713">
        <f>Dashboard_Live_Data!AL242</f>
        <v/>
      </c>
      <c r="G1713">
        <f>Dashboard_Live_Data!AM242</f>
        <v/>
      </c>
      <c r="H1713">
        <f>Dashboard_Live_Data!AN242</f>
        <v/>
      </c>
    </row>
    <row r="1716">
      <c r="A1716" t="inlineStr">
        <is>
          <t>Off-Nadir Radar Delay by Flyby: With Generated Topography</t>
        </is>
      </c>
    </row>
    <row r="1717">
      <c r="A1717" t="inlineStr">
        <is>
          <t>Custom 400 km / 120 km pass x</t>
        </is>
      </c>
      <c r="B1717" t="inlineStr">
        <is>
          <t>Custom 400 km / 120 km pass</t>
        </is>
      </c>
      <c r="C1717" t="inlineStr">
        <is>
          <t>Paper low-altitude 35 km / 800 km pass x</t>
        </is>
      </c>
      <c r="D1717" t="inlineStr">
        <is>
          <t>Paper low-altitude 35 km / 800 km pass</t>
        </is>
      </c>
      <c r="E1717" t="inlineStr">
        <is>
          <t>Paper ice-ocean 35 km / 1600 km pass x</t>
        </is>
      </c>
      <c r="F1717" t="inlineStr">
        <is>
          <t>Paper ice-ocean 35 km / 1600 km pass</t>
        </is>
      </c>
      <c r="G1717" t="inlineStr">
        <is>
          <t>Operating 25 km / 1600 km pass x</t>
        </is>
      </c>
      <c r="H1717" t="inlineStr">
        <is>
          <t>Operating 25 km / 1600 km pass</t>
        </is>
      </c>
    </row>
    <row r="1718">
      <c r="A1718">
        <f>Dashboard_Live_Data!AP2</f>
        <v/>
      </c>
      <c r="B1718">
        <f>Dashboard_Live_Data!AQ2</f>
        <v/>
      </c>
      <c r="C1718">
        <f>Dashboard_Live_Data!AR2</f>
        <v/>
      </c>
      <c r="D1718">
        <f>Dashboard_Live_Data!AS2</f>
        <v/>
      </c>
      <c r="E1718">
        <f>Dashboard_Live_Data!AT2</f>
        <v/>
      </c>
      <c r="F1718">
        <f>Dashboard_Live_Data!AU2</f>
        <v/>
      </c>
      <c r="G1718">
        <f>Dashboard_Live_Data!AV2</f>
        <v/>
      </c>
      <c r="H1718">
        <f>Dashboard_Live_Data!AW2</f>
        <v/>
      </c>
    </row>
    <row r="1719">
      <c r="A1719">
        <f>Dashboard_Live_Data!AP3</f>
        <v/>
      </c>
      <c r="B1719">
        <f>Dashboard_Live_Data!AQ3</f>
        <v/>
      </c>
      <c r="C1719">
        <f>Dashboard_Live_Data!AR3</f>
        <v/>
      </c>
      <c r="D1719">
        <f>Dashboard_Live_Data!AS3</f>
        <v/>
      </c>
      <c r="E1719">
        <f>Dashboard_Live_Data!AT3</f>
        <v/>
      </c>
      <c r="F1719">
        <f>Dashboard_Live_Data!AU3</f>
        <v/>
      </c>
      <c r="G1719">
        <f>Dashboard_Live_Data!AV3</f>
        <v/>
      </c>
      <c r="H1719">
        <f>Dashboard_Live_Data!AW3</f>
        <v/>
      </c>
    </row>
    <row r="1720">
      <c r="A1720">
        <f>Dashboard_Live_Data!AP4</f>
        <v/>
      </c>
      <c r="B1720">
        <f>Dashboard_Live_Data!AQ4</f>
        <v/>
      </c>
      <c r="C1720">
        <f>Dashboard_Live_Data!AR4</f>
        <v/>
      </c>
      <c r="D1720">
        <f>Dashboard_Live_Data!AS4</f>
        <v/>
      </c>
      <c r="E1720">
        <f>Dashboard_Live_Data!AT4</f>
        <v/>
      </c>
      <c r="F1720">
        <f>Dashboard_Live_Data!AU4</f>
        <v/>
      </c>
      <c r="G1720">
        <f>Dashboard_Live_Data!AV4</f>
        <v/>
      </c>
      <c r="H1720">
        <f>Dashboard_Live_Data!AW4</f>
        <v/>
      </c>
    </row>
    <row r="1721">
      <c r="A1721">
        <f>Dashboard_Live_Data!AP5</f>
        <v/>
      </c>
      <c r="B1721">
        <f>Dashboard_Live_Data!AQ5</f>
        <v/>
      </c>
      <c r="C1721">
        <f>Dashboard_Live_Data!AR5</f>
        <v/>
      </c>
      <c r="D1721">
        <f>Dashboard_Live_Data!AS5</f>
        <v/>
      </c>
      <c r="E1721">
        <f>Dashboard_Live_Data!AT5</f>
        <v/>
      </c>
      <c r="F1721">
        <f>Dashboard_Live_Data!AU5</f>
        <v/>
      </c>
      <c r="G1721">
        <f>Dashboard_Live_Data!AV5</f>
        <v/>
      </c>
      <c r="H1721">
        <f>Dashboard_Live_Data!AW5</f>
        <v/>
      </c>
    </row>
    <row r="1722">
      <c r="A1722">
        <f>Dashboard_Live_Data!AP6</f>
        <v/>
      </c>
      <c r="B1722">
        <f>Dashboard_Live_Data!AQ6</f>
        <v/>
      </c>
      <c r="C1722">
        <f>Dashboard_Live_Data!AR6</f>
        <v/>
      </c>
      <c r="D1722">
        <f>Dashboard_Live_Data!AS6</f>
        <v/>
      </c>
      <c r="E1722">
        <f>Dashboard_Live_Data!AT6</f>
        <v/>
      </c>
      <c r="F1722">
        <f>Dashboard_Live_Data!AU6</f>
        <v/>
      </c>
      <c r="G1722">
        <f>Dashboard_Live_Data!AV6</f>
        <v/>
      </c>
      <c r="H1722">
        <f>Dashboard_Live_Data!AW6</f>
        <v/>
      </c>
    </row>
    <row r="1723">
      <c r="A1723">
        <f>Dashboard_Live_Data!AP7</f>
        <v/>
      </c>
      <c r="B1723">
        <f>Dashboard_Live_Data!AQ7</f>
        <v/>
      </c>
      <c r="C1723">
        <f>Dashboard_Live_Data!AR7</f>
        <v/>
      </c>
      <c r="D1723">
        <f>Dashboard_Live_Data!AS7</f>
        <v/>
      </c>
      <c r="E1723">
        <f>Dashboard_Live_Data!AT7</f>
        <v/>
      </c>
      <c r="F1723">
        <f>Dashboard_Live_Data!AU7</f>
        <v/>
      </c>
      <c r="G1723">
        <f>Dashboard_Live_Data!AV7</f>
        <v/>
      </c>
      <c r="H1723">
        <f>Dashboard_Live_Data!AW7</f>
        <v/>
      </c>
    </row>
    <row r="1724">
      <c r="A1724">
        <f>Dashboard_Live_Data!AP8</f>
        <v/>
      </c>
      <c r="B1724">
        <f>Dashboard_Live_Data!AQ8</f>
        <v/>
      </c>
      <c r="C1724">
        <f>Dashboard_Live_Data!AR8</f>
        <v/>
      </c>
      <c r="D1724">
        <f>Dashboard_Live_Data!AS8</f>
        <v/>
      </c>
      <c r="E1724">
        <f>Dashboard_Live_Data!AT8</f>
        <v/>
      </c>
      <c r="F1724">
        <f>Dashboard_Live_Data!AU8</f>
        <v/>
      </c>
      <c r="G1724">
        <f>Dashboard_Live_Data!AV8</f>
        <v/>
      </c>
      <c r="H1724">
        <f>Dashboard_Live_Data!AW8</f>
        <v/>
      </c>
    </row>
    <row r="1725">
      <c r="A1725">
        <f>Dashboard_Live_Data!AP9</f>
        <v/>
      </c>
      <c r="B1725">
        <f>Dashboard_Live_Data!AQ9</f>
        <v/>
      </c>
      <c r="C1725">
        <f>Dashboard_Live_Data!AR9</f>
        <v/>
      </c>
      <c r="D1725">
        <f>Dashboard_Live_Data!AS9</f>
        <v/>
      </c>
      <c r="E1725">
        <f>Dashboard_Live_Data!AT9</f>
        <v/>
      </c>
      <c r="F1725">
        <f>Dashboard_Live_Data!AU9</f>
        <v/>
      </c>
      <c r="G1725">
        <f>Dashboard_Live_Data!AV9</f>
        <v/>
      </c>
      <c r="H1725">
        <f>Dashboard_Live_Data!AW9</f>
        <v/>
      </c>
    </row>
    <row r="1726">
      <c r="A1726">
        <f>Dashboard_Live_Data!AP10</f>
        <v/>
      </c>
      <c r="B1726">
        <f>Dashboard_Live_Data!AQ10</f>
        <v/>
      </c>
      <c r="C1726">
        <f>Dashboard_Live_Data!AR10</f>
        <v/>
      </c>
      <c r="D1726">
        <f>Dashboard_Live_Data!AS10</f>
        <v/>
      </c>
      <c r="E1726">
        <f>Dashboard_Live_Data!AT10</f>
        <v/>
      </c>
      <c r="F1726">
        <f>Dashboard_Live_Data!AU10</f>
        <v/>
      </c>
      <c r="G1726">
        <f>Dashboard_Live_Data!AV10</f>
        <v/>
      </c>
      <c r="H1726">
        <f>Dashboard_Live_Data!AW10</f>
        <v/>
      </c>
    </row>
    <row r="1727">
      <c r="A1727">
        <f>Dashboard_Live_Data!AP11</f>
        <v/>
      </c>
      <c r="B1727">
        <f>Dashboard_Live_Data!AQ11</f>
        <v/>
      </c>
      <c r="C1727">
        <f>Dashboard_Live_Data!AR11</f>
        <v/>
      </c>
      <c r="D1727">
        <f>Dashboard_Live_Data!AS11</f>
        <v/>
      </c>
      <c r="E1727">
        <f>Dashboard_Live_Data!AT11</f>
        <v/>
      </c>
      <c r="F1727">
        <f>Dashboard_Live_Data!AU11</f>
        <v/>
      </c>
      <c r="G1727">
        <f>Dashboard_Live_Data!AV11</f>
        <v/>
      </c>
      <c r="H1727">
        <f>Dashboard_Live_Data!AW11</f>
        <v/>
      </c>
    </row>
    <row r="1728">
      <c r="A1728">
        <f>Dashboard_Live_Data!AP12</f>
        <v/>
      </c>
      <c r="B1728">
        <f>Dashboard_Live_Data!AQ12</f>
        <v/>
      </c>
      <c r="C1728">
        <f>Dashboard_Live_Data!AR12</f>
        <v/>
      </c>
      <c r="D1728">
        <f>Dashboard_Live_Data!AS12</f>
        <v/>
      </c>
      <c r="E1728">
        <f>Dashboard_Live_Data!AT12</f>
        <v/>
      </c>
      <c r="F1728">
        <f>Dashboard_Live_Data!AU12</f>
        <v/>
      </c>
      <c r="G1728">
        <f>Dashboard_Live_Data!AV12</f>
        <v/>
      </c>
      <c r="H1728">
        <f>Dashboard_Live_Data!AW12</f>
        <v/>
      </c>
    </row>
    <row r="1729">
      <c r="A1729">
        <f>Dashboard_Live_Data!AP13</f>
        <v/>
      </c>
      <c r="B1729">
        <f>Dashboard_Live_Data!AQ13</f>
        <v/>
      </c>
      <c r="C1729">
        <f>Dashboard_Live_Data!AR13</f>
        <v/>
      </c>
      <c r="D1729">
        <f>Dashboard_Live_Data!AS13</f>
        <v/>
      </c>
      <c r="E1729">
        <f>Dashboard_Live_Data!AT13</f>
        <v/>
      </c>
      <c r="F1729">
        <f>Dashboard_Live_Data!AU13</f>
        <v/>
      </c>
      <c r="G1729">
        <f>Dashboard_Live_Data!AV13</f>
        <v/>
      </c>
      <c r="H1729">
        <f>Dashboard_Live_Data!AW13</f>
        <v/>
      </c>
    </row>
    <row r="1730">
      <c r="A1730">
        <f>Dashboard_Live_Data!AP14</f>
        <v/>
      </c>
      <c r="B1730">
        <f>Dashboard_Live_Data!AQ14</f>
        <v/>
      </c>
      <c r="C1730">
        <f>Dashboard_Live_Data!AR14</f>
        <v/>
      </c>
      <c r="D1730">
        <f>Dashboard_Live_Data!AS14</f>
        <v/>
      </c>
      <c r="E1730">
        <f>Dashboard_Live_Data!AT14</f>
        <v/>
      </c>
      <c r="F1730">
        <f>Dashboard_Live_Data!AU14</f>
        <v/>
      </c>
      <c r="G1730">
        <f>Dashboard_Live_Data!AV14</f>
        <v/>
      </c>
      <c r="H1730">
        <f>Dashboard_Live_Data!AW14</f>
        <v/>
      </c>
    </row>
    <row r="1731">
      <c r="A1731">
        <f>Dashboard_Live_Data!AP15</f>
        <v/>
      </c>
      <c r="B1731">
        <f>Dashboard_Live_Data!AQ15</f>
        <v/>
      </c>
      <c r="C1731">
        <f>Dashboard_Live_Data!AR15</f>
        <v/>
      </c>
      <c r="D1731">
        <f>Dashboard_Live_Data!AS15</f>
        <v/>
      </c>
      <c r="E1731">
        <f>Dashboard_Live_Data!AT15</f>
        <v/>
      </c>
      <c r="F1731">
        <f>Dashboard_Live_Data!AU15</f>
        <v/>
      </c>
      <c r="G1731">
        <f>Dashboard_Live_Data!AV15</f>
        <v/>
      </c>
      <c r="H1731">
        <f>Dashboard_Live_Data!AW15</f>
        <v/>
      </c>
    </row>
    <row r="1732">
      <c r="A1732">
        <f>Dashboard_Live_Data!AP16</f>
        <v/>
      </c>
      <c r="B1732">
        <f>Dashboard_Live_Data!AQ16</f>
        <v/>
      </c>
      <c r="C1732">
        <f>Dashboard_Live_Data!AR16</f>
        <v/>
      </c>
      <c r="D1732">
        <f>Dashboard_Live_Data!AS16</f>
        <v/>
      </c>
      <c r="E1732">
        <f>Dashboard_Live_Data!AT16</f>
        <v/>
      </c>
      <c r="F1732">
        <f>Dashboard_Live_Data!AU16</f>
        <v/>
      </c>
      <c r="G1732">
        <f>Dashboard_Live_Data!AV16</f>
        <v/>
      </c>
      <c r="H1732">
        <f>Dashboard_Live_Data!AW16</f>
        <v/>
      </c>
    </row>
    <row r="1733">
      <c r="A1733">
        <f>Dashboard_Live_Data!AP17</f>
        <v/>
      </c>
      <c r="B1733">
        <f>Dashboard_Live_Data!AQ17</f>
        <v/>
      </c>
      <c r="C1733">
        <f>Dashboard_Live_Data!AR17</f>
        <v/>
      </c>
      <c r="D1733">
        <f>Dashboard_Live_Data!AS17</f>
        <v/>
      </c>
      <c r="E1733">
        <f>Dashboard_Live_Data!AT17</f>
        <v/>
      </c>
      <c r="F1733">
        <f>Dashboard_Live_Data!AU17</f>
        <v/>
      </c>
      <c r="G1733">
        <f>Dashboard_Live_Data!AV17</f>
        <v/>
      </c>
      <c r="H1733">
        <f>Dashboard_Live_Data!AW17</f>
        <v/>
      </c>
    </row>
    <row r="1734">
      <c r="A1734">
        <f>Dashboard_Live_Data!AP18</f>
        <v/>
      </c>
      <c r="B1734">
        <f>Dashboard_Live_Data!AQ18</f>
        <v/>
      </c>
      <c r="C1734">
        <f>Dashboard_Live_Data!AR18</f>
        <v/>
      </c>
      <c r="D1734">
        <f>Dashboard_Live_Data!AS18</f>
        <v/>
      </c>
      <c r="E1734">
        <f>Dashboard_Live_Data!AT18</f>
        <v/>
      </c>
      <c r="F1734">
        <f>Dashboard_Live_Data!AU18</f>
        <v/>
      </c>
      <c r="G1734">
        <f>Dashboard_Live_Data!AV18</f>
        <v/>
      </c>
      <c r="H1734">
        <f>Dashboard_Live_Data!AW18</f>
        <v/>
      </c>
    </row>
    <row r="1735">
      <c r="A1735">
        <f>Dashboard_Live_Data!AP19</f>
        <v/>
      </c>
      <c r="B1735">
        <f>Dashboard_Live_Data!AQ19</f>
        <v/>
      </c>
      <c r="C1735">
        <f>Dashboard_Live_Data!AR19</f>
        <v/>
      </c>
      <c r="D1735">
        <f>Dashboard_Live_Data!AS19</f>
        <v/>
      </c>
      <c r="E1735">
        <f>Dashboard_Live_Data!AT19</f>
        <v/>
      </c>
      <c r="F1735">
        <f>Dashboard_Live_Data!AU19</f>
        <v/>
      </c>
      <c r="G1735">
        <f>Dashboard_Live_Data!AV19</f>
        <v/>
      </c>
      <c r="H1735">
        <f>Dashboard_Live_Data!AW19</f>
        <v/>
      </c>
    </row>
    <row r="1736">
      <c r="A1736">
        <f>Dashboard_Live_Data!AP20</f>
        <v/>
      </c>
      <c r="B1736">
        <f>Dashboard_Live_Data!AQ20</f>
        <v/>
      </c>
      <c r="C1736">
        <f>Dashboard_Live_Data!AR20</f>
        <v/>
      </c>
      <c r="D1736">
        <f>Dashboard_Live_Data!AS20</f>
        <v/>
      </c>
      <c r="E1736">
        <f>Dashboard_Live_Data!AT20</f>
        <v/>
      </c>
      <c r="F1736">
        <f>Dashboard_Live_Data!AU20</f>
        <v/>
      </c>
      <c r="G1736">
        <f>Dashboard_Live_Data!AV20</f>
        <v/>
      </c>
      <c r="H1736">
        <f>Dashboard_Live_Data!AW20</f>
        <v/>
      </c>
    </row>
    <row r="1737">
      <c r="A1737">
        <f>Dashboard_Live_Data!AP21</f>
        <v/>
      </c>
      <c r="B1737">
        <f>Dashboard_Live_Data!AQ21</f>
        <v/>
      </c>
      <c r="C1737">
        <f>Dashboard_Live_Data!AR21</f>
        <v/>
      </c>
      <c r="D1737">
        <f>Dashboard_Live_Data!AS21</f>
        <v/>
      </c>
      <c r="E1737">
        <f>Dashboard_Live_Data!AT21</f>
        <v/>
      </c>
      <c r="F1737">
        <f>Dashboard_Live_Data!AU21</f>
        <v/>
      </c>
      <c r="G1737">
        <f>Dashboard_Live_Data!AV21</f>
        <v/>
      </c>
      <c r="H1737">
        <f>Dashboard_Live_Data!AW21</f>
        <v/>
      </c>
    </row>
    <row r="1738">
      <c r="A1738">
        <f>Dashboard_Live_Data!AP22</f>
        <v/>
      </c>
      <c r="B1738">
        <f>Dashboard_Live_Data!AQ22</f>
        <v/>
      </c>
      <c r="C1738">
        <f>Dashboard_Live_Data!AR22</f>
        <v/>
      </c>
      <c r="D1738">
        <f>Dashboard_Live_Data!AS22</f>
        <v/>
      </c>
      <c r="E1738">
        <f>Dashboard_Live_Data!AT22</f>
        <v/>
      </c>
      <c r="F1738">
        <f>Dashboard_Live_Data!AU22</f>
        <v/>
      </c>
      <c r="G1738">
        <f>Dashboard_Live_Data!AV22</f>
        <v/>
      </c>
      <c r="H1738">
        <f>Dashboard_Live_Data!AW22</f>
        <v/>
      </c>
    </row>
    <row r="1739">
      <c r="A1739">
        <f>Dashboard_Live_Data!AP23</f>
        <v/>
      </c>
      <c r="B1739">
        <f>Dashboard_Live_Data!AQ23</f>
        <v/>
      </c>
      <c r="C1739">
        <f>Dashboard_Live_Data!AR23</f>
        <v/>
      </c>
      <c r="D1739">
        <f>Dashboard_Live_Data!AS23</f>
        <v/>
      </c>
      <c r="E1739">
        <f>Dashboard_Live_Data!AT23</f>
        <v/>
      </c>
      <c r="F1739">
        <f>Dashboard_Live_Data!AU23</f>
        <v/>
      </c>
      <c r="G1739">
        <f>Dashboard_Live_Data!AV23</f>
        <v/>
      </c>
      <c r="H1739">
        <f>Dashboard_Live_Data!AW23</f>
        <v/>
      </c>
    </row>
    <row r="1740">
      <c r="A1740">
        <f>Dashboard_Live_Data!AP24</f>
        <v/>
      </c>
      <c r="B1740">
        <f>Dashboard_Live_Data!AQ24</f>
        <v/>
      </c>
      <c r="C1740">
        <f>Dashboard_Live_Data!AR24</f>
        <v/>
      </c>
      <c r="D1740">
        <f>Dashboard_Live_Data!AS24</f>
        <v/>
      </c>
      <c r="E1740">
        <f>Dashboard_Live_Data!AT24</f>
        <v/>
      </c>
      <c r="F1740">
        <f>Dashboard_Live_Data!AU24</f>
        <v/>
      </c>
      <c r="G1740">
        <f>Dashboard_Live_Data!AV24</f>
        <v/>
      </c>
      <c r="H1740">
        <f>Dashboard_Live_Data!AW24</f>
        <v/>
      </c>
    </row>
    <row r="1741">
      <c r="A1741">
        <f>Dashboard_Live_Data!AP25</f>
        <v/>
      </c>
      <c r="B1741">
        <f>Dashboard_Live_Data!AQ25</f>
        <v/>
      </c>
      <c r="C1741">
        <f>Dashboard_Live_Data!AR25</f>
        <v/>
      </c>
      <c r="D1741">
        <f>Dashboard_Live_Data!AS25</f>
        <v/>
      </c>
      <c r="E1741">
        <f>Dashboard_Live_Data!AT25</f>
        <v/>
      </c>
      <c r="F1741">
        <f>Dashboard_Live_Data!AU25</f>
        <v/>
      </c>
      <c r="G1741">
        <f>Dashboard_Live_Data!AV25</f>
        <v/>
      </c>
      <c r="H1741">
        <f>Dashboard_Live_Data!AW25</f>
        <v/>
      </c>
    </row>
    <row r="1742">
      <c r="A1742">
        <f>Dashboard_Live_Data!AP26</f>
        <v/>
      </c>
      <c r="B1742">
        <f>Dashboard_Live_Data!AQ26</f>
        <v/>
      </c>
      <c r="C1742">
        <f>Dashboard_Live_Data!AR26</f>
        <v/>
      </c>
      <c r="D1742">
        <f>Dashboard_Live_Data!AS26</f>
        <v/>
      </c>
      <c r="E1742">
        <f>Dashboard_Live_Data!AT26</f>
        <v/>
      </c>
      <c r="F1742">
        <f>Dashboard_Live_Data!AU26</f>
        <v/>
      </c>
      <c r="G1742">
        <f>Dashboard_Live_Data!AV26</f>
        <v/>
      </c>
      <c r="H1742">
        <f>Dashboard_Live_Data!AW26</f>
        <v/>
      </c>
    </row>
    <row r="1743">
      <c r="A1743">
        <f>Dashboard_Live_Data!AP27</f>
        <v/>
      </c>
      <c r="B1743">
        <f>Dashboard_Live_Data!AQ27</f>
        <v/>
      </c>
      <c r="C1743">
        <f>Dashboard_Live_Data!AR27</f>
        <v/>
      </c>
      <c r="D1743">
        <f>Dashboard_Live_Data!AS27</f>
        <v/>
      </c>
      <c r="E1743">
        <f>Dashboard_Live_Data!AT27</f>
        <v/>
      </c>
      <c r="F1743">
        <f>Dashboard_Live_Data!AU27</f>
        <v/>
      </c>
      <c r="G1743">
        <f>Dashboard_Live_Data!AV27</f>
        <v/>
      </c>
      <c r="H1743">
        <f>Dashboard_Live_Data!AW27</f>
        <v/>
      </c>
    </row>
    <row r="1744">
      <c r="A1744">
        <f>Dashboard_Live_Data!AP28</f>
        <v/>
      </c>
      <c r="B1744">
        <f>Dashboard_Live_Data!AQ28</f>
        <v/>
      </c>
      <c r="C1744">
        <f>Dashboard_Live_Data!AR28</f>
        <v/>
      </c>
      <c r="D1744">
        <f>Dashboard_Live_Data!AS28</f>
        <v/>
      </c>
      <c r="E1744">
        <f>Dashboard_Live_Data!AT28</f>
        <v/>
      </c>
      <c r="F1744">
        <f>Dashboard_Live_Data!AU28</f>
        <v/>
      </c>
      <c r="G1744">
        <f>Dashboard_Live_Data!AV28</f>
        <v/>
      </c>
      <c r="H1744">
        <f>Dashboard_Live_Data!AW28</f>
        <v/>
      </c>
    </row>
    <row r="1745">
      <c r="A1745">
        <f>Dashboard_Live_Data!AP29</f>
        <v/>
      </c>
      <c r="B1745">
        <f>Dashboard_Live_Data!AQ29</f>
        <v/>
      </c>
      <c r="C1745">
        <f>Dashboard_Live_Data!AR29</f>
        <v/>
      </c>
      <c r="D1745">
        <f>Dashboard_Live_Data!AS29</f>
        <v/>
      </c>
      <c r="E1745">
        <f>Dashboard_Live_Data!AT29</f>
        <v/>
      </c>
      <c r="F1745">
        <f>Dashboard_Live_Data!AU29</f>
        <v/>
      </c>
      <c r="G1745">
        <f>Dashboard_Live_Data!AV29</f>
        <v/>
      </c>
      <c r="H1745">
        <f>Dashboard_Live_Data!AW29</f>
        <v/>
      </c>
    </row>
    <row r="1746">
      <c r="A1746">
        <f>Dashboard_Live_Data!AP30</f>
        <v/>
      </c>
      <c r="B1746">
        <f>Dashboard_Live_Data!AQ30</f>
        <v/>
      </c>
      <c r="C1746">
        <f>Dashboard_Live_Data!AR30</f>
        <v/>
      </c>
      <c r="D1746">
        <f>Dashboard_Live_Data!AS30</f>
        <v/>
      </c>
      <c r="E1746">
        <f>Dashboard_Live_Data!AT30</f>
        <v/>
      </c>
      <c r="F1746">
        <f>Dashboard_Live_Data!AU30</f>
        <v/>
      </c>
      <c r="G1746">
        <f>Dashboard_Live_Data!AV30</f>
        <v/>
      </c>
      <c r="H1746">
        <f>Dashboard_Live_Data!AW30</f>
        <v/>
      </c>
    </row>
    <row r="1747">
      <c r="A1747">
        <f>Dashboard_Live_Data!AP31</f>
        <v/>
      </c>
      <c r="B1747">
        <f>Dashboard_Live_Data!AQ31</f>
        <v/>
      </c>
      <c r="C1747">
        <f>Dashboard_Live_Data!AR31</f>
        <v/>
      </c>
      <c r="D1747">
        <f>Dashboard_Live_Data!AS31</f>
        <v/>
      </c>
      <c r="E1747">
        <f>Dashboard_Live_Data!AT31</f>
        <v/>
      </c>
      <c r="F1747">
        <f>Dashboard_Live_Data!AU31</f>
        <v/>
      </c>
      <c r="G1747">
        <f>Dashboard_Live_Data!AV31</f>
        <v/>
      </c>
      <c r="H1747">
        <f>Dashboard_Live_Data!AW31</f>
        <v/>
      </c>
    </row>
    <row r="1748">
      <c r="A1748">
        <f>Dashboard_Live_Data!AP32</f>
        <v/>
      </c>
      <c r="B1748">
        <f>Dashboard_Live_Data!AQ32</f>
        <v/>
      </c>
      <c r="C1748">
        <f>Dashboard_Live_Data!AR32</f>
        <v/>
      </c>
      <c r="D1748">
        <f>Dashboard_Live_Data!AS32</f>
        <v/>
      </c>
      <c r="E1748">
        <f>Dashboard_Live_Data!AT32</f>
        <v/>
      </c>
      <c r="F1748">
        <f>Dashboard_Live_Data!AU32</f>
        <v/>
      </c>
      <c r="G1748">
        <f>Dashboard_Live_Data!AV32</f>
        <v/>
      </c>
      <c r="H1748">
        <f>Dashboard_Live_Data!AW32</f>
        <v/>
      </c>
    </row>
    <row r="1749">
      <c r="A1749">
        <f>Dashboard_Live_Data!AP33</f>
        <v/>
      </c>
      <c r="B1749">
        <f>Dashboard_Live_Data!AQ33</f>
        <v/>
      </c>
      <c r="C1749">
        <f>Dashboard_Live_Data!AR33</f>
        <v/>
      </c>
      <c r="D1749">
        <f>Dashboard_Live_Data!AS33</f>
        <v/>
      </c>
      <c r="E1749">
        <f>Dashboard_Live_Data!AT33</f>
        <v/>
      </c>
      <c r="F1749">
        <f>Dashboard_Live_Data!AU33</f>
        <v/>
      </c>
      <c r="G1749">
        <f>Dashboard_Live_Data!AV33</f>
        <v/>
      </c>
      <c r="H1749">
        <f>Dashboard_Live_Data!AW33</f>
        <v/>
      </c>
    </row>
    <row r="1750">
      <c r="A1750">
        <f>Dashboard_Live_Data!AP34</f>
        <v/>
      </c>
      <c r="B1750">
        <f>Dashboard_Live_Data!AQ34</f>
        <v/>
      </c>
      <c r="C1750">
        <f>Dashboard_Live_Data!AR34</f>
        <v/>
      </c>
      <c r="D1750">
        <f>Dashboard_Live_Data!AS34</f>
        <v/>
      </c>
      <c r="E1750">
        <f>Dashboard_Live_Data!AT34</f>
        <v/>
      </c>
      <c r="F1750">
        <f>Dashboard_Live_Data!AU34</f>
        <v/>
      </c>
      <c r="G1750">
        <f>Dashboard_Live_Data!AV34</f>
        <v/>
      </c>
      <c r="H1750">
        <f>Dashboard_Live_Data!AW34</f>
        <v/>
      </c>
    </row>
    <row r="1751">
      <c r="A1751">
        <f>Dashboard_Live_Data!AP35</f>
        <v/>
      </c>
      <c r="B1751">
        <f>Dashboard_Live_Data!AQ35</f>
        <v/>
      </c>
      <c r="C1751">
        <f>Dashboard_Live_Data!AR35</f>
        <v/>
      </c>
      <c r="D1751">
        <f>Dashboard_Live_Data!AS35</f>
        <v/>
      </c>
      <c r="E1751">
        <f>Dashboard_Live_Data!AT35</f>
        <v/>
      </c>
      <c r="F1751">
        <f>Dashboard_Live_Data!AU35</f>
        <v/>
      </c>
      <c r="G1751">
        <f>Dashboard_Live_Data!AV35</f>
        <v/>
      </c>
      <c r="H1751">
        <f>Dashboard_Live_Data!AW35</f>
        <v/>
      </c>
    </row>
    <row r="1752">
      <c r="A1752">
        <f>Dashboard_Live_Data!AP36</f>
        <v/>
      </c>
      <c r="B1752">
        <f>Dashboard_Live_Data!AQ36</f>
        <v/>
      </c>
      <c r="C1752">
        <f>Dashboard_Live_Data!AR36</f>
        <v/>
      </c>
      <c r="D1752">
        <f>Dashboard_Live_Data!AS36</f>
        <v/>
      </c>
      <c r="E1752">
        <f>Dashboard_Live_Data!AT36</f>
        <v/>
      </c>
      <c r="F1752">
        <f>Dashboard_Live_Data!AU36</f>
        <v/>
      </c>
      <c r="G1752">
        <f>Dashboard_Live_Data!AV36</f>
        <v/>
      </c>
      <c r="H1752">
        <f>Dashboard_Live_Data!AW36</f>
        <v/>
      </c>
    </row>
    <row r="1753">
      <c r="A1753">
        <f>Dashboard_Live_Data!AP37</f>
        <v/>
      </c>
      <c r="B1753">
        <f>Dashboard_Live_Data!AQ37</f>
        <v/>
      </c>
      <c r="C1753">
        <f>Dashboard_Live_Data!AR37</f>
        <v/>
      </c>
      <c r="D1753">
        <f>Dashboard_Live_Data!AS37</f>
        <v/>
      </c>
      <c r="E1753">
        <f>Dashboard_Live_Data!AT37</f>
        <v/>
      </c>
      <c r="F1753">
        <f>Dashboard_Live_Data!AU37</f>
        <v/>
      </c>
      <c r="G1753">
        <f>Dashboard_Live_Data!AV37</f>
        <v/>
      </c>
      <c r="H1753">
        <f>Dashboard_Live_Data!AW37</f>
        <v/>
      </c>
    </row>
    <row r="1754">
      <c r="A1754">
        <f>Dashboard_Live_Data!AP38</f>
        <v/>
      </c>
      <c r="B1754">
        <f>Dashboard_Live_Data!AQ38</f>
        <v/>
      </c>
      <c r="C1754">
        <f>Dashboard_Live_Data!AR38</f>
        <v/>
      </c>
      <c r="D1754">
        <f>Dashboard_Live_Data!AS38</f>
        <v/>
      </c>
      <c r="E1754">
        <f>Dashboard_Live_Data!AT38</f>
        <v/>
      </c>
      <c r="F1754">
        <f>Dashboard_Live_Data!AU38</f>
        <v/>
      </c>
      <c r="G1754">
        <f>Dashboard_Live_Data!AV38</f>
        <v/>
      </c>
      <c r="H1754">
        <f>Dashboard_Live_Data!AW38</f>
        <v/>
      </c>
    </row>
    <row r="1755">
      <c r="A1755">
        <f>Dashboard_Live_Data!AP39</f>
        <v/>
      </c>
      <c r="B1755">
        <f>Dashboard_Live_Data!AQ39</f>
        <v/>
      </c>
      <c r="C1755">
        <f>Dashboard_Live_Data!AR39</f>
        <v/>
      </c>
      <c r="D1755">
        <f>Dashboard_Live_Data!AS39</f>
        <v/>
      </c>
      <c r="E1755">
        <f>Dashboard_Live_Data!AT39</f>
        <v/>
      </c>
      <c r="F1755">
        <f>Dashboard_Live_Data!AU39</f>
        <v/>
      </c>
      <c r="G1755">
        <f>Dashboard_Live_Data!AV39</f>
        <v/>
      </c>
      <c r="H1755">
        <f>Dashboard_Live_Data!AW39</f>
        <v/>
      </c>
    </row>
    <row r="1756">
      <c r="A1756">
        <f>Dashboard_Live_Data!AP40</f>
        <v/>
      </c>
      <c r="B1756">
        <f>Dashboard_Live_Data!AQ40</f>
        <v/>
      </c>
      <c r="C1756">
        <f>Dashboard_Live_Data!AR40</f>
        <v/>
      </c>
      <c r="D1756">
        <f>Dashboard_Live_Data!AS40</f>
        <v/>
      </c>
      <c r="E1756">
        <f>Dashboard_Live_Data!AT40</f>
        <v/>
      </c>
      <c r="F1756">
        <f>Dashboard_Live_Data!AU40</f>
        <v/>
      </c>
      <c r="G1756">
        <f>Dashboard_Live_Data!AV40</f>
        <v/>
      </c>
      <c r="H1756">
        <f>Dashboard_Live_Data!AW40</f>
        <v/>
      </c>
    </row>
    <row r="1757">
      <c r="A1757">
        <f>Dashboard_Live_Data!AP41</f>
        <v/>
      </c>
      <c r="B1757">
        <f>Dashboard_Live_Data!AQ41</f>
        <v/>
      </c>
      <c r="C1757">
        <f>Dashboard_Live_Data!AR41</f>
        <v/>
      </c>
      <c r="D1757">
        <f>Dashboard_Live_Data!AS41</f>
        <v/>
      </c>
      <c r="E1757">
        <f>Dashboard_Live_Data!AT41</f>
        <v/>
      </c>
      <c r="F1757">
        <f>Dashboard_Live_Data!AU41</f>
        <v/>
      </c>
      <c r="G1757">
        <f>Dashboard_Live_Data!AV41</f>
        <v/>
      </c>
      <c r="H1757">
        <f>Dashboard_Live_Data!AW41</f>
        <v/>
      </c>
    </row>
    <row r="1758">
      <c r="A1758">
        <f>Dashboard_Live_Data!AP42</f>
        <v/>
      </c>
      <c r="B1758">
        <f>Dashboard_Live_Data!AQ42</f>
        <v/>
      </c>
      <c r="C1758">
        <f>Dashboard_Live_Data!AR42</f>
        <v/>
      </c>
      <c r="D1758">
        <f>Dashboard_Live_Data!AS42</f>
        <v/>
      </c>
      <c r="E1758">
        <f>Dashboard_Live_Data!AT42</f>
        <v/>
      </c>
      <c r="F1758">
        <f>Dashboard_Live_Data!AU42</f>
        <v/>
      </c>
      <c r="G1758">
        <f>Dashboard_Live_Data!AV42</f>
        <v/>
      </c>
      <c r="H1758">
        <f>Dashboard_Live_Data!AW42</f>
        <v/>
      </c>
    </row>
    <row r="1759">
      <c r="A1759">
        <f>Dashboard_Live_Data!AP43</f>
        <v/>
      </c>
      <c r="B1759">
        <f>Dashboard_Live_Data!AQ43</f>
        <v/>
      </c>
      <c r="C1759">
        <f>Dashboard_Live_Data!AR43</f>
        <v/>
      </c>
      <c r="D1759">
        <f>Dashboard_Live_Data!AS43</f>
        <v/>
      </c>
      <c r="E1759">
        <f>Dashboard_Live_Data!AT43</f>
        <v/>
      </c>
      <c r="F1759">
        <f>Dashboard_Live_Data!AU43</f>
        <v/>
      </c>
      <c r="G1759">
        <f>Dashboard_Live_Data!AV43</f>
        <v/>
      </c>
      <c r="H1759">
        <f>Dashboard_Live_Data!AW43</f>
        <v/>
      </c>
    </row>
    <row r="1760">
      <c r="A1760">
        <f>Dashboard_Live_Data!AP44</f>
        <v/>
      </c>
      <c r="B1760">
        <f>Dashboard_Live_Data!AQ44</f>
        <v/>
      </c>
      <c r="C1760">
        <f>Dashboard_Live_Data!AR44</f>
        <v/>
      </c>
      <c r="D1760">
        <f>Dashboard_Live_Data!AS44</f>
        <v/>
      </c>
      <c r="E1760">
        <f>Dashboard_Live_Data!AT44</f>
        <v/>
      </c>
      <c r="F1760">
        <f>Dashboard_Live_Data!AU44</f>
        <v/>
      </c>
      <c r="G1760">
        <f>Dashboard_Live_Data!AV44</f>
        <v/>
      </c>
      <c r="H1760">
        <f>Dashboard_Live_Data!AW44</f>
        <v/>
      </c>
    </row>
    <row r="1761">
      <c r="A1761">
        <f>Dashboard_Live_Data!AP45</f>
        <v/>
      </c>
      <c r="B1761">
        <f>Dashboard_Live_Data!AQ45</f>
        <v/>
      </c>
      <c r="C1761">
        <f>Dashboard_Live_Data!AR45</f>
        <v/>
      </c>
      <c r="D1761">
        <f>Dashboard_Live_Data!AS45</f>
        <v/>
      </c>
      <c r="E1761">
        <f>Dashboard_Live_Data!AT45</f>
        <v/>
      </c>
      <c r="F1761">
        <f>Dashboard_Live_Data!AU45</f>
        <v/>
      </c>
      <c r="G1761">
        <f>Dashboard_Live_Data!AV45</f>
        <v/>
      </c>
      <c r="H1761">
        <f>Dashboard_Live_Data!AW45</f>
        <v/>
      </c>
    </row>
    <row r="1762">
      <c r="A1762">
        <f>Dashboard_Live_Data!AP46</f>
        <v/>
      </c>
      <c r="B1762">
        <f>Dashboard_Live_Data!AQ46</f>
        <v/>
      </c>
      <c r="C1762">
        <f>Dashboard_Live_Data!AR46</f>
        <v/>
      </c>
      <c r="D1762">
        <f>Dashboard_Live_Data!AS46</f>
        <v/>
      </c>
      <c r="E1762">
        <f>Dashboard_Live_Data!AT46</f>
        <v/>
      </c>
      <c r="F1762">
        <f>Dashboard_Live_Data!AU46</f>
        <v/>
      </c>
      <c r="G1762">
        <f>Dashboard_Live_Data!AV46</f>
        <v/>
      </c>
      <c r="H1762">
        <f>Dashboard_Live_Data!AW46</f>
        <v/>
      </c>
    </row>
    <row r="1763">
      <c r="A1763">
        <f>Dashboard_Live_Data!AP47</f>
        <v/>
      </c>
      <c r="B1763">
        <f>Dashboard_Live_Data!AQ47</f>
        <v/>
      </c>
      <c r="C1763">
        <f>Dashboard_Live_Data!AR47</f>
        <v/>
      </c>
      <c r="D1763">
        <f>Dashboard_Live_Data!AS47</f>
        <v/>
      </c>
      <c r="E1763">
        <f>Dashboard_Live_Data!AT47</f>
        <v/>
      </c>
      <c r="F1763">
        <f>Dashboard_Live_Data!AU47</f>
        <v/>
      </c>
      <c r="G1763">
        <f>Dashboard_Live_Data!AV47</f>
        <v/>
      </c>
      <c r="H1763">
        <f>Dashboard_Live_Data!AW47</f>
        <v/>
      </c>
    </row>
    <row r="1764">
      <c r="A1764">
        <f>Dashboard_Live_Data!AP48</f>
        <v/>
      </c>
      <c r="B1764">
        <f>Dashboard_Live_Data!AQ48</f>
        <v/>
      </c>
      <c r="C1764">
        <f>Dashboard_Live_Data!AR48</f>
        <v/>
      </c>
      <c r="D1764">
        <f>Dashboard_Live_Data!AS48</f>
        <v/>
      </c>
      <c r="E1764">
        <f>Dashboard_Live_Data!AT48</f>
        <v/>
      </c>
      <c r="F1764">
        <f>Dashboard_Live_Data!AU48</f>
        <v/>
      </c>
      <c r="G1764">
        <f>Dashboard_Live_Data!AV48</f>
        <v/>
      </c>
      <c r="H1764">
        <f>Dashboard_Live_Data!AW48</f>
        <v/>
      </c>
    </row>
    <row r="1765">
      <c r="A1765">
        <f>Dashboard_Live_Data!AP49</f>
        <v/>
      </c>
      <c r="B1765">
        <f>Dashboard_Live_Data!AQ49</f>
        <v/>
      </c>
      <c r="C1765">
        <f>Dashboard_Live_Data!AR49</f>
        <v/>
      </c>
      <c r="D1765">
        <f>Dashboard_Live_Data!AS49</f>
        <v/>
      </c>
      <c r="E1765">
        <f>Dashboard_Live_Data!AT49</f>
        <v/>
      </c>
      <c r="F1765">
        <f>Dashboard_Live_Data!AU49</f>
        <v/>
      </c>
      <c r="G1765">
        <f>Dashboard_Live_Data!AV49</f>
        <v/>
      </c>
      <c r="H1765">
        <f>Dashboard_Live_Data!AW49</f>
        <v/>
      </c>
    </row>
    <row r="1766">
      <c r="A1766">
        <f>Dashboard_Live_Data!AP50</f>
        <v/>
      </c>
      <c r="B1766">
        <f>Dashboard_Live_Data!AQ50</f>
        <v/>
      </c>
      <c r="C1766">
        <f>Dashboard_Live_Data!AR50</f>
        <v/>
      </c>
      <c r="D1766">
        <f>Dashboard_Live_Data!AS50</f>
        <v/>
      </c>
      <c r="E1766">
        <f>Dashboard_Live_Data!AT50</f>
        <v/>
      </c>
      <c r="F1766">
        <f>Dashboard_Live_Data!AU50</f>
        <v/>
      </c>
      <c r="G1766">
        <f>Dashboard_Live_Data!AV50</f>
        <v/>
      </c>
      <c r="H1766">
        <f>Dashboard_Live_Data!AW50</f>
        <v/>
      </c>
    </row>
    <row r="1767">
      <c r="A1767">
        <f>Dashboard_Live_Data!AP51</f>
        <v/>
      </c>
      <c r="B1767">
        <f>Dashboard_Live_Data!AQ51</f>
        <v/>
      </c>
      <c r="C1767">
        <f>Dashboard_Live_Data!AR51</f>
        <v/>
      </c>
      <c r="D1767">
        <f>Dashboard_Live_Data!AS51</f>
        <v/>
      </c>
      <c r="E1767">
        <f>Dashboard_Live_Data!AT51</f>
        <v/>
      </c>
      <c r="F1767">
        <f>Dashboard_Live_Data!AU51</f>
        <v/>
      </c>
      <c r="G1767">
        <f>Dashboard_Live_Data!AV51</f>
        <v/>
      </c>
      <c r="H1767">
        <f>Dashboard_Live_Data!AW51</f>
        <v/>
      </c>
    </row>
    <row r="1768">
      <c r="A1768">
        <f>Dashboard_Live_Data!AP52</f>
        <v/>
      </c>
      <c r="B1768">
        <f>Dashboard_Live_Data!AQ52</f>
        <v/>
      </c>
      <c r="C1768">
        <f>Dashboard_Live_Data!AR52</f>
        <v/>
      </c>
      <c r="D1768">
        <f>Dashboard_Live_Data!AS52</f>
        <v/>
      </c>
      <c r="E1768">
        <f>Dashboard_Live_Data!AT52</f>
        <v/>
      </c>
      <c r="F1768">
        <f>Dashboard_Live_Data!AU52</f>
        <v/>
      </c>
      <c r="G1768">
        <f>Dashboard_Live_Data!AV52</f>
        <v/>
      </c>
      <c r="H1768">
        <f>Dashboard_Live_Data!AW52</f>
        <v/>
      </c>
    </row>
    <row r="1769">
      <c r="A1769">
        <f>Dashboard_Live_Data!AP53</f>
        <v/>
      </c>
      <c r="B1769">
        <f>Dashboard_Live_Data!AQ53</f>
        <v/>
      </c>
      <c r="C1769">
        <f>Dashboard_Live_Data!AR53</f>
        <v/>
      </c>
      <c r="D1769">
        <f>Dashboard_Live_Data!AS53</f>
        <v/>
      </c>
      <c r="E1769">
        <f>Dashboard_Live_Data!AT53</f>
        <v/>
      </c>
      <c r="F1769">
        <f>Dashboard_Live_Data!AU53</f>
        <v/>
      </c>
      <c r="G1769">
        <f>Dashboard_Live_Data!AV53</f>
        <v/>
      </c>
      <c r="H1769">
        <f>Dashboard_Live_Data!AW53</f>
        <v/>
      </c>
    </row>
    <row r="1770">
      <c r="A1770">
        <f>Dashboard_Live_Data!AP54</f>
        <v/>
      </c>
      <c r="B1770">
        <f>Dashboard_Live_Data!AQ54</f>
        <v/>
      </c>
      <c r="C1770">
        <f>Dashboard_Live_Data!AR54</f>
        <v/>
      </c>
      <c r="D1770">
        <f>Dashboard_Live_Data!AS54</f>
        <v/>
      </c>
      <c r="E1770">
        <f>Dashboard_Live_Data!AT54</f>
        <v/>
      </c>
      <c r="F1770">
        <f>Dashboard_Live_Data!AU54</f>
        <v/>
      </c>
      <c r="G1770">
        <f>Dashboard_Live_Data!AV54</f>
        <v/>
      </c>
      <c r="H1770">
        <f>Dashboard_Live_Data!AW54</f>
        <v/>
      </c>
    </row>
    <row r="1771">
      <c r="A1771">
        <f>Dashboard_Live_Data!AP55</f>
        <v/>
      </c>
      <c r="B1771">
        <f>Dashboard_Live_Data!AQ55</f>
        <v/>
      </c>
      <c r="C1771">
        <f>Dashboard_Live_Data!AR55</f>
        <v/>
      </c>
      <c r="D1771">
        <f>Dashboard_Live_Data!AS55</f>
        <v/>
      </c>
      <c r="E1771">
        <f>Dashboard_Live_Data!AT55</f>
        <v/>
      </c>
      <c r="F1771">
        <f>Dashboard_Live_Data!AU55</f>
        <v/>
      </c>
      <c r="G1771">
        <f>Dashboard_Live_Data!AV55</f>
        <v/>
      </c>
      <c r="H1771">
        <f>Dashboard_Live_Data!AW55</f>
        <v/>
      </c>
    </row>
    <row r="1772">
      <c r="A1772">
        <f>Dashboard_Live_Data!AP56</f>
        <v/>
      </c>
      <c r="B1772">
        <f>Dashboard_Live_Data!AQ56</f>
        <v/>
      </c>
      <c r="C1772">
        <f>Dashboard_Live_Data!AR56</f>
        <v/>
      </c>
      <c r="D1772">
        <f>Dashboard_Live_Data!AS56</f>
        <v/>
      </c>
      <c r="E1772">
        <f>Dashboard_Live_Data!AT56</f>
        <v/>
      </c>
      <c r="F1772">
        <f>Dashboard_Live_Data!AU56</f>
        <v/>
      </c>
      <c r="G1772">
        <f>Dashboard_Live_Data!AV56</f>
        <v/>
      </c>
      <c r="H1772">
        <f>Dashboard_Live_Data!AW56</f>
        <v/>
      </c>
    </row>
    <row r="1773">
      <c r="A1773">
        <f>Dashboard_Live_Data!AP57</f>
        <v/>
      </c>
      <c r="B1773">
        <f>Dashboard_Live_Data!AQ57</f>
        <v/>
      </c>
      <c r="C1773">
        <f>Dashboard_Live_Data!AR57</f>
        <v/>
      </c>
      <c r="D1773">
        <f>Dashboard_Live_Data!AS57</f>
        <v/>
      </c>
      <c r="E1773">
        <f>Dashboard_Live_Data!AT57</f>
        <v/>
      </c>
      <c r="F1773">
        <f>Dashboard_Live_Data!AU57</f>
        <v/>
      </c>
      <c r="G1773">
        <f>Dashboard_Live_Data!AV57</f>
        <v/>
      </c>
      <c r="H1773">
        <f>Dashboard_Live_Data!AW57</f>
        <v/>
      </c>
    </row>
    <row r="1774">
      <c r="A1774">
        <f>Dashboard_Live_Data!AP58</f>
        <v/>
      </c>
      <c r="B1774">
        <f>Dashboard_Live_Data!AQ58</f>
        <v/>
      </c>
      <c r="C1774">
        <f>Dashboard_Live_Data!AR58</f>
        <v/>
      </c>
      <c r="D1774">
        <f>Dashboard_Live_Data!AS58</f>
        <v/>
      </c>
      <c r="E1774">
        <f>Dashboard_Live_Data!AT58</f>
        <v/>
      </c>
      <c r="F1774">
        <f>Dashboard_Live_Data!AU58</f>
        <v/>
      </c>
      <c r="G1774">
        <f>Dashboard_Live_Data!AV58</f>
        <v/>
      </c>
      <c r="H1774">
        <f>Dashboard_Live_Data!AW58</f>
        <v/>
      </c>
    </row>
    <row r="1775">
      <c r="A1775">
        <f>Dashboard_Live_Data!AP59</f>
        <v/>
      </c>
      <c r="B1775">
        <f>Dashboard_Live_Data!AQ59</f>
        <v/>
      </c>
      <c r="C1775">
        <f>Dashboard_Live_Data!AR59</f>
        <v/>
      </c>
      <c r="D1775">
        <f>Dashboard_Live_Data!AS59</f>
        <v/>
      </c>
      <c r="E1775">
        <f>Dashboard_Live_Data!AT59</f>
        <v/>
      </c>
      <c r="F1775">
        <f>Dashboard_Live_Data!AU59</f>
        <v/>
      </c>
      <c r="G1775">
        <f>Dashboard_Live_Data!AV59</f>
        <v/>
      </c>
      <c r="H1775">
        <f>Dashboard_Live_Data!AW59</f>
        <v/>
      </c>
    </row>
    <row r="1776">
      <c r="A1776">
        <f>Dashboard_Live_Data!AP60</f>
        <v/>
      </c>
      <c r="B1776">
        <f>Dashboard_Live_Data!AQ60</f>
        <v/>
      </c>
      <c r="C1776">
        <f>Dashboard_Live_Data!AR60</f>
        <v/>
      </c>
      <c r="D1776">
        <f>Dashboard_Live_Data!AS60</f>
        <v/>
      </c>
      <c r="E1776">
        <f>Dashboard_Live_Data!AT60</f>
        <v/>
      </c>
      <c r="F1776">
        <f>Dashboard_Live_Data!AU60</f>
        <v/>
      </c>
      <c r="G1776">
        <f>Dashboard_Live_Data!AV60</f>
        <v/>
      </c>
      <c r="H1776">
        <f>Dashboard_Live_Data!AW60</f>
        <v/>
      </c>
    </row>
    <row r="1777">
      <c r="A1777">
        <f>Dashboard_Live_Data!AP61</f>
        <v/>
      </c>
      <c r="B1777">
        <f>Dashboard_Live_Data!AQ61</f>
        <v/>
      </c>
      <c r="C1777">
        <f>Dashboard_Live_Data!AR61</f>
        <v/>
      </c>
      <c r="D1777">
        <f>Dashboard_Live_Data!AS61</f>
        <v/>
      </c>
      <c r="E1777">
        <f>Dashboard_Live_Data!AT61</f>
        <v/>
      </c>
      <c r="F1777">
        <f>Dashboard_Live_Data!AU61</f>
        <v/>
      </c>
      <c r="G1777">
        <f>Dashboard_Live_Data!AV61</f>
        <v/>
      </c>
      <c r="H1777">
        <f>Dashboard_Live_Data!AW61</f>
        <v/>
      </c>
    </row>
    <row r="1778">
      <c r="A1778">
        <f>Dashboard_Live_Data!AP62</f>
        <v/>
      </c>
      <c r="B1778">
        <f>Dashboard_Live_Data!AQ62</f>
        <v/>
      </c>
      <c r="C1778">
        <f>Dashboard_Live_Data!AR62</f>
        <v/>
      </c>
      <c r="D1778">
        <f>Dashboard_Live_Data!AS62</f>
        <v/>
      </c>
      <c r="E1778">
        <f>Dashboard_Live_Data!AT62</f>
        <v/>
      </c>
      <c r="F1778">
        <f>Dashboard_Live_Data!AU62</f>
        <v/>
      </c>
      <c r="G1778">
        <f>Dashboard_Live_Data!AV62</f>
        <v/>
      </c>
      <c r="H1778">
        <f>Dashboard_Live_Data!AW62</f>
        <v/>
      </c>
    </row>
    <row r="1779">
      <c r="A1779">
        <f>Dashboard_Live_Data!AP63</f>
        <v/>
      </c>
      <c r="B1779">
        <f>Dashboard_Live_Data!AQ63</f>
        <v/>
      </c>
      <c r="C1779">
        <f>Dashboard_Live_Data!AR63</f>
        <v/>
      </c>
      <c r="D1779">
        <f>Dashboard_Live_Data!AS63</f>
        <v/>
      </c>
      <c r="E1779">
        <f>Dashboard_Live_Data!AT63</f>
        <v/>
      </c>
      <c r="F1779">
        <f>Dashboard_Live_Data!AU63</f>
        <v/>
      </c>
      <c r="G1779">
        <f>Dashboard_Live_Data!AV63</f>
        <v/>
      </c>
      <c r="H1779">
        <f>Dashboard_Live_Data!AW63</f>
        <v/>
      </c>
    </row>
    <row r="1780">
      <c r="A1780">
        <f>Dashboard_Live_Data!AP64</f>
        <v/>
      </c>
      <c r="B1780">
        <f>Dashboard_Live_Data!AQ64</f>
        <v/>
      </c>
      <c r="C1780">
        <f>Dashboard_Live_Data!AR64</f>
        <v/>
      </c>
      <c r="D1780">
        <f>Dashboard_Live_Data!AS64</f>
        <v/>
      </c>
      <c r="E1780">
        <f>Dashboard_Live_Data!AT64</f>
        <v/>
      </c>
      <c r="F1780">
        <f>Dashboard_Live_Data!AU64</f>
        <v/>
      </c>
      <c r="G1780">
        <f>Dashboard_Live_Data!AV64</f>
        <v/>
      </c>
      <c r="H1780">
        <f>Dashboard_Live_Data!AW64</f>
        <v/>
      </c>
    </row>
    <row r="1781">
      <c r="A1781">
        <f>Dashboard_Live_Data!AP65</f>
        <v/>
      </c>
      <c r="B1781">
        <f>Dashboard_Live_Data!AQ65</f>
        <v/>
      </c>
      <c r="C1781">
        <f>Dashboard_Live_Data!AR65</f>
        <v/>
      </c>
      <c r="D1781">
        <f>Dashboard_Live_Data!AS65</f>
        <v/>
      </c>
      <c r="E1781">
        <f>Dashboard_Live_Data!AT65</f>
        <v/>
      </c>
      <c r="F1781">
        <f>Dashboard_Live_Data!AU65</f>
        <v/>
      </c>
      <c r="G1781">
        <f>Dashboard_Live_Data!AV65</f>
        <v/>
      </c>
      <c r="H1781">
        <f>Dashboard_Live_Data!AW65</f>
        <v/>
      </c>
    </row>
    <row r="1782">
      <c r="A1782">
        <f>Dashboard_Live_Data!AP66</f>
        <v/>
      </c>
      <c r="B1782">
        <f>Dashboard_Live_Data!AQ66</f>
        <v/>
      </c>
      <c r="C1782">
        <f>Dashboard_Live_Data!AR66</f>
        <v/>
      </c>
      <c r="D1782">
        <f>Dashboard_Live_Data!AS66</f>
        <v/>
      </c>
      <c r="E1782">
        <f>Dashboard_Live_Data!AT66</f>
        <v/>
      </c>
      <c r="F1782">
        <f>Dashboard_Live_Data!AU66</f>
        <v/>
      </c>
      <c r="G1782">
        <f>Dashboard_Live_Data!AV66</f>
        <v/>
      </c>
      <c r="H1782">
        <f>Dashboard_Live_Data!AW66</f>
        <v/>
      </c>
    </row>
    <row r="1783">
      <c r="A1783">
        <f>Dashboard_Live_Data!AP67</f>
        <v/>
      </c>
      <c r="B1783">
        <f>Dashboard_Live_Data!AQ67</f>
        <v/>
      </c>
      <c r="C1783">
        <f>Dashboard_Live_Data!AR67</f>
        <v/>
      </c>
      <c r="D1783">
        <f>Dashboard_Live_Data!AS67</f>
        <v/>
      </c>
      <c r="E1783">
        <f>Dashboard_Live_Data!AT67</f>
        <v/>
      </c>
      <c r="F1783">
        <f>Dashboard_Live_Data!AU67</f>
        <v/>
      </c>
      <c r="G1783">
        <f>Dashboard_Live_Data!AV67</f>
        <v/>
      </c>
      <c r="H1783">
        <f>Dashboard_Live_Data!AW67</f>
        <v/>
      </c>
    </row>
    <row r="1784">
      <c r="A1784">
        <f>Dashboard_Live_Data!AP68</f>
        <v/>
      </c>
      <c r="B1784">
        <f>Dashboard_Live_Data!AQ68</f>
        <v/>
      </c>
      <c r="C1784">
        <f>Dashboard_Live_Data!AR68</f>
        <v/>
      </c>
      <c r="D1784">
        <f>Dashboard_Live_Data!AS68</f>
        <v/>
      </c>
      <c r="E1784">
        <f>Dashboard_Live_Data!AT68</f>
        <v/>
      </c>
      <c r="F1784">
        <f>Dashboard_Live_Data!AU68</f>
        <v/>
      </c>
      <c r="G1784">
        <f>Dashboard_Live_Data!AV68</f>
        <v/>
      </c>
      <c r="H1784">
        <f>Dashboard_Live_Data!AW68</f>
        <v/>
      </c>
    </row>
    <row r="1785">
      <c r="A1785">
        <f>Dashboard_Live_Data!AP69</f>
        <v/>
      </c>
      <c r="B1785">
        <f>Dashboard_Live_Data!AQ69</f>
        <v/>
      </c>
      <c r="C1785">
        <f>Dashboard_Live_Data!AR69</f>
        <v/>
      </c>
      <c r="D1785">
        <f>Dashboard_Live_Data!AS69</f>
        <v/>
      </c>
      <c r="E1785">
        <f>Dashboard_Live_Data!AT69</f>
        <v/>
      </c>
      <c r="F1785">
        <f>Dashboard_Live_Data!AU69</f>
        <v/>
      </c>
      <c r="G1785">
        <f>Dashboard_Live_Data!AV69</f>
        <v/>
      </c>
      <c r="H1785">
        <f>Dashboard_Live_Data!AW69</f>
        <v/>
      </c>
    </row>
    <row r="1786">
      <c r="A1786">
        <f>Dashboard_Live_Data!AP70</f>
        <v/>
      </c>
      <c r="B1786">
        <f>Dashboard_Live_Data!AQ70</f>
        <v/>
      </c>
      <c r="C1786">
        <f>Dashboard_Live_Data!AR70</f>
        <v/>
      </c>
      <c r="D1786">
        <f>Dashboard_Live_Data!AS70</f>
        <v/>
      </c>
      <c r="E1786">
        <f>Dashboard_Live_Data!AT70</f>
        <v/>
      </c>
      <c r="F1786">
        <f>Dashboard_Live_Data!AU70</f>
        <v/>
      </c>
      <c r="G1786">
        <f>Dashboard_Live_Data!AV70</f>
        <v/>
      </c>
      <c r="H1786">
        <f>Dashboard_Live_Data!AW70</f>
        <v/>
      </c>
    </row>
    <row r="1787">
      <c r="A1787">
        <f>Dashboard_Live_Data!AP71</f>
        <v/>
      </c>
      <c r="B1787">
        <f>Dashboard_Live_Data!AQ71</f>
        <v/>
      </c>
      <c r="C1787">
        <f>Dashboard_Live_Data!AR71</f>
        <v/>
      </c>
      <c r="D1787">
        <f>Dashboard_Live_Data!AS71</f>
        <v/>
      </c>
      <c r="E1787">
        <f>Dashboard_Live_Data!AT71</f>
        <v/>
      </c>
      <c r="F1787">
        <f>Dashboard_Live_Data!AU71</f>
        <v/>
      </c>
      <c r="G1787">
        <f>Dashboard_Live_Data!AV71</f>
        <v/>
      </c>
      <c r="H1787">
        <f>Dashboard_Live_Data!AW71</f>
        <v/>
      </c>
    </row>
    <row r="1788">
      <c r="A1788">
        <f>Dashboard_Live_Data!AP72</f>
        <v/>
      </c>
      <c r="B1788">
        <f>Dashboard_Live_Data!AQ72</f>
        <v/>
      </c>
      <c r="C1788">
        <f>Dashboard_Live_Data!AR72</f>
        <v/>
      </c>
      <c r="D1788">
        <f>Dashboard_Live_Data!AS72</f>
        <v/>
      </c>
      <c r="E1788">
        <f>Dashboard_Live_Data!AT72</f>
        <v/>
      </c>
      <c r="F1788">
        <f>Dashboard_Live_Data!AU72</f>
        <v/>
      </c>
      <c r="G1788">
        <f>Dashboard_Live_Data!AV72</f>
        <v/>
      </c>
      <c r="H1788">
        <f>Dashboard_Live_Data!AW72</f>
        <v/>
      </c>
    </row>
    <row r="1789">
      <c r="A1789">
        <f>Dashboard_Live_Data!AP73</f>
        <v/>
      </c>
      <c r="B1789">
        <f>Dashboard_Live_Data!AQ73</f>
        <v/>
      </c>
      <c r="C1789">
        <f>Dashboard_Live_Data!AR73</f>
        <v/>
      </c>
      <c r="D1789">
        <f>Dashboard_Live_Data!AS73</f>
        <v/>
      </c>
      <c r="E1789">
        <f>Dashboard_Live_Data!AT73</f>
        <v/>
      </c>
      <c r="F1789">
        <f>Dashboard_Live_Data!AU73</f>
        <v/>
      </c>
      <c r="G1789">
        <f>Dashboard_Live_Data!AV73</f>
        <v/>
      </c>
      <c r="H1789">
        <f>Dashboard_Live_Data!AW73</f>
        <v/>
      </c>
    </row>
    <row r="1790">
      <c r="A1790">
        <f>Dashboard_Live_Data!AP74</f>
        <v/>
      </c>
      <c r="B1790">
        <f>Dashboard_Live_Data!AQ74</f>
        <v/>
      </c>
      <c r="C1790">
        <f>Dashboard_Live_Data!AR74</f>
        <v/>
      </c>
      <c r="D1790">
        <f>Dashboard_Live_Data!AS74</f>
        <v/>
      </c>
      <c r="E1790">
        <f>Dashboard_Live_Data!AT74</f>
        <v/>
      </c>
      <c r="F1790">
        <f>Dashboard_Live_Data!AU74</f>
        <v/>
      </c>
      <c r="G1790">
        <f>Dashboard_Live_Data!AV74</f>
        <v/>
      </c>
      <c r="H1790">
        <f>Dashboard_Live_Data!AW74</f>
        <v/>
      </c>
    </row>
    <row r="1791">
      <c r="A1791">
        <f>Dashboard_Live_Data!AP75</f>
        <v/>
      </c>
      <c r="B1791">
        <f>Dashboard_Live_Data!AQ75</f>
        <v/>
      </c>
      <c r="C1791">
        <f>Dashboard_Live_Data!AR75</f>
        <v/>
      </c>
      <c r="D1791">
        <f>Dashboard_Live_Data!AS75</f>
        <v/>
      </c>
      <c r="E1791">
        <f>Dashboard_Live_Data!AT75</f>
        <v/>
      </c>
      <c r="F1791">
        <f>Dashboard_Live_Data!AU75</f>
        <v/>
      </c>
      <c r="G1791">
        <f>Dashboard_Live_Data!AV75</f>
        <v/>
      </c>
      <c r="H1791">
        <f>Dashboard_Live_Data!AW75</f>
        <v/>
      </c>
    </row>
    <row r="1792">
      <c r="A1792">
        <f>Dashboard_Live_Data!AP76</f>
        <v/>
      </c>
      <c r="B1792">
        <f>Dashboard_Live_Data!AQ76</f>
        <v/>
      </c>
      <c r="C1792">
        <f>Dashboard_Live_Data!AR76</f>
        <v/>
      </c>
      <c r="D1792">
        <f>Dashboard_Live_Data!AS76</f>
        <v/>
      </c>
      <c r="E1792">
        <f>Dashboard_Live_Data!AT76</f>
        <v/>
      </c>
      <c r="F1792">
        <f>Dashboard_Live_Data!AU76</f>
        <v/>
      </c>
      <c r="G1792">
        <f>Dashboard_Live_Data!AV76</f>
        <v/>
      </c>
      <c r="H1792">
        <f>Dashboard_Live_Data!AW76</f>
        <v/>
      </c>
    </row>
    <row r="1793">
      <c r="A1793">
        <f>Dashboard_Live_Data!AP77</f>
        <v/>
      </c>
      <c r="B1793">
        <f>Dashboard_Live_Data!AQ77</f>
        <v/>
      </c>
      <c r="C1793">
        <f>Dashboard_Live_Data!AR77</f>
        <v/>
      </c>
      <c r="D1793">
        <f>Dashboard_Live_Data!AS77</f>
        <v/>
      </c>
      <c r="E1793">
        <f>Dashboard_Live_Data!AT77</f>
        <v/>
      </c>
      <c r="F1793">
        <f>Dashboard_Live_Data!AU77</f>
        <v/>
      </c>
      <c r="G1793">
        <f>Dashboard_Live_Data!AV77</f>
        <v/>
      </c>
      <c r="H1793">
        <f>Dashboard_Live_Data!AW77</f>
        <v/>
      </c>
    </row>
    <row r="1794">
      <c r="A1794">
        <f>Dashboard_Live_Data!AP78</f>
        <v/>
      </c>
      <c r="B1794">
        <f>Dashboard_Live_Data!AQ78</f>
        <v/>
      </c>
      <c r="C1794">
        <f>Dashboard_Live_Data!AR78</f>
        <v/>
      </c>
      <c r="D1794">
        <f>Dashboard_Live_Data!AS78</f>
        <v/>
      </c>
      <c r="E1794">
        <f>Dashboard_Live_Data!AT78</f>
        <v/>
      </c>
      <c r="F1794">
        <f>Dashboard_Live_Data!AU78</f>
        <v/>
      </c>
      <c r="G1794">
        <f>Dashboard_Live_Data!AV78</f>
        <v/>
      </c>
      <c r="H1794">
        <f>Dashboard_Live_Data!AW78</f>
        <v/>
      </c>
    </row>
    <row r="1795">
      <c r="A1795">
        <f>Dashboard_Live_Data!AP79</f>
        <v/>
      </c>
      <c r="B1795">
        <f>Dashboard_Live_Data!AQ79</f>
        <v/>
      </c>
      <c r="C1795">
        <f>Dashboard_Live_Data!AR79</f>
        <v/>
      </c>
      <c r="D1795">
        <f>Dashboard_Live_Data!AS79</f>
        <v/>
      </c>
      <c r="E1795">
        <f>Dashboard_Live_Data!AT79</f>
        <v/>
      </c>
      <c r="F1795">
        <f>Dashboard_Live_Data!AU79</f>
        <v/>
      </c>
      <c r="G1795">
        <f>Dashboard_Live_Data!AV79</f>
        <v/>
      </c>
      <c r="H1795">
        <f>Dashboard_Live_Data!AW79</f>
        <v/>
      </c>
    </row>
    <row r="1796">
      <c r="A1796">
        <f>Dashboard_Live_Data!AP80</f>
        <v/>
      </c>
      <c r="B1796">
        <f>Dashboard_Live_Data!AQ80</f>
        <v/>
      </c>
      <c r="C1796">
        <f>Dashboard_Live_Data!AR80</f>
        <v/>
      </c>
      <c r="D1796">
        <f>Dashboard_Live_Data!AS80</f>
        <v/>
      </c>
      <c r="E1796">
        <f>Dashboard_Live_Data!AT80</f>
        <v/>
      </c>
      <c r="F1796">
        <f>Dashboard_Live_Data!AU80</f>
        <v/>
      </c>
      <c r="G1796">
        <f>Dashboard_Live_Data!AV80</f>
        <v/>
      </c>
      <c r="H1796">
        <f>Dashboard_Live_Data!AW80</f>
        <v/>
      </c>
    </row>
    <row r="1797">
      <c r="A1797">
        <f>Dashboard_Live_Data!AP81</f>
        <v/>
      </c>
      <c r="B1797">
        <f>Dashboard_Live_Data!AQ81</f>
        <v/>
      </c>
      <c r="C1797">
        <f>Dashboard_Live_Data!AR81</f>
        <v/>
      </c>
      <c r="D1797">
        <f>Dashboard_Live_Data!AS81</f>
        <v/>
      </c>
      <c r="E1797">
        <f>Dashboard_Live_Data!AT81</f>
        <v/>
      </c>
      <c r="F1797">
        <f>Dashboard_Live_Data!AU81</f>
        <v/>
      </c>
      <c r="G1797">
        <f>Dashboard_Live_Data!AV81</f>
        <v/>
      </c>
      <c r="H1797">
        <f>Dashboard_Live_Data!AW81</f>
        <v/>
      </c>
    </row>
    <row r="1798">
      <c r="A1798">
        <f>Dashboard_Live_Data!AP82</f>
        <v/>
      </c>
      <c r="B1798">
        <f>Dashboard_Live_Data!AQ82</f>
        <v/>
      </c>
      <c r="C1798">
        <f>Dashboard_Live_Data!AR82</f>
        <v/>
      </c>
      <c r="D1798">
        <f>Dashboard_Live_Data!AS82</f>
        <v/>
      </c>
      <c r="E1798">
        <f>Dashboard_Live_Data!AT82</f>
        <v/>
      </c>
      <c r="F1798">
        <f>Dashboard_Live_Data!AU82</f>
        <v/>
      </c>
      <c r="G1798">
        <f>Dashboard_Live_Data!AV82</f>
        <v/>
      </c>
      <c r="H1798">
        <f>Dashboard_Live_Data!AW82</f>
        <v/>
      </c>
    </row>
    <row r="1799">
      <c r="A1799">
        <f>Dashboard_Live_Data!AP83</f>
        <v/>
      </c>
      <c r="B1799">
        <f>Dashboard_Live_Data!AQ83</f>
        <v/>
      </c>
      <c r="C1799">
        <f>Dashboard_Live_Data!AR83</f>
        <v/>
      </c>
      <c r="D1799">
        <f>Dashboard_Live_Data!AS83</f>
        <v/>
      </c>
      <c r="E1799">
        <f>Dashboard_Live_Data!AT83</f>
        <v/>
      </c>
      <c r="F1799">
        <f>Dashboard_Live_Data!AU83</f>
        <v/>
      </c>
      <c r="G1799">
        <f>Dashboard_Live_Data!AV83</f>
        <v/>
      </c>
      <c r="H1799">
        <f>Dashboard_Live_Data!AW83</f>
        <v/>
      </c>
    </row>
    <row r="1800">
      <c r="A1800">
        <f>Dashboard_Live_Data!AP84</f>
        <v/>
      </c>
      <c r="B1800">
        <f>Dashboard_Live_Data!AQ84</f>
        <v/>
      </c>
      <c r="C1800">
        <f>Dashboard_Live_Data!AR84</f>
        <v/>
      </c>
      <c r="D1800">
        <f>Dashboard_Live_Data!AS84</f>
        <v/>
      </c>
      <c r="E1800">
        <f>Dashboard_Live_Data!AT84</f>
        <v/>
      </c>
      <c r="F1800">
        <f>Dashboard_Live_Data!AU84</f>
        <v/>
      </c>
      <c r="G1800">
        <f>Dashboard_Live_Data!AV84</f>
        <v/>
      </c>
      <c r="H1800">
        <f>Dashboard_Live_Data!AW84</f>
        <v/>
      </c>
    </row>
    <row r="1801">
      <c r="A1801">
        <f>Dashboard_Live_Data!AP85</f>
        <v/>
      </c>
      <c r="B1801">
        <f>Dashboard_Live_Data!AQ85</f>
        <v/>
      </c>
      <c r="C1801">
        <f>Dashboard_Live_Data!AR85</f>
        <v/>
      </c>
      <c r="D1801">
        <f>Dashboard_Live_Data!AS85</f>
        <v/>
      </c>
      <c r="E1801">
        <f>Dashboard_Live_Data!AT85</f>
        <v/>
      </c>
      <c r="F1801">
        <f>Dashboard_Live_Data!AU85</f>
        <v/>
      </c>
      <c r="G1801">
        <f>Dashboard_Live_Data!AV85</f>
        <v/>
      </c>
      <c r="H1801">
        <f>Dashboard_Live_Data!AW85</f>
        <v/>
      </c>
    </row>
    <row r="1802">
      <c r="A1802">
        <f>Dashboard_Live_Data!AP86</f>
        <v/>
      </c>
      <c r="B1802">
        <f>Dashboard_Live_Data!AQ86</f>
        <v/>
      </c>
      <c r="C1802">
        <f>Dashboard_Live_Data!AR86</f>
        <v/>
      </c>
      <c r="D1802">
        <f>Dashboard_Live_Data!AS86</f>
        <v/>
      </c>
      <c r="E1802">
        <f>Dashboard_Live_Data!AT86</f>
        <v/>
      </c>
      <c r="F1802">
        <f>Dashboard_Live_Data!AU86</f>
        <v/>
      </c>
      <c r="G1802">
        <f>Dashboard_Live_Data!AV86</f>
        <v/>
      </c>
      <c r="H1802">
        <f>Dashboard_Live_Data!AW86</f>
        <v/>
      </c>
    </row>
    <row r="1803">
      <c r="A1803">
        <f>Dashboard_Live_Data!AP87</f>
        <v/>
      </c>
      <c r="B1803">
        <f>Dashboard_Live_Data!AQ87</f>
        <v/>
      </c>
      <c r="C1803">
        <f>Dashboard_Live_Data!AR87</f>
        <v/>
      </c>
      <c r="D1803">
        <f>Dashboard_Live_Data!AS87</f>
        <v/>
      </c>
      <c r="E1803">
        <f>Dashboard_Live_Data!AT87</f>
        <v/>
      </c>
      <c r="F1803">
        <f>Dashboard_Live_Data!AU87</f>
        <v/>
      </c>
      <c r="G1803">
        <f>Dashboard_Live_Data!AV87</f>
        <v/>
      </c>
      <c r="H1803">
        <f>Dashboard_Live_Data!AW87</f>
        <v/>
      </c>
    </row>
    <row r="1804">
      <c r="A1804">
        <f>Dashboard_Live_Data!AP88</f>
        <v/>
      </c>
      <c r="B1804">
        <f>Dashboard_Live_Data!AQ88</f>
        <v/>
      </c>
      <c r="C1804">
        <f>Dashboard_Live_Data!AR88</f>
        <v/>
      </c>
      <c r="D1804">
        <f>Dashboard_Live_Data!AS88</f>
        <v/>
      </c>
      <c r="E1804">
        <f>Dashboard_Live_Data!AT88</f>
        <v/>
      </c>
      <c r="F1804">
        <f>Dashboard_Live_Data!AU88</f>
        <v/>
      </c>
      <c r="G1804">
        <f>Dashboard_Live_Data!AV88</f>
        <v/>
      </c>
      <c r="H1804">
        <f>Dashboard_Live_Data!AW88</f>
        <v/>
      </c>
    </row>
    <row r="1805">
      <c r="A1805">
        <f>Dashboard_Live_Data!AP89</f>
        <v/>
      </c>
      <c r="B1805">
        <f>Dashboard_Live_Data!AQ89</f>
        <v/>
      </c>
      <c r="C1805">
        <f>Dashboard_Live_Data!AR89</f>
        <v/>
      </c>
      <c r="D1805">
        <f>Dashboard_Live_Data!AS89</f>
        <v/>
      </c>
      <c r="E1805">
        <f>Dashboard_Live_Data!AT89</f>
        <v/>
      </c>
      <c r="F1805">
        <f>Dashboard_Live_Data!AU89</f>
        <v/>
      </c>
      <c r="G1805">
        <f>Dashboard_Live_Data!AV89</f>
        <v/>
      </c>
      <c r="H1805">
        <f>Dashboard_Live_Data!AW89</f>
        <v/>
      </c>
    </row>
    <row r="1806">
      <c r="A1806">
        <f>Dashboard_Live_Data!AP90</f>
        <v/>
      </c>
      <c r="B1806">
        <f>Dashboard_Live_Data!AQ90</f>
        <v/>
      </c>
      <c r="C1806">
        <f>Dashboard_Live_Data!AR90</f>
        <v/>
      </c>
      <c r="D1806">
        <f>Dashboard_Live_Data!AS90</f>
        <v/>
      </c>
      <c r="E1806">
        <f>Dashboard_Live_Data!AT90</f>
        <v/>
      </c>
      <c r="F1806">
        <f>Dashboard_Live_Data!AU90</f>
        <v/>
      </c>
      <c r="G1806">
        <f>Dashboard_Live_Data!AV90</f>
        <v/>
      </c>
      <c r="H1806">
        <f>Dashboard_Live_Data!AW90</f>
        <v/>
      </c>
    </row>
    <row r="1807">
      <c r="A1807">
        <f>Dashboard_Live_Data!AP91</f>
        <v/>
      </c>
      <c r="B1807">
        <f>Dashboard_Live_Data!AQ91</f>
        <v/>
      </c>
      <c r="C1807">
        <f>Dashboard_Live_Data!AR91</f>
        <v/>
      </c>
      <c r="D1807">
        <f>Dashboard_Live_Data!AS91</f>
        <v/>
      </c>
      <c r="E1807">
        <f>Dashboard_Live_Data!AT91</f>
        <v/>
      </c>
      <c r="F1807">
        <f>Dashboard_Live_Data!AU91</f>
        <v/>
      </c>
      <c r="G1807">
        <f>Dashboard_Live_Data!AV91</f>
        <v/>
      </c>
      <c r="H1807">
        <f>Dashboard_Live_Data!AW91</f>
        <v/>
      </c>
    </row>
    <row r="1808">
      <c r="A1808">
        <f>Dashboard_Live_Data!AP92</f>
        <v/>
      </c>
      <c r="B1808">
        <f>Dashboard_Live_Data!AQ92</f>
        <v/>
      </c>
      <c r="C1808">
        <f>Dashboard_Live_Data!AR92</f>
        <v/>
      </c>
      <c r="D1808">
        <f>Dashboard_Live_Data!AS92</f>
        <v/>
      </c>
      <c r="E1808">
        <f>Dashboard_Live_Data!AT92</f>
        <v/>
      </c>
      <c r="F1808">
        <f>Dashboard_Live_Data!AU92</f>
        <v/>
      </c>
      <c r="G1808">
        <f>Dashboard_Live_Data!AV92</f>
        <v/>
      </c>
      <c r="H1808">
        <f>Dashboard_Live_Data!AW92</f>
        <v/>
      </c>
    </row>
    <row r="1809">
      <c r="A1809">
        <f>Dashboard_Live_Data!AP93</f>
        <v/>
      </c>
      <c r="B1809">
        <f>Dashboard_Live_Data!AQ93</f>
        <v/>
      </c>
      <c r="C1809">
        <f>Dashboard_Live_Data!AR93</f>
        <v/>
      </c>
      <c r="D1809">
        <f>Dashboard_Live_Data!AS93</f>
        <v/>
      </c>
      <c r="E1809">
        <f>Dashboard_Live_Data!AT93</f>
        <v/>
      </c>
      <c r="F1809">
        <f>Dashboard_Live_Data!AU93</f>
        <v/>
      </c>
      <c r="G1809">
        <f>Dashboard_Live_Data!AV93</f>
        <v/>
      </c>
      <c r="H1809">
        <f>Dashboard_Live_Data!AW93</f>
        <v/>
      </c>
    </row>
    <row r="1810">
      <c r="A1810">
        <f>Dashboard_Live_Data!AP94</f>
        <v/>
      </c>
      <c r="B1810">
        <f>Dashboard_Live_Data!AQ94</f>
        <v/>
      </c>
      <c r="C1810">
        <f>Dashboard_Live_Data!AR94</f>
        <v/>
      </c>
      <c r="D1810">
        <f>Dashboard_Live_Data!AS94</f>
        <v/>
      </c>
      <c r="E1810">
        <f>Dashboard_Live_Data!AT94</f>
        <v/>
      </c>
      <c r="F1810">
        <f>Dashboard_Live_Data!AU94</f>
        <v/>
      </c>
      <c r="G1810">
        <f>Dashboard_Live_Data!AV94</f>
        <v/>
      </c>
      <c r="H1810">
        <f>Dashboard_Live_Data!AW94</f>
        <v/>
      </c>
    </row>
    <row r="1811">
      <c r="A1811">
        <f>Dashboard_Live_Data!AP95</f>
        <v/>
      </c>
      <c r="B1811">
        <f>Dashboard_Live_Data!AQ95</f>
        <v/>
      </c>
      <c r="C1811">
        <f>Dashboard_Live_Data!AR95</f>
        <v/>
      </c>
      <c r="D1811">
        <f>Dashboard_Live_Data!AS95</f>
        <v/>
      </c>
      <c r="E1811">
        <f>Dashboard_Live_Data!AT95</f>
        <v/>
      </c>
      <c r="F1811">
        <f>Dashboard_Live_Data!AU95</f>
        <v/>
      </c>
      <c r="G1811">
        <f>Dashboard_Live_Data!AV95</f>
        <v/>
      </c>
      <c r="H1811">
        <f>Dashboard_Live_Data!AW95</f>
        <v/>
      </c>
    </row>
    <row r="1812">
      <c r="A1812">
        <f>Dashboard_Live_Data!AP96</f>
        <v/>
      </c>
      <c r="B1812">
        <f>Dashboard_Live_Data!AQ96</f>
        <v/>
      </c>
      <c r="C1812">
        <f>Dashboard_Live_Data!AR96</f>
        <v/>
      </c>
      <c r="D1812">
        <f>Dashboard_Live_Data!AS96</f>
        <v/>
      </c>
      <c r="E1812">
        <f>Dashboard_Live_Data!AT96</f>
        <v/>
      </c>
      <c r="F1812">
        <f>Dashboard_Live_Data!AU96</f>
        <v/>
      </c>
      <c r="G1812">
        <f>Dashboard_Live_Data!AV96</f>
        <v/>
      </c>
      <c r="H1812">
        <f>Dashboard_Live_Data!AW96</f>
        <v/>
      </c>
    </row>
    <row r="1813">
      <c r="A1813">
        <f>Dashboard_Live_Data!AP97</f>
        <v/>
      </c>
      <c r="B1813">
        <f>Dashboard_Live_Data!AQ97</f>
        <v/>
      </c>
      <c r="C1813">
        <f>Dashboard_Live_Data!AR97</f>
        <v/>
      </c>
      <c r="D1813">
        <f>Dashboard_Live_Data!AS97</f>
        <v/>
      </c>
      <c r="E1813">
        <f>Dashboard_Live_Data!AT97</f>
        <v/>
      </c>
      <c r="F1813">
        <f>Dashboard_Live_Data!AU97</f>
        <v/>
      </c>
      <c r="G1813">
        <f>Dashboard_Live_Data!AV97</f>
        <v/>
      </c>
      <c r="H1813">
        <f>Dashboard_Live_Data!AW97</f>
        <v/>
      </c>
    </row>
    <row r="1814">
      <c r="A1814">
        <f>Dashboard_Live_Data!AP98</f>
        <v/>
      </c>
      <c r="B1814">
        <f>Dashboard_Live_Data!AQ98</f>
        <v/>
      </c>
      <c r="C1814">
        <f>Dashboard_Live_Data!AR98</f>
        <v/>
      </c>
      <c r="D1814">
        <f>Dashboard_Live_Data!AS98</f>
        <v/>
      </c>
      <c r="E1814">
        <f>Dashboard_Live_Data!AT98</f>
        <v/>
      </c>
      <c r="F1814">
        <f>Dashboard_Live_Data!AU98</f>
        <v/>
      </c>
      <c r="G1814">
        <f>Dashboard_Live_Data!AV98</f>
        <v/>
      </c>
      <c r="H1814">
        <f>Dashboard_Live_Data!AW98</f>
        <v/>
      </c>
    </row>
    <row r="1815">
      <c r="A1815">
        <f>Dashboard_Live_Data!AP99</f>
        <v/>
      </c>
      <c r="B1815">
        <f>Dashboard_Live_Data!AQ99</f>
        <v/>
      </c>
      <c r="C1815">
        <f>Dashboard_Live_Data!AR99</f>
        <v/>
      </c>
      <c r="D1815">
        <f>Dashboard_Live_Data!AS99</f>
        <v/>
      </c>
      <c r="E1815">
        <f>Dashboard_Live_Data!AT99</f>
        <v/>
      </c>
      <c r="F1815">
        <f>Dashboard_Live_Data!AU99</f>
        <v/>
      </c>
      <c r="G1815">
        <f>Dashboard_Live_Data!AV99</f>
        <v/>
      </c>
      <c r="H1815">
        <f>Dashboard_Live_Data!AW99</f>
        <v/>
      </c>
    </row>
    <row r="1816">
      <c r="A1816">
        <f>Dashboard_Live_Data!AP100</f>
        <v/>
      </c>
      <c r="B1816">
        <f>Dashboard_Live_Data!AQ100</f>
        <v/>
      </c>
      <c r="C1816">
        <f>Dashboard_Live_Data!AR100</f>
        <v/>
      </c>
      <c r="D1816">
        <f>Dashboard_Live_Data!AS100</f>
        <v/>
      </c>
      <c r="E1816">
        <f>Dashboard_Live_Data!AT100</f>
        <v/>
      </c>
      <c r="F1816">
        <f>Dashboard_Live_Data!AU100</f>
        <v/>
      </c>
      <c r="G1816">
        <f>Dashboard_Live_Data!AV100</f>
        <v/>
      </c>
      <c r="H1816">
        <f>Dashboard_Live_Data!AW100</f>
        <v/>
      </c>
    </row>
    <row r="1817">
      <c r="A1817">
        <f>Dashboard_Live_Data!AP101</f>
        <v/>
      </c>
      <c r="B1817">
        <f>Dashboard_Live_Data!AQ101</f>
        <v/>
      </c>
      <c r="C1817">
        <f>Dashboard_Live_Data!AR101</f>
        <v/>
      </c>
      <c r="D1817">
        <f>Dashboard_Live_Data!AS101</f>
        <v/>
      </c>
      <c r="E1817">
        <f>Dashboard_Live_Data!AT101</f>
        <v/>
      </c>
      <c r="F1817">
        <f>Dashboard_Live_Data!AU101</f>
        <v/>
      </c>
      <c r="G1817">
        <f>Dashboard_Live_Data!AV101</f>
        <v/>
      </c>
      <c r="H1817">
        <f>Dashboard_Live_Data!AW101</f>
        <v/>
      </c>
    </row>
    <row r="1818">
      <c r="A1818">
        <f>Dashboard_Live_Data!AP102</f>
        <v/>
      </c>
      <c r="B1818">
        <f>Dashboard_Live_Data!AQ102</f>
        <v/>
      </c>
      <c r="C1818">
        <f>Dashboard_Live_Data!AR102</f>
        <v/>
      </c>
      <c r="D1818">
        <f>Dashboard_Live_Data!AS102</f>
        <v/>
      </c>
      <c r="E1818">
        <f>Dashboard_Live_Data!AT102</f>
        <v/>
      </c>
      <c r="F1818">
        <f>Dashboard_Live_Data!AU102</f>
        <v/>
      </c>
      <c r="G1818">
        <f>Dashboard_Live_Data!AV102</f>
        <v/>
      </c>
      <c r="H1818">
        <f>Dashboard_Live_Data!AW102</f>
        <v/>
      </c>
    </row>
    <row r="1819">
      <c r="A1819">
        <f>Dashboard_Live_Data!AP103</f>
        <v/>
      </c>
      <c r="B1819">
        <f>Dashboard_Live_Data!AQ103</f>
        <v/>
      </c>
      <c r="C1819">
        <f>Dashboard_Live_Data!AR103</f>
        <v/>
      </c>
      <c r="D1819">
        <f>Dashboard_Live_Data!AS103</f>
        <v/>
      </c>
      <c r="E1819">
        <f>Dashboard_Live_Data!AT103</f>
        <v/>
      </c>
      <c r="F1819">
        <f>Dashboard_Live_Data!AU103</f>
        <v/>
      </c>
      <c r="G1819">
        <f>Dashboard_Live_Data!AV103</f>
        <v/>
      </c>
      <c r="H1819">
        <f>Dashboard_Live_Data!AW103</f>
        <v/>
      </c>
    </row>
    <row r="1820">
      <c r="A1820">
        <f>Dashboard_Live_Data!AP104</f>
        <v/>
      </c>
      <c r="B1820">
        <f>Dashboard_Live_Data!AQ104</f>
        <v/>
      </c>
      <c r="C1820">
        <f>Dashboard_Live_Data!AR104</f>
        <v/>
      </c>
      <c r="D1820">
        <f>Dashboard_Live_Data!AS104</f>
        <v/>
      </c>
      <c r="E1820">
        <f>Dashboard_Live_Data!AT104</f>
        <v/>
      </c>
      <c r="F1820">
        <f>Dashboard_Live_Data!AU104</f>
        <v/>
      </c>
      <c r="G1820">
        <f>Dashboard_Live_Data!AV104</f>
        <v/>
      </c>
      <c r="H1820">
        <f>Dashboard_Live_Data!AW104</f>
        <v/>
      </c>
    </row>
    <row r="1821">
      <c r="A1821">
        <f>Dashboard_Live_Data!AP105</f>
        <v/>
      </c>
      <c r="B1821">
        <f>Dashboard_Live_Data!AQ105</f>
        <v/>
      </c>
      <c r="C1821">
        <f>Dashboard_Live_Data!AR105</f>
        <v/>
      </c>
      <c r="D1821">
        <f>Dashboard_Live_Data!AS105</f>
        <v/>
      </c>
      <c r="E1821">
        <f>Dashboard_Live_Data!AT105</f>
        <v/>
      </c>
      <c r="F1821">
        <f>Dashboard_Live_Data!AU105</f>
        <v/>
      </c>
      <c r="G1821">
        <f>Dashboard_Live_Data!AV105</f>
        <v/>
      </c>
      <c r="H1821">
        <f>Dashboard_Live_Data!AW105</f>
        <v/>
      </c>
    </row>
    <row r="1822">
      <c r="A1822">
        <f>Dashboard_Live_Data!AP106</f>
        <v/>
      </c>
      <c r="B1822">
        <f>Dashboard_Live_Data!AQ106</f>
        <v/>
      </c>
      <c r="C1822">
        <f>Dashboard_Live_Data!AR106</f>
        <v/>
      </c>
      <c r="D1822">
        <f>Dashboard_Live_Data!AS106</f>
        <v/>
      </c>
      <c r="E1822">
        <f>Dashboard_Live_Data!AT106</f>
        <v/>
      </c>
      <c r="F1822">
        <f>Dashboard_Live_Data!AU106</f>
        <v/>
      </c>
      <c r="G1822">
        <f>Dashboard_Live_Data!AV106</f>
        <v/>
      </c>
      <c r="H1822">
        <f>Dashboard_Live_Data!AW106</f>
        <v/>
      </c>
    </row>
    <row r="1823">
      <c r="A1823">
        <f>Dashboard_Live_Data!AP107</f>
        <v/>
      </c>
      <c r="B1823">
        <f>Dashboard_Live_Data!AQ107</f>
        <v/>
      </c>
      <c r="C1823">
        <f>Dashboard_Live_Data!AR107</f>
        <v/>
      </c>
      <c r="D1823">
        <f>Dashboard_Live_Data!AS107</f>
        <v/>
      </c>
      <c r="E1823">
        <f>Dashboard_Live_Data!AT107</f>
        <v/>
      </c>
      <c r="F1823">
        <f>Dashboard_Live_Data!AU107</f>
        <v/>
      </c>
      <c r="G1823">
        <f>Dashboard_Live_Data!AV107</f>
        <v/>
      </c>
      <c r="H1823">
        <f>Dashboard_Live_Data!AW107</f>
        <v/>
      </c>
    </row>
    <row r="1824">
      <c r="A1824">
        <f>Dashboard_Live_Data!AP108</f>
        <v/>
      </c>
      <c r="B1824">
        <f>Dashboard_Live_Data!AQ108</f>
        <v/>
      </c>
      <c r="C1824">
        <f>Dashboard_Live_Data!AR108</f>
        <v/>
      </c>
      <c r="D1824">
        <f>Dashboard_Live_Data!AS108</f>
        <v/>
      </c>
      <c r="E1824">
        <f>Dashboard_Live_Data!AT108</f>
        <v/>
      </c>
      <c r="F1824">
        <f>Dashboard_Live_Data!AU108</f>
        <v/>
      </c>
      <c r="G1824">
        <f>Dashboard_Live_Data!AV108</f>
        <v/>
      </c>
      <c r="H1824">
        <f>Dashboard_Live_Data!AW108</f>
        <v/>
      </c>
    </row>
    <row r="1825">
      <c r="A1825">
        <f>Dashboard_Live_Data!AP109</f>
        <v/>
      </c>
      <c r="B1825">
        <f>Dashboard_Live_Data!AQ109</f>
        <v/>
      </c>
      <c r="C1825">
        <f>Dashboard_Live_Data!AR109</f>
        <v/>
      </c>
      <c r="D1825">
        <f>Dashboard_Live_Data!AS109</f>
        <v/>
      </c>
      <c r="E1825">
        <f>Dashboard_Live_Data!AT109</f>
        <v/>
      </c>
      <c r="F1825">
        <f>Dashboard_Live_Data!AU109</f>
        <v/>
      </c>
      <c r="G1825">
        <f>Dashboard_Live_Data!AV109</f>
        <v/>
      </c>
      <c r="H1825">
        <f>Dashboard_Live_Data!AW109</f>
        <v/>
      </c>
    </row>
    <row r="1826">
      <c r="A1826">
        <f>Dashboard_Live_Data!AP110</f>
        <v/>
      </c>
      <c r="B1826">
        <f>Dashboard_Live_Data!AQ110</f>
        <v/>
      </c>
      <c r="C1826">
        <f>Dashboard_Live_Data!AR110</f>
        <v/>
      </c>
      <c r="D1826">
        <f>Dashboard_Live_Data!AS110</f>
        <v/>
      </c>
      <c r="E1826">
        <f>Dashboard_Live_Data!AT110</f>
        <v/>
      </c>
      <c r="F1826">
        <f>Dashboard_Live_Data!AU110</f>
        <v/>
      </c>
      <c r="G1826">
        <f>Dashboard_Live_Data!AV110</f>
        <v/>
      </c>
      <c r="H1826">
        <f>Dashboard_Live_Data!AW110</f>
        <v/>
      </c>
    </row>
    <row r="1827">
      <c r="A1827">
        <f>Dashboard_Live_Data!AP111</f>
        <v/>
      </c>
      <c r="B1827">
        <f>Dashboard_Live_Data!AQ111</f>
        <v/>
      </c>
      <c r="C1827">
        <f>Dashboard_Live_Data!AR111</f>
        <v/>
      </c>
      <c r="D1827">
        <f>Dashboard_Live_Data!AS111</f>
        <v/>
      </c>
      <c r="E1827">
        <f>Dashboard_Live_Data!AT111</f>
        <v/>
      </c>
      <c r="F1827">
        <f>Dashboard_Live_Data!AU111</f>
        <v/>
      </c>
      <c r="G1827">
        <f>Dashboard_Live_Data!AV111</f>
        <v/>
      </c>
      <c r="H1827">
        <f>Dashboard_Live_Data!AW111</f>
        <v/>
      </c>
    </row>
    <row r="1828">
      <c r="A1828">
        <f>Dashboard_Live_Data!AP112</f>
        <v/>
      </c>
      <c r="B1828">
        <f>Dashboard_Live_Data!AQ112</f>
        <v/>
      </c>
      <c r="C1828">
        <f>Dashboard_Live_Data!AR112</f>
        <v/>
      </c>
      <c r="D1828">
        <f>Dashboard_Live_Data!AS112</f>
        <v/>
      </c>
      <c r="E1828">
        <f>Dashboard_Live_Data!AT112</f>
        <v/>
      </c>
      <c r="F1828">
        <f>Dashboard_Live_Data!AU112</f>
        <v/>
      </c>
      <c r="G1828">
        <f>Dashboard_Live_Data!AV112</f>
        <v/>
      </c>
      <c r="H1828">
        <f>Dashboard_Live_Data!AW112</f>
        <v/>
      </c>
    </row>
    <row r="1829">
      <c r="A1829">
        <f>Dashboard_Live_Data!AP113</f>
        <v/>
      </c>
      <c r="B1829">
        <f>Dashboard_Live_Data!AQ113</f>
        <v/>
      </c>
      <c r="C1829">
        <f>Dashboard_Live_Data!AR113</f>
        <v/>
      </c>
      <c r="D1829">
        <f>Dashboard_Live_Data!AS113</f>
        <v/>
      </c>
      <c r="E1829">
        <f>Dashboard_Live_Data!AT113</f>
        <v/>
      </c>
      <c r="F1829">
        <f>Dashboard_Live_Data!AU113</f>
        <v/>
      </c>
      <c r="G1829">
        <f>Dashboard_Live_Data!AV113</f>
        <v/>
      </c>
      <c r="H1829">
        <f>Dashboard_Live_Data!AW113</f>
        <v/>
      </c>
    </row>
    <row r="1830">
      <c r="A1830">
        <f>Dashboard_Live_Data!AP114</f>
        <v/>
      </c>
      <c r="B1830">
        <f>Dashboard_Live_Data!AQ114</f>
        <v/>
      </c>
      <c r="C1830">
        <f>Dashboard_Live_Data!AR114</f>
        <v/>
      </c>
      <c r="D1830">
        <f>Dashboard_Live_Data!AS114</f>
        <v/>
      </c>
      <c r="E1830">
        <f>Dashboard_Live_Data!AT114</f>
        <v/>
      </c>
      <c r="F1830">
        <f>Dashboard_Live_Data!AU114</f>
        <v/>
      </c>
      <c r="G1830">
        <f>Dashboard_Live_Data!AV114</f>
        <v/>
      </c>
      <c r="H1830">
        <f>Dashboard_Live_Data!AW114</f>
        <v/>
      </c>
    </row>
    <row r="1831">
      <c r="A1831">
        <f>Dashboard_Live_Data!AP115</f>
        <v/>
      </c>
      <c r="B1831">
        <f>Dashboard_Live_Data!AQ115</f>
        <v/>
      </c>
      <c r="C1831">
        <f>Dashboard_Live_Data!AR115</f>
        <v/>
      </c>
      <c r="D1831">
        <f>Dashboard_Live_Data!AS115</f>
        <v/>
      </c>
      <c r="E1831">
        <f>Dashboard_Live_Data!AT115</f>
        <v/>
      </c>
      <c r="F1831">
        <f>Dashboard_Live_Data!AU115</f>
        <v/>
      </c>
      <c r="G1831">
        <f>Dashboard_Live_Data!AV115</f>
        <v/>
      </c>
      <c r="H1831">
        <f>Dashboard_Live_Data!AW115</f>
        <v/>
      </c>
    </row>
    <row r="1832">
      <c r="A1832">
        <f>Dashboard_Live_Data!AP116</f>
        <v/>
      </c>
      <c r="B1832">
        <f>Dashboard_Live_Data!AQ116</f>
        <v/>
      </c>
      <c r="C1832">
        <f>Dashboard_Live_Data!AR116</f>
        <v/>
      </c>
      <c r="D1832">
        <f>Dashboard_Live_Data!AS116</f>
        <v/>
      </c>
      <c r="E1832">
        <f>Dashboard_Live_Data!AT116</f>
        <v/>
      </c>
      <c r="F1832">
        <f>Dashboard_Live_Data!AU116</f>
        <v/>
      </c>
      <c r="G1832">
        <f>Dashboard_Live_Data!AV116</f>
        <v/>
      </c>
      <c r="H1832">
        <f>Dashboard_Live_Data!AW116</f>
        <v/>
      </c>
    </row>
    <row r="1833">
      <c r="A1833">
        <f>Dashboard_Live_Data!AP117</f>
        <v/>
      </c>
      <c r="B1833">
        <f>Dashboard_Live_Data!AQ117</f>
        <v/>
      </c>
      <c r="C1833">
        <f>Dashboard_Live_Data!AR117</f>
        <v/>
      </c>
      <c r="D1833">
        <f>Dashboard_Live_Data!AS117</f>
        <v/>
      </c>
      <c r="E1833">
        <f>Dashboard_Live_Data!AT117</f>
        <v/>
      </c>
      <c r="F1833">
        <f>Dashboard_Live_Data!AU117</f>
        <v/>
      </c>
      <c r="G1833">
        <f>Dashboard_Live_Data!AV117</f>
        <v/>
      </c>
      <c r="H1833">
        <f>Dashboard_Live_Data!AW117</f>
        <v/>
      </c>
    </row>
    <row r="1834">
      <c r="A1834">
        <f>Dashboard_Live_Data!AP118</f>
        <v/>
      </c>
      <c r="B1834">
        <f>Dashboard_Live_Data!AQ118</f>
        <v/>
      </c>
      <c r="C1834">
        <f>Dashboard_Live_Data!AR118</f>
        <v/>
      </c>
      <c r="D1834">
        <f>Dashboard_Live_Data!AS118</f>
        <v/>
      </c>
      <c r="E1834">
        <f>Dashboard_Live_Data!AT118</f>
        <v/>
      </c>
      <c r="F1834">
        <f>Dashboard_Live_Data!AU118</f>
        <v/>
      </c>
      <c r="G1834">
        <f>Dashboard_Live_Data!AV118</f>
        <v/>
      </c>
      <c r="H1834">
        <f>Dashboard_Live_Data!AW118</f>
        <v/>
      </c>
    </row>
    <row r="1835">
      <c r="A1835">
        <f>Dashboard_Live_Data!AP119</f>
        <v/>
      </c>
      <c r="B1835">
        <f>Dashboard_Live_Data!AQ119</f>
        <v/>
      </c>
      <c r="C1835">
        <f>Dashboard_Live_Data!AR119</f>
        <v/>
      </c>
      <c r="D1835">
        <f>Dashboard_Live_Data!AS119</f>
        <v/>
      </c>
      <c r="E1835">
        <f>Dashboard_Live_Data!AT119</f>
        <v/>
      </c>
      <c r="F1835">
        <f>Dashboard_Live_Data!AU119</f>
        <v/>
      </c>
      <c r="G1835">
        <f>Dashboard_Live_Data!AV119</f>
        <v/>
      </c>
      <c r="H1835">
        <f>Dashboard_Live_Data!AW119</f>
        <v/>
      </c>
    </row>
    <row r="1836">
      <c r="A1836">
        <f>Dashboard_Live_Data!AP120</f>
        <v/>
      </c>
      <c r="B1836">
        <f>Dashboard_Live_Data!AQ120</f>
        <v/>
      </c>
      <c r="C1836">
        <f>Dashboard_Live_Data!AR120</f>
        <v/>
      </c>
      <c r="D1836">
        <f>Dashboard_Live_Data!AS120</f>
        <v/>
      </c>
      <c r="E1836">
        <f>Dashboard_Live_Data!AT120</f>
        <v/>
      </c>
      <c r="F1836">
        <f>Dashboard_Live_Data!AU120</f>
        <v/>
      </c>
      <c r="G1836">
        <f>Dashboard_Live_Data!AV120</f>
        <v/>
      </c>
      <c r="H1836">
        <f>Dashboard_Live_Data!AW120</f>
        <v/>
      </c>
    </row>
    <row r="1837">
      <c r="A1837">
        <f>Dashboard_Live_Data!AP121</f>
        <v/>
      </c>
      <c r="B1837">
        <f>Dashboard_Live_Data!AQ121</f>
        <v/>
      </c>
      <c r="C1837">
        <f>Dashboard_Live_Data!AR121</f>
        <v/>
      </c>
      <c r="D1837">
        <f>Dashboard_Live_Data!AS121</f>
        <v/>
      </c>
      <c r="E1837">
        <f>Dashboard_Live_Data!AT121</f>
        <v/>
      </c>
      <c r="F1837">
        <f>Dashboard_Live_Data!AU121</f>
        <v/>
      </c>
      <c r="G1837">
        <f>Dashboard_Live_Data!AV121</f>
        <v/>
      </c>
      <c r="H1837">
        <f>Dashboard_Live_Data!AW121</f>
        <v/>
      </c>
    </row>
    <row r="1838">
      <c r="A1838">
        <f>Dashboard_Live_Data!AP122</f>
        <v/>
      </c>
      <c r="B1838">
        <f>Dashboard_Live_Data!AQ122</f>
        <v/>
      </c>
      <c r="C1838">
        <f>Dashboard_Live_Data!AR122</f>
        <v/>
      </c>
      <c r="D1838">
        <f>Dashboard_Live_Data!AS122</f>
        <v/>
      </c>
      <c r="E1838">
        <f>Dashboard_Live_Data!AT122</f>
        <v/>
      </c>
      <c r="F1838">
        <f>Dashboard_Live_Data!AU122</f>
        <v/>
      </c>
      <c r="G1838">
        <f>Dashboard_Live_Data!AV122</f>
        <v/>
      </c>
      <c r="H1838">
        <f>Dashboard_Live_Data!AW122</f>
        <v/>
      </c>
    </row>
    <row r="1839">
      <c r="A1839">
        <f>Dashboard_Live_Data!AP123</f>
        <v/>
      </c>
      <c r="B1839">
        <f>Dashboard_Live_Data!AQ123</f>
        <v/>
      </c>
      <c r="C1839">
        <f>Dashboard_Live_Data!AR123</f>
        <v/>
      </c>
      <c r="D1839">
        <f>Dashboard_Live_Data!AS123</f>
        <v/>
      </c>
      <c r="E1839">
        <f>Dashboard_Live_Data!AT123</f>
        <v/>
      </c>
      <c r="F1839">
        <f>Dashboard_Live_Data!AU123</f>
        <v/>
      </c>
      <c r="G1839">
        <f>Dashboard_Live_Data!AV123</f>
        <v/>
      </c>
      <c r="H1839">
        <f>Dashboard_Live_Data!AW123</f>
        <v/>
      </c>
    </row>
    <row r="1840">
      <c r="A1840">
        <f>Dashboard_Live_Data!AP124</f>
        <v/>
      </c>
      <c r="B1840">
        <f>Dashboard_Live_Data!AQ124</f>
        <v/>
      </c>
      <c r="C1840">
        <f>Dashboard_Live_Data!AR124</f>
        <v/>
      </c>
      <c r="D1840">
        <f>Dashboard_Live_Data!AS124</f>
        <v/>
      </c>
      <c r="E1840">
        <f>Dashboard_Live_Data!AT124</f>
        <v/>
      </c>
      <c r="F1840">
        <f>Dashboard_Live_Data!AU124</f>
        <v/>
      </c>
      <c r="G1840">
        <f>Dashboard_Live_Data!AV124</f>
        <v/>
      </c>
      <c r="H1840">
        <f>Dashboard_Live_Data!AW124</f>
        <v/>
      </c>
    </row>
    <row r="1841">
      <c r="A1841">
        <f>Dashboard_Live_Data!AP125</f>
        <v/>
      </c>
      <c r="B1841">
        <f>Dashboard_Live_Data!AQ125</f>
        <v/>
      </c>
      <c r="C1841">
        <f>Dashboard_Live_Data!AR125</f>
        <v/>
      </c>
      <c r="D1841">
        <f>Dashboard_Live_Data!AS125</f>
        <v/>
      </c>
      <c r="E1841">
        <f>Dashboard_Live_Data!AT125</f>
        <v/>
      </c>
      <c r="F1841">
        <f>Dashboard_Live_Data!AU125</f>
        <v/>
      </c>
      <c r="G1841">
        <f>Dashboard_Live_Data!AV125</f>
        <v/>
      </c>
      <c r="H1841">
        <f>Dashboard_Live_Data!AW125</f>
        <v/>
      </c>
    </row>
    <row r="1842">
      <c r="A1842">
        <f>Dashboard_Live_Data!AP126</f>
        <v/>
      </c>
      <c r="B1842">
        <f>Dashboard_Live_Data!AQ126</f>
        <v/>
      </c>
      <c r="C1842">
        <f>Dashboard_Live_Data!AR126</f>
        <v/>
      </c>
      <c r="D1842">
        <f>Dashboard_Live_Data!AS126</f>
        <v/>
      </c>
      <c r="E1842">
        <f>Dashboard_Live_Data!AT126</f>
        <v/>
      </c>
      <c r="F1842">
        <f>Dashboard_Live_Data!AU126</f>
        <v/>
      </c>
      <c r="G1842">
        <f>Dashboard_Live_Data!AV126</f>
        <v/>
      </c>
      <c r="H1842">
        <f>Dashboard_Live_Data!AW126</f>
        <v/>
      </c>
    </row>
    <row r="1843">
      <c r="A1843">
        <f>Dashboard_Live_Data!AP127</f>
        <v/>
      </c>
      <c r="B1843">
        <f>Dashboard_Live_Data!AQ127</f>
        <v/>
      </c>
      <c r="C1843">
        <f>Dashboard_Live_Data!AR127</f>
        <v/>
      </c>
      <c r="D1843">
        <f>Dashboard_Live_Data!AS127</f>
        <v/>
      </c>
      <c r="E1843">
        <f>Dashboard_Live_Data!AT127</f>
        <v/>
      </c>
      <c r="F1843">
        <f>Dashboard_Live_Data!AU127</f>
        <v/>
      </c>
      <c r="G1843">
        <f>Dashboard_Live_Data!AV127</f>
        <v/>
      </c>
      <c r="H1843">
        <f>Dashboard_Live_Data!AW127</f>
        <v/>
      </c>
    </row>
    <row r="1844">
      <c r="A1844">
        <f>Dashboard_Live_Data!AP128</f>
        <v/>
      </c>
      <c r="B1844">
        <f>Dashboard_Live_Data!AQ128</f>
        <v/>
      </c>
      <c r="C1844">
        <f>Dashboard_Live_Data!AR128</f>
        <v/>
      </c>
      <c r="D1844">
        <f>Dashboard_Live_Data!AS128</f>
        <v/>
      </c>
      <c r="E1844">
        <f>Dashboard_Live_Data!AT128</f>
        <v/>
      </c>
      <c r="F1844">
        <f>Dashboard_Live_Data!AU128</f>
        <v/>
      </c>
      <c r="G1844">
        <f>Dashboard_Live_Data!AV128</f>
        <v/>
      </c>
      <c r="H1844">
        <f>Dashboard_Live_Data!AW128</f>
        <v/>
      </c>
    </row>
    <row r="1845">
      <c r="A1845">
        <f>Dashboard_Live_Data!AP129</f>
        <v/>
      </c>
      <c r="B1845">
        <f>Dashboard_Live_Data!AQ129</f>
        <v/>
      </c>
      <c r="C1845">
        <f>Dashboard_Live_Data!AR129</f>
        <v/>
      </c>
      <c r="D1845">
        <f>Dashboard_Live_Data!AS129</f>
        <v/>
      </c>
      <c r="E1845">
        <f>Dashboard_Live_Data!AT129</f>
        <v/>
      </c>
      <c r="F1845">
        <f>Dashboard_Live_Data!AU129</f>
        <v/>
      </c>
      <c r="G1845">
        <f>Dashboard_Live_Data!AV129</f>
        <v/>
      </c>
      <c r="H1845">
        <f>Dashboard_Live_Data!AW129</f>
        <v/>
      </c>
    </row>
    <row r="1846">
      <c r="A1846">
        <f>Dashboard_Live_Data!AP130</f>
        <v/>
      </c>
      <c r="B1846">
        <f>Dashboard_Live_Data!AQ130</f>
        <v/>
      </c>
      <c r="C1846">
        <f>Dashboard_Live_Data!AR130</f>
        <v/>
      </c>
      <c r="D1846">
        <f>Dashboard_Live_Data!AS130</f>
        <v/>
      </c>
      <c r="E1846">
        <f>Dashboard_Live_Data!AT130</f>
        <v/>
      </c>
      <c r="F1846">
        <f>Dashboard_Live_Data!AU130</f>
        <v/>
      </c>
      <c r="G1846">
        <f>Dashboard_Live_Data!AV130</f>
        <v/>
      </c>
      <c r="H1846">
        <f>Dashboard_Live_Data!AW130</f>
        <v/>
      </c>
    </row>
    <row r="1847">
      <c r="A1847">
        <f>Dashboard_Live_Data!AP131</f>
        <v/>
      </c>
      <c r="B1847">
        <f>Dashboard_Live_Data!AQ131</f>
        <v/>
      </c>
      <c r="C1847">
        <f>Dashboard_Live_Data!AR131</f>
        <v/>
      </c>
      <c r="D1847">
        <f>Dashboard_Live_Data!AS131</f>
        <v/>
      </c>
      <c r="E1847">
        <f>Dashboard_Live_Data!AT131</f>
        <v/>
      </c>
      <c r="F1847">
        <f>Dashboard_Live_Data!AU131</f>
        <v/>
      </c>
      <c r="G1847">
        <f>Dashboard_Live_Data!AV131</f>
        <v/>
      </c>
      <c r="H1847">
        <f>Dashboard_Live_Data!AW131</f>
        <v/>
      </c>
    </row>
    <row r="1848">
      <c r="A1848">
        <f>Dashboard_Live_Data!AP132</f>
        <v/>
      </c>
      <c r="B1848">
        <f>Dashboard_Live_Data!AQ132</f>
        <v/>
      </c>
      <c r="C1848">
        <f>Dashboard_Live_Data!AR132</f>
        <v/>
      </c>
      <c r="D1848">
        <f>Dashboard_Live_Data!AS132</f>
        <v/>
      </c>
      <c r="E1848">
        <f>Dashboard_Live_Data!AT132</f>
        <v/>
      </c>
      <c r="F1848">
        <f>Dashboard_Live_Data!AU132</f>
        <v/>
      </c>
      <c r="G1848">
        <f>Dashboard_Live_Data!AV132</f>
        <v/>
      </c>
      <c r="H1848">
        <f>Dashboard_Live_Data!AW132</f>
        <v/>
      </c>
    </row>
    <row r="1849">
      <c r="A1849">
        <f>Dashboard_Live_Data!AP133</f>
        <v/>
      </c>
      <c r="B1849">
        <f>Dashboard_Live_Data!AQ133</f>
        <v/>
      </c>
      <c r="C1849">
        <f>Dashboard_Live_Data!AR133</f>
        <v/>
      </c>
      <c r="D1849">
        <f>Dashboard_Live_Data!AS133</f>
        <v/>
      </c>
      <c r="E1849">
        <f>Dashboard_Live_Data!AT133</f>
        <v/>
      </c>
      <c r="F1849">
        <f>Dashboard_Live_Data!AU133</f>
        <v/>
      </c>
      <c r="G1849">
        <f>Dashboard_Live_Data!AV133</f>
        <v/>
      </c>
      <c r="H1849">
        <f>Dashboard_Live_Data!AW133</f>
        <v/>
      </c>
    </row>
    <row r="1850">
      <c r="A1850">
        <f>Dashboard_Live_Data!AP134</f>
        <v/>
      </c>
      <c r="B1850">
        <f>Dashboard_Live_Data!AQ134</f>
        <v/>
      </c>
      <c r="C1850">
        <f>Dashboard_Live_Data!AR134</f>
        <v/>
      </c>
      <c r="D1850">
        <f>Dashboard_Live_Data!AS134</f>
        <v/>
      </c>
      <c r="E1850">
        <f>Dashboard_Live_Data!AT134</f>
        <v/>
      </c>
      <c r="F1850">
        <f>Dashboard_Live_Data!AU134</f>
        <v/>
      </c>
      <c r="G1850">
        <f>Dashboard_Live_Data!AV134</f>
        <v/>
      </c>
      <c r="H1850">
        <f>Dashboard_Live_Data!AW134</f>
        <v/>
      </c>
    </row>
    <row r="1851">
      <c r="A1851">
        <f>Dashboard_Live_Data!AP135</f>
        <v/>
      </c>
      <c r="B1851">
        <f>Dashboard_Live_Data!AQ135</f>
        <v/>
      </c>
      <c r="C1851">
        <f>Dashboard_Live_Data!AR135</f>
        <v/>
      </c>
      <c r="D1851">
        <f>Dashboard_Live_Data!AS135</f>
        <v/>
      </c>
      <c r="E1851">
        <f>Dashboard_Live_Data!AT135</f>
        <v/>
      </c>
      <c r="F1851">
        <f>Dashboard_Live_Data!AU135</f>
        <v/>
      </c>
      <c r="G1851">
        <f>Dashboard_Live_Data!AV135</f>
        <v/>
      </c>
      <c r="H1851">
        <f>Dashboard_Live_Data!AW135</f>
        <v/>
      </c>
    </row>
    <row r="1852">
      <c r="A1852">
        <f>Dashboard_Live_Data!AP136</f>
        <v/>
      </c>
      <c r="B1852">
        <f>Dashboard_Live_Data!AQ136</f>
        <v/>
      </c>
      <c r="C1852">
        <f>Dashboard_Live_Data!AR136</f>
        <v/>
      </c>
      <c r="D1852">
        <f>Dashboard_Live_Data!AS136</f>
        <v/>
      </c>
      <c r="E1852">
        <f>Dashboard_Live_Data!AT136</f>
        <v/>
      </c>
      <c r="F1852">
        <f>Dashboard_Live_Data!AU136</f>
        <v/>
      </c>
      <c r="G1852">
        <f>Dashboard_Live_Data!AV136</f>
        <v/>
      </c>
      <c r="H1852">
        <f>Dashboard_Live_Data!AW136</f>
        <v/>
      </c>
    </row>
    <row r="1853">
      <c r="A1853">
        <f>Dashboard_Live_Data!AP137</f>
        <v/>
      </c>
      <c r="B1853">
        <f>Dashboard_Live_Data!AQ137</f>
        <v/>
      </c>
      <c r="C1853">
        <f>Dashboard_Live_Data!AR137</f>
        <v/>
      </c>
      <c r="D1853">
        <f>Dashboard_Live_Data!AS137</f>
        <v/>
      </c>
      <c r="E1853">
        <f>Dashboard_Live_Data!AT137</f>
        <v/>
      </c>
      <c r="F1853">
        <f>Dashboard_Live_Data!AU137</f>
        <v/>
      </c>
      <c r="G1853">
        <f>Dashboard_Live_Data!AV137</f>
        <v/>
      </c>
      <c r="H1853">
        <f>Dashboard_Live_Data!AW137</f>
        <v/>
      </c>
    </row>
    <row r="1854">
      <c r="A1854">
        <f>Dashboard_Live_Data!AP138</f>
        <v/>
      </c>
      <c r="B1854">
        <f>Dashboard_Live_Data!AQ138</f>
        <v/>
      </c>
      <c r="C1854">
        <f>Dashboard_Live_Data!AR138</f>
        <v/>
      </c>
      <c r="D1854">
        <f>Dashboard_Live_Data!AS138</f>
        <v/>
      </c>
      <c r="E1854">
        <f>Dashboard_Live_Data!AT138</f>
        <v/>
      </c>
      <c r="F1854">
        <f>Dashboard_Live_Data!AU138</f>
        <v/>
      </c>
      <c r="G1854">
        <f>Dashboard_Live_Data!AV138</f>
        <v/>
      </c>
      <c r="H1854">
        <f>Dashboard_Live_Data!AW138</f>
        <v/>
      </c>
    </row>
    <row r="1855">
      <c r="A1855">
        <f>Dashboard_Live_Data!AP139</f>
        <v/>
      </c>
      <c r="B1855">
        <f>Dashboard_Live_Data!AQ139</f>
        <v/>
      </c>
      <c r="C1855">
        <f>Dashboard_Live_Data!AR139</f>
        <v/>
      </c>
      <c r="D1855">
        <f>Dashboard_Live_Data!AS139</f>
        <v/>
      </c>
      <c r="E1855">
        <f>Dashboard_Live_Data!AT139</f>
        <v/>
      </c>
      <c r="F1855">
        <f>Dashboard_Live_Data!AU139</f>
        <v/>
      </c>
      <c r="G1855">
        <f>Dashboard_Live_Data!AV139</f>
        <v/>
      </c>
      <c r="H1855">
        <f>Dashboard_Live_Data!AW139</f>
        <v/>
      </c>
    </row>
    <row r="1856">
      <c r="A1856">
        <f>Dashboard_Live_Data!AP140</f>
        <v/>
      </c>
      <c r="B1856">
        <f>Dashboard_Live_Data!AQ140</f>
        <v/>
      </c>
      <c r="C1856">
        <f>Dashboard_Live_Data!AR140</f>
        <v/>
      </c>
      <c r="D1856">
        <f>Dashboard_Live_Data!AS140</f>
        <v/>
      </c>
      <c r="E1856">
        <f>Dashboard_Live_Data!AT140</f>
        <v/>
      </c>
      <c r="F1856">
        <f>Dashboard_Live_Data!AU140</f>
        <v/>
      </c>
      <c r="G1856">
        <f>Dashboard_Live_Data!AV140</f>
        <v/>
      </c>
      <c r="H1856">
        <f>Dashboard_Live_Data!AW140</f>
        <v/>
      </c>
    </row>
    <row r="1857">
      <c r="A1857">
        <f>Dashboard_Live_Data!AP141</f>
        <v/>
      </c>
      <c r="B1857">
        <f>Dashboard_Live_Data!AQ141</f>
        <v/>
      </c>
      <c r="C1857">
        <f>Dashboard_Live_Data!AR141</f>
        <v/>
      </c>
      <c r="D1857">
        <f>Dashboard_Live_Data!AS141</f>
        <v/>
      </c>
      <c r="E1857">
        <f>Dashboard_Live_Data!AT141</f>
        <v/>
      </c>
      <c r="F1857">
        <f>Dashboard_Live_Data!AU141</f>
        <v/>
      </c>
      <c r="G1857">
        <f>Dashboard_Live_Data!AV141</f>
        <v/>
      </c>
      <c r="H1857">
        <f>Dashboard_Live_Data!AW141</f>
        <v/>
      </c>
    </row>
    <row r="1858">
      <c r="A1858">
        <f>Dashboard_Live_Data!AP142</f>
        <v/>
      </c>
      <c r="B1858">
        <f>Dashboard_Live_Data!AQ142</f>
        <v/>
      </c>
      <c r="C1858">
        <f>Dashboard_Live_Data!AR142</f>
        <v/>
      </c>
      <c r="D1858">
        <f>Dashboard_Live_Data!AS142</f>
        <v/>
      </c>
      <c r="E1858">
        <f>Dashboard_Live_Data!AT142</f>
        <v/>
      </c>
      <c r="F1858">
        <f>Dashboard_Live_Data!AU142</f>
        <v/>
      </c>
      <c r="G1858">
        <f>Dashboard_Live_Data!AV142</f>
        <v/>
      </c>
      <c r="H1858">
        <f>Dashboard_Live_Data!AW142</f>
        <v/>
      </c>
    </row>
    <row r="1859">
      <c r="A1859">
        <f>Dashboard_Live_Data!AP143</f>
        <v/>
      </c>
      <c r="B1859">
        <f>Dashboard_Live_Data!AQ143</f>
        <v/>
      </c>
      <c r="C1859">
        <f>Dashboard_Live_Data!AR143</f>
        <v/>
      </c>
      <c r="D1859">
        <f>Dashboard_Live_Data!AS143</f>
        <v/>
      </c>
      <c r="E1859">
        <f>Dashboard_Live_Data!AT143</f>
        <v/>
      </c>
      <c r="F1859">
        <f>Dashboard_Live_Data!AU143</f>
        <v/>
      </c>
      <c r="G1859">
        <f>Dashboard_Live_Data!AV143</f>
        <v/>
      </c>
      <c r="H1859">
        <f>Dashboard_Live_Data!AW143</f>
        <v/>
      </c>
    </row>
    <row r="1860">
      <c r="A1860">
        <f>Dashboard_Live_Data!AP144</f>
        <v/>
      </c>
      <c r="B1860">
        <f>Dashboard_Live_Data!AQ144</f>
        <v/>
      </c>
      <c r="C1860">
        <f>Dashboard_Live_Data!AR144</f>
        <v/>
      </c>
      <c r="D1860">
        <f>Dashboard_Live_Data!AS144</f>
        <v/>
      </c>
      <c r="E1860">
        <f>Dashboard_Live_Data!AT144</f>
        <v/>
      </c>
      <c r="F1860">
        <f>Dashboard_Live_Data!AU144</f>
        <v/>
      </c>
      <c r="G1860">
        <f>Dashboard_Live_Data!AV144</f>
        <v/>
      </c>
      <c r="H1860">
        <f>Dashboard_Live_Data!AW144</f>
        <v/>
      </c>
    </row>
    <row r="1861">
      <c r="A1861">
        <f>Dashboard_Live_Data!AP145</f>
        <v/>
      </c>
      <c r="B1861">
        <f>Dashboard_Live_Data!AQ145</f>
        <v/>
      </c>
      <c r="C1861">
        <f>Dashboard_Live_Data!AR145</f>
        <v/>
      </c>
      <c r="D1861">
        <f>Dashboard_Live_Data!AS145</f>
        <v/>
      </c>
      <c r="E1861">
        <f>Dashboard_Live_Data!AT145</f>
        <v/>
      </c>
      <c r="F1861">
        <f>Dashboard_Live_Data!AU145</f>
        <v/>
      </c>
      <c r="G1861">
        <f>Dashboard_Live_Data!AV145</f>
        <v/>
      </c>
      <c r="H1861">
        <f>Dashboard_Live_Data!AW145</f>
        <v/>
      </c>
    </row>
    <row r="1862">
      <c r="A1862">
        <f>Dashboard_Live_Data!AP146</f>
        <v/>
      </c>
      <c r="B1862">
        <f>Dashboard_Live_Data!AQ146</f>
        <v/>
      </c>
      <c r="C1862">
        <f>Dashboard_Live_Data!AR146</f>
        <v/>
      </c>
      <c r="D1862">
        <f>Dashboard_Live_Data!AS146</f>
        <v/>
      </c>
      <c r="E1862">
        <f>Dashboard_Live_Data!AT146</f>
        <v/>
      </c>
      <c r="F1862">
        <f>Dashboard_Live_Data!AU146</f>
        <v/>
      </c>
      <c r="G1862">
        <f>Dashboard_Live_Data!AV146</f>
        <v/>
      </c>
      <c r="H1862">
        <f>Dashboard_Live_Data!AW146</f>
        <v/>
      </c>
    </row>
    <row r="1863">
      <c r="A1863">
        <f>Dashboard_Live_Data!AP147</f>
        <v/>
      </c>
      <c r="B1863">
        <f>Dashboard_Live_Data!AQ147</f>
        <v/>
      </c>
      <c r="C1863">
        <f>Dashboard_Live_Data!AR147</f>
        <v/>
      </c>
      <c r="D1863">
        <f>Dashboard_Live_Data!AS147</f>
        <v/>
      </c>
      <c r="E1863">
        <f>Dashboard_Live_Data!AT147</f>
        <v/>
      </c>
      <c r="F1863">
        <f>Dashboard_Live_Data!AU147</f>
        <v/>
      </c>
      <c r="G1863">
        <f>Dashboard_Live_Data!AV147</f>
        <v/>
      </c>
      <c r="H1863">
        <f>Dashboard_Live_Data!AW147</f>
        <v/>
      </c>
    </row>
    <row r="1864">
      <c r="A1864">
        <f>Dashboard_Live_Data!AP148</f>
        <v/>
      </c>
      <c r="B1864">
        <f>Dashboard_Live_Data!AQ148</f>
        <v/>
      </c>
      <c r="C1864">
        <f>Dashboard_Live_Data!AR148</f>
        <v/>
      </c>
      <c r="D1864">
        <f>Dashboard_Live_Data!AS148</f>
        <v/>
      </c>
      <c r="E1864">
        <f>Dashboard_Live_Data!AT148</f>
        <v/>
      </c>
      <c r="F1864">
        <f>Dashboard_Live_Data!AU148</f>
        <v/>
      </c>
      <c r="G1864">
        <f>Dashboard_Live_Data!AV148</f>
        <v/>
      </c>
      <c r="H1864">
        <f>Dashboard_Live_Data!AW148</f>
        <v/>
      </c>
    </row>
    <row r="1865">
      <c r="A1865">
        <f>Dashboard_Live_Data!AP149</f>
        <v/>
      </c>
      <c r="B1865">
        <f>Dashboard_Live_Data!AQ149</f>
        <v/>
      </c>
      <c r="C1865">
        <f>Dashboard_Live_Data!AR149</f>
        <v/>
      </c>
      <c r="D1865">
        <f>Dashboard_Live_Data!AS149</f>
        <v/>
      </c>
      <c r="E1865">
        <f>Dashboard_Live_Data!AT149</f>
        <v/>
      </c>
      <c r="F1865">
        <f>Dashboard_Live_Data!AU149</f>
        <v/>
      </c>
      <c r="G1865">
        <f>Dashboard_Live_Data!AV149</f>
        <v/>
      </c>
      <c r="H1865">
        <f>Dashboard_Live_Data!AW149</f>
        <v/>
      </c>
    </row>
    <row r="1866">
      <c r="A1866">
        <f>Dashboard_Live_Data!AP150</f>
        <v/>
      </c>
      <c r="B1866">
        <f>Dashboard_Live_Data!AQ150</f>
        <v/>
      </c>
      <c r="C1866">
        <f>Dashboard_Live_Data!AR150</f>
        <v/>
      </c>
      <c r="D1866">
        <f>Dashboard_Live_Data!AS150</f>
        <v/>
      </c>
      <c r="E1866">
        <f>Dashboard_Live_Data!AT150</f>
        <v/>
      </c>
      <c r="F1866">
        <f>Dashboard_Live_Data!AU150</f>
        <v/>
      </c>
      <c r="G1866">
        <f>Dashboard_Live_Data!AV150</f>
        <v/>
      </c>
      <c r="H1866">
        <f>Dashboard_Live_Data!AW150</f>
        <v/>
      </c>
    </row>
    <row r="1867">
      <c r="A1867">
        <f>Dashboard_Live_Data!AP151</f>
        <v/>
      </c>
      <c r="B1867">
        <f>Dashboard_Live_Data!AQ151</f>
        <v/>
      </c>
      <c r="C1867">
        <f>Dashboard_Live_Data!AR151</f>
        <v/>
      </c>
      <c r="D1867">
        <f>Dashboard_Live_Data!AS151</f>
        <v/>
      </c>
      <c r="E1867">
        <f>Dashboard_Live_Data!AT151</f>
        <v/>
      </c>
      <c r="F1867">
        <f>Dashboard_Live_Data!AU151</f>
        <v/>
      </c>
      <c r="G1867">
        <f>Dashboard_Live_Data!AV151</f>
        <v/>
      </c>
      <c r="H1867">
        <f>Dashboard_Live_Data!AW151</f>
        <v/>
      </c>
    </row>
    <row r="1868">
      <c r="A1868">
        <f>Dashboard_Live_Data!AP152</f>
        <v/>
      </c>
      <c r="B1868">
        <f>Dashboard_Live_Data!AQ152</f>
        <v/>
      </c>
      <c r="C1868">
        <f>Dashboard_Live_Data!AR152</f>
        <v/>
      </c>
      <c r="D1868">
        <f>Dashboard_Live_Data!AS152</f>
        <v/>
      </c>
      <c r="E1868">
        <f>Dashboard_Live_Data!AT152</f>
        <v/>
      </c>
      <c r="F1868">
        <f>Dashboard_Live_Data!AU152</f>
        <v/>
      </c>
      <c r="G1868">
        <f>Dashboard_Live_Data!AV152</f>
        <v/>
      </c>
      <c r="H1868">
        <f>Dashboard_Live_Data!AW152</f>
        <v/>
      </c>
    </row>
    <row r="1869">
      <c r="A1869">
        <f>Dashboard_Live_Data!AP153</f>
        <v/>
      </c>
      <c r="B1869">
        <f>Dashboard_Live_Data!AQ153</f>
        <v/>
      </c>
      <c r="C1869">
        <f>Dashboard_Live_Data!AR153</f>
        <v/>
      </c>
      <c r="D1869">
        <f>Dashboard_Live_Data!AS153</f>
        <v/>
      </c>
      <c r="E1869">
        <f>Dashboard_Live_Data!AT153</f>
        <v/>
      </c>
      <c r="F1869">
        <f>Dashboard_Live_Data!AU153</f>
        <v/>
      </c>
      <c r="G1869">
        <f>Dashboard_Live_Data!AV153</f>
        <v/>
      </c>
      <c r="H1869">
        <f>Dashboard_Live_Data!AW153</f>
        <v/>
      </c>
    </row>
    <row r="1870">
      <c r="A1870">
        <f>Dashboard_Live_Data!AP154</f>
        <v/>
      </c>
      <c r="B1870">
        <f>Dashboard_Live_Data!AQ154</f>
        <v/>
      </c>
      <c r="C1870">
        <f>Dashboard_Live_Data!AR154</f>
        <v/>
      </c>
      <c r="D1870">
        <f>Dashboard_Live_Data!AS154</f>
        <v/>
      </c>
      <c r="E1870">
        <f>Dashboard_Live_Data!AT154</f>
        <v/>
      </c>
      <c r="F1870">
        <f>Dashboard_Live_Data!AU154</f>
        <v/>
      </c>
      <c r="G1870">
        <f>Dashboard_Live_Data!AV154</f>
        <v/>
      </c>
      <c r="H1870">
        <f>Dashboard_Live_Data!AW154</f>
        <v/>
      </c>
    </row>
    <row r="1871">
      <c r="A1871">
        <f>Dashboard_Live_Data!AP155</f>
        <v/>
      </c>
      <c r="B1871">
        <f>Dashboard_Live_Data!AQ155</f>
        <v/>
      </c>
      <c r="C1871">
        <f>Dashboard_Live_Data!AR155</f>
        <v/>
      </c>
      <c r="D1871">
        <f>Dashboard_Live_Data!AS155</f>
        <v/>
      </c>
      <c r="E1871">
        <f>Dashboard_Live_Data!AT155</f>
        <v/>
      </c>
      <c r="F1871">
        <f>Dashboard_Live_Data!AU155</f>
        <v/>
      </c>
      <c r="G1871">
        <f>Dashboard_Live_Data!AV155</f>
        <v/>
      </c>
      <c r="H1871">
        <f>Dashboard_Live_Data!AW155</f>
        <v/>
      </c>
    </row>
    <row r="1872">
      <c r="A1872">
        <f>Dashboard_Live_Data!AP156</f>
        <v/>
      </c>
      <c r="B1872">
        <f>Dashboard_Live_Data!AQ156</f>
        <v/>
      </c>
      <c r="C1872">
        <f>Dashboard_Live_Data!AR156</f>
        <v/>
      </c>
      <c r="D1872">
        <f>Dashboard_Live_Data!AS156</f>
        <v/>
      </c>
      <c r="E1872">
        <f>Dashboard_Live_Data!AT156</f>
        <v/>
      </c>
      <c r="F1872">
        <f>Dashboard_Live_Data!AU156</f>
        <v/>
      </c>
      <c r="G1872">
        <f>Dashboard_Live_Data!AV156</f>
        <v/>
      </c>
      <c r="H1872">
        <f>Dashboard_Live_Data!AW156</f>
        <v/>
      </c>
    </row>
    <row r="1873">
      <c r="A1873">
        <f>Dashboard_Live_Data!AP157</f>
        <v/>
      </c>
      <c r="B1873">
        <f>Dashboard_Live_Data!AQ157</f>
        <v/>
      </c>
      <c r="C1873">
        <f>Dashboard_Live_Data!AR157</f>
        <v/>
      </c>
      <c r="D1873">
        <f>Dashboard_Live_Data!AS157</f>
        <v/>
      </c>
      <c r="E1873">
        <f>Dashboard_Live_Data!AT157</f>
        <v/>
      </c>
      <c r="F1873">
        <f>Dashboard_Live_Data!AU157</f>
        <v/>
      </c>
      <c r="G1873">
        <f>Dashboard_Live_Data!AV157</f>
        <v/>
      </c>
      <c r="H1873">
        <f>Dashboard_Live_Data!AW157</f>
        <v/>
      </c>
    </row>
    <row r="1874">
      <c r="A1874">
        <f>Dashboard_Live_Data!AP158</f>
        <v/>
      </c>
      <c r="B1874">
        <f>Dashboard_Live_Data!AQ158</f>
        <v/>
      </c>
      <c r="C1874">
        <f>Dashboard_Live_Data!AR158</f>
        <v/>
      </c>
      <c r="D1874">
        <f>Dashboard_Live_Data!AS158</f>
        <v/>
      </c>
      <c r="E1874">
        <f>Dashboard_Live_Data!AT158</f>
        <v/>
      </c>
      <c r="F1874">
        <f>Dashboard_Live_Data!AU158</f>
        <v/>
      </c>
      <c r="G1874">
        <f>Dashboard_Live_Data!AV158</f>
        <v/>
      </c>
      <c r="H1874">
        <f>Dashboard_Live_Data!AW158</f>
        <v/>
      </c>
    </row>
    <row r="1875">
      <c r="A1875">
        <f>Dashboard_Live_Data!AP159</f>
        <v/>
      </c>
      <c r="B1875">
        <f>Dashboard_Live_Data!AQ159</f>
        <v/>
      </c>
      <c r="C1875">
        <f>Dashboard_Live_Data!AR159</f>
        <v/>
      </c>
      <c r="D1875">
        <f>Dashboard_Live_Data!AS159</f>
        <v/>
      </c>
      <c r="E1875">
        <f>Dashboard_Live_Data!AT159</f>
        <v/>
      </c>
      <c r="F1875">
        <f>Dashboard_Live_Data!AU159</f>
        <v/>
      </c>
      <c r="G1875">
        <f>Dashboard_Live_Data!AV159</f>
        <v/>
      </c>
      <c r="H1875">
        <f>Dashboard_Live_Data!AW159</f>
        <v/>
      </c>
    </row>
    <row r="1876">
      <c r="A1876">
        <f>Dashboard_Live_Data!AP160</f>
        <v/>
      </c>
      <c r="B1876">
        <f>Dashboard_Live_Data!AQ160</f>
        <v/>
      </c>
      <c r="C1876">
        <f>Dashboard_Live_Data!AR160</f>
        <v/>
      </c>
      <c r="D1876">
        <f>Dashboard_Live_Data!AS160</f>
        <v/>
      </c>
      <c r="E1876">
        <f>Dashboard_Live_Data!AT160</f>
        <v/>
      </c>
      <c r="F1876">
        <f>Dashboard_Live_Data!AU160</f>
        <v/>
      </c>
      <c r="G1876">
        <f>Dashboard_Live_Data!AV160</f>
        <v/>
      </c>
      <c r="H1876">
        <f>Dashboard_Live_Data!AW160</f>
        <v/>
      </c>
    </row>
    <row r="1877">
      <c r="A1877">
        <f>Dashboard_Live_Data!AP161</f>
        <v/>
      </c>
      <c r="B1877">
        <f>Dashboard_Live_Data!AQ161</f>
        <v/>
      </c>
      <c r="C1877">
        <f>Dashboard_Live_Data!AR161</f>
        <v/>
      </c>
      <c r="D1877">
        <f>Dashboard_Live_Data!AS161</f>
        <v/>
      </c>
      <c r="E1877">
        <f>Dashboard_Live_Data!AT161</f>
        <v/>
      </c>
      <c r="F1877">
        <f>Dashboard_Live_Data!AU161</f>
        <v/>
      </c>
      <c r="G1877">
        <f>Dashboard_Live_Data!AV161</f>
        <v/>
      </c>
      <c r="H1877">
        <f>Dashboard_Live_Data!AW161</f>
        <v/>
      </c>
    </row>
    <row r="1878">
      <c r="A1878">
        <f>Dashboard_Live_Data!AP162</f>
        <v/>
      </c>
      <c r="B1878">
        <f>Dashboard_Live_Data!AQ162</f>
        <v/>
      </c>
      <c r="C1878">
        <f>Dashboard_Live_Data!AR162</f>
        <v/>
      </c>
      <c r="D1878">
        <f>Dashboard_Live_Data!AS162</f>
        <v/>
      </c>
      <c r="E1878">
        <f>Dashboard_Live_Data!AT162</f>
        <v/>
      </c>
      <c r="F1878">
        <f>Dashboard_Live_Data!AU162</f>
        <v/>
      </c>
      <c r="G1878">
        <f>Dashboard_Live_Data!AV162</f>
        <v/>
      </c>
      <c r="H1878">
        <f>Dashboard_Live_Data!AW162</f>
        <v/>
      </c>
    </row>
    <row r="1879">
      <c r="A1879">
        <f>Dashboard_Live_Data!AP163</f>
        <v/>
      </c>
      <c r="B1879">
        <f>Dashboard_Live_Data!AQ163</f>
        <v/>
      </c>
      <c r="C1879">
        <f>Dashboard_Live_Data!AR163</f>
        <v/>
      </c>
      <c r="D1879">
        <f>Dashboard_Live_Data!AS163</f>
        <v/>
      </c>
      <c r="E1879">
        <f>Dashboard_Live_Data!AT163</f>
        <v/>
      </c>
      <c r="F1879">
        <f>Dashboard_Live_Data!AU163</f>
        <v/>
      </c>
      <c r="G1879">
        <f>Dashboard_Live_Data!AV163</f>
        <v/>
      </c>
      <c r="H1879">
        <f>Dashboard_Live_Data!AW163</f>
        <v/>
      </c>
    </row>
    <row r="1880">
      <c r="A1880">
        <f>Dashboard_Live_Data!AP164</f>
        <v/>
      </c>
      <c r="B1880">
        <f>Dashboard_Live_Data!AQ164</f>
        <v/>
      </c>
      <c r="C1880">
        <f>Dashboard_Live_Data!AR164</f>
        <v/>
      </c>
      <c r="D1880">
        <f>Dashboard_Live_Data!AS164</f>
        <v/>
      </c>
      <c r="E1880">
        <f>Dashboard_Live_Data!AT164</f>
        <v/>
      </c>
      <c r="F1880">
        <f>Dashboard_Live_Data!AU164</f>
        <v/>
      </c>
      <c r="G1880">
        <f>Dashboard_Live_Data!AV164</f>
        <v/>
      </c>
      <c r="H1880">
        <f>Dashboard_Live_Data!AW164</f>
        <v/>
      </c>
    </row>
    <row r="1881">
      <c r="A1881">
        <f>Dashboard_Live_Data!AP165</f>
        <v/>
      </c>
      <c r="B1881">
        <f>Dashboard_Live_Data!AQ165</f>
        <v/>
      </c>
      <c r="C1881">
        <f>Dashboard_Live_Data!AR165</f>
        <v/>
      </c>
      <c r="D1881">
        <f>Dashboard_Live_Data!AS165</f>
        <v/>
      </c>
      <c r="E1881">
        <f>Dashboard_Live_Data!AT165</f>
        <v/>
      </c>
      <c r="F1881">
        <f>Dashboard_Live_Data!AU165</f>
        <v/>
      </c>
      <c r="G1881">
        <f>Dashboard_Live_Data!AV165</f>
        <v/>
      </c>
      <c r="H1881">
        <f>Dashboard_Live_Data!AW165</f>
        <v/>
      </c>
    </row>
    <row r="1882">
      <c r="A1882">
        <f>Dashboard_Live_Data!AP166</f>
        <v/>
      </c>
      <c r="B1882">
        <f>Dashboard_Live_Data!AQ166</f>
        <v/>
      </c>
      <c r="C1882">
        <f>Dashboard_Live_Data!AR166</f>
        <v/>
      </c>
      <c r="D1882">
        <f>Dashboard_Live_Data!AS166</f>
        <v/>
      </c>
      <c r="E1882">
        <f>Dashboard_Live_Data!AT166</f>
        <v/>
      </c>
      <c r="F1882">
        <f>Dashboard_Live_Data!AU166</f>
        <v/>
      </c>
      <c r="G1882">
        <f>Dashboard_Live_Data!AV166</f>
        <v/>
      </c>
      <c r="H1882">
        <f>Dashboard_Live_Data!AW166</f>
        <v/>
      </c>
    </row>
    <row r="1883">
      <c r="A1883">
        <f>Dashboard_Live_Data!AP167</f>
        <v/>
      </c>
      <c r="B1883">
        <f>Dashboard_Live_Data!AQ167</f>
        <v/>
      </c>
      <c r="C1883">
        <f>Dashboard_Live_Data!AR167</f>
        <v/>
      </c>
      <c r="D1883">
        <f>Dashboard_Live_Data!AS167</f>
        <v/>
      </c>
      <c r="E1883">
        <f>Dashboard_Live_Data!AT167</f>
        <v/>
      </c>
      <c r="F1883">
        <f>Dashboard_Live_Data!AU167</f>
        <v/>
      </c>
      <c r="G1883">
        <f>Dashboard_Live_Data!AV167</f>
        <v/>
      </c>
      <c r="H1883">
        <f>Dashboard_Live_Data!AW167</f>
        <v/>
      </c>
    </row>
    <row r="1884">
      <c r="A1884">
        <f>Dashboard_Live_Data!AP168</f>
        <v/>
      </c>
      <c r="B1884">
        <f>Dashboard_Live_Data!AQ168</f>
        <v/>
      </c>
      <c r="C1884">
        <f>Dashboard_Live_Data!AR168</f>
        <v/>
      </c>
      <c r="D1884">
        <f>Dashboard_Live_Data!AS168</f>
        <v/>
      </c>
      <c r="E1884">
        <f>Dashboard_Live_Data!AT168</f>
        <v/>
      </c>
      <c r="F1884">
        <f>Dashboard_Live_Data!AU168</f>
        <v/>
      </c>
      <c r="G1884">
        <f>Dashboard_Live_Data!AV168</f>
        <v/>
      </c>
      <c r="H1884">
        <f>Dashboard_Live_Data!AW168</f>
        <v/>
      </c>
    </row>
    <row r="1885">
      <c r="A1885">
        <f>Dashboard_Live_Data!AP169</f>
        <v/>
      </c>
      <c r="B1885">
        <f>Dashboard_Live_Data!AQ169</f>
        <v/>
      </c>
      <c r="C1885">
        <f>Dashboard_Live_Data!AR169</f>
        <v/>
      </c>
      <c r="D1885">
        <f>Dashboard_Live_Data!AS169</f>
        <v/>
      </c>
      <c r="E1885">
        <f>Dashboard_Live_Data!AT169</f>
        <v/>
      </c>
      <c r="F1885">
        <f>Dashboard_Live_Data!AU169</f>
        <v/>
      </c>
      <c r="G1885">
        <f>Dashboard_Live_Data!AV169</f>
        <v/>
      </c>
      <c r="H1885">
        <f>Dashboard_Live_Data!AW169</f>
        <v/>
      </c>
    </row>
    <row r="1886">
      <c r="A1886">
        <f>Dashboard_Live_Data!AP170</f>
        <v/>
      </c>
      <c r="B1886">
        <f>Dashboard_Live_Data!AQ170</f>
        <v/>
      </c>
      <c r="C1886">
        <f>Dashboard_Live_Data!AR170</f>
        <v/>
      </c>
      <c r="D1886">
        <f>Dashboard_Live_Data!AS170</f>
        <v/>
      </c>
      <c r="E1886">
        <f>Dashboard_Live_Data!AT170</f>
        <v/>
      </c>
      <c r="F1886">
        <f>Dashboard_Live_Data!AU170</f>
        <v/>
      </c>
      <c r="G1886">
        <f>Dashboard_Live_Data!AV170</f>
        <v/>
      </c>
      <c r="H1886">
        <f>Dashboard_Live_Data!AW170</f>
        <v/>
      </c>
    </row>
    <row r="1887">
      <c r="A1887">
        <f>Dashboard_Live_Data!AP171</f>
        <v/>
      </c>
      <c r="B1887">
        <f>Dashboard_Live_Data!AQ171</f>
        <v/>
      </c>
      <c r="C1887">
        <f>Dashboard_Live_Data!AR171</f>
        <v/>
      </c>
      <c r="D1887">
        <f>Dashboard_Live_Data!AS171</f>
        <v/>
      </c>
      <c r="E1887">
        <f>Dashboard_Live_Data!AT171</f>
        <v/>
      </c>
      <c r="F1887">
        <f>Dashboard_Live_Data!AU171</f>
        <v/>
      </c>
      <c r="G1887">
        <f>Dashboard_Live_Data!AV171</f>
        <v/>
      </c>
      <c r="H1887">
        <f>Dashboard_Live_Data!AW171</f>
        <v/>
      </c>
    </row>
    <row r="1888">
      <c r="A1888">
        <f>Dashboard_Live_Data!AP172</f>
        <v/>
      </c>
      <c r="B1888">
        <f>Dashboard_Live_Data!AQ172</f>
        <v/>
      </c>
      <c r="C1888">
        <f>Dashboard_Live_Data!AR172</f>
        <v/>
      </c>
      <c r="D1888">
        <f>Dashboard_Live_Data!AS172</f>
        <v/>
      </c>
      <c r="E1888">
        <f>Dashboard_Live_Data!AT172</f>
        <v/>
      </c>
      <c r="F1888">
        <f>Dashboard_Live_Data!AU172</f>
        <v/>
      </c>
      <c r="G1888">
        <f>Dashboard_Live_Data!AV172</f>
        <v/>
      </c>
      <c r="H1888">
        <f>Dashboard_Live_Data!AW172</f>
        <v/>
      </c>
    </row>
    <row r="1889">
      <c r="A1889">
        <f>Dashboard_Live_Data!AP173</f>
        <v/>
      </c>
      <c r="B1889">
        <f>Dashboard_Live_Data!AQ173</f>
        <v/>
      </c>
      <c r="C1889">
        <f>Dashboard_Live_Data!AR173</f>
        <v/>
      </c>
      <c r="D1889">
        <f>Dashboard_Live_Data!AS173</f>
        <v/>
      </c>
      <c r="E1889">
        <f>Dashboard_Live_Data!AT173</f>
        <v/>
      </c>
      <c r="F1889">
        <f>Dashboard_Live_Data!AU173</f>
        <v/>
      </c>
      <c r="G1889">
        <f>Dashboard_Live_Data!AV173</f>
        <v/>
      </c>
      <c r="H1889">
        <f>Dashboard_Live_Data!AW173</f>
        <v/>
      </c>
    </row>
    <row r="1890">
      <c r="A1890">
        <f>Dashboard_Live_Data!AP174</f>
        <v/>
      </c>
      <c r="B1890">
        <f>Dashboard_Live_Data!AQ174</f>
        <v/>
      </c>
      <c r="C1890">
        <f>Dashboard_Live_Data!AR174</f>
        <v/>
      </c>
      <c r="D1890">
        <f>Dashboard_Live_Data!AS174</f>
        <v/>
      </c>
      <c r="E1890">
        <f>Dashboard_Live_Data!AT174</f>
        <v/>
      </c>
      <c r="F1890">
        <f>Dashboard_Live_Data!AU174</f>
        <v/>
      </c>
      <c r="G1890">
        <f>Dashboard_Live_Data!AV174</f>
        <v/>
      </c>
      <c r="H1890">
        <f>Dashboard_Live_Data!AW174</f>
        <v/>
      </c>
    </row>
    <row r="1891">
      <c r="A1891">
        <f>Dashboard_Live_Data!AP175</f>
        <v/>
      </c>
      <c r="B1891">
        <f>Dashboard_Live_Data!AQ175</f>
        <v/>
      </c>
      <c r="C1891">
        <f>Dashboard_Live_Data!AR175</f>
        <v/>
      </c>
      <c r="D1891">
        <f>Dashboard_Live_Data!AS175</f>
        <v/>
      </c>
      <c r="E1891">
        <f>Dashboard_Live_Data!AT175</f>
        <v/>
      </c>
      <c r="F1891">
        <f>Dashboard_Live_Data!AU175</f>
        <v/>
      </c>
      <c r="G1891">
        <f>Dashboard_Live_Data!AV175</f>
        <v/>
      </c>
      <c r="H1891">
        <f>Dashboard_Live_Data!AW175</f>
        <v/>
      </c>
    </row>
    <row r="1892">
      <c r="A1892">
        <f>Dashboard_Live_Data!AP176</f>
        <v/>
      </c>
      <c r="B1892">
        <f>Dashboard_Live_Data!AQ176</f>
        <v/>
      </c>
      <c r="C1892">
        <f>Dashboard_Live_Data!AR176</f>
        <v/>
      </c>
      <c r="D1892">
        <f>Dashboard_Live_Data!AS176</f>
        <v/>
      </c>
      <c r="E1892">
        <f>Dashboard_Live_Data!AT176</f>
        <v/>
      </c>
      <c r="F1892">
        <f>Dashboard_Live_Data!AU176</f>
        <v/>
      </c>
      <c r="G1892">
        <f>Dashboard_Live_Data!AV176</f>
        <v/>
      </c>
      <c r="H1892">
        <f>Dashboard_Live_Data!AW176</f>
        <v/>
      </c>
    </row>
    <row r="1893">
      <c r="A1893">
        <f>Dashboard_Live_Data!AP177</f>
        <v/>
      </c>
      <c r="B1893">
        <f>Dashboard_Live_Data!AQ177</f>
        <v/>
      </c>
      <c r="C1893">
        <f>Dashboard_Live_Data!AR177</f>
        <v/>
      </c>
      <c r="D1893">
        <f>Dashboard_Live_Data!AS177</f>
        <v/>
      </c>
      <c r="E1893">
        <f>Dashboard_Live_Data!AT177</f>
        <v/>
      </c>
      <c r="F1893">
        <f>Dashboard_Live_Data!AU177</f>
        <v/>
      </c>
      <c r="G1893">
        <f>Dashboard_Live_Data!AV177</f>
        <v/>
      </c>
      <c r="H1893">
        <f>Dashboard_Live_Data!AW177</f>
        <v/>
      </c>
    </row>
    <row r="1894">
      <c r="A1894">
        <f>Dashboard_Live_Data!AP178</f>
        <v/>
      </c>
      <c r="B1894">
        <f>Dashboard_Live_Data!AQ178</f>
        <v/>
      </c>
      <c r="C1894">
        <f>Dashboard_Live_Data!AR178</f>
        <v/>
      </c>
      <c r="D1894">
        <f>Dashboard_Live_Data!AS178</f>
        <v/>
      </c>
      <c r="E1894">
        <f>Dashboard_Live_Data!AT178</f>
        <v/>
      </c>
      <c r="F1894">
        <f>Dashboard_Live_Data!AU178</f>
        <v/>
      </c>
      <c r="G1894">
        <f>Dashboard_Live_Data!AV178</f>
        <v/>
      </c>
      <c r="H1894">
        <f>Dashboard_Live_Data!AW178</f>
        <v/>
      </c>
    </row>
    <row r="1895">
      <c r="A1895">
        <f>Dashboard_Live_Data!AP179</f>
        <v/>
      </c>
      <c r="B1895">
        <f>Dashboard_Live_Data!AQ179</f>
        <v/>
      </c>
      <c r="C1895">
        <f>Dashboard_Live_Data!AR179</f>
        <v/>
      </c>
      <c r="D1895">
        <f>Dashboard_Live_Data!AS179</f>
        <v/>
      </c>
      <c r="E1895">
        <f>Dashboard_Live_Data!AT179</f>
        <v/>
      </c>
      <c r="F1895">
        <f>Dashboard_Live_Data!AU179</f>
        <v/>
      </c>
      <c r="G1895">
        <f>Dashboard_Live_Data!AV179</f>
        <v/>
      </c>
      <c r="H1895">
        <f>Dashboard_Live_Data!AW179</f>
        <v/>
      </c>
    </row>
    <row r="1896">
      <c r="A1896">
        <f>Dashboard_Live_Data!AP180</f>
        <v/>
      </c>
      <c r="B1896">
        <f>Dashboard_Live_Data!AQ180</f>
        <v/>
      </c>
      <c r="C1896">
        <f>Dashboard_Live_Data!AR180</f>
        <v/>
      </c>
      <c r="D1896">
        <f>Dashboard_Live_Data!AS180</f>
        <v/>
      </c>
      <c r="E1896">
        <f>Dashboard_Live_Data!AT180</f>
        <v/>
      </c>
      <c r="F1896">
        <f>Dashboard_Live_Data!AU180</f>
        <v/>
      </c>
      <c r="G1896">
        <f>Dashboard_Live_Data!AV180</f>
        <v/>
      </c>
      <c r="H1896">
        <f>Dashboard_Live_Data!AW180</f>
        <v/>
      </c>
    </row>
    <row r="1897">
      <c r="A1897">
        <f>Dashboard_Live_Data!AP181</f>
        <v/>
      </c>
      <c r="B1897">
        <f>Dashboard_Live_Data!AQ181</f>
        <v/>
      </c>
      <c r="C1897">
        <f>Dashboard_Live_Data!AR181</f>
        <v/>
      </c>
      <c r="D1897">
        <f>Dashboard_Live_Data!AS181</f>
        <v/>
      </c>
      <c r="E1897">
        <f>Dashboard_Live_Data!AT181</f>
        <v/>
      </c>
      <c r="F1897">
        <f>Dashboard_Live_Data!AU181</f>
        <v/>
      </c>
      <c r="G1897">
        <f>Dashboard_Live_Data!AV181</f>
        <v/>
      </c>
      <c r="H1897">
        <f>Dashboard_Live_Data!AW181</f>
        <v/>
      </c>
    </row>
    <row r="1898">
      <c r="A1898">
        <f>Dashboard_Live_Data!AP182</f>
        <v/>
      </c>
      <c r="B1898">
        <f>Dashboard_Live_Data!AQ182</f>
        <v/>
      </c>
      <c r="C1898">
        <f>Dashboard_Live_Data!AR182</f>
        <v/>
      </c>
      <c r="D1898">
        <f>Dashboard_Live_Data!AS182</f>
        <v/>
      </c>
      <c r="E1898">
        <f>Dashboard_Live_Data!AT182</f>
        <v/>
      </c>
      <c r="F1898">
        <f>Dashboard_Live_Data!AU182</f>
        <v/>
      </c>
      <c r="G1898">
        <f>Dashboard_Live_Data!AV182</f>
        <v/>
      </c>
      <c r="H1898">
        <f>Dashboard_Live_Data!AW182</f>
        <v/>
      </c>
    </row>
    <row r="1899">
      <c r="A1899">
        <f>Dashboard_Live_Data!AP183</f>
        <v/>
      </c>
      <c r="B1899">
        <f>Dashboard_Live_Data!AQ183</f>
        <v/>
      </c>
      <c r="C1899">
        <f>Dashboard_Live_Data!AR183</f>
        <v/>
      </c>
      <c r="D1899">
        <f>Dashboard_Live_Data!AS183</f>
        <v/>
      </c>
      <c r="E1899">
        <f>Dashboard_Live_Data!AT183</f>
        <v/>
      </c>
      <c r="F1899">
        <f>Dashboard_Live_Data!AU183</f>
        <v/>
      </c>
      <c r="G1899">
        <f>Dashboard_Live_Data!AV183</f>
        <v/>
      </c>
      <c r="H1899">
        <f>Dashboard_Live_Data!AW183</f>
        <v/>
      </c>
    </row>
    <row r="1900">
      <c r="A1900">
        <f>Dashboard_Live_Data!AP184</f>
        <v/>
      </c>
      <c r="B1900">
        <f>Dashboard_Live_Data!AQ184</f>
        <v/>
      </c>
      <c r="C1900">
        <f>Dashboard_Live_Data!AR184</f>
        <v/>
      </c>
      <c r="D1900">
        <f>Dashboard_Live_Data!AS184</f>
        <v/>
      </c>
      <c r="E1900">
        <f>Dashboard_Live_Data!AT184</f>
        <v/>
      </c>
      <c r="F1900">
        <f>Dashboard_Live_Data!AU184</f>
        <v/>
      </c>
      <c r="G1900">
        <f>Dashboard_Live_Data!AV184</f>
        <v/>
      </c>
      <c r="H1900">
        <f>Dashboard_Live_Data!AW184</f>
        <v/>
      </c>
    </row>
    <row r="1901">
      <c r="A1901">
        <f>Dashboard_Live_Data!AP185</f>
        <v/>
      </c>
      <c r="B1901">
        <f>Dashboard_Live_Data!AQ185</f>
        <v/>
      </c>
      <c r="C1901">
        <f>Dashboard_Live_Data!AR185</f>
        <v/>
      </c>
      <c r="D1901">
        <f>Dashboard_Live_Data!AS185</f>
        <v/>
      </c>
      <c r="E1901">
        <f>Dashboard_Live_Data!AT185</f>
        <v/>
      </c>
      <c r="F1901">
        <f>Dashboard_Live_Data!AU185</f>
        <v/>
      </c>
      <c r="G1901">
        <f>Dashboard_Live_Data!AV185</f>
        <v/>
      </c>
      <c r="H1901">
        <f>Dashboard_Live_Data!AW185</f>
        <v/>
      </c>
    </row>
    <row r="1902">
      <c r="A1902">
        <f>Dashboard_Live_Data!AP186</f>
        <v/>
      </c>
      <c r="B1902">
        <f>Dashboard_Live_Data!AQ186</f>
        <v/>
      </c>
      <c r="C1902">
        <f>Dashboard_Live_Data!AR186</f>
        <v/>
      </c>
      <c r="D1902">
        <f>Dashboard_Live_Data!AS186</f>
        <v/>
      </c>
      <c r="E1902">
        <f>Dashboard_Live_Data!AT186</f>
        <v/>
      </c>
      <c r="F1902">
        <f>Dashboard_Live_Data!AU186</f>
        <v/>
      </c>
      <c r="G1902">
        <f>Dashboard_Live_Data!AV186</f>
        <v/>
      </c>
      <c r="H1902">
        <f>Dashboard_Live_Data!AW186</f>
        <v/>
      </c>
    </row>
    <row r="1903">
      <c r="A1903">
        <f>Dashboard_Live_Data!AP187</f>
        <v/>
      </c>
      <c r="B1903">
        <f>Dashboard_Live_Data!AQ187</f>
        <v/>
      </c>
      <c r="C1903">
        <f>Dashboard_Live_Data!AR187</f>
        <v/>
      </c>
      <c r="D1903">
        <f>Dashboard_Live_Data!AS187</f>
        <v/>
      </c>
      <c r="E1903">
        <f>Dashboard_Live_Data!AT187</f>
        <v/>
      </c>
      <c r="F1903">
        <f>Dashboard_Live_Data!AU187</f>
        <v/>
      </c>
      <c r="G1903">
        <f>Dashboard_Live_Data!AV187</f>
        <v/>
      </c>
      <c r="H1903">
        <f>Dashboard_Live_Data!AW187</f>
        <v/>
      </c>
    </row>
    <row r="1904">
      <c r="A1904">
        <f>Dashboard_Live_Data!AP188</f>
        <v/>
      </c>
      <c r="B1904">
        <f>Dashboard_Live_Data!AQ188</f>
        <v/>
      </c>
      <c r="C1904">
        <f>Dashboard_Live_Data!AR188</f>
        <v/>
      </c>
      <c r="D1904">
        <f>Dashboard_Live_Data!AS188</f>
        <v/>
      </c>
      <c r="E1904">
        <f>Dashboard_Live_Data!AT188</f>
        <v/>
      </c>
      <c r="F1904">
        <f>Dashboard_Live_Data!AU188</f>
        <v/>
      </c>
      <c r="G1904">
        <f>Dashboard_Live_Data!AV188</f>
        <v/>
      </c>
      <c r="H1904">
        <f>Dashboard_Live_Data!AW188</f>
        <v/>
      </c>
    </row>
    <row r="1905">
      <c r="A1905">
        <f>Dashboard_Live_Data!AP189</f>
        <v/>
      </c>
      <c r="B1905">
        <f>Dashboard_Live_Data!AQ189</f>
        <v/>
      </c>
      <c r="C1905">
        <f>Dashboard_Live_Data!AR189</f>
        <v/>
      </c>
      <c r="D1905">
        <f>Dashboard_Live_Data!AS189</f>
        <v/>
      </c>
      <c r="E1905">
        <f>Dashboard_Live_Data!AT189</f>
        <v/>
      </c>
      <c r="F1905">
        <f>Dashboard_Live_Data!AU189</f>
        <v/>
      </c>
      <c r="G1905">
        <f>Dashboard_Live_Data!AV189</f>
        <v/>
      </c>
      <c r="H1905">
        <f>Dashboard_Live_Data!AW189</f>
        <v/>
      </c>
    </row>
    <row r="1906">
      <c r="A1906">
        <f>Dashboard_Live_Data!AP190</f>
        <v/>
      </c>
      <c r="B1906">
        <f>Dashboard_Live_Data!AQ190</f>
        <v/>
      </c>
      <c r="C1906">
        <f>Dashboard_Live_Data!AR190</f>
        <v/>
      </c>
      <c r="D1906">
        <f>Dashboard_Live_Data!AS190</f>
        <v/>
      </c>
      <c r="E1906">
        <f>Dashboard_Live_Data!AT190</f>
        <v/>
      </c>
      <c r="F1906">
        <f>Dashboard_Live_Data!AU190</f>
        <v/>
      </c>
      <c r="G1906">
        <f>Dashboard_Live_Data!AV190</f>
        <v/>
      </c>
      <c r="H1906">
        <f>Dashboard_Live_Data!AW190</f>
        <v/>
      </c>
    </row>
    <row r="1907">
      <c r="A1907">
        <f>Dashboard_Live_Data!AP191</f>
        <v/>
      </c>
      <c r="B1907">
        <f>Dashboard_Live_Data!AQ191</f>
        <v/>
      </c>
      <c r="C1907">
        <f>Dashboard_Live_Data!AR191</f>
        <v/>
      </c>
      <c r="D1907">
        <f>Dashboard_Live_Data!AS191</f>
        <v/>
      </c>
      <c r="E1907">
        <f>Dashboard_Live_Data!AT191</f>
        <v/>
      </c>
      <c r="F1907">
        <f>Dashboard_Live_Data!AU191</f>
        <v/>
      </c>
      <c r="G1907">
        <f>Dashboard_Live_Data!AV191</f>
        <v/>
      </c>
      <c r="H1907">
        <f>Dashboard_Live_Data!AW191</f>
        <v/>
      </c>
    </row>
    <row r="1908">
      <c r="A1908">
        <f>Dashboard_Live_Data!AP192</f>
        <v/>
      </c>
      <c r="B1908">
        <f>Dashboard_Live_Data!AQ192</f>
        <v/>
      </c>
      <c r="C1908">
        <f>Dashboard_Live_Data!AR192</f>
        <v/>
      </c>
      <c r="D1908">
        <f>Dashboard_Live_Data!AS192</f>
        <v/>
      </c>
      <c r="E1908">
        <f>Dashboard_Live_Data!AT192</f>
        <v/>
      </c>
      <c r="F1908">
        <f>Dashboard_Live_Data!AU192</f>
        <v/>
      </c>
      <c r="G1908">
        <f>Dashboard_Live_Data!AV192</f>
        <v/>
      </c>
      <c r="H1908">
        <f>Dashboard_Live_Data!AW192</f>
        <v/>
      </c>
    </row>
    <row r="1909">
      <c r="A1909">
        <f>Dashboard_Live_Data!AP193</f>
        <v/>
      </c>
      <c r="B1909">
        <f>Dashboard_Live_Data!AQ193</f>
        <v/>
      </c>
      <c r="C1909">
        <f>Dashboard_Live_Data!AR193</f>
        <v/>
      </c>
      <c r="D1909">
        <f>Dashboard_Live_Data!AS193</f>
        <v/>
      </c>
      <c r="E1909">
        <f>Dashboard_Live_Data!AT193</f>
        <v/>
      </c>
      <c r="F1909">
        <f>Dashboard_Live_Data!AU193</f>
        <v/>
      </c>
      <c r="G1909">
        <f>Dashboard_Live_Data!AV193</f>
        <v/>
      </c>
      <c r="H1909">
        <f>Dashboard_Live_Data!AW193</f>
        <v/>
      </c>
    </row>
    <row r="1910">
      <c r="A1910">
        <f>Dashboard_Live_Data!AP194</f>
        <v/>
      </c>
      <c r="B1910">
        <f>Dashboard_Live_Data!AQ194</f>
        <v/>
      </c>
      <c r="C1910">
        <f>Dashboard_Live_Data!AR194</f>
        <v/>
      </c>
      <c r="D1910">
        <f>Dashboard_Live_Data!AS194</f>
        <v/>
      </c>
      <c r="E1910">
        <f>Dashboard_Live_Data!AT194</f>
        <v/>
      </c>
      <c r="F1910">
        <f>Dashboard_Live_Data!AU194</f>
        <v/>
      </c>
      <c r="G1910">
        <f>Dashboard_Live_Data!AV194</f>
        <v/>
      </c>
      <c r="H1910">
        <f>Dashboard_Live_Data!AW194</f>
        <v/>
      </c>
    </row>
    <row r="1911">
      <c r="A1911">
        <f>Dashboard_Live_Data!AP195</f>
        <v/>
      </c>
      <c r="B1911">
        <f>Dashboard_Live_Data!AQ195</f>
        <v/>
      </c>
      <c r="C1911">
        <f>Dashboard_Live_Data!AR195</f>
        <v/>
      </c>
      <c r="D1911">
        <f>Dashboard_Live_Data!AS195</f>
        <v/>
      </c>
      <c r="E1911">
        <f>Dashboard_Live_Data!AT195</f>
        <v/>
      </c>
      <c r="F1911">
        <f>Dashboard_Live_Data!AU195</f>
        <v/>
      </c>
      <c r="G1911">
        <f>Dashboard_Live_Data!AV195</f>
        <v/>
      </c>
      <c r="H1911">
        <f>Dashboard_Live_Data!AW195</f>
        <v/>
      </c>
    </row>
    <row r="1912">
      <c r="A1912">
        <f>Dashboard_Live_Data!AP196</f>
        <v/>
      </c>
      <c r="B1912">
        <f>Dashboard_Live_Data!AQ196</f>
        <v/>
      </c>
      <c r="C1912">
        <f>Dashboard_Live_Data!AR196</f>
        <v/>
      </c>
      <c r="D1912">
        <f>Dashboard_Live_Data!AS196</f>
        <v/>
      </c>
      <c r="E1912">
        <f>Dashboard_Live_Data!AT196</f>
        <v/>
      </c>
      <c r="F1912">
        <f>Dashboard_Live_Data!AU196</f>
        <v/>
      </c>
      <c r="G1912">
        <f>Dashboard_Live_Data!AV196</f>
        <v/>
      </c>
      <c r="H1912">
        <f>Dashboard_Live_Data!AW196</f>
        <v/>
      </c>
    </row>
    <row r="1913">
      <c r="A1913">
        <f>Dashboard_Live_Data!AP197</f>
        <v/>
      </c>
      <c r="B1913">
        <f>Dashboard_Live_Data!AQ197</f>
        <v/>
      </c>
      <c r="C1913">
        <f>Dashboard_Live_Data!AR197</f>
        <v/>
      </c>
      <c r="D1913">
        <f>Dashboard_Live_Data!AS197</f>
        <v/>
      </c>
      <c r="E1913">
        <f>Dashboard_Live_Data!AT197</f>
        <v/>
      </c>
      <c r="F1913">
        <f>Dashboard_Live_Data!AU197</f>
        <v/>
      </c>
      <c r="G1913">
        <f>Dashboard_Live_Data!AV197</f>
        <v/>
      </c>
      <c r="H1913">
        <f>Dashboard_Live_Data!AW197</f>
        <v/>
      </c>
    </row>
    <row r="1914">
      <c r="A1914">
        <f>Dashboard_Live_Data!AP198</f>
        <v/>
      </c>
      <c r="B1914">
        <f>Dashboard_Live_Data!AQ198</f>
        <v/>
      </c>
      <c r="C1914">
        <f>Dashboard_Live_Data!AR198</f>
        <v/>
      </c>
      <c r="D1914">
        <f>Dashboard_Live_Data!AS198</f>
        <v/>
      </c>
      <c r="E1914">
        <f>Dashboard_Live_Data!AT198</f>
        <v/>
      </c>
      <c r="F1914">
        <f>Dashboard_Live_Data!AU198</f>
        <v/>
      </c>
      <c r="G1914">
        <f>Dashboard_Live_Data!AV198</f>
        <v/>
      </c>
      <c r="H1914">
        <f>Dashboard_Live_Data!AW198</f>
        <v/>
      </c>
    </row>
    <row r="1915">
      <c r="A1915">
        <f>Dashboard_Live_Data!AP199</f>
        <v/>
      </c>
      <c r="B1915">
        <f>Dashboard_Live_Data!AQ199</f>
        <v/>
      </c>
      <c r="C1915">
        <f>Dashboard_Live_Data!AR199</f>
        <v/>
      </c>
      <c r="D1915">
        <f>Dashboard_Live_Data!AS199</f>
        <v/>
      </c>
      <c r="E1915">
        <f>Dashboard_Live_Data!AT199</f>
        <v/>
      </c>
      <c r="F1915">
        <f>Dashboard_Live_Data!AU199</f>
        <v/>
      </c>
      <c r="G1915">
        <f>Dashboard_Live_Data!AV199</f>
        <v/>
      </c>
      <c r="H1915">
        <f>Dashboard_Live_Data!AW199</f>
        <v/>
      </c>
    </row>
    <row r="1916">
      <c r="A1916">
        <f>Dashboard_Live_Data!AP200</f>
        <v/>
      </c>
      <c r="B1916">
        <f>Dashboard_Live_Data!AQ200</f>
        <v/>
      </c>
      <c r="C1916">
        <f>Dashboard_Live_Data!AR200</f>
        <v/>
      </c>
      <c r="D1916">
        <f>Dashboard_Live_Data!AS200</f>
        <v/>
      </c>
      <c r="E1916">
        <f>Dashboard_Live_Data!AT200</f>
        <v/>
      </c>
      <c r="F1916">
        <f>Dashboard_Live_Data!AU200</f>
        <v/>
      </c>
      <c r="G1916">
        <f>Dashboard_Live_Data!AV200</f>
        <v/>
      </c>
      <c r="H1916">
        <f>Dashboard_Live_Data!AW200</f>
        <v/>
      </c>
    </row>
    <row r="1917">
      <c r="A1917">
        <f>Dashboard_Live_Data!AP201</f>
        <v/>
      </c>
      <c r="B1917">
        <f>Dashboard_Live_Data!AQ201</f>
        <v/>
      </c>
      <c r="C1917">
        <f>Dashboard_Live_Data!AR201</f>
        <v/>
      </c>
      <c r="D1917">
        <f>Dashboard_Live_Data!AS201</f>
        <v/>
      </c>
      <c r="E1917">
        <f>Dashboard_Live_Data!AT201</f>
        <v/>
      </c>
      <c r="F1917">
        <f>Dashboard_Live_Data!AU201</f>
        <v/>
      </c>
      <c r="G1917">
        <f>Dashboard_Live_Data!AV201</f>
        <v/>
      </c>
      <c r="H1917">
        <f>Dashboard_Live_Data!AW201</f>
        <v/>
      </c>
    </row>
    <row r="1918">
      <c r="A1918">
        <f>Dashboard_Live_Data!AP202</f>
        <v/>
      </c>
      <c r="B1918">
        <f>Dashboard_Live_Data!AQ202</f>
        <v/>
      </c>
      <c r="C1918">
        <f>Dashboard_Live_Data!AR202</f>
        <v/>
      </c>
      <c r="D1918">
        <f>Dashboard_Live_Data!AS202</f>
        <v/>
      </c>
      <c r="E1918">
        <f>Dashboard_Live_Data!AT202</f>
        <v/>
      </c>
      <c r="F1918">
        <f>Dashboard_Live_Data!AU202</f>
        <v/>
      </c>
      <c r="G1918">
        <f>Dashboard_Live_Data!AV202</f>
        <v/>
      </c>
      <c r="H1918">
        <f>Dashboard_Live_Data!AW202</f>
        <v/>
      </c>
    </row>
    <row r="1919">
      <c r="A1919">
        <f>Dashboard_Live_Data!AP203</f>
        <v/>
      </c>
      <c r="B1919">
        <f>Dashboard_Live_Data!AQ203</f>
        <v/>
      </c>
      <c r="C1919">
        <f>Dashboard_Live_Data!AR203</f>
        <v/>
      </c>
      <c r="D1919">
        <f>Dashboard_Live_Data!AS203</f>
        <v/>
      </c>
      <c r="E1919">
        <f>Dashboard_Live_Data!AT203</f>
        <v/>
      </c>
      <c r="F1919">
        <f>Dashboard_Live_Data!AU203</f>
        <v/>
      </c>
      <c r="G1919">
        <f>Dashboard_Live_Data!AV203</f>
        <v/>
      </c>
      <c r="H1919">
        <f>Dashboard_Live_Data!AW203</f>
        <v/>
      </c>
    </row>
    <row r="1920">
      <c r="A1920">
        <f>Dashboard_Live_Data!AP204</f>
        <v/>
      </c>
      <c r="B1920">
        <f>Dashboard_Live_Data!AQ204</f>
        <v/>
      </c>
      <c r="C1920">
        <f>Dashboard_Live_Data!AR204</f>
        <v/>
      </c>
      <c r="D1920">
        <f>Dashboard_Live_Data!AS204</f>
        <v/>
      </c>
      <c r="E1920">
        <f>Dashboard_Live_Data!AT204</f>
        <v/>
      </c>
      <c r="F1920">
        <f>Dashboard_Live_Data!AU204</f>
        <v/>
      </c>
      <c r="G1920">
        <f>Dashboard_Live_Data!AV204</f>
        <v/>
      </c>
      <c r="H1920">
        <f>Dashboard_Live_Data!AW204</f>
        <v/>
      </c>
    </row>
    <row r="1921">
      <c r="A1921">
        <f>Dashboard_Live_Data!AP205</f>
        <v/>
      </c>
      <c r="B1921">
        <f>Dashboard_Live_Data!AQ205</f>
        <v/>
      </c>
      <c r="C1921">
        <f>Dashboard_Live_Data!AR205</f>
        <v/>
      </c>
      <c r="D1921">
        <f>Dashboard_Live_Data!AS205</f>
        <v/>
      </c>
      <c r="E1921">
        <f>Dashboard_Live_Data!AT205</f>
        <v/>
      </c>
      <c r="F1921">
        <f>Dashboard_Live_Data!AU205</f>
        <v/>
      </c>
      <c r="G1921">
        <f>Dashboard_Live_Data!AV205</f>
        <v/>
      </c>
      <c r="H1921">
        <f>Dashboard_Live_Data!AW205</f>
        <v/>
      </c>
    </row>
    <row r="1922">
      <c r="A1922">
        <f>Dashboard_Live_Data!AP206</f>
        <v/>
      </c>
      <c r="B1922">
        <f>Dashboard_Live_Data!AQ206</f>
        <v/>
      </c>
      <c r="C1922">
        <f>Dashboard_Live_Data!AR206</f>
        <v/>
      </c>
      <c r="D1922">
        <f>Dashboard_Live_Data!AS206</f>
        <v/>
      </c>
      <c r="E1922">
        <f>Dashboard_Live_Data!AT206</f>
        <v/>
      </c>
      <c r="F1922">
        <f>Dashboard_Live_Data!AU206</f>
        <v/>
      </c>
      <c r="G1922">
        <f>Dashboard_Live_Data!AV206</f>
        <v/>
      </c>
      <c r="H1922">
        <f>Dashboard_Live_Data!AW206</f>
        <v/>
      </c>
    </row>
    <row r="1923">
      <c r="A1923">
        <f>Dashboard_Live_Data!AP207</f>
        <v/>
      </c>
      <c r="B1923">
        <f>Dashboard_Live_Data!AQ207</f>
        <v/>
      </c>
      <c r="C1923">
        <f>Dashboard_Live_Data!AR207</f>
        <v/>
      </c>
      <c r="D1923">
        <f>Dashboard_Live_Data!AS207</f>
        <v/>
      </c>
      <c r="E1923">
        <f>Dashboard_Live_Data!AT207</f>
        <v/>
      </c>
      <c r="F1923">
        <f>Dashboard_Live_Data!AU207</f>
        <v/>
      </c>
      <c r="G1923">
        <f>Dashboard_Live_Data!AV207</f>
        <v/>
      </c>
      <c r="H1923">
        <f>Dashboard_Live_Data!AW207</f>
        <v/>
      </c>
    </row>
    <row r="1924">
      <c r="A1924">
        <f>Dashboard_Live_Data!AP208</f>
        <v/>
      </c>
      <c r="B1924">
        <f>Dashboard_Live_Data!AQ208</f>
        <v/>
      </c>
      <c r="C1924">
        <f>Dashboard_Live_Data!AR208</f>
        <v/>
      </c>
      <c r="D1924">
        <f>Dashboard_Live_Data!AS208</f>
        <v/>
      </c>
      <c r="E1924">
        <f>Dashboard_Live_Data!AT208</f>
        <v/>
      </c>
      <c r="F1924">
        <f>Dashboard_Live_Data!AU208</f>
        <v/>
      </c>
      <c r="G1924">
        <f>Dashboard_Live_Data!AV208</f>
        <v/>
      </c>
      <c r="H1924">
        <f>Dashboard_Live_Data!AW208</f>
        <v/>
      </c>
    </row>
    <row r="1925">
      <c r="A1925">
        <f>Dashboard_Live_Data!AP209</f>
        <v/>
      </c>
      <c r="B1925">
        <f>Dashboard_Live_Data!AQ209</f>
        <v/>
      </c>
      <c r="C1925">
        <f>Dashboard_Live_Data!AR209</f>
        <v/>
      </c>
      <c r="D1925">
        <f>Dashboard_Live_Data!AS209</f>
        <v/>
      </c>
      <c r="E1925">
        <f>Dashboard_Live_Data!AT209</f>
        <v/>
      </c>
      <c r="F1925">
        <f>Dashboard_Live_Data!AU209</f>
        <v/>
      </c>
      <c r="G1925">
        <f>Dashboard_Live_Data!AV209</f>
        <v/>
      </c>
      <c r="H1925">
        <f>Dashboard_Live_Data!AW209</f>
        <v/>
      </c>
    </row>
    <row r="1926">
      <c r="A1926">
        <f>Dashboard_Live_Data!AP210</f>
        <v/>
      </c>
      <c r="B1926">
        <f>Dashboard_Live_Data!AQ210</f>
        <v/>
      </c>
      <c r="C1926">
        <f>Dashboard_Live_Data!AR210</f>
        <v/>
      </c>
      <c r="D1926">
        <f>Dashboard_Live_Data!AS210</f>
        <v/>
      </c>
      <c r="E1926">
        <f>Dashboard_Live_Data!AT210</f>
        <v/>
      </c>
      <c r="F1926">
        <f>Dashboard_Live_Data!AU210</f>
        <v/>
      </c>
      <c r="G1926">
        <f>Dashboard_Live_Data!AV210</f>
        <v/>
      </c>
      <c r="H1926">
        <f>Dashboard_Live_Data!AW210</f>
        <v/>
      </c>
    </row>
    <row r="1927">
      <c r="A1927">
        <f>Dashboard_Live_Data!AP211</f>
        <v/>
      </c>
      <c r="B1927">
        <f>Dashboard_Live_Data!AQ211</f>
        <v/>
      </c>
      <c r="C1927">
        <f>Dashboard_Live_Data!AR211</f>
        <v/>
      </c>
      <c r="D1927">
        <f>Dashboard_Live_Data!AS211</f>
        <v/>
      </c>
      <c r="E1927">
        <f>Dashboard_Live_Data!AT211</f>
        <v/>
      </c>
      <c r="F1927">
        <f>Dashboard_Live_Data!AU211</f>
        <v/>
      </c>
      <c r="G1927">
        <f>Dashboard_Live_Data!AV211</f>
        <v/>
      </c>
      <c r="H1927">
        <f>Dashboard_Live_Data!AW211</f>
        <v/>
      </c>
    </row>
    <row r="1928">
      <c r="A1928">
        <f>Dashboard_Live_Data!AP212</f>
        <v/>
      </c>
      <c r="B1928">
        <f>Dashboard_Live_Data!AQ212</f>
        <v/>
      </c>
      <c r="C1928">
        <f>Dashboard_Live_Data!AR212</f>
        <v/>
      </c>
      <c r="D1928">
        <f>Dashboard_Live_Data!AS212</f>
        <v/>
      </c>
      <c r="E1928">
        <f>Dashboard_Live_Data!AT212</f>
        <v/>
      </c>
      <c r="F1928">
        <f>Dashboard_Live_Data!AU212</f>
        <v/>
      </c>
      <c r="G1928">
        <f>Dashboard_Live_Data!AV212</f>
        <v/>
      </c>
      <c r="H1928">
        <f>Dashboard_Live_Data!AW212</f>
        <v/>
      </c>
    </row>
    <row r="1929">
      <c r="A1929">
        <f>Dashboard_Live_Data!AP213</f>
        <v/>
      </c>
      <c r="B1929">
        <f>Dashboard_Live_Data!AQ213</f>
        <v/>
      </c>
      <c r="C1929">
        <f>Dashboard_Live_Data!AR213</f>
        <v/>
      </c>
      <c r="D1929">
        <f>Dashboard_Live_Data!AS213</f>
        <v/>
      </c>
      <c r="E1929">
        <f>Dashboard_Live_Data!AT213</f>
        <v/>
      </c>
      <c r="F1929">
        <f>Dashboard_Live_Data!AU213</f>
        <v/>
      </c>
      <c r="G1929">
        <f>Dashboard_Live_Data!AV213</f>
        <v/>
      </c>
      <c r="H1929">
        <f>Dashboard_Live_Data!AW213</f>
        <v/>
      </c>
    </row>
    <row r="1930">
      <c r="A1930">
        <f>Dashboard_Live_Data!AP214</f>
        <v/>
      </c>
      <c r="B1930">
        <f>Dashboard_Live_Data!AQ214</f>
        <v/>
      </c>
      <c r="C1930">
        <f>Dashboard_Live_Data!AR214</f>
        <v/>
      </c>
      <c r="D1930">
        <f>Dashboard_Live_Data!AS214</f>
        <v/>
      </c>
      <c r="E1930">
        <f>Dashboard_Live_Data!AT214</f>
        <v/>
      </c>
      <c r="F1930">
        <f>Dashboard_Live_Data!AU214</f>
        <v/>
      </c>
      <c r="G1930">
        <f>Dashboard_Live_Data!AV214</f>
        <v/>
      </c>
      <c r="H1930">
        <f>Dashboard_Live_Data!AW214</f>
        <v/>
      </c>
    </row>
    <row r="1931">
      <c r="A1931">
        <f>Dashboard_Live_Data!AP215</f>
        <v/>
      </c>
      <c r="B1931">
        <f>Dashboard_Live_Data!AQ215</f>
        <v/>
      </c>
      <c r="C1931">
        <f>Dashboard_Live_Data!AR215</f>
        <v/>
      </c>
      <c r="D1931">
        <f>Dashboard_Live_Data!AS215</f>
        <v/>
      </c>
      <c r="E1931">
        <f>Dashboard_Live_Data!AT215</f>
        <v/>
      </c>
      <c r="F1931">
        <f>Dashboard_Live_Data!AU215</f>
        <v/>
      </c>
      <c r="G1931">
        <f>Dashboard_Live_Data!AV215</f>
        <v/>
      </c>
      <c r="H1931">
        <f>Dashboard_Live_Data!AW215</f>
        <v/>
      </c>
    </row>
    <row r="1932">
      <c r="A1932">
        <f>Dashboard_Live_Data!AP216</f>
        <v/>
      </c>
      <c r="B1932">
        <f>Dashboard_Live_Data!AQ216</f>
        <v/>
      </c>
      <c r="C1932">
        <f>Dashboard_Live_Data!AR216</f>
        <v/>
      </c>
      <c r="D1932">
        <f>Dashboard_Live_Data!AS216</f>
        <v/>
      </c>
      <c r="E1932">
        <f>Dashboard_Live_Data!AT216</f>
        <v/>
      </c>
      <c r="F1932">
        <f>Dashboard_Live_Data!AU216</f>
        <v/>
      </c>
      <c r="G1932">
        <f>Dashboard_Live_Data!AV216</f>
        <v/>
      </c>
      <c r="H1932">
        <f>Dashboard_Live_Data!AW216</f>
        <v/>
      </c>
    </row>
    <row r="1933">
      <c r="A1933">
        <f>Dashboard_Live_Data!AP217</f>
        <v/>
      </c>
      <c r="B1933">
        <f>Dashboard_Live_Data!AQ217</f>
        <v/>
      </c>
      <c r="C1933">
        <f>Dashboard_Live_Data!AR217</f>
        <v/>
      </c>
      <c r="D1933">
        <f>Dashboard_Live_Data!AS217</f>
        <v/>
      </c>
      <c r="E1933">
        <f>Dashboard_Live_Data!AT217</f>
        <v/>
      </c>
      <c r="F1933">
        <f>Dashboard_Live_Data!AU217</f>
        <v/>
      </c>
      <c r="G1933">
        <f>Dashboard_Live_Data!AV217</f>
        <v/>
      </c>
      <c r="H1933">
        <f>Dashboard_Live_Data!AW217</f>
        <v/>
      </c>
    </row>
    <row r="1934">
      <c r="A1934">
        <f>Dashboard_Live_Data!AP218</f>
        <v/>
      </c>
      <c r="B1934">
        <f>Dashboard_Live_Data!AQ218</f>
        <v/>
      </c>
      <c r="C1934">
        <f>Dashboard_Live_Data!AR218</f>
        <v/>
      </c>
      <c r="D1934">
        <f>Dashboard_Live_Data!AS218</f>
        <v/>
      </c>
      <c r="E1934">
        <f>Dashboard_Live_Data!AT218</f>
        <v/>
      </c>
      <c r="F1934">
        <f>Dashboard_Live_Data!AU218</f>
        <v/>
      </c>
      <c r="G1934">
        <f>Dashboard_Live_Data!AV218</f>
        <v/>
      </c>
      <c r="H1934">
        <f>Dashboard_Live_Data!AW218</f>
        <v/>
      </c>
    </row>
    <row r="1935">
      <c r="A1935">
        <f>Dashboard_Live_Data!AP219</f>
        <v/>
      </c>
      <c r="B1935">
        <f>Dashboard_Live_Data!AQ219</f>
        <v/>
      </c>
      <c r="C1935">
        <f>Dashboard_Live_Data!AR219</f>
        <v/>
      </c>
      <c r="D1935">
        <f>Dashboard_Live_Data!AS219</f>
        <v/>
      </c>
      <c r="E1935">
        <f>Dashboard_Live_Data!AT219</f>
        <v/>
      </c>
      <c r="F1935">
        <f>Dashboard_Live_Data!AU219</f>
        <v/>
      </c>
      <c r="G1935">
        <f>Dashboard_Live_Data!AV219</f>
        <v/>
      </c>
      <c r="H1935">
        <f>Dashboard_Live_Data!AW219</f>
        <v/>
      </c>
    </row>
    <row r="1936">
      <c r="A1936">
        <f>Dashboard_Live_Data!AP220</f>
        <v/>
      </c>
      <c r="B1936">
        <f>Dashboard_Live_Data!AQ220</f>
        <v/>
      </c>
      <c r="C1936">
        <f>Dashboard_Live_Data!AR220</f>
        <v/>
      </c>
      <c r="D1936">
        <f>Dashboard_Live_Data!AS220</f>
        <v/>
      </c>
      <c r="E1936">
        <f>Dashboard_Live_Data!AT220</f>
        <v/>
      </c>
      <c r="F1936">
        <f>Dashboard_Live_Data!AU220</f>
        <v/>
      </c>
      <c r="G1936">
        <f>Dashboard_Live_Data!AV220</f>
        <v/>
      </c>
      <c r="H1936">
        <f>Dashboard_Live_Data!AW220</f>
        <v/>
      </c>
    </row>
    <row r="1937">
      <c r="A1937">
        <f>Dashboard_Live_Data!AP221</f>
        <v/>
      </c>
      <c r="B1937">
        <f>Dashboard_Live_Data!AQ221</f>
        <v/>
      </c>
      <c r="C1937">
        <f>Dashboard_Live_Data!AR221</f>
        <v/>
      </c>
      <c r="D1937">
        <f>Dashboard_Live_Data!AS221</f>
        <v/>
      </c>
      <c r="E1937">
        <f>Dashboard_Live_Data!AT221</f>
        <v/>
      </c>
      <c r="F1937">
        <f>Dashboard_Live_Data!AU221</f>
        <v/>
      </c>
      <c r="G1937">
        <f>Dashboard_Live_Data!AV221</f>
        <v/>
      </c>
      <c r="H1937">
        <f>Dashboard_Live_Data!AW221</f>
        <v/>
      </c>
    </row>
    <row r="1938">
      <c r="A1938">
        <f>Dashboard_Live_Data!AP222</f>
        <v/>
      </c>
      <c r="B1938">
        <f>Dashboard_Live_Data!AQ222</f>
        <v/>
      </c>
      <c r="C1938">
        <f>Dashboard_Live_Data!AR222</f>
        <v/>
      </c>
      <c r="D1938">
        <f>Dashboard_Live_Data!AS222</f>
        <v/>
      </c>
      <c r="E1938">
        <f>Dashboard_Live_Data!AT222</f>
        <v/>
      </c>
      <c r="F1938">
        <f>Dashboard_Live_Data!AU222</f>
        <v/>
      </c>
      <c r="G1938">
        <f>Dashboard_Live_Data!AV222</f>
        <v/>
      </c>
      <c r="H1938">
        <f>Dashboard_Live_Data!AW222</f>
        <v/>
      </c>
    </row>
    <row r="1939">
      <c r="A1939">
        <f>Dashboard_Live_Data!AP223</f>
        <v/>
      </c>
      <c r="B1939">
        <f>Dashboard_Live_Data!AQ223</f>
        <v/>
      </c>
      <c r="C1939">
        <f>Dashboard_Live_Data!AR223</f>
        <v/>
      </c>
      <c r="D1939">
        <f>Dashboard_Live_Data!AS223</f>
        <v/>
      </c>
      <c r="E1939">
        <f>Dashboard_Live_Data!AT223</f>
        <v/>
      </c>
      <c r="F1939">
        <f>Dashboard_Live_Data!AU223</f>
        <v/>
      </c>
      <c r="G1939">
        <f>Dashboard_Live_Data!AV223</f>
        <v/>
      </c>
      <c r="H1939">
        <f>Dashboard_Live_Data!AW223</f>
        <v/>
      </c>
    </row>
    <row r="1940">
      <c r="A1940">
        <f>Dashboard_Live_Data!AP224</f>
        <v/>
      </c>
      <c r="B1940">
        <f>Dashboard_Live_Data!AQ224</f>
        <v/>
      </c>
      <c r="C1940">
        <f>Dashboard_Live_Data!AR224</f>
        <v/>
      </c>
      <c r="D1940">
        <f>Dashboard_Live_Data!AS224</f>
        <v/>
      </c>
      <c r="E1940">
        <f>Dashboard_Live_Data!AT224</f>
        <v/>
      </c>
      <c r="F1940">
        <f>Dashboard_Live_Data!AU224</f>
        <v/>
      </c>
      <c r="G1940">
        <f>Dashboard_Live_Data!AV224</f>
        <v/>
      </c>
      <c r="H1940">
        <f>Dashboard_Live_Data!AW224</f>
        <v/>
      </c>
    </row>
    <row r="1941">
      <c r="A1941">
        <f>Dashboard_Live_Data!AP225</f>
        <v/>
      </c>
      <c r="B1941">
        <f>Dashboard_Live_Data!AQ225</f>
        <v/>
      </c>
      <c r="C1941">
        <f>Dashboard_Live_Data!AR225</f>
        <v/>
      </c>
      <c r="D1941">
        <f>Dashboard_Live_Data!AS225</f>
        <v/>
      </c>
      <c r="E1941">
        <f>Dashboard_Live_Data!AT225</f>
        <v/>
      </c>
      <c r="F1941">
        <f>Dashboard_Live_Data!AU225</f>
        <v/>
      </c>
      <c r="G1941">
        <f>Dashboard_Live_Data!AV225</f>
        <v/>
      </c>
      <c r="H1941">
        <f>Dashboard_Live_Data!AW225</f>
        <v/>
      </c>
    </row>
    <row r="1942">
      <c r="A1942">
        <f>Dashboard_Live_Data!AP226</f>
        <v/>
      </c>
      <c r="B1942">
        <f>Dashboard_Live_Data!AQ226</f>
        <v/>
      </c>
      <c r="C1942">
        <f>Dashboard_Live_Data!AR226</f>
        <v/>
      </c>
      <c r="D1942">
        <f>Dashboard_Live_Data!AS226</f>
        <v/>
      </c>
      <c r="E1942">
        <f>Dashboard_Live_Data!AT226</f>
        <v/>
      </c>
      <c r="F1942">
        <f>Dashboard_Live_Data!AU226</f>
        <v/>
      </c>
      <c r="G1942">
        <f>Dashboard_Live_Data!AV226</f>
        <v/>
      </c>
      <c r="H1942">
        <f>Dashboard_Live_Data!AW226</f>
        <v/>
      </c>
    </row>
    <row r="1943">
      <c r="A1943">
        <f>Dashboard_Live_Data!AP227</f>
        <v/>
      </c>
      <c r="B1943">
        <f>Dashboard_Live_Data!AQ227</f>
        <v/>
      </c>
      <c r="C1943">
        <f>Dashboard_Live_Data!AR227</f>
        <v/>
      </c>
      <c r="D1943">
        <f>Dashboard_Live_Data!AS227</f>
        <v/>
      </c>
      <c r="E1943">
        <f>Dashboard_Live_Data!AT227</f>
        <v/>
      </c>
      <c r="F1943">
        <f>Dashboard_Live_Data!AU227</f>
        <v/>
      </c>
      <c r="G1943">
        <f>Dashboard_Live_Data!AV227</f>
        <v/>
      </c>
      <c r="H1943">
        <f>Dashboard_Live_Data!AW227</f>
        <v/>
      </c>
    </row>
    <row r="1944">
      <c r="A1944">
        <f>Dashboard_Live_Data!AP228</f>
        <v/>
      </c>
      <c r="B1944">
        <f>Dashboard_Live_Data!AQ228</f>
        <v/>
      </c>
      <c r="C1944">
        <f>Dashboard_Live_Data!AR228</f>
        <v/>
      </c>
      <c r="D1944">
        <f>Dashboard_Live_Data!AS228</f>
        <v/>
      </c>
      <c r="E1944">
        <f>Dashboard_Live_Data!AT228</f>
        <v/>
      </c>
      <c r="F1944">
        <f>Dashboard_Live_Data!AU228</f>
        <v/>
      </c>
      <c r="G1944">
        <f>Dashboard_Live_Data!AV228</f>
        <v/>
      </c>
      <c r="H1944">
        <f>Dashboard_Live_Data!AW228</f>
        <v/>
      </c>
    </row>
    <row r="1945">
      <c r="A1945">
        <f>Dashboard_Live_Data!AP229</f>
        <v/>
      </c>
      <c r="B1945">
        <f>Dashboard_Live_Data!AQ229</f>
        <v/>
      </c>
      <c r="C1945">
        <f>Dashboard_Live_Data!AR229</f>
        <v/>
      </c>
      <c r="D1945">
        <f>Dashboard_Live_Data!AS229</f>
        <v/>
      </c>
      <c r="E1945">
        <f>Dashboard_Live_Data!AT229</f>
        <v/>
      </c>
      <c r="F1945">
        <f>Dashboard_Live_Data!AU229</f>
        <v/>
      </c>
      <c r="G1945">
        <f>Dashboard_Live_Data!AV229</f>
        <v/>
      </c>
      <c r="H1945">
        <f>Dashboard_Live_Data!AW229</f>
        <v/>
      </c>
    </row>
    <row r="1946">
      <c r="A1946">
        <f>Dashboard_Live_Data!AP230</f>
        <v/>
      </c>
      <c r="B1946">
        <f>Dashboard_Live_Data!AQ230</f>
        <v/>
      </c>
      <c r="C1946">
        <f>Dashboard_Live_Data!AR230</f>
        <v/>
      </c>
      <c r="D1946">
        <f>Dashboard_Live_Data!AS230</f>
        <v/>
      </c>
      <c r="E1946">
        <f>Dashboard_Live_Data!AT230</f>
        <v/>
      </c>
      <c r="F1946">
        <f>Dashboard_Live_Data!AU230</f>
        <v/>
      </c>
      <c r="G1946">
        <f>Dashboard_Live_Data!AV230</f>
        <v/>
      </c>
      <c r="H1946">
        <f>Dashboard_Live_Data!AW230</f>
        <v/>
      </c>
    </row>
    <row r="1947">
      <c r="A1947">
        <f>Dashboard_Live_Data!AP231</f>
        <v/>
      </c>
      <c r="B1947">
        <f>Dashboard_Live_Data!AQ231</f>
        <v/>
      </c>
      <c r="C1947">
        <f>Dashboard_Live_Data!AR231</f>
        <v/>
      </c>
      <c r="D1947">
        <f>Dashboard_Live_Data!AS231</f>
        <v/>
      </c>
      <c r="E1947">
        <f>Dashboard_Live_Data!AT231</f>
        <v/>
      </c>
      <c r="F1947">
        <f>Dashboard_Live_Data!AU231</f>
        <v/>
      </c>
      <c r="G1947">
        <f>Dashboard_Live_Data!AV231</f>
        <v/>
      </c>
      <c r="H1947">
        <f>Dashboard_Live_Data!AW231</f>
        <v/>
      </c>
    </row>
    <row r="1948">
      <c r="A1948">
        <f>Dashboard_Live_Data!AP232</f>
        <v/>
      </c>
      <c r="B1948">
        <f>Dashboard_Live_Data!AQ232</f>
        <v/>
      </c>
      <c r="C1948">
        <f>Dashboard_Live_Data!AR232</f>
        <v/>
      </c>
      <c r="D1948">
        <f>Dashboard_Live_Data!AS232</f>
        <v/>
      </c>
      <c r="E1948">
        <f>Dashboard_Live_Data!AT232</f>
        <v/>
      </c>
      <c r="F1948">
        <f>Dashboard_Live_Data!AU232</f>
        <v/>
      </c>
      <c r="G1948">
        <f>Dashboard_Live_Data!AV232</f>
        <v/>
      </c>
      <c r="H1948">
        <f>Dashboard_Live_Data!AW232</f>
        <v/>
      </c>
    </row>
    <row r="1949">
      <c r="A1949">
        <f>Dashboard_Live_Data!AP233</f>
        <v/>
      </c>
      <c r="B1949">
        <f>Dashboard_Live_Data!AQ233</f>
        <v/>
      </c>
      <c r="C1949">
        <f>Dashboard_Live_Data!AR233</f>
        <v/>
      </c>
      <c r="D1949">
        <f>Dashboard_Live_Data!AS233</f>
        <v/>
      </c>
      <c r="E1949">
        <f>Dashboard_Live_Data!AT233</f>
        <v/>
      </c>
      <c r="F1949">
        <f>Dashboard_Live_Data!AU233</f>
        <v/>
      </c>
      <c r="G1949">
        <f>Dashboard_Live_Data!AV233</f>
        <v/>
      </c>
      <c r="H1949">
        <f>Dashboard_Live_Data!AW233</f>
        <v/>
      </c>
    </row>
    <row r="1950">
      <c r="A1950">
        <f>Dashboard_Live_Data!AP234</f>
        <v/>
      </c>
      <c r="B1950">
        <f>Dashboard_Live_Data!AQ234</f>
        <v/>
      </c>
      <c r="C1950">
        <f>Dashboard_Live_Data!AR234</f>
        <v/>
      </c>
      <c r="D1950">
        <f>Dashboard_Live_Data!AS234</f>
        <v/>
      </c>
      <c r="E1950">
        <f>Dashboard_Live_Data!AT234</f>
        <v/>
      </c>
      <c r="F1950">
        <f>Dashboard_Live_Data!AU234</f>
        <v/>
      </c>
      <c r="G1950">
        <f>Dashboard_Live_Data!AV234</f>
        <v/>
      </c>
      <c r="H1950">
        <f>Dashboard_Live_Data!AW234</f>
        <v/>
      </c>
    </row>
    <row r="1951">
      <c r="A1951">
        <f>Dashboard_Live_Data!AP235</f>
        <v/>
      </c>
      <c r="B1951">
        <f>Dashboard_Live_Data!AQ235</f>
        <v/>
      </c>
      <c r="C1951">
        <f>Dashboard_Live_Data!AR235</f>
        <v/>
      </c>
      <c r="D1951">
        <f>Dashboard_Live_Data!AS235</f>
        <v/>
      </c>
      <c r="E1951">
        <f>Dashboard_Live_Data!AT235</f>
        <v/>
      </c>
      <c r="F1951">
        <f>Dashboard_Live_Data!AU235</f>
        <v/>
      </c>
      <c r="G1951">
        <f>Dashboard_Live_Data!AV235</f>
        <v/>
      </c>
      <c r="H1951">
        <f>Dashboard_Live_Data!AW235</f>
        <v/>
      </c>
    </row>
    <row r="1952">
      <c r="A1952">
        <f>Dashboard_Live_Data!AP236</f>
        <v/>
      </c>
      <c r="B1952">
        <f>Dashboard_Live_Data!AQ236</f>
        <v/>
      </c>
      <c r="C1952">
        <f>Dashboard_Live_Data!AR236</f>
        <v/>
      </c>
      <c r="D1952">
        <f>Dashboard_Live_Data!AS236</f>
        <v/>
      </c>
      <c r="E1952">
        <f>Dashboard_Live_Data!AT236</f>
        <v/>
      </c>
      <c r="F1952">
        <f>Dashboard_Live_Data!AU236</f>
        <v/>
      </c>
      <c r="G1952">
        <f>Dashboard_Live_Data!AV236</f>
        <v/>
      </c>
      <c r="H1952">
        <f>Dashboard_Live_Data!AW236</f>
        <v/>
      </c>
    </row>
    <row r="1953">
      <c r="A1953">
        <f>Dashboard_Live_Data!AP237</f>
        <v/>
      </c>
      <c r="B1953">
        <f>Dashboard_Live_Data!AQ237</f>
        <v/>
      </c>
      <c r="C1953">
        <f>Dashboard_Live_Data!AR237</f>
        <v/>
      </c>
      <c r="D1953">
        <f>Dashboard_Live_Data!AS237</f>
        <v/>
      </c>
      <c r="E1953">
        <f>Dashboard_Live_Data!AT237</f>
        <v/>
      </c>
      <c r="F1953">
        <f>Dashboard_Live_Data!AU237</f>
        <v/>
      </c>
      <c r="G1953">
        <f>Dashboard_Live_Data!AV237</f>
        <v/>
      </c>
      <c r="H1953">
        <f>Dashboard_Live_Data!AW237</f>
        <v/>
      </c>
    </row>
    <row r="1954">
      <c r="A1954">
        <f>Dashboard_Live_Data!AP238</f>
        <v/>
      </c>
      <c r="B1954">
        <f>Dashboard_Live_Data!AQ238</f>
        <v/>
      </c>
      <c r="C1954">
        <f>Dashboard_Live_Data!AR238</f>
        <v/>
      </c>
      <c r="D1954">
        <f>Dashboard_Live_Data!AS238</f>
        <v/>
      </c>
      <c r="E1954">
        <f>Dashboard_Live_Data!AT238</f>
        <v/>
      </c>
      <c r="F1954">
        <f>Dashboard_Live_Data!AU238</f>
        <v/>
      </c>
      <c r="G1954">
        <f>Dashboard_Live_Data!AV238</f>
        <v/>
      </c>
      <c r="H1954">
        <f>Dashboard_Live_Data!AW238</f>
        <v/>
      </c>
    </row>
    <row r="1955">
      <c r="A1955">
        <f>Dashboard_Live_Data!AP239</f>
        <v/>
      </c>
      <c r="B1955">
        <f>Dashboard_Live_Data!AQ239</f>
        <v/>
      </c>
      <c r="C1955">
        <f>Dashboard_Live_Data!AR239</f>
        <v/>
      </c>
      <c r="D1955">
        <f>Dashboard_Live_Data!AS239</f>
        <v/>
      </c>
      <c r="E1955">
        <f>Dashboard_Live_Data!AT239</f>
        <v/>
      </c>
      <c r="F1955">
        <f>Dashboard_Live_Data!AU239</f>
        <v/>
      </c>
      <c r="G1955">
        <f>Dashboard_Live_Data!AV239</f>
        <v/>
      </c>
      <c r="H1955">
        <f>Dashboard_Live_Data!AW239</f>
        <v/>
      </c>
    </row>
    <row r="1956">
      <c r="A1956">
        <f>Dashboard_Live_Data!AP240</f>
        <v/>
      </c>
      <c r="B1956">
        <f>Dashboard_Live_Data!AQ240</f>
        <v/>
      </c>
      <c r="C1956">
        <f>Dashboard_Live_Data!AR240</f>
        <v/>
      </c>
      <c r="D1956">
        <f>Dashboard_Live_Data!AS240</f>
        <v/>
      </c>
      <c r="E1956">
        <f>Dashboard_Live_Data!AT240</f>
        <v/>
      </c>
      <c r="F1956">
        <f>Dashboard_Live_Data!AU240</f>
        <v/>
      </c>
      <c r="G1956">
        <f>Dashboard_Live_Data!AV240</f>
        <v/>
      </c>
      <c r="H1956">
        <f>Dashboard_Live_Data!AW240</f>
        <v/>
      </c>
    </row>
    <row r="1957">
      <c r="A1957">
        <f>Dashboard_Live_Data!AP241</f>
        <v/>
      </c>
      <c r="B1957">
        <f>Dashboard_Live_Data!AQ241</f>
        <v/>
      </c>
      <c r="C1957">
        <f>Dashboard_Live_Data!AR241</f>
        <v/>
      </c>
      <c r="D1957">
        <f>Dashboard_Live_Data!AS241</f>
        <v/>
      </c>
      <c r="E1957">
        <f>Dashboard_Live_Data!AT241</f>
        <v/>
      </c>
      <c r="F1957">
        <f>Dashboard_Live_Data!AU241</f>
        <v/>
      </c>
      <c r="G1957">
        <f>Dashboard_Live_Data!AV241</f>
        <v/>
      </c>
      <c r="H1957">
        <f>Dashboard_Live_Data!AW241</f>
        <v/>
      </c>
    </row>
    <row r="1958">
      <c r="A1958">
        <f>Dashboard_Live_Data!AP242</f>
        <v/>
      </c>
      <c r="B1958">
        <f>Dashboard_Live_Data!AQ242</f>
        <v/>
      </c>
      <c r="C1958">
        <f>Dashboard_Live_Data!AR242</f>
        <v/>
      </c>
      <c r="D1958">
        <f>Dashboard_Live_Data!AS242</f>
        <v/>
      </c>
      <c r="E1958">
        <f>Dashboard_Live_Data!AT242</f>
        <v/>
      </c>
      <c r="F1958">
        <f>Dashboard_Live_Data!AU242</f>
        <v/>
      </c>
      <c r="G1958">
        <f>Dashboard_Live_Data!AV242</f>
        <v/>
      </c>
      <c r="H1958">
        <f>Dashboard_Live_Data!AW242</f>
        <v/>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N24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8" customWidth="1" min="3" max="3"/>
    <col width="22" customWidth="1" min="4" max="4"/>
    <col width="26" customWidth="1" min="5" max="5"/>
    <col width="25" customWidth="1" min="6" max="6"/>
    <col width="25" customWidth="1" min="7" max="7"/>
    <col width="27" customWidth="1" min="8" max="8"/>
    <col width="24" customWidth="1" min="9" max="9"/>
    <col width="26" customWidth="1" min="10" max="10"/>
    <col width="25" customWidth="1" min="11" max="11"/>
    <col width="23" customWidth="1" min="12" max="12"/>
    <col width="26" customWidth="1" min="13" max="13"/>
    <col width="27" customWidth="1" min="14" max="14"/>
  </cols>
  <sheetData>
    <row r="1">
      <c r="A1" s="46" t="inlineStr">
        <is>
          <t>x_km</t>
        </is>
      </c>
      <c r="B1" s="46" t="inlineStr">
        <is>
          <t>target_y_km</t>
        </is>
      </c>
      <c r="C1" s="46" t="inlineStr">
        <is>
          <t>surface_height_m</t>
        </is>
      </c>
      <c r="D1" s="46" t="inlineStr">
        <is>
          <t>upper_ice_layer_depth_m</t>
        </is>
      </c>
      <c r="E1" s="46" t="inlineStr">
        <is>
          <t>briny_warm_ice_lens_depth_m</t>
        </is>
      </c>
      <c r="F1" s="46" t="inlineStr">
        <is>
          <t>briny_warm_ice_lens_strength_0to1</t>
        </is>
      </c>
      <c r="G1" s="46" t="inlineStr">
        <is>
          <t>ice_ocean_boundary_depth_m</t>
        </is>
      </c>
      <c r="H1" s="46" t="inlineStr">
        <is>
          <t>ice_ocean_boundary_elevation_m</t>
        </is>
      </c>
      <c r="I1" s="46" t="inlineStr">
        <is>
          <t>upper_ice_layer_delay_us</t>
        </is>
      </c>
      <c r="J1" s="46" t="inlineStr">
        <is>
          <t>briny_warm_ice_lens_delay_us</t>
        </is>
      </c>
      <c r="K1" s="46" t="inlineStr">
        <is>
          <t>ice_ocean_boundary_delay_us</t>
        </is>
      </c>
      <c r="L1" s="46" t="inlineStr">
        <is>
          <t>upper_ice_layer_echo_db</t>
        </is>
      </c>
      <c r="M1" s="46" t="inlineStr">
        <is>
          <t>briny_warm_ice_lens_echo_db</t>
        </is>
      </c>
      <c r="N1" s="46" t="inlineStr">
        <is>
          <t>ice_ocean_boundary_echo_db</t>
        </is>
      </c>
    </row>
    <row r="2">
      <c r="A2" s="47" t="n">
        <v>-60</v>
      </c>
      <c r="B2" s="47" t="n">
        <v>25</v>
      </c>
      <c r="C2" s="47" t="n">
        <v>119.426385705041</v>
      </c>
      <c r="D2" s="47" t="n">
        <v>946.6774955196126</v>
      </c>
      <c r="E2" s="47" t="n">
        <v>5589.043116114486</v>
      </c>
      <c r="F2" s="47" t="n">
        <v>0.00145712014535824</v>
      </c>
      <c r="G2" s="47" t="n">
        <v>14538.34347690821</v>
      </c>
      <c r="H2" s="47" t="n">
        <v>-14418.91709120317</v>
      </c>
      <c r="I2" s="47" t="n">
        <v>11.2416833516533</v>
      </c>
      <c r="J2" s="47" t="n">
        <v>66.36922631778673</v>
      </c>
      <c r="K2" s="47" t="n">
        <v>172.6411101969525</v>
      </c>
      <c r="L2" s="47" t="n">
        <v>-11.7040194919353</v>
      </c>
      <c r="M2" s="47" t="n">
        <v>-34.04716352769785</v>
      </c>
      <c r="N2" s="47" t="n">
        <v>-32.21139578190302</v>
      </c>
    </row>
    <row r="3">
      <c r="A3" s="47" t="n">
        <v>-59.5</v>
      </c>
      <c r="B3" s="47" t="n">
        <v>25</v>
      </c>
      <c r="C3" s="47" t="n">
        <v>110.6960649372351</v>
      </c>
      <c r="D3" s="47" t="n">
        <v>946.3905767770618</v>
      </c>
      <c r="E3" s="47" t="n">
        <v>5595.347969399308</v>
      </c>
      <c r="F3" s="47" t="n">
        <v>0.001742310288569502</v>
      </c>
      <c r="G3" s="47" t="n">
        <v>14548.76639119057</v>
      </c>
      <c r="H3" s="47" t="n">
        <v>-14438.07032625334</v>
      </c>
      <c r="I3" s="47" t="n">
        <v>11.23827622550244</v>
      </c>
      <c r="J3" s="47" t="n">
        <v>66.4440957052413</v>
      </c>
      <c r="K3" s="47" t="n">
        <v>172.7648810719529</v>
      </c>
      <c r="L3" s="47" t="n">
        <v>-11.70350303819871</v>
      </c>
      <c r="M3" s="47" t="n">
        <v>-34.05594555232163</v>
      </c>
      <c r="N3" s="47" t="n">
        <v>-32.21655696391954</v>
      </c>
    </row>
    <row r="4">
      <c r="A4" s="47" t="n">
        <v>-59</v>
      </c>
      <c r="B4" s="47" t="n">
        <v>25</v>
      </c>
      <c r="C4" s="47" t="n">
        <v>112.9921942484935</v>
      </c>
      <c r="D4" s="47" t="n">
        <v>948.3058623908514</v>
      </c>
      <c r="E4" s="47" t="n">
        <v>5600.913069660687</v>
      </c>
      <c r="F4" s="47" t="n">
        <v>0.002078116562273741</v>
      </c>
      <c r="G4" s="47" t="n">
        <v>14557.33823698979</v>
      </c>
      <c r="H4" s="47" t="n">
        <v>-14444.3460427413</v>
      </c>
      <c r="I4" s="47" t="n">
        <v>11.26102001575847</v>
      </c>
      <c r="J4" s="47" t="n">
        <v>66.51018061298943</v>
      </c>
      <c r="K4" s="47" t="n">
        <v>172.8666707275326</v>
      </c>
      <c r="L4" s="47" t="n">
        <v>-11.70695055230353</v>
      </c>
      <c r="M4" s="47" t="n">
        <v>-34.06294047632878</v>
      </c>
      <c r="N4" s="47" t="n">
        <v>-32.25443477314056</v>
      </c>
    </row>
    <row r="5">
      <c r="A5" s="47" t="n">
        <v>-58.5</v>
      </c>
      <c r="B5" s="47" t="n">
        <v>25</v>
      </c>
      <c r="C5" s="47" t="n">
        <v>134.3858310571132</v>
      </c>
      <c r="D5" s="47" t="n">
        <v>952.7851094276065</v>
      </c>
      <c r="E5" s="47" t="n">
        <v>5605.728230978824</v>
      </c>
      <c r="F5" s="47" t="n">
        <v>0.002472455990089131</v>
      </c>
      <c r="G5" s="47" t="n">
        <v>14562.90707081556</v>
      </c>
      <c r="H5" s="47" t="n">
        <v>-14428.52123975845</v>
      </c>
      <c r="I5" s="47" t="n">
        <v>11.31421054482391</v>
      </c>
      <c r="J5" s="47" t="n">
        <v>66.56736008443752</v>
      </c>
      <c r="K5" s="47" t="n">
        <v>172.9327999709166</v>
      </c>
      <c r="L5" s="47" t="n">
        <v>-11.71501319696969</v>
      </c>
      <c r="M5" s="47" t="n">
        <v>-34.06805871185108</v>
      </c>
      <c r="N5" s="47" t="n">
        <v>-32.22431011584363</v>
      </c>
    </row>
    <row r="6">
      <c r="A6" s="47" t="n">
        <v>-58</v>
      </c>
      <c r="B6" s="47" t="n">
        <v>25</v>
      </c>
      <c r="C6" s="47" t="n">
        <v>120.0695290678096</v>
      </c>
      <c r="D6" s="47" t="n">
        <v>957.6515045223966</v>
      </c>
      <c r="E6" s="47" t="n">
        <v>5609.784099285287</v>
      </c>
      <c r="F6" s="47" t="n">
        <v>0.002934279637824933</v>
      </c>
      <c r="G6" s="47" t="n">
        <v>14573.12561824274</v>
      </c>
      <c r="H6" s="47" t="n">
        <v>-14453.05608917493</v>
      </c>
      <c r="I6" s="47" t="n">
        <v>11.37199841131338</v>
      </c>
      <c r="J6" s="47" t="n">
        <v>66.61552304112874</v>
      </c>
      <c r="K6" s="47" t="n">
        <v>173.0541440136701</v>
      </c>
      <c r="L6" s="47" t="n">
        <v>-11.72377270814031</v>
      </c>
      <c r="M6" s="47" t="n">
        <v>-34.07120286197309</v>
      </c>
      <c r="N6" s="47" t="n">
        <v>-32.31906363351511</v>
      </c>
    </row>
    <row r="7">
      <c r="A7" s="47" t="n">
        <v>-57.5</v>
      </c>
      <c r="B7" s="47" t="n">
        <v>25</v>
      </c>
      <c r="C7" s="47" t="n">
        <v>138.9015142544575</v>
      </c>
      <c r="D7" s="47" t="n">
        <v>965.650678394155</v>
      </c>
      <c r="E7" s="47" t="n">
        <v>5613.072139305129</v>
      </c>
      <c r="F7" s="47" t="n">
        <v>0.003473671086050251</v>
      </c>
      <c r="G7" s="47" t="n">
        <v>14578.3351405244</v>
      </c>
      <c r="H7" s="47" t="n">
        <v>-14439.43362626995</v>
      </c>
      <c r="I7" s="47" t="n">
        <v>11.4669876554506</v>
      </c>
      <c r="J7" s="47" t="n">
        <v>66.65456812768204</v>
      </c>
      <c r="K7" s="47" t="n">
        <v>173.1160064749423</v>
      </c>
      <c r="L7" s="47" t="n">
        <v>-11.73817122110948</v>
      </c>
      <c r="M7" s="47" t="n">
        <v>-34.07226681097478</v>
      </c>
      <c r="N7" s="47" t="n">
        <v>-32.2782813302555</v>
      </c>
    </row>
    <row r="8">
      <c r="A8" s="47" t="n">
        <v>-57</v>
      </c>
      <c r="B8" s="47" t="n">
        <v>25</v>
      </c>
      <c r="C8" s="47" t="n">
        <v>137.4660472548416</v>
      </c>
      <c r="D8" s="47" t="n">
        <v>974.6127644014157</v>
      </c>
      <c r="E8" s="47" t="n">
        <v>5615.584619153291</v>
      </c>
      <c r="F8" s="47" t="n">
        <v>0.004101948007251427</v>
      </c>
      <c r="G8" s="47" t="n">
        <v>14585.99703021636</v>
      </c>
      <c r="H8" s="47" t="n">
        <v>-14448.53098296152</v>
      </c>
      <c r="I8" s="47" t="n">
        <v>11.57341136737015</v>
      </c>
      <c r="J8" s="47" t="n">
        <v>66.68440352887636</v>
      </c>
      <c r="K8" s="47" t="n">
        <v>173.2069905093151</v>
      </c>
      <c r="L8" s="47" t="n">
        <v>-11.75430297592255</v>
      </c>
      <c r="M8" s="47" t="n">
        <v>-34.07113478241066</v>
      </c>
      <c r="N8" s="47" t="n">
        <v>-32.33325534041793</v>
      </c>
    </row>
    <row r="9">
      <c r="A9" s="47" t="n">
        <v>-56.5</v>
      </c>
      <c r="B9" s="47" t="n">
        <v>25</v>
      </c>
      <c r="C9" s="47" t="n">
        <v>141.4558244940937</v>
      </c>
      <c r="D9" s="47" t="n">
        <v>985.5077447582476</v>
      </c>
      <c r="E9" s="47" t="n">
        <v>5617.314592830874</v>
      </c>
      <c r="F9" s="47" t="n">
        <v>0.004831765769462065</v>
      </c>
      <c r="G9" s="47" t="n">
        <v>14592.49931637025</v>
      </c>
      <c r="H9" s="47" t="n">
        <v>-14451.04349187615</v>
      </c>
      <c r="I9" s="47" t="n">
        <v>11.7027879712016</v>
      </c>
      <c r="J9" s="47" t="n">
        <v>66.70494676179582</v>
      </c>
      <c r="K9" s="47" t="n">
        <v>173.2842043887511</v>
      </c>
      <c r="L9" s="47" t="n">
        <v>-11.77391394056485</v>
      </c>
      <c r="M9" s="47" t="n">
        <v>-34.06768037517041</v>
      </c>
      <c r="N9" s="47" t="n">
        <v>-32.36116923966436</v>
      </c>
    </row>
    <row r="10">
      <c r="A10" s="47" t="n">
        <v>-56</v>
      </c>
      <c r="B10" s="47" t="n">
        <v>25</v>
      </c>
      <c r="C10" s="47" t="n">
        <v>167.115238934812</v>
      </c>
      <c r="D10" s="47" t="n">
        <v>998.9036394936348</v>
      </c>
      <c r="E10" s="47" t="n">
        <v>5618.255880926359</v>
      </c>
      <c r="F10" s="47" t="n">
        <v>0.00567722175025564</v>
      </c>
      <c r="G10" s="47" t="n">
        <v>14595.55464426455</v>
      </c>
      <c r="H10" s="47" t="n">
        <v>-14428.43940532974</v>
      </c>
      <c r="I10" s="47" t="n">
        <v>11.86186263764294</v>
      </c>
      <c r="J10" s="47" t="n">
        <v>66.71612444665915</v>
      </c>
      <c r="K10" s="47" t="n">
        <v>173.3204860463227</v>
      </c>
      <c r="L10" s="47" t="n">
        <v>-11.79802655108854</v>
      </c>
      <c r="M10" s="47" t="n">
        <v>-34.06176558991515</v>
      </c>
      <c r="N10" s="47" t="n">
        <v>-32.28510521916492</v>
      </c>
    </row>
    <row r="11">
      <c r="A11" s="47" t="n">
        <v>-55.5</v>
      </c>
      <c r="B11" s="47" t="n">
        <v>25</v>
      </c>
      <c r="C11" s="47" t="n">
        <v>160.5794310344608</v>
      </c>
      <c r="D11" s="47" t="n">
        <v>1012.540930285338</v>
      </c>
      <c r="E11" s="47" t="n">
        <v>5618.403049889946</v>
      </c>
      <c r="F11" s="47" t="n">
        <v>0.006653958791894301</v>
      </c>
      <c r="G11" s="47" t="n">
        <v>14602.69283930029</v>
      </c>
      <c r="H11" s="47" t="n">
        <v>-14442.11340826583</v>
      </c>
      <c r="I11" s="47" t="n">
        <v>12.02380385371737</v>
      </c>
      <c r="J11" s="47" t="n">
        <v>66.71787206070476</v>
      </c>
      <c r="K11" s="47" t="n">
        <v>173.4052512685593</v>
      </c>
      <c r="L11" s="47" t="n">
        <v>-11.82257367451361</v>
      </c>
      <c r="M11" s="47" t="n">
        <v>-34.05323986067485</v>
      </c>
      <c r="N11" s="47" t="n">
        <v>-32.36628367374324</v>
      </c>
    </row>
    <row r="12">
      <c r="A12" s="47" t="n">
        <v>-55</v>
      </c>
      <c r="B12" s="47" t="n">
        <v>25</v>
      </c>
      <c r="C12" s="47" t="n">
        <v>176.1097635943437</v>
      </c>
      <c r="D12" s="47" t="n">
        <v>1028.463232159448</v>
      </c>
      <c r="E12" s="47" t="n">
        <v>5617.751390315144</v>
      </c>
      <c r="F12" s="47" t="n">
        <v>0.00777926596365537</v>
      </c>
      <c r="G12" s="47" t="n">
        <v>14606.30796626749</v>
      </c>
      <c r="H12" s="47" t="n">
        <v>-14430.19820267315</v>
      </c>
      <c r="I12" s="47" t="n">
        <v>12.21287930628207</v>
      </c>
      <c r="J12" s="47" t="n">
        <v>66.71013368028729</v>
      </c>
      <c r="K12" s="47" t="n">
        <v>173.4481804739474</v>
      </c>
      <c r="L12" s="47" t="n">
        <v>-11.85123381788701</v>
      </c>
      <c r="M12" s="47" t="n">
        <v>-34.04193910889436</v>
      </c>
      <c r="N12" s="47" t="n">
        <v>-32.34021986290472</v>
      </c>
    </row>
    <row r="13">
      <c r="A13" s="47" t="n">
        <v>-54.5</v>
      </c>
      <c r="B13" s="47" t="n">
        <v>25</v>
      </c>
      <c r="C13" s="47" t="n">
        <v>194.4095358082685</v>
      </c>
      <c r="D13" s="47" t="n">
        <v>1045.751546257337</v>
      </c>
      <c r="E13" s="47" t="n">
        <v>5616.29689472948</v>
      </c>
      <c r="F13" s="47" t="n">
        <v>0.009072174525269301</v>
      </c>
      <c r="G13" s="47" t="n">
        <v>14609.09414977491</v>
      </c>
      <c r="H13" s="47" t="n">
        <v>-14414.68461396664</v>
      </c>
      <c r="I13" s="47" t="n">
        <v>12.41817599252654</v>
      </c>
      <c r="J13" s="47" t="n">
        <v>66.69286171714484</v>
      </c>
      <c r="K13" s="47" t="n">
        <v>173.4812660737405</v>
      </c>
      <c r="L13" s="47" t="n">
        <v>-11.88235278326321</v>
      </c>
      <c r="M13" s="47" t="n">
        <v>-34.02768483978564</v>
      </c>
      <c r="N13" s="47" t="n">
        <v>-32.29872620955118</v>
      </c>
    </row>
    <row r="14">
      <c r="A14" s="47" t="n">
        <v>-54</v>
      </c>
      <c r="B14" s="47" t="n">
        <v>25</v>
      </c>
      <c r="C14" s="47" t="n">
        <v>196.396297455627</v>
      </c>
      <c r="D14" s="47" t="n">
        <v>1063.477121982338</v>
      </c>
      <c r="E14" s="47" t="n">
        <v>5614.036235464312</v>
      </c>
      <c r="F14" s="47" t="n">
        <v>0.01055354671133019</v>
      </c>
      <c r="G14" s="47" t="n">
        <v>14613.71746526024</v>
      </c>
      <c r="H14" s="47" t="n">
        <v>-14417.32116780461</v>
      </c>
      <c r="I14" s="47" t="n">
        <v>12.62866510890385</v>
      </c>
      <c r="J14" s="47" t="n">
        <v>66.66601665560563</v>
      </c>
      <c r="K14" s="47" t="n">
        <v>173.5361673986023</v>
      </c>
      <c r="L14" s="47" t="n">
        <v>-11.91425881956821</v>
      </c>
      <c r="M14" s="47" t="n">
        <v>-34.01028330343379</v>
      </c>
      <c r="N14" s="47" t="n">
        <v>-32.33552945029404</v>
      </c>
    </row>
    <row r="15">
      <c r="A15" s="47" t="n">
        <v>-53.5</v>
      </c>
      <c r="B15" s="47" t="n">
        <v>25</v>
      </c>
      <c r="C15" s="47" t="n">
        <v>215.0450449749406</v>
      </c>
      <c r="D15" s="47" t="n">
        <v>1082.777467418867</v>
      </c>
      <c r="E15" s="47" t="n">
        <v>5610.966743240949</v>
      </c>
      <c r="F15" s="47" t="n">
        <v>0.0122461546868014</v>
      </c>
      <c r="G15" s="47" t="n">
        <v>14615.55790110156</v>
      </c>
      <c r="H15" s="47" t="n">
        <v>-14400.51285612662</v>
      </c>
      <c r="I15" s="47" t="n">
        <v>12.85785442945055</v>
      </c>
      <c r="J15" s="47" t="n">
        <v>66.62956679830077</v>
      </c>
      <c r="K15" s="47" t="n">
        <v>173.5580223566584</v>
      </c>
      <c r="L15" s="47" t="n">
        <v>-11.94899944135396</v>
      </c>
      <c r="M15" s="47" t="n">
        <v>-33.9895247456525</v>
      </c>
      <c r="N15" s="47" t="n">
        <v>-32.32488582660324</v>
      </c>
    </row>
    <row r="16">
      <c r="A16" s="47" t="n">
        <v>-53</v>
      </c>
      <c r="B16" s="47" t="n">
        <v>25</v>
      </c>
      <c r="C16" s="47" t="n">
        <v>220.2786366784253</v>
      </c>
      <c r="D16" s="47" t="n">
        <v>1102.254523465439</v>
      </c>
      <c r="E16" s="47" t="n">
        <v>5607.086387174617</v>
      </c>
      <c r="F16" s="47" t="n">
        <v>0.01417474676561445</v>
      </c>
      <c r="G16" s="47" t="n">
        <v>14618.82470459141</v>
      </c>
      <c r="H16" s="47" t="n">
        <v>-14398.54606791298</v>
      </c>
      <c r="I16" s="47" t="n">
        <v>13.08914216760237</v>
      </c>
      <c r="J16" s="47" t="n">
        <v>66.58348802871365</v>
      </c>
      <c r="K16" s="47" t="n">
        <v>173.5968152619284</v>
      </c>
      <c r="L16" s="47" t="n">
        <v>-11.98405814223779</v>
      </c>
      <c r="M16" s="47" t="n">
        <v>-33.96518277602378</v>
      </c>
      <c r="N16" s="47" t="n">
        <v>-32.31980815652911</v>
      </c>
    </row>
    <row r="17">
      <c r="A17" s="47" t="n">
        <v>-52.5</v>
      </c>
      <c r="B17" s="47" t="n">
        <v>25</v>
      </c>
      <c r="C17" s="47" t="n">
        <v>228.4857118671839</v>
      </c>
      <c r="D17" s="47" t="n">
        <v>1122.35817003445</v>
      </c>
      <c r="E17" s="47" t="n">
        <v>5602.393756957393</v>
      </c>
      <c r="F17" s="47" t="n">
        <v>0.01636609774605335</v>
      </c>
      <c r="G17" s="47" t="n">
        <v>14621.22387189913</v>
      </c>
      <c r="H17" s="47" t="n">
        <v>-14392.73816003194</v>
      </c>
      <c r="I17" s="47" t="n">
        <v>13.32787059413831</v>
      </c>
      <c r="J17" s="47" t="n">
        <v>66.52776359960436</v>
      </c>
      <c r="K17" s="47" t="n">
        <v>173.6253050900997</v>
      </c>
      <c r="L17" s="47" t="n">
        <v>-12.02024470606201</v>
      </c>
      <c r="M17" s="47" t="n">
        <v>-33.93701388280883</v>
      </c>
      <c r="N17" s="47" t="n">
        <v>-32.32732348905003</v>
      </c>
    </row>
    <row r="18">
      <c r="A18" s="47" t="n">
        <v>-52</v>
      </c>
      <c r="B18" s="47" t="n">
        <v>25</v>
      </c>
      <c r="C18" s="47" t="n">
        <v>241.2439232793892</v>
      </c>
      <c r="D18" s="47" t="n">
        <v>1142.938129446044</v>
      </c>
      <c r="E18" s="47" t="n">
        <v>5596.888048033917</v>
      </c>
      <c r="F18" s="47" t="n">
        <v>0.01884904000715178</v>
      </c>
      <c r="G18" s="47" t="n">
        <v>14622.53688870754</v>
      </c>
      <c r="H18" s="47" t="n">
        <v>-14381.29296542815</v>
      </c>
      <c r="I18" s="47" t="n">
        <v>13.57225517937452</v>
      </c>
      <c r="J18" s="47" t="n">
        <v>66.46238395697314</v>
      </c>
      <c r="K18" s="47" t="n">
        <v>173.6408970094867</v>
      </c>
      <c r="L18" s="47" t="n">
        <v>-12.05728863300288</v>
      </c>
      <c r="M18" s="47" t="n">
        <v>-33.90475712639669</v>
      </c>
      <c r="N18" s="47" t="n">
        <v>-32.35797666985547</v>
      </c>
    </row>
    <row r="19">
      <c r="A19" s="47" t="n">
        <v>-51.5</v>
      </c>
      <c r="B19" s="47" t="n">
        <v>25</v>
      </c>
      <c r="C19" s="47" t="n">
        <v>261.3961473371179</v>
      </c>
      <c r="D19" s="47" t="n">
        <v>1163.890122985942</v>
      </c>
      <c r="E19" s="47" t="n">
        <v>5590.5690506271</v>
      </c>
      <c r="F19" s="47" t="n">
        <v>0.02165447183943173</v>
      </c>
      <c r="G19" s="47" t="n">
        <v>14622.37004851927</v>
      </c>
      <c r="H19" s="47" t="n">
        <v>-14360.97390118215</v>
      </c>
      <c r="I19" s="47" t="n">
        <v>13.82105762590583</v>
      </c>
      <c r="J19" s="47" t="n">
        <v>66.38734660974185</v>
      </c>
      <c r="K19" s="47" t="n">
        <v>173.6389158019732</v>
      </c>
      <c r="L19" s="47" t="n">
        <v>-12.0950022213747</v>
      </c>
      <c r="M19" s="47" t="n">
        <v>-33.86813404457389</v>
      </c>
      <c r="N19" s="47" t="n">
        <v>-32.42421117975834</v>
      </c>
    </row>
    <row r="20">
      <c r="A20" s="47" t="n">
        <v>-51</v>
      </c>
      <c r="B20" s="47" t="n">
        <v>25</v>
      </c>
      <c r="C20" s="47" t="n">
        <v>251.9673282751754</v>
      </c>
      <c r="D20" s="47" t="n">
        <v>1183.515733819102</v>
      </c>
      <c r="E20" s="47" t="n">
        <v>5583.437143502679</v>
      </c>
      <c r="F20" s="47" t="n">
        <v>0.02481533936122231</v>
      </c>
      <c r="G20" s="47" t="n">
        <v>14625.90607681586</v>
      </c>
      <c r="H20" s="47" t="n">
        <v>-14373.93874854069</v>
      </c>
      <c r="I20" s="47" t="n">
        <v>14.05410943458759</v>
      </c>
      <c r="J20" s="47" t="n">
        <v>66.30265605570884</v>
      </c>
      <c r="K20" s="47" t="n">
        <v>173.6809057199981</v>
      </c>
      <c r="L20" s="47" t="n">
        <v>-12.13032832087438</v>
      </c>
      <c r="M20" s="47" t="n">
        <v>-33.82684880405382</v>
      </c>
      <c r="N20" s="47" t="n">
        <v>-32.36292961133974</v>
      </c>
    </row>
    <row r="21">
      <c r="A21" s="47" t="n">
        <v>-50.5</v>
      </c>
      <c r="B21" s="47" t="n">
        <v>25</v>
      </c>
      <c r="C21" s="47" t="n">
        <v>249.7278681271985</v>
      </c>
      <c r="D21" s="47" t="n">
        <v>1203.068158205107</v>
      </c>
      <c r="E21" s="47" t="n">
        <v>5575.493293378915</v>
      </c>
      <c r="F21" s="47" t="n">
        <v>0.02836658830905976</v>
      </c>
      <c r="G21" s="47" t="n">
        <v>14628.0052334422</v>
      </c>
      <c r="H21" s="47" t="n">
        <v>-14378.277365315</v>
      </c>
      <c r="I21" s="47" t="n">
        <v>14.28629216286081</v>
      </c>
      <c r="J21" s="47" t="n">
        <v>66.20832377453918</v>
      </c>
      <c r="K21" s="47" t="n">
        <v>173.7058329567925</v>
      </c>
      <c r="L21" s="47" t="n">
        <v>-12.16552268476919</v>
      </c>
      <c r="M21" s="47" t="n">
        <v>-33.78058863330051</v>
      </c>
      <c r="N21" s="47" t="n">
        <v>-32.33614450878287</v>
      </c>
    </row>
    <row r="22">
      <c r="A22" s="47" t="n">
        <v>-50</v>
      </c>
      <c r="B22" s="47" t="n">
        <v>25</v>
      </c>
      <c r="C22" s="47" t="n">
        <v>273.7150409905238</v>
      </c>
      <c r="D22" s="47" t="n">
        <v>1223.096249125984</v>
      </c>
      <c r="E22" s="47" t="n">
        <v>5566.739060888317</v>
      </c>
      <c r="F22" s="47" t="n">
        <v>0.03234508199786936</v>
      </c>
      <c r="G22" s="47" t="n">
        <v>14626.01228630001</v>
      </c>
      <c r="H22" s="47" t="n">
        <v>-14352.29724530949</v>
      </c>
      <c r="I22" s="47" t="n">
        <v>14.52412337500666</v>
      </c>
      <c r="J22" s="47" t="n">
        <v>66.10436829855944</v>
      </c>
      <c r="K22" s="47" t="n">
        <v>173.6821669450672</v>
      </c>
      <c r="L22" s="47" t="n">
        <v>-12.20157324842677</v>
      </c>
      <c r="M22" s="47" t="n">
        <v>-33.72902457161815</v>
      </c>
      <c r="N22" s="47" t="n">
        <v>-32.43096692625492</v>
      </c>
    </row>
    <row r="23">
      <c r="A23" s="47" t="n">
        <v>-49.5</v>
      </c>
      <c r="B23" s="47" t="n">
        <v>25</v>
      </c>
      <c r="C23" s="47" t="n">
        <v>258.9174842564</v>
      </c>
      <c r="D23" s="47" t="n">
        <v>1240.79499991252</v>
      </c>
      <c r="E23" s="47" t="n">
        <v>5557.17661397957</v>
      </c>
      <c r="F23" s="47" t="n">
        <v>0.03678948183408114</v>
      </c>
      <c r="G23" s="47" t="n">
        <v>14629.04064905115</v>
      </c>
      <c r="H23" s="47" t="n">
        <v>-14370.12316479474</v>
      </c>
      <c r="I23" s="47" t="n">
        <v>14.73429394841071</v>
      </c>
      <c r="J23" s="47" t="n">
        <v>65.99081537190395</v>
      </c>
      <c r="K23" s="47" t="n">
        <v>173.7181283947513</v>
      </c>
      <c r="L23" s="47" t="n">
        <v>-12.23343099984254</v>
      </c>
      <c r="M23" s="47" t="n">
        <v>-33.67181256865649</v>
      </c>
      <c r="N23" s="47" t="n">
        <v>-32.36056443732605</v>
      </c>
    </row>
    <row r="24">
      <c r="A24" s="47" t="n">
        <v>-49</v>
      </c>
      <c r="B24" s="47" t="n">
        <v>25</v>
      </c>
      <c r="C24" s="47" t="n">
        <v>268.7927966209265</v>
      </c>
      <c r="D24" s="47" t="n">
        <v>1258.509216033515</v>
      </c>
      <c r="E24" s="47" t="n">
        <v>5546.808749607553</v>
      </c>
      <c r="F24" s="47" t="n">
        <v>0.04174008694223705</v>
      </c>
      <c r="G24" s="47" t="n">
        <v>14628.21987874668</v>
      </c>
      <c r="H24" s="47" t="n">
        <v>-14359.42708212575</v>
      </c>
      <c r="I24" s="47" t="n">
        <v>14.94464817083328</v>
      </c>
      <c r="J24" s="47" t="n">
        <v>65.86769820808131</v>
      </c>
      <c r="K24" s="47" t="n">
        <v>173.7083818444097</v>
      </c>
      <c r="L24" s="47" t="n">
        <v>-12.26531658886033</v>
      </c>
      <c r="M24" s="47" t="n">
        <v>-33.60859496681346</v>
      </c>
      <c r="N24" s="47" t="n">
        <v>-32.40651758991483</v>
      </c>
    </row>
    <row r="25">
      <c r="A25" s="47" t="n">
        <v>-48.5</v>
      </c>
      <c r="B25" s="47" t="n">
        <v>25</v>
      </c>
      <c r="C25" s="47" t="n">
        <v>265.4824606971452</v>
      </c>
      <c r="D25" s="47" t="n">
        <v>1274.5448931869</v>
      </c>
      <c r="E25" s="47" t="n">
        <v>5535.638924495328</v>
      </c>
      <c r="F25" s="47" t="n">
        <v>0.0472386297417321</v>
      </c>
      <c r="G25" s="47" t="n">
        <v>14628.86554299087</v>
      </c>
      <c r="H25" s="47" t="n">
        <v>-14363.38308229373</v>
      </c>
      <c r="I25" s="47" t="n">
        <v>15.13506994143717</v>
      </c>
      <c r="J25" s="47" t="n">
        <v>65.73505785526922</v>
      </c>
      <c r="K25" s="47" t="n">
        <v>173.716049030985</v>
      </c>
      <c r="L25" s="47" t="n">
        <v>-12.29418080773642</v>
      </c>
      <c r="M25" s="47" t="n">
        <v>-33.539002396416</v>
      </c>
      <c r="N25" s="47" t="n">
        <v>-32.39838865249866</v>
      </c>
    </row>
    <row r="26">
      <c r="A26" s="47" t="n">
        <v>-48</v>
      </c>
      <c r="B26" s="47" t="n">
        <v>25</v>
      </c>
      <c r="C26" s="47" t="n">
        <v>253.6370227527636</v>
      </c>
      <c r="D26" s="47" t="n">
        <v>1288.924771789829</v>
      </c>
      <c r="E26" s="47" t="n">
        <v>5523.671295662431</v>
      </c>
      <c r="F26" s="47" t="n">
        <v>0.05332802469242703</v>
      </c>
      <c r="G26" s="47" t="n">
        <v>14630.34364620319</v>
      </c>
      <c r="H26" s="47" t="n">
        <v>-14376.70662345043</v>
      </c>
      <c r="I26" s="47" t="n">
        <v>15.30582929998789</v>
      </c>
      <c r="J26" s="47" t="n">
        <v>65.59294367758331</v>
      </c>
      <c r="K26" s="47" t="n">
        <v>173.7336013319033</v>
      </c>
      <c r="L26" s="47" t="n">
        <v>-12.32006458922169</v>
      </c>
      <c r="M26" s="47" t="n">
        <v>-33.46265610996053</v>
      </c>
      <c r="N26" s="47" t="n">
        <v>-32.35553310228006</v>
      </c>
    </row>
    <row r="27">
      <c r="A27" s="47" t="n">
        <v>-47.5</v>
      </c>
      <c r="B27" s="47" t="n">
        <v>25</v>
      </c>
      <c r="C27" s="47" t="n">
        <v>262.7548434852893</v>
      </c>
      <c r="D27" s="47" t="n">
        <v>1302.684157443885</v>
      </c>
      <c r="E27" s="47" t="n">
        <v>5510.910771297527</v>
      </c>
      <c r="F27" s="47" t="n">
        <v>0.06005206792152438</v>
      </c>
      <c r="G27" s="47" t="n">
        <v>14628.54315116048</v>
      </c>
      <c r="H27" s="47" t="n">
        <v>-14365.78830767519</v>
      </c>
      <c r="I27" s="47" t="n">
        <v>15.46922037811982</v>
      </c>
      <c r="J27" s="47" t="n">
        <v>65.44141395918372</v>
      </c>
      <c r="K27" s="47" t="n">
        <v>173.7122206661093</v>
      </c>
      <c r="L27" s="47" t="n">
        <v>-12.34483148339899</v>
      </c>
      <c r="M27" s="47" t="n">
        <v>-33.37917077704183</v>
      </c>
      <c r="N27" s="47" t="n">
        <v>-32.40298790567201</v>
      </c>
    </row>
    <row r="28">
      <c r="A28" s="47" t="n">
        <v>-47</v>
      </c>
      <c r="B28" s="47" t="n">
        <v>25</v>
      </c>
      <c r="C28" s="47" t="n">
        <v>253.9148101975453</v>
      </c>
      <c r="D28" s="47" t="n">
        <v>1314.142185008866</v>
      </c>
      <c r="E28" s="47" t="n">
        <v>5497.363072409545</v>
      </c>
      <c r="F28" s="47" t="n">
        <v>0.06745508605265516</v>
      </c>
      <c r="G28" s="47" t="n">
        <v>14628.93334131051</v>
      </c>
      <c r="H28" s="47" t="n">
        <v>-14375.01853111296</v>
      </c>
      <c r="I28" s="47" t="n">
        <v>15.60528310098969</v>
      </c>
      <c r="J28" s="47" t="n">
        <v>65.28053663637522</v>
      </c>
      <c r="K28" s="47" t="n">
        <v>173.7168541280162</v>
      </c>
      <c r="L28" s="47" t="n">
        <v>-12.36545593301596</v>
      </c>
      <c r="M28" s="47" t="n">
        <v>-33.28815775586328</v>
      </c>
      <c r="N28" s="47" t="n">
        <v>-32.38610138090046</v>
      </c>
    </row>
    <row r="29">
      <c r="A29" s="47" t="n">
        <v>-46.5</v>
      </c>
      <c r="B29" s="47" t="n">
        <v>25</v>
      </c>
      <c r="C29" s="47" t="n">
        <v>253.748238320312</v>
      </c>
      <c r="D29" s="47" t="n">
        <v>1324.262303104513</v>
      </c>
      <c r="E29" s="47" t="n">
        <v>5483.034805519655</v>
      </c>
      <c r="F29" s="47" t="n">
        <v>0.0755815332823163</v>
      </c>
      <c r="G29" s="47" t="n">
        <v>14627.80769209857</v>
      </c>
      <c r="H29" s="47" t="n">
        <v>-14374.05945377826</v>
      </c>
      <c r="I29" s="47" t="n">
        <v>15.72545830706678</v>
      </c>
      <c r="J29" s="47" t="n">
        <v>65.11039016081575</v>
      </c>
      <c r="K29" s="47" t="n">
        <v>173.7034871766885</v>
      </c>
      <c r="L29" s="47" t="n">
        <v>-12.38367214558812</v>
      </c>
      <c r="M29" s="47" t="n">
        <v>-33.18922885039453</v>
      </c>
      <c r="N29" s="47" t="n">
        <v>-32.40326372198696</v>
      </c>
    </row>
    <row r="30">
      <c r="A30" s="47" t="n">
        <v>-46</v>
      </c>
      <c r="B30" s="47" t="n">
        <v>25</v>
      </c>
      <c r="C30" s="47" t="n">
        <v>237.4046951101087</v>
      </c>
      <c r="D30" s="47" t="n">
        <v>1331.972142316038</v>
      </c>
      <c r="E30" s="47" t="n">
        <v>5467.933546457481</v>
      </c>
      <c r="F30" s="47" t="n">
        <v>0.08447553658641699</v>
      </c>
      <c r="G30" s="47" t="n">
        <v>14628.6685888771</v>
      </c>
      <c r="H30" s="47" t="n">
        <v>-14391.263893767</v>
      </c>
      <c r="I30" s="47" t="n">
        <v>15.81701173631625</v>
      </c>
      <c r="J30" s="47" t="n">
        <v>64.93106449458655</v>
      </c>
      <c r="K30" s="47" t="n">
        <v>173.7137102241661</v>
      </c>
      <c r="L30" s="47" t="n">
        <v>-12.39754985616887</v>
      </c>
      <c r="M30" s="47" t="n">
        <v>-33.08200055434571</v>
      </c>
      <c r="N30" s="47" t="n">
        <v>-32.35267809880934</v>
      </c>
    </row>
    <row r="31">
      <c r="A31" s="47" t="n">
        <v>-45.5</v>
      </c>
      <c r="B31" s="47" t="n">
        <v>25</v>
      </c>
      <c r="C31" s="47" t="n">
        <v>230.0353420074885</v>
      </c>
      <c r="D31" s="47" t="n">
        <v>1338.223691649787</v>
      </c>
      <c r="E31" s="47" t="n">
        <v>5452.067935099958</v>
      </c>
      <c r="F31" s="47" t="n">
        <v>0.09418038988521001</v>
      </c>
      <c r="G31" s="47" t="n">
        <v>14628.01958806756</v>
      </c>
      <c r="H31" s="47" t="n">
        <v>-14397.98424606007</v>
      </c>
      <c r="I31" s="47" t="n">
        <v>15.89124814565296</v>
      </c>
      <c r="J31" s="47" t="n">
        <v>64.7426622352049</v>
      </c>
      <c r="K31" s="47" t="n">
        <v>173.7060034162718</v>
      </c>
      <c r="L31" s="47" t="n">
        <v>-12.40880264496962</v>
      </c>
      <c r="M31" s="47" t="n">
        <v>-32.96609877421304</v>
      </c>
      <c r="N31" s="47" t="n">
        <v>-32.34659071411098</v>
      </c>
    </row>
    <row r="32">
      <c r="A32" s="47" t="n">
        <v>-45</v>
      </c>
      <c r="B32" s="47" t="n">
        <v>25</v>
      </c>
      <c r="C32" s="47" t="n">
        <v>208.8220272535724</v>
      </c>
      <c r="D32" s="47" t="n">
        <v>1342.07490025327</v>
      </c>
      <c r="E32" s="47" t="n">
        <v>5435.447780642543</v>
      </c>
      <c r="F32" s="47" t="n">
        <v>0.104737999039261</v>
      </c>
      <c r="G32" s="47" t="n">
        <v>14629.08126933879</v>
      </c>
      <c r="H32" s="47" t="n">
        <v>-14420.25924208522</v>
      </c>
      <c r="I32" s="47" t="n">
        <v>15.93698079256431</v>
      </c>
      <c r="J32" s="47" t="n">
        <v>64.54529986570726</v>
      </c>
      <c r="K32" s="47" t="n">
        <v>173.7186107558653</v>
      </c>
      <c r="L32" s="47" t="n">
        <v>-12.41573482045589</v>
      </c>
      <c r="M32" s="47" t="n">
        <v>-32.84116401380323</v>
      </c>
      <c r="N32" s="47" t="n">
        <v>-32.3895651989487</v>
      </c>
    </row>
    <row r="33">
      <c r="A33" s="47" t="n">
        <v>-44.5</v>
      </c>
      <c r="B33" s="47" t="n">
        <v>25</v>
      </c>
      <c r="C33" s="47" t="n">
        <v>201.6642296015629</v>
      </c>
      <c r="D33" s="47" t="n">
        <v>1344.637183455526</v>
      </c>
      <c r="E33" s="47" t="n">
        <v>5418.084176723001</v>
      </c>
      <c r="F33" s="47" t="n">
        <v>0.1161882806795556</v>
      </c>
      <c r="G33" s="47" t="n">
        <v>14627.9749848833</v>
      </c>
      <c r="H33" s="47" t="n">
        <v>-14426.31075528174</v>
      </c>
      <c r="I33" s="47" t="n">
        <v>15.96740760270117</v>
      </c>
      <c r="J33" s="47" t="n">
        <v>64.33910912173076</v>
      </c>
      <c r="K33" s="47" t="n">
        <v>173.7054737587313</v>
      </c>
      <c r="L33" s="47" t="n">
        <v>-12.42034693021995</v>
      </c>
      <c r="M33" s="47" t="n">
        <v>-32.7068569919854</v>
      </c>
      <c r="N33" s="47" t="n">
        <v>-32.39806207678552</v>
      </c>
    </row>
    <row r="34">
      <c r="A34" s="47" t="n">
        <v>-44</v>
      </c>
      <c r="B34" s="47" t="n">
        <v>25</v>
      </c>
      <c r="C34" s="47" t="n">
        <v>200.1167225823432</v>
      </c>
      <c r="D34" s="47" t="n">
        <v>1345.592550275905</v>
      </c>
      <c r="E34" s="47" t="n">
        <v>5399.989625431864</v>
      </c>
      <c r="F34" s="47" t="n">
        <v>0.1285685190747821</v>
      </c>
      <c r="G34" s="47" t="n">
        <v>14625.91150427493</v>
      </c>
      <c r="H34" s="47" t="n">
        <v>-14425.79478169259</v>
      </c>
      <c r="I34" s="47" t="n">
        <v>15.97875247075836</v>
      </c>
      <c r="J34" s="47" t="n">
        <v>64.12423846412253</v>
      </c>
      <c r="K34" s="47" t="n">
        <v>173.6809701704329</v>
      </c>
      <c r="L34" s="47" t="n">
        <v>-12.42206659049663</v>
      </c>
      <c r="M34" s="47" t="n">
        <v>-32.56286465410432</v>
      </c>
      <c r="N34" s="47" t="n">
        <v>-32.38181184778575</v>
      </c>
    </row>
    <row r="35">
      <c r="A35" s="47" t="n">
        <v>-43.5</v>
      </c>
      <c r="B35" s="47" t="n">
        <v>25</v>
      </c>
      <c r="C35" s="47" t="n">
        <v>210.8483953416035</v>
      </c>
      <c r="D35" s="47" t="n">
        <v>1345.251179498461</v>
      </c>
      <c r="E35" s="47" t="n">
        <v>5381.178168945557</v>
      </c>
      <c r="F35" s="47" t="n">
        <v>0.1419126864878971</v>
      </c>
      <c r="G35" s="47" t="n">
        <v>14621.98669408329</v>
      </c>
      <c r="H35" s="47" t="n">
        <v>-14411.13829874169</v>
      </c>
      <c r="I35" s="47" t="n">
        <v>15.97469873312997</v>
      </c>
      <c r="J35" s="47" t="n">
        <v>63.90085464206769</v>
      </c>
      <c r="K35" s="47" t="n">
        <v>173.6343635133627</v>
      </c>
      <c r="L35" s="47" t="n">
        <v>-12.42145212309723</v>
      </c>
      <c r="M35" s="47" t="n">
        <v>-32.40890652571093</v>
      </c>
      <c r="N35" s="47" t="n">
        <v>-32.32891382526778</v>
      </c>
    </row>
    <row r="36">
      <c r="A36" s="47" t="n">
        <v>-43</v>
      </c>
      <c r="B36" s="47" t="n">
        <v>25</v>
      </c>
      <c r="C36" s="47" t="n">
        <v>180.5581841932563</v>
      </c>
      <c r="D36" s="47" t="n">
        <v>1341.54689922669</v>
      </c>
      <c r="E36" s="47" t="n">
        <v>5361.665527214092</v>
      </c>
      <c r="F36" s="47" t="n">
        <v>0.1562507337482971</v>
      </c>
      <c r="G36" s="47" t="n">
        <v>14623.69319889064</v>
      </c>
      <c r="H36" s="47" t="n">
        <v>-14443.13501469738</v>
      </c>
      <c r="I36" s="47" t="n">
        <v>15.93071084278917</v>
      </c>
      <c r="J36" s="47" t="n">
        <v>63.66914432811438</v>
      </c>
      <c r="K36" s="47" t="n">
        <v>173.6546280562224</v>
      </c>
      <c r="L36" s="47" t="n">
        <v>-12.41478441860804</v>
      </c>
      <c r="M36" s="47" t="n">
        <v>-32.24474134525069</v>
      </c>
      <c r="N36" s="47" t="n">
        <v>-32.42896356229874</v>
      </c>
    </row>
    <row r="37">
      <c r="A37" s="47" t="n">
        <v>-42.5</v>
      </c>
      <c r="B37" s="47" t="n">
        <v>25</v>
      </c>
      <c r="C37" s="47" t="n">
        <v>181.7291755177202</v>
      </c>
      <c r="D37" s="47" t="n">
        <v>1337.46583586037</v>
      </c>
      <c r="E37" s="47" t="n">
        <v>5341.469239831526</v>
      </c>
      <c r="F37" s="47" t="n">
        <v>0.1716078590379493</v>
      </c>
      <c r="G37" s="47" t="n">
        <v>14620.91477545746</v>
      </c>
      <c r="H37" s="47" t="n">
        <v>-14439.18559993974</v>
      </c>
      <c r="I37" s="47" t="n">
        <v>15.88224869774048</v>
      </c>
      <c r="J37" s="47" t="n">
        <v>63.42931580286864</v>
      </c>
      <c r="K37" s="47" t="n">
        <v>173.6216346063934</v>
      </c>
      <c r="L37" s="47" t="n">
        <v>-12.40743850454867</v>
      </c>
      <c r="M37" s="47" t="n">
        <v>-32.0701739003552</v>
      </c>
      <c r="N37" s="47" t="n">
        <v>-32.40575266541106</v>
      </c>
    </row>
    <row r="38">
      <c r="A38" s="47" t="n">
        <v>-42</v>
      </c>
      <c r="B38" s="47" t="n">
        <v>25</v>
      </c>
      <c r="C38" s="47" t="n">
        <v>170.6281729970239</v>
      </c>
      <c r="D38" s="47" t="n">
        <v>1331.364554049488</v>
      </c>
      <c r="E38" s="47" t="n">
        <v>5320.608809921433</v>
      </c>
      <c r="F38" s="47" t="n">
        <v>0.1880037641294339</v>
      </c>
      <c r="G38" s="47" t="n">
        <v>14619.80625925983</v>
      </c>
      <c r="H38" s="47" t="n">
        <v>-14449.17808626281</v>
      </c>
      <c r="I38" s="47" t="n">
        <v>15.80979669747455</v>
      </c>
      <c r="J38" s="47" t="n">
        <v>63.18160066361744</v>
      </c>
      <c r="K38" s="47" t="n">
        <v>173.6084711075854</v>
      </c>
      <c r="L38" s="47" t="n">
        <v>-12.39645619728908</v>
      </c>
      <c r="M38" s="47" t="n">
        <v>-31.88506198069367</v>
      </c>
      <c r="N38" s="47" t="n">
        <v>-32.43918615973353</v>
      </c>
    </row>
    <row r="39">
      <c r="A39" s="47" t="n">
        <v>-41.5</v>
      </c>
      <c r="B39" s="47" t="n">
        <v>25</v>
      </c>
      <c r="C39" s="47" t="n">
        <v>171.3855791373828</v>
      </c>
      <c r="D39" s="47" t="n">
        <v>1324.331117212503</v>
      </c>
      <c r="E39" s="47" t="n">
        <v>5299.105847589162</v>
      </c>
      <c r="F39" s="47" t="n">
        <v>0.2054519084883929</v>
      </c>
      <c r="G39" s="47" t="n">
        <v>14617.02228465411</v>
      </c>
      <c r="H39" s="47" t="n">
        <v>-14445.63670551673</v>
      </c>
      <c r="I39" s="47" t="n">
        <v>15.72627546646458</v>
      </c>
      <c r="J39" s="47" t="n">
        <v>62.92625552780724</v>
      </c>
      <c r="K39" s="47" t="n">
        <v>173.5754117382387</v>
      </c>
      <c r="L39" s="47" t="n">
        <v>-12.38379601098251</v>
      </c>
      <c r="M39" s="47" t="n">
        <v>-31.68932334926496</v>
      </c>
      <c r="N39" s="47" t="n">
        <v>-32.42960839261804</v>
      </c>
    </row>
    <row r="40">
      <c r="A40" s="47" t="n">
        <v>-41</v>
      </c>
      <c r="B40" s="47" t="n">
        <v>25</v>
      </c>
      <c r="C40" s="47" t="n">
        <v>176.6662419277824</v>
      </c>
      <c r="D40" s="47" t="n">
        <v>1316.209535326007</v>
      </c>
      <c r="E40" s="47" t="n">
        <v>5276.984210236083</v>
      </c>
      <c r="F40" s="47" t="n">
        <v>0.2239587727280704</v>
      </c>
      <c r="G40" s="47" t="n">
        <v>14613.6232678051</v>
      </c>
      <c r="H40" s="47" t="n">
        <v>-14436.95702587731</v>
      </c>
      <c r="I40" s="47" t="n">
        <v>15.62983264162231</v>
      </c>
      <c r="J40" s="47" t="n">
        <v>62.66356369925909</v>
      </c>
      <c r="K40" s="47" t="n">
        <v>173.5350488149577</v>
      </c>
      <c r="L40" s="47" t="n">
        <v>-12.36917716358681</v>
      </c>
      <c r="M40" s="47" t="n">
        <v>-31.48294262387232</v>
      </c>
      <c r="N40" s="47" t="n">
        <v>-32.399446020276</v>
      </c>
    </row>
    <row r="41">
      <c r="A41" s="47" t="n">
        <v>-40.5</v>
      </c>
      <c r="B41" s="47" t="n">
        <v>25</v>
      </c>
      <c r="C41" s="47" t="n">
        <v>191.2465178874161</v>
      </c>
      <c r="D41" s="47" t="n">
        <v>1307.340255030146</v>
      </c>
      <c r="E41" s="47" t="n">
        <v>5254.27013680646</v>
      </c>
      <c r="F41" s="47" t="n">
        <v>0.24352314384432</v>
      </c>
      <c r="G41" s="47" t="n">
        <v>14608.97451746299</v>
      </c>
      <c r="H41" s="47" t="n">
        <v>-14417.72799957557</v>
      </c>
      <c r="I41" s="47" t="n">
        <v>15.52451098655498</v>
      </c>
      <c r="J41" s="47" t="n">
        <v>62.39383676233442</v>
      </c>
      <c r="K41" s="47" t="n">
        <v>173.4798454541783</v>
      </c>
      <c r="L41" s="47" t="n">
        <v>-12.35321245905426</v>
      </c>
      <c r="M41" s="47" t="n">
        <v>-31.26597795165275</v>
      </c>
      <c r="N41" s="47" t="n">
        <v>-32.33798790832702</v>
      </c>
    </row>
    <row r="42">
      <c r="A42" s="47" t="n">
        <v>-40</v>
      </c>
      <c r="B42" s="47" t="n">
        <v>25</v>
      </c>
      <c r="C42" s="47" t="n">
        <v>197.6655729751738</v>
      </c>
      <c r="D42" s="47" t="n">
        <v>1297.183461382967</v>
      </c>
      <c r="E42" s="47" t="n">
        <v>5230.992372853872</v>
      </c>
      <c r="F42" s="47" t="n">
        <v>0.2641354354305344</v>
      </c>
      <c r="G42" s="47" t="n">
        <v>14605.55495084827</v>
      </c>
      <c r="H42" s="47" t="n">
        <v>-14407.88937787309</v>
      </c>
      <c r="I42" s="47" t="n">
        <v>15.40390026263891</v>
      </c>
      <c r="J42" s="47" t="n">
        <v>62.11741606708393</v>
      </c>
      <c r="K42" s="47" t="n">
        <v>173.4392385048587</v>
      </c>
      <c r="L42" s="47" t="n">
        <v>-12.33493023048934</v>
      </c>
      <c r="M42" s="47" t="n">
        <v>-31.03856735226216</v>
      </c>
      <c r="N42" s="47" t="n">
        <v>-32.32011449279664</v>
      </c>
    </row>
    <row r="43">
      <c r="A43" s="47" t="n">
        <v>-39.5</v>
      </c>
      <c r="B43" s="47" t="n">
        <v>25</v>
      </c>
      <c r="C43" s="47" t="n">
        <v>200.9817873532742</v>
      </c>
      <c r="D43" s="47" t="n">
        <v>1286.106476953504</v>
      </c>
      <c r="E43" s="47" t="n">
        <v>5207.182283178962</v>
      </c>
      <c r="F43" s="47" t="n">
        <v>0.2857770566394118</v>
      </c>
      <c r="G43" s="47" t="n">
        <v>14602.69109367549</v>
      </c>
      <c r="H43" s="47" t="n">
        <v>-14401.70930632222</v>
      </c>
      <c r="I43" s="47" t="n">
        <v>15.27236238195984</v>
      </c>
      <c r="J43" s="47" t="n">
        <v>61.8346740668076</v>
      </c>
      <c r="K43" s="47" t="n">
        <v>173.4052305394713</v>
      </c>
      <c r="L43" s="47" t="n">
        <v>-12.31499165851631</v>
      </c>
      <c r="M43" s="47" t="n">
        <v>-30.80093459996743</v>
      </c>
      <c r="N43" s="47" t="n">
        <v>-32.32093628470638</v>
      </c>
    </row>
    <row r="44">
      <c r="A44" s="47" t="n">
        <v>-39</v>
      </c>
      <c r="B44" s="47" t="n">
        <v>25</v>
      </c>
      <c r="C44" s="47" t="n">
        <v>184.5442092413606</v>
      </c>
      <c r="D44" s="47" t="n">
        <v>1273.611708739217</v>
      </c>
      <c r="E44" s="47" t="n">
        <v>5182.873948711796</v>
      </c>
      <c r="F44" s="47" t="n">
        <v>0.3084198439904323</v>
      </c>
      <c r="G44" s="47" t="n">
        <v>14602.7489722562</v>
      </c>
      <c r="H44" s="47" t="n">
        <v>-14418.20476301484</v>
      </c>
      <c r="I44" s="47" t="n">
        <v>15.12398848643354</v>
      </c>
      <c r="J44" s="47" t="n">
        <v>61.54601546852122</v>
      </c>
      <c r="K44" s="47" t="n">
        <v>173.4059178407752</v>
      </c>
      <c r="L44" s="47" t="n">
        <v>-12.29250107573059</v>
      </c>
      <c r="M44" s="47" t="n">
        <v>-30.55339451176734</v>
      </c>
      <c r="N44" s="47" t="n">
        <v>-32.41307462543307</v>
      </c>
    </row>
    <row r="45">
      <c r="A45" s="47" t="n">
        <v>-38.5</v>
      </c>
      <c r="B45" s="47" t="n">
        <v>25</v>
      </c>
      <c r="C45" s="47" t="n">
        <v>211.6343099261097</v>
      </c>
      <c r="D45" s="47" t="n">
        <v>1262.399406314311</v>
      </c>
      <c r="E45" s="47" t="n">
        <v>5158.104244296719</v>
      </c>
      <c r="F45" s="47" t="n">
        <v>0.3320255701897687</v>
      </c>
      <c r="G45" s="47" t="n">
        <v>14596.90416266791</v>
      </c>
      <c r="H45" s="47" t="n">
        <v>-14385.2698527418</v>
      </c>
      <c r="I45" s="47" t="n">
        <v>14.99084372055466</v>
      </c>
      <c r="J45" s="47" t="n">
        <v>61.25187815664235</v>
      </c>
      <c r="K45" s="47" t="n">
        <v>173.3365114178348</v>
      </c>
      <c r="L45" s="47" t="n">
        <v>-12.27231893136576</v>
      </c>
      <c r="M45" s="47" t="n">
        <v>-30.29635750802618</v>
      </c>
      <c r="N45" s="47" t="n">
        <v>-32.31377721196157</v>
      </c>
    </row>
    <row r="46">
      <c r="A46" s="47" t="n">
        <v>-38</v>
      </c>
      <c r="B46" s="47" t="n">
        <v>25</v>
      </c>
      <c r="C46" s="47" t="n">
        <v>202.9365801484949</v>
      </c>
      <c r="D46" s="47" t="n">
        <v>1249.463625801307</v>
      </c>
      <c r="E46" s="47" t="n">
        <v>5132.912894091512</v>
      </c>
      <c r="F46" s="47" t="n">
        <v>0.3565455439088298</v>
      </c>
      <c r="G46" s="47" t="n">
        <v>14596.29580163658</v>
      </c>
      <c r="H46" s="47" t="n">
        <v>-14393.35922148808</v>
      </c>
      <c r="I46" s="47" t="n">
        <v>14.83723285611359</v>
      </c>
      <c r="J46" s="47" t="n">
        <v>60.95273385084885</v>
      </c>
      <c r="K46" s="47" t="n">
        <v>173.3292872025027</v>
      </c>
      <c r="L46" s="47" t="n">
        <v>-12.24903452644235</v>
      </c>
      <c r="M46" s="47" t="n">
        <v>-30.03033331418526</v>
      </c>
      <c r="N46" s="47" t="n">
        <v>-32.38762130931221</v>
      </c>
    </row>
    <row r="47">
      <c r="A47" s="47" t="n">
        <v>-37.5</v>
      </c>
      <c r="B47" s="47" t="n">
        <v>25</v>
      </c>
      <c r="C47" s="47" t="n">
        <v>239.1871485288169</v>
      </c>
      <c r="D47" s="47" t="n">
        <v>1238.195418555342</v>
      </c>
      <c r="E47" s="47" t="n">
        <v>5107.342501420047</v>
      </c>
      <c r="F47" s="47" t="n">
        <v>0.3819203139399223</v>
      </c>
      <c r="G47" s="47" t="n">
        <v>14589.65567411958</v>
      </c>
      <c r="H47" s="47" t="n">
        <v>-14350.46852559076</v>
      </c>
      <c r="I47" s="47" t="n">
        <v>14.70342422709319</v>
      </c>
      <c r="J47" s="47" t="n">
        <v>60.64908846057551</v>
      </c>
      <c r="K47" s="47" t="n">
        <v>173.250436473174</v>
      </c>
      <c r="L47" s="47" t="n">
        <v>-12.22875175339962</v>
      </c>
      <c r="M47" s="47" t="n">
        <v>-29.75593367709678</v>
      </c>
      <c r="N47" s="47" t="n">
        <v>-32.27170581722869</v>
      </c>
    </row>
    <row r="48">
      <c r="A48" s="47" t="n">
        <v>-37</v>
      </c>
      <c r="B48" s="47" t="n">
        <v>25</v>
      </c>
      <c r="C48" s="47" t="n">
        <v>236.1887203554129</v>
      </c>
      <c r="D48" s="47" t="n">
        <v>1225.380825883585</v>
      </c>
      <c r="E48" s="47" t="n">
        <v>5081.438550121767</v>
      </c>
      <c r="F48" s="47" t="n">
        <v>0.4080794903002025</v>
      </c>
      <c r="G48" s="47" t="n">
        <v>14588.80601610416</v>
      </c>
      <c r="H48" s="47" t="n">
        <v>-14352.61729574875</v>
      </c>
      <c r="I48" s="47" t="n">
        <v>14.5512524539412</v>
      </c>
      <c r="J48" s="47" t="n">
        <v>60.34148210103901</v>
      </c>
      <c r="K48" s="47" t="n">
        <v>173.2403468846799</v>
      </c>
      <c r="L48" s="47" t="n">
        <v>-12.20568548659045</v>
      </c>
      <c r="M48" s="47" t="n">
        <v>-29.47387397751736</v>
      </c>
      <c r="N48" s="47" t="n">
        <v>-32.30735023037133</v>
      </c>
    </row>
    <row r="49">
      <c r="A49" s="47" t="n">
        <v>-36.5</v>
      </c>
      <c r="B49" s="47" t="n">
        <v>25</v>
      </c>
      <c r="C49" s="47" t="n">
        <v>264.8535608975177</v>
      </c>
      <c r="D49" s="47" t="n">
        <v>1214.000194972632</v>
      </c>
      <c r="E49" s="47" t="n">
        <v>5055.24937472324</v>
      </c>
      <c r="F49" s="47" t="n">
        <v>0.4349416936830342</v>
      </c>
      <c r="G49" s="47" t="n">
        <v>14583.85339151919</v>
      </c>
      <c r="H49" s="47" t="n">
        <v>-14318.99983062167</v>
      </c>
      <c r="I49" s="47" t="n">
        <v>14.41610880718878</v>
      </c>
      <c r="J49" s="47" t="n">
        <v>60.0304887390287</v>
      </c>
      <c r="K49" s="47" t="n">
        <v>173.1815350531878</v>
      </c>
      <c r="L49" s="47" t="n">
        <v>-12.18520035095074</v>
      </c>
      <c r="M49" s="47" t="n">
        <v>-29.18497363135452</v>
      </c>
      <c r="N49" s="47" t="n">
        <v>-32.28901487678782</v>
      </c>
    </row>
    <row r="50">
      <c r="A50" s="47" t="n">
        <v>-36</v>
      </c>
      <c r="B50" s="47" t="n">
        <v>25</v>
      </c>
      <c r="C50" s="47" t="n">
        <v>273.2461044321223</v>
      </c>
      <c r="D50" s="47" t="n">
        <v>1202.107721447054</v>
      </c>
      <c r="E50" s="47" t="n">
        <v>5028.826097116104</v>
      </c>
      <c r="F50" s="47" t="n">
        <v>0.4624146431619742</v>
      </c>
      <c r="G50" s="47" t="n">
        <v>14582.10262217315</v>
      </c>
      <c r="H50" s="47" t="n">
        <v>-14308.85651774103</v>
      </c>
      <c r="I50" s="47" t="n">
        <v>14.27488708989307</v>
      </c>
      <c r="J50" s="47" t="n">
        <v>59.71671544096461</v>
      </c>
      <c r="K50" s="47" t="n">
        <v>173.1607448741636</v>
      </c>
      <c r="L50" s="47" t="n">
        <v>-12.1637938986047</v>
      </c>
      <c r="M50" s="47" t="n">
        <v>-28.89015518635122</v>
      </c>
      <c r="N50" s="47" t="n">
        <v>-32.28556786280975</v>
      </c>
    </row>
    <row r="51">
      <c r="A51" s="47" t="n">
        <v>-35.5</v>
      </c>
      <c r="B51" s="47" t="n">
        <v>25</v>
      </c>
      <c r="C51" s="47" t="n">
        <v>284.9525044866856</v>
      </c>
      <c r="D51" s="47" t="n">
        <v>1190.764348552746</v>
      </c>
      <c r="E51" s="47" t="n">
        <v>5002.222527859245</v>
      </c>
      <c r="F51" s="47" t="n">
        <v>0.4903953902482235</v>
      </c>
      <c r="G51" s="47" t="n">
        <v>14580.28494682638</v>
      </c>
      <c r="H51" s="47" t="n">
        <v>-14295.33244233969</v>
      </c>
      <c r="I51" s="47" t="n">
        <v>14.14018587768401</v>
      </c>
      <c r="J51" s="47" t="n">
        <v>59.40080120087249</v>
      </c>
      <c r="K51" s="47" t="n">
        <v>173.1391601942898</v>
      </c>
      <c r="L51" s="47" t="n">
        <v>-12.14337582739494</v>
      </c>
      <c r="M51" s="47" t="n">
        <v>-28.59044203791263</v>
      </c>
      <c r="N51" s="47" t="n">
        <v>-32.29498426799288</v>
      </c>
    </row>
    <row r="52">
      <c r="A52" s="47" t="n">
        <v>-35</v>
      </c>
      <c r="B52" s="47" t="n">
        <v>25</v>
      </c>
      <c r="C52" s="47" t="n">
        <v>280.7134400393696</v>
      </c>
      <c r="D52" s="47" t="n">
        <v>1179.301507446324</v>
      </c>
      <c r="E52" s="47" t="n">
        <v>4975.495030726145</v>
      </c>
      <c r="F52" s="47" t="n">
        <v>0.5187707053077272</v>
      </c>
      <c r="G52" s="47" t="n">
        <v>14581.12932560947</v>
      </c>
      <c r="H52" s="47" t="n">
        <v>-14300.4158855701</v>
      </c>
      <c r="I52" s="47" t="n">
        <v>14.00406599457853</v>
      </c>
      <c r="J52" s="47" t="n">
        <v>59.08341533189964</v>
      </c>
      <c r="K52" s="47" t="n">
        <v>173.1491870925242</v>
      </c>
      <c r="L52" s="47" t="n">
        <v>-12.12274271340338</v>
      </c>
      <c r="M52" s="47" t="n">
        <v>-28.28695470753752</v>
      </c>
      <c r="N52" s="47" t="n">
        <v>-32.25422324534156</v>
      </c>
    </row>
    <row r="53">
      <c r="A53" s="47" t="n">
        <v>-34.5</v>
      </c>
      <c r="B53" s="47" t="n">
        <v>25</v>
      </c>
      <c r="C53" s="47" t="n">
        <v>316.3148780494805</v>
      </c>
      <c r="D53" s="47" t="n">
        <v>1170.035512438728</v>
      </c>
      <c r="E53" s="47" t="n">
        <v>4948.702349684009</v>
      </c>
      <c r="F53" s="47" t="n">
        <v>0.5474176199882153</v>
      </c>
      <c r="G53" s="47" t="n">
        <v>14576.85763200879</v>
      </c>
      <c r="H53" s="47" t="n">
        <v>-14260.54275395931</v>
      </c>
      <c r="I53" s="47" t="n">
        <v>13.89403339920537</v>
      </c>
      <c r="J53" s="47" t="n">
        <v>58.76525541171243</v>
      </c>
      <c r="K53" s="47" t="n">
        <v>173.0984612359771</v>
      </c>
      <c r="L53" s="47" t="n">
        <v>-12.10606392238971</v>
      </c>
      <c r="M53" s="47" t="n">
        <v>-27.98090564953728</v>
      </c>
      <c r="N53" s="47" t="n">
        <v>-32.35263200847161</v>
      </c>
    </row>
    <row r="54">
      <c r="A54" s="47" t="n">
        <v>-34</v>
      </c>
      <c r="B54" s="47" t="n">
        <v>25</v>
      </c>
      <c r="C54" s="47" t="n">
        <v>319.4152549266454</v>
      </c>
      <c r="D54" s="47" t="n">
        <v>1160.139769010444</v>
      </c>
      <c r="E54" s="47" t="n">
        <v>4921.90539811054</v>
      </c>
      <c r="F54" s="47" t="n">
        <v>0.5762041267270106</v>
      </c>
      <c r="G54" s="47" t="n">
        <v>14577.62874792323</v>
      </c>
      <c r="H54" s="47" t="n">
        <v>-14258.21349299659</v>
      </c>
      <c r="I54" s="47" t="n">
        <v>13.77652261577968</v>
      </c>
      <c r="J54" s="47" t="n">
        <v>58.44704477947048</v>
      </c>
      <c r="K54" s="47" t="n">
        <v>173.1076181463068</v>
      </c>
      <c r="L54" s="47" t="n">
        <v>-12.0882515842188</v>
      </c>
      <c r="M54" s="47" t="n">
        <v>-27.67359257605587</v>
      </c>
      <c r="N54" s="47" t="n">
        <v>-32.33596634649621</v>
      </c>
    </row>
    <row r="55">
      <c r="A55" s="47" t="n">
        <v>-33.5</v>
      </c>
      <c r="B55" s="47" t="n">
        <v>25</v>
      </c>
      <c r="C55" s="47" t="n">
        <v>328.4448057508986</v>
      </c>
      <c r="D55" s="47" t="n">
        <v>1151.20023620454</v>
      </c>
      <c r="E55" s="47" t="n">
        <v>4895.167010716071</v>
      </c>
      <c r="F55" s="47" t="n">
        <v>0.6049900336531705</v>
      </c>
      <c r="G55" s="47" t="n">
        <v>14578.09256002349</v>
      </c>
      <c r="H55" s="47" t="n">
        <v>-14249.64775427259</v>
      </c>
      <c r="I55" s="47" t="n">
        <v>13.6703667204602</v>
      </c>
      <c r="J55" s="47" t="n">
        <v>58.12952958993122</v>
      </c>
      <c r="K55" s="47" t="n">
        <v>173.1131258601696</v>
      </c>
      <c r="L55" s="47" t="n">
        <v>-12.07216042516817</v>
      </c>
      <c r="M55" s="47" t="n">
        <v>-27.3663903164104</v>
      </c>
      <c r="N55" s="47" t="n">
        <v>-32.34628002261179</v>
      </c>
    </row>
    <row r="56">
      <c r="A56" s="47" t="n">
        <v>-33</v>
      </c>
      <c r="B56" s="47" t="n">
        <v>25</v>
      </c>
      <c r="C56" s="47" t="n">
        <v>342.0571204684842</v>
      </c>
      <c r="D56" s="47" t="n">
        <v>1143.193351950906</v>
      </c>
      <c r="E56" s="47" t="n">
        <v>4868.551659330447</v>
      </c>
      <c r="F56" s="47" t="n">
        <v>0.6336279703155745</v>
      </c>
      <c r="G56" s="47" t="n">
        <v>14578.46664658259</v>
      </c>
      <c r="H56" s="47" t="n">
        <v>-14236.40952611411</v>
      </c>
      <c r="I56" s="47" t="n">
        <v>13.57528591644965</v>
      </c>
      <c r="J56" s="47" t="n">
        <v>57.81347543845281</v>
      </c>
      <c r="K56" s="47" t="n">
        <v>173.1175680938379</v>
      </c>
      <c r="L56" s="47" t="n">
        <v>-12.05774803351163</v>
      </c>
      <c r="M56" s="47" t="n">
        <v>-27.06074125395464</v>
      </c>
      <c r="N56" s="47" t="n">
        <v>-32.38548925127135</v>
      </c>
    </row>
    <row r="57">
      <c r="A57" s="47" t="n">
        <v>-32.5</v>
      </c>
      <c r="B57" s="47" t="n">
        <v>25</v>
      </c>
      <c r="C57" s="47" t="n">
        <v>350.9183412247295</v>
      </c>
      <c r="D57" s="47" t="n">
        <v>1135.757836125959</v>
      </c>
      <c r="E57" s="47" t="n">
        <v>4842.125134421267</v>
      </c>
      <c r="F57" s="47" t="n">
        <v>0.6619645367212721</v>
      </c>
      <c r="G57" s="47" t="n">
        <v>14580.08569704939</v>
      </c>
      <c r="H57" s="47" t="n">
        <v>-14229.16735582466</v>
      </c>
      <c r="I57" s="47" t="n">
        <v>13.48699004498777</v>
      </c>
      <c r="J57" s="47" t="n">
        <v>57.49966357906079</v>
      </c>
      <c r="K57" s="47" t="n">
        <v>173.1367941267416</v>
      </c>
      <c r="L57" s="47" t="n">
        <v>-12.04436410502673</v>
      </c>
      <c r="M57" s="47" t="n">
        <v>-26.75814441146683</v>
      </c>
      <c r="N57" s="47" t="n">
        <v>-32.41021524800949</v>
      </c>
    </row>
    <row r="58">
      <c r="A58" s="47" t="n">
        <v>-32</v>
      </c>
      <c r="B58" s="47" t="n">
        <v>25</v>
      </c>
      <c r="C58" s="47" t="n">
        <v>340.916814065535</v>
      </c>
      <c r="D58" s="47" t="n">
        <v>1128.323675025293</v>
      </c>
      <c r="E58" s="47" t="n">
        <v>4815.954194917552</v>
      </c>
      <c r="F58" s="47" t="n">
        <v>0.6898415852200698</v>
      </c>
      <c r="G58" s="47" t="n">
        <v>14584.95207076056</v>
      </c>
      <c r="H58" s="47" t="n">
        <v>-14244.03525669502</v>
      </c>
      <c r="I58" s="47" t="n">
        <v>13.39871026071658</v>
      </c>
      <c r="J58" s="47" t="n">
        <v>57.18888676614568</v>
      </c>
      <c r="K58" s="47" t="n">
        <v>173.1945817393031</v>
      </c>
      <c r="L58" s="47" t="n">
        <v>-12.03098261504553</v>
      </c>
      <c r="M58" s="47" t="n">
        <v>-26.46014328387097</v>
      </c>
      <c r="N58" s="47" t="n">
        <v>-32.36158331902681</v>
      </c>
    </row>
    <row r="59">
      <c r="A59" s="47" t="n">
        <v>-31.5</v>
      </c>
      <c r="B59" s="47" t="n">
        <v>25</v>
      </c>
      <c r="C59" s="47" t="n">
        <v>355.1521998700699</v>
      </c>
      <c r="D59" s="47" t="n">
        <v>1122.59263169226</v>
      </c>
      <c r="E59" s="47" t="n">
        <v>4790.106189604217</v>
      </c>
      <c r="F59" s="47" t="n">
        <v>0.7170976218896598</v>
      </c>
      <c r="G59" s="47" t="n">
        <v>14587.05723435159</v>
      </c>
      <c r="H59" s="47" t="n">
        <v>-14231.90503448152</v>
      </c>
      <c r="I59" s="47" t="n">
        <v>13.33065479860887</v>
      </c>
      <c r="J59" s="47" t="n">
        <v>56.88194475856699</v>
      </c>
      <c r="K59" s="47" t="n">
        <v>173.2195803080932</v>
      </c>
      <c r="L59" s="47" t="n">
        <v>-12.02066673704607</v>
      </c>
      <c r="M59" s="47" t="n">
        <v>-26.16831254428065</v>
      </c>
      <c r="N59" s="47" t="n">
        <v>-32.425096082512</v>
      </c>
    </row>
    <row r="60">
      <c r="A60" s="47" t="n">
        <v>-31</v>
      </c>
      <c r="B60" s="47" t="n">
        <v>25</v>
      </c>
      <c r="C60" s="47" t="n">
        <v>353.2610093246909</v>
      </c>
      <c r="D60" s="47" t="n">
        <v>1116.912538362845</v>
      </c>
      <c r="E60" s="47" t="n">
        <v>4764.648654011315</v>
      </c>
      <c r="F60" s="47" t="n">
        <v>0.7435693113299406</v>
      </c>
      <c r="G60" s="47" t="n">
        <v>14592.07610302669</v>
      </c>
      <c r="H60" s="47" t="n">
        <v>-14238.815093702</v>
      </c>
      <c r="I60" s="47" t="n">
        <v>13.26320436177126</v>
      </c>
      <c r="J60" s="47" t="n">
        <v>56.57963953276062</v>
      </c>
      <c r="K60" s="47" t="n">
        <v>173.2791787803248</v>
      </c>
      <c r="L60" s="47" t="n">
        <v>-12.01044256905312</v>
      </c>
      <c r="M60" s="47" t="n">
        <v>-25.8842437752509</v>
      </c>
      <c r="N60" s="47" t="n">
        <v>-32.4253984788476</v>
      </c>
    </row>
    <row r="61">
      <c r="A61" s="47" t="n">
        <v>-30.5</v>
      </c>
      <c r="B61" s="47" t="n">
        <v>25</v>
      </c>
      <c r="C61" s="47" t="n">
        <v>338.6571544092517</v>
      </c>
      <c r="D61" s="47" t="n">
        <v>1111.368486255422</v>
      </c>
      <c r="E61" s="47" t="n">
        <v>4739.648887331236</v>
      </c>
      <c r="F61" s="47" t="n">
        <v>0.7690930662347593</v>
      </c>
      <c r="G61" s="47" t="n">
        <v>14599.55328296698</v>
      </c>
      <c r="H61" s="47" t="n">
        <v>-14260.89612855773</v>
      </c>
      <c r="I61" s="47" t="n">
        <v>13.19736939836326</v>
      </c>
      <c r="J61" s="47" t="n">
        <v>56.28277025868075</v>
      </c>
      <c r="K61" s="47" t="n">
        <v>173.3679694082312</v>
      </c>
      <c r="L61" s="47" t="n">
        <v>-12.00046327525976</v>
      </c>
      <c r="M61" s="47" t="n">
        <v>-25.60953040108339</v>
      </c>
      <c r="N61" s="47" t="n">
        <v>-32.37061870941294</v>
      </c>
    </row>
    <row r="62">
      <c r="A62" s="47" t="n">
        <v>-30</v>
      </c>
      <c r="B62" s="47" t="n">
        <v>25</v>
      </c>
      <c r="C62" s="47" t="n">
        <v>336.9764483808808</v>
      </c>
      <c r="D62" s="47" t="n">
        <v>1106.922435933537</v>
      </c>
      <c r="E62" s="47" t="n">
        <v>4715.173514440928</v>
      </c>
      <c r="F62" s="47" t="n">
        <v>0.7935067008411355</v>
      </c>
      <c r="G62" s="47" t="n">
        <v>14605.92076461545</v>
      </c>
      <c r="H62" s="47" t="n">
        <v>-14268.94431623457</v>
      </c>
      <c r="I62" s="47" t="n">
        <v>13.14457307636269</v>
      </c>
      <c r="J62" s="47" t="n">
        <v>55.99212809886532</v>
      </c>
      <c r="K62" s="47" t="n">
        <v>173.4435825001008</v>
      </c>
      <c r="L62" s="47" t="n">
        <v>-11.99246038468037</v>
      </c>
      <c r="M62" s="47" t="n">
        <v>-25.34575201842345</v>
      </c>
      <c r="N62" s="47" t="n">
        <v>-32.38729059198083</v>
      </c>
    </row>
    <row r="63">
      <c r="A63" s="47" t="n">
        <v>-29.5</v>
      </c>
      <c r="B63" s="47" t="n">
        <v>25</v>
      </c>
      <c r="C63" s="47" t="n">
        <v>326.2473250327614</v>
      </c>
      <c r="D63" s="47" t="n">
        <v>1102.622100101891</v>
      </c>
      <c r="E63" s="47" t="n">
        <v>4691.288038569361</v>
      </c>
      <c r="F63" s="47" t="n">
        <v>0.8166511254230964</v>
      </c>
      <c r="G63" s="47" t="n">
        <v>14614.27394913712</v>
      </c>
      <c r="H63" s="47" t="n">
        <v>-14288.02662410436</v>
      </c>
      <c r="I63" s="47" t="n">
        <v>13.09350709670866</v>
      </c>
      <c r="J63" s="47" t="n">
        <v>55.70849089641516</v>
      </c>
      <c r="K63" s="47" t="n">
        <v>173.5427755788578</v>
      </c>
      <c r="L63" s="47" t="n">
        <v>-11.9847197801834</v>
      </c>
      <c r="M63" s="47" t="n">
        <v>-25.09445834061698</v>
      </c>
      <c r="N63" s="47" t="n">
        <v>-32.36703269152056</v>
      </c>
    </row>
    <row r="64">
      <c r="A64" s="47" t="n">
        <v>-29</v>
      </c>
      <c r="B64" s="47" t="n">
        <v>25</v>
      </c>
      <c r="C64" s="47" t="n">
        <v>331.8773601234619</v>
      </c>
      <c r="D64" s="47" t="n">
        <v>1099.402639014063</v>
      </c>
      <c r="E64" s="47" t="n">
        <v>4668.056390519633</v>
      </c>
      <c r="F64" s="47" t="n">
        <v>0.8383720574564479</v>
      </c>
      <c r="G64" s="47" t="n">
        <v>14621.07346664604</v>
      </c>
      <c r="H64" s="47" t="n">
        <v>-14289.19610652258</v>
      </c>
      <c r="I64" s="47" t="n">
        <v>13.05527637686623</v>
      </c>
      <c r="J64" s="47" t="n">
        <v>55.43261782205973</v>
      </c>
      <c r="K64" s="47" t="n">
        <v>173.6235190454989</v>
      </c>
      <c r="L64" s="47" t="n">
        <v>-11.97892475022531</v>
      </c>
      <c r="M64" s="47" t="n">
        <v>-24.85715298582731</v>
      </c>
      <c r="N64" s="47" t="n">
        <v>-32.42398613192027</v>
      </c>
    </row>
    <row r="65">
      <c r="A65" s="47" t="n">
        <v>-28.5</v>
      </c>
      <c r="B65" s="47" t="n">
        <v>25</v>
      </c>
      <c r="C65" s="47" t="n">
        <v>310.2424726216749</v>
      </c>
      <c r="D65" s="47" t="n">
        <v>1095.432597124873</v>
      </c>
      <c r="E65" s="47" t="n">
        <v>4645.540480618124</v>
      </c>
      <c r="F65" s="47" t="n">
        <v>0.8585217239812488</v>
      </c>
      <c r="G65" s="47" t="n">
        <v>14632.4426235159</v>
      </c>
      <c r="H65" s="47" t="n">
        <v>-14322.20015089423</v>
      </c>
      <c r="I65" s="47" t="n">
        <v>13.00813259873451</v>
      </c>
      <c r="J65" s="47" t="n">
        <v>55.16524405360632</v>
      </c>
      <c r="K65" s="47" t="n">
        <v>173.7585264393696</v>
      </c>
      <c r="L65" s="47" t="n">
        <v>-11.97177867482477</v>
      </c>
      <c r="M65" s="47" t="n">
        <v>-24.63527734928139</v>
      </c>
      <c r="N65" s="47" t="n">
        <v>-32.36405041140279</v>
      </c>
    </row>
    <row r="66">
      <c r="A66" s="47" t="n">
        <v>-28</v>
      </c>
      <c r="B66" s="47" t="n">
        <v>25</v>
      </c>
      <c r="C66" s="47" t="n">
        <v>313.2831784265769</v>
      </c>
      <c r="D66" s="47" t="n">
        <v>1092.700206978161</v>
      </c>
      <c r="E66" s="47" t="n">
        <v>4623.799759710701</v>
      </c>
      <c r="F66" s="47" t="n">
        <v>0.8769605290700035</v>
      </c>
      <c r="G66" s="47" t="n">
        <v>14641.12386677761</v>
      </c>
      <c r="H66" s="47" t="n">
        <v>-14327.84068835103</v>
      </c>
      <c r="I66" s="47" t="n">
        <v>12.97568578874073</v>
      </c>
      <c r="J66" s="47" t="n">
        <v>54.90707556282186</v>
      </c>
      <c r="K66" s="47" t="n">
        <v>173.8616151768844</v>
      </c>
      <c r="L66" s="47" t="n">
        <v>-11.96686037256069</v>
      </c>
      <c r="M66" s="47" t="n">
        <v>-24.43019480584923</v>
      </c>
      <c r="N66" s="47" t="n">
        <v>-32.41620795604306</v>
      </c>
    </row>
    <row r="67">
      <c r="A67" s="47" t="n">
        <v>-27.5</v>
      </c>
      <c r="B67" s="47" t="n">
        <v>25</v>
      </c>
      <c r="C67" s="47" t="n">
        <v>296.8437612591667</v>
      </c>
      <c r="D67" s="47" t="n">
        <v>1089.349444497375</v>
      </c>
      <c r="E67" s="47" t="n">
        <v>4602.890795551278</v>
      </c>
      <c r="F67" s="47" t="n">
        <v>0.8935586602003637</v>
      </c>
      <c r="G67" s="47" t="n">
        <v>14653.31124471122</v>
      </c>
      <c r="H67" s="47" t="n">
        <v>-14356.46748345205</v>
      </c>
      <c r="I67" s="47" t="n">
        <v>12.9358958803782</v>
      </c>
      <c r="J67" s="47" t="n">
        <v>54.65878408509712</v>
      </c>
      <c r="K67" s="47" t="n">
        <v>174.0063388491645</v>
      </c>
      <c r="L67" s="47" t="n">
        <v>-11.96082900009528</v>
      </c>
      <c r="M67" s="47" t="n">
        <v>-24.24317549018903</v>
      </c>
      <c r="N67" s="47" t="n">
        <v>-32.38163646942051</v>
      </c>
    </row>
    <row r="68">
      <c r="A68" s="47" t="n">
        <v>-27</v>
      </c>
      <c r="B68" s="47" t="n">
        <v>25</v>
      </c>
      <c r="C68" s="47" t="n">
        <v>289.342268541003</v>
      </c>
      <c r="D68" s="47" t="n">
        <v>1086.429301032079</v>
      </c>
      <c r="E68" s="47" t="n">
        <v>4582.86687082678</v>
      </c>
      <c r="F68" s="47" t="n">
        <v>0.9081976077480743</v>
      </c>
      <c r="G68" s="47" t="n">
        <v>14665.03655669067</v>
      </c>
      <c r="H68" s="47" t="n">
        <v>-14375.69428814967</v>
      </c>
      <c r="I68" s="47" t="n">
        <v>12.90121952192073</v>
      </c>
      <c r="J68" s="47" t="n">
        <v>54.42100234604079</v>
      </c>
      <c r="K68" s="47" t="n">
        <v>174.1455755428604</v>
      </c>
      <c r="L68" s="47" t="n">
        <v>-11.95557274185774</v>
      </c>
      <c r="M68" s="47" t="n">
        <v>-24.07538189775553</v>
      </c>
      <c r="N68" s="47" t="n">
        <v>-32.40492441569229</v>
      </c>
    </row>
    <row r="69">
      <c r="A69" s="47" t="n">
        <v>-26.5</v>
      </c>
      <c r="B69" s="47" t="n">
        <v>25</v>
      </c>
      <c r="C69" s="47" t="n">
        <v>290.5597784751114</v>
      </c>
      <c r="D69" s="47" t="n">
        <v>1083.847759485248</v>
      </c>
      <c r="E69" s="47" t="n">
        <v>4563.777608834263</v>
      </c>
      <c r="F69" s="47" t="n">
        <v>0.9207715727628553</v>
      </c>
      <c r="G69" s="47" t="n">
        <v>14676.33880995205</v>
      </c>
      <c r="H69" s="47" t="n">
        <v>-14385.77903147693</v>
      </c>
      <c r="I69" s="47" t="n">
        <v>12.87056402121859</v>
      </c>
      <c r="J69" s="47" t="n">
        <v>54.19431961643937</v>
      </c>
      <c r="K69" s="47" t="n">
        <v>174.2797884642891</v>
      </c>
      <c r="L69" s="47" t="n">
        <v>-11.95092596707345</v>
      </c>
      <c r="M69" s="47" t="n">
        <v>-23.92785554103597</v>
      </c>
      <c r="N69" s="47" t="n">
        <v>-32.43325608150432</v>
      </c>
    </row>
    <row r="70">
      <c r="A70" s="47" t="n">
        <v>-26</v>
      </c>
      <c r="B70" s="47" t="n">
        <v>25</v>
      </c>
      <c r="C70" s="47" t="n">
        <v>271.7435298342176</v>
      </c>
      <c r="D70" s="47" t="n">
        <v>1080.37820905989</v>
      </c>
      <c r="E70" s="47" t="n">
        <v>4545.668632472401</v>
      </c>
      <c r="F70" s="47" t="n">
        <v>0.9311887396574456</v>
      </c>
      <c r="G70" s="47" t="n">
        <v>14691.24974060257</v>
      </c>
      <c r="H70" s="47" t="n">
        <v>-14419.50621076836</v>
      </c>
      <c r="I70" s="47" t="n">
        <v>12.82936352005629</v>
      </c>
      <c r="J70" s="47" t="n">
        <v>53.9792776628215</v>
      </c>
      <c r="K70" s="47" t="n">
        <v>174.4568540031289</v>
      </c>
      <c r="L70" s="47" t="n">
        <v>-11.9446807763078</v>
      </c>
      <c r="M70" s="47" t="n">
        <v>-23.80150488153331</v>
      </c>
      <c r="N70" s="47" t="n">
        <v>-32.5080895399995</v>
      </c>
    </row>
    <row r="71">
      <c r="A71" s="47" t="n">
        <v>-25.5</v>
      </c>
      <c r="B71" s="47" t="n">
        <v>25</v>
      </c>
      <c r="C71" s="47" t="n">
        <v>271.7227708541989</v>
      </c>
      <c r="D71" s="47" t="n">
        <v>1077.50620610041</v>
      </c>
      <c r="E71" s="47" t="n">
        <v>4528.581261736598</v>
      </c>
      <c r="F71" s="47" t="n">
        <v>0.9393723924054478</v>
      </c>
      <c r="G71" s="47" t="n">
        <v>14704.33755909023</v>
      </c>
      <c r="H71" s="47" t="n">
        <v>-14432.61478823603</v>
      </c>
      <c r="I71" s="47" t="n">
        <v>12.79525882441465</v>
      </c>
      <c r="J71" s="47" t="n">
        <v>53.77636715524808</v>
      </c>
      <c r="K71" s="47" t="n">
        <v>174.6122703005464</v>
      </c>
      <c r="L71" s="47" t="n">
        <v>-11.93951117098074</v>
      </c>
      <c r="M71" s="47" t="n">
        <v>-23.69709473947685</v>
      </c>
      <c r="N71" s="47" t="n">
        <v>-32.53042512157416</v>
      </c>
    </row>
    <row r="72">
      <c r="A72" s="47" t="n">
        <v>-25</v>
      </c>
      <c r="B72" s="47" t="n">
        <v>25</v>
      </c>
      <c r="C72" s="47" t="n">
        <v>260.2713841318971</v>
      </c>
      <c r="D72" s="47" t="n">
        <v>1073.965899759929</v>
      </c>
      <c r="E72" s="47" t="n">
        <v>4512.552254322947</v>
      </c>
      <c r="F72" s="47" t="n">
        <v>0.9452618552711984</v>
      </c>
      <c r="G72" s="47" t="n">
        <v>14719.83615226988</v>
      </c>
      <c r="H72" s="47" t="n">
        <v>-14459.56476813798</v>
      </c>
      <c r="I72" s="47" t="n">
        <v>12.75321810512441</v>
      </c>
      <c r="J72" s="47" t="n">
        <v>53.5860245870151</v>
      </c>
      <c r="K72" s="47" t="n">
        <v>174.7963142624514</v>
      </c>
      <c r="L72" s="47" t="n">
        <v>-11.93313861956787</v>
      </c>
      <c r="M72" s="47" t="n">
        <v>-23.61523736034052</v>
      </c>
      <c r="N72" s="47" t="n">
        <v>-32.60830376076323</v>
      </c>
    </row>
    <row r="73">
      <c r="A73" s="47" t="n">
        <v>-24.5</v>
      </c>
      <c r="B73" s="47" t="n">
        <v>25</v>
      </c>
      <c r="C73" s="47" t="n">
        <v>276.4936352896954</v>
      </c>
      <c r="D73" s="47" t="n">
        <v>1071.277136928105</v>
      </c>
      <c r="E73" s="47" t="n">
        <v>4497.613593262742</v>
      </c>
      <c r="F73" s="47" t="n">
        <v>0.9488132419368659</v>
      </c>
      <c r="G73" s="47" t="n">
        <v>14732.27105346808</v>
      </c>
      <c r="H73" s="47" t="n">
        <v>-14455.77741817838</v>
      </c>
      <c r="I73" s="47" t="n">
        <v>12.72128936433769</v>
      </c>
      <c r="J73" s="47" t="n">
        <v>53.40862975283842</v>
      </c>
      <c r="K73" s="47" t="n">
        <v>174.9439772442386</v>
      </c>
      <c r="L73" s="47" t="n">
        <v>-11.92829884647059</v>
      </c>
      <c r="M73" s="47" t="n">
        <v>-23.55638529044114</v>
      </c>
      <c r="N73" s="47" t="n">
        <v>-32.55989635618594</v>
      </c>
    </row>
    <row r="74">
      <c r="A74" s="47" t="n">
        <v>-24</v>
      </c>
      <c r="B74" s="47" t="n">
        <v>25</v>
      </c>
      <c r="C74" s="47" t="n">
        <v>268.5791759815676</v>
      </c>
      <c r="D74" s="47" t="n">
        <v>1067.33705699137</v>
      </c>
      <c r="E74" s="47" t="n">
        <v>4483.792324740323</v>
      </c>
      <c r="F74" s="47" t="n">
        <v>0.9500000000893978</v>
      </c>
      <c r="G74" s="47" t="n">
        <v>14748.89372234097</v>
      </c>
      <c r="H74" s="47" t="n">
        <v>-14480.3145463594</v>
      </c>
      <c r="I74" s="47" t="n">
        <v>12.67450138084953</v>
      </c>
      <c r="J74" s="47" t="n">
        <v>53.24450382295991</v>
      </c>
      <c r="K74" s="47" t="n">
        <v>175.1413694721228</v>
      </c>
      <c r="L74" s="47" t="n">
        <v>-11.92120670258447</v>
      </c>
      <c r="M74" s="47" t="n">
        <v>-23.520826183728</v>
      </c>
      <c r="N74" s="47" t="n">
        <v>-32.63359447189012</v>
      </c>
    </row>
    <row r="75">
      <c r="A75" s="47" t="n">
        <v>-23.5</v>
      </c>
      <c r="B75" s="47" t="n">
        <v>25</v>
      </c>
      <c r="C75" s="47" t="n">
        <v>273.9345988471122</v>
      </c>
      <c r="D75" s="47" t="n">
        <v>1063.626439168426</v>
      </c>
      <c r="E75" s="47" t="n">
        <v>4471.110448409133</v>
      </c>
      <c r="F75" s="47" t="n">
        <v>0.9488132420144012</v>
      </c>
      <c r="G75" s="47" t="n">
        <v>14764.46311292151</v>
      </c>
      <c r="H75" s="47" t="n">
        <v>-14490.5285140744</v>
      </c>
      <c r="I75" s="47" t="n">
        <v>12.63043823283772</v>
      </c>
      <c r="J75" s="47" t="n">
        <v>53.09390804066363</v>
      </c>
      <c r="K75" s="47" t="n">
        <v>175.3262541447943</v>
      </c>
      <c r="L75" s="47" t="n">
        <v>-11.91452759050317</v>
      </c>
      <c r="M75" s="47" t="n">
        <v>-23.50867962900683</v>
      </c>
      <c r="N75" s="47" t="n">
        <v>-32.6510542263223</v>
      </c>
    </row>
    <row r="76">
      <c r="A76" s="47" t="n">
        <v>-23</v>
      </c>
      <c r="B76" s="47" t="n">
        <v>25</v>
      </c>
      <c r="C76" s="47" t="n">
        <v>279.55588840773</v>
      </c>
      <c r="D76" s="47" t="n">
        <v>1059.625353069986</v>
      </c>
      <c r="E76" s="47" t="n">
        <v>4459.584861632389</v>
      </c>
      <c r="F76" s="47" t="n">
        <v>0.9452618554392868</v>
      </c>
      <c r="G76" s="47" t="n">
        <v>14780.79352174395</v>
      </c>
      <c r="H76" s="47" t="n">
        <v>-14501.23763333622</v>
      </c>
      <c r="I76" s="47" t="n">
        <v>12.58292580839091</v>
      </c>
      <c r="J76" s="47" t="n">
        <v>52.95704306014031</v>
      </c>
      <c r="K76" s="47" t="n">
        <v>175.5201758191277</v>
      </c>
      <c r="L76" s="47" t="n">
        <v>-11.90732563552597</v>
      </c>
      <c r="M76" s="47" t="n">
        <v>-23.51989605198472</v>
      </c>
      <c r="N76" s="47" t="n">
        <v>-32.6751605611387</v>
      </c>
    </row>
    <row r="77">
      <c r="A77" s="47" t="n">
        <v>-22.5</v>
      </c>
      <c r="B77" s="47" t="n">
        <v>25</v>
      </c>
      <c r="C77" s="47" t="n">
        <v>286.69936407981</v>
      </c>
      <c r="D77" s="47" t="n">
        <v>1055.400399716339</v>
      </c>
      <c r="E77" s="47" t="n">
        <v>4449.227358155205</v>
      </c>
      <c r="F77" s="47" t="n">
        <v>0.9393723926920916</v>
      </c>
      <c r="G77" s="47" t="n">
        <v>14797.70065261399</v>
      </c>
      <c r="H77" s="47" t="n">
        <v>-14511.00128853418</v>
      </c>
      <c r="I77" s="47" t="n">
        <v>12.53275498675209</v>
      </c>
      <c r="J77" s="47" t="n">
        <v>52.83404893071904</v>
      </c>
      <c r="K77" s="47" t="n">
        <v>175.7209459996015</v>
      </c>
      <c r="L77" s="47" t="n">
        <v>-11.89972071948941</v>
      </c>
      <c r="M77" s="47" t="n">
        <v>-23.55425771045055</v>
      </c>
      <c r="N77" s="47" t="n">
        <v>-32.69400319534396</v>
      </c>
    </row>
    <row r="78">
      <c r="A78" s="47" t="n">
        <v>-22</v>
      </c>
      <c r="B78" s="47" t="n">
        <v>25</v>
      </c>
      <c r="C78" s="47" t="n">
        <v>316.6082081776694</v>
      </c>
      <c r="D78" s="47" t="n">
        <v>1051.833816935632</v>
      </c>
      <c r="E78" s="47" t="n">
        <v>4440.044680785027</v>
      </c>
      <c r="F78" s="47" t="n">
        <v>0.9311887401098284</v>
      </c>
      <c r="G78" s="47" t="n">
        <v>14812.19990504116</v>
      </c>
      <c r="H78" s="47" t="n">
        <v>-14495.59169686349</v>
      </c>
      <c r="I78" s="47" t="n">
        <v>12.49040223784032</v>
      </c>
      <c r="J78" s="47" t="n">
        <v>52.72500572244115</v>
      </c>
      <c r="K78" s="47" t="n">
        <v>175.8931229082038</v>
      </c>
      <c r="L78" s="47" t="n">
        <v>-11.89330087048414</v>
      </c>
      <c r="M78" s="47" t="n">
        <v>-23.61138176442459</v>
      </c>
      <c r="N78" s="47" t="n">
        <v>-32.71237948538064</v>
      </c>
    </row>
    <row r="79">
      <c r="A79" s="47" t="n">
        <v>-21.5</v>
      </c>
      <c r="B79" s="47" t="n">
        <v>25</v>
      </c>
      <c r="C79" s="47" t="n">
        <v>332.4494775976942</v>
      </c>
      <c r="D79" s="47" t="n">
        <v>1047.500642314963</v>
      </c>
      <c r="E79" s="47" t="n">
        <v>4432.038626737618</v>
      </c>
      <c r="F79" s="47" t="n">
        <v>0.920771573454323</v>
      </c>
      <c r="G79" s="47" t="n">
        <v>14829.43520052092</v>
      </c>
      <c r="H79" s="47" t="n">
        <v>-14496.98572292323</v>
      </c>
      <c r="I79" s="47" t="n">
        <v>12.43894630144855</v>
      </c>
      <c r="J79" s="47" t="n">
        <v>52.62993477703138</v>
      </c>
      <c r="K79" s="47" t="n">
        <v>176.0977900046254</v>
      </c>
      <c r="L79" s="47" t="n">
        <v>-11.88550115616693</v>
      </c>
      <c r="M79" s="47" t="n">
        <v>-23.69072536703881</v>
      </c>
      <c r="N79" s="47" t="n">
        <v>-32.78131413876208</v>
      </c>
    </row>
    <row r="80">
      <c r="A80" s="47" t="n">
        <v>-21</v>
      </c>
      <c r="B80" s="47" t="n">
        <v>25</v>
      </c>
      <c r="C80" s="47" t="n">
        <v>317.9181288017518</v>
      </c>
      <c r="D80" s="47" t="n">
        <v>1041.812199192619</v>
      </c>
      <c r="E80" s="47" t="n">
        <v>4425.206203416996</v>
      </c>
      <c r="F80" s="47" t="n">
        <v>0.9081976087888108</v>
      </c>
      <c r="G80" s="47" t="n">
        <v>14851.67443251006</v>
      </c>
      <c r="H80" s="47" t="n">
        <v>-14533.75630370831</v>
      </c>
      <c r="I80" s="47" t="n">
        <v>12.37139671180696</v>
      </c>
      <c r="J80" s="47" t="n">
        <v>52.54880055776621</v>
      </c>
      <c r="K80" s="47" t="n">
        <v>176.3618782555758</v>
      </c>
      <c r="L80" s="47" t="n">
        <v>-11.87526195854671</v>
      </c>
      <c r="M80" s="47" t="n">
        <v>-23.7915926870513</v>
      </c>
      <c r="N80" s="47" t="n">
        <v>-32.74116609383862</v>
      </c>
    </row>
    <row r="81">
      <c r="A81" s="47" t="n">
        <v>-20.5</v>
      </c>
      <c r="B81" s="47" t="n">
        <v>25</v>
      </c>
      <c r="C81" s="47" t="n">
        <v>343.3798658737078</v>
      </c>
      <c r="D81" s="47" t="n">
        <v>1037.660789393962</v>
      </c>
      <c r="E81" s="47" t="n">
        <v>4419.5398315595</v>
      </c>
      <c r="F81" s="47" t="n">
        <v>0.8935586617531279</v>
      </c>
      <c r="G81" s="47" t="n">
        <v>14869.04948670286</v>
      </c>
      <c r="H81" s="47" t="n">
        <v>-14525.66962082915</v>
      </c>
      <c r="I81" s="47" t="n">
        <v>12.32209921118999</v>
      </c>
      <c r="J81" s="47" t="n">
        <v>52.48151306178563</v>
      </c>
      <c r="K81" s="47" t="n">
        <v>176.5682049701937</v>
      </c>
      <c r="L81" s="47" t="n">
        <v>-11.86778942090913</v>
      </c>
      <c r="M81" s="47" t="n">
        <v>-23.91314374102895</v>
      </c>
      <c r="N81" s="47" t="n">
        <v>-32.83730429196261</v>
      </c>
    </row>
    <row r="82">
      <c r="A82" s="47" t="n">
        <v>-20</v>
      </c>
      <c r="B82" s="47" t="n">
        <v>25</v>
      </c>
      <c r="C82" s="47" t="n">
        <v>338.1583070998273</v>
      </c>
      <c r="D82" s="47" t="n">
        <v>1032.309830644872</v>
      </c>
      <c r="E82" s="47" t="n">
        <v>4415.027591902696</v>
      </c>
      <c r="F82" s="47" t="n">
        <v>0.8769605313729038</v>
      </c>
      <c r="G82" s="47" t="n">
        <v>14891.43606220631</v>
      </c>
      <c r="H82" s="47" t="n">
        <v>-14553.27775510648</v>
      </c>
      <c r="I82" s="47" t="n">
        <v>12.25855720858643</v>
      </c>
      <c r="J82" s="47" t="n">
        <v>52.42793074925721</v>
      </c>
      <c r="K82" s="47" t="n">
        <v>176.8340429079589</v>
      </c>
      <c r="L82" s="47" t="n">
        <v>-11.85815769516077</v>
      </c>
      <c r="M82" s="47" t="n">
        <v>-24.05440488306872</v>
      </c>
      <c r="N82" s="47" t="n">
        <v>-32.81609054763751</v>
      </c>
    </row>
    <row r="83">
      <c r="A83" s="47" t="n">
        <v>-19.5</v>
      </c>
      <c r="B83" s="47" t="n">
        <v>25</v>
      </c>
      <c r="C83" s="47" t="n">
        <v>363.814542334925</v>
      </c>
      <c r="D83" s="47" t="n">
        <v>1028.323386141017</v>
      </c>
      <c r="E83" s="47" t="n">
        <v>4411.653510855628</v>
      </c>
      <c r="F83" s="47" t="n">
        <v>0.8585217273803433</v>
      </c>
      <c r="G83" s="47" t="n">
        <v>14910.1945634452</v>
      </c>
      <c r="H83" s="47" t="n">
        <v>-14546.38002111027</v>
      </c>
      <c r="I83" s="47" t="n">
        <v>12.21121865134453</v>
      </c>
      <c r="J83" s="47" t="n">
        <v>52.38786393567658</v>
      </c>
      <c r="K83" s="47" t="n">
        <v>177.0567978927105</v>
      </c>
      <c r="L83" s="47" t="n">
        <v>-11.85098209505383</v>
      </c>
      <c r="M83" s="47" t="n">
        <v>-24.21428077311704</v>
      </c>
      <c r="N83" s="47" t="n">
        <v>-32.92910738672525</v>
      </c>
    </row>
    <row r="84">
      <c r="A84" s="47" t="n">
        <v>-19</v>
      </c>
      <c r="B84" s="47" t="n">
        <v>25</v>
      </c>
      <c r="C84" s="47" t="n">
        <v>371.186419883424</v>
      </c>
      <c r="D84" s="47" t="n">
        <v>1023.845810426863</v>
      </c>
      <c r="E84" s="47" t="n">
        <v>4409.397880062132</v>
      </c>
      <c r="F84" s="47" t="n">
        <v>0.8383720624520692</v>
      </c>
      <c r="G84" s="47" t="n">
        <v>14932.18463530832</v>
      </c>
      <c r="H84" s="47" t="n">
        <v>-14560.9982154249</v>
      </c>
      <c r="I84" s="47" t="n">
        <v>12.15804796903741</v>
      </c>
      <c r="J84" s="47" t="n">
        <v>52.36107858664406</v>
      </c>
      <c r="K84" s="47" t="n">
        <v>177.3179273966179</v>
      </c>
      <c r="L84" s="47" t="n">
        <v>-11.84292245876835</v>
      </c>
      <c r="M84" s="47" t="n">
        <v>-24.39156762204322</v>
      </c>
      <c r="N84" s="47" t="n">
        <v>-32.9628355398118</v>
      </c>
    </row>
    <row r="85">
      <c r="A85" s="47" t="n">
        <v>-18.5</v>
      </c>
      <c r="B85" s="47" t="n">
        <v>25</v>
      </c>
      <c r="C85" s="47" t="n">
        <v>365.6884368087795</v>
      </c>
      <c r="D85" s="47" t="n">
        <v>1019.211582593577</v>
      </c>
      <c r="E85" s="47" t="n">
        <v>4408.237604274964</v>
      </c>
      <c r="F85" s="47" t="n">
        <v>0.8166511327352994</v>
      </c>
      <c r="G85" s="47" t="n">
        <v>14956.62321910731</v>
      </c>
      <c r="H85" s="47" t="n">
        <v>-14590.93478229853</v>
      </c>
      <c r="I85" s="47" t="n">
        <v>12.10301706133359</v>
      </c>
      <c r="J85" s="47" t="n">
        <v>52.34730044882874</v>
      </c>
      <c r="K85" s="47" t="n">
        <v>177.6081326903228</v>
      </c>
      <c r="L85" s="47" t="n">
        <v>-11.83458084866844</v>
      </c>
      <c r="M85" s="47" t="n">
        <v>-24.58496749307724</v>
      </c>
      <c r="N85" s="47" t="n">
        <v>-32.94137141590524</v>
      </c>
    </row>
    <row r="86">
      <c r="A86" s="47" t="n">
        <v>-18</v>
      </c>
      <c r="B86" s="47" t="n">
        <v>25</v>
      </c>
      <c r="C86" s="47" t="n">
        <v>392.0220541536099</v>
      </c>
      <c r="D86" s="47" t="n">
        <v>1016.331360482979</v>
      </c>
      <c r="E86" s="47" t="n">
        <v>4408.14657160396</v>
      </c>
      <c r="F86" s="47" t="n">
        <v>0.7935067115016943</v>
      </c>
      <c r="G86" s="47" t="n">
        <v>14977.22515424655</v>
      </c>
      <c r="H86" s="47" t="n">
        <v>-14585.20310009295</v>
      </c>
      <c r="I86" s="47" t="n">
        <v>12.06881476424402</v>
      </c>
      <c r="J86" s="47" t="n">
        <v>52.34621944662163</v>
      </c>
      <c r="K86" s="47" t="n">
        <v>177.8527782347271</v>
      </c>
      <c r="L86" s="47" t="n">
        <v>-11.82939644886936</v>
      </c>
      <c r="M86" s="47" t="n">
        <v>-24.79310342537188</v>
      </c>
      <c r="N86" s="47" t="n">
        <v>-33.06114880716409</v>
      </c>
    </row>
    <row r="87">
      <c r="A87" s="47" t="n">
        <v>-17.5</v>
      </c>
      <c r="B87" s="47" t="n">
        <v>25</v>
      </c>
      <c r="C87" s="47" t="n">
        <v>397.0709705715657</v>
      </c>
      <c r="D87" s="47" t="n">
        <v>1013.205282077105</v>
      </c>
      <c r="E87" s="47" t="n">
        <v>4409.096039971746</v>
      </c>
      <c r="F87" s="47" t="n">
        <v>0.7690930817158687</v>
      </c>
      <c r="G87" s="47" t="n">
        <v>15001.39789080635</v>
      </c>
      <c r="H87" s="47" t="n">
        <v>-14604.32692023479</v>
      </c>
      <c r="I87" s="47" t="n">
        <v>12.03169295271095</v>
      </c>
      <c r="J87" s="47" t="n">
        <v>52.35749427125153</v>
      </c>
      <c r="K87" s="47" t="n">
        <v>178.1398266238926</v>
      </c>
      <c r="L87" s="47" t="n">
        <v>-11.82376950773879</v>
      </c>
      <c r="M87" s="47" t="n">
        <v>-25.01453513650632</v>
      </c>
      <c r="N87" s="47" t="n">
        <v>-33.09881823698738</v>
      </c>
    </row>
    <row r="88">
      <c r="A88" s="47" t="n">
        <v>-17</v>
      </c>
      <c r="B88" s="47" t="n">
        <v>25</v>
      </c>
      <c r="C88" s="47" t="n">
        <v>381.3731024685083</v>
      </c>
      <c r="D88" s="47" t="n">
        <v>1009.979232008099</v>
      </c>
      <c r="E88" s="47" t="n">
        <v>4411.055033508008</v>
      </c>
      <c r="F88" s="47" t="n">
        <v>0.7435693337234461</v>
      </c>
      <c r="G88" s="47" t="n">
        <v>15029.03546818499</v>
      </c>
      <c r="H88" s="47" t="n">
        <v>-14647.66236571649</v>
      </c>
      <c r="I88" s="47" t="n">
        <v>11.99338398949593</v>
      </c>
      <c r="J88" s="47" t="n">
        <v>52.38075708792017</v>
      </c>
      <c r="K88" s="47" t="n">
        <v>178.4680195881998</v>
      </c>
      <c r="L88" s="47" t="n">
        <v>-11.81796261761458</v>
      </c>
      <c r="M88" s="47" t="n">
        <v>-25.2477750568034</v>
      </c>
      <c r="N88" s="47" t="n">
        <v>-33.05602911385848</v>
      </c>
    </row>
    <row r="89">
      <c r="A89" s="47" t="n">
        <v>-16.5</v>
      </c>
      <c r="B89" s="47" t="n">
        <v>25</v>
      </c>
      <c r="C89" s="47" t="n">
        <v>387.1431058674635</v>
      </c>
      <c r="D89" s="47" t="n">
        <v>1008.46307687773</v>
      </c>
      <c r="E89" s="47" t="n">
        <v>4413.990742636895</v>
      </c>
      <c r="F89" s="47" t="n">
        <v>0.7170976541555157</v>
      </c>
      <c r="G89" s="47" t="n">
        <v>15054.19542273615</v>
      </c>
      <c r="H89" s="47" t="n">
        <v>-14667.05231686869</v>
      </c>
      <c r="I89" s="47" t="n">
        <v>11.97537982654894</v>
      </c>
      <c r="J89" s="47" t="n">
        <v>52.41561828679274</v>
      </c>
      <c r="K89" s="47" t="n">
        <v>178.7667910743128</v>
      </c>
      <c r="L89" s="47" t="n">
        <v>-11.81523353837991</v>
      </c>
      <c r="M89" s="47" t="n">
        <v>-25.49130444934677</v>
      </c>
      <c r="N89" s="47" t="n">
        <v>-33.11175666032832</v>
      </c>
    </row>
    <row r="90">
      <c r="A90" s="47" t="n">
        <v>-16</v>
      </c>
      <c r="B90" s="47" t="n">
        <v>25</v>
      </c>
      <c r="C90" s="47" t="n">
        <v>413.2956148642764</v>
      </c>
      <c r="D90" s="47" t="n">
        <v>1008.728927986176</v>
      </c>
      <c r="E90" s="47" t="n">
        <v>4417.868921757957</v>
      </c>
      <c r="F90" s="47" t="n">
        <v>0.6898416315292177</v>
      </c>
      <c r="G90" s="47" t="n">
        <v>15076.99559977411</v>
      </c>
      <c r="H90" s="47" t="n">
        <v>-14663.69998490983</v>
      </c>
      <c r="I90" s="47" t="n">
        <v>11.97853677703522</v>
      </c>
      <c r="J90" s="47" t="n">
        <v>52.46167120541214</v>
      </c>
      <c r="K90" s="47" t="n">
        <v>179.0375404814081</v>
      </c>
      <c r="L90" s="47" t="n">
        <v>-11.81571207037512</v>
      </c>
      <c r="M90" s="47" t="n">
        <v>-25.74358937540136</v>
      </c>
      <c r="N90" s="47" t="n">
        <v>-33.2165617217286</v>
      </c>
    </row>
    <row r="91">
      <c r="A91" s="47" t="n">
        <v>-15.5</v>
      </c>
      <c r="B91" s="47" t="n">
        <v>25</v>
      </c>
      <c r="C91" s="47" t="n">
        <v>405.1793484681727</v>
      </c>
      <c r="D91" s="47" t="n">
        <v>1008.697889498834</v>
      </c>
      <c r="E91" s="47" t="n">
        <v>4422.654278682052</v>
      </c>
      <c r="F91" s="47" t="n">
        <v>0.6619646029266818</v>
      </c>
      <c r="G91" s="47" t="n">
        <v>15105.0514485375</v>
      </c>
      <c r="H91" s="47" t="n">
        <v>-14699.87210006933</v>
      </c>
      <c r="I91" s="47" t="n">
        <v>11.97816819866713</v>
      </c>
      <c r="J91" s="47" t="n">
        <v>52.51849675320419</v>
      </c>
      <c r="K91" s="47" t="n">
        <v>179.3707003689649</v>
      </c>
      <c r="L91" s="47" t="n">
        <v>-11.8156562010979</v>
      </c>
      <c r="M91" s="47" t="n">
        <v>-26.00309627528756</v>
      </c>
      <c r="N91" s="47" t="n">
        <v>-33.19588566106989</v>
      </c>
    </row>
    <row r="92">
      <c r="A92" s="47" t="n">
        <v>-15</v>
      </c>
      <c r="B92" s="47" t="n">
        <v>25</v>
      </c>
      <c r="C92" s="47" t="n">
        <v>416.6302400609162</v>
      </c>
      <c r="D92" s="47" t="n">
        <v>1010.619669548946</v>
      </c>
      <c r="E92" s="47" t="n">
        <v>4428.310850350436</v>
      </c>
      <c r="F92" s="47" t="n">
        <v>0.6336280645964288</v>
      </c>
      <c r="G92" s="47" t="n">
        <v>15130.78865834882</v>
      </c>
      <c r="H92" s="47" t="n">
        <v>-14714.1584182879</v>
      </c>
      <c r="I92" s="47" t="n">
        <v>12.00098910958677</v>
      </c>
      <c r="J92" s="47" t="n">
        <v>52.58566787309757</v>
      </c>
      <c r="K92" s="47" t="n">
        <v>179.6763266930544</v>
      </c>
      <c r="L92" s="47" t="n">
        <v>-11.8191154051881</v>
      </c>
      <c r="M92" s="47" t="n">
        <v>-26.26830694926293</v>
      </c>
      <c r="N92" s="47" t="n">
        <v>-33.26610044680237</v>
      </c>
    </row>
    <row r="93">
      <c r="A93" s="47" t="n">
        <v>-14.5</v>
      </c>
      <c r="B93" s="47" t="n">
        <v>25</v>
      </c>
      <c r="C93" s="47" t="n">
        <v>425.3137375368846</v>
      </c>
      <c r="D93" s="47" t="n">
        <v>1013.683909927708</v>
      </c>
      <c r="E93" s="47" t="n">
        <v>4434.802359825959</v>
      </c>
      <c r="F93" s="47" t="n">
        <v>0.6049901673918389</v>
      </c>
      <c r="G93" s="47" t="n">
        <v>15157.2953150598</v>
      </c>
      <c r="H93" s="47" t="n">
        <v>-14731.98157752291</v>
      </c>
      <c r="I93" s="47" t="n">
        <v>12.03737660185781</v>
      </c>
      <c r="J93" s="47" t="n">
        <v>52.66275378075193</v>
      </c>
      <c r="K93" s="47" t="n">
        <v>179.9910901081203</v>
      </c>
      <c r="L93" s="47" t="n">
        <v>-11.82463103786987</v>
      </c>
      <c r="M93" s="47" t="n">
        <v>-26.53773274116017</v>
      </c>
      <c r="N93" s="47" t="n">
        <v>-33.32496431834289</v>
      </c>
    </row>
    <row r="94">
      <c r="A94" s="47" t="n">
        <v>-14</v>
      </c>
      <c r="B94" s="47" t="n">
        <v>25</v>
      </c>
      <c r="C94" s="47" t="n">
        <v>420.9575928892744</v>
      </c>
      <c r="D94" s="47" t="n">
        <v>1017.547334299875</v>
      </c>
      <c r="E94" s="47" t="n">
        <v>4442.092550086179</v>
      </c>
      <c r="F94" s="47" t="n">
        <v>0.576204315697497</v>
      </c>
      <c r="G94" s="47" t="n">
        <v>15185.96939296339</v>
      </c>
      <c r="H94" s="47" t="n">
        <v>-14765.01180007411</v>
      </c>
      <c r="I94" s="47" t="n">
        <v>12.08325430957825</v>
      </c>
      <c r="J94" s="47" t="n">
        <v>52.74932392831177</v>
      </c>
      <c r="K94" s="47" t="n">
        <v>180.3315913936356</v>
      </c>
      <c r="L94" s="47" t="n">
        <v>-11.83158520173978</v>
      </c>
      <c r="M94" s="47" t="n">
        <v>-26.80992774887765</v>
      </c>
      <c r="N94" s="47" t="n">
        <v>-33.34313669853154</v>
      </c>
    </row>
    <row r="95">
      <c r="A95" s="47" t="n">
        <v>-13.5</v>
      </c>
      <c r="B95" s="47" t="n">
        <v>25</v>
      </c>
      <c r="C95" s="47" t="n">
        <v>418.7700178970381</v>
      </c>
      <c r="D95" s="47" t="n">
        <v>1022.868553759841</v>
      </c>
      <c r="E95" s="47" t="n">
        <v>4450.145490754214</v>
      </c>
      <c r="F95" s="47" t="n">
        <v>0.5474178859593396</v>
      </c>
      <c r="G95" s="47" t="n">
        <v>15214.64029923832</v>
      </c>
      <c r="H95" s="47" t="n">
        <v>-14795.87028134129</v>
      </c>
      <c r="I95" s="47" t="n">
        <v>12.14644316163896</v>
      </c>
      <c r="J95" s="47" t="n">
        <v>52.84495164679894</v>
      </c>
      <c r="K95" s="47" t="n">
        <v>180.6720550164355</v>
      </c>
      <c r="L95" s="47" t="n">
        <v>-11.84116339676771</v>
      </c>
      <c r="M95" s="47" t="n">
        <v>-27.08350090972353</v>
      </c>
      <c r="N95" s="47" t="n">
        <v>-33.4278240089971</v>
      </c>
    </row>
    <row r="96">
      <c r="A96" s="47" t="n">
        <v>-13</v>
      </c>
      <c r="B96" s="47" t="n">
        <v>25</v>
      </c>
      <c r="C96" s="47" t="n">
        <v>432.8844458250974</v>
      </c>
      <c r="D96" s="47" t="n">
        <v>1030.244218800616</v>
      </c>
      <c r="E96" s="47" t="n">
        <v>4458.92585455797</v>
      </c>
      <c r="F96" s="47" t="n">
        <v>0.5187710781958308</v>
      </c>
      <c r="G96" s="47" t="n">
        <v>15241.28669712614</v>
      </c>
      <c r="H96" s="47" t="n">
        <v>-14808.40225130104</v>
      </c>
      <c r="I96" s="47" t="n">
        <v>12.23402831211382</v>
      </c>
      <c r="J96" s="47" t="n">
        <v>52.94921742903343</v>
      </c>
      <c r="K96" s="47" t="n">
        <v>180.9884778414574</v>
      </c>
      <c r="L96" s="47" t="n">
        <v>-11.85443959384111</v>
      </c>
      <c r="M96" s="47" t="n">
        <v>-27.35712683444187</v>
      </c>
      <c r="N96" s="47" t="n">
        <v>-33.43592119994287</v>
      </c>
    </row>
    <row r="97">
      <c r="A97" s="47" t="n">
        <v>-12.5</v>
      </c>
      <c r="B97" s="47" t="n">
        <v>25</v>
      </c>
      <c r="C97" s="47" t="n">
        <v>448.8683161255995</v>
      </c>
      <c r="D97" s="47" t="n">
        <v>1039.108048822282</v>
      </c>
      <c r="E97" s="47" t="n">
        <v>4468.399160995559</v>
      </c>
      <c r="F97" s="47" t="n">
        <v>0.4903959109944138</v>
      </c>
      <c r="G97" s="47" t="n">
        <v>15267.88536924082</v>
      </c>
      <c r="H97" s="47" t="n">
        <v>-14819.01705311522</v>
      </c>
      <c r="I97" s="47" t="n">
        <v>12.33928524581937</v>
      </c>
      <c r="J97" s="47" t="n">
        <v>53.06171182313129</v>
      </c>
      <c r="K97" s="47" t="n">
        <v>181.3043339285651</v>
      </c>
      <c r="L97" s="47" t="n">
        <v>-11.87039448788011</v>
      </c>
      <c r="M97" s="47" t="n">
        <v>-27.62955529084228</v>
      </c>
      <c r="N97" s="47" t="n">
        <v>-33.53008421784056</v>
      </c>
    </row>
    <row r="98">
      <c r="A98" s="47" t="n">
        <v>-12</v>
      </c>
      <c r="B98" s="47" t="n">
        <v>25</v>
      </c>
      <c r="C98" s="47" t="n">
        <v>437.9918993100179</v>
      </c>
      <c r="D98" s="47" t="n">
        <v>1048.300608621225</v>
      </c>
      <c r="E98" s="47" t="n">
        <v>4478.531985387254</v>
      </c>
      <c r="F98" s="47" t="n">
        <v>0.4624153675599209</v>
      </c>
      <c r="G98" s="47" t="n">
        <v>15298.41367837706</v>
      </c>
      <c r="H98" s="47" t="n">
        <v>-14860.42177906704</v>
      </c>
      <c r="I98" s="47" t="n">
        <v>12.44844580677063</v>
      </c>
      <c r="J98" s="47" t="n">
        <v>53.18203791497191</v>
      </c>
      <c r="K98" s="47" t="n">
        <v>181.6668539907776</v>
      </c>
      <c r="L98" s="47" t="n">
        <v>-11.88694109551821</v>
      </c>
      <c r="M98" s="47" t="n">
        <v>-27.89961926565777</v>
      </c>
      <c r="N98" s="47" t="n">
        <v>-33.56477316870549</v>
      </c>
    </row>
    <row r="99">
      <c r="A99" s="47" t="n">
        <v>-11.5</v>
      </c>
      <c r="B99" s="47" t="n">
        <v>25</v>
      </c>
      <c r="C99" s="47" t="n">
        <v>458.9108914727526</v>
      </c>
      <c r="D99" s="47" t="n">
        <v>1060.136003542649</v>
      </c>
      <c r="E99" s="47" t="n">
        <v>4489.292132196133</v>
      </c>
      <c r="F99" s="47" t="n">
        <v>0.4349426974475908</v>
      </c>
      <c r="G99" s="47" t="n">
        <v>15324.61410345121</v>
      </c>
      <c r="H99" s="47" t="n">
        <v>-14865.70321197845</v>
      </c>
      <c r="I99" s="47" t="n">
        <v>12.58898972238931</v>
      </c>
      <c r="J99" s="47" t="n">
        <v>53.30981338636022</v>
      </c>
      <c r="K99" s="47" t="n">
        <v>181.9779809413561</v>
      </c>
      <c r="L99" s="47" t="n">
        <v>-11.90824480637677</v>
      </c>
      <c r="M99" s="47" t="n">
        <v>-28.16624156092472</v>
      </c>
      <c r="N99" s="47" t="n">
        <v>-33.6345697091427</v>
      </c>
    </row>
    <row r="100">
      <c r="A100" s="47" t="n">
        <v>-11</v>
      </c>
      <c r="B100" s="47" t="n">
        <v>25</v>
      </c>
      <c r="C100" s="47" t="n">
        <v>462.5412492823468</v>
      </c>
      <c r="D100" s="47" t="n">
        <v>1072.596647937675</v>
      </c>
      <c r="E100" s="47" t="n">
        <v>4500.648772184944</v>
      </c>
      <c r="F100" s="47" t="n">
        <v>0.4080808757475939</v>
      </c>
      <c r="G100" s="47" t="n">
        <v>15353.31186441483</v>
      </c>
      <c r="H100" s="47" t="n">
        <v>-14890.77061513248</v>
      </c>
      <c r="I100" s="47" t="n">
        <v>12.73695840159569</v>
      </c>
      <c r="J100" s="47" t="n">
        <v>53.4446721437482</v>
      </c>
      <c r="K100" s="47" t="n">
        <v>182.3187634604097</v>
      </c>
      <c r="L100" s="47" t="n">
        <v>-11.93067396628781</v>
      </c>
      <c r="M100" s="47" t="n">
        <v>-28.42843990820455</v>
      </c>
      <c r="N100" s="47" t="n">
        <v>-33.69039589041611</v>
      </c>
    </row>
    <row r="101">
      <c r="A101" s="47" t="n">
        <v>-10.5</v>
      </c>
      <c r="B101" s="47" t="n">
        <v>25</v>
      </c>
      <c r="C101" s="47" t="n">
        <v>470.1016319483541</v>
      </c>
      <c r="D101" s="47" t="n">
        <v>1086.455130379987</v>
      </c>
      <c r="E101" s="47" t="n">
        <v>4512.572543631352</v>
      </c>
      <c r="F101" s="47" t="n">
        <v>0.3819222187503468</v>
      </c>
      <c r="G101" s="47" t="n">
        <v>15381.48908457665</v>
      </c>
      <c r="H101" s="47" t="n">
        <v>-14911.38745262829</v>
      </c>
      <c r="I101" s="47" t="n">
        <v>12.90152624237383</v>
      </c>
      <c r="J101" s="47" t="n">
        <v>53.586265520154</v>
      </c>
      <c r="K101" s="47" t="n">
        <v>182.6533646189754</v>
      </c>
      <c r="L101" s="47" t="n">
        <v>-11.95561923468398</v>
      </c>
      <c r="M101" s="47" t="n">
        <v>-28.68533060978331</v>
      </c>
      <c r="N101" s="47" t="n">
        <v>-33.76280086273692</v>
      </c>
    </row>
    <row r="102">
      <c r="A102" s="47" t="n">
        <v>-10</v>
      </c>
      <c r="B102" s="47" t="n">
        <v>25</v>
      </c>
      <c r="C102" s="47" t="n">
        <v>471.5144848831216</v>
      </c>
      <c r="D102" s="47" t="n">
        <v>1101.210818621747</v>
      </c>
      <c r="E102" s="47" t="n">
        <v>4525.035618434776</v>
      </c>
      <c r="F102" s="47" t="n">
        <v>0.35654815256605</v>
      </c>
      <c r="G102" s="47" t="n">
        <v>15410.50874521312</v>
      </c>
      <c r="H102" s="47" t="n">
        <v>-14938.99426033</v>
      </c>
      <c r="I102" s="47" t="n">
        <v>13.07674829596086</v>
      </c>
      <c r="J102" s="47" t="n">
        <v>53.73426306017279</v>
      </c>
      <c r="K102" s="47" t="n">
        <v>182.997969658592</v>
      </c>
      <c r="L102" s="47" t="n">
        <v>-11.98217947351914</v>
      </c>
      <c r="M102" s="47" t="n">
        <v>-28.93613074008815</v>
      </c>
      <c r="N102" s="47" t="n">
        <v>-33.81315586348416</v>
      </c>
    </row>
    <row r="103">
      <c r="A103" s="47" t="n">
        <v>-9.5</v>
      </c>
      <c r="B103" s="47" t="n">
        <v>25</v>
      </c>
      <c r="C103" s="47" t="n">
        <v>470.5815738170562</v>
      </c>
      <c r="D103" s="47" t="n">
        <v>1116.89783097047</v>
      </c>
      <c r="E103" s="47" t="n">
        <v>4538.011734504316</v>
      </c>
      <c r="F103" s="47" t="n">
        <v>0.3320291288441442</v>
      </c>
      <c r="G103" s="47" t="n">
        <v>15439.79021897657</v>
      </c>
      <c r="H103" s="47" t="n">
        <v>-14969.20864515951</v>
      </c>
      <c r="I103" s="47" t="n">
        <v>13.26302971322538</v>
      </c>
      <c r="J103" s="47" t="n">
        <v>53.88835290457963</v>
      </c>
      <c r="K103" s="47" t="n">
        <v>183.3456836981422</v>
      </c>
      <c r="L103" s="47" t="n">
        <v>-12.01041609574684</v>
      </c>
      <c r="M103" s="47" t="n">
        <v>-29.18015896251047</v>
      </c>
      <c r="N103" s="47" t="n">
        <v>-33.85492049411379</v>
      </c>
    </row>
    <row r="104">
      <c r="A104" s="47" t="n">
        <v>-9</v>
      </c>
      <c r="B104" s="47" t="n">
        <v>25</v>
      </c>
      <c r="C104" s="47" t="n">
        <v>480.618285675218</v>
      </c>
      <c r="D104" s="47" t="n">
        <v>1133.91173388968</v>
      </c>
      <c r="E104" s="47" t="n">
        <v>4551.476196309719</v>
      </c>
      <c r="F104" s="47" t="n">
        <v>0.3084246796769791</v>
      </c>
      <c r="G104" s="47" t="n">
        <v>15467.42057754804</v>
      </c>
      <c r="H104" s="47" t="n">
        <v>-14986.80229187282</v>
      </c>
      <c r="I104" s="47" t="n">
        <v>13.46506779916145</v>
      </c>
      <c r="J104" s="47" t="n">
        <v>54.04824179687202</v>
      </c>
      <c r="K104" s="47" t="n">
        <v>183.6737909399677</v>
      </c>
      <c r="L104" s="47" t="n">
        <v>-12.04104112100142</v>
      </c>
      <c r="M104" s="47" t="n">
        <v>-29.41683503626468</v>
      </c>
      <c r="N104" s="47" t="n">
        <v>-33.94601443164464</v>
      </c>
    </row>
    <row r="105">
      <c r="A105" s="47" t="n">
        <v>-8.5</v>
      </c>
      <c r="B105" s="47" t="n">
        <v>25</v>
      </c>
      <c r="C105" s="47" t="n">
        <v>460.6206107904381</v>
      </c>
      <c r="D105" s="47" t="n">
        <v>1150.457902588257</v>
      </c>
      <c r="E105" s="47" t="n">
        <v>4565.405845898684</v>
      </c>
      <c r="F105" s="47" t="n">
        <v>0.2857836020065289</v>
      </c>
      <c r="G105" s="47" t="n">
        <v>15499.09132522038</v>
      </c>
      <c r="H105" s="47" t="n">
        <v>-15038.47071442994</v>
      </c>
      <c r="I105" s="47" t="n">
        <v>13.66155159651881</v>
      </c>
      <c r="J105" s="47" t="n">
        <v>54.21365473910393</v>
      </c>
      <c r="K105" s="47" t="n">
        <v>184.0498773247476</v>
      </c>
      <c r="L105" s="47" t="n">
        <v>-12.07082422465886</v>
      </c>
      <c r="M105" s="47" t="n">
        <v>-29.64567810455887</v>
      </c>
      <c r="N105" s="47" t="n">
        <v>-33.9120576981331</v>
      </c>
    </row>
    <row r="106">
      <c r="A106" s="47" t="n">
        <v>-8</v>
      </c>
      <c r="B106" s="47" t="n">
        <v>25</v>
      </c>
      <c r="C106" s="47" t="n">
        <v>475.6659223963138</v>
      </c>
      <c r="D106" s="47" t="n">
        <v>1168.969562791454</v>
      </c>
      <c r="E106" s="47" t="n">
        <v>4579.779007029312</v>
      </c>
      <c r="F106" s="47" t="n">
        <v>0.2641442604041583</v>
      </c>
      <c r="G106" s="47" t="n">
        <v>15525.64240190194</v>
      </c>
      <c r="H106" s="47" t="n">
        <v>-15049.97647950563</v>
      </c>
      <c r="I106" s="47" t="n">
        <v>13.88137537315091</v>
      </c>
      <c r="J106" s="47" t="n">
        <v>54.38433432846517</v>
      </c>
      <c r="K106" s="47" t="n">
        <v>184.3651682217132</v>
      </c>
      <c r="L106" s="47" t="n">
        <v>-12.10414521302462</v>
      </c>
      <c r="M106" s="47" t="n">
        <v>-29.86630386901534</v>
      </c>
      <c r="N106" s="47" t="n">
        <v>-34.03223964738986</v>
      </c>
    </row>
    <row r="107">
      <c r="A107" s="47" t="n">
        <v>-7.5</v>
      </c>
      <c r="B107" s="47" t="n">
        <v>25</v>
      </c>
      <c r="C107" s="47" t="n">
        <v>470.2640951439132</v>
      </c>
      <c r="D107" s="47" t="n">
        <v>1187.04414275726</v>
      </c>
      <c r="E107" s="47" t="n">
        <v>4594.57540533313</v>
      </c>
      <c r="F107" s="47" t="n">
        <v>0.2435349959730253</v>
      </c>
      <c r="G107" s="47" t="n">
        <v>15554.79313941637</v>
      </c>
      <c r="H107" s="47" t="n">
        <v>-15084.52904427246</v>
      </c>
      <c r="I107" s="47" t="n">
        <v>14.09600887363165</v>
      </c>
      <c r="J107" s="47" t="n">
        <v>54.56003980922677</v>
      </c>
      <c r="K107" s="47" t="n">
        <v>184.7113297837609</v>
      </c>
      <c r="L107" s="47" t="n">
        <v>-12.13667945696307</v>
      </c>
      <c r="M107" s="47" t="n">
        <v>-30.07842076584241</v>
      </c>
      <c r="N107" s="47" t="n">
        <v>-34.06659356143212</v>
      </c>
    </row>
    <row r="108">
      <c r="A108" s="47" t="n">
        <v>-7</v>
      </c>
      <c r="B108" s="47" t="n">
        <v>25</v>
      </c>
      <c r="C108" s="47" t="n">
        <v>442.9570814542643</v>
      </c>
      <c r="D108" s="47" t="n">
        <v>1204.42982210347</v>
      </c>
      <c r="E108" s="47" t="n">
        <v>4609.776067611265</v>
      </c>
      <c r="F108" s="47" t="n">
        <v>0.2239746283338386</v>
      </c>
      <c r="G108" s="47" t="n">
        <v>15586.69843418237</v>
      </c>
      <c r="H108" s="47" t="n">
        <v>-15143.74135272811</v>
      </c>
      <c r="I108" s="47" t="n">
        <v>14.3024617606903</v>
      </c>
      <c r="J108" s="47" t="n">
        <v>54.74054587689495</v>
      </c>
      <c r="K108" s="47" t="n">
        <v>185.090201387552</v>
      </c>
      <c r="L108" s="47" t="n">
        <v>-12.16797367978625</v>
      </c>
      <c r="M108" s="47" t="n">
        <v>-30.28182526669573</v>
      </c>
      <c r="N108" s="47" t="n">
        <v>-34.10454947139466</v>
      </c>
    </row>
    <row r="109">
      <c r="A109" s="47" t="n">
        <v>-6.5</v>
      </c>
      <c r="B109" s="47" t="n">
        <v>25</v>
      </c>
      <c r="C109" s="47" t="n">
        <v>455.8100478474453</v>
      </c>
      <c r="D109" s="47" t="n">
        <v>1223.407958447489</v>
      </c>
      <c r="E109" s="47" t="n">
        <v>4625.363203475164</v>
      </c>
      <c r="F109" s="47" t="n">
        <v>0.2054730371922635</v>
      </c>
      <c r="G109" s="47" t="n">
        <v>15612.6201016897</v>
      </c>
      <c r="H109" s="47" t="n">
        <v>-15156.81005384225</v>
      </c>
      <c r="I109" s="47" t="n">
        <v>14.52782488635208</v>
      </c>
      <c r="J109" s="47" t="n">
        <v>54.92564127270867</v>
      </c>
      <c r="K109" s="47" t="n">
        <v>185.3980181249767</v>
      </c>
      <c r="L109" s="47" t="n">
        <v>-12.20213432520548</v>
      </c>
      <c r="M109" s="47" t="n">
        <v>-30.47639643152493</v>
      </c>
      <c r="N109" s="47" t="n">
        <v>-34.12166017024916</v>
      </c>
    </row>
    <row r="110">
      <c r="A110" s="47" t="n">
        <v>-6</v>
      </c>
      <c r="B110" s="47" t="n">
        <v>25</v>
      </c>
      <c r="C110" s="47" t="n">
        <v>447.753442721982</v>
      </c>
      <c r="D110" s="47" t="n">
        <v>1241.329719513928</v>
      </c>
      <c r="E110" s="47" t="n">
        <v>4641.320072576792</v>
      </c>
      <c r="F110" s="47" t="n">
        <v>0.188031809837609</v>
      </c>
      <c r="G110" s="47" t="n">
        <v>15641.05910048064</v>
      </c>
      <c r="H110" s="47" t="n">
        <v>-15193.30565775866</v>
      </c>
      <c r="I110" s="47" t="n">
        <v>14.74064368046771</v>
      </c>
      <c r="J110" s="47" t="n">
        <v>55.11512720701393</v>
      </c>
      <c r="K110" s="47" t="n">
        <v>185.7357278738183</v>
      </c>
      <c r="L110" s="47" t="n">
        <v>-12.23439349512507</v>
      </c>
      <c r="M110" s="47" t="n">
        <v>-30.66208984209975</v>
      </c>
      <c r="N110" s="47" t="n">
        <v>-34.16485226675045</v>
      </c>
    </row>
    <row r="111">
      <c r="A111" s="47" t="n">
        <v>-5.5</v>
      </c>
      <c r="B111" s="47" t="n">
        <v>25</v>
      </c>
      <c r="C111" s="47" t="n">
        <v>437.2320321691246</v>
      </c>
      <c r="D111" s="47" t="n">
        <v>1258.725111702792</v>
      </c>
      <c r="E111" s="47" t="n">
        <v>4657.630840636252</v>
      </c>
      <c r="F111" s="47" t="n">
        <v>0.1716449410680728</v>
      </c>
      <c r="G111" s="47" t="n">
        <v>15669.38478023053</v>
      </c>
      <c r="H111" s="47" t="n">
        <v>-15232.15274806141</v>
      </c>
      <c r="I111" s="47" t="n">
        <v>14.94721190638471</v>
      </c>
      <c r="J111" s="47" t="n">
        <v>55.3088156496087</v>
      </c>
      <c r="K111" s="47" t="n">
        <v>186.0720919724428</v>
      </c>
      <c r="L111" s="47" t="n">
        <v>-12.26570520106502</v>
      </c>
      <c r="M111" s="47" t="n">
        <v>-30.8389310435326</v>
      </c>
      <c r="N111" s="47" t="n">
        <v>-34.25525643306452</v>
      </c>
    </row>
    <row r="112">
      <c r="A112" s="47" t="n">
        <v>-5</v>
      </c>
      <c r="B112" s="47" t="n">
        <v>25</v>
      </c>
      <c r="C112" s="47" t="n">
        <v>426.4950993655156</v>
      </c>
      <c r="D112" s="47" t="n">
        <v>1275.477720117875</v>
      </c>
      <c r="E112" s="47" t="n">
        <v>4674.280427373219</v>
      </c>
      <c r="F112" s="47" t="n">
        <v>0.1562995724523343</v>
      </c>
      <c r="G112" s="47" t="n">
        <v>15697.23436626742</v>
      </c>
      <c r="H112" s="47" t="n">
        <v>-15270.7392669019</v>
      </c>
      <c r="I112" s="47" t="n">
        <v>15.14614715097214</v>
      </c>
      <c r="J112" s="47" t="n">
        <v>55.50652752394678</v>
      </c>
      <c r="K112" s="47" t="n">
        <v>186.4028025145049</v>
      </c>
      <c r="L112" s="47" t="n">
        <v>-12.29585989621217</v>
      </c>
      <c r="M112" s="47" t="n">
        <v>-31.00700861720078</v>
      </c>
      <c r="N112" s="47" t="n">
        <v>-34.34865959105157</v>
      </c>
    </row>
    <row r="113">
      <c r="A113" s="47" t="n">
        <v>-4.5</v>
      </c>
      <c r="B113" s="47" t="n">
        <v>25</v>
      </c>
      <c r="C113" s="47" t="n">
        <v>423.3056803950691</v>
      </c>
      <c r="D113" s="47" t="n">
        <v>1291.696220755583</v>
      </c>
      <c r="E113" s="47" t="n">
        <v>4691.25434928991</v>
      </c>
      <c r="F113" s="47" t="n">
        <v>0.1419767584903321</v>
      </c>
      <c r="G113" s="47" t="n">
        <v>15723.47377804967</v>
      </c>
      <c r="H113" s="47" t="n">
        <v>-15300.1680976546</v>
      </c>
      <c r="I113" s="47" t="n">
        <v>15.33873992884063</v>
      </c>
      <c r="J113" s="47" t="n">
        <v>55.70809084020413</v>
      </c>
      <c r="K113" s="47" t="n">
        <v>186.7143924276335</v>
      </c>
      <c r="L113" s="47" t="n">
        <v>-12.32505319736005</v>
      </c>
      <c r="M113" s="47" t="n">
        <v>-31.16646700230885</v>
      </c>
      <c r="N113" s="47" t="n">
        <v>-34.41093649774531</v>
      </c>
    </row>
    <row r="114">
      <c r="A114" s="47" t="n">
        <v>-4</v>
      </c>
      <c r="B114" s="47" t="n">
        <v>25</v>
      </c>
      <c r="C114" s="47" t="n">
        <v>426.0147467563443</v>
      </c>
      <c r="D114" s="47" t="n">
        <v>1307.120446645757</v>
      </c>
      <c r="E114" s="47" t="n">
        <v>4708.538560045645</v>
      </c>
      <c r="F114" s="47" t="n">
        <v>0.1286522480932888</v>
      </c>
      <c r="G114" s="47" t="n">
        <v>15748.28735388548</v>
      </c>
      <c r="H114" s="47" t="n">
        <v>-15322.27260712914</v>
      </c>
      <c r="I114" s="47" t="n">
        <v>15.5219007879741</v>
      </c>
      <c r="J114" s="47" t="n">
        <v>55.91333879974558</v>
      </c>
      <c r="K114" s="47" t="n">
        <v>187.0090507074475</v>
      </c>
      <c r="L114" s="47" t="n">
        <v>-12.35281680396236</v>
      </c>
      <c r="M114" s="47" t="n">
        <v>-31.31749917524256</v>
      </c>
      <c r="N114" s="47" t="n">
        <v>-34.45074108092373</v>
      </c>
    </row>
    <row r="115">
      <c r="A115" s="47" t="n">
        <v>-3.5</v>
      </c>
      <c r="B115" s="47" t="n">
        <v>25</v>
      </c>
      <c r="C115" s="47" t="n">
        <v>404.9650488224043</v>
      </c>
      <c r="D115" s="47" t="n">
        <v>1320.380542487096</v>
      </c>
      <c r="E115" s="47" t="n">
        <v>4726.119290915392</v>
      </c>
      <c r="F115" s="47" t="n">
        <v>0.1162972708271417</v>
      </c>
      <c r="G115" s="47" t="n">
        <v>15775.78142161981</v>
      </c>
      <c r="H115" s="47" t="n">
        <v>-15370.8163727974</v>
      </c>
      <c r="I115" s="47" t="n">
        <v>15.67936285860154</v>
      </c>
      <c r="J115" s="47" t="n">
        <v>56.12210790058899</v>
      </c>
      <c r="K115" s="47" t="n">
        <v>187.3355395116928</v>
      </c>
      <c r="L115" s="47" t="n">
        <v>-12.37668497647677</v>
      </c>
      <c r="M115" s="47" t="n">
        <v>-31.46033928620343</v>
      </c>
      <c r="N115" s="47" t="n">
        <v>-34.60024596244927</v>
      </c>
    </row>
    <row r="116">
      <c r="A116" s="47" t="n">
        <v>-3</v>
      </c>
      <c r="B116" s="47" t="n">
        <v>25</v>
      </c>
      <c r="C116" s="47" t="n">
        <v>420.1474189559781</v>
      </c>
      <c r="D116" s="47" t="n">
        <v>1333.706067273618</v>
      </c>
      <c r="E116" s="47" t="n">
        <v>4743.982893546545</v>
      </c>
      <c r="F116" s="47" t="n">
        <v>0.1048793185151816</v>
      </c>
      <c r="G116" s="47" t="n">
        <v>15797.51252319704</v>
      </c>
      <c r="H116" s="47" t="n">
        <v>-15377.36510424107</v>
      </c>
      <c r="I116" s="47" t="n">
        <v>15.8376018902186</v>
      </c>
      <c r="J116" s="47" t="n">
        <v>56.33423607016057</v>
      </c>
      <c r="K116" s="47" t="n">
        <v>187.5935937740684</v>
      </c>
      <c r="L116" s="47" t="n">
        <v>-12.40067092109251</v>
      </c>
      <c r="M116" s="47" t="n">
        <v>-31.59525534174715</v>
      </c>
      <c r="N116" s="47" t="n">
        <v>-34.57953786085016</v>
      </c>
    </row>
    <row r="117">
      <c r="A117" s="47" t="n">
        <v>-2.5</v>
      </c>
      <c r="B117" s="47" t="n">
        <v>25</v>
      </c>
      <c r="C117" s="47" t="n">
        <v>420.9762420978345</v>
      </c>
      <c r="D117" s="47" t="n">
        <v>1344.919663307315</v>
      </c>
      <c r="E117" s="47" t="n">
        <v>4762.115686929073</v>
      </c>
      <c r="F117" s="47" t="n">
        <v>0.09436291403447819</v>
      </c>
      <c r="G117" s="47" t="n">
        <v>15820.51895373562</v>
      </c>
      <c r="H117" s="47" t="n">
        <v>-15399.54271163779</v>
      </c>
      <c r="I117" s="47" t="n">
        <v>15.97076201754895</v>
      </c>
      <c r="J117" s="47" t="n">
        <v>56.54956084808344</v>
      </c>
      <c r="K117" s="47" t="n">
        <v>187.8667924171021</v>
      </c>
      <c r="L117" s="47" t="n">
        <v>-12.42085539395317</v>
      </c>
      <c r="M117" s="47" t="n">
        <v>-31.72254201016203</v>
      </c>
      <c r="N117" s="47" t="n">
        <v>-34.63901954357903</v>
      </c>
    </row>
    <row r="118">
      <c r="A118" s="47" t="n">
        <v>-2</v>
      </c>
      <c r="B118" s="47" t="n">
        <v>25</v>
      </c>
      <c r="C118" s="47" t="n">
        <v>435.9830082671363</v>
      </c>
      <c r="D118" s="47" t="n">
        <v>1355.027201703296</v>
      </c>
      <c r="E118" s="47" t="n">
        <v>4780.50381018409</v>
      </c>
      <c r="F118" s="47" t="n">
        <v>0.08471036042594875</v>
      </c>
      <c r="G118" s="47" t="n">
        <v>15840.76376682924</v>
      </c>
      <c r="H118" s="47" t="n">
        <v>-15404.78075856211</v>
      </c>
      <c r="I118" s="47" t="n">
        <v>16.09078784117956</v>
      </c>
      <c r="J118" s="47" t="n">
        <v>56.76791763805932</v>
      </c>
      <c r="K118" s="47" t="n">
        <v>188.1071971794304</v>
      </c>
      <c r="L118" s="47" t="n">
        <v>-12.43904896306593</v>
      </c>
      <c r="M118" s="47" t="n">
        <v>-31.84251361449783</v>
      </c>
      <c r="N118" s="47" t="n">
        <v>-34.63010389559958</v>
      </c>
    </row>
    <row r="119">
      <c r="A119" s="47" t="n">
        <v>-1.5</v>
      </c>
      <c r="B119" s="47" t="n">
        <v>25</v>
      </c>
      <c r="C119" s="47" t="n">
        <v>431.1058067229253</v>
      </c>
      <c r="D119" s="47" t="n">
        <v>1362.551476601775</v>
      </c>
      <c r="E119" s="47" t="n">
        <v>4799.133082464253</v>
      </c>
      <c r="F119" s="47" t="n">
        <v>0.0758824647296312</v>
      </c>
      <c r="G119" s="47" t="n">
        <v>15862.97434545136</v>
      </c>
      <c r="H119" s="47" t="n">
        <v>-15431.86853872843</v>
      </c>
      <c r="I119" s="47" t="n">
        <v>16.18013771614735</v>
      </c>
      <c r="J119" s="47" t="n">
        <v>56.98913804420237</v>
      </c>
      <c r="K119" s="47" t="n">
        <v>188.3709451750345</v>
      </c>
      <c r="L119" s="47" t="n">
        <v>-12.4525926578832</v>
      </c>
      <c r="M119" s="47" t="n">
        <v>-31.95549736586897</v>
      </c>
      <c r="N119" s="47" t="n">
        <v>-34.72157797316708</v>
      </c>
    </row>
    <row r="120">
      <c r="A120" s="47" t="n">
        <v>-1</v>
      </c>
      <c r="B120" s="47" t="n">
        <v>25</v>
      </c>
      <c r="C120" s="47" t="n">
        <v>440.9944102420088</v>
      </c>
      <c r="D120" s="47" t="n">
        <v>1368.786196916389</v>
      </c>
      <c r="E120" s="47" t="n">
        <v>4817.988870955649</v>
      </c>
      <c r="F120" s="47" t="n">
        <v>0.06783923221605759</v>
      </c>
      <c r="G120" s="47" t="n">
        <v>15882.25978742723</v>
      </c>
      <c r="H120" s="47" t="n">
        <v>-15441.26537718522</v>
      </c>
      <c r="I120" s="47" t="n">
        <v>16.2541742828712</v>
      </c>
      <c r="J120" s="47" t="n">
        <v>57.2130483035771</v>
      </c>
      <c r="K120" s="47" t="n">
        <v>188.5999575187477</v>
      </c>
      <c r="L120" s="47" t="n">
        <v>-12.4638151544495</v>
      </c>
      <c r="M120" s="47" t="n">
        <v>-32.06182687777565</v>
      </c>
      <c r="N120" s="47" t="n">
        <v>-34.73975121221655</v>
      </c>
    </row>
    <row r="121">
      <c r="A121" s="47" t="n">
        <v>-0.5</v>
      </c>
      <c r="B121" s="47" t="n">
        <v>25</v>
      </c>
      <c r="C121" s="47" t="n">
        <v>474.2327866718329</v>
      </c>
      <c r="D121" s="47" t="n">
        <v>1374.006317741823</v>
      </c>
      <c r="E121" s="47" t="n">
        <v>4837.055967683687</v>
      </c>
      <c r="F121" s="47" t="n">
        <v>0.06054052787473558</v>
      </c>
      <c r="G121" s="47" t="n">
        <v>15897.37984802641</v>
      </c>
      <c r="H121" s="47" t="n">
        <v>-15423.14706135458</v>
      </c>
      <c r="I121" s="47" t="n">
        <v>16.31616260059781</v>
      </c>
      <c r="J121" s="47" t="n">
        <v>57.43946782328302</v>
      </c>
      <c r="K121" s="47" t="n">
        <v>188.7795064510063</v>
      </c>
      <c r="L121" s="47" t="n">
        <v>-12.47321137193528</v>
      </c>
      <c r="M121" s="47" t="n">
        <v>-32.16183599095802</v>
      </c>
      <c r="N121" s="47" t="n">
        <v>-34.65375318387996</v>
      </c>
    </row>
    <row r="122">
      <c r="A122" s="47" t="n">
        <v>0</v>
      </c>
      <c r="B122" s="47" t="n">
        <v>25</v>
      </c>
      <c r="C122" s="47" t="n">
        <v>480.4480285892225</v>
      </c>
      <c r="D122" s="47" t="n">
        <v>1376.153446009307</v>
      </c>
      <c r="E122" s="47" t="n">
        <v>4856.318475563433</v>
      </c>
      <c r="F122" s="47" t="n">
        <v>0.05394670310728157</v>
      </c>
      <c r="G122" s="47" t="n">
        <v>15915.34978072191</v>
      </c>
      <c r="H122" s="47" t="n">
        <v>-15434.90175213269</v>
      </c>
      <c r="I122" s="47" t="n">
        <v>16.34165949496012</v>
      </c>
      <c r="J122" s="47" t="n">
        <v>57.66820782731573</v>
      </c>
      <c r="K122" s="47" t="n">
        <v>188.9928972775226</v>
      </c>
      <c r="L122" s="47" t="n">
        <v>-12.47707620281675</v>
      </c>
      <c r="M122" s="47" t="n">
        <v>-32.25585292804865</v>
      </c>
      <c r="N122" s="47" t="n">
        <v>-34.69655356110656</v>
      </c>
    </row>
    <row r="123">
      <c r="A123" s="47" t="n">
        <v>0.5</v>
      </c>
      <c r="B123" s="47" t="n">
        <v>25</v>
      </c>
      <c r="C123" s="47" t="n">
        <v>482.7451811280071</v>
      </c>
      <c r="D123" s="47" t="n">
        <v>1376.133881324049</v>
      </c>
      <c r="E123" s="47" t="n">
        <v>4875.759703905036</v>
      </c>
      <c r="F123" s="47" t="n">
        <v>0.04801918652444669</v>
      </c>
      <c r="G123" s="47" t="n">
        <v>15932.89954867819</v>
      </c>
      <c r="H123" s="47" t="n">
        <v>-15450.15436755018</v>
      </c>
      <c r="I123" s="47" t="n">
        <v>16.34142716663544</v>
      </c>
      <c r="J123" s="47" t="n">
        <v>57.89907011570627</v>
      </c>
      <c r="K123" s="47" t="n">
        <v>189.2012986974287</v>
      </c>
      <c r="L123" s="47" t="n">
        <v>-12.47704098638329</v>
      </c>
      <c r="M123" s="47" t="n">
        <v>-32.34419478830904</v>
      </c>
      <c r="N123" s="47" t="n">
        <v>-34.75752684154203</v>
      </c>
    </row>
    <row r="124">
      <c r="A124" s="47" t="n">
        <v>1</v>
      </c>
      <c r="B124" s="47" t="n">
        <v>25</v>
      </c>
      <c r="C124" s="47" t="n">
        <v>497.5816531469721</v>
      </c>
      <c r="D124" s="47" t="n">
        <v>1374.613828232485</v>
      </c>
      <c r="E124" s="47" t="n">
        <v>4895.362073394291</v>
      </c>
      <c r="F124" s="47" t="n">
        <v>0.04272103853545682</v>
      </c>
      <c r="G124" s="47" t="n">
        <v>15947.69149082374</v>
      </c>
      <c r="H124" s="47" t="n">
        <v>-15450.10983767677</v>
      </c>
      <c r="I124" s="47" t="n">
        <v>16.32337671586003</v>
      </c>
      <c r="J124" s="47" t="n">
        <v>58.13184593617653</v>
      </c>
      <c r="K124" s="47" t="n">
        <v>189.3769512618377</v>
      </c>
      <c r="L124" s="47" t="n">
        <v>-12.47430489081847</v>
      </c>
      <c r="M124" s="47" t="n">
        <v>-32.42716238529061</v>
      </c>
      <c r="N124" s="47" t="n">
        <v>-34.75659913805286</v>
      </c>
    </row>
    <row r="125">
      <c r="A125" s="47" t="n">
        <v>1.5</v>
      </c>
      <c r="B125" s="47" t="n">
        <v>25</v>
      </c>
      <c r="C125" s="47" t="n">
        <v>516.864115303311</v>
      </c>
      <c r="D125" s="47" t="n">
        <v>1371.303092215229</v>
      </c>
      <c r="E125" s="47" t="n">
        <v>4915.107030422499</v>
      </c>
      <c r="F125" s="47" t="n">
        <v>0.03801747002116902</v>
      </c>
      <c r="G125" s="47" t="n">
        <v>15960.82683579813</v>
      </c>
      <c r="H125" s="47" t="n">
        <v>-15443.96272049482</v>
      </c>
      <c r="I125" s="47" t="n">
        <v>16.28406211702035</v>
      </c>
      <c r="J125" s="47" t="n">
        <v>58.36631496681647</v>
      </c>
      <c r="K125" s="47" t="n">
        <v>189.532931930667</v>
      </c>
      <c r="L125" s="47" t="n">
        <v>-12.46834556598741</v>
      </c>
      <c r="M125" s="47" t="n">
        <v>-32.50503542456998</v>
      </c>
      <c r="N125" s="47" t="n">
        <v>-34.73321467379321</v>
      </c>
    </row>
    <row r="126">
      <c r="A126" s="47" t="n">
        <v>2</v>
      </c>
      <c r="B126" s="47" t="n">
        <v>25</v>
      </c>
      <c r="C126" s="47" t="n">
        <v>534.5064840723982</v>
      </c>
      <c r="D126" s="47" t="n">
        <v>1366.016806901526</v>
      </c>
      <c r="E126" s="47" t="n">
        <v>4934.974970543156</v>
      </c>
      <c r="F126" s="47" t="n">
        <v>0.03387632578059738</v>
      </c>
      <c r="G126" s="47" t="n">
        <v>15973.127659707</v>
      </c>
      <c r="H126" s="47" t="n">
        <v>-15438.6211756346</v>
      </c>
      <c r="I126" s="47" t="n">
        <v>16.22128810381692</v>
      </c>
      <c r="J126" s="47" t="n">
        <v>58.60224440714128</v>
      </c>
      <c r="K126" s="47" t="n">
        <v>189.6790027604928</v>
      </c>
      <c r="L126" s="47" t="n">
        <v>-12.45883025242275</v>
      </c>
      <c r="M126" s="47" t="n">
        <v>-32.57806801495231</v>
      </c>
      <c r="N126" s="47" t="n">
        <v>-34.80423610626762</v>
      </c>
    </row>
    <row r="127">
      <c r="A127" s="47" t="n">
        <v>2.5</v>
      </c>
      <c r="B127" s="47" t="n">
        <v>25</v>
      </c>
      <c r="C127" s="47" t="n">
        <v>549.7308148692482</v>
      </c>
      <c r="D127" s="47" t="n">
        <v>1358.806476279567</v>
      </c>
      <c r="E127" s="47" t="n">
        <v>4954.945170789036</v>
      </c>
      <c r="F127" s="47" t="n">
        <v>0.03026853361958626</v>
      </c>
      <c r="G127" s="47" t="n">
        <v>15984.67483225271</v>
      </c>
      <c r="H127" s="47" t="n">
        <v>-15434.94401738346</v>
      </c>
      <c r="I127" s="47" t="n">
        <v>16.13566628002115</v>
      </c>
      <c r="J127" s="47" t="n">
        <v>58.83938817436484</v>
      </c>
      <c r="K127" s="47" t="n">
        <v>189.8161240694709</v>
      </c>
      <c r="L127" s="47" t="n">
        <v>-12.44585165730322</v>
      </c>
      <c r="M127" s="47" t="n">
        <v>-32.64648450484399</v>
      </c>
      <c r="N127" s="47" t="n">
        <v>-34.86948063796189</v>
      </c>
    </row>
    <row r="128">
      <c r="A128" s="47" t="n">
        <v>3</v>
      </c>
      <c r="B128" s="47" t="n">
        <v>25</v>
      </c>
      <c r="C128" s="47" t="n">
        <v>536.8431041026677</v>
      </c>
      <c r="D128" s="47" t="n">
        <v>1348.749629857047</v>
      </c>
      <c r="E128" s="47" t="n">
        <v>4974.995730593702</v>
      </c>
      <c r="F128" s="47" t="n">
        <v>0.02716851990277489</v>
      </c>
      <c r="G128" s="47" t="n">
        <v>15999.03947108472</v>
      </c>
      <c r="H128" s="47" t="n">
        <v>-15462.19636698205</v>
      </c>
      <c r="I128" s="47" t="n">
        <v>16.01624241758307</v>
      </c>
      <c r="J128" s="47" t="n">
        <v>59.07748620184962</v>
      </c>
      <c r="K128" s="47" t="n">
        <v>189.9867024575435</v>
      </c>
      <c r="L128" s="47" t="n">
        <v>-12.42774933374269</v>
      </c>
      <c r="M128" s="47" t="n">
        <v>-32.71047563594369</v>
      </c>
      <c r="N128" s="47" t="n">
        <v>-34.80771823124738</v>
      </c>
    </row>
    <row r="129">
      <c r="A129" s="47" t="n">
        <v>3.5</v>
      </c>
      <c r="B129" s="47" t="n">
        <v>25</v>
      </c>
      <c r="C129" s="47" t="n">
        <v>562.9190196746022</v>
      </c>
      <c r="D129" s="47" t="n">
        <v>1338.655516295012</v>
      </c>
      <c r="E129" s="47" t="n">
        <v>4995.103521127066</v>
      </c>
      <c r="F129" s="47" t="n">
        <v>0.02455459211377361</v>
      </c>
      <c r="G129" s="47" t="n">
        <v>16006.80700146982</v>
      </c>
      <c r="H129" s="47" t="n">
        <v>-15443.88798179522</v>
      </c>
      <c r="I129" s="47" t="n">
        <v>15.89637601226861</v>
      </c>
      <c r="J129" s="47" t="n">
        <v>59.31626383747238</v>
      </c>
      <c r="K129" s="47" t="n">
        <v>190.0789409626595</v>
      </c>
      <c r="L129" s="47" t="n">
        <v>-12.40957992933102</v>
      </c>
      <c r="M129" s="47" t="n">
        <v>-32.77019500900475</v>
      </c>
      <c r="N129" s="47" t="n">
        <v>-34.92280341588608</v>
      </c>
    </row>
    <row r="130">
      <c r="A130" s="47" t="n">
        <v>4</v>
      </c>
      <c r="B130" s="47" t="n">
        <v>25</v>
      </c>
      <c r="C130" s="47" t="n">
        <v>561.6697690574489</v>
      </c>
      <c r="D130" s="47" t="n">
        <v>1326.017674948426</v>
      </c>
      <c r="E130" s="47" t="n">
        <v>5015.244142973658</v>
      </c>
      <c r="F130" s="47" t="n">
        <v>0.02240928846886067</v>
      </c>
      <c r="G130" s="47" t="n">
        <v>16017.23599184729</v>
      </c>
      <c r="H130" s="47" t="n">
        <v>-15455.56622278984</v>
      </c>
      <c r="I130" s="47" t="n">
        <v>15.74630314020908</v>
      </c>
      <c r="J130" s="47" t="n">
        <v>59.5554313410587</v>
      </c>
      <c r="K130" s="47" t="n">
        <v>190.2027839905711</v>
      </c>
      <c r="L130" s="47" t="n">
        <v>-12.38683181490717</v>
      </c>
      <c r="M130" s="47" t="n">
        <v>-32.82575586113284</v>
      </c>
      <c r="N130" s="47" t="n">
        <v>-34.92877395816056</v>
      </c>
    </row>
    <row r="131">
      <c r="A131" s="47" t="n">
        <v>4.5</v>
      </c>
      <c r="B131" s="47" t="n">
        <v>25</v>
      </c>
      <c r="C131" s="47" t="n">
        <v>568.643638224831</v>
      </c>
      <c r="D131" s="47" t="n">
        <v>1312.419643466561</v>
      </c>
      <c r="E131" s="47" t="n">
        <v>5035.391892252217</v>
      </c>
      <c r="F131" s="47" t="n">
        <v>0.02071969391922565</v>
      </c>
      <c r="G131" s="47" t="n">
        <v>16025.32999046624</v>
      </c>
      <c r="H131" s="47" t="n">
        <v>-15456.68635224141</v>
      </c>
      <c r="I131" s="47" t="n">
        <v>15.58482812379808</v>
      </c>
      <c r="J131" s="47" t="n">
        <v>59.79468348205709</v>
      </c>
      <c r="K131" s="47" t="n">
        <v>190.2988992673719</v>
      </c>
      <c r="L131" s="47" t="n">
        <v>-12.36235535823981</v>
      </c>
      <c r="M131" s="47" t="n">
        <v>-32.87722816078096</v>
      </c>
      <c r="N131" s="47" t="n">
        <v>-34.97453917079148</v>
      </c>
    </row>
    <row r="132">
      <c r="A132" s="47" t="n">
        <v>5</v>
      </c>
      <c r="B132" s="47" t="n">
        <v>25</v>
      </c>
      <c r="C132" s="47" t="n">
        <v>548.8146920903409</v>
      </c>
      <c r="D132" s="47" t="n">
        <v>1296.635902978406</v>
      </c>
      <c r="E132" s="47" t="n">
        <v>5055.519735490639</v>
      </c>
      <c r="F132" s="47" t="n">
        <v>0.0194777209765964</v>
      </c>
      <c r="G132" s="47" t="n">
        <v>16035.97515428211</v>
      </c>
      <c r="H132" s="47" t="n">
        <v>-15487.16046219176</v>
      </c>
      <c r="I132" s="47" t="n">
        <v>15.39739807131213</v>
      </c>
      <c r="J132" s="47" t="n">
        <v>60.03369924118196</v>
      </c>
      <c r="K132" s="47" t="n">
        <v>190.4253093293104</v>
      </c>
      <c r="L132" s="47" t="n">
        <v>-12.33394462536113</v>
      </c>
      <c r="M132" s="47" t="n">
        <v>-32.92463603509378</v>
      </c>
      <c r="N132" s="47" t="n">
        <v>-34.90296378965436</v>
      </c>
    </row>
    <row r="133">
      <c r="A133" s="47" t="n">
        <v>5.5</v>
      </c>
      <c r="B133" s="47" t="n">
        <v>25</v>
      </c>
      <c r="C133" s="47" t="n">
        <v>539.5212853164131</v>
      </c>
      <c r="D133" s="47" t="n">
        <v>1280.346613024058</v>
      </c>
      <c r="E133" s="47" t="n">
        <v>5075.599293824479</v>
      </c>
      <c r="F133" s="47" t="n">
        <v>0.01868035273626124</v>
      </c>
      <c r="G133" s="47" t="n">
        <v>16043.92889915282</v>
      </c>
      <c r="H133" s="47" t="n">
        <v>-15504.4076138364</v>
      </c>
      <c r="I133" s="47" t="n">
        <v>15.20396467867663</v>
      </c>
      <c r="J133" s="47" t="n">
        <v>60.27214162277272</v>
      </c>
      <c r="K133" s="47" t="n">
        <v>190.5197591094304</v>
      </c>
      <c r="L133" s="47" t="n">
        <v>-12.30462390344331</v>
      </c>
      <c r="M133" s="47" t="n">
        <v>-32.96795555425771</v>
      </c>
      <c r="N133" s="47" t="n">
        <v>-34.87946522445894</v>
      </c>
    </row>
    <row r="134">
      <c r="A134" s="47" t="n">
        <v>6</v>
      </c>
      <c r="B134" s="47" t="n">
        <v>25</v>
      </c>
      <c r="C134" s="47" t="n">
        <v>533.6920620973987</v>
      </c>
      <c r="D134" s="47" t="n">
        <v>1263.463693042112</v>
      </c>
      <c r="E134" s="47" t="n">
        <v>5095.600837370856</v>
      </c>
      <c r="F134" s="47" t="n">
        <v>0.0183298442880998</v>
      </c>
      <c r="G134" s="47" t="n">
        <v>16050.16829622489</v>
      </c>
      <c r="H134" s="47" t="n">
        <v>-15516.47623412749</v>
      </c>
      <c r="I134" s="47" t="n">
        <v>15.00348199963696</v>
      </c>
      <c r="J134" s="47" t="n">
        <v>60.50965758798458</v>
      </c>
      <c r="K134" s="47" t="n">
        <v>190.5938512120962</v>
      </c>
      <c r="L134" s="47" t="n">
        <v>-12.2742346474758</v>
      </c>
      <c r="M134" s="47" t="n">
        <v>-33.00711290867464</v>
      </c>
      <c r="N134" s="47" t="n">
        <v>-34.90018701282928</v>
      </c>
    </row>
    <row r="135">
      <c r="A135" s="47" t="n">
        <v>6.5</v>
      </c>
      <c r="B135" s="47" t="n">
        <v>25</v>
      </c>
      <c r="C135" s="47" t="n">
        <v>524.4263848132822</v>
      </c>
      <c r="D135" s="47" t="n">
        <v>1245.91098022352</v>
      </c>
      <c r="E135" s="47" t="n">
        <v>5115.493290931494</v>
      </c>
      <c r="F135" s="47" t="n">
        <v>0.01843387744718654</v>
      </c>
      <c r="G135" s="47" t="n">
        <v>16055.64884283196</v>
      </c>
      <c r="H135" s="47" t="n">
        <v>-15531.22245801868</v>
      </c>
      <c r="I135" s="47" t="n">
        <v>14.79504560983896</v>
      </c>
      <c r="J135" s="47" t="n">
        <v>60.74587812251141</v>
      </c>
      <c r="K135" s="47" t="n">
        <v>190.6589320551946</v>
      </c>
      <c r="L135" s="47" t="n">
        <v>-12.24263976440234</v>
      </c>
      <c r="M135" s="47" t="n">
        <v>-33.04198302665201</v>
      </c>
      <c r="N135" s="47" t="n">
        <v>-34.92679263499196</v>
      </c>
    </row>
    <row r="136">
      <c r="A136" s="47" t="n">
        <v>7</v>
      </c>
      <c r="B136" s="47" t="n">
        <v>25</v>
      </c>
      <c r="C136" s="47" t="n">
        <v>534.4078318791427</v>
      </c>
      <c r="D136" s="47" t="n">
        <v>1228.797663151835</v>
      </c>
      <c r="E136" s="47" t="n">
        <v>5135.244252485441</v>
      </c>
      <c r="F136" s="47" t="n">
        <v>0.01900566245640075</v>
      </c>
      <c r="G136" s="47" t="n">
        <v>16057.18659818214</v>
      </c>
      <c r="H136" s="47" t="n">
        <v>-15522.77876630299</v>
      </c>
      <c r="I136" s="47" t="n">
        <v>14.5918269925941</v>
      </c>
      <c r="J136" s="47" t="n">
        <v>60.98041845618468</v>
      </c>
      <c r="K136" s="47" t="n">
        <v>190.6771927181984</v>
      </c>
      <c r="L136" s="47" t="n">
        <v>-12.2118357936733</v>
      </c>
      <c r="M136" s="47" t="n">
        <v>-33.07238869236619</v>
      </c>
      <c r="N136" s="47" t="n">
        <v>-34.94965623643872</v>
      </c>
    </row>
    <row r="137">
      <c r="A137" s="47" t="n">
        <v>7.5</v>
      </c>
      <c r="B137" s="47" t="n">
        <v>25</v>
      </c>
      <c r="C137" s="47" t="n">
        <v>503.483802248403</v>
      </c>
      <c r="D137" s="47" t="n">
        <v>1209.918367142816</v>
      </c>
      <c r="E137" s="47" t="n">
        <v>5154.820026228476</v>
      </c>
      <c r="F137" s="47" t="n">
        <v>0.0200639790778847</v>
      </c>
      <c r="G137" s="47" t="n">
        <v>16063.19705852591</v>
      </c>
      <c r="H137" s="47" t="n">
        <v>-15559.71325627751</v>
      </c>
      <c r="I137" s="47" t="n">
        <v>14.36763758422644</v>
      </c>
      <c r="J137" s="47" t="n">
        <v>61.21287845531251</v>
      </c>
      <c r="K137" s="47" t="n">
        <v>190.7485662242785</v>
      </c>
      <c r="L137" s="47" t="n">
        <v>-12.17785306085707</v>
      </c>
      <c r="M137" s="47" t="n">
        <v>-33.09810023551029</v>
      </c>
      <c r="N137" s="47" t="n">
        <v>-34.98074675628732</v>
      </c>
    </row>
    <row r="138">
      <c r="A138" s="47" t="n">
        <v>8</v>
      </c>
      <c r="B138" s="47" t="n">
        <v>25</v>
      </c>
      <c r="C138" s="47" t="n">
        <v>497.2264534493298</v>
      </c>
      <c r="D138" s="47" t="n">
        <v>1192.092554386639</v>
      </c>
      <c r="E138" s="47" t="n">
        <v>5174.185672185306</v>
      </c>
      <c r="F138" s="47" t="n">
        <v>0.02163314836878428</v>
      </c>
      <c r="G138" s="47" t="n">
        <v>16064.49663999133</v>
      </c>
      <c r="H138" s="47" t="n">
        <v>-15567.270186542</v>
      </c>
      <c r="I138" s="47" t="n">
        <v>14.15595816495302</v>
      </c>
      <c r="J138" s="47" t="n">
        <v>61.44284321181853</v>
      </c>
      <c r="K138" s="47" t="n">
        <v>190.7639986005557</v>
      </c>
      <c r="L138" s="47" t="n">
        <v>-12.14576659789595</v>
      </c>
      <c r="M138" s="47" t="n">
        <v>-33.1188358746145</v>
      </c>
      <c r="N138" s="47" t="n">
        <v>-34.97409675387438</v>
      </c>
    </row>
    <row r="139">
      <c r="A139" s="47" t="n">
        <v>8.5</v>
      </c>
      <c r="B139" s="47" t="n">
        <v>25</v>
      </c>
      <c r="C139" s="47" t="n">
        <v>479.6019721372586</v>
      </c>
      <c r="D139" s="47" t="n">
        <v>1174.068371507743</v>
      </c>
      <c r="E139" s="47" t="n">
        <v>5193.305074644272</v>
      </c>
      <c r="F139" s="47" t="n">
        <v>0.02374292550564765</v>
      </c>
      <c r="G139" s="47" t="n">
        <v>16066.12898919312</v>
      </c>
      <c r="H139" s="47" t="n">
        <v>-15586.52701705587</v>
      </c>
      <c r="I139" s="47" t="n">
        <v>13.94192312392184</v>
      </c>
      <c r="J139" s="47" t="n">
        <v>61.6698838558961</v>
      </c>
      <c r="K139" s="47" t="n">
        <v>190.7833825543654</v>
      </c>
      <c r="L139" s="47" t="n">
        <v>-12.11332306871394</v>
      </c>
      <c r="M139" s="47" t="n">
        <v>-33.13426280480886</v>
      </c>
      <c r="N139" s="47" t="n">
        <v>-35.02312800572896</v>
      </c>
    </row>
    <row r="140">
      <c r="A140" s="47" t="n">
        <v>9</v>
      </c>
      <c r="B140" s="47" t="n">
        <v>25</v>
      </c>
      <c r="C140" s="47" t="n">
        <v>481.2258795743999</v>
      </c>
      <c r="D140" s="47" t="n">
        <v>1157.250102963205</v>
      </c>
      <c r="E140" s="47" t="n">
        <v>5212.141031823048</v>
      </c>
      <c r="F140" s="47" t="n">
        <v>0.0264283033607614</v>
      </c>
      <c r="G140" s="47" t="n">
        <v>16063.80924325645</v>
      </c>
      <c r="H140" s="47" t="n">
        <v>-15582.58336368205</v>
      </c>
      <c r="I140" s="47" t="n">
        <v>13.74220817305887</v>
      </c>
      <c r="J140" s="47" t="n">
        <v>61.89355862077775</v>
      </c>
      <c r="K140" s="47" t="n">
        <v>190.7558358455868</v>
      </c>
      <c r="L140" s="47" t="n">
        <v>-12.08305018533377</v>
      </c>
      <c r="M140" s="47" t="n">
        <v>-33.14399912703463</v>
      </c>
      <c r="N140" s="47" t="n">
        <v>-34.9738695094552</v>
      </c>
    </row>
    <row r="141">
      <c r="A141" s="47" t="n">
        <v>9.5</v>
      </c>
      <c r="B141" s="47" t="n">
        <v>25</v>
      </c>
      <c r="C141" s="47" t="n">
        <v>478.279373718722</v>
      </c>
      <c r="D141" s="47" t="n">
        <v>1140.852277425719</v>
      </c>
      <c r="E141" s="47" t="n">
        <v>5230.65536924873</v>
      </c>
      <c r="F141" s="47" t="n">
        <v>0.02972921622305585</v>
      </c>
      <c r="G141" s="47" t="n">
        <v>16060.87573901286</v>
      </c>
      <c r="H141" s="47" t="n">
        <v>-15582.59636529414</v>
      </c>
      <c r="I141" s="47" t="n">
        <v>13.54748593320369</v>
      </c>
      <c r="J141" s="47" t="n">
        <v>62.11341418911039</v>
      </c>
      <c r="K141" s="47" t="n">
        <v>190.7210008294664</v>
      </c>
      <c r="L141" s="47" t="n">
        <v>-12.05353409936629</v>
      </c>
      <c r="M141" s="47" t="n">
        <v>-33.14761671864022</v>
      </c>
      <c r="N141" s="47" t="n">
        <v>-34.94419082819113</v>
      </c>
    </row>
    <row r="142">
      <c r="A142" s="47" t="n">
        <v>10</v>
      </c>
      <c r="B142" s="47" t="n">
        <v>25</v>
      </c>
      <c r="C142" s="47" t="n">
        <v>454.2022007690483</v>
      </c>
      <c r="D142" s="47" t="n">
        <v>1124.365089845372</v>
      </c>
      <c r="E142" s="47" t="n">
        <v>5248.80907930769</v>
      </c>
      <c r="F142" s="47" t="n">
        <v>0.03369013317421013</v>
      </c>
      <c r="G142" s="47" t="n">
        <v>16059.65300237692</v>
      </c>
      <c r="H142" s="47" t="n">
        <v>-15605.45080160787</v>
      </c>
      <c r="I142" s="47" t="n">
        <v>13.35170252965311</v>
      </c>
      <c r="J142" s="47" t="n">
        <v>62.3289873500933</v>
      </c>
      <c r="K142" s="47" t="n">
        <v>190.7064809764555</v>
      </c>
      <c r="L142" s="47" t="n">
        <v>-12.02385716172167</v>
      </c>
      <c r="M142" s="47" t="n">
        <v>-33.14464514418595</v>
      </c>
      <c r="N142" s="47" t="n">
        <v>-35.01732105932787</v>
      </c>
    </row>
    <row r="143">
      <c r="A143" s="47" t="n">
        <v>10.5</v>
      </c>
      <c r="B143" s="47" t="n">
        <v>25</v>
      </c>
      <c r="C143" s="47" t="n">
        <v>437.9381023255097</v>
      </c>
      <c r="D143" s="47" t="n">
        <v>1109.082219142729</v>
      </c>
      <c r="E143" s="47" t="n">
        <v>5266.562489272529</v>
      </c>
      <c r="F143" s="47" t="n">
        <v>0.03835953124954955</v>
      </c>
      <c r="G143" s="47" t="n">
        <v>16056.09737146301</v>
      </c>
      <c r="H143" s="47" t="n">
        <v>-15618.1592691375</v>
      </c>
      <c r="I143" s="47" t="n">
        <v>13.17022024666183</v>
      </c>
      <c r="J143" s="47" t="n">
        <v>62.53980699477838</v>
      </c>
      <c r="K143" s="47" t="n">
        <v>190.6642582796673</v>
      </c>
      <c r="L143" s="47" t="n">
        <v>-11.99634799445691</v>
      </c>
      <c r="M143" s="47" t="n">
        <v>-33.13457669944461</v>
      </c>
      <c r="N143" s="47" t="n">
        <v>-35.05288525987684</v>
      </c>
    </row>
    <row r="144">
      <c r="A144" s="47" t="n">
        <v>11</v>
      </c>
      <c r="B144" s="47" t="n">
        <v>25</v>
      </c>
      <c r="C144" s="47" t="n">
        <v>444.9386077034492</v>
      </c>
      <c r="D144" s="47" t="n">
        <v>1095.739304862707</v>
      </c>
      <c r="E144" s="47" t="n">
        <v>5283.87545983024</v>
      </c>
      <c r="F144" s="47" t="n">
        <v>0.043789239695664</v>
      </c>
      <c r="G144" s="47" t="n">
        <v>16048.05644574272</v>
      </c>
      <c r="H144" s="47" t="n">
        <v>-15603.11783803927</v>
      </c>
      <c r="I144" s="47" t="n">
        <v>13.01177471686508</v>
      </c>
      <c r="J144" s="47" t="n">
        <v>62.74539647356857</v>
      </c>
      <c r="K144" s="47" t="n">
        <v>190.5687732372643</v>
      </c>
      <c r="L144" s="47" t="n">
        <v>-11.97233074875287</v>
      </c>
      <c r="M144" s="47" t="n">
        <v>-33.11687267043346</v>
      </c>
      <c r="N144" s="47" t="n">
        <v>-34.97231278340458</v>
      </c>
    </row>
    <row r="145">
      <c r="A145" s="47" t="n">
        <v>11.5</v>
      </c>
      <c r="B145" s="47" t="n">
        <v>25</v>
      </c>
      <c r="C145" s="47" t="n">
        <v>434.4446789557209</v>
      </c>
      <c r="D145" s="47" t="n">
        <v>1082.80388950115</v>
      </c>
      <c r="E145" s="47" t="n">
        <v>5300.707615705744</v>
      </c>
      <c r="F145" s="47" t="n">
        <v>0.05003364843063708</v>
      </c>
      <c r="G145" s="47" t="n">
        <v>16041.24963023539</v>
      </c>
      <c r="H145" s="47" t="n">
        <v>-15606.80495127967</v>
      </c>
      <c r="I145" s="47" t="n">
        <v>12.85816818855428</v>
      </c>
      <c r="J145" s="47" t="n">
        <v>62.9452763348451</v>
      </c>
      <c r="K145" s="47" t="n">
        <v>190.4879431077549</v>
      </c>
      <c r="L145" s="47" t="n">
        <v>-11.94904700110207</v>
      </c>
      <c r="M145" s="47" t="n">
        <v>-33.09097087239461</v>
      </c>
      <c r="N145" s="47" t="n">
        <v>-34.96994929237553</v>
      </c>
    </row>
    <row r="146">
      <c r="A146" s="47" t="n">
        <v>12</v>
      </c>
      <c r="B146" s="47" t="n">
        <v>25</v>
      </c>
      <c r="C146" s="47" t="n">
        <v>422.8387186345762</v>
      </c>
      <c r="D146" s="47" t="n">
        <v>1071.008546711764</v>
      </c>
      <c r="E146" s="47" t="n">
        <v>5317.018609391271</v>
      </c>
      <c r="F146" s="47" t="n">
        <v>0.05714877624811762</v>
      </c>
      <c r="G146" s="47" t="n">
        <v>16033.39882339176</v>
      </c>
      <c r="H146" s="47" t="n">
        <v>-15610.56010475718</v>
      </c>
      <c r="I146" s="47" t="n">
        <v>12.71809988726895</v>
      </c>
      <c r="J146" s="47" t="n">
        <v>63.13896745672275</v>
      </c>
      <c r="K146" s="47" t="n">
        <v>190.394715704538</v>
      </c>
      <c r="L146" s="47" t="n">
        <v>-11.92781538408118</v>
      </c>
      <c r="M146" s="47" t="n">
        <v>-33.05629451067123</v>
      </c>
      <c r="N146" s="47" t="n">
        <v>-34.98022358811679</v>
      </c>
    </row>
    <row r="147">
      <c r="A147" s="47" t="n">
        <v>12.5</v>
      </c>
      <c r="B147" s="47" t="n">
        <v>25</v>
      </c>
      <c r="C147" s="47" t="n">
        <v>434.1242349583912</v>
      </c>
      <c r="D147" s="47" t="n">
        <v>1061.369500041206</v>
      </c>
      <c r="E147" s="47" t="n">
        <v>5332.768418252719</v>
      </c>
      <c r="F147" s="47" t="n">
        <v>0.065191197390238</v>
      </c>
      <c r="G147" s="47" t="n">
        <v>16021.16122749555</v>
      </c>
      <c r="H147" s="47" t="n">
        <v>-15587.03699253716</v>
      </c>
      <c r="I147" s="47" t="n">
        <v>12.6036373474969</v>
      </c>
      <c r="J147" s="47" t="n">
        <v>63.32599457515266</v>
      </c>
      <c r="K147" s="47" t="n">
        <v>190.2493956998884</v>
      </c>
      <c r="L147" s="47" t="n">
        <v>-11.91046510007417</v>
      </c>
      <c r="M147" s="47" t="n">
        <v>-33.01226237634275</v>
      </c>
      <c r="N147" s="47" t="n">
        <v>-34.88137011833491</v>
      </c>
    </row>
    <row r="148">
      <c r="A148" s="47" t="n">
        <v>13</v>
      </c>
      <c r="B148" s="47" t="n">
        <v>25</v>
      </c>
      <c r="C148" s="47" t="n">
        <v>428.8351991704085</v>
      </c>
      <c r="D148" s="47" t="n">
        <v>1052.342819287494</v>
      </c>
      <c r="E148" s="47" t="n">
        <v>5347.917674393985</v>
      </c>
      <c r="F148" s="47" t="n">
        <v>0.07421682882713554</v>
      </c>
      <c r="G148" s="47" t="n">
        <v>16010.08199680499</v>
      </c>
      <c r="H148" s="47" t="n">
        <v>-15581.24679763458</v>
      </c>
      <c r="I148" s="47" t="n">
        <v>12.49644658059903</v>
      </c>
      <c r="J148" s="47" t="n">
        <v>63.5058902010223</v>
      </c>
      <c r="K148" s="47" t="n">
        <v>190.1178311451243</v>
      </c>
      <c r="L148" s="47" t="n">
        <v>-11.89421707471749</v>
      </c>
      <c r="M148" s="47" t="n">
        <v>-32.95830035446495</v>
      </c>
      <c r="N148" s="47" t="n">
        <v>-34.86391951975243</v>
      </c>
    </row>
    <row r="149">
      <c r="A149" s="47" t="n">
        <v>13.5</v>
      </c>
      <c r="B149" s="47" t="n">
        <v>25</v>
      </c>
      <c r="C149" s="47" t="n">
        <v>408.8461924087269</v>
      </c>
      <c r="D149" s="47" t="n">
        <v>1044.017036841685</v>
      </c>
      <c r="E149" s="47" t="n">
        <v>5362.428025631009</v>
      </c>
      <c r="F149" s="47" t="n">
        <v>0.08427958487344142</v>
      </c>
      <c r="G149" s="47" t="n">
        <v>15999.92076991478</v>
      </c>
      <c r="H149" s="47" t="n">
        <v>-15591.07457750605</v>
      </c>
      <c r="I149" s="47" t="n">
        <v>12.39757889825367</v>
      </c>
      <c r="J149" s="47" t="n">
        <v>63.67819890667962</v>
      </c>
      <c r="K149" s="47" t="n">
        <v>189.9971677769713</v>
      </c>
      <c r="L149" s="47" t="n">
        <v>-11.87923066631503</v>
      </c>
      <c r="M149" s="47" t="n">
        <v>-32.89385418227484</v>
      </c>
      <c r="N149" s="47" t="n">
        <v>-34.91721851790698</v>
      </c>
    </row>
    <row r="150">
      <c r="A150" s="47" t="n">
        <v>14</v>
      </c>
      <c r="B150" s="47" t="n">
        <v>25</v>
      </c>
      <c r="C150" s="47" t="n">
        <v>412.5510006804454</v>
      </c>
      <c r="D150" s="47" t="n">
        <v>1037.920881642892</v>
      </c>
      <c r="E150" s="47" t="n">
        <v>5376.262524778427</v>
      </c>
      <c r="F150" s="47" t="n">
        <v>0.09542991056356534</v>
      </c>
      <c r="G150" s="47" t="n">
        <v>15985.32661425429</v>
      </c>
      <c r="H150" s="47" t="n">
        <v>-15572.77561357384</v>
      </c>
      <c r="I150" s="47" t="n">
        <v>12.32518777590028</v>
      </c>
      <c r="J150" s="47" t="n">
        <v>63.84248194866597</v>
      </c>
      <c r="K150" s="47" t="n">
        <v>189.8238639036919</v>
      </c>
      <c r="L150" s="47" t="n">
        <v>-11.86825758695721</v>
      </c>
      <c r="M150" s="47" t="n">
        <v>-32.81840334952908</v>
      </c>
      <c r="N150" s="47" t="n">
        <v>-34.85646630768989</v>
      </c>
    </row>
    <row r="151">
      <c r="A151" s="47" t="n">
        <v>14.5</v>
      </c>
      <c r="B151" s="47" t="n">
        <v>25</v>
      </c>
      <c r="C151" s="47" t="n">
        <v>415.5675277705944</v>
      </c>
      <c r="D151" s="47" t="n">
        <v>1033.052429834454</v>
      </c>
      <c r="E151" s="47" t="n">
        <v>5389.386043210486</v>
      </c>
      <c r="F151" s="47" t="n">
        <v>0.1077132103840223</v>
      </c>
      <c r="G151" s="47" t="n">
        <v>15969.73928107725</v>
      </c>
      <c r="H151" s="47" t="n">
        <v>-15554.17175330666</v>
      </c>
      <c r="I151" s="47" t="n">
        <v>12.26737548617936</v>
      </c>
      <c r="J151" s="47" t="n">
        <v>63.99832217870314</v>
      </c>
      <c r="K151" s="47" t="n">
        <v>189.6387661648079</v>
      </c>
      <c r="L151" s="47" t="n">
        <v>-11.85949437370202</v>
      </c>
      <c r="M151" s="47" t="n">
        <v>-32.73147598432267</v>
      </c>
      <c r="N151" s="47" t="n">
        <v>-34.80253323288886</v>
      </c>
    </row>
    <row r="152">
      <c r="A152" s="47" t="n">
        <v>15</v>
      </c>
      <c r="B152" s="47" t="n">
        <v>25</v>
      </c>
      <c r="C152" s="47" t="n">
        <v>399.3459317049312</v>
      </c>
      <c r="D152" s="47" t="n">
        <v>1028.624725967875</v>
      </c>
      <c r="E152" s="47" t="n">
        <v>5401.765703359558</v>
      </c>
      <c r="F152" s="47" t="n">
        <v>0.1211681943760551</v>
      </c>
      <c r="G152" s="47" t="n">
        <v>15955.78400430043</v>
      </c>
      <c r="H152" s="47" t="n">
        <v>-15556.4380725955</v>
      </c>
      <c r="I152" s="47" t="n">
        <v>12.21479702616679</v>
      </c>
      <c r="J152" s="47" t="n">
        <v>64.14532917956203</v>
      </c>
      <c r="K152" s="47" t="n">
        <v>189.4730489027497</v>
      </c>
      <c r="L152" s="47" t="n">
        <v>-11.85152450674217</v>
      </c>
      <c r="M152" s="47" t="n">
        <v>-32.63266451666271</v>
      </c>
      <c r="N152" s="47" t="n">
        <v>-34.84764062669814</v>
      </c>
    </row>
    <row r="153">
      <c r="A153" s="47" t="n">
        <v>15.5</v>
      </c>
      <c r="B153" s="47" t="n">
        <v>25</v>
      </c>
      <c r="C153" s="47" t="n">
        <v>395.616361037493</v>
      </c>
      <c r="D153" s="47" t="n">
        <v>1025.845301196982</v>
      </c>
      <c r="E153" s="47" t="n">
        <v>5413.371323502418</v>
      </c>
      <c r="F153" s="47" t="n">
        <v>0.1358251690986495</v>
      </c>
      <c r="G153" s="47" t="n">
        <v>15939.04875066978</v>
      </c>
      <c r="H153" s="47" t="n">
        <v>-15543.43238963229</v>
      </c>
      <c r="I153" s="47" t="n">
        <v>12.18179168557088</v>
      </c>
      <c r="J153" s="47" t="n">
        <v>64.28314454684717</v>
      </c>
      <c r="K153" s="47" t="n">
        <v>189.2743197441759</v>
      </c>
      <c r="L153" s="47" t="n">
        <v>-11.84652154215457</v>
      </c>
      <c r="M153" s="47" t="n">
        <v>-32.52164186041651</v>
      </c>
      <c r="N153" s="47" t="n">
        <v>-34.83077890153841</v>
      </c>
    </row>
    <row r="154">
      <c r="A154" s="47" t="n">
        <v>16</v>
      </c>
      <c r="B154" s="47" t="n">
        <v>25</v>
      </c>
      <c r="C154" s="47" t="n">
        <v>400.308917557895</v>
      </c>
      <c r="D154" s="47" t="n">
        <v>1024.474859245458</v>
      </c>
      <c r="E154" s="47" t="n">
        <v>5424.175866905382</v>
      </c>
      <c r="F154" s="47" t="n">
        <v>0.1517043062774285</v>
      </c>
      <c r="G154" s="47" t="n">
        <v>15920.13535369901</v>
      </c>
      <c r="H154" s="47" t="n">
        <v>-15519.82643614111</v>
      </c>
      <c r="I154" s="47" t="n">
        <v>12.16551784939777</v>
      </c>
      <c r="J154" s="47" t="n">
        <v>64.41144722254207</v>
      </c>
      <c r="K154" s="47" t="n">
        <v>189.0497253909185</v>
      </c>
      <c r="L154" s="47" t="n">
        <v>-11.84405474664183</v>
      </c>
      <c r="M154" s="47" t="n">
        <v>-32.39817780393283</v>
      </c>
      <c r="N154" s="47" t="n">
        <v>-34.77495105761408</v>
      </c>
    </row>
    <row r="155">
      <c r="A155" s="47" t="n">
        <v>16.5</v>
      </c>
      <c r="B155" s="47" t="n">
        <v>25</v>
      </c>
      <c r="C155" s="47" t="n">
        <v>406.2017834650269</v>
      </c>
      <c r="D155" s="47" t="n">
        <v>1024.13532837942</v>
      </c>
      <c r="E155" s="47" t="n">
        <v>5434.155886208084</v>
      </c>
      <c r="F155" s="47" t="n">
        <v>0.1688139269346927</v>
      </c>
      <c r="G155" s="47" t="n">
        <v>15900.08870023362</v>
      </c>
      <c r="H155" s="47" t="n">
        <v>-15493.88691676859</v>
      </c>
      <c r="I155" s="47" t="n">
        <v>12.16148596049983</v>
      </c>
      <c r="J155" s="47" t="n">
        <v>64.52995877201414</v>
      </c>
      <c r="K155" s="47" t="n">
        <v>188.8116737507509</v>
      </c>
      <c r="L155" s="47" t="n">
        <v>-11.84344359108296</v>
      </c>
      <c r="M155" s="47" t="n">
        <v>-32.26215525276231</v>
      </c>
      <c r="N155" s="47" t="n">
        <v>-34.71538019781406</v>
      </c>
    </row>
    <row r="156">
      <c r="A156" s="47" t="n">
        <v>17</v>
      </c>
      <c r="B156" s="47" t="n">
        <v>25</v>
      </c>
      <c r="C156" s="47" t="n">
        <v>402.8973585502039</v>
      </c>
      <c r="D156" s="47" t="n">
        <v>1024.311229661992</v>
      </c>
      <c r="E156" s="47" t="n">
        <v>5443.291952879227</v>
      </c>
      <c r="F156" s="47" t="n">
        <v>0.1871488431624749</v>
      </c>
      <c r="G156" s="47" t="n">
        <v>15880.39999145499</v>
      </c>
      <c r="H156" s="47" t="n">
        <v>-15477.50263290478</v>
      </c>
      <c r="I156" s="47" t="n">
        <v>12.16357476743692</v>
      </c>
      <c r="J156" s="47" t="n">
        <v>64.63844848375088</v>
      </c>
      <c r="K156" s="47" t="n">
        <v>188.5778726614255</v>
      </c>
      <c r="L156" s="47" t="n">
        <v>-11.84376021339159</v>
      </c>
      <c r="M156" s="47" t="n">
        <v>-32.11358592672033</v>
      </c>
      <c r="N156" s="47" t="n">
        <v>-34.69515212493966</v>
      </c>
    </row>
    <row r="157">
      <c r="A157" s="47" t="n">
        <v>17.5</v>
      </c>
      <c r="B157" s="47" t="n">
        <v>25</v>
      </c>
      <c r="C157" s="47" t="n">
        <v>412.5967385351173</v>
      </c>
      <c r="D157" s="47" t="n">
        <v>1025.783127769475</v>
      </c>
      <c r="E157" s="47" t="n">
        <v>5451.56906073414</v>
      </c>
      <c r="F157" s="47" t="n">
        <v>0.2066888032219586</v>
      </c>
      <c r="G157" s="47" t="n">
        <v>15857.99823216511</v>
      </c>
      <c r="H157" s="47" t="n">
        <v>-15445.40149362999</v>
      </c>
      <c r="I157" s="47" t="n">
        <v>12.18105338346881</v>
      </c>
      <c r="J157" s="47" t="n">
        <v>64.73673816108322</v>
      </c>
      <c r="K157" s="47" t="n">
        <v>188.3118544179914</v>
      </c>
      <c r="L157" s="47" t="n">
        <v>-11.84640962998505</v>
      </c>
      <c r="M157" s="47" t="n">
        <v>-31.95262508032382</v>
      </c>
      <c r="N157" s="47" t="n">
        <v>-34.6128629461849</v>
      </c>
    </row>
    <row r="158">
      <c r="A158" s="47" t="n">
        <v>18</v>
      </c>
      <c r="B158" s="47" t="n">
        <v>25</v>
      </c>
      <c r="C158" s="47" t="n">
        <v>417.3671248555892</v>
      </c>
      <c r="D158" s="47" t="n">
        <v>1027.72089848862</v>
      </c>
      <c r="E158" s="47" t="n">
        <v>5458.976991919846</v>
      </c>
      <c r="F158" s="47" t="n">
        <v>0.2273970880930652</v>
      </c>
      <c r="G158" s="47" t="n">
        <v>15835.43270592218</v>
      </c>
      <c r="H158" s="47" t="n">
        <v>-15418.06558106659</v>
      </c>
      <c r="I158" s="47" t="n">
        <v>12.20406418169295</v>
      </c>
      <c r="J158" s="47" t="n">
        <v>64.82470646821493</v>
      </c>
      <c r="K158" s="47" t="n">
        <v>188.0438914613487</v>
      </c>
      <c r="L158" s="47" t="n">
        <v>-11.84989761727952</v>
      </c>
      <c r="M158" s="47" t="n">
        <v>-31.77958479261814</v>
      </c>
      <c r="N158" s="47" t="n">
        <v>-34.55902464881547</v>
      </c>
    </row>
    <row r="159">
      <c r="A159" s="47" t="n">
        <v>18.5</v>
      </c>
      <c r="B159" s="47" t="n">
        <v>25</v>
      </c>
      <c r="C159" s="47" t="n">
        <v>414.0307836021328</v>
      </c>
      <c r="D159" s="47" t="n">
        <v>1029.881906526706</v>
      </c>
      <c r="E159" s="47" t="n">
        <v>5465.510633501357</v>
      </c>
      <c r="F159" s="47" t="n">
        <v>0.2492193087388989</v>
      </c>
      <c r="G159" s="47" t="n">
        <v>15813.18842976782</v>
      </c>
      <c r="H159" s="47" t="n">
        <v>-15399.15764616569</v>
      </c>
      <c r="I159" s="47" t="n">
        <v>12.22972589669042</v>
      </c>
      <c r="J159" s="47" t="n">
        <v>64.90229268964742</v>
      </c>
      <c r="K159" s="47" t="n">
        <v>187.7797433115327</v>
      </c>
      <c r="L159" s="47" t="n">
        <v>-11.85378743174807</v>
      </c>
      <c r="M159" s="47" t="n">
        <v>-31.59494536165235</v>
      </c>
      <c r="N159" s="47" t="n">
        <v>-34.54025966789819</v>
      </c>
    </row>
    <row r="160">
      <c r="A160" s="47" t="n">
        <v>19</v>
      </c>
      <c r="B160" s="47" t="n">
        <v>25</v>
      </c>
      <c r="C160" s="47" t="n">
        <v>429.3392633910821</v>
      </c>
      <c r="D160" s="47" t="n">
        <v>1033.220590333189</v>
      </c>
      <c r="E160" s="47" t="n">
        <v>5471.170232868209</v>
      </c>
      <c r="F160" s="47" t="n">
        <v>0.272082453001691</v>
      </c>
      <c r="G160" s="47" t="n">
        <v>15787.56166940682</v>
      </c>
      <c r="H160" s="47" t="n">
        <v>-15358.22240601574</v>
      </c>
      <c r="I160" s="47" t="n">
        <v>12.26937237222342</v>
      </c>
      <c r="J160" s="47" t="n">
        <v>64.96949976310219</v>
      </c>
      <c r="K160" s="47" t="n">
        <v>187.4754285616094</v>
      </c>
      <c r="L160" s="47" t="n">
        <v>-11.85979706259974</v>
      </c>
      <c r="M160" s="47" t="n">
        <v>-31.39936434214756</v>
      </c>
      <c r="N160" s="47" t="n">
        <v>-34.42834216614027</v>
      </c>
    </row>
    <row r="161">
      <c r="A161" s="47" t="n">
        <v>19.5</v>
      </c>
      <c r="B161" s="47" t="n">
        <v>25</v>
      </c>
      <c r="C161" s="47" t="n">
        <v>436.6642525095558</v>
      </c>
      <c r="D161" s="47" t="n">
        <v>1036.558657818241</v>
      </c>
      <c r="E161" s="47" t="n">
        <v>5475.961580658604</v>
      </c>
      <c r="F161" s="47" t="n">
        <v>0.2958942290614169</v>
      </c>
      <c r="G161" s="47" t="n">
        <v>15762.32312182864</v>
      </c>
      <c r="H161" s="47" t="n">
        <v>-15325.65886931908</v>
      </c>
      <c r="I161" s="47" t="n">
        <v>12.3090115290123</v>
      </c>
      <c r="J161" s="47" t="n">
        <v>65.02639645172337</v>
      </c>
      <c r="K161" s="47" t="n">
        <v>187.175723792591</v>
      </c>
      <c r="L161" s="47" t="n">
        <v>-11.86580558407283</v>
      </c>
      <c r="M161" s="47" t="n">
        <v>-31.19368278363274</v>
      </c>
      <c r="N161" s="47" t="n">
        <v>-34.38839374586833</v>
      </c>
    </row>
    <row r="162">
      <c r="A162" s="47" t="n">
        <v>20</v>
      </c>
      <c r="B162" s="47" t="n">
        <v>25</v>
      </c>
      <c r="C162" s="47" t="n">
        <v>439.0113020884787</v>
      </c>
      <c r="D162" s="47" t="n">
        <v>1039.908092044315</v>
      </c>
      <c r="E162" s="47" t="n">
        <v>5479.896110793198</v>
      </c>
      <c r="F162" s="47" t="n">
        <v>0.320542748668716</v>
      </c>
      <c r="G162" s="47" t="n">
        <v>15737.09589387018</v>
      </c>
      <c r="H162" s="47" t="n">
        <v>-15298.0845917817</v>
      </c>
      <c r="I162" s="47" t="n">
        <v>12.34878566450715</v>
      </c>
      <c r="J162" s="47" t="n">
        <v>65.07311853196717</v>
      </c>
      <c r="K162" s="47" t="n">
        <v>186.8761534427188</v>
      </c>
      <c r="L162" s="47" t="n">
        <v>-11.87183456567977</v>
      </c>
      <c r="M162" s="47" t="n">
        <v>-30.97892826140932</v>
      </c>
      <c r="N162" s="47" t="n">
        <v>-34.3435825241331</v>
      </c>
    </row>
    <row r="163">
      <c r="A163" s="47" t="n">
        <v>20.5</v>
      </c>
      <c r="B163" s="47" t="n">
        <v>25</v>
      </c>
      <c r="C163" s="47" t="n">
        <v>441.7637232897853</v>
      </c>
      <c r="D163" s="47" t="n">
        <v>1043.383211494585</v>
      </c>
      <c r="E163" s="47" t="n">
        <v>5482.990908529776</v>
      </c>
      <c r="F163" s="47" t="n">
        <v>0.3458965878748888</v>
      </c>
      <c r="G163" s="47" t="n">
        <v>15711.17125385385</v>
      </c>
      <c r="H163" s="47" t="n">
        <v>-15269.40753056406</v>
      </c>
      <c r="I163" s="47" t="n">
        <v>12.39005229718195</v>
      </c>
      <c r="J163" s="47" t="n">
        <v>65.10986888925005</v>
      </c>
      <c r="K163" s="47" t="n">
        <v>186.5683014071011</v>
      </c>
      <c r="L163" s="47" t="n">
        <v>-11.87808978069025</v>
      </c>
      <c r="M163" s="47" t="n">
        <v>-30.7563143444796</v>
      </c>
      <c r="N163" s="47" t="n">
        <v>-34.3075953975742</v>
      </c>
    </row>
    <row r="164">
      <c r="A164" s="47" t="n">
        <v>21</v>
      </c>
      <c r="B164" s="47" t="n">
        <v>25</v>
      </c>
      <c r="C164" s="47" t="n">
        <v>441.2537143317768</v>
      </c>
      <c r="D164" s="47" t="n">
        <v>1046.74562261382</v>
      </c>
      <c r="E164" s="47" t="n">
        <v>5485.268619186063</v>
      </c>
      <c r="F164" s="47" t="n">
        <v>0.371805255757265</v>
      </c>
      <c r="G164" s="47" t="n">
        <v>15685.10856874388</v>
      </c>
      <c r="H164" s="47" t="n">
        <v>-15243.8548544121</v>
      </c>
      <c r="I164" s="47" t="n">
        <v>12.42998053174907</v>
      </c>
      <c r="J164" s="47" t="n">
        <v>65.13691643404312</v>
      </c>
      <c r="K164" s="47" t="n">
        <v>186.2588101023149</v>
      </c>
      <c r="L164" s="47" t="n">
        <v>-11.88414212070488</v>
      </c>
      <c r="M164" s="47" t="n">
        <v>-30.52723621271953</v>
      </c>
      <c r="N164" s="47" t="n">
        <v>-34.25719291657671</v>
      </c>
    </row>
    <row r="165">
      <c r="A165" s="47" t="n">
        <v>21.5</v>
      </c>
      <c r="B165" s="47" t="n">
        <v>25</v>
      </c>
      <c r="C165" s="47" t="n">
        <v>444.1394266764314</v>
      </c>
      <c r="D165" s="47" t="n">
        <v>1050.181172474133</v>
      </c>
      <c r="E165" s="47" t="n">
        <v>5486.757252304532</v>
      </c>
      <c r="F165" s="47" t="n">
        <v>0.3981000927856561</v>
      </c>
      <c r="G165" s="47" t="n">
        <v>15658.02240777977</v>
      </c>
      <c r="H165" s="47" t="n">
        <v>-15213.88298110334</v>
      </c>
      <c r="I165" s="47" t="n">
        <v>12.47077728022069</v>
      </c>
      <c r="J165" s="47" t="n">
        <v>65.15459377635221</v>
      </c>
      <c r="K165" s="47" t="n">
        <v>185.9371651427468</v>
      </c>
      <c r="L165" s="47" t="n">
        <v>-11.89032611045344</v>
      </c>
      <c r="M165" s="47" t="n">
        <v>-30.29326221907725</v>
      </c>
      <c r="N165" s="47" t="n">
        <v>-34.2272726343683</v>
      </c>
    </row>
    <row r="166">
      <c r="A166" s="47" t="n">
        <v>22</v>
      </c>
      <c r="B166" s="47" t="n">
        <v>25</v>
      </c>
      <c r="C166" s="47" t="n">
        <v>447.7794532624074</v>
      </c>
      <c r="D166" s="47" t="n">
        <v>1053.516525139124</v>
      </c>
      <c r="E166" s="47" t="n">
        <v>5487.489878506643</v>
      </c>
      <c r="F166" s="47" t="n">
        <v>0.4245956101780338</v>
      </c>
      <c r="G166" s="47" t="n">
        <v>15630.33000525226</v>
      </c>
      <c r="H166" s="47" t="n">
        <v>-15182.55055198985</v>
      </c>
      <c r="I166" s="47" t="n">
        <v>12.51038419884226</v>
      </c>
      <c r="J166" s="47" t="n">
        <v>65.16329362589786</v>
      </c>
      <c r="K166" s="47" t="n">
        <v>185.6083211362777</v>
      </c>
      <c r="L166" s="47" t="n">
        <v>-11.89632974525042</v>
      </c>
      <c r="M166" s="47" t="n">
        <v>-30.05612128970965</v>
      </c>
      <c r="N166" s="47" t="n">
        <v>-34.20307811605974</v>
      </c>
    </row>
    <row r="167">
      <c r="A167" s="47" t="n">
        <v>22.5</v>
      </c>
      <c r="B167" s="47" t="n">
        <v>25</v>
      </c>
      <c r="C167" s="47" t="n">
        <v>442.5092715341821</v>
      </c>
      <c r="D167" s="47" t="n">
        <v>1056.311512744275</v>
      </c>
      <c r="E167" s="47" t="n">
        <v>5487.504219042654</v>
      </c>
      <c r="F167" s="47" t="n">
        <v>0.4510912701079594</v>
      </c>
      <c r="G167" s="47" t="n">
        <v>15603.43244811026</v>
      </c>
      <c r="H167" s="47" t="n">
        <v>-15160.92317657608</v>
      </c>
      <c r="I167" s="47" t="n">
        <v>12.5435743462553</v>
      </c>
      <c r="J167" s="47" t="n">
        <v>65.16346391806778</v>
      </c>
      <c r="K167" s="47" t="n">
        <v>185.2889158248021</v>
      </c>
      <c r="L167" s="47" t="n">
        <v>-11.9013607229397</v>
      </c>
      <c r="M167" s="47" t="n">
        <v>-29.81768616330514</v>
      </c>
      <c r="N167" s="47" t="n">
        <v>-34.14203027894942</v>
      </c>
    </row>
    <row r="168">
      <c r="A168" s="47" t="n">
        <v>23</v>
      </c>
      <c r="B168" s="47" t="n">
        <v>25</v>
      </c>
      <c r="C168" s="47" t="n">
        <v>438.1289491107309</v>
      </c>
      <c r="D168" s="47" t="n">
        <v>1058.919609332086</v>
      </c>
      <c r="E168" s="47" t="n">
        <v>5486.842131008926</v>
      </c>
      <c r="F168" s="47" t="n">
        <v>0.4773736942779466</v>
      </c>
      <c r="G168" s="47" t="n">
        <v>15576.00628557779</v>
      </c>
      <c r="H168" s="47" t="n">
        <v>-15137.87733646706</v>
      </c>
      <c r="I168" s="47" t="n">
        <v>12.57454518492999</v>
      </c>
      <c r="J168" s="47" t="n">
        <v>65.1556017009333</v>
      </c>
      <c r="K168" s="47" t="n">
        <v>184.9632333868017</v>
      </c>
      <c r="L168" s="47" t="n">
        <v>-11.90605529679775</v>
      </c>
      <c r="M168" s="47" t="n">
        <v>-29.57995258731454</v>
      </c>
      <c r="N168" s="47" t="n">
        <v>-34.09320652926814</v>
      </c>
    </row>
    <row r="169">
      <c r="A169" s="47" t="n">
        <v>23.5</v>
      </c>
      <c r="B169" s="47" t="n">
        <v>25</v>
      </c>
      <c r="C169" s="47" t="n">
        <v>431.2131008039683</v>
      </c>
      <c r="D169" s="47" t="n">
        <v>1061.180949185305</v>
      </c>
      <c r="E169" s="47" t="n">
        <v>5485.548994285324</v>
      </c>
      <c r="F169" s="47" t="n">
        <v>0.5032192755463412</v>
      </c>
      <c r="G169" s="47" t="n">
        <v>15548.58002264164</v>
      </c>
      <c r="H169" s="47" t="n">
        <v>-15117.36692183767</v>
      </c>
      <c r="I169" s="47" t="n">
        <v>12.60139832837184</v>
      </c>
      <c r="J169" s="47" t="n">
        <v>65.14024585520345</v>
      </c>
      <c r="K169" s="47" t="n">
        <v>184.6375497565194</v>
      </c>
      <c r="L169" s="47" t="n">
        <v>-11.91012570853355</v>
      </c>
      <c r="M169" s="47" t="n">
        <v>-29.34501470979652</v>
      </c>
      <c r="N169" s="47" t="n">
        <v>-34.03940625950757</v>
      </c>
    </row>
    <row r="170">
      <c r="A170" s="47" t="n">
        <v>24</v>
      </c>
      <c r="B170" s="47" t="n">
        <v>25</v>
      </c>
      <c r="C170" s="47" t="n">
        <v>441.2625072507224</v>
      </c>
      <c r="D170" s="47" t="n">
        <v>1063.868655064573</v>
      </c>
      <c r="E170" s="47" t="n">
        <v>5483.67300933723</v>
      </c>
      <c r="F170" s="47" t="n">
        <v>0.5283971544213956</v>
      </c>
      <c r="G170" s="47" t="n">
        <v>15518.47278025502</v>
      </c>
      <c r="H170" s="47" t="n">
        <v>-15077.2102730043</v>
      </c>
      <c r="I170" s="47" t="n">
        <v>12.6333145179719</v>
      </c>
      <c r="J170" s="47" t="n">
        <v>65.1179687557068</v>
      </c>
      <c r="K170" s="47" t="n">
        <v>184.2800298121838</v>
      </c>
      <c r="L170" s="47" t="n">
        <v>-11.91496357911623</v>
      </c>
      <c r="M170" s="47" t="n">
        <v>-29.11503702701445</v>
      </c>
      <c r="N170" s="47" t="n">
        <v>-34.06678057757224</v>
      </c>
    </row>
    <row r="171">
      <c r="A171" s="47" t="n">
        <v>24.5</v>
      </c>
      <c r="B171" s="47" t="n">
        <v>25</v>
      </c>
      <c r="C171" s="47" t="n">
        <v>415.4369773441946</v>
      </c>
      <c r="D171" s="47" t="n">
        <v>1064.878055636457</v>
      </c>
      <c r="E171" s="47" t="n">
        <v>5481.264418019424</v>
      </c>
      <c r="F171" s="47" t="n">
        <v>0.5526725097764887</v>
      </c>
      <c r="G171" s="47" t="n">
        <v>15493.13158103504</v>
      </c>
      <c r="H171" s="47" t="n">
        <v>-15077.69460369085</v>
      </c>
      <c r="I171" s="47" t="n">
        <v>12.64530103044082</v>
      </c>
      <c r="J171" s="47" t="n">
        <v>65.08936701852969</v>
      </c>
      <c r="K171" s="47" t="n">
        <v>183.9791060670537</v>
      </c>
      <c r="L171" s="47" t="n">
        <v>-11.91678050014562</v>
      </c>
      <c r="M171" s="47" t="n">
        <v>-28.89222336444656</v>
      </c>
      <c r="N171" s="47" t="n">
        <v>-33.94023690299483</v>
      </c>
    </row>
    <row r="172">
      <c r="A172" s="47" t="n">
        <v>25</v>
      </c>
      <c r="B172" s="47" t="n">
        <v>25</v>
      </c>
      <c r="C172" s="47" t="n">
        <v>418.8320748478185</v>
      </c>
      <c r="D172" s="47" t="n">
        <v>1066.837299977941</v>
      </c>
      <c r="E172" s="47" t="n">
        <v>5478.374662298559</v>
      </c>
      <c r="F172" s="47" t="n">
        <v>0.5758101015686332</v>
      </c>
      <c r="G172" s="47" t="n">
        <v>15463.49249388501</v>
      </c>
      <c r="H172" s="47" t="n">
        <v>-15044.66041903719</v>
      </c>
      <c r="I172" s="47" t="n">
        <v>12.66856682539182</v>
      </c>
      <c r="J172" s="47" t="n">
        <v>65.05505151094519</v>
      </c>
      <c r="K172" s="47" t="n">
        <v>183.6271454108116</v>
      </c>
      <c r="L172" s="47" t="n">
        <v>-11.92030713996029</v>
      </c>
      <c r="M172" s="47" t="n">
        <v>-28.6787834780197</v>
      </c>
      <c r="N172" s="47" t="n">
        <v>-33.9470425339489</v>
      </c>
    </row>
    <row r="173">
      <c r="A173" s="47" t="n">
        <v>25.5</v>
      </c>
      <c r="B173" s="47" t="n">
        <v>25</v>
      </c>
      <c r="C173" s="47" t="n">
        <v>390.1569109362468</v>
      </c>
      <c r="D173" s="47" t="n">
        <v>1067.333667305905</v>
      </c>
      <c r="E173" s="47" t="n">
        <v>5475.055498265701</v>
      </c>
      <c r="F173" s="47" t="n">
        <v>0.597577993124349</v>
      </c>
      <c r="G173" s="47" t="n">
        <v>15438.1856295818</v>
      </c>
      <c r="H173" s="47" t="n">
        <v>-15048.02871864556</v>
      </c>
      <c r="I173" s="47" t="n">
        <v>12.67446112873534</v>
      </c>
      <c r="J173" s="47" t="n">
        <v>65.01563683041651</v>
      </c>
      <c r="K173" s="47" t="n">
        <v>183.3266293887594</v>
      </c>
      <c r="L173" s="47" t="n">
        <v>-11.92120060115063</v>
      </c>
      <c r="M173" s="47" t="n">
        <v>-28.47689795875912</v>
      </c>
      <c r="N173" s="47" t="n">
        <v>-33.82074802762487</v>
      </c>
    </row>
    <row r="174">
      <c r="A174" s="47" t="n">
        <v>26</v>
      </c>
      <c r="B174" s="47" t="n">
        <v>25</v>
      </c>
      <c r="C174" s="47" t="n">
        <v>387.3749410179922</v>
      </c>
      <c r="D174" s="47" t="n">
        <v>1068.738066355703</v>
      </c>
      <c r="E174" s="47" t="n">
        <v>5471.358084835286</v>
      </c>
      <c r="F174" s="47" t="n">
        <v>0.6177513721297303</v>
      </c>
      <c r="G174" s="47" t="n">
        <v>15409.14531624273</v>
      </c>
      <c r="H174" s="47" t="n">
        <v>-15021.77037522473</v>
      </c>
      <c r="I174" s="47" t="n">
        <v>12.69113820143635</v>
      </c>
      <c r="J174" s="47" t="n">
        <v>64.97173048300509</v>
      </c>
      <c r="K174" s="47" t="n">
        <v>182.9817791007408</v>
      </c>
      <c r="L174" s="47" t="n">
        <v>-11.92372851944027</v>
      </c>
      <c r="M174" s="47" t="n">
        <v>-28.28868220353595</v>
      </c>
      <c r="N174" s="47" t="n">
        <v>-33.80794644245313</v>
      </c>
    </row>
    <row r="175">
      <c r="A175" s="47" t="n">
        <v>26.5</v>
      </c>
      <c r="B175" s="47" t="n">
        <v>25</v>
      </c>
      <c r="C175" s="47" t="n">
        <v>383.4871392298647</v>
      </c>
      <c r="D175" s="47" t="n">
        <v>1070.034922720063</v>
      </c>
      <c r="E175" s="47" t="n">
        <v>5467.332068028932</v>
      </c>
      <c r="F175" s="47" t="n">
        <v>0.636116383212785</v>
      </c>
      <c r="G175" s="47" t="n">
        <v>15380.20034267976</v>
      </c>
      <c r="H175" s="47" t="n">
        <v>-14996.71320344989</v>
      </c>
      <c r="I175" s="47" t="n">
        <v>12.70653821746051</v>
      </c>
      <c r="J175" s="47" t="n">
        <v>64.92392200934886</v>
      </c>
      <c r="K175" s="47" t="n">
        <v>182.6380609612932</v>
      </c>
      <c r="L175" s="47" t="n">
        <v>-11.92606286089611</v>
      </c>
      <c r="M175" s="47" t="n">
        <v>-28.11615027353702</v>
      </c>
      <c r="N175" s="47" t="n">
        <v>-33.79616554301608</v>
      </c>
    </row>
    <row r="176">
      <c r="A176" s="47" t="n">
        <v>27</v>
      </c>
      <c r="B176" s="47" t="n">
        <v>25</v>
      </c>
      <c r="C176" s="47" t="n">
        <v>346.2287328646241</v>
      </c>
      <c r="D176" s="47" t="n">
        <v>1070.008330851856</v>
      </c>
      <c r="E176" s="47" t="n">
        <v>5463.024682645259</v>
      </c>
      <c r="F176" s="47" t="n">
        <v>0.652473881254838</v>
      </c>
      <c r="G176" s="47" t="n">
        <v>15355.91630440495</v>
      </c>
      <c r="H176" s="47" t="n">
        <v>-15009.68757154033</v>
      </c>
      <c r="I176" s="47" t="n">
        <v>12.706222442169</v>
      </c>
      <c r="J176" s="47" t="n">
        <v>64.87277231709785</v>
      </c>
      <c r="K176" s="47" t="n">
        <v>182.349690877419</v>
      </c>
      <c r="L176" s="47" t="n">
        <v>-11.92601499553334</v>
      </c>
      <c r="M176" s="47" t="n">
        <v>-27.96117949746792</v>
      </c>
      <c r="N176" s="47" t="n">
        <v>-33.64202327740425</v>
      </c>
    </row>
    <row r="177">
      <c r="A177" s="47" t="n">
        <v>27.5</v>
      </c>
      <c r="B177" s="47" t="n">
        <v>25</v>
      </c>
      <c r="C177" s="47" t="n">
        <v>337.0351401858358</v>
      </c>
      <c r="D177" s="47" t="n">
        <v>1071.198731357044</v>
      </c>
      <c r="E177" s="47" t="n">
        <v>5458.47989336418</v>
      </c>
      <c r="F177" s="47" t="n">
        <v>0.6666430135473501</v>
      </c>
      <c r="G177" s="47" t="n">
        <v>15327.74026248106</v>
      </c>
      <c r="H177" s="47" t="n">
        <v>-14990.70512229523</v>
      </c>
      <c r="I177" s="47" t="n">
        <v>12.72035830744974</v>
      </c>
      <c r="J177" s="47" t="n">
        <v>64.81880348162889</v>
      </c>
      <c r="K177" s="47" t="n">
        <v>182.0151037102894</v>
      </c>
      <c r="L177" s="47" t="n">
        <v>-11.92815771644268</v>
      </c>
      <c r="M177" s="47" t="n">
        <v>-27.82547668612937</v>
      </c>
      <c r="N177" s="47" t="n">
        <v>-33.60832551994616</v>
      </c>
    </row>
    <row r="178">
      <c r="A178" s="47" t="n">
        <v>28</v>
      </c>
      <c r="B178" s="47" t="n">
        <v>25</v>
      </c>
      <c r="C178" s="47" t="n">
        <v>312.1836981889862</v>
      </c>
      <c r="D178" s="47" t="n">
        <v>1071.946416737287</v>
      </c>
      <c r="E178" s="47" t="n">
        <v>5453.737596893806</v>
      </c>
      <c r="F178" s="47" t="n">
        <v>0.6784645407551045</v>
      </c>
      <c r="G178" s="47" t="n">
        <v>15301.84079337318</v>
      </c>
      <c r="H178" s="47" t="n">
        <v>-14989.65709518419</v>
      </c>
      <c r="I178" s="47" t="n">
        <v>12.72923698295553</v>
      </c>
      <c r="J178" s="47" t="n">
        <v>64.76248927163454</v>
      </c>
      <c r="K178" s="47" t="n">
        <v>181.7075505762341</v>
      </c>
      <c r="L178" s="47" t="n">
        <v>-11.92950355012712</v>
      </c>
      <c r="M178" s="47" t="n">
        <v>-27.71054680761291</v>
      </c>
      <c r="N178" s="47" t="n">
        <v>-33.58001877414269</v>
      </c>
    </row>
    <row r="179">
      <c r="A179" s="47" t="n">
        <v>28.5</v>
      </c>
      <c r="B179" s="47" t="n">
        <v>25</v>
      </c>
      <c r="C179" s="47" t="n">
        <v>310.4659866511931</v>
      </c>
      <c r="D179" s="47" t="n">
        <v>1073.896101584677</v>
      </c>
      <c r="E179" s="47" t="n">
        <v>5448.832905634094</v>
      </c>
      <c r="F179" s="47" t="n">
        <v>0.6878038113820307</v>
      </c>
      <c r="G179" s="47" t="n">
        <v>15272.83375718312</v>
      </c>
      <c r="H179" s="47" t="n">
        <v>-14962.36777053193</v>
      </c>
      <c r="I179" s="47" t="n">
        <v>12.75238926004419</v>
      </c>
      <c r="J179" s="47" t="n">
        <v>64.70424664271367</v>
      </c>
      <c r="K179" s="47" t="n">
        <v>181.3630954504263</v>
      </c>
      <c r="L179" s="47" t="n">
        <v>-11.93301298285242</v>
      </c>
      <c r="M179" s="47" t="n">
        <v>-27.61766492770309</v>
      </c>
      <c r="N179" s="47" t="n">
        <v>-33.50595871962811</v>
      </c>
    </row>
    <row r="180">
      <c r="A180" s="47" t="n">
        <v>29</v>
      </c>
      <c r="B180" s="47" t="n">
        <v>25</v>
      </c>
      <c r="C180" s="47" t="n">
        <v>283.981710186696</v>
      </c>
      <c r="D180" s="47" t="n">
        <v>1075.226242663527</v>
      </c>
      <c r="E180" s="47" t="n">
        <v>5443.795531524469</v>
      </c>
      <c r="F180" s="47" t="n">
        <v>0.6945533119745639</v>
      </c>
      <c r="G180" s="47" t="n">
        <v>15247.47104989116</v>
      </c>
      <c r="H180" s="47" t="n">
        <v>-14963.48933970446</v>
      </c>
      <c r="I180" s="47" t="n">
        <v>12.76818452811831</v>
      </c>
      <c r="J180" s="47" t="n">
        <v>64.64442842063463</v>
      </c>
      <c r="K180" s="47" t="n">
        <v>181.0619162994838</v>
      </c>
      <c r="L180" s="47" t="n">
        <v>-11.93540723679435</v>
      </c>
      <c r="M180" s="47" t="n">
        <v>-27.54785214897297</v>
      </c>
      <c r="N180" s="47" t="n">
        <v>-33.49842728635058</v>
      </c>
    </row>
    <row r="181">
      <c r="A181" s="47" t="n">
        <v>29.5</v>
      </c>
      <c r="B181" s="47" t="n">
        <v>25</v>
      </c>
      <c r="C181" s="47" t="n">
        <v>263.5246591496981</v>
      </c>
      <c r="D181" s="47" t="n">
        <v>1077.261979000956</v>
      </c>
      <c r="E181" s="47" t="n">
        <v>5438.649286310954</v>
      </c>
      <c r="F181" s="47" t="n">
        <v>0.6986347254395479</v>
      </c>
      <c r="G181" s="47" t="n">
        <v>15221.48646694638</v>
      </c>
      <c r="H181" s="47" t="n">
        <v>-14957.96180779668</v>
      </c>
      <c r="I181" s="47" t="n">
        <v>12.79235865647895</v>
      </c>
      <c r="J181" s="47" t="n">
        <v>64.58331736706664</v>
      </c>
      <c r="K181" s="47" t="n">
        <v>180.7533524486767</v>
      </c>
      <c r="L181" s="47" t="n">
        <v>-11.93907156220172</v>
      </c>
      <c r="M181" s="47" t="n">
        <v>-27.50185618640379</v>
      </c>
      <c r="N181" s="47" t="n">
        <v>-33.49118804900827</v>
      </c>
    </row>
    <row r="182">
      <c r="A182" s="47" t="n">
        <v>30</v>
      </c>
      <c r="B182" s="47" t="n">
        <v>25</v>
      </c>
      <c r="C182" s="47" t="n">
        <v>258.3810354027646</v>
      </c>
      <c r="D182" s="47" t="n">
        <v>1080.464554096856</v>
      </c>
      <c r="E182" s="47" t="n">
        <v>5433.411711485315</v>
      </c>
      <c r="F182" s="47" t="n">
        <v>0.700000442292993</v>
      </c>
      <c r="G182" s="47" t="n">
        <v>15193.62383841618</v>
      </c>
      <c r="H182" s="47" t="n">
        <v>-14935.24280301341</v>
      </c>
      <c r="I182" s="47" t="n">
        <v>12.83038885716333</v>
      </c>
      <c r="J182" s="47" t="n">
        <v>64.52112178515085</v>
      </c>
      <c r="K182" s="47" t="n">
        <v>180.4224870285482</v>
      </c>
      <c r="L182" s="47" t="n">
        <v>-11.94483619737434</v>
      </c>
      <c r="M182" s="47" t="n">
        <v>-27.48013710003663</v>
      </c>
      <c r="N182" s="47" t="n">
        <v>-33.42305254345993</v>
      </c>
    </row>
    <row r="183">
      <c r="A183" s="47" t="n">
        <v>30.5</v>
      </c>
      <c r="B183" s="47" t="n">
        <v>25</v>
      </c>
      <c r="C183" s="47" t="n">
        <v>239.9861394624414</v>
      </c>
      <c r="D183" s="47" t="n">
        <v>1083.775111198367</v>
      </c>
      <c r="E183" s="47" t="n">
        <v>5428.09384771076</v>
      </c>
      <c r="F183" s="47" t="n">
        <v>0.698634483990851</v>
      </c>
      <c r="G183" s="47" t="n">
        <v>15167.92499642925</v>
      </c>
      <c r="H183" s="47" t="n">
        <v>-14927.93885696681</v>
      </c>
      <c r="I183" s="47" t="n">
        <v>12.86970133139969</v>
      </c>
      <c r="J183" s="47" t="n">
        <v>64.45797278145771</v>
      </c>
      <c r="K183" s="47" t="n">
        <v>180.1173163178379</v>
      </c>
      <c r="L183" s="47" t="n">
        <v>-11.95079520015706</v>
      </c>
      <c r="M183" s="47" t="n">
        <v>-27.48285856996171</v>
      </c>
      <c r="N183" s="47" t="n">
        <v>-33.4215360903727</v>
      </c>
    </row>
    <row r="184">
      <c r="A184" s="47" t="n">
        <v>31</v>
      </c>
      <c r="B184" s="47" t="n">
        <v>25</v>
      </c>
      <c r="C184" s="47" t="n">
        <v>239.5805230601625</v>
      </c>
      <c r="D184" s="47" t="n">
        <v>1088.518556324075</v>
      </c>
      <c r="E184" s="47" t="n">
        <v>5422.700149771261</v>
      </c>
      <c r="F184" s="47" t="n">
        <v>0.6945528132421283</v>
      </c>
      <c r="G184" s="47" t="n">
        <v>15140.05782058526</v>
      </c>
      <c r="H184" s="47" t="n">
        <v>-14900.4772975251</v>
      </c>
      <c r="I184" s="47" t="n">
        <v>12.92602918154035</v>
      </c>
      <c r="J184" s="47" t="n">
        <v>64.3939232560203</v>
      </c>
      <c r="K184" s="47" t="n">
        <v>179.7863968988957</v>
      </c>
      <c r="L184" s="47" t="n">
        <v>-11.95933340138334</v>
      </c>
      <c r="M184" s="47" t="n">
        <v>-27.50988495040912</v>
      </c>
      <c r="N184" s="47" t="n">
        <v>-33.33335779104226</v>
      </c>
    </row>
    <row r="185">
      <c r="A185" s="47" t="n">
        <v>31.5</v>
      </c>
      <c r="B185" s="47" t="n">
        <v>25</v>
      </c>
      <c r="C185" s="47" t="n">
        <v>216.5615747337968</v>
      </c>
      <c r="D185" s="47" t="n">
        <v>1093.135376739154</v>
      </c>
      <c r="E185" s="47" t="n">
        <v>5417.228549094605</v>
      </c>
      <c r="F185" s="47" t="n">
        <v>0.6878030228270172</v>
      </c>
      <c r="G185" s="47" t="n">
        <v>15115.74692609539</v>
      </c>
      <c r="H185" s="47" t="n">
        <v>-14899.18535136159</v>
      </c>
      <c r="I185" s="47" t="n">
        <v>12.98085337821069</v>
      </c>
      <c r="J185" s="47" t="n">
        <v>64.3289486447881</v>
      </c>
      <c r="K185" s="47" t="n">
        <v>179.4977079006424</v>
      </c>
      <c r="L185" s="47" t="n">
        <v>-11.96764367813048</v>
      </c>
      <c r="M185" s="47" t="n">
        <v>-27.56078418292714</v>
      </c>
      <c r="N185" s="47" t="n">
        <v>-33.36492658021603</v>
      </c>
    </row>
    <row r="186">
      <c r="A186" s="47" t="n">
        <v>32</v>
      </c>
      <c r="B186" s="47" t="n">
        <v>25</v>
      </c>
      <c r="C186" s="47" t="n">
        <v>222.437703421877</v>
      </c>
      <c r="D186" s="47" t="n">
        <v>1099.737748011359</v>
      </c>
      <c r="E186" s="47" t="n">
        <v>5411.670661841409</v>
      </c>
      <c r="F186" s="47" t="n">
        <v>0.6784634113599887</v>
      </c>
      <c r="G186" s="47" t="n">
        <v>15087.81999177935</v>
      </c>
      <c r="H186" s="47" t="n">
        <v>-14865.38228835747</v>
      </c>
      <c r="I186" s="47" t="n">
        <v>13.05925575659558</v>
      </c>
      <c r="J186" s="47" t="n">
        <v>64.2629493906595</v>
      </c>
      <c r="K186" s="47" t="n">
        <v>179.1660788569087</v>
      </c>
      <c r="L186" s="47" t="n">
        <v>-11.97952794642045</v>
      </c>
      <c r="M186" s="47" t="n">
        <v>-27.63483648907464</v>
      </c>
      <c r="N186" s="47" t="n">
        <v>-33.26323166229503</v>
      </c>
    </row>
    <row r="187">
      <c r="A187" s="47" t="n">
        <v>32.5</v>
      </c>
      <c r="B187" s="47" t="n">
        <v>25</v>
      </c>
      <c r="C187" s="47" t="n">
        <v>227.9718019768222</v>
      </c>
      <c r="D187" s="47" t="n">
        <v>1107.19344009686</v>
      </c>
      <c r="E187" s="47" t="n">
        <v>5406.012136565577</v>
      </c>
      <c r="F187" s="47" t="n">
        <v>0.6666414710590522</v>
      </c>
      <c r="G187" s="47" t="n">
        <v>15060.40759266279</v>
      </c>
      <c r="H187" s="47" t="n">
        <v>-14832.43579068597</v>
      </c>
      <c r="I187" s="47" t="n">
        <v>13.14779121876649</v>
      </c>
      <c r="J187" s="47" t="n">
        <v>64.19575507190862</v>
      </c>
      <c r="K187" s="47" t="n">
        <v>178.8405598578452</v>
      </c>
      <c r="L187" s="47" t="n">
        <v>-11.99294819217435</v>
      </c>
      <c r="M187" s="47" t="n">
        <v>-27.73104860628657</v>
      </c>
      <c r="N187" s="47" t="n">
        <v>-33.17678845135379</v>
      </c>
    </row>
    <row r="188">
      <c r="A188" s="47" t="n">
        <v>33</v>
      </c>
      <c r="B188" s="47" t="n">
        <v>25</v>
      </c>
      <c r="C188" s="47" t="n">
        <v>226.0841822180854</v>
      </c>
      <c r="D188" s="47" t="n">
        <v>1115.240369103333</v>
      </c>
      <c r="E188" s="47" t="n">
        <v>5400.233131674641</v>
      </c>
      <c r="F188" s="47" t="n">
        <v>0.6524718283293716</v>
      </c>
      <c r="G188" s="47" t="n">
        <v>15034.53671055071</v>
      </c>
      <c r="H188" s="47" t="n">
        <v>-14808.45252833262</v>
      </c>
      <c r="I188" s="47" t="n">
        <v>13.24334754948327</v>
      </c>
      <c r="J188" s="47" t="n">
        <v>64.1271300719704</v>
      </c>
      <c r="K188" s="47" t="n">
        <v>178.5333461909856</v>
      </c>
      <c r="L188" s="47" t="n">
        <v>-12.007432664386</v>
      </c>
      <c r="M188" s="47" t="n">
        <v>-27.84817318205001</v>
      </c>
      <c r="N188" s="47" t="n">
        <v>-33.12829432663332</v>
      </c>
    </row>
    <row r="189">
      <c r="A189" s="47" t="n">
        <v>33.5</v>
      </c>
      <c r="B189" s="47" t="n">
        <v>25</v>
      </c>
      <c r="C189" s="47" t="n">
        <v>226.2394249125868</v>
      </c>
      <c r="D189" s="47" t="n">
        <v>1124.260806505395</v>
      </c>
      <c r="E189" s="47" t="n">
        <v>5394.308909481113</v>
      </c>
      <c r="F189" s="47" t="n">
        <v>0.6361136923009646</v>
      </c>
      <c r="G189" s="47" t="n">
        <v>15008.91650069474</v>
      </c>
      <c r="H189" s="47" t="n">
        <v>-14782.67707578216</v>
      </c>
      <c r="I189" s="47" t="n">
        <v>13.35046417731831</v>
      </c>
      <c r="J189" s="47" t="n">
        <v>64.05678063373017</v>
      </c>
      <c r="K189" s="47" t="n">
        <v>178.2291092275353</v>
      </c>
      <c r="L189" s="47" t="n">
        <v>-12.02366945170971</v>
      </c>
      <c r="M189" s="47" t="n">
        <v>-27.98473280635732</v>
      </c>
      <c r="N189" s="47" t="n">
        <v>-33.07903661922914</v>
      </c>
    </row>
    <row r="190">
      <c r="A190" s="47" t="n">
        <v>34</v>
      </c>
      <c r="B190" s="47" t="n">
        <v>25</v>
      </c>
      <c r="C190" s="47" t="n">
        <v>243.2704274883201</v>
      </c>
      <c r="D190" s="47" t="n">
        <v>1134.833405559846</v>
      </c>
      <c r="E190" s="47" t="n">
        <v>5388.210530653798</v>
      </c>
      <c r="F190" s="47" t="n">
        <v>0.6177478788950673</v>
      </c>
      <c r="G190" s="47" t="n">
        <v>14981.50285514281</v>
      </c>
      <c r="H190" s="47" t="n">
        <v>-14738.23242765449</v>
      </c>
      <c r="I190" s="47" t="n">
        <v>13.47601254129299</v>
      </c>
      <c r="J190" s="47" t="n">
        <v>63.98436310605091</v>
      </c>
      <c r="K190" s="47" t="n">
        <v>177.9035754271991</v>
      </c>
      <c r="L190" s="47" t="n">
        <v>-12.04270013000772</v>
      </c>
      <c r="M190" s="47" t="n">
        <v>-28.13904804512123</v>
      </c>
      <c r="N190" s="47" t="n">
        <v>-32.97778916933369</v>
      </c>
    </row>
    <row r="191">
      <c r="A191" s="47" t="n">
        <v>34.5</v>
      </c>
      <c r="B191" s="47" t="n">
        <v>25</v>
      </c>
      <c r="C191" s="47" t="n">
        <v>248.8414359782273</v>
      </c>
      <c r="D191" s="47" t="n">
        <v>1145.791138654501</v>
      </c>
      <c r="E191" s="47" t="n">
        <v>5381.905630447441</v>
      </c>
      <c r="F191" s="47" t="n">
        <v>0.5975734881302166</v>
      </c>
      <c r="G191" s="47" t="n">
        <v>14956.29351283138</v>
      </c>
      <c r="H191" s="47" t="n">
        <v>-14707.45207685315</v>
      </c>
      <c r="I191" s="47" t="n">
        <v>13.60613432646803</v>
      </c>
      <c r="J191" s="47" t="n">
        <v>63.90949316140865</v>
      </c>
      <c r="K191" s="47" t="n">
        <v>177.604217467271</v>
      </c>
      <c r="L191" s="47" t="n">
        <v>-12.0624240495781</v>
      </c>
      <c r="M191" s="47" t="n">
        <v>-28.30926874163344</v>
      </c>
      <c r="N191" s="47" t="n">
        <v>-32.94503133466003</v>
      </c>
    </row>
    <row r="192">
      <c r="A192" s="47" t="n">
        <v>35</v>
      </c>
      <c r="B192" s="47" t="n">
        <v>25</v>
      </c>
      <c r="C192" s="47" t="n">
        <v>242.0089081204231</v>
      </c>
      <c r="D192" s="47" t="n">
        <v>1157.043515138195</v>
      </c>
      <c r="E192" s="47" t="n">
        <v>5375.359256283574</v>
      </c>
      <c r="F192" s="47" t="n">
        <v>0.5758043199108684</v>
      </c>
      <c r="G192" s="47" t="n">
        <v>14933.44947800909</v>
      </c>
      <c r="H192" s="47" t="n">
        <v>-14691.44056988867</v>
      </c>
      <c r="I192" s="47" t="n">
        <v>13.73975496705783</v>
      </c>
      <c r="J192" s="47" t="n">
        <v>63.83175574206582</v>
      </c>
      <c r="K192" s="47" t="n">
        <v>177.3329472541713</v>
      </c>
      <c r="L192" s="47" t="n">
        <v>-12.08267832724875</v>
      </c>
      <c r="M192" s="47" t="n">
        <v>-28.49340778211262</v>
      </c>
      <c r="N192" s="47" t="n">
        <v>-32.90323416204733</v>
      </c>
    </row>
    <row r="193">
      <c r="A193" s="47" t="n">
        <v>35.5</v>
      </c>
      <c r="B193" s="47" t="n">
        <v>25</v>
      </c>
      <c r="C193" s="47" t="n">
        <v>242.6378827008608</v>
      </c>
      <c r="D193" s="47" t="n">
        <v>1169.313395383915</v>
      </c>
      <c r="E193" s="47" t="n">
        <v>5368.534745122956</v>
      </c>
      <c r="F193" s="47" t="n">
        <v>0.55266511826856</v>
      </c>
      <c r="G193" s="47" t="n">
        <v>14910.21667262564</v>
      </c>
      <c r="H193" s="47" t="n">
        <v>-14667.57878992478</v>
      </c>
      <c r="I193" s="47" t="n">
        <v>13.8854583445416</v>
      </c>
      <c r="J193" s="47" t="n">
        <v>63.75071547876539</v>
      </c>
      <c r="K193" s="47" t="n">
        <v>177.0570604366147</v>
      </c>
      <c r="L193" s="47" t="n">
        <v>-12.10476411169105</v>
      </c>
      <c r="M193" s="47" t="n">
        <v>-28.68937647680428</v>
      </c>
      <c r="N193" s="47" t="n">
        <v>-32.87326954139304</v>
      </c>
    </row>
    <row r="194">
      <c r="A194" s="47" t="n">
        <v>36</v>
      </c>
      <c r="B194" s="47" t="n">
        <v>25</v>
      </c>
      <c r="C194" s="47" t="n">
        <v>251.8480330414438</v>
      </c>
      <c r="D194" s="47" t="n">
        <v>1182.555369838259</v>
      </c>
      <c r="E194" s="47" t="n">
        <v>5361.394618631633</v>
      </c>
      <c r="F194" s="47" t="n">
        <v>0.5283877358607858</v>
      </c>
      <c r="G194" s="47" t="n">
        <v>14886.46343791321</v>
      </c>
      <c r="H194" s="47" t="n">
        <v>-14634.61540487177</v>
      </c>
      <c r="I194" s="47" t="n">
        <v>14.04270522584061</v>
      </c>
      <c r="J194" s="47" t="n">
        <v>63.66592732072202</v>
      </c>
      <c r="K194" s="47" t="n">
        <v>176.774993582297</v>
      </c>
      <c r="L194" s="47" t="n">
        <v>-12.12859966570887</v>
      </c>
      <c r="M194" s="47" t="n">
        <v>-28.89502069078987</v>
      </c>
      <c r="N194" s="47" t="n">
        <v>-32.81108692120448</v>
      </c>
    </row>
    <row r="195">
      <c r="A195" s="47" t="n">
        <v>36.5</v>
      </c>
      <c r="B195" s="47" t="n">
        <v>25</v>
      </c>
      <c r="C195" s="47" t="n">
        <v>274.3131350022337</v>
      </c>
      <c r="D195" s="47" t="n">
        <v>1196.848646741446</v>
      </c>
      <c r="E195" s="47" t="n">
        <v>5353.901474392038</v>
      </c>
      <c r="F195" s="47" t="n">
        <v>0.5032073095015475</v>
      </c>
      <c r="G195" s="47" t="n">
        <v>14861.55856302947</v>
      </c>
      <c r="H195" s="47" t="n">
        <v>-14587.24542802724</v>
      </c>
      <c r="I195" s="47" t="n">
        <v>14.21243619944418</v>
      </c>
      <c r="J195" s="47" t="n">
        <v>63.57694711864851</v>
      </c>
      <c r="K195" s="47" t="n">
        <v>176.4792511370814</v>
      </c>
      <c r="L195" s="47" t="n">
        <v>-12.1543275641346</v>
      </c>
      <c r="M195" s="47" t="n">
        <v>-29.10815686839174</v>
      </c>
      <c r="N195" s="47" t="n">
        <v>-32.81780836067485</v>
      </c>
    </row>
    <row r="196">
      <c r="A196" s="47" t="n">
        <v>37</v>
      </c>
      <c r="B196" s="47" t="n">
        <v>25</v>
      </c>
      <c r="C196" s="47" t="n">
        <v>277.2699134824556</v>
      </c>
      <c r="D196" s="47" t="n">
        <v>1210.758674457129</v>
      </c>
      <c r="E196" s="47" t="n">
        <v>5346.018852315779</v>
      </c>
      <c r="F196" s="47" t="n">
        <v>0.477358533734111</v>
      </c>
      <c r="G196" s="47" t="n">
        <v>14840.11000591201</v>
      </c>
      <c r="H196" s="47" t="n">
        <v>-14562.84009242955</v>
      </c>
      <c r="I196" s="47" t="n">
        <v>14.37761613425038</v>
      </c>
      <c r="J196" s="47" t="n">
        <v>63.48334191330515</v>
      </c>
      <c r="K196" s="47" t="n">
        <v>176.2245520567657</v>
      </c>
      <c r="L196" s="47" t="n">
        <v>-12.17936561402283</v>
      </c>
      <c r="M196" s="47" t="n">
        <v>-29.3266071305614</v>
      </c>
      <c r="N196" s="47" t="n">
        <v>-32.78056075251645</v>
      </c>
    </row>
    <row r="197">
      <c r="A197" s="47" t="n">
        <v>37.5</v>
      </c>
      <c r="B197" s="47" t="n">
        <v>25</v>
      </c>
      <c r="C197" s="47" t="n">
        <v>280.6842863692354</v>
      </c>
      <c r="D197" s="47" t="n">
        <v>1224.945399671171</v>
      </c>
      <c r="E197" s="47" t="n">
        <v>5337.712056919469</v>
      </c>
      <c r="F197" s="47" t="n">
        <v>0.4510721131942753</v>
      </c>
      <c r="G197" s="47" t="n">
        <v>14819.34158378539</v>
      </c>
      <c r="H197" s="47" t="n">
        <v>-14538.65729741616</v>
      </c>
      <c r="I197" s="47" t="n">
        <v>14.54608181914093</v>
      </c>
      <c r="J197" s="47" t="n">
        <v>63.3846996999281</v>
      </c>
      <c r="K197" s="47" t="n">
        <v>175.977929499067</v>
      </c>
      <c r="L197" s="47" t="n">
        <v>-12.20490171940811</v>
      </c>
      <c r="M197" s="47" t="n">
        <v>-29.54823268370657</v>
      </c>
      <c r="N197" s="47" t="n">
        <v>-32.74798785393595</v>
      </c>
    </row>
    <row r="198">
      <c r="A198" s="47" t="n">
        <v>38</v>
      </c>
      <c r="B198" s="47" t="n">
        <v>25</v>
      </c>
      <c r="C198" s="47" t="n">
        <v>282.3717678695042</v>
      </c>
      <c r="D198" s="47" t="n">
        <v>1239.170005899522</v>
      </c>
      <c r="E198" s="47" t="n">
        <v>5328.948918152922</v>
      </c>
      <c r="F198" s="47" t="n">
        <v>0.4245714660703753</v>
      </c>
      <c r="G198" s="47" t="n">
        <v>14799.57608673055</v>
      </c>
      <c r="H198" s="47" t="n">
        <v>-14517.20431886105</v>
      </c>
      <c r="I198" s="47" t="n">
        <v>14.71499733659843</v>
      </c>
      <c r="J198" s="47" t="n">
        <v>63.28063846297428</v>
      </c>
      <c r="K198" s="47" t="n">
        <v>175.7432165580389</v>
      </c>
      <c r="L198" s="47" t="n">
        <v>-12.23050601061914</v>
      </c>
      <c r="M198" s="47" t="n">
        <v>-29.77096485804188</v>
      </c>
      <c r="N198" s="47" t="n">
        <v>-32.70877445739749</v>
      </c>
    </row>
    <row r="199">
      <c r="A199" s="47" t="n">
        <v>38.5</v>
      </c>
      <c r="B199" s="47" t="n">
        <v>25</v>
      </c>
      <c r="C199" s="47" t="n">
        <v>311.181919337271</v>
      </c>
      <c r="D199" s="47" t="n">
        <v>1254.42449571693</v>
      </c>
      <c r="E199" s="47" t="n">
        <v>5319.700475926948</v>
      </c>
      <c r="F199" s="47" t="n">
        <v>0.3980697407320988</v>
      </c>
      <c r="G199" s="47" t="n">
        <v>14776.78943004736</v>
      </c>
      <c r="H199" s="47" t="n">
        <v>-14465.60751071009</v>
      </c>
      <c r="I199" s="47" t="n">
        <v>14.89614259993248</v>
      </c>
      <c r="J199" s="47" t="n">
        <v>63.17081430480795</v>
      </c>
      <c r="K199" s="47" t="n">
        <v>175.4726277035582</v>
      </c>
      <c r="L199" s="47" t="n">
        <v>-12.25796409229047</v>
      </c>
      <c r="M199" s="47" t="n">
        <v>-29.99283319007962</v>
      </c>
      <c r="N199" s="47" t="n">
        <v>-32.79531377997209</v>
      </c>
    </row>
    <row r="200">
      <c r="A200" s="47" t="n">
        <v>39</v>
      </c>
      <c r="B200" s="47" t="n">
        <v>25</v>
      </c>
      <c r="C200" s="47" t="n">
        <v>302.8435496777789</v>
      </c>
      <c r="D200" s="47" t="n">
        <v>1267.967947179111</v>
      </c>
      <c r="E200" s="47" t="n">
        <v>5309.941576271012</v>
      </c>
      <c r="F200" s="47" t="n">
        <v>0.371767196011128</v>
      </c>
      <c r="G200" s="47" t="n">
        <v>14759.99230717167</v>
      </c>
      <c r="H200" s="47" t="n">
        <v>-14457.14875749389</v>
      </c>
      <c r="I200" s="47" t="n">
        <v>15.05696948506168</v>
      </c>
      <c r="J200" s="47" t="n">
        <v>63.05492852500246</v>
      </c>
      <c r="K200" s="47" t="n">
        <v>175.2731638550131</v>
      </c>
      <c r="L200" s="47" t="n">
        <v>-12.2823423049224</v>
      </c>
      <c r="M200" s="47" t="n">
        <v>-30.21199007318767</v>
      </c>
      <c r="N200" s="47" t="n">
        <v>-32.7279861902578</v>
      </c>
    </row>
    <row r="201">
      <c r="A201" s="47" t="n">
        <v>39.5</v>
      </c>
      <c r="B201" s="47" t="n">
        <v>25</v>
      </c>
      <c r="C201" s="47" t="n">
        <v>298.9294049077882</v>
      </c>
      <c r="D201" s="47" t="n">
        <v>1281.28775159429</v>
      </c>
      <c r="E201" s="47" t="n">
        <v>5299.651370047362</v>
      </c>
      <c r="F201" s="47" t="n">
        <v>0.3458489831386417</v>
      </c>
      <c r="G201" s="47" t="n">
        <v>14743.37511964418</v>
      </c>
      <c r="H201" s="47" t="n">
        <v>-14444.44571473639</v>
      </c>
      <c r="I201" s="47" t="n">
        <v>15.21514058794525</v>
      </c>
      <c r="J201" s="47" t="n">
        <v>62.93273354251163</v>
      </c>
      <c r="K201" s="47" t="n">
        <v>175.0758367174577</v>
      </c>
      <c r="L201" s="47" t="n">
        <v>-12.30631795286972</v>
      </c>
      <c r="M201" s="47" t="n">
        <v>-30.42673161783748</v>
      </c>
      <c r="N201" s="47" t="n">
        <v>-32.68509843667253</v>
      </c>
    </row>
    <row r="202">
      <c r="A202" s="47" t="n">
        <v>40</v>
      </c>
      <c r="B202" s="47" t="n">
        <v>25</v>
      </c>
      <c r="C202" s="47" t="n">
        <v>304.8211728122678</v>
      </c>
      <c r="D202" s="47" t="n">
        <v>1294.421019210432</v>
      </c>
      <c r="E202" s="47" t="n">
        <v>5288.813708244073</v>
      </c>
      <c r="F202" s="47" t="n">
        <v>0.3204833544517672</v>
      </c>
      <c r="G202" s="47" t="n">
        <v>14726.19286852387</v>
      </c>
      <c r="H202" s="47" t="n">
        <v>-14421.3716957116</v>
      </c>
      <c r="I202" s="47" t="n">
        <v>15.37109658839095</v>
      </c>
      <c r="J202" s="47" t="n">
        <v>62.80403758972783</v>
      </c>
      <c r="K202" s="47" t="n">
        <v>174.8717995165342</v>
      </c>
      <c r="L202" s="47" t="n">
        <v>-12.32995783457878</v>
      </c>
      <c r="M202" s="47" t="n">
        <v>-30.63551448477343</v>
      </c>
      <c r="N202" s="47" t="n">
        <v>-32.69040486526727</v>
      </c>
    </row>
    <row r="203">
      <c r="A203" s="47" t="n">
        <v>40.5</v>
      </c>
      <c r="B203" s="47" t="n">
        <v>25</v>
      </c>
      <c r="C203" s="47" t="n">
        <v>300.6975060151263</v>
      </c>
      <c r="D203" s="47" t="n">
        <v>1306.397011285017</v>
      </c>
      <c r="E203" s="47" t="n">
        <v>5277.417430953986</v>
      </c>
      <c r="F203" s="47" t="n">
        <v>0.2958203111349623</v>
      </c>
      <c r="G203" s="47" t="n">
        <v>14711.22682879127</v>
      </c>
      <c r="H203" s="47" t="n">
        <v>-14410.52932277614</v>
      </c>
      <c r="I203" s="47" t="n">
        <v>15.5133100785833</v>
      </c>
      <c r="J203" s="47" t="n">
        <v>62.66870814407275</v>
      </c>
      <c r="K203" s="47" t="n">
        <v>174.6940795638592</v>
      </c>
      <c r="L203" s="47" t="n">
        <v>-12.35151462031303</v>
      </c>
      <c r="M203" s="47" t="n">
        <v>-30.83696857550251</v>
      </c>
      <c r="N203" s="47" t="n">
        <v>-32.6644125312641</v>
      </c>
    </row>
    <row r="204">
      <c r="A204" s="47" t="n">
        <v>41</v>
      </c>
      <c r="B204" s="47" t="n">
        <v>25</v>
      </c>
      <c r="C204" s="47" t="n">
        <v>276.5571077382654</v>
      </c>
      <c r="D204" s="47" t="n">
        <v>1316.641028358529</v>
      </c>
      <c r="E204" s="47" t="n">
        <v>5265.456550116174</v>
      </c>
      <c r="F204" s="47" t="n">
        <v>0.2719906898943555</v>
      </c>
      <c r="G204" s="47" t="n">
        <v>14699.88132053898</v>
      </c>
      <c r="H204" s="47" t="n">
        <v>-14423.32421280072</v>
      </c>
      <c r="I204" s="47" t="n">
        <v>15.63495657037631</v>
      </c>
      <c r="J204" s="47" t="n">
        <v>62.52667409803077</v>
      </c>
      <c r="K204" s="47" t="n">
        <v>174.5593529945265</v>
      </c>
      <c r="L204" s="47" t="n">
        <v>-12.36995385104535</v>
      </c>
      <c r="M204" s="47" t="n">
        <v>-31.02990558115992</v>
      </c>
      <c r="N204" s="47" t="n">
        <v>-32.56325911963867</v>
      </c>
    </row>
    <row r="205">
      <c r="A205" s="47" t="n">
        <v>41.5</v>
      </c>
      <c r="B205" s="47" t="n">
        <v>25</v>
      </c>
      <c r="C205" s="47" t="n">
        <v>269.2155410168153</v>
      </c>
      <c r="D205" s="47" t="n">
        <v>1326.457247883701</v>
      </c>
      <c r="E205" s="47" t="n">
        <v>5252.93032885912</v>
      </c>
      <c r="F205" s="47" t="n">
        <v>0.2491056769582342</v>
      </c>
      <c r="G205" s="47" t="n">
        <v>14687.00416442318</v>
      </c>
      <c r="H205" s="47" t="n">
        <v>-14417.78862340636</v>
      </c>
      <c r="I205" s="47" t="n">
        <v>15.75152301685313</v>
      </c>
      <c r="J205" s="47" t="n">
        <v>62.37792670133972</v>
      </c>
      <c r="K205" s="47" t="n">
        <v>174.4064382878722</v>
      </c>
      <c r="L205" s="47" t="n">
        <v>-12.38762304619066</v>
      </c>
      <c r="M205" s="47" t="n">
        <v>-31.21332349932231</v>
      </c>
      <c r="N205" s="47" t="n">
        <v>-32.53570029484251</v>
      </c>
    </row>
    <row r="206">
      <c r="A206" s="47" t="n">
        <v>42</v>
      </c>
      <c r="B206" s="47" t="n">
        <v>25</v>
      </c>
      <c r="C206" s="47" t="n">
        <v>271.1262021129023</v>
      </c>
      <c r="D206" s="47" t="n">
        <v>1335.384475214123</v>
      </c>
      <c r="E206" s="47" t="n">
        <v>5239.843262761747</v>
      </c>
      <c r="F206" s="47" t="n">
        <v>0.2272567274810545</v>
      </c>
      <c r="G206" s="47" t="n">
        <v>14673.65175963927</v>
      </c>
      <c r="H206" s="47" t="n">
        <v>-14402.52555752637</v>
      </c>
      <c r="I206" s="47" t="n">
        <v>15.85753278610591</v>
      </c>
      <c r="J206" s="47" t="n">
        <v>62.22251933846788</v>
      </c>
      <c r="K206" s="47" t="n">
        <v>174.2478800594637</v>
      </c>
      <c r="L206" s="47" t="n">
        <v>-12.40369205538542</v>
      </c>
      <c r="M206" s="47" t="n">
        <v>-31.38640732564166</v>
      </c>
      <c r="N206" s="47" t="n">
        <v>-32.55607457427063</v>
      </c>
    </row>
    <row r="207">
      <c r="A207" s="47" t="n">
        <v>42.5</v>
      </c>
      <c r="B207" s="47" t="n">
        <v>25</v>
      </c>
      <c r="C207" s="47" t="n">
        <v>259.7768551367322</v>
      </c>
      <c r="D207" s="47" t="n">
        <v>1342.37481084911</v>
      </c>
      <c r="E207" s="47" t="n">
        <v>5226.204970478212</v>
      </c>
      <c r="F207" s="47" t="n">
        <v>0.206515859559209</v>
      </c>
      <c r="G207" s="47" t="n">
        <v>14662.97358879341</v>
      </c>
      <c r="H207" s="47" t="n">
        <v>-14403.19673365668</v>
      </c>
      <c r="I207" s="47" t="n">
        <v>15.94054219543719</v>
      </c>
      <c r="J207" s="47" t="n">
        <v>62.06056622979634</v>
      </c>
      <c r="K207" s="47" t="n">
        <v>174.1210780429458</v>
      </c>
      <c r="L207" s="47" t="n">
        <v>-12.4162746595284</v>
      </c>
      <c r="M207" s="47" t="n">
        <v>-31.5485262108279</v>
      </c>
      <c r="N207" s="47" t="n">
        <v>-32.52704086057548</v>
      </c>
    </row>
    <row r="208">
      <c r="A208" s="47" t="n">
        <v>43</v>
      </c>
      <c r="B208" s="47" t="n">
        <v>25</v>
      </c>
      <c r="C208" s="47" t="n">
        <v>247.2629698422237</v>
      </c>
      <c r="D208" s="47" t="n">
        <v>1347.779232252546</v>
      </c>
      <c r="E208" s="47" t="n">
        <v>5212.030002910717</v>
      </c>
      <c r="F208" s="47" t="n">
        <v>0.1869362848282584</v>
      </c>
      <c r="G208" s="47" t="n">
        <v>14653.27197573326</v>
      </c>
      <c r="H208" s="47" t="n">
        <v>-14406.00900589103</v>
      </c>
      <c r="I208" s="47" t="n">
        <v>16.00471906074123</v>
      </c>
      <c r="J208" s="47" t="n">
        <v>61.89224016556867</v>
      </c>
      <c r="K208" s="47" t="n">
        <v>174.0058725346933</v>
      </c>
      <c r="L208" s="47" t="n">
        <v>-12.42600261805458</v>
      </c>
      <c r="M208" s="47" t="n">
        <v>-31.69922744178497</v>
      </c>
      <c r="N208" s="47" t="n">
        <v>-32.50374523157684</v>
      </c>
    </row>
    <row r="209">
      <c r="A209" s="47" t="n">
        <v>43.5</v>
      </c>
      <c r="B209" s="47" t="n">
        <v>25</v>
      </c>
      <c r="C209" s="47" t="n">
        <v>225.3552826031468</v>
      </c>
      <c r="D209" s="47" t="n">
        <v>1351.152738259161</v>
      </c>
      <c r="E209" s="47" t="n">
        <v>5197.337581435408</v>
      </c>
      <c r="F209" s="47" t="n">
        <v>0.1685533321118996</v>
      </c>
      <c r="G209" s="47" t="n">
        <v>14645.69265746226</v>
      </c>
      <c r="H209" s="47" t="n">
        <v>-14420.33737485911</v>
      </c>
      <c r="I209" s="47" t="n">
        <v>16.04477904578444</v>
      </c>
      <c r="J209" s="47" t="n">
        <v>61.71776939735439</v>
      </c>
      <c r="K209" s="47" t="n">
        <v>173.9158690261835</v>
      </c>
      <c r="L209" s="47" t="n">
        <v>-12.43207492886649</v>
      </c>
      <c r="M209" s="47" t="n">
        <v>-31.83822765757664</v>
      </c>
      <c r="N209" s="47" t="n">
        <v>-32.44213854340947</v>
      </c>
    </row>
    <row r="210">
      <c r="A210" s="47" t="n">
        <v>44</v>
      </c>
      <c r="B210" s="47" t="n">
        <v>25</v>
      </c>
      <c r="C210" s="47" t="n">
        <v>208.8401598483281</v>
      </c>
      <c r="D210" s="47" t="n">
        <v>1352.990153932563</v>
      </c>
      <c r="E210" s="47" t="n">
        <v>5182.151276581459</v>
      </c>
      <c r="F210" s="47" t="n">
        <v>0.1513856168673851</v>
      </c>
      <c r="G210" s="47" t="n">
        <v>14638.15716894973</v>
      </c>
      <c r="H210" s="47" t="n">
        <v>-14429.3170091014</v>
      </c>
      <c r="I210" s="47" t="n">
        <v>16.06659813970345</v>
      </c>
      <c r="J210" s="47" t="n">
        <v>61.53743382240121</v>
      </c>
      <c r="K210" s="47" t="n">
        <v>173.8263859908745</v>
      </c>
      <c r="L210" s="47" t="n">
        <v>-12.43538227707861</v>
      </c>
      <c r="M210" s="47" t="n">
        <v>-31.96540174604016</v>
      </c>
      <c r="N210" s="47" t="n">
        <v>-32.39943149925128</v>
      </c>
    </row>
    <row r="211">
      <c r="A211" s="47" t="n">
        <v>44.5</v>
      </c>
      <c r="B211" s="47" t="n">
        <v>25</v>
      </c>
      <c r="C211" s="47" t="n">
        <v>178.9629634022754</v>
      </c>
      <c r="D211" s="47" t="n">
        <v>1352.46576286895</v>
      </c>
      <c r="E211" s="47" t="n">
        <v>5166.498639040892</v>
      </c>
      <c r="F211" s="47" t="n">
        <v>0.1354364071863983</v>
      </c>
      <c r="G211" s="47" t="n">
        <v>14633.28081281214</v>
      </c>
      <c r="H211" s="47" t="n">
        <v>-14454.31784940987</v>
      </c>
      <c r="I211" s="47" t="n">
        <v>16.0603710578118</v>
      </c>
      <c r="J211" s="47" t="n">
        <v>61.35156060192007</v>
      </c>
      <c r="K211" s="47" t="n">
        <v>173.7684798381794</v>
      </c>
      <c r="L211" s="47" t="n">
        <v>-12.43443837316411</v>
      </c>
      <c r="M211" s="47" t="n">
        <v>-32.08076988559602</v>
      </c>
      <c r="N211" s="47" t="n">
        <v>-32.37486360975635</v>
      </c>
    </row>
    <row r="212">
      <c r="A212" s="47" t="n">
        <v>45</v>
      </c>
      <c r="B212" s="47" t="n">
        <v>25</v>
      </c>
      <c r="C212" s="47" t="n">
        <v>165.2657325139355</v>
      </c>
      <c r="D212" s="47" t="n">
        <v>1350.708383641247</v>
      </c>
      <c r="E212" s="47" t="n">
        <v>5150.410794969204</v>
      </c>
      <c r="F212" s="47" t="n">
        <v>0.1206951367692126</v>
      </c>
      <c r="G212" s="47" t="n">
        <v>14626.9154296808</v>
      </c>
      <c r="H212" s="47" t="n">
        <v>-14461.64969716686</v>
      </c>
      <c r="I212" s="47" t="n">
        <v>16.03950238722429</v>
      </c>
      <c r="J212" s="47" t="n">
        <v>61.16051935532803</v>
      </c>
      <c r="K212" s="47" t="n">
        <v>173.6928916659525</v>
      </c>
      <c r="L212" s="47" t="n">
        <v>-12.43127509055424</v>
      </c>
      <c r="M212" s="47" t="n">
        <v>-32.18448320002165</v>
      </c>
      <c r="N212" s="47" t="n">
        <v>-32.37526111178964</v>
      </c>
    </row>
    <row r="213">
      <c r="A213" s="47" t="n">
        <v>45.5</v>
      </c>
      <c r="B213" s="47" t="n">
        <v>25</v>
      </c>
      <c r="C213" s="47" t="n">
        <v>168.7818798773847</v>
      </c>
      <c r="D213" s="47" t="n">
        <v>1347.730368138411</v>
      </c>
      <c r="E213" s="47" t="n">
        <v>5133.922017260061</v>
      </c>
      <c r="F213" s="47" t="n">
        <v>0.1071390164462804</v>
      </c>
      <c r="G213" s="47" t="n">
        <v>14618.90219150512</v>
      </c>
      <c r="H213" s="47" t="n">
        <v>-14450.12031162774</v>
      </c>
      <c r="I213" s="47" t="n">
        <v>16.00413880516215</v>
      </c>
      <c r="J213" s="47" t="n">
        <v>60.96471706918597</v>
      </c>
      <c r="K213" s="47" t="n">
        <v>173.5977354098689</v>
      </c>
      <c r="L213" s="47" t="n">
        <v>-12.42591466264914</v>
      </c>
      <c r="M213" s="47" t="n">
        <v>-32.27680848305159</v>
      </c>
      <c r="N213" s="47" t="n">
        <v>-32.32560337890904</v>
      </c>
    </row>
    <row r="214">
      <c r="A214" s="47" t="n">
        <v>46</v>
      </c>
      <c r="B214" s="47" t="n">
        <v>25</v>
      </c>
      <c r="C214" s="47" t="n">
        <v>147.2236511039814</v>
      </c>
      <c r="D214" s="47" t="n">
        <v>1341.835927966418</v>
      </c>
      <c r="E214" s="47" t="n">
        <v>5117.069283886007</v>
      </c>
      <c r="F214" s="47" t="n">
        <v>0.09473469828738136</v>
      </c>
      <c r="G214" s="47" t="n">
        <v>14615.1454127267</v>
      </c>
      <c r="H214" s="47" t="n">
        <v>-14467.92176162272</v>
      </c>
      <c r="I214" s="47" t="n">
        <v>15.93414302490709</v>
      </c>
      <c r="J214" s="47" t="n">
        <v>60.76459285254663</v>
      </c>
      <c r="K214" s="47" t="n">
        <v>173.5531241059676</v>
      </c>
      <c r="L214" s="47" t="n">
        <v>-12.41530467033955</v>
      </c>
      <c r="M214" s="47" t="n">
        <v>-32.35811242640838</v>
      </c>
      <c r="N214" s="47" t="n">
        <v>-32.3535252223684</v>
      </c>
    </row>
    <row r="215">
      <c r="A215" s="47" t="n">
        <v>46.5</v>
      </c>
      <c r="B215" s="47" t="n">
        <v>25</v>
      </c>
      <c r="C215" s="47" t="n">
        <v>125.2640973672651</v>
      </c>
      <c r="D215" s="47" t="n">
        <v>1334.032841864179</v>
      </c>
      <c r="E215" s="47" t="n">
        <v>5099.891833543499</v>
      </c>
      <c r="F215" s="47" t="n">
        <v>0.08343994989716268</v>
      </c>
      <c r="G215" s="47" t="n">
        <v>14612.1731342101</v>
      </c>
      <c r="H215" s="47" t="n">
        <v>-14486.90903684283</v>
      </c>
      <c r="I215" s="47" t="n">
        <v>15.84148229985317</v>
      </c>
      <c r="J215" s="47" t="n">
        <v>60.56061266029199</v>
      </c>
      <c r="K215" s="47" t="n">
        <v>173.5178286499387</v>
      </c>
      <c r="L215" s="47" t="n">
        <v>-12.40125911535552</v>
      </c>
      <c r="M215" s="47" t="n">
        <v>-32.42884575130383</v>
      </c>
      <c r="N215" s="47" t="n">
        <v>-32.41325064966696</v>
      </c>
    </row>
    <row r="216">
      <c r="A216" s="47" t="n">
        <v>47</v>
      </c>
      <c r="B216" s="47" t="n">
        <v>25</v>
      </c>
      <c r="C216" s="47" t="n">
        <v>119.0748447164613</v>
      </c>
      <c r="D216" s="47" t="n">
        <v>1325.01398554116</v>
      </c>
      <c r="E216" s="47" t="n">
        <v>5082.430727780868</v>
      </c>
      <c r="F216" s="47" t="n">
        <v>0.0732053009130491</v>
      </c>
      <c r="G216" s="47" t="n">
        <v>14607.70190007645</v>
      </c>
      <c r="H216" s="47" t="n">
        <v>-14488.62705535999</v>
      </c>
      <c r="I216" s="47" t="n">
        <v>15.73438444714487</v>
      </c>
      <c r="J216" s="47" t="n">
        <v>60.35326409345458</v>
      </c>
      <c r="K216" s="47" t="n">
        <v>173.4647332731504</v>
      </c>
      <c r="L216" s="47" t="n">
        <v>-12.38502517397409</v>
      </c>
      <c r="M216" s="47" t="n">
        <v>-32.48952760178812</v>
      </c>
      <c r="N216" s="47" t="n">
        <v>-32.40151305308877</v>
      </c>
    </row>
    <row r="217">
      <c r="A217" s="47" t="n">
        <v>47.5</v>
      </c>
      <c r="B217" s="47" t="n">
        <v>25</v>
      </c>
      <c r="C217" s="47" t="n">
        <v>107.7527102272833</v>
      </c>
      <c r="D217" s="47" t="n">
        <v>1314.014003308939</v>
      </c>
      <c r="E217" s="47" t="n">
        <v>5064.728427579559</v>
      </c>
      <c r="F217" s="47" t="n">
        <v>0.06397562875675993</v>
      </c>
      <c r="G217" s="47" t="n">
        <v>14604.63710024031</v>
      </c>
      <c r="H217" s="47" t="n">
        <v>-14496.88439001302</v>
      </c>
      <c r="I217" s="47" t="n">
        <v>15.60376095845555</v>
      </c>
      <c r="J217" s="47" t="n">
        <v>60.14305137116968</v>
      </c>
      <c r="K217" s="47" t="n">
        <v>173.4283391373891</v>
      </c>
      <c r="L217" s="47" t="n">
        <v>-12.36522520595609</v>
      </c>
      <c r="M217" s="47" t="n">
        <v>-32.54073051083237</v>
      </c>
      <c r="N217" s="47" t="n">
        <v>-32.42518841106448</v>
      </c>
    </row>
    <row r="218">
      <c r="A218" s="47" t="n">
        <v>48</v>
      </c>
      <c r="B218" s="47" t="n">
        <v>25</v>
      </c>
      <c r="C218" s="47" t="n">
        <v>124.997153734733</v>
      </c>
      <c r="D218" s="47" t="n">
        <v>1302.475605782275</v>
      </c>
      <c r="E218" s="47" t="n">
        <v>5046.828391059098</v>
      </c>
      <c r="F218" s="47" t="n">
        <v>0.05569165610801725</v>
      </c>
      <c r="G218" s="47" t="n">
        <v>14598.23820003854</v>
      </c>
      <c r="H218" s="47" t="n">
        <v>-14473.24104630381</v>
      </c>
      <c r="I218" s="47" t="n">
        <v>15.46674385179129</v>
      </c>
      <c r="J218" s="47" t="n">
        <v>59.93049055346946</v>
      </c>
      <c r="K218" s="47" t="n">
        <v>173.3523529539132</v>
      </c>
      <c r="L218" s="47" t="n">
        <v>-12.34445609040809</v>
      </c>
      <c r="M218" s="47" t="n">
        <v>-32.58306619893422</v>
      </c>
      <c r="N218" s="47" t="n">
        <v>-32.32052371431548</v>
      </c>
    </row>
    <row r="219">
      <c r="A219" s="47" t="n">
        <v>48.5</v>
      </c>
      <c r="B219" s="47" t="n">
        <v>25</v>
      </c>
      <c r="C219" s="47" t="n">
        <v>114.2648488800617</v>
      </c>
      <c r="D219" s="47" t="n">
        <v>1288.254557011614</v>
      </c>
      <c r="E219" s="47" t="n">
        <v>5028.774697637856</v>
      </c>
      <c r="F219" s="47" t="n">
        <v>0.0482913381457313</v>
      </c>
      <c r="G219" s="47" t="n">
        <v>14596.39717703159</v>
      </c>
      <c r="H219" s="47" t="n">
        <v>-14482.13232815153</v>
      </c>
      <c r="I219" s="47" t="n">
        <v>15.29787057872332</v>
      </c>
      <c r="J219" s="47" t="n">
        <v>59.71610507823637</v>
      </c>
      <c r="K219" s="47" t="n">
        <v>173.3304910233347</v>
      </c>
      <c r="L219" s="47" t="n">
        <v>-12.31885820262091</v>
      </c>
      <c r="M219" s="47" t="n">
        <v>-32.61717241243656</v>
      </c>
      <c r="N219" s="47" t="n">
        <v>-32.35534909921482</v>
      </c>
    </row>
    <row r="220">
      <c r="A220" s="47" t="n">
        <v>49</v>
      </c>
      <c r="B220" s="47" t="n">
        <v>25</v>
      </c>
      <c r="C220" s="47" t="n">
        <v>109.5440236905922</v>
      </c>
      <c r="D220" s="47" t="n">
        <v>1272.849076147672</v>
      </c>
      <c r="E220" s="47" t="n">
        <v>5010.61170265356</v>
      </c>
      <c r="F220" s="47" t="n">
        <v>0.04171112313593678</v>
      </c>
      <c r="G220" s="47" t="n">
        <v>14594.33019373929</v>
      </c>
      <c r="H220" s="47" t="n">
        <v>-14484.7861700487</v>
      </c>
      <c r="I220" s="47" t="n">
        <v>15.11493231456046</v>
      </c>
      <c r="J220" s="47" t="n">
        <v>59.50042165986269</v>
      </c>
      <c r="K220" s="47" t="n">
        <v>173.3059458410788</v>
      </c>
      <c r="L220" s="47" t="n">
        <v>-12.29112833706581</v>
      </c>
      <c r="M220" s="47" t="n">
        <v>-32.64370095655298</v>
      </c>
      <c r="N220" s="47" t="n">
        <v>-32.37565051689154</v>
      </c>
    </row>
    <row r="221">
      <c r="A221" s="47" t="n">
        <v>49.5</v>
      </c>
      <c r="B221" s="47" t="n">
        <v>25</v>
      </c>
      <c r="C221" s="47" t="n">
        <v>115.8187403149098</v>
      </c>
      <c r="D221" s="47" t="n">
        <v>1256.616486256238</v>
      </c>
      <c r="E221" s="47" t="n">
        <v>4992.383725171678</v>
      </c>
      <c r="F221" s="47" t="n">
        <v>0.035887075261226</v>
      </c>
      <c r="G221" s="47" t="n">
        <v>14591.31268234764</v>
      </c>
      <c r="H221" s="47" t="n">
        <v>-14475.49394203273</v>
      </c>
      <c r="I221" s="47" t="n">
        <v>14.92217222846949</v>
      </c>
      <c r="J221" s="47" t="n">
        <v>59.28396658201179</v>
      </c>
      <c r="K221" s="47" t="n">
        <v>173.2701132500058</v>
      </c>
      <c r="L221" s="47" t="n">
        <v>-12.26190967526123</v>
      </c>
      <c r="M221" s="47" t="n">
        <v>-32.66330702795798</v>
      </c>
      <c r="N221" s="47" t="n">
        <v>-32.34716816042772</v>
      </c>
    </row>
    <row r="222">
      <c r="A222" s="47" t="n">
        <v>50</v>
      </c>
      <c r="B222" s="47" t="n">
        <v>25</v>
      </c>
      <c r="C222" s="47" t="n">
        <v>115.2352516171991</v>
      </c>
      <c r="D222" s="47" t="n">
        <v>1239.017627904115</v>
      </c>
      <c r="E222" s="47" t="n">
        <v>4974.134770521343</v>
      </c>
      <c r="F222" s="47" t="n">
        <v>0.03075585353760626</v>
      </c>
      <c r="G222" s="47" t="n">
        <v>14589.81614188269</v>
      </c>
      <c r="H222" s="47" t="n">
        <v>-14474.58089026549</v>
      </c>
      <c r="I222" s="47" t="n">
        <v>14.71318786591573</v>
      </c>
      <c r="J222" s="47" t="n">
        <v>59.06726240276526</v>
      </c>
      <c r="K222" s="47" t="n">
        <v>173.252342008892</v>
      </c>
      <c r="L222" s="47" t="n">
        <v>-12.23023173022741</v>
      </c>
      <c r="M222" s="47" t="n">
        <v>-32.67663990509996</v>
      </c>
      <c r="N222" s="47" t="n">
        <v>-32.35194200907362</v>
      </c>
    </row>
    <row r="223">
      <c r="A223" s="47" t="n">
        <v>50.5</v>
      </c>
      <c r="B223" s="47" t="n">
        <v>25</v>
      </c>
      <c r="C223" s="47" t="n">
        <v>136.9862007623851</v>
      </c>
      <c r="D223" s="47" t="n">
        <v>1221.409705976127</v>
      </c>
      <c r="E223" s="47" t="n">
        <v>4955.908288024652</v>
      </c>
      <c r="F223" s="47" t="n">
        <v>0.02625554513784798</v>
      </c>
      <c r="G223" s="47" t="n">
        <v>14585.72444035964</v>
      </c>
      <c r="H223" s="47" t="n">
        <v>-14448.73823959726</v>
      </c>
      <c r="I223" s="47" t="n">
        <v>14.50409587446997</v>
      </c>
      <c r="J223" s="47" t="n">
        <v>58.85082507768679</v>
      </c>
      <c r="K223" s="47" t="n">
        <v>173.2037535369896</v>
      </c>
      <c r="L223" s="47" t="n">
        <v>-12.19853747075703</v>
      </c>
      <c r="M223" s="47" t="n">
        <v>-32.68433501220375</v>
      </c>
      <c r="N223" s="47" t="n">
        <v>-32.2547276335079</v>
      </c>
    </row>
    <row r="224">
      <c r="A224" s="47" t="n">
        <v>51</v>
      </c>
      <c r="B224" s="47" t="n">
        <v>25</v>
      </c>
      <c r="C224" s="47" t="n">
        <v>137.0828963277931</v>
      </c>
      <c r="D224" s="47" t="n">
        <v>1202.234421858763</v>
      </c>
      <c r="E224" s="47" t="n">
        <v>4937.746963445518</v>
      </c>
      <c r="F224" s="47" t="n">
        <v>0.02232635535408966</v>
      </c>
      <c r="G224" s="47" t="n">
        <v>14585.16578911104</v>
      </c>
      <c r="H224" s="47" t="n">
        <v>-14448.08289278325</v>
      </c>
      <c r="I224" s="47" t="n">
        <v>14.27639164230475</v>
      </c>
      <c r="J224" s="47" t="n">
        <v>58.63516149517693</v>
      </c>
      <c r="K224" s="47" t="n">
        <v>173.1971196194512</v>
      </c>
      <c r="L224" s="47" t="n">
        <v>-12.16402195934577</v>
      </c>
      <c r="M224" s="47" t="n">
        <v>-32.68700733601513</v>
      </c>
      <c r="N224" s="47" t="n">
        <v>-32.27172390264479</v>
      </c>
    </row>
    <row r="225">
      <c r="A225" s="47" t="n">
        <v>51.5</v>
      </c>
      <c r="B225" s="47" t="n">
        <v>25</v>
      </c>
      <c r="C225" s="47" t="n">
        <v>159.6183131652743</v>
      </c>
      <c r="D225" s="47" t="n">
        <v>1183.465544078251</v>
      </c>
      <c r="E225" s="47" t="n">
        <v>4919.692544890799</v>
      </c>
      <c r="F225" s="47" t="n">
        <v>0.0189111597365835</v>
      </c>
      <c r="G225" s="47" t="n">
        <v>14581.93601801468</v>
      </c>
      <c r="H225" s="47" t="n">
        <v>-14422.31770484941</v>
      </c>
      <c r="I225" s="47" t="n">
        <v>14.05351343734796</v>
      </c>
      <c r="J225" s="47" t="n">
        <v>58.42076740906952</v>
      </c>
      <c r="K225" s="47" t="n">
        <v>173.1587664694762</v>
      </c>
      <c r="L225" s="47" t="n">
        <v>-12.13023797934085</v>
      </c>
      <c r="M225" s="47" t="n">
        <v>-32.68524614317418</v>
      </c>
      <c r="N225" s="47" t="n">
        <v>-32.31327442389598</v>
      </c>
    </row>
    <row r="226">
      <c r="A226" s="47" t="n">
        <v>52</v>
      </c>
      <c r="B226" s="47" t="n">
        <v>25</v>
      </c>
      <c r="C226" s="47" t="n">
        <v>166.9931224443313</v>
      </c>
      <c r="D226" s="47" t="n">
        <v>1163.81486000083</v>
      </c>
      <c r="E226" s="47" t="n">
        <v>4901.785700254288</v>
      </c>
      <c r="F226" s="47" t="n">
        <v>0.0159559266188011</v>
      </c>
      <c r="G226" s="47" t="n">
        <v>14581.26702888652</v>
      </c>
      <c r="H226" s="47" t="n">
        <v>-14414.27390644219</v>
      </c>
      <c r="I226" s="47" t="n">
        <v>13.82016388685454</v>
      </c>
      <c r="J226" s="47" t="n">
        <v>58.208125745796</v>
      </c>
      <c r="K226" s="47" t="n">
        <v>173.1508223026611</v>
      </c>
      <c r="L226" s="47" t="n">
        <v>-12.09486674800149</v>
      </c>
      <c r="M226" s="47" t="n">
        <v>-32.67961092088851</v>
      </c>
      <c r="N226" s="47" t="n">
        <v>-32.32291292944281</v>
      </c>
    </row>
    <row r="227">
      <c r="A227" s="47" t="n">
        <v>52.5</v>
      </c>
      <c r="B227" s="47" t="n">
        <v>25</v>
      </c>
      <c r="C227" s="47" t="n">
        <v>164.0684238718555</v>
      </c>
      <c r="D227" s="47" t="n">
        <v>1143.695108462293</v>
      </c>
      <c r="E227" s="47" t="n">
        <v>4884.065903802221</v>
      </c>
      <c r="F227" s="47" t="n">
        <v>0.01341002028617649</v>
      </c>
      <c r="G227" s="47" t="n">
        <v>14582.44551255912</v>
      </c>
      <c r="H227" s="47" t="n">
        <v>-14418.37708868726</v>
      </c>
      <c r="I227" s="47" t="n">
        <v>13.58124421570927</v>
      </c>
      <c r="J227" s="47" t="n">
        <v>57.99770525760161</v>
      </c>
      <c r="K227" s="47" t="n">
        <v>173.1648166569636</v>
      </c>
      <c r="L227" s="47" t="n">
        <v>-12.05865119523213</v>
      </c>
      <c r="M227" s="47" t="n">
        <v>-32.67062844426841</v>
      </c>
      <c r="N227" s="47" t="n">
        <v>-32.29265633202061</v>
      </c>
    </row>
    <row r="228">
      <c r="A228" s="47" t="n">
        <v>53</v>
      </c>
      <c r="B228" s="47" t="n">
        <v>25</v>
      </c>
      <c r="C228" s="47" t="n">
        <v>183.5232809151917</v>
      </c>
      <c r="D228" s="47" t="n">
        <v>1124.631071823097</v>
      </c>
      <c r="E228" s="47" t="n">
        <v>4866.571349150891</v>
      </c>
      <c r="F228" s="47" t="n">
        <v>0.01122639649287217</v>
      </c>
      <c r="G228" s="47" t="n">
        <v>14580.86299526483</v>
      </c>
      <c r="H228" s="47" t="n">
        <v>-14397.33971434964</v>
      </c>
      <c r="I228" s="47" t="n">
        <v>13.35486103419662</v>
      </c>
      <c r="J228" s="47" t="n">
        <v>57.78995948916491</v>
      </c>
      <c r="K228" s="47" t="n">
        <v>173.1460244511648</v>
      </c>
      <c r="L228" s="47" t="n">
        <v>-12.02433592928158</v>
      </c>
      <c r="M228" s="47" t="n">
        <v>-32.65879086003576</v>
      </c>
      <c r="N228" s="47" t="n">
        <v>-32.35372884201465</v>
      </c>
    </row>
    <row r="229">
      <c r="A229" s="47" t="n">
        <v>53.5</v>
      </c>
      <c r="B229" s="47" t="n">
        <v>25</v>
      </c>
      <c r="C229" s="47" t="n">
        <v>181.0418671910583</v>
      </c>
      <c r="D229" s="47" t="n">
        <v>1105.063874766694</v>
      </c>
      <c r="E229" s="47" t="n">
        <v>4849.338885672342</v>
      </c>
      <c r="F229" s="47" t="n">
        <v>0.009361702922003404</v>
      </c>
      <c r="G229" s="47" t="n">
        <v>14582.68974091154</v>
      </c>
      <c r="H229" s="47" t="n">
        <v>-14401.64787372049</v>
      </c>
      <c r="I229" s="47" t="n">
        <v>13.12250288220871</v>
      </c>
      <c r="J229" s="47" t="n">
        <v>57.58532602242295</v>
      </c>
      <c r="K229" s="47" t="n">
        <v>173.1677168397782</v>
      </c>
      <c r="L229" s="47" t="n">
        <v>-11.98911497458005</v>
      </c>
      <c r="M229" s="47" t="n">
        <v>-32.64455466791219</v>
      </c>
      <c r="N229" s="47" t="n">
        <v>-32.32563153213199</v>
      </c>
    </row>
    <row r="230">
      <c r="A230" s="47" t="n">
        <v>54</v>
      </c>
      <c r="B230" s="47" t="n">
        <v>25</v>
      </c>
      <c r="C230" s="47" t="n">
        <v>181.5418421561524</v>
      </c>
      <c r="D230" s="47" t="n">
        <v>1086.197009087915</v>
      </c>
      <c r="E230" s="47" t="n">
        <v>4832.403975269064</v>
      </c>
      <c r="F230" s="47" t="n">
        <v>0.007776297576828023</v>
      </c>
      <c r="G230" s="47" t="n">
        <v>14584.40288243893</v>
      </c>
      <c r="H230" s="47" t="n">
        <v>-14402.86104028278</v>
      </c>
      <c r="I230" s="47" t="n">
        <v>12.89846108254324</v>
      </c>
      <c r="J230" s="47" t="n">
        <v>57.3842259632758</v>
      </c>
      <c r="K230" s="47" t="n">
        <v>173.1880601929038</v>
      </c>
      <c r="L230" s="47" t="n">
        <v>-11.95515461635825</v>
      </c>
      <c r="M230" s="47" t="n">
        <v>-32.62834047729287</v>
      </c>
      <c r="N230" s="47" t="n">
        <v>-32.30823300251532</v>
      </c>
    </row>
    <row r="231">
      <c r="A231" s="47" t="n">
        <v>54.5</v>
      </c>
      <c r="B231" s="47" t="n">
        <v>25</v>
      </c>
      <c r="C231" s="47" t="n">
        <v>176.6795228662295</v>
      </c>
      <c r="D231" s="47" t="n">
        <v>1067.893560205269</v>
      </c>
      <c r="E231" s="47" t="n">
        <v>4815.800666467486</v>
      </c>
      <c r="F231" s="47" t="n">
        <v>0.006434198049499336</v>
      </c>
      <c r="G231" s="47" t="n">
        <v>14587.13580263194</v>
      </c>
      <c r="H231" s="47" t="n">
        <v>-14410.45627976571</v>
      </c>
      <c r="I231" s="47" t="n">
        <v>12.68110979072982</v>
      </c>
      <c r="J231" s="47" t="n">
        <v>57.18706363394989</v>
      </c>
      <c r="K231" s="47" t="n">
        <v>173.2205132971347</v>
      </c>
      <c r="L231" s="47" t="n">
        <v>-11.92220840836948</v>
      </c>
      <c r="M231" s="47" t="n">
        <v>-32.61053341719598</v>
      </c>
      <c r="N231" s="47" t="n">
        <v>-32.26971226262507</v>
      </c>
    </row>
    <row r="232">
      <c r="A232" s="47" t="n">
        <v>55</v>
      </c>
      <c r="B232" s="47" t="n">
        <v>25</v>
      </c>
      <c r="C232" s="47" t="n">
        <v>188.5060598638298</v>
      </c>
      <c r="D232" s="47" t="n">
        <v>1051.219654363292</v>
      </c>
      <c r="E232" s="47" t="n">
        <v>4799.561582875675</v>
      </c>
      <c r="F232" s="47" t="n">
        <v>0.005302974211008596</v>
      </c>
      <c r="G232" s="47" t="n">
        <v>14587.76637498494</v>
      </c>
      <c r="H232" s="47" t="n">
        <v>-14399.26031512111</v>
      </c>
      <c r="I232" s="47" t="n">
        <v>12.48310912989453</v>
      </c>
      <c r="J232" s="47" t="n">
        <v>56.99422643593457</v>
      </c>
      <c r="K232" s="47" t="n">
        <v>173.228001269286</v>
      </c>
      <c r="L232" s="47" t="n">
        <v>-11.89219537785393</v>
      </c>
      <c r="M232" s="47" t="n">
        <v>-32.59148408127714</v>
      </c>
      <c r="N232" s="47" t="n">
        <v>-32.30788604073052</v>
      </c>
    </row>
    <row r="233">
      <c r="A233" s="47" t="n">
        <v>55.5</v>
      </c>
      <c r="B233" s="47" t="n">
        <v>25</v>
      </c>
      <c r="C233" s="47" t="n">
        <v>182.552269274569</v>
      </c>
      <c r="D233" s="47" t="n">
        <v>1034.965279916319</v>
      </c>
      <c r="E233" s="47" t="n">
        <v>4783.717923215783</v>
      </c>
      <c r="F233" s="47" t="n">
        <v>0.00435359617319023</v>
      </c>
      <c r="G233" s="47" t="n">
        <v>14591.08519304569</v>
      </c>
      <c r="H233" s="47" t="n">
        <v>-14408.53292377112</v>
      </c>
      <c r="I233" s="47" t="n">
        <v>12.29009035478169</v>
      </c>
      <c r="J233" s="47" t="n">
        <v>56.80608485036735</v>
      </c>
      <c r="K233" s="47" t="n">
        <v>173.2674118414369</v>
      </c>
      <c r="L233" s="47" t="n">
        <v>-11.86293750384938</v>
      </c>
      <c r="M233" s="47" t="n">
        <v>-32.5715098962297</v>
      </c>
      <c r="N233" s="47" t="n">
        <v>-32.27648721938287</v>
      </c>
    </row>
    <row r="234">
      <c r="A234" s="47" t="n">
        <v>56</v>
      </c>
      <c r="B234" s="47" t="n">
        <v>25</v>
      </c>
      <c r="C234" s="47" t="n">
        <v>186.9039056313416</v>
      </c>
      <c r="D234" s="47" t="n">
        <v>1020.404997192866</v>
      </c>
      <c r="E234" s="47" t="n">
        <v>4768.299470359376</v>
      </c>
      <c r="F234" s="47" t="n">
        <v>0.003560248461720921</v>
      </c>
      <c r="G234" s="47" t="n">
        <v>14593.12513812609</v>
      </c>
      <c r="H234" s="47" t="n">
        <v>-14406.22123249475</v>
      </c>
      <c r="I234" s="47" t="n">
        <v>12.11718871862548</v>
      </c>
      <c r="J234" s="47" t="n">
        <v>56.62299254532741</v>
      </c>
      <c r="K234" s="47" t="n">
        <v>173.2916359481227</v>
      </c>
      <c r="L234" s="47" t="n">
        <v>-11.83672899494716</v>
      </c>
      <c r="M234" s="47" t="n">
        <v>-32.55089681049139</v>
      </c>
      <c r="N234" s="47" t="n">
        <v>-32.293046359008</v>
      </c>
    </row>
    <row r="235">
      <c r="A235" s="47" t="n">
        <v>56.5</v>
      </c>
      <c r="B235" s="47" t="n">
        <v>25</v>
      </c>
      <c r="C235" s="47" t="n">
        <v>190.0706248495408</v>
      </c>
      <c r="D235" s="47" t="n">
        <v>1007.210705069863</v>
      </c>
      <c r="E235" s="47" t="n">
        <v>4753.334607048062</v>
      </c>
      <c r="F235" s="47" t="n">
        <v>0.00290012027434994</v>
      </c>
      <c r="G235" s="47" t="n">
        <v>14595.45983017993</v>
      </c>
      <c r="H235" s="47" t="n">
        <v>-14405.38920533039</v>
      </c>
      <c r="I235" s="47" t="n">
        <v>11.96050805937457</v>
      </c>
      <c r="J235" s="47" t="n">
        <v>56.44528656251619</v>
      </c>
      <c r="K235" s="47" t="n">
        <v>173.319360140276</v>
      </c>
      <c r="L235" s="47" t="n">
        <v>-11.81297926912575</v>
      </c>
      <c r="M235" s="47" t="n">
        <v>-32.52990121021736</v>
      </c>
      <c r="N235" s="47" t="n">
        <v>-32.30611004518602</v>
      </c>
    </row>
    <row r="236">
      <c r="A236" s="47" t="n">
        <v>57</v>
      </c>
      <c r="B236" s="47" t="n">
        <v>25</v>
      </c>
      <c r="C236" s="47" t="n">
        <v>200.6845452715871</v>
      </c>
      <c r="D236" s="47" t="n">
        <v>995.8379330752531</v>
      </c>
      <c r="E236" s="47" t="n">
        <v>4738.85033625806</v>
      </c>
      <c r="F236" s="47" t="n">
        <v>0.002353180541557958</v>
      </c>
      <c r="G236" s="47" t="n">
        <v>14596.84593445949</v>
      </c>
      <c r="H236" s="47" t="n">
        <v>-14396.1613891879</v>
      </c>
      <c r="I236" s="47" t="n">
        <v>11.82545773632471</v>
      </c>
      <c r="J236" s="47" t="n">
        <v>56.27328755908427</v>
      </c>
      <c r="K236" s="47" t="n">
        <v>173.3358199647431</v>
      </c>
      <c r="L236" s="47" t="n">
        <v>-11.79250827953546</v>
      </c>
      <c r="M236" s="47" t="n">
        <v>-32.50875198039049</v>
      </c>
      <c r="N236" s="47" t="n">
        <v>-32.35008397463695</v>
      </c>
    </row>
    <row r="237">
      <c r="A237" s="47" t="n">
        <v>57.5</v>
      </c>
      <c r="B237" s="47" t="n">
        <v>25</v>
      </c>
      <c r="C237" s="47" t="n">
        <v>178.2777126906697</v>
      </c>
      <c r="D237" s="47" t="n">
        <v>984.7556575269784</v>
      </c>
      <c r="E237" s="47" t="n">
        <v>4724.872304453064</v>
      </c>
      <c r="F237" s="47" t="n">
        <v>0.001901945310530092</v>
      </c>
      <c r="G237" s="47" t="n">
        <v>14602.91442084514</v>
      </c>
      <c r="H237" s="47" t="n">
        <v>-14424.63670815447</v>
      </c>
      <c r="I237" s="47" t="n">
        <v>11.69385702423522</v>
      </c>
      <c r="J237" s="47" t="n">
        <v>56.10730008375631</v>
      </c>
      <c r="K237" s="47" t="n">
        <v>173.4078825232111</v>
      </c>
      <c r="L237" s="47" t="n">
        <v>-11.77256018354856</v>
      </c>
      <c r="M237" s="47" t="n">
        <v>-32.48765264022074</v>
      </c>
      <c r="N237" s="47" t="n">
        <v>-32.31386829316747</v>
      </c>
    </row>
    <row r="238">
      <c r="A238" s="47" t="n">
        <v>58</v>
      </c>
      <c r="B238" s="47" t="n">
        <v>25</v>
      </c>
      <c r="C238" s="47" t="n">
        <v>194.5277817938577</v>
      </c>
      <c r="D238" s="47" t="n">
        <v>976.8952337829762</v>
      </c>
      <c r="E238" s="47" t="n">
        <v>4711.424826253924</v>
      </c>
      <c r="F238" s="47" t="n">
        <v>0.0015312437827304</v>
      </c>
      <c r="G238" s="47" t="n">
        <v>14603.59627183019</v>
      </c>
      <c r="H238" s="47" t="n">
        <v>-14409.06849003634</v>
      </c>
      <c r="I238" s="47" t="n">
        <v>11.60051542146332</v>
      </c>
      <c r="J238" s="47" t="n">
        <v>55.94761286978063</v>
      </c>
      <c r="K238" s="47" t="n">
        <v>173.4159794230563</v>
      </c>
      <c r="L238" s="47" t="n">
        <v>-11.75841142080936</v>
      </c>
      <c r="M238" s="47" t="n">
        <v>-32.46678349321249</v>
      </c>
      <c r="N238" s="47" t="n">
        <v>-32.32862778917296</v>
      </c>
    </row>
    <row r="239">
      <c r="A239" s="47" t="n">
        <v>58.5</v>
      </c>
      <c r="B239" s="47" t="n">
        <v>25</v>
      </c>
      <c r="C239" s="47" t="n">
        <v>188.3322187595174</v>
      </c>
      <c r="D239" s="47" t="n">
        <v>969.8528693334895</v>
      </c>
      <c r="E239" s="47" t="n">
        <v>4698.530909327688</v>
      </c>
      <c r="F239" s="47" t="n">
        <v>0.001227988187089458</v>
      </c>
      <c r="G239" s="47" t="n">
        <v>14607.41219622474</v>
      </c>
      <c r="H239" s="47" t="n">
        <v>-14419.07997746522</v>
      </c>
      <c r="I239" s="47" t="n">
        <v>11.51688817611023</v>
      </c>
      <c r="J239" s="47" t="n">
        <v>55.7944991304837</v>
      </c>
      <c r="K239" s="47" t="n">
        <v>173.4612930741575</v>
      </c>
      <c r="L239" s="47" t="n">
        <v>-11.74573516480028</v>
      </c>
      <c r="M239" s="47" t="n">
        <v>-32.44630374310604</v>
      </c>
      <c r="N239" s="47" t="n">
        <v>-32.30366901546408</v>
      </c>
    </row>
    <row r="240">
      <c r="A240" s="47" t="n">
        <v>59</v>
      </c>
      <c r="B240" s="47" t="n">
        <v>25</v>
      </c>
      <c r="C240" s="47" t="n">
        <v>193.7406778273125</v>
      </c>
      <c r="D240" s="47" t="n">
        <v>965.0068291446295</v>
      </c>
      <c r="E240" s="47" t="n">
        <v>4686.212278555445</v>
      </c>
      <c r="F240" s="47" t="n">
        <v>0.0009809515932208178</v>
      </c>
      <c r="G240" s="47" t="n">
        <v>14609.56219691406</v>
      </c>
      <c r="H240" s="47" t="n">
        <v>-14415.82151908674</v>
      </c>
      <c r="I240" s="47" t="n">
        <v>11.45934202172251</v>
      </c>
      <c r="J240" s="47" t="n">
        <v>55.6482168462603</v>
      </c>
      <c r="K240" s="47" t="n">
        <v>173.4868240781896</v>
      </c>
      <c r="L240" s="47" t="n">
        <v>-11.73701229246033</v>
      </c>
      <c r="M240" s="47" t="n">
        <v>-32.42635353706081</v>
      </c>
      <c r="N240" s="47" t="n">
        <v>-32.32700424714277</v>
      </c>
    </row>
    <row r="241">
      <c r="A241" s="47" t="n">
        <v>59.5</v>
      </c>
      <c r="B241" s="47" t="n">
        <v>25</v>
      </c>
      <c r="C241" s="47" t="n">
        <v>168.9790164233354</v>
      </c>
      <c r="D241" s="47" t="n">
        <v>960.6787098103339</v>
      </c>
      <c r="E241" s="47" t="n">
        <v>4674.489398773456</v>
      </c>
      <c r="F241" s="47" t="n">
        <v>0.0007805567827152858</v>
      </c>
      <c r="G241" s="47" t="n">
        <v>14615.86230736455</v>
      </c>
      <c r="H241" s="47" t="n">
        <v>-14446.88329094121</v>
      </c>
      <c r="I241" s="47" t="n">
        <v>11.40794611625883</v>
      </c>
      <c r="J241" s="47" t="n">
        <v>55.5090090346219</v>
      </c>
      <c r="K241" s="47" t="n">
        <v>173.5616371450472</v>
      </c>
      <c r="L241" s="47" t="n">
        <v>-11.7292216776586</v>
      </c>
      <c r="M241" s="47" t="n">
        <v>-32.40705590674779</v>
      </c>
      <c r="N241" s="47" t="n">
        <v>-32.3939412064303</v>
      </c>
    </row>
    <row r="242">
      <c r="A242" s="47" t="n">
        <v>60</v>
      </c>
      <c r="B242" s="47" t="n">
        <v>25</v>
      </c>
      <c r="C242" s="47" t="n">
        <v>179.3490111941471</v>
      </c>
      <c r="D242" s="47" t="n">
        <v>959.4501357167396</v>
      </c>
      <c r="E242" s="47" t="n">
        <v>4663.381495591821</v>
      </c>
      <c r="F242" s="47" t="n">
        <v>0.0006186784148549876</v>
      </c>
      <c r="G242" s="47" t="n">
        <v>14617.13872788696</v>
      </c>
      <c r="H242" s="47" t="n">
        <v>-14437.78971669281</v>
      </c>
      <c r="I242" s="47" t="n">
        <v>11.39335694412831</v>
      </c>
      <c r="J242" s="47" t="n">
        <v>55.37710399741572</v>
      </c>
      <c r="K242" s="47" t="n">
        <v>173.5767944878639</v>
      </c>
      <c r="L242" s="47" t="n">
        <v>-11.72701024429013</v>
      </c>
      <c r="M242" s="47" t="n">
        <v>-32.38851858633159</v>
      </c>
      <c r="N242" s="47" t="n">
        <v>-32.35298051510134</v>
      </c>
    </row>
  </sheetData>
  <autoFilter ref="A1:N24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30" customWidth="1" min="1" max="1"/>
    <col width="62" customWidth="1" min="2" max="2"/>
    <col width="70" customWidth="1" min="3" max="3"/>
  </cols>
  <sheetData>
    <row r="1">
      <c r="A1" s="48" t="inlineStr">
        <is>
          <t>Europa Ice Subsurface Simulation Assumptions</t>
        </is>
      </c>
    </row>
    <row r="3">
      <c r="A3" s="49" t="inlineStr">
        <is>
          <t>Item</t>
        </is>
      </c>
      <c r="B3" s="49" t="inlineStr">
        <is>
          <t>Value</t>
        </is>
      </c>
      <c r="C3" s="49" t="inlineStr">
        <is>
          <t>Why it matters</t>
        </is>
      </c>
    </row>
    <row r="4" ht="34" customHeight="1">
      <c r="A4" s="50" t="inlineStr">
        <is>
          <t>Surface material</t>
        </is>
      </c>
      <c r="B4" s="50" t="inlineStr">
        <is>
          <t>Generated topography is treated as icy surface terrain, not rock.</t>
        </is>
      </c>
      <c r="C4" s="50" t="inlineStr">
        <is>
          <t>Keeps the generated topography as icy terrain, not rock.</t>
        </is>
      </c>
    </row>
    <row r="5" ht="34" customHeight="1">
      <c r="A5" s="50" t="inlineStr">
        <is>
          <t>Upper internal ice layer</t>
        </is>
      </c>
      <c r="B5" s="50" t="inlineStr">
        <is>
          <t>1150.0 m mean depth</t>
        </is>
      </c>
      <c r="C5" s="50" t="inlineStr">
        <is>
          <t>Represents shallow ice structure, fractures, impurities, or layer boundaries.</t>
        </is>
      </c>
    </row>
    <row r="6" ht="34" customHeight="1">
      <c r="A6" s="50" t="inlineStr">
        <is>
          <t>Possible briny/warm-ice lens</t>
        </is>
      </c>
      <c r="B6" s="50" t="inlineStr">
        <is>
          <t>approximately 4.4 to 5.7 km where lens strength is high</t>
        </is>
      </c>
      <c r="C6" s="50" t="inlineStr">
        <is>
          <t>A localized material contrast inside ice; treated as possible, not proven.</t>
        </is>
      </c>
    </row>
    <row r="7" ht="34" customHeight="1">
      <c r="A7" s="50" t="inlineStr">
        <is>
          <t>Possible ice-ocean boundary</t>
        </is>
      </c>
      <c r="B7" s="50" t="inlineStr">
        <is>
          <t>15000.0 m nominal depth</t>
        </is>
      </c>
      <c r="C7" s="50" t="inlineStr">
        <is>
          <t>Deep reflector where ice may meet liquid water or warmer basal ice.</t>
        </is>
      </c>
    </row>
    <row r="8" ht="34" customHeight="1">
      <c r="A8" s="50" t="inlineStr">
        <is>
          <t>Ice refractive index</t>
        </is>
      </c>
      <c r="B8" s="50" t="n">
        <v>1.78</v>
      </c>
      <c r="C8" s="50" t="inlineStr">
        <is>
          <t>Converts depth into radar two-way delay.</t>
        </is>
      </c>
    </row>
    <row r="9" ht="34" customHeight="1">
      <c r="A9" s="50" t="inlineStr">
        <is>
          <t>One-way ice attenuation</t>
        </is>
      </c>
      <c r="B9" s="50" t="inlineStr">
        <is>
          <t>0.9 dB/km</t>
        </is>
      </c>
      <c r="C9" s="50" t="inlineStr">
        <is>
          <t>Weakens deeper radar returns as the signal travels through ice.</t>
        </is>
      </c>
    </row>
    <row r="10" ht="34" customHeight="1">
      <c r="A10" s="50" t="inlineStr">
        <is>
          <t>Model warning</t>
        </is>
      </c>
      <c r="B10" s="50" t="inlineStr">
        <is>
          <t>Synthetic data for model testing; not a real Europa DEM or measured radar product.</t>
        </is>
      </c>
      <c r="C10" s="50" t="inlineStr">
        <is>
          <t>Prevents this from being mistaken for measured mission data.</t>
        </is>
      </c>
    </row>
  </sheetData>
  <mergeCells count="1">
    <mergeCell ref="A1:C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0" customWidth="1" min="1" max="1"/>
    <col width="54" customWidth="1" min="2" max="2"/>
    <col width="62" customWidth="1" min="3" max="3"/>
    <col width="24" customWidth="1" min="4" max="4"/>
  </cols>
  <sheetData>
    <row r="1">
      <c r="A1" s="51" t="inlineStr">
        <is>
          <t>Europa Ice Subsurface Simulation</t>
        </is>
      </c>
    </row>
    <row r="2">
      <c r="A2" s="52" t="inlineStr">
        <is>
          <t>Python-generated previews added after checking that the outputs are coherent. Existing dashboard graphs are unchanged.</t>
        </is>
      </c>
    </row>
    <row r="3">
      <c r="A3" t="inlineStr">
        <is>
          <t>Graph</t>
        </is>
      </c>
      <c r="B3" t="inlineStr">
        <is>
          <t>What it shows</t>
        </is>
      </c>
      <c r="C3" t="inlineStr">
        <is>
          <t>Interpretation</t>
        </is>
      </c>
      <c r="D3" t="inlineStr">
        <is>
          <t>Source</t>
        </is>
      </c>
    </row>
    <row r="4">
      <c r="A4" s="46" t="inlineStr">
        <is>
          <t>Subsurface truth model</t>
        </is>
      </c>
      <c r="B4" s="46" t="inlineStr">
        <is>
          <t>Synthetic icy layers below the generated surface topography.</t>
        </is>
      </c>
      <c r="C4" s="46" t="inlineStr">
        <is>
          <t>Topography is ice; deeper features are internal ice, possible warm/briny ice, and possible ocean boundary.</t>
        </is>
      </c>
      <c r="D4" s="46" t="inlineStr">
        <is>
          <t>Subsurface_Model</t>
        </is>
      </c>
    </row>
    <row r="5">
      <c r="A5" s="50" t="inlineStr">
        <is>
          <t>Simulated radargram</t>
        </is>
      </c>
      <c r="B5" s="50" t="inlineStr">
        <is>
          <t>Radar two-way delay after surface return.</t>
        </is>
      </c>
      <c r="C5" s="50" t="inlineStr">
        <is>
          <t>Brighter bands are stronger reflectors; deeper returns are weaker because of ice attenuation.</t>
        </is>
      </c>
      <c r="D5" s="50" t="inlineStr">
        <is>
          <t>Python preview</t>
        </is>
      </c>
    </row>
    <row r="6">
      <c r="A6" s="50" t="inlineStr">
        <is>
          <t>Delay and echo strength</t>
        </is>
      </c>
      <c r="B6" s="50" t="inlineStr">
        <is>
          <t>Layer return timing and relative signal strength.</t>
        </is>
      </c>
      <c r="C6" s="50" t="inlineStr">
        <is>
          <t>Ocean boundary appears late in time; lens strength is localized and hypothetical.</t>
        </is>
      </c>
      <c r="D6" s="50" t="inlineStr">
        <is>
          <t>Subsurface_Model</t>
        </is>
      </c>
    </row>
    <row r="7">
      <c r="A7" s="50" t="n"/>
      <c r="B7" s="50" t="n"/>
      <c r="C7" s="50" t="n"/>
      <c r="D7" s="50" t="n"/>
    </row>
    <row r="8">
      <c r="A8" s="50" t="inlineStr">
        <is>
          <t>Embedded preview image</t>
        </is>
      </c>
      <c r="B8" s="50" t="inlineStr">
        <is>
          <t>File used</t>
        </is>
      </c>
      <c r="C8" s="50" t="inlineStr">
        <is>
          <t>Workbook section</t>
        </is>
      </c>
      <c r="D8" s="50" t="inlineStr">
        <is>
          <t>Purpose</t>
        </is>
      </c>
    </row>
    <row r="9">
      <c r="A9" s="49" t="inlineStr">
        <is>
          <t>Subsurface truth model</t>
        </is>
      </c>
      <c r="B9" s="49" t="inlineStr">
        <is>
          <t>01_europa_ice_subsurface_truth.png</t>
        </is>
      </c>
      <c r="C9" s="49" t="inlineStr">
        <is>
          <t>Left</t>
        </is>
      </c>
      <c r="D9" s="49" t="inlineStr">
        <is>
          <t>Shows the hidden icy layers.</t>
        </is>
      </c>
    </row>
    <row r="10">
      <c r="A10" s="50" t="inlineStr">
        <is>
          <t>Radargram + response charts</t>
        </is>
      </c>
      <c r="B10" s="50" t="inlineStr">
        <is>
          <t>02_simulated_ice_radargram.png and 03_layer_delays_and_echo_strength.png</t>
        </is>
      </c>
      <c r="C10" s="50" t="inlineStr">
        <is>
          <t>Right / below</t>
        </is>
      </c>
      <c r="D10" s="50" t="inlineStr">
        <is>
          <t>Shows simulated radar return timing and strength.</t>
        </is>
      </c>
    </row>
    <row r="11">
      <c r="A11" s="50" t="n"/>
      <c r="B11" s="50" t="n"/>
      <c r="C11" s="50" t="n"/>
      <c r="D11" s="50" t="n"/>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2026-06-09T21:30:55Z</dcterms:created>
  <dcterms:modified xmlns:dcterms="http://purl.org/dc/terms/" xmlns:xsi="http://www.w3.org/2001/XMLSchema-instance" xsi:type="dcterms:W3CDTF">2026-06-09T23:37:57Z</dcterms:modified>
  <cp:lastModifiedBy>Tyler Lee</cp:lastModifiedBy>
</cp:coreProperties>
</file>